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DieseArbeitsmappe"/>
  <mc:AlternateContent xmlns:mc="http://schemas.openxmlformats.org/markup-compatibility/2006">
    <mc:Choice Requires="x15">
      <x15ac:absPath xmlns:x15ac="http://schemas.microsoft.com/office/spreadsheetml/2010/11/ac" url="C:\Users\gmp00106\Desktop\CBAM\Majas lapai\"/>
    </mc:Choice>
  </mc:AlternateContent>
  <xr:revisionPtr revIDLastSave="0" documentId="8_{63CEFB6A-9A72-4CDE-9128-2B5EE359A1C2}" xr6:coauthVersionLast="47" xr6:coauthVersionMax="47" xr10:uidLastSave="{00000000-0000-0000-0000-000000000000}"/>
  <bookViews>
    <workbookView xWindow="-110" yWindow="-110" windowWidth="19420" windowHeight="10420" tabRatio="567" xr2:uid="{00000000-000D-0000-FFFF-FFFF00000000}"/>
  </bookViews>
  <sheets>
    <sheet name="0_Versions" sheetId="39" r:id="rId1"/>
    <sheet name="a_Contents" sheetId="20" r:id="rId2"/>
    <sheet name="b_Guidelines&amp;Conditions" sheetId="19" r:id="rId3"/>
    <sheet name="c_CodeLists" sheetId="38" r:id="rId4"/>
    <sheet name="A_InstData" sheetId="10" r:id="rId5"/>
    <sheet name="B_EmInst" sheetId="9" r:id="rId6"/>
    <sheet name="C_Emissions&amp;Energy" sheetId="16" r:id="rId7"/>
    <sheet name="D_Processes" sheetId="26" r:id="rId8"/>
    <sheet name="E_PurchPrec" sheetId="29" r:id="rId9"/>
    <sheet name="F_Tools" sheetId="30" r:id="rId10"/>
    <sheet name="G_FurtherGuidance" sheetId="31" r:id="rId11"/>
    <sheet name="Summary_Processes" sheetId="7" r:id="rId12"/>
    <sheet name="Summary_Products" sheetId="28" r:id="rId13"/>
    <sheet name="Summary_Communication" sheetId="33" r:id="rId14"/>
    <sheet name="InputOutput" sheetId="18" state="hidden" r:id="rId15"/>
    <sheet name="Parameters_Constants" sheetId="3" state="hidden" r:id="rId16"/>
    <sheet name="Parameters_CNCodes" sheetId="32" state="hidden" r:id="rId17"/>
    <sheet name="Translations" sheetId="5" state="hidden" r:id="rId18"/>
    <sheet name="VersionDocumentation" sheetId="4" state="hidden" r:id="rId19"/>
  </sheets>
  <definedNames>
    <definedName name="_xlnm._FilterDatabase" localSheetId="16" hidden="1">Parameters_CNCodes!$A$3:$G$572</definedName>
    <definedName name="_xlnm._FilterDatabase" localSheetId="17" hidden="1">Translations!$A$4:$K$2107</definedName>
    <definedName name="CNCodes_ListKey">Parameters_CNCodes!$D$4:$D$572</definedName>
    <definedName name="CNCodes_ListNames">Parameters_CNCodes!$C$4:$C$572</definedName>
    <definedName name="CNCodes_ListNumbering">Parameters_CNCodes!$F$4:$F$572</definedName>
    <definedName name="CNTR_CBAMPeriod">Parameters_Constants!$B$1</definedName>
    <definedName name="CNTR_HasEntriesA">A_InstData!$K$124</definedName>
    <definedName name="CNTR_IOProcAndPrec">InputOutput!$D$71:$D$100</definedName>
    <definedName name="CNTR_IOSupplyChain">InputOutput!$AR$71:$BU$100</definedName>
    <definedName name="CNTR_List_ExistGoodTypes">A_InstData!$S$62:$S$71</definedName>
    <definedName name="CNTR_List_ExistGoodTypesInclDir">A_InstData!$S$61:$S$71</definedName>
    <definedName name="CNTR_List_ExistProdProc">A_InstData!$S$83:$S$92</definedName>
    <definedName name="CNTR_List_ExistProdProcNames">A_InstData!$T$83:$T$92</definedName>
    <definedName name="CNTR_List_ExistPurchPrec">A_InstData!$S$102:$S$121</definedName>
    <definedName name="CNTR_List_ExistPurchPrecNames">A_InstData!$T$102:$T$121</definedName>
    <definedName name="CNTR_ListCountriesCode">c_CodeLists!$F$11:$F$277</definedName>
    <definedName name="CNTR_ListCountriesName">c_CodeLists!$G$11:$G$277</definedName>
    <definedName name="CNTR_ListCurrenciesCode">c_CodeLists!$K$11:$K$177</definedName>
    <definedName name="CNTR_ListCurrenciesName">c_CodeLists!$L$11:$L$177</definedName>
    <definedName name="CNTR_ListProdProcID">A_InstData!$D$83:$D$92</definedName>
    <definedName name="CNTR_ListProdProcNames">A_InstData!$L$83:$L$92</definedName>
    <definedName name="CNTR_ListPurchPrecID">A_InstData!$D$102:$D$121</definedName>
    <definedName name="CNTR_Matrix_Inv">InputOutput!$E$71:$AH$100</definedName>
    <definedName name="CNTR_MatrixPurchPrecRoutes">A_InstData!$X$102:$AB$121</definedName>
    <definedName name="CONST_AllProdRoutes">Parameters_Constants!$B$63</definedName>
    <definedName name="CONST_CarbonPriceType">Parameters_Constants!$C$45:$I$45</definedName>
    <definedName name="CONST_CEMSType">Parameters_Constants!$B$55:$C$55</definedName>
    <definedName name="CONST_CNTR_ElecEFMethod">Parameters_Constants!$B$10</definedName>
    <definedName name="CONST_CNTR_EmbedEmDir">Parameters_Constants!$B$2</definedName>
    <definedName name="CONST_CNTR_EmbedEmInDir">Parameters_Constants!$B$11</definedName>
    <definedName name="CONST_CNTR_ListGoodsForCN">Parameters_Constants!$B$133:$S$133</definedName>
    <definedName name="CONST_CNTR_PrecNumbering">Parameters_Constants!$BL$89:$BL$106</definedName>
    <definedName name="CONST_CNTR_SUM_CO2">Parameters_Constants!$B$3</definedName>
    <definedName name="CONST_CNTR_SUM_N2O">Parameters_Constants!$B$5</definedName>
    <definedName name="CONST_CNTR_SUM_PFC">Parameters_Constants!$B$4</definedName>
    <definedName name="CONST_CNTR_TotProd">Parameters_Constants!$B$12</definedName>
    <definedName name="CONST_DataQuality">Parameters_Constants!$B$42:$F$42</definedName>
    <definedName name="CONST_DataQualityJustification">Parameters_Constants!$B$44:$D$44</definedName>
    <definedName name="CONST_DataVerification">Parameters_Constants!$B$43:$E$43</definedName>
    <definedName name="CONST_EFNatGas">Parameters_Constants!$B$13</definedName>
    <definedName name="CONST_ElecConsumption">Parameters_Constants!$B$14</definedName>
    <definedName name="CONST_ElecSource">Parameters_Constants!$B$15:$H$15</definedName>
    <definedName name="CONST_EmDir">Parameters_Constants!$B$7</definedName>
    <definedName name="CONST_EmDirHeat">Parameters_Constants!$B$8</definedName>
    <definedName name="CONST_EmDirWasteGases">Parameters_Constants!$B$9</definedName>
    <definedName name="CONST_ERR_Duplicate">Parameters_Constants!$B$67</definedName>
    <definedName name="CONST_ERR_Incomplete">Parameters_Constants!$B$65</definedName>
    <definedName name="CONST_ERR_Inconsistent">Parameters_Constants!$B$66</definedName>
    <definedName name="CONST_ErrorOrMissing">Parameters_Constants!$B$16</definedName>
    <definedName name="CONST_GJ">Parameters_Constants!$B$25</definedName>
    <definedName name="CONST_GJpkNm3">Parameters_Constants!$B$36</definedName>
    <definedName name="CONST_GJpt">Parameters_Constants!$B$28</definedName>
    <definedName name="CONST_GoodToMarket">Parameters_Constants!$B$17</definedName>
    <definedName name="CONST_gpNm3">Parameters_Constants!$B$52</definedName>
    <definedName name="CONST_GWh">Parameters_Constants!$B$29</definedName>
    <definedName name="CONST_GWP_C2F6">Parameters_Constants!$B$78</definedName>
    <definedName name="CONST_GWP_CF4">Parameters_Constants!$B$77</definedName>
    <definedName name="CONST_GWP_N2O">Parameters_Constants!$B$76</definedName>
    <definedName name="CONST_hpa">Parameters_Constants!$B$50</definedName>
    <definedName name="CONST_kNm3">Parameters_Constants!$B$27</definedName>
    <definedName name="CONST_kNm3pa">Parameters_Constants!$B$53</definedName>
    <definedName name="CONST_LinkFromGuidance">Parameters_Constants!$B$73</definedName>
    <definedName name="CONST_LinkToCHPTool">Parameters_Constants!$B$75</definedName>
    <definedName name="CONST_LinkToCPTool">Parameters_Constants!$B$74</definedName>
    <definedName name="CONST_LinkToGuidanceSheet">Parameters_Constants!$B$72</definedName>
    <definedName name="CONST_LIST_Goods">Parameters_Constants!$A$89:$A$106</definedName>
    <definedName name="CONST_LIST_GoodsIndRel">Parameters_Constants!$D$89:$D$106</definedName>
    <definedName name="CONST_LIST_GoodsPrecAdd">Parameters_Constants!$Q$89:$Q$106</definedName>
    <definedName name="CONST_LIST_GoodsProdRouteAdd">Parameters_Constants!$F$89:$F$106</definedName>
    <definedName name="CONST_LIST_GoodsProdRouteRel">Parameters_Constants!$E$89:$E$106</definedName>
    <definedName name="CONST_LIST_GoodsUnit">Parameters_Constants!$B$89:$B$106</definedName>
    <definedName name="CONST_MATRIX_ProductionRoute">Parameters_Constants!$G$89:$P$106</definedName>
    <definedName name="CONST_MATRIX_SpecialPara">Parameters_Constants!$B$110:$I$127</definedName>
    <definedName name="CONST_MeasDefaultUnknown">Parameters_Constants!$B$69:$D$69</definedName>
    <definedName name="CONST_MeasuredOrDefault">Parameters_Constants!$B$68:$C$68</definedName>
    <definedName name="CONST_MonitoringApproach">Parameters_Constants!$B$56:$D$56</definedName>
    <definedName name="CONST_MsgJumpkNextSheet">Parameters_Constants!$B$60</definedName>
    <definedName name="CONST_MsgMissingProdProc">Parameters_Constants!$B$59</definedName>
    <definedName name="CONST_MWh">Parameters_Constants!$B$30</definedName>
    <definedName name="CONST_NA">Parameters_Constants!$B$18</definedName>
    <definedName name="CONST_Nm3ph">Parameters_Constants!$B$51</definedName>
    <definedName name="CONST_OnlyDirProd">Parameters_Constants!$B$62</definedName>
    <definedName name="CONST_PFCSlopeOrOvervoltage">Parameters_Constants!$B$57:$C$57</definedName>
    <definedName name="CONST_PleaseSelect">Parameters_Constants!$B$64</definedName>
    <definedName name="CONST_PrecursorToGoodInput">Parameters_Constants!$B$19</definedName>
    <definedName name="CONST_ProductionProcess">Parameters_Constants!$B$70</definedName>
    <definedName name="CONST_PurchPrecDefaultUsed">Parameters_Constants!$B$61</definedName>
    <definedName name="CONST_PurchPrecursor">Parameters_Constants!$B$71</definedName>
    <definedName name="CONST_RebateType">Parameters_Constants!$C$46:$G$46</definedName>
    <definedName name="CONST_ReducingAgent">Parameters_Constants!$B$58:$E$58</definedName>
    <definedName name="CONST_t">Parameters_Constants!$B$26</definedName>
    <definedName name="CONST_tC">Parameters_Constants!$B$37</definedName>
    <definedName name="CONST_tCO2">Parameters_Constants!$B$31</definedName>
    <definedName name="CONST_tCO2eq">Parameters_Constants!$B$32</definedName>
    <definedName name="CONST_tCO2pkNm3">Parameters_Constants!$B$35</definedName>
    <definedName name="CONST_tCO2pt">Parameters_Constants!$B$33</definedName>
    <definedName name="CONST_tCO2pTJ">Parameters_Constants!$B$34</definedName>
    <definedName name="CONST_tCO2pTJOrtCO2pt">Parameters_Constants!$B$47:$D$47</definedName>
    <definedName name="CONST_tCpkNm3">Parameters_Constants!$B$39</definedName>
    <definedName name="CONST_tCpt">Parameters_Constants!$B$38</definedName>
    <definedName name="CONST_TJ">Parameters_Constants!$B$24</definedName>
    <definedName name="CONST_tonnes">Parameters_Constants!$B$20</definedName>
    <definedName name="CONST_torkNm3">Parameters_Constants!$B$23:$C$23</definedName>
    <definedName name="CONST_TransitionalOrDefinitive">Parameters_Constants!$B$21:$C$21</definedName>
    <definedName name="CONST_TrueFalse">Parameters_Constants!$B$22:$C$22</definedName>
    <definedName name="CONST_Year">Parameters_Constants!$B$54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 i="33" l="1"/>
  <c r="B2125" i="5"/>
  <c r="O25" i="33" l="1"/>
  <c r="B2124" i="5"/>
  <c r="E187" i="31" s="1"/>
  <c r="B2123" i="5"/>
  <c r="E186" i="31" s="1"/>
  <c r="B2122" i="5"/>
  <c r="E185" i="31" s="1"/>
  <c r="B2121" i="5"/>
  <c r="E184" i="31" s="1"/>
  <c r="B2120" i="5"/>
  <c r="E183" i="31" s="1"/>
  <c r="B2119" i="5"/>
  <c r="E182" i="31" s="1"/>
  <c r="B2118" i="5"/>
  <c r="G37" i="39" s="1"/>
  <c r="E13" i="28" l="1"/>
  <c r="L888" i="29" l="1"/>
  <c r="S873" i="29"/>
  <c r="S872" i="29"/>
  <c r="S871" i="29"/>
  <c r="S870" i="29"/>
  <c r="S869" i="29"/>
  <c r="S868" i="29"/>
  <c r="S867" i="29"/>
  <c r="S866" i="29"/>
  <c r="S865" i="29"/>
  <c r="S864" i="29"/>
  <c r="L844" i="29"/>
  <c r="S829" i="29"/>
  <c r="S828" i="29"/>
  <c r="S827" i="29"/>
  <c r="S826" i="29"/>
  <c r="S825" i="29"/>
  <c r="S824" i="29"/>
  <c r="S823" i="29"/>
  <c r="S822" i="29"/>
  <c r="S821" i="29"/>
  <c r="S820" i="29"/>
  <c r="L800" i="29"/>
  <c r="S785" i="29"/>
  <c r="S784" i="29"/>
  <c r="S783" i="29"/>
  <c r="S782" i="29"/>
  <c r="S781" i="29"/>
  <c r="S780" i="29"/>
  <c r="S779" i="29"/>
  <c r="S778" i="29"/>
  <c r="S777" i="29"/>
  <c r="S776" i="29"/>
  <c r="L756" i="29"/>
  <c r="S741" i="29"/>
  <c r="S740" i="29"/>
  <c r="S739" i="29"/>
  <c r="S738" i="29"/>
  <c r="S737" i="29"/>
  <c r="S736" i="29"/>
  <c r="S735" i="29"/>
  <c r="S734" i="29"/>
  <c r="S733" i="29"/>
  <c r="S732" i="29"/>
  <c r="L712" i="29"/>
  <c r="S697" i="29"/>
  <c r="S696" i="29"/>
  <c r="S695" i="29"/>
  <c r="S694" i="29"/>
  <c r="S693" i="29"/>
  <c r="S692" i="29"/>
  <c r="S691" i="29"/>
  <c r="S690" i="29"/>
  <c r="S689" i="29"/>
  <c r="S688" i="29"/>
  <c r="L668" i="29"/>
  <c r="S653" i="29"/>
  <c r="S652" i="29"/>
  <c r="S651" i="29"/>
  <c r="S650" i="29"/>
  <c r="S649" i="29"/>
  <c r="S648" i="29"/>
  <c r="S647" i="29"/>
  <c r="S646" i="29"/>
  <c r="S645" i="29"/>
  <c r="S644" i="29"/>
  <c r="L624" i="29"/>
  <c r="S609" i="29"/>
  <c r="S608" i="29"/>
  <c r="S607" i="29"/>
  <c r="S606" i="29"/>
  <c r="S605" i="29"/>
  <c r="S604" i="29"/>
  <c r="S603" i="29"/>
  <c r="S602" i="29"/>
  <c r="S601" i="29"/>
  <c r="S600" i="29"/>
  <c r="L580" i="29"/>
  <c r="S565" i="29"/>
  <c r="S564" i="29"/>
  <c r="S563" i="29"/>
  <c r="S562" i="29"/>
  <c r="S561" i="29"/>
  <c r="S560" i="29"/>
  <c r="S559" i="29"/>
  <c r="S558" i="29"/>
  <c r="S557" i="29"/>
  <c r="S556" i="29"/>
  <c r="L536" i="29"/>
  <c r="S521" i="29"/>
  <c r="S520" i="29"/>
  <c r="S519" i="29"/>
  <c r="S518" i="29"/>
  <c r="S517" i="29"/>
  <c r="S516" i="29"/>
  <c r="S515" i="29"/>
  <c r="S514" i="29"/>
  <c r="S513" i="29"/>
  <c r="S512" i="29"/>
  <c r="L492" i="29"/>
  <c r="S477" i="29"/>
  <c r="S476" i="29"/>
  <c r="S475" i="29"/>
  <c r="S474" i="29"/>
  <c r="S473" i="29"/>
  <c r="S472" i="29"/>
  <c r="S471" i="29"/>
  <c r="S470" i="29"/>
  <c r="S469" i="29"/>
  <c r="S468" i="29"/>
  <c r="L448" i="29"/>
  <c r="S433" i="29"/>
  <c r="S432" i="29"/>
  <c r="S431" i="29"/>
  <c r="S430" i="29"/>
  <c r="S429" i="29"/>
  <c r="S428" i="29"/>
  <c r="S427" i="29"/>
  <c r="S426" i="29"/>
  <c r="S425" i="29"/>
  <c r="S424" i="29"/>
  <c r="L404" i="29"/>
  <c r="S389" i="29"/>
  <c r="S388" i="29"/>
  <c r="S387" i="29"/>
  <c r="S386" i="29"/>
  <c r="S385" i="29"/>
  <c r="S384" i="29"/>
  <c r="S383" i="29"/>
  <c r="S382" i="29"/>
  <c r="S381" i="29"/>
  <c r="S380" i="29"/>
  <c r="L360" i="29"/>
  <c r="S345" i="29"/>
  <c r="S344" i="29"/>
  <c r="S343" i="29"/>
  <c r="S342" i="29"/>
  <c r="S341" i="29"/>
  <c r="S340" i="29"/>
  <c r="S339" i="29"/>
  <c r="S338" i="29"/>
  <c r="S337" i="29"/>
  <c r="S336" i="29"/>
  <c r="L316" i="29"/>
  <c r="S301" i="29"/>
  <c r="S300" i="29"/>
  <c r="S299" i="29"/>
  <c r="S298" i="29"/>
  <c r="S297" i="29"/>
  <c r="S296" i="29"/>
  <c r="S295" i="29"/>
  <c r="S294" i="29"/>
  <c r="S293" i="29"/>
  <c r="S292" i="29"/>
  <c r="L272" i="29"/>
  <c r="S257" i="29"/>
  <c r="S256" i="29"/>
  <c r="S255" i="29"/>
  <c r="S254" i="29"/>
  <c r="S253" i="29"/>
  <c r="S252" i="29"/>
  <c r="S251" i="29"/>
  <c r="S250" i="29"/>
  <c r="S249" i="29"/>
  <c r="S248" i="29"/>
  <c r="L228" i="29"/>
  <c r="S213" i="29"/>
  <c r="S212" i="29"/>
  <c r="S211" i="29"/>
  <c r="S210" i="29"/>
  <c r="S209" i="29"/>
  <c r="S208" i="29"/>
  <c r="S207" i="29"/>
  <c r="S206" i="29"/>
  <c r="S205" i="29"/>
  <c r="S204" i="29"/>
  <c r="L184" i="29"/>
  <c r="S169" i="29"/>
  <c r="S168" i="29"/>
  <c r="S167" i="29"/>
  <c r="S166" i="29"/>
  <c r="S165" i="29"/>
  <c r="S164" i="29"/>
  <c r="S163" i="29"/>
  <c r="S162" i="29"/>
  <c r="S161" i="29"/>
  <c r="S160" i="29"/>
  <c r="L140" i="29"/>
  <c r="S125" i="29"/>
  <c r="S124" i="29"/>
  <c r="S123" i="29"/>
  <c r="S122" i="29"/>
  <c r="S121" i="29"/>
  <c r="S120" i="29"/>
  <c r="S119" i="29"/>
  <c r="S118" i="29"/>
  <c r="S117" i="29"/>
  <c r="S116" i="29"/>
  <c r="AL13" i="33" l="1"/>
  <c r="AL12" i="33"/>
  <c r="AL10" i="33"/>
  <c r="B2117" i="5"/>
  <c r="AM13" i="33"/>
  <c r="AM12" i="33"/>
  <c r="B2116" i="5"/>
  <c r="G36" i="39" s="1"/>
  <c r="B2115" i="5"/>
  <c r="M17" i="7" s="1"/>
  <c r="B2114" i="5"/>
  <c r="L16" i="7" s="1"/>
  <c r="B2113" i="5"/>
  <c r="M14" i="7" s="1"/>
  <c r="B2112" i="5"/>
  <c r="L13" i="7" s="1"/>
  <c r="B2111" i="5"/>
  <c r="C517" i="32" s="1"/>
  <c r="B2110" i="5"/>
  <c r="C516" i="32" s="1"/>
  <c r="B2109" i="5"/>
  <c r="C515" i="32" s="1"/>
  <c r="B2108" i="5"/>
  <c r="C514" i="32" s="1"/>
  <c r="D572" i="32"/>
  <c r="D5" i="32"/>
  <c r="D6" i="32"/>
  <c r="D7" i="32"/>
  <c r="D8" i="32"/>
  <c r="D9" i="32"/>
  <c r="D10" i="32"/>
  <c r="D11" i="32"/>
  <c r="D12" i="32"/>
  <c r="D13" i="32"/>
  <c r="D14" i="32"/>
  <c r="D15" i="32"/>
  <c r="D16" i="32"/>
  <c r="D17" i="32"/>
  <c r="D18" i="32"/>
  <c r="D19" i="32"/>
  <c r="D20" i="32"/>
  <c r="D21" i="32"/>
  <c r="D22" i="32"/>
  <c r="D23" i="32"/>
  <c r="D24" i="32"/>
  <c r="D25" i="32"/>
  <c r="D26" i="32"/>
  <c r="D27" i="32"/>
  <c r="D28" i="32"/>
  <c r="D29" i="32"/>
  <c r="D30" i="32"/>
  <c r="D31" i="32"/>
  <c r="D32" i="32"/>
  <c r="D33" i="32"/>
  <c r="D34" i="32"/>
  <c r="D35" i="32"/>
  <c r="D36" i="32"/>
  <c r="D37" i="32"/>
  <c r="D38" i="32"/>
  <c r="D39" i="32"/>
  <c r="D40" i="32"/>
  <c r="D41" i="32"/>
  <c r="D42" i="32"/>
  <c r="D43" i="32"/>
  <c r="D44" i="32"/>
  <c r="D45" i="32"/>
  <c r="D46" i="32"/>
  <c r="D47" i="32"/>
  <c r="D48" i="32"/>
  <c r="D49" i="32"/>
  <c r="D50" i="32"/>
  <c r="D51" i="32"/>
  <c r="D52" i="32"/>
  <c r="D53" i="32"/>
  <c r="D54" i="32"/>
  <c r="D55" i="32"/>
  <c r="D56" i="32"/>
  <c r="D57" i="32"/>
  <c r="D58" i="32"/>
  <c r="D59" i="32"/>
  <c r="D60" i="32"/>
  <c r="D61" i="32"/>
  <c r="D62" i="32"/>
  <c r="D63" i="32"/>
  <c r="D64" i="32"/>
  <c r="D65" i="32"/>
  <c r="D66" i="32"/>
  <c r="D67" i="32"/>
  <c r="D68" i="32"/>
  <c r="D69" i="32"/>
  <c r="D70" i="32"/>
  <c r="D71" i="32"/>
  <c r="D72" i="32"/>
  <c r="D73" i="32"/>
  <c r="D74" i="32"/>
  <c r="D75" i="32"/>
  <c r="D76" i="32"/>
  <c r="D77" i="32"/>
  <c r="D78" i="32"/>
  <c r="D79" i="32"/>
  <c r="D80" i="32"/>
  <c r="D81" i="32"/>
  <c r="D82" i="32"/>
  <c r="D83" i="32"/>
  <c r="D84" i="32"/>
  <c r="D85" i="32"/>
  <c r="D86" i="32"/>
  <c r="D87" i="32"/>
  <c r="D88" i="32"/>
  <c r="D89" i="32"/>
  <c r="D90" i="32"/>
  <c r="D91" i="32"/>
  <c r="D92" i="32"/>
  <c r="D93" i="32"/>
  <c r="D94" i="32"/>
  <c r="D95" i="32"/>
  <c r="D96" i="32"/>
  <c r="D97" i="32"/>
  <c r="D98" i="32"/>
  <c r="D99" i="32"/>
  <c r="D100" i="32"/>
  <c r="D101" i="32"/>
  <c r="D102" i="32"/>
  <c r="D103" i="32"/>
  <c r="D104" i="32"/>
  <c r="D105" i="32"/>
  <c r="D106" i="32"/>
  <c r="D107" i="32"/>
  <c r="D108" i="32"/>
  <c r="D109" i="32"/>
  <c r="D110" i="32"/>
  <c r="D111" i="32"/>
  <c r="D112" i="32"/>
  <c r="D113" i="32"/>
  <c r="D114" i="32"/>
  <c r="D115" i="32"/>
  <c r="D116" i="32"/>
  <c r="D117" i="32"/>
  <c r="D118" i="32"/>
  <c r="D119" i="32"/>
  <c r="D120" i="32"/>
  <c r="D121" i="32"/>
  <c r="D122" i="32"/>
  <c r="D123" i="32"/>
  <c r="D124" i="32"/>
  <c r="D125" i="32"/>
  <c r="D126" i="32"/>
  <c r="D127" i="32"/>
  <c r="D128" i="32"/>
  <c r="D129" i="32"/>
  <c r="D130" i="32"/>
  <c r="D131" i="32"/>
  <c r="D132" i="32"/>
  <c r="D133" i="32"/>
  <c r="D134" i="32"/>
  <c r="D135" i="32"/>
  <c r="D136" i="32"/>
  <c r="D137" i="32"/>
  <c r="D138" i="32"/>
  <c r="D139" i="32"/>
  <c r="D140" i="32"/>
  <c r="D141" i="32"/>
  <c r="D142" i="32"/>
  <c r="D143" i="32"/>
  <c r="D144" i="32"/>
  <c r="D145" i="32"/>
  <c r="D146" i="32"/>
  <c r="D147" i="32"/>
  <c r="D148" i="32"/>
  <c r="D149" i="32"/>
  <c r="D150" i="32"/>
  <c r="D151" i="32"/>
  <c r="D152" i="32"/>
  <c r="D153" i="32"/>
  <c r="D154" i="32"/>
  <c r="D155" i="32"/>
  <c r="D156" i="32"/>
  <c r="D157" i="32"/>
  <c r="D158" i="32"/>
  <c r="D159" i="32"/>
  <c r="D160" i="32"/>
  <c r="D161" i="32"/>
  <c r="D162" i="32"/>
  <c r="D163" i="32"/>
  <c r="D164" i="32"/>
  <c r="D165" i="32"/>
  <c r="D166" i="32"/>
  <c r="D167" i="32"/>
  <c r="D168" i="32"/>
  <c r="D169" i="32"/>
  <c r="D170" i="32"/>
  <c r="D171" i="32"/>
  <c r="D172" i="32"/>
  <c r="D173" i="32"/>
  <c r="D174" i="32"/>
  <c r="D175" i="32"/>
  <c r="D176" i="32"/>
  <c r="D177" i="32"/>
  <c r="D178" i="32"/>
  <c r="D179" i="32"/>
  <c r="D180" i="32"/>
  <c r="D181" i="32"/>
  <c r="D182" i="32"/>
  <c r="D183" i="32"/>
  <c r="D184" i="32"/>
  <c r="D185" i="32"/>
  <c r="D186" i="32"/>
  <c r="D187" i="32"/>
  <c r="D188" i="32"/>
  <c r="D189" i="32"/>
  <c r="D190" i="32"/>
  <c r="D191" i="32"/>
  <c r="D192" i="32"/>
  <c r="D193" i="32"/>
  <c r="D194" i="32"/>
  <c r="D195" i="32"/>
  <c r="D196" i="32"/>
  <c r="D197" i="32"/>
  <c r="D198" i="32"/>
  <c r="D199" i="32"/>
  <c r="D200" i="32"/>
  <c r="D201" i="32"/>
  <c r="D202" i="32"/>
  <c r="D203" i="32"/>
  <c r="D204" i="32"/>
  <c r="D205" i="32"/>
  <c r="D206" i="32"/>
  <c r="D207" i="32"/>
  <c r="D208" i="32"/>
  <c r="D209" i="32"/>
  <c r="D210" i="32"/>
  <c r="D211" i="32"/>
  <c r="D212" i="32"/>
  <c r="D213" i="32"/>
  <c r="D214" i="32"/>
  <c r="D215" i="32"/>
  <c r="D216" i="32"/>
  <c r="D217" i="32"/>
  <c r="D218" i="32"/>
  <c r="D219" i="32"/>
  <c r="D220" i="32"/>
  <c r="D221" i="32"/>
  <c r="D222" i="32"/>
  <c r="D223" i="32"/>
  <c r="D224" i="32"/>
  <c r="D225" i="32"/>
  <c r="D226" i="32"/>
  <c r="D227" i="32"/>
  <c r="D228" i="32"/>
  <c r="D229" i="32"/>
  <c r="D230" i="32"/>
  <c r="D231" i="32"/>
  <c r="D232" i="32"/>
  <c r="D233" i="32"/>
  <c r="D234" i="32"/>
  <c r="D235" i="32"/>
  <c r="D236" i="32"/>
  <c r="D237" i="32"/>
  <c r="D238" i="32"/>
  <c r="D239" i="32"/>
  <c r="D240" i="32"/>
  <c r="D241" i="32"/>
  <c r="D242" i="32"/>
  <c r="D243" i="32"/>
  <c r="D244" i="32"/>
  <c r="D245" i="32"/>
  <c r="D246" i="32"/>
  <c r="D247" i="32"/>
  <c r="D248" i="32"/>
  <c r="D249" i="32"/>
  <c r="D250" i="32"/>
  <c r="D251" i="32"/>
  <c r="D252" i="32"/>
  <c r="D253" i="32"/>
  <c r="D254" i="32"/>
  <c r="D255" i="32"/>
  <c r="D256" i="32"/>
  <c r="D257" i="32"/>
  <c r="D258" i="32"/>
  <c r="D259" i="32"/>
  <c r="D260" i="32"/>
  <c r="D261" i="32"/>
  <c r="D262" i="32"/>
  <c r="D263" i="32"/>
  <c r="D264" i="32"/>
  <c r="D265" i="32"/>
  <c r="D266" i="32"/>
  <c r="D267" i="32"/>
  <c r="D268" i="32"/>
  <c r="D269" i="32"/>
  <c r="D270" i="32"/>
  <c r="D271" i="32"/>
  <c r="D272" i="32"/>
  <c r="D273" i="32"/>
  <c r="D274" i="32"/>
  <c r="D275" i="32"/>
  <c r="D276" i="32"/>
  <c r="D277" i="32"/>
  <c r="D278" i="32"/>
  <c r="D279" i="32"/>
  <c r="D280" i="32"/>
  <c r="D281" i="32"/>
  <c r="D282" i="32"/>
  <c r="D283" i="32"/>
  <c r="D284" i="32"/>
  <c r="D285" i="32"/>
  <c r="D286" i="32"/>
  <c r="D287" i="32"/>
  <c r="D288" i="32"/>
  <c r="D289" i="32"/>
  <c r="D290" i="32"/>
  <c r="D291" i="32"/>
  <c r="D292" i="32"/>
  <c r="D293" i="32"/>
  <c r="D294" i="32"/>
  <c r="D295" i="32"/>
  <c r="D296" i="32"/>
  <c r="D297" i="32"/>
  <c r="D298" i="32"/>
  <c r="D299" i="32"/>
  <c r="D300" i="32"/>
  <c r="D301" i="32"/>
  <c r="D302" i="32"/>
  <c r="D303" i="32"/>
  <c r="D304" i="32"/>
  <c r="D305" i="32"/>
  <c r="D306" i="32"/>
  <c r="D307" i="32"/>
  <c r="D308" i="32"/>
  <c r="D309" i="32"/>
  <c r="D310" i="32"/>
  <c r="D311" i="32"/>
  <c r="D312" i="32"/>
  <c r="D313" i="32"/>
  <c r="D314" i="32"/>
  <c r="D315" i="32"/>
  <c r="D316" i="32"/>
  <c r="D317" i="32"/>
  <c r="D318" i="32"/>
  <c r="D319" i="32"/>
  <c r="D320" i="32"/>
  <c r="D321" i="32"/>
  <c r="D322" i="32"/>
  <c r="D323" i="32"/>
  <c r="D324" i="32"/>
  <c r="D325" i="32"/>
  <c r="D326" i="32"/>
  <c r="D327" i="32"/>
  <c r="D328" i="32"/>
  <c r="D329" i="32"/>
  <c r="D330" i="32"/>
  <c r="D331" i="32"/>
  <c r="D332" i="32"/>
  <c r="D333" i="32"/>
  <c r="D334" i="32"/>
  <c r="D335" i="32"/>
  <c r="D336" i="32"/>
  <c r="D337" i="32"/>
  <c r="D338" i="32"/>
  <c r="D339" i="32"/>
  <c r="D340" i="32"/>
  <c r="D341" i="32"/>
  <c r="D342" i="32"/>
  <c r="D343" i="32"/>
  <c r="D344" i="32"/>
  <c r="D345" i="32"/>
  <c r="D346" i="32"/>
  <c r="D347" i="32"/>
  <c r="D348" i="32"/>
  <c r="D349" i="32"/>
  <c r="D350" i="32"/>
  <c r="D351" i="32"/>
  <c r="D352" i="32"/>
  <c r="D353" i="32"/>
  <c r="D354" i="32"/>
  <c r="D355" i="32"/>
  <c r="D356" i="32"/>
  <c r="D357" i="32"/>
  <c r="D358" i="32"/>
  <c r="D359" i="32"/>
  <c r="D360" i="32"/>
  <c r="D361" i="32"/>
  <c r="D362" i="32"/>
  <c r="D363" i="32"/>
  <c r="D364" i="32"/>
  <c r="D365" i="32"/>
  <c r="D366" i="32"/>
  <c r="D367" i="32"/>
  <c r="D368" i="32"/>
  <c r="D369" i="32"/>
  <c r="D370" i="32"/>
  <c r="D371" i="32"/>
  <c r="D372" i="32"/>
  <c r="D373" i="32"/>
  <c r="D374" i="32"/>
  <c r="D375" i="32"/>
  <c r="D376" i="32"/>
  <c r="D377" i="32"/>
  <c r="D378" i="32"/>
  <c r="D379" i="32"/>
  <c r="D380" i="32"/>
  <c r="D381" i="32"/>
  <c r="D382" i="32"/>
  <c r="D383" i="32"/>
  <c r="D384" i="32"/>
  <c r="D385" i="32"/>
  <c r="D386" i="32"/>
  <c r="D387" i="32"/>
  <c r="D388" i="32"/>
  <c r="D389" i="32"/>
  <c r="D390" i="32"/>
  <c r="D391" i="32"/>
  <c r="D392" i="32"/>
  <c r="D393" i="32"/>
  <c r="D394" i="32"/>
  <c r="D395" i="32"/>
  <c r="D396" i="32"/>
  <c r="D397" i="32"/>
  <c r="D398" i="32"/>
  <c r="D399" i="32"/>
  <c r="D400" i="32"/>
  <c r="D401" i="32"/>
  <c r="D402" i="32"/>
  <c r="D403" i="32"/>
  <c r="D404" i="32"/>
  <c r="D405" i="32"/>
  <c r="D406" i="32"/>
  <c r="D407" i="32"/>
  <c r="D408" i="32"/>
  <c r="D409" i="32"/>
  <c r="D410" i="32"/>
  <c r="D411" i="32"/>
  <c r="D412" i="32"/>
  <c r="D413" i="32"/>
  <c r="D414" i="32"/>
  <c r="D415" i="32"/>
  <c r="D416" i="32"/>
  <c r="D417" i="32"/>
  <c r="D418" i="32"/>
  <c r="D419" i="32"/>
  <c r="D420" i="32"/>
  <c r="D421" i="32"/>
  <c r="D422" i="32"/>
  <c r="D423" i="32"/>
  <c r="D424" i="32"/>
  <c r="D425" i="32"/>
  <c r="D426" i="32"/>
  <c r="D427" i="32"/>
  <c r="D428" i="32"/>
  <c r="D429" i="32"/>
  <c r="D430" i="32"/>
  <c r="D431" i="32"/>
  <c r="D432" i="32"/>
  <c r="D433" i="32"/>
  <c r="D434" i="32"/>
  <c r="D435" i="32"/>
  <c r="D436" i="32"/>
  <c r="D437" i="32"/>
  <c r="D438" i="32"/>
  <c r="D439" i="32"/>
  <c r="D440" i="32"/>
  <c r="D441" i="32"/>
  <c r="D442" i="32"/>
  <c r="D443" i="32"/>
  <c r="D444" i="32"/>
  <c r="D445" i="32"/>
  <c r="D446" i="32"/>
  <c r="D447" i="32"/>
  <c r="D448" i="32"/>
  <c r="D449" i="32"/>
  <c r="D450" i="32"/>
  <c r="D451" i="32"/>
  <c r="D452" i="32"/>
  <c r="D453" i="32"/>
  <c r="D454" i="32"/>
  <c r="D455" i="32"/>
  <c r="D456" i="32"/>
  <c r="D457" i="32"/>
  <c r="D458" i="32"/>
  <c r="D459" i="32"/>
  <c r="D460" i="32"/>
  <c r="D461" i="32"/>
  <c r="D462" i="32"/>
  <c r="D463" i="32"/>
  <c r="D464" i="32"/>
  <c r="D465" i="32"/>
  <c r="D466" i="32"/>
  <c r="D467" i="32"/>
  <c r="D468" i="32"/>
  <c r="D469" i="32"/>
  <c r="D470" i="32"/>
  <c r="D471" i="32"/>
  <c r="D472" i="32"/>
  <c r="D473" i="32"/>
  <c r="D474" i="32"/>
  <c r="D475" i="32"/>
  <c r="D476" i="32"/>
  <c r="D477" i="32"/>
  <c r="D478" i="32"/>
  <c r="D479" i="32"/>
  <c r="D480" i="32"/>
  <c r="D481" i="32"/>
  <c r="D482" i="32"/>
  <c r="D483" i="32"/>
  <c r="D484" i="32"/>
  <c r="D485" i="32"/>
  <c r="D486" i="32"/>
  <c r="D487" i="32"/>
  <c r="D488" i="32"/>
  <c r="D489" i="32"/>
  <c r="D490" i="32"/>
  <c r="D491" i="32"/>
  <c r="D492" i="32"/>
  <c r="D493" i="32"/>
  <c r="D494" i="32"/>
  <c r="D495" i="32"/>
  <c r="D496" i="32"/>
  <c r="D497" i="32"/>
  <c r="D498" i="32"/>
  <c r="D499" i="32"/>
  <c r="D500" i="32"/>
  <c r="D501" i="32"/>
  <c r="D502" i="32"/>
  <c r="D503" i="32"/>
  <c r="D504" i="32"/>
  <c r="D505" i="32"/>
  <c r="D506" i="32"/>
  <c r="D507" i="32"/>
  <c r="D508" i="32"/>
  <c r="D509" i="32"/>
  <c r="D510" i="32"/>
  <c r="D511" i="32"/>
  <c r="D512" i="32"/>
  <c r="D513" i="32"/>
  <c r="D514" i="32"/>
  <c r="D515" i="32"/>
  <c r="D516" i="32"/>
  <c r="D517" i="32"/>
  <c r="D518" i="32"/>
  <c r="D519" i="32"/>
  <c r="D520" i="32"/>
  <c r="D521" i="32"/>
  <c r="D522" i="32"/>
  <c r="D523" i="32"/>
  <c r="D524" i="32"/>
  <c r="D525" i="32"/>
  <c r="D526" i="32"/>
  <c r="D527" i="32"/>
  <c r="D528" i="32"/>
  <c r="D529" i="32"/>
  <c r="D530" i="32"/>
  <c r="D531" i="32"/>
  <c r="D532" i="32"/>
  <c r="D533" i="32"/>
  <c r="D534" i="32"/>
  <c r="D535" i="32"/>
  <c r="D536" i="32"/>
  <c r="D537" i="32"/>
  <c r="D538" i="32"/>
  <c r="D539" i="32"/>
  <c r="D540" i="32"/>
  <c r="D541" i="32"/>
  <c r="D542" i="32"/>
  <c r="D543" i="32"/>
  <c r="D544" i="32"/>
  <c r="D545" i="32"/>
  <c r="D546" i="32"/>
  <c r="D547" i="32"/>
  <c r="D548" i="32"/>
  <c r="D549" i="32"/>
  <c r="D550" i="32"/>
  <c r="D551" i="32"/>
  <c r="D552" i="32"/>
  <c r="D553" i="32"/>
  <c r="D554" i="32"/>
  <c r="D555" i="32"/>
  <c r="D556" i="32"/>
  <c r="D557" i="32"/>
  <c r="D558" i="32"/>
  <c r="D559" i="32"/>
  <c r="D560" i="32"/>
  <c r="D561" i="32"/>
  <c r="D562" i="32"/>
  <c r="D563" i="32"/>
  <c r="D564" i="32"/>
  <c r="D565" i="32"/>
  <c r="D566" i="32"/>
  <c r="D567" i="32"/>
  <c r="D568" i="32"/>
  <c r="D569" i="32"/>
  <c r="D570" i="32"/>
  <c r="D571" i="32"/>
  <c r="D4" i="32"/>
  <c r="G45" i="3" l="1"/>
  <c r="B2107" i="5"/>
  <c r="E45" i="3" s="1"/>
  <c r="B2106" i="5"/>
  <c r="D45" i="3" s="1"/>
  <c r="B2105" i="5"/>
  <c r="D15" i="33"/>
  <c r="G13" i="7"/>
  <c r="G15" i="33" s="1"/>
  <c r="B2104" i="5" l="1"/>
  <c r="G35" i="39" s="1"/>
  <c r="B2103" i="5"/>
  <c r="B2102" i="5"/>
  <c r="B2101" i="5"/>
  <c r="B2100" i="5"/>
  <c r="B2099" i="5"/>
  <c r="B2098" i="5"/>
  <c r="E3" i="32" s="1"/>
  <c r="B2097" i="5"/>
  <c r="B2096" i="5"/>
  <c r="B2095" i="5"/>
  <c r="B2094" i="5"/>
  <c r="B2093" i="5"/>
  <c r="B2092" i="5"/>
  <c r="B2091" i="5"/>
  <c r="B1" i="3" s="1"/>
  <c r="B2090" i="5"/>
  <c r="B2089" i="5"/>
  <c r="B2088" i="5"/>
  <c r="B2087" i="5"/>
  <c r="B2086" i="5"/>
  <c r="B2085" i="5"/>
  <c r="B2084" i="5"/>
  <c r="B2083" i="5"/>
  <c r="B2082" i="5"/>
  <c r="B2081" i="5"/>
  <c r="B2080" i="5"/>
  <c r="B2079" i="5"/>
  <c r="B2078" i="5"/>
  <c r="B2077" i="5"/>
  <c r="B2076" i="5"/>
  <c r="B2075" i="5"/>
  <c r="B2074" i="5"/>
  <c r="B2073" i="5"/>
  <c r="B2072" i="5"/>
  <c r="B2071" i="5"/>
  <c r="B2070" i="5"/>
  <c r="B2069" i="5"/>
  <c r="B2068" i="5"/>
  <c r="B2067" i="5"/>
  <c r="B2066" i="5"/>
  <c r="B2065" i="5"/>
  <c r="B2064" i="5"/>
  <c r="B2063" i="5"/>
  <c r="B2062" i="5"/>
  <c r="B2061" i="5"/>
  <c r="B2060" i="5"/>
  <c r="B2059" i="5"/>
  <c r="B2058" i="5"/>
  <c r="B2057" i="5"/>
  <c r="B2056" i="5"/>
  <c r="B2055" i="5"/>
  <c r="B2054" i="5"/>
  <c r="B2053" i="5"/>
  <c r="B2052" i="5"/>
  <c r="B2051" i="5"/>
  <c r="B2050" i="5"/>
  <c r="B2049" i="5"/>
  <c r="B2048" i="5"/>
  <c r="B2047" i="5"/>
  <c r="B2046" i="5"/>
  <c r="B2045" i="5"/>
  <c r="B2044" i="5"/>
  <c r="B2043" i="5"/>
  <c r="B2042" i="5"/>
  <c r="B2041" i="5"/>
  <c r="B2040" i="5"/>
  <c r="B2039" i="5"/>
  <c r="B2038" i="5"/>
  <c r="B2037" i="5"/>
  <c r="B2036" i="5"/>
  <c r="B2035" i="5"/>
  <c r="B2034" i="5"/>
  <c r="B2033" i="5"/>
  <c r="B2032" i="5"/>
  <c r="B2031" i="5"/>
  <c r="B2030" i="5"/>
  <c r="B2029" i="5"/>
  <c r="B2028" i="5"/>
  <c r="B2027" i="5"/>
  <c r="B2026" i="5"/>
  <c r="B2025" i="5"/>
  <c r="B2024" i="5"/>
  <c r="B2023" i="5"/>
  <c r="B2022" i="5"/>
  <c r="B2021" i="5"/>
  <c r="B2020" i="5"/>
  <c r="B2019" i="5"/>
  <c r="B2018" i="5"/>
  <c r="B2017" i="5"/>
  <c r="B2016" i="5"/>
  <c r="B2015" i="5"/>
  <c r="B2014" i="5"/>
  <c r="B2013" i="5"/>
  <c r="B2012" i="5"/>
  <c r="B2011" i="5"/>
  <c r="B2010" i="5"/>
  <c r="B2009" i="5"/>
  <c r="B2008" i="5"/>
  <c r="B2007" i="5"/>
  <c r="B2006" i="5"/>
  <c r="B2005" i="5"/>
  <c r="B2004" i="5"/>
  <c r="B2003" i="5"/>
  <c r="B2002" i="5"/>
  <c r="B2001" i="5"/>
  <c r="B2000" i="5"/>
  <c r="B1999" i="5"/>
  <c r="B1998" i="5"/>
  <c r="B1997" i="5"/>
  <c r="B1996" i="5"/>
  <c r="B1995" i="5"/>
  <c r="B1994" i="5"/>
  <c r="B1993" i="5"/>
  <c r="B1992" i="5"/>
  <c r="B1991" i="5"/>
  <c r="B1990" i="5"/>
  <c r="B1989" i="5"/>
  <c r="B1988" i="5"/>
  <c r="B1987" i="5"/>
  <c r="B1986" i="5"/>
  <c r="B1985" i="5"/>
  <c r="B1984" i="5"/>
  <c r="B1983" i="5"/>
  <c r="B1982" i="5"/>
  <c r="B1981" i="5"/>
  <c r="B1980" i="5"/>
  <c r="B1979" i="5"/>
  <c r="B1978" i="5"/>
  <c r="B1977" i="5"/>
  <c r="B1976" i="5"/>
  <c r="B1975" i="5"/>
  <c r="B1974" i="5"/>
  <c r="B1973" i="5"/>
  <c r="B1972" i="5"/>
  <c r="B1971" i="5"/>
  <c r="B1970" i="5"/>
  <c r="B1969" i="5"/>
  <c r="B1968" i="5"/>
  <c r="B1967" i="5"/>
  <c r="B1966" i="5"/>
  <c r="B1965" i="5"/>
  <c r="B1964" i="5"/>
  <c r="B1963" i="5"/>
  <c r="B1962" i="5"/>
  <c r="B1961" i="5"/>
  <c r="B1960" i="5"/>
  <c r="B1959" i="5"/>
  <c r="B1958" i="5"/>
  <c r="B1957" i="5"/>
  <c r="B1956" i="5"/>
  <c r="B1955" i="5"/>
  <c r="B1954" i="5"/>
  <c r="B1953" i="5"/>
  <c r="B1952" i="5"/>
  <c r="B1951" i="5"/>
  <c r="B1950" i="5"/>
  <c r="B1949" i="5"/>
  <c r="B1948" i="5"/>
  <c r="B1947" i="5"/>
  <c r="B1946" i="5"/>
  <c r="B1945" i="5"/>
  <c r="B1944" i="5"/>
  <c r="B1943" i="5"/>
  <c r="B1942" i="5"/>
  <c r="B1941" i="5"/>
  <c r="B1940" i="5"/>
  <c r="B1939" i="5"/>
  <c r="B1938" i="5"/>
  <c r="B1937" i="5"/>
  <c r="B1936" i="5"/>
  <c r="B1935" i="5"/>
  <c r="B1934" i="5"/>
  <c r="B1933" i="5"/>
  <c r="B1932" i="5"/>
  <c r="B1931" i="5"/>
  <c r="B1930" i="5"/>
  <c r="B1929" i="5"/>
  <c r="B1928" i="5"/>
  <c r="B1927" i="5"/>
  <c r="B1926" i="5"/>
  <c r="B1925" i="5"/>
  <c r="B1924" i="5"/>
  <c r="B1923" i="5"/>
  <c r="B1922" i="5"/>
  <c r="B1921" i="5"/>
  <c r="B1920" i="5"/>
  <c r="B1919" i="5"/>
  <c r="B1918" i="5"/>
  <c r="B1917" i="5"/>
  <c r="B1916" i="5"/>
  <c r="B1915" i="5"/>
  <c r="B1914" i="5"/>
  <c r="B1913" i="5"/>
  <c r="B1912" i="5"/>
  <c r="B1911" i="5"/>
  <c r="B1910" i="5"/>
  <c r="B1909" i="5"/>
  <c r="B1908" i="5"/>
  <c r="B1907" i="5"/>
  <c r="B1906" i="5"/>
  <c r="B1905" i="5"/>
  <c r="B1904" i="5"/>
  <c r="B1903" i="5"/>
  <c r="B1902" i="5"/>
  <c r="B1901" i="5"/>
  <c r="B1900" i="5"/>
  <c r="B1899" i="5"/>
  <c r="B1898" i="5"/>
  <c r="B1897" i="5"/>
  <c r="B1896" i="5"/>
  <c r="B1895" i="5"/>
  <c r="B1894" i="5"/>
  <c r="B1893" i="5"/>
  <c r="B1892" i="5"/>
  <c r="B1891" i="5"/>
  <c r="B1890" i="5"/>
  <c r="B1889" i="5"/>
  <c r="B1886" i="5"/>
  <c r="B1885" i="5"/>
  <c r="B1884" i="5"/>
  <c r="B1883" i="5"/>
  <c r="B1882" i="5"/>
  <c r="B1881" i="5"/>
  <c r="B1880" i="5"/>
  <c r="B1879" i="5"/>
  <c r="B1878" i="5"/>
  <c r="B1877" i="5"/>
  <c r="B1876" i="5"/>
  <c r="B1875" i="5"/>
  <c r="B1874" i="5"/>
  <c r="B1873" i="5"/>
  <c r="B1872" i="5"/>
  <c r="B1871" i="5"/>
  <c r="B1870" i="5"/>
  <c r="B1869" i="5"/>
  <c r="B1868" i="5"/>
  <c r="B1867" i="5"/>
  <c r="B1866" i="5"/>
  <c r="B1865" i="5"/>
  <c r="B1864" i="5"/>
  <c r="B1863" i="5"/>
  <c r="B1862" i="5"/>
  <c r="B1861" i="5"/>
  <c r="B1860" i="5"/>
  <c r="B1859" i="5"/>
  <c r="B1858" i="5"/>
  <c r="B1857" i="5"/>
  <c r="B1856" i="5"/>
  <c r="B1855" i="5"/>
  <c r="B1854" i="5"/>
  <c r="B1853" i="5"/>
  <c r="B1852" i="5"/>
  <c r="B1851" i="5"/>
  <c r="B1850" i="5"/>
  <c r="B1849" i="5"/>
  <c r="B1848" i="5"/>
  <c r="B1847" i="5"/>
  <c r="B1846" i="5"/>
  <c r="B1845" i="5"/>
  <c r="B1844" i="5"/>
  <c r="B1843" i="5"/>
  <c r="B1842" i="5"/>
  <c r="B1841" i="5"/>
  <c r="B1840" i="5"/>
  <c r="B1839" i="5"/>
  <c r="B1838" i="5"/>
  <c r="B1837" i="5"/>
  <c r="B1836" i="5"/>
  <c r="B1835" i="5"/>
  <c r="B1834" i="5"/>
  <c r="B1833" i="5"/>
  <c r="B1832" i="5"/>
  <c r="B1831" i="5"/>
  <c r="B1830" i="5"/>
  <c r="B1829" i="5"/>
  <c r="B1828" i="5"/>
  <c r="B1827" i="5"/>
  <c r="B1826" i="5"/>
  <c r="B1825" i="5"/>
  <c r="B1824" i="5"/>
  <c r="B1823" i="5"/>
  <c r="B1822" i="5"/>
  <c r="B1821" i="5"/>
  <c r="B1820" i="5"/>
  <c r="B1819" i="5"/>
  <c r="B1818" i="5"/>
  <c r="B1817" i="5"/>
  <c r="B1816" i="5"/>
  <c r="B1815" i="5"/>
  <c r="B1814" i="5"/>
  <c r="B1813" i="5"/>
  <c r="B1812" i="5"/>
  <c r="B1811" i="5"/>
  <c r="B1810" i="5"/>
  <c r="B1809" i="5"/>
  <c r="B1808" i="5"/>
  <c r="B1807" i="5"/>
  <c r="B1806" i="5"/>
  <c r="B1805" i="5"/>
  <c r="B1804" i="5"/>
  <c r="B1803" i="5"/>
  <c r="B1802" i="5"/>
  <c r="B1801" i="5"/>
  <c r="B1800" i="5"/>
  <c r="B1799" i="5"/>
  <c r="B1798" i="5"/>
  <c r="B1797" i="5"/>
  <c r="B1796" i="5"/>
  <c r="B1795" i="5"/>
  <c r="B1794" i="5"/>
  <c r="B1793" i="5"/>
  <c r="B1792" i="5"/>
  <c r="B1791" i="5"/>
  <c r="B1790" i="5"/>
  <c r="B1789" i="5"/>
  <c r="B1788" i="5"/>
  <c r="B1787" i="5"/>
  <c r="B1786" i="5"/>
  <c r="B1785" i="5"/>
  <c r="B1784" i="5"/>
  <c r="B1783" i="5"/>
  <c r="B1782" i="5"/>
  <c r="B1781" i="5"/>
  <c r="B1780" i="5"/>
  <c r="B1779" i="5"/>
  <c r="B1778" i="5"/>
  <c r="B1777" i="5"/>
  <c r="B1776" i="5"/>
  <c r="B1775" i="5"/>
  <c r="B1774" i="5"/>
  <c r="B1773" i="5"/>
  <c r="B1772" i="5"/>
  <c r="B1771" i="5"/>
  <c r="B1770" i="5"/>
  <c r="B1769" i="5"/>
  <c r="B1768" i="5"/>
  <c r="B1767" i="5"/>
  <c r="B1766" i="5"/>
  <c r="B1765" i="5"/>
  <c r="B1764" i="5"/>
  <c r="B1763" i="5"/>
  <c r="B1762" i="5"/>
  <c r="B1761" i="5"/>
  <c r="B1760" i="5"/>
  <c r="B1759" i="5"/>
  <c r="B1758" i="5"/>
  <c r="B1757" i="5"/>
  <c r="B1756" i="5"/>
  <c r="B1755" i="5"/>
  <c r="B1754" i="5"/>
  <c r="B1753" i="5"/>
  <c r="B1752" i="5"/>
  <c r="B1751" i="5"/>
  <c r="B1750" i="5"/>
  <c r="B1749" i="5"/>
  <c r="B1748" i="5"/>
  <c r="B1747" i="5"/>
  <c r="B1746" i="5"/>
  <c r="B1745" i="5"/>
  <c r="B1744" i="5"/>
  <c r="B1743" i="5"/>
  <c r="B1742" i="5"/>
  <c r="B1741" i="5"/>
  <c r="B1740" i="5"/>
  <c r="B1739" i="5"/>
  <c r="B1738" i="5"/>
  <c r="B1737" i="5"/>
  <c r="B1736" i="5"/>
  <c r="B1735" i="5"/>
  <c r="B1734" i="5"/>
  <c r="B1733" i="5"/>
  <c r="B1732" i="5"/>
  <c r="B1731" i="5"/>
  <c r="B1730" i="5"/>
  <c r="B1729" i="5"/>
  <c r="B1728" i="5"/>
  <c r="B1727" i="5"/>
  <c r="B1726" i="5"/>
  <c r="B1725" i="5"/>
  <c r="B1724" i="5"/>
  <c r="B1723" i="5"/>
  <c r="B1722" i="5"/>
  <c r="B1721" i="5"/>
  <c r="B1720" i="5"/>
  <c r="B1719" i="5"/>
  <c r="B1718" i="5"/>
  <c r="B1717" i="5"/>
  <c r="B1716" i="5"/>
  <c r="B1715" i="5"/>
  <c r="B1714" i="5"/>
  <c r="B1713" i="5"/>
  <c r="B1712" i="5"/>
  <c r="B1711" i="5"/>
  <c r="B1710" i="5"/>
  <c r="B1709" i="5"/>
  <c r="B1708" i="5"/>
  <c r="B1707" i="5"/>
  <c r="B1706" i="5"/>
  <c r="B1705" i="5"/>
  <c r="B1704" i="5"/>
  <c r="B1703" i="5"/>
  <c r="B1702" i="5"/>
  <c r="B1701" i="5"/>
  <c r="B1700" i="5"/>
  <c r="B1699" i="5"/>
  <c r="B1698" i="5"/>
  <c r="B1697" i="5"/>
  <c r="B1696" i="5"/>
  <c r="B1695" i="5"/>
  <c r="B1694" i="5"/>
  <c r="B1693" i="5"/>
  <c r="B1692" i="5"/>
  <c r="B1691" i="5"/>
  <c r="B1690" i="5"/>
  <c r="B1689" i="5"/>
  <c r="B1688" i="5"/>
  <c r="B1687" i="5"/>
  <c r="B1686" i="5"/>
  <c r="B1685" i="5"/>
  <c r="B1684" i="5"/>
  <c r="B1683" i="5"/>
  <c r="B1682" i="5"/>
  <c r="B1681" i="5"/>
  <c r="B1680" i="5"/>
  <c r="B1679" i="5"/>
  <c r="B1678" i="5"/>
  <c r="B1677" i="5"/>
  <c r="B1676" i="5"/>
  <c r="B1675" i="5"/>
  <c r="B1674" i="5"/>
  <c r="B1673" i="5"/>
  <c r="B1672" i="5"/>
  <c r="B1671" i="5"/>
  <c r="B1670" i="5"/>
  <c r="B1669" i="5"/>
  <c r="B1668" i="5"/>
  <c r="B1667" i="5"/>
  <c r="B1666" i="5"/>
  <c r="B1665" i="5"/>
  <c r="B1664" i="5"/>
  <c r="B1663" i="5"/>
  <c r="B1662" i="5"/>
  <c r="B1661" i="5"/>
  <c r="B1660" i="5"/>
  <c r="B1659" i="5"/>
  <c r="B1658" i="5"/>
  <c r="B1657" i="5"/>
  <c r="B1656" i="5"/>
  <c r="B1655" i="5"/>
  <c r="B1654" i="5"/>
  <c r="B1653" i="5"/>
  <c r="B1652" i="5"/>
  <c r="B1651" i="5"/>
  <c r="B1650" i="5"/>
  <c r="B1649" i="5"/>
  <c r="B1648" i="5"/>
  <c r="B1647" i="5"/>
  <c r="G119" i="38" s="1"/>
  <c r="B1646" i="5"/>
  <c r="B1645" i="5"/>
  <c r="B1644" i="5"/>
  <c r="B1643" i="5"/>
  <c r="B1642" i="5"/>
  <c r="B1641" i="5"/>
  <c r="B1640" i="5"/>
  <c r="B1639" i="5"/>
  <c r="B1638" i="5"/>
  <c r="B1637" i="5"/>
  <c r="B1636" i="5"/>
  <c r="B1635" i="5"/>
  <c r="B1634" i="5"/>
  <c r="B1633" i="5"/>
  <c r="B1632" i="5"/>
  <c r="B1631" i="5"/>
  <c r="B1630" i="5"/>
  <c r="B1629" i="5"/>
  <c r="B1628" i="5"/>
  <c r="B1627" i="5"/>
  <c r="B1626" i="5"/>
  <c r="B1625" i="5"/>
  <c r="B1624" i="5"/>
  <c r="B1623" i="5"/>
  <c r="B1622" i="5"/>
  <c r="B1621" i="5"/>
  <c r="B1620" i="5"/>
  <c r="B1619" i="5"/>
  <c r="B1618" i="5"/>
  <c r="B1617" i="5"/>
  <c r="B1616" i="5"/>
  <c r="B1615" i="5"/>
  <c r="B1614" i="5"/>
  <c r="B1613" i="5"/>
  <c r="B1612" i="5"/>
  <c r="B1611" i="5"/>
  <c r="B1610" i="5"/>
  <c r="B1609" i="5"/>
  <c r="B1608" i="5"/>
  <c r="B1607" i="5"/>
  <c r="B1606" i="5"/>
  <c r="B1605" i="5"/>
  <c r="B1604" i="5"/>
  <c r="B1603" i="5"/>
  <c r="B1602" i="5"/>
  <c r="B1601" i="5"/>
  <c r="B1600" i="5"/>
  <c r="B1599" i="5"/>
  <c r="B1598" i="5"/>
  <c r="B1597" i="5"/>
  <c r="B1596" i="5"/>
  <c r="B1595" i="5"/>
  <c r="B1594" i="5"/>
  <c r="B1593" i="5"/>
  <c r="B1592" i="5"/>
  <c r="B1591" i="5"/>
  <c r="B1590" i="5"/>
  <c r="B1589" i="5"/>
  <c r="B1588" i="5"/>
  <c r="B1587" i="5"/>
  <c r="B1586" i="5"/>
  <c r="B1585" i="5"/>
  <c r="B1584" i="5"/>
  <c r="B1583" i="5"/>
  <c r="B1582" i="5"/>
  <c r="B1581" i="5"/>
  <c r="B1580" i="5"/>
  <c r="B1579" i="5"/>
  <c r="B1578" i="5"/>
  <c r="B1577" i="5"/>
  <c r="B1576" i="5"/>
  <c r="B1575" i="5"/>
  <c r="B1574" i="5"/>
  <c r="B1573" i="5"/>
  <c r="B1572" i="5"/>
  <c r="B1571" i="5"/>
  <c r="B1570" i="5"/>
  <c r="B1569" i="5"/>
  <c r="B1568" i="5"/>
  <c r="B1567" i="5"/>
  <c r="B1566" i="5"/>
  <c r="B1565" i="5"/>
  <c r="B1564" i="5"/>
  <c r="B1563" i="5"/>
  <c r="B1562" i="5"/>
  <c r="B1561" i="5"/>
  <c r="B1560" i="5"/>
  <c r="B1559" i="5"/>
  <c r="B1558" i="5"/>
  <c r="B1557" i="5"/>
  <c r="B1556" i="5"/>
  <c r="B1555" i="5"/>
  <c r="B1554" i="5"/>
  <c r="B1553" i="5"/>
  <c r="B1552" i="5"/>
  <c r="B1551" i="5"/>
  <c r="B1550" i="5"/>
  <c r="B1549" i="5"/>
  <c r="B1548" i="5"/>
  <c r="B1547" i="5"/>
  <c r="B1546" i="5"/>
  <c r="B1545" i="5"/>
  <c r="B1544" i="5"/>
  <c r="B1543" i="5"/>
  <c r="B1542" i="5"/>
  <c r="B1541" i="5"/>
  <c r="B1540" i="5"/>
  <c r="B1539" i="5"/>
  <c r="B1538" i="5"/>
  <c r="B1537" i="5"/>
  <c r="B1536" i="5"/>
  <c r="B1535" i="5"/>
  <c r="B1534" i="5"/>
  <c r="B1533" i="5"/>
  <c r="B1532" i="5"/>
  <c r="B1531" i="5"/>
  <c r="B1530" i="5"/>
  <c r="B1529" i="5"/>
  <c r="B1528" i="5"/>
  <c r="B1527" i="5"/>
  <c r="B1526" i="5"/>
  <c r="B1525" i="5"/>
  <c r="B1524" i="5"/>
  <c r="B1523" i="5"/>
  <c r="B1522" i="5"/>
  <c r="B1521" i="5"/>
  <c r="B1520" i="5"/>
  <c r="B1519" i="5"/>
  <c r="B1518" i="5"/>
  <c r="B1517" i="5"/>
  <c r="B1516" i="5"/>
  <c r="B1515" i="5"/>
  <c r="B1514" i="5"/>
  <c r="B1513" i="5"/>
  <c r="B1512" i="5"/>
  <c r="B1511" i="5"/>
  <c r="B1510" i="5"/>
  <c r="B1509" i="5"/>
  <c r="B1508" i="5"/>
  <c r="B1507" i="5"/>
  <c r="B1506" i="5"/>
  <c r="B1505" i="5"/>
  <c r="B1504" i="5"/>
  <c r="B1503" i="5"/>
  <c r="B1502" i="5"/>
  <c r="B1501" i="5"/>
  <c r="B1500" i="5"/>
  <c r="B1499" i="5"/>
  <c r="B1498" i="5"/>
  <c r="B1497" i="5"/>
  <c r="B1496" i="5"/>
  <c r="B1495" i="5"/>
  <c r="B1494" i="5"/>
  <c r="B1493" i="5"/>
  <c r="B1492" i="5"/>
  <c r="B1491" i="5"/>
  <c r="B1490" i="5"/>
  <c r="B1489" i="5"/>
  <c r="B1488" i="5"/>
  <c r="B1487" i="5"/>
  <c r="B1486" i="5"/>
  <c r="B1485" i="5"/>
  <c r="B1484" i="5"/>
  <c r="B1483" i="5"/>
  <c r="B1482" i="5"/>
  <c r="B1481" i="5"/>
  <c r="B1480" i="5"/>
  <c r="B1479" i="5"/>
  <c r="B1478" i="5"/>
  <c r="B1477" i="5"/>
  <c r="B1476" i="5"/>
  <c r="B1475" i="5"/>
  <c r="B1474" i="5"/>
  <c r="B1473" i="5"/>
  <c r="B1472" i="5"/>
  <c r="B1471" i="5"/>
  <c r="B1470" i="5"/>
  <c r="B1469" i="5"/>
  <c r="B1468" i="5"/>
  <c r="B1467" i="5"/>
  <c r="B1466" i="5"/>
  <c r="B1465" i="5"/>
  <c r="B1464" i="5"/>
  <c r="B1463" i="5"/>
  <c r="B1462" i="5"/>
  <c r="B1461" i="5"/>
  <c r="B1460" i="5"/>
  <c r="B1459" i="5"/>
  <c r="B1458" i="5"/>
  <c r="B1457" i="5"/>
  <c r="B1456" i="5"/>
  <c r="B1455" i="5"/>
  <c r="B1454" i="5"/>
  <c r="B1453" i="5"/>
  <c r="B1452" i="5"/>
  <c r="B1451" i="5"/>
  <c r="B1450" i="5"/>
  <c r="B1449" i="5"/>
  <c r="B1448" i="5"/>
  <c r="B1447" i="5"/>
  <c r="B1446" i="5"/>
  <c r="B1445" i="5"/>
  <c r="B1444" i="5"/>
  <c r="B1443" i="5"/>
  <c r="B1442" i="5"/>
  <c r="B1441" i="5"/>
  <c r="B1440" i="5"/>
  <c r="B1439" i="5"/>
  <c r="B1438" i="5"/>
  <c r="B1437" i="5"/>
  <c r="C571" i="32" s="1"/>
  <c r="B1436" i="5"/>
  <c r="C570" i="32" s="1"/>
  <c r="B1435" i="5"/>
  <c r="C569" i="32" s="1"/>
  <c r="B1434" i="5"/>
  <c r="C568" i="32" s="1"/>
  <c r="B1433" i="5"/>
  <c r="B1432" i="5"/>
  <c r="C567" i="32" s="1"/>
  <c r="B1431" i="5"/>
  <c r="C566" i="32" s="1"/>
  <c r="B1430" i="5"/>
  <c r="B1429" i="5"/>
  <c r="C565" i="32" s="1"/>
  <c r="B1428" i="5"/>
  <c r="C564" i="32" s="1"/>
  <c r="B1427" i="5"/>
  <c r="C563" i="32" s="1"/>
  <c r="B1426" i="5"/>
  <c r="C562" i="32" s="1"/>
  <c r="B1425" i="5"/>
  <c r="B1424" i="5"/>
  <c r="C561" i="32" s="1"/>
  <c r="B1423" i="5"/>
  <c r="B1422" i="5"/>
  <c r="C560" i="32" s="1"/>
  <c r="B1421" i="5"/>
  <c r="C559" i="32" s="1"/>
  <c r="B1420" i="5"/>
  <c r="C558" i="32" s="1"/>
  <c r="B1419" i="5"/>
  <c r="B1418" i="5"/>
  <c r="C557" i="32" s="1"/>
  <c r="B1417" i="5"/>
  <c r="B1416" i="5"/>
  <c r="C556" i="32" s="1"/>
  <c r="B1415" i="5"/>
  <c r="C555" i="32" s="1"/>
  <c r="B1414" i="5"/>
  <c r="C554" i="32" s="1"/>
  <c r="B1413" i="5"/>
  <c r="C553" i="32" s="1"/>
  <c r="B1412" i="5"/>
  <c r="B1411" i="5"/>
  <c r="C552" i="32" s="1"/>
  <c r="B1410" i="5"/>
  <c r="B1409" i="5"/>
  <c r="C551" i="32" s="1"/>
  <c r="B1408" i="5"/>
  <c r="C550" i="32" s="1"/>
  <c r="B1407" i="5"/>
  <c r="C549" i="32" s="1"/>
  <c r="B1406" i="5"/>
  <c r="B1405" i="5"/>
  <c r="C548" i="32" s="1"/>
  <c r="B1404" i="5"/>
  <c r="C547" i="32" s="1"/>
  <c r="B1403" i="5"/>
  <c r="B1402" i="5"/>
  <c r="C546" i="32" s="1"/>
  <c r="B1401" i="5"/>
  <c r="C545" i="32" s="1"/>
  <c r="B1400" i="5"/>
  <c r="C544" i="32" s="1"/>
  <c r="B1399" i="5"/>
  <c r="B1398" i="5"/>
  <c r="B1397" i="5"/>
  <c r="C543" i="32" s="1"/>
  <c r="B1396" i="5"/>
  <c r="C542" i="32" s="1"/>
  <c r="B1395" i="5"/>
  <c r="C541" i="32" s="1"/>
  <c r="B1394" i="5"/>
  <c r="C540" i="32" s="1"/>
  <c r="B1393" i="5"/>
  <c r="C539" i="32" s="1"/>
  <c r="B1392" i="5"/>
  <c r="C538" i="32" s="1"/>
  <c r="B1391" i="5"/>
  <c r="C537" i="32" s="1"/>
  <c r="B1390" i="5"/>
  <c r="C536" i="32" s="1"/>
  <c r="B1389" i="5"/>
  <c r="C535" i="32" s="1"/>
  <c r="B1388" i="5"/>
  <c r="B1387" i="5"/>
  <c r="C534" i="32" s="1"/>
  <c r="B1386" i="5"/>
  <c r="C533" i="32" s="1"/>
  <c r="B1385" i="5"/>
  <c r="C532" i="32" s="1"/>
  <c r="B1384" i="5"/>
  <c r="C531" i="32" s="1"/>
  <c r="B1383" i="5"/>
  <c r="C530" i="32" s="1"/>
  <c r="B1382" i="5"/>
  <c r="B1381" i="5"/>
  <c r="B1380" i="5"/>
  <c r="C529" i="32" s="1"/>
  <c r="B1379" i="5"/>
  <c r="C528" i="32" s="1"/>
  <c r="B1378" i="5"/>
  <c r="C527" i="32" s="1"/>
  <c r="B1377" i="5"/>
  <c r="C526" i="32" s="1"/>
  <c r="B1376" i="5"/>
  <c r="B1375" i="5"/>
  <c r="C525" i="32" s="1"/>
  <c r="B1374" i="5"/>
  <c r="C524" i="32" s="1"/>
  <c r="B1373" i="5"/>
  <c r="B1372" i="5"/>
  <c r="C523" i="32" s="1"/>
  <c r="B1371" i="5"/>
  <c r="C522" i="32" s="1"/>
  <c r="B1370" i="5"/>
  <c r="C521" i="32" s="1"/>
  <c r="B1369" i="5"/>
  <c r="B1368" i="5"/>
  <c r="B1367" i="5"/>
  <c r="C520" i="32" s="1"/>
  <c r="B1366" i="5"/>
  <c r="C519" i="32" s="1"/>
  <c r="B1365" i="5"/>
  <c r="B1364" i="5"/>
  <c r="C518" i="32" s="1"/>
  <c r="B1363" i="5"/>
  <c r="B1362" i="5"/>
  <c r="B1361" i="5"/>
  <c r="B1360" i="5"/>
  <c r="C513" i="32" s="1"/>
  <c r="B1359" i="5"/>
  <c r="C512" i="32" s="1"/>
  <c r="B1358" i="5"/>
  <c r="C511" i="32" s="1"/>
  <c r="B1357" i="5"/>
  <c r="C510" i="32" s="1"/>
  <c r="B1356" i="5"/>
  <c r="C509" i="32" s="1"/>
  <c r="B1355" i="5"/>
  <c r="C508" i="32" s="1"/>
  <c r="B1354" i="5"/>
  <c r="C507" i="32" s="1"/>
  <c r="B1353" i="5"/>
  <c r="C506" i="32" s="1"/>
  <c r="B1352" i="5"/>
  <c r="B1351" i="5"/>
  <c r="C505" i="32" s="1"/>
  <c r="B1350" i="5"/>
  <c r="C504" i="32" s="1"/>
  <c r="B1349" i="5"/>
  <c r="C503" i="32" s="1"/>
  <c r="B1348" i="5"/>
  <c r="B1347" i="5"/>
  <c r="C502" i="32" s="1"/>
  <c r="B1346" i="5"/>
  <c r="B1345" i="5"/>
  <c r="C501" i="32" s="1"/>
  <c r="B1344" i="5"/>
  <c r="C500" i="32" s="1"/>
  <c r="B1343" i="5"/>
  <c r="C499" i="32" s="1"/>
  <c r="B1342" i="5"/>
  <c r="C498" i="32" s="1"/>
  <c r="B1341" i="5"/>
  <c r="C497" i="32" s="1"/>
  <c r="B1340" i="5"/>
  <c r="C496" i="32" s="1"/>
  <c r="B1339" i="5"/>
  <c r="C495" i="32" s="1"/>
  <c r="B1338" i="5"/>
  <c r="C494" i="32" s="1"/>
  <c r="B1337" i="5"/>
  <c r="C493" i="32" s="1"/>
  <c r="B1336" i="5"/>
  <c r="C492" i="32" s="1"/>
  <c r="B1335" i="5"/>
  <c r="C491" i="32" s="1"/>
  <c r="B1334" i="5"/>
  <c r="C490" i="32" s="1"/>
  <c r="B1333" i="5"/>
  <c r="B1332" i="5"/>
  <c r="C489" i="32" s="1"/>
  <c r="B1331" i="5"/>
  <c r="C488" i="32" s="1"/>
  <c r="B1330" i="5"/>
  <c r="C487" i="32" s="1"/>
  <c r="B1329" i="5"/>
  <c r="C486" i="32" s="1"/>
  <c r="B1328" i="5"/>
  <c r="C485" i="32" s="1"/>
  <c r="B1327" i="5"/>
  <c r="C484" i="32" s="1"/>
  <c r="B1326" i="5"/>
  <c r="C483" i="32" s="1"/>
  <c r="B1325" i="5"/>
  <c r="C482" i="32" s="1"/>
  <c r="B1324" i="5"/>
  <c r="C481" i="32" s="1"/>
  <c r="B1323" i="5"/>
  <c r="C480" i="32" s="1"/>
  <c r="B1322" i="5"/>
  <c r="C479" i="32" s="1"/>
  <c r="B1321" i="5"/>
  <c r="C478" i="32" s="1"/>
  <c r="B1320" i="5"/>
  <c r="B1319" i="5"/>
  <c r="C477" i="32" s="1"/>
  <c r="B1318" i="5"/>
  <c r="C476" i="32" s="1"/>
  <c r="B1317" i="5"/>
  <c r="C475" i="32" s="1"/>
  <c r="B1316" i="5"/>
  <c r="B1315" i="5"/>
  <c r="C474" i="32" s="1"/>
  <c r="B1314" i="5"/>
  <c r="C473" i="32" s="1"/>
  <c r="B1313" i="5"/>
  <c r="C472" i="32" s="1"/>
  <c r="B1312" i="5"/>
  <c r="B1311" i="5"/>
  <c r="C471" i="32" s="1"/>
  <c r="B1310" i="5"/>
  <c r="B1309" i="5"/>
  <c r="C470" i="32" s="1"/>
  <c r="B1308" i="5"/>
  <c r="C469" i="32" s="1"/>
  <c r="B1307" i="5"/>
  <c r="C468" i="32" s="1"/>
  <c r="B1306" i="5"/>
  <c r="C467" i="32" s="1"/>
  <c r="B1305" i="5"/>
  <c r="C466" i="32" s="1"/>
  <c r="B1304" i="5"/>
  <c r="C465" i="32" s="1"/>
  <c r="B1303" i="5"/>
  <c r="B1302" i="5"/>
  <c r="C464" i="32" s="1"/>
  <c r="B1301" i="5"/>
  <c r="C463" i="32" s="1"/>
  <c r="B1300" i="5"/>
  <c r="B1299" i="5"/>
  <c r="C462" i="32" s="1"/>
  <c r="B1298" i="5"/>
  <c r="C461" i="32" s="1"/>
  <c r="B1297" i="5"/>
  <c r="C460" i="32" s="1"/>
  <c r="B1296" i="5"/>
  <c r="C459" i="32" s="1"/>
  <c r="B1295" i="5"/>
  <c r="B1294" i="5"/>
  <c r="C458" i="32" s="1"/>
  <c r="B1293" i="5"/>
  <c r="B1292" i="5"/>
  <c r="C457" i="32" s="1"/>
  <c r="B1291" i="5"/>
  <c r="C456" i="32" s="1"/>
  <c r="B1290" i="5"/>
  <c r="C455" i="32" s="1"/>
  <c r="B1289" i="5"/>
  <c r="C454" i="32" s="1"/>
  <c r="B1288" i="5"/>
  <c r="C453" i="32" s="1"/>
  <c r="B1287" i="5"/>
  <c r="B1286" i="5"/>
  <c r="C452" i="32" s="1"/>
  <c r="B1285" i="5"/>
  <c r="C451" i="32" s="1"/>
  <c r="B1284" i="5"/>
  <c r="C450" i="32" s="1"/>
  <c r="B1283" i="5"/>
  <c r="B1282" i="5"/>
  <c r="C449" i="32" s="1"/>
  <c r="B1281" i="5"/>
  <c r="C448" i="32" s="1"/>
  <c r="B1280" i="5"/>
  <c r="C447" i="32" s="1"/>
  <c r="B1279" i="5"/>
  <c r="C446" i="32" s="1"/>
  <c r="B1278" i="5"/>
  <c r="B1277" i="5"/>
  <c r="C445" i="32" s="1"/>
  <c r="B1276" i="5"/>
  <c r="C444" i="32" s="1"/>
  <c r="B1275" i="5"/>
  <c r="B1274" i="5"/>
  <c r="C443" i="32" s="1"/>
  <c r="B1273" i="5"/>
  <c r="C442" i="32" s="1"/>
  <c r="B1272" i="5"/>
  <c r="C441" i="32" s="1"/>
  <c r="B1271" i="5"/>
  <c r="C440" i="32" s="1"/>
  <c r="B1270" i="5"/>
  <c r="B1269" i="5"/>
  <c r="C439" i="32" s="1"/>
  <c r="B1268" i="5"/>
  <c r="C438" i="32" s="1"/>
  <c r="B1267" i="5"/>
  <c r="B1266" i="5"/>
  <c r="C437" i="32" s="1"/>
  <c r="B1265" i="5"/>
  <c r="C436" i="32" s="1"/>
  <c r="B1264" i="5"/>
  <c r="C435" i="32" s="1"/>
  <c r="B1263" i="5"/>
  <c r="B1262" i="5"/>
  <c r="C434" i="32" s="1"/>
  <c r="B1261" i="5"/>
  <c r="C433" i="32" s="1"/>
  <c r="B1260" i="5"/>
  <c r="B1259" i="5"/>
  <c r="C432" i="32" s="1"/>
  <c r="B1258" i="5"/>
  <c r="C431" i="32" s="1"/>
  <c r="B1257" i="5"/>
  <c r="B1256" i="5"/>
  <c r="C430" i="32" s="1"/>
  <c r="B1255" i="5"/>
  <c r="C429" i="32" s="1"/>
  <c r="B1254" i="5"/>
  <c r="C428" i="32" s="1"/>
  <c r="B1253" i="5"/>
  <c r="B1252" i="5"/>
  <c r="C427" i="32" s="1"/>
  <c r="B1251" i="5"/>
  <c r="C426" i="32" s="1"/>
  <c r="B1250" i="5"/>
  <c r="B1249" i="5"/>
  <c r="B1248" i="5"/>
  <c r="C425" i="32" s="1"/>
  <c r="B1247" i="5"/>
  <c r="C424" i="32" s="1"/>
  <c r="B1246" i="5"/>
  <c r="C423" i="32" s="1"/>
  <c r="B1245" i="5"/>
  <c r="B1244" i="5"/>
  <c r="C422" i="32" s="1"/>
  <c r="B1243" i="5"/>
  <c r="C421" i="32" s="1"/>
  <c r="B1242" i="5"/>
  <c r="C420" i="32" s="1"/>
  <c r="B1241" i="5"/>
  <c r="B1240" i="5"/>
  <c r="C419" i="32" s="1"/>
  <c r="B1239" i="5"/>
  <c r="C418" i="32" s="1"/>
  <c r="B1238" i="5"/>
  <c r="C417" i="32" s="1"/>
  <c r="B1237" i="5"/>
  <c r="B1236" i="5"/>
  <c r="C416" i="32" s="1"/>
  <c r="B1235" i="5"/>
  <c r="C415" i="32" s="1"/>
  <c r="B1234" i="5"/>
  <c r="B1233" i="5"/>
  <c r="C414" i="32" s="1"/>
  <c r="B1232" i="5"/>
  <c r="C413" i="32" s="1"/>
  <c r="B1231" i="5"/>
  <c r="C412" i="32" s="1"/>
  <c r="B1230" i="5"/>
  <c r="C411" i="32" s="1"/>
  <c r="B1229" i="5"/>
  <c r="C410" i="32" s="1"/>
  <c r="B1228" i="5"/>
  <c r="C409" i="32" s="1"/>
  <c r="B1227" i="5"/>
  <c r="C408" i="32" s="1"/>
  <c r="B1226" i="5"/>
  <c r="B1225" i="5"/>
  <c r="C407" i="32" s="1"/>
  <c r="B1224" i="5"/>
  <c r="C406" i="32" s="1"/>
  <c r="B1223" i="5"/>
  <c r="C405" i="32" s="1"/>
  <c r="B1222" i="5"/>
  <c r="C404" i="32" s="1"/>
  <c r="B1221" i="5"/>
  <c r="B1220" i="5"/>
  <c r="C403" i="32" s="1"/>
  <c r="B1219" i="5"/>
  <c r="C402" i="32" s="1"/>
  <c r="B1218" i="5"/>
  <c r="C401" i="32" s="1"/>
  <c r="B1217" i="5"/>
  <c r="C400" i="32" s="1"/>
  <c r="B1216" i="5"/>
  <c r="C399" i="32" s="1"/>
  <c r="B1215" i="5"/>
  <c r="C398" i="32" s="1"/>
  <c r="B1214" i="5"/>
  <c r="C397" i="32" s="1"/>
  <c r="B1213" i="5"/>
  <c r="B1212" i="5"/>
  <c r="C396" i="32" s="1"/>
  <c r="B1211" i="5"/>
  <c r="C395" i="32" s="1"/>
  <c r="B1210" i="5"/>
  <c r="C394" i="32" s="1"/>
  <c r="B1209" i="5"/>
  <c r="C393" i="32" s="1"/>
  <c r="B1208" i="5"/>
  <c r="C392" i="32" s="1"/>
  <c r="B1207" i="5"/>
  <c r="B1206" i="5"/>
  <c r="C391" i="32" s="1"/>
  <c r="B1205" i="5"/>
  <c r="C390" i="32" s="1"/>
  <c r="B1204" i="5"/>
  <c r="C389" i="32" s="1"/>
  <c r="B1203" i="5"/>
  <c r="B1202" i="5"/>
  <c r="C388" i="32" s="1"/>
  <c r="B1201" i="5"/>
  <c r="C387" i="32" s="1"/>
  <c r="B1200" i="5"/>
  <c r="C386" i="32" s="1"/>
  <c r="B1199" i="5"/>
  <c r="B1198" i="5"/>
  <c r="C385" i="32" s="1"/>
  <c r="B1197" i="5"/>
  <c r="C384" i="32" s="1"/>
  <c r="B1196" i="5"/>
  <c r="C383" i="32" s="1"/>
  <c r="B1195" i="5"/>
  <c r="C382" i="32" s="1"/>
  <c r="B1194" i="5"/>
  <c r="C381" i="32" s="1"/>
  <c r="B1193" i="5"/>
  <c r="B1192" i="5"/>
  <c r="C380" i="32" s="1"/>
  <c r="B1191" i="5"/>
  <c r="C379" i="32" s="1"/>
  <c r="B1190" i="5"/>
  <c r="B1189" i="5"/>
  <c r="C378" i="32" s="1"/>
  <c r="B1188" i="5"/>
  <c r="C377" i="32" s="1"/>
  <c r="B1187" i="5"/>
  <c r="C376" i="32" s="1"/>
  <c r="B1186" i="5"/>
  <c r="B1185" i="5"/>
  <c r="C375" i="32" s="1"/>
  <c r="B1184" i="5"/>
  <c r="C374" i="32" s="1"/>
  <c r="B1183" i="5"/>
  <c r="C373" i="32" s="1"/>
  <c r="B1182" i="5"/>
  <c r="C372" i="32" s="1"/>
  <c r="B1181" i="5"/>
  <c r="C371" i="32" s="1"/>
  <c r="B1180" i="5"/>
  <c r="C370" i="32" s="1"/>
  <c r="B1179" i="5"/>
  <c r="B1178" i="5"/>
  <c r="C369" i="32" s="1"/>
  <c r="B1177" i="5"/>
  <c r="B1176" i="5"/>
  <c r="C368" i="32" s="1"/>
  <c r="B1175" i="5"/>
  <c r="C367" i="32" s="1"/>
  <c r="B1174" i="5"/>
  <c r="B1173" i="5"/>
  <c r="C366" i="32" s="1"/>
  <c r="B1172" i="5"/>
  <c r="C365" i="32" s="1"/>
  <c r="B1171" i="5"/>
  <c r="C364" i="32" s="1"/>
  <c r="B1170" i="5"/>
  <c r="C363" i="32" s="1"/>
  <c r="B1169" i="5"/>
  <c r="C362" i="32" s="1"/>
  <c r="B1168" i="5"/>
  <c r="C361" i="32" s="1"/>
  <c r="B1167" i="5"/>
  <c r="C360" i="32" s="1"/>
  <c r="B1166" i="5"/>
  <c r="C359" i="32" s="1"/>
  <c r="B1165" i="5"/>
  <c r="C358" i="32" s="1"/>
  <c r="B1164" i="5"/>
  <c r="B1163" i="5"/>
  <c r="B1162" i="5"/>
  <c r="C357" i="32" s="1"/>
  <c r="B1161" i="5"/>
  <c r="C356" i="32" s="1"/>
  <c r="B1160" i="5"/>
  <c r="B1159" i="5"/>
  <c r="C355" i="32" s="1"/>
  <c r="B1158" i="5"/>
  <c r="C354" i="32" s="1"/>
  <c r="B1157" i="5"/>
  <c r="C353" i="32" s="1"/>
  <c r="B1156" i="5"/>
  <c r="B1155" i="5"/>
  <c r="C352" i="32" s="1"/>
  <c r="B1154" i="5"/>
  <c r="B1153" i="5"/>
  <c r="C351" i="32" s="1"/>
  <c r="B1152" i="5"/>
  <c r="C350" i="32" s="1"/>
  <c r="B1151" i="5"/>
  <c r="C349" i="32" s="1"/>
  <c r="B1150" i="5"/>
  <c r="B1149" i="5"/>
  <c r="C348" i="32" s="1"/>
  <c r="B1148" i="5"/>
  <c r="C347" i="32" s="1"/>
  <c r="B1147" i="5"/>
  <c r="B1146" i="5"/>
  <c r="C346" i="32" s="1"/>
  <c r="B1145" i="5"/>
  <c r="C345" i="32" s="1"/>
  <c r="B1144" i="5"/>
  <c r="C344" i="32" s="1"/>
  <c r="B1143" i="5"/>
  <c r="C343" i="32" s="1"/>
  <c r="B1142" i="5"/>
  <c r="C342" i="32" s="1"/>
  <c r="B1141" i="5"/>
  <c r="B1140" i="5"/>
  <c r="C341" i="32" s="1"/>
  <c r="B1139" i="5"/>
  <c r="C340" i="32" s="1"/>
  <c r="B1138" i="5"/>
  <c r="B1137" i="5"/>
  <c r="C339" i="32" s="1"/>
  <c r="B1136" i="5"/>
  <c r="C338" i="32" s="1"/>
  <c r="B1135" i="5"/>
  <c r="C337" i="32" s="1"/>
  <c r="B1134" i="5"/>
  <c r="C336" i="32" s="1"/>
  <c r="B1133" i="5"/>
  <c r="C335" i="32" s="1"/>
  <c r="B1132" i="5"/>
  <c r="C334" i="32" s="1"/>
  <c r="B1131" i="5"/>
  <c r="C333" i="32" s="1"/>
  <c r="B1130" i="5"/>
  <c r="B1129" i="5"/>
  <c r="C332" i="32" s="1"/>
  <c r="B1128" i="5"/>
  <c r="C331" i="32" s="1"/>
  <c r="B1127" i="5"/>
  <c r="C330" i="32" s="1"/>
  <c r="B1126" i="5"/>
  <c r="B1125" i="5"/>
  <c r="C329" i="32" s="1"/>
  <c r="B1124" i="5"/>
  <c r="C328" i="32" s="1"/>
  <c r="B1123" i="5"/>
  <c r="C327" i="32" s="1"/>
  <c r="B1122" i="5"/>
  <c r="B1121" i="5"/>
  <c r="B1120" i="5"/>
  <c r="C326" i="32" s="1"/>
  <c r="B1119" i="5"/>
  <c r="C325" i="32" s="1"/>
  <c r="B1118" i="5"/>
  <c r="C324" i="32" s="1"/>
  <c r="B1117" i="5"/>
  <c r="B1116" i="5"/>
  <c r="C323" i="32" s="1"/>
  <c r="B1115" i="5"/>
  <c r="C322" i="32" s="1"/>
  <c r="B1114" i="5"/>
  <c r="B1113" i="5"/>
  <c r="C321" i="32" s="1"/>
  <c r="B1112" i="5"/>
  <c r="C320" i="32" s="1"/>
  <c r="B1111" i="5"/>
  <c r="C319" i="32" s="1"/>
  <c r="B1110" i="5"/>
  <c r="B1109" i="5"/>
  <c r="C318" i="32" s="1"/>
  <c r="B1108" i="5"/>
  <c r="C317" i="32" s="1"/>
  <c r="B1107" i="5"/>
  <c r="C316" i="32" s="1"/>
  <c r="B1106" i="5"/>
  <c r="C315" i="32" s="1"/>
  <c r="B1105" i="5"/>
  <c r="B1104" i="5"/>
  <c r="C314" i="32" s="1"/>
  <c r="B1103" i="5"/>
  <c r="C313" i="32" s="1"/>
  <c r="B1102" i="5"/>
  <c r="C312" i="32" s="1"/>
  <c r="B1101" i="5"/>
  <c r="B1100" i="5"/>
  <c r="C311" i="32" s="1"/>
  <c r="B1099" i="5"/>
  <c r="B1098" i="5"/>
  <c r="C310" i="32" s="1"/>
  <c r="B1097" i="5"/>
  <c r="C309" i="32" s="1"/>
  <c r="B1096" i="5"/>
  <c r="C308" i="32" s="1"/>
  <c r="B1095" i="5"/>
  <c r="C307" i="32" s="1"/>
  <c r="B1094" i="5"/>
  <c r="C306" i="32" s="1"/>
  <c r="B1093" i="5"/>
  <c r="B1092" i="5"/>
  <c r="C305" i="32" s="1"/>
  <c r="B1091" i="5"/>
  <c r="C304" i="32" s="1"/>
  <c r="B1090" i="5"/>
  <c r="C303" i="32" s="1"/>
  <c r="B1089" i="5"/>
  <c r="C302" i="32" s="1"/>
  <c r="B1088" i="5"/>
  <c r="C301" i="32" s="1"/>
  <c r="B1087" i="5"/>
  <c r="B1086" i="5"/>
  <c r="C300" i="32" s="1"/>
  <c r="B1085" i="5"/>
  <c r="C299" i="32" s="1"/>
  <c r="B1084" i="5"/>
  <c r="C298" i="32" s="1"/>
  <c r="B1083" i="5"/>
  <c r="B1082" i="5"/>
  <c r="C297" i="32" s="1"/>
  <c r="B1081" i="5"/>
  <c r="C296" i="32" s="1"/>
  <c r="B1080" i="5"/>
  <c r="B1079" i="5"/>
  <c r="C295" i="32" s="1"/>
  <c r="B1078" i="5"/>
  <c r="B1077" i="5"/>
  <c r="C294" i="32" s="1"/>
  <c r="B1076" i="5"/>
  <c r="C293" i="32" s="1"/>
  <c r="B1075" i="5"/>
  <c r="C292" i="32" s="1"/>
  <c r="B1074" i="5"/>
  <c r="C291" i="32" s="1"/>
  <c r="B1073" i="5"/>
  <c r="C290" i="32" s="1"/>
  <c r="B1072" i="5"/>
  <c r="C289" i="32" s="1"/>
  <c r="B1071" i="5"/>
  <c r="C288" i="32" s="1"/>
  <c r="B1070" i="5"/>
  <c r="C287" i="32" s="1"/>
  <c r="B1069" i="5"/>
  <c r="C286" i="32" s="1"/>
  <c r="B1068" i="5"/>
  <c r="B1067" i="5"/>
  <c r="C285" i="32" s="1"/>
  <c r="B1066" i="5"/>
  <c r="C284" i="32" s="1"/>
  <c r="B1065" i="5"/>
  <c r="B1064" i="5"/>
  <c r="B1063" i="5"/>
  <c r="C283" i="32" s="1"/>
  <c r="B1062" i="5"/>
  <c r="C282" i="32" s="1"/>
  <c r="B1061" i="5"/>
  <c r="C281" i="32" s="1"/>
  <c r="B1060" i="5"/>
  <c r="C280" i="32" s="1"/>
  <c r="B1059" i="5"/>
  <c r="B1058" i="5"/>
  <c r="C279" i="32" s="1"/>
  <c r="B1057" i="5"/>
  <c r="C278" i="32" s="1"/>
  <c r="B1056" i="5"/>
  <c r="C277" i="32" s="1"/>
  <c r="B1055" i="5"/>
  <c r="B1054" i="5"/>
  <c r="C276" i="32" s="1"/>
  <c r="B1053" i="5"/>
  <c r="C275" i="32" s="1"/>
  <c r="B1052" i="5"/>
  <c r="C274" i="32" s="1"/>
  <c r="B1051" i="5"/>
  <c r="B1050" i="5"/>
  <c r="C273" i="32" s="1"/>
  <c r="B1049" i="5"/>
  <c r="C272" i="32" s="1"/>
  <c r="B1048" i="5"/>
  <c r="C271" i="32" s="1"/>
  <c r="B1047" i="5"/>
  <c r="C270" i="32" s="1"/>
  <c r="B1046" i="5"/>
  <c r="C269" i="32" s="1"/>
  <c r="B1045" i="5"/>
  <c r="C268" i="32" s="1"/>
  <c r="B1044" i="5"/>
  <c r="C267" i="32" s="1"/>
  <c r="B1043" i="5"/>
  <c r="C266" i="32" s="1"/>
  <c r="B1042" i="5"/>
  <c r="B1041" i="5"/>
  <c r="C265" i="32" s="1"/>
  <c r="B1040" i="5"/>
  <c r="C264" i="32" s="1"/>
  <c r="B1039" i="5"/>
  <c r="B1038" i="5"/>
  <c r="C263" i="32" s="1"/>
  <c r="B1037" i="5"/>
  <c r="C262" i="32" s="1"/>
  <c r="B1036" i="5"/>
  <c r="C261" i="32" s="1"/>
  <c r="B1035" i="5"/>
  <c r="C260" i="32" s="1"/>
  <c r="B1034" i="5"/>
  <c r="B1033" i="5"/>
  <c r="B1032" i="5"/>
  <c r="C259" i="32" s="1"/>
  <c r="B1031" i="5"/>
  <c r="C258" i="32" s="1"/>
  <c r="B1030" i="5"/>
  <c r="B1029" i="5"/>
  <c r="C257" i="32" s="1"/>
  <c r="B1028" i="5"/>
  <c r="C256" i="32" s="1"/>
  <c r="B1027" i="5"/>
  <c r="B1026" i="5"/>
  <c r="C255" i="32" s="1"/>
  <c r="B1025" i="5"/>
  <c r="C254" i="32" s="1"/>
  <c r="B1024" i="5"/>
  <c r="C253" i="32" s="1"/>
  <c r="B1023" i="5"/>
  <c r="C252" i="32" s="1"/>
  <c r="B1022" i="5"/>
  <c r="C251" i="32" s="1"/>
  <c r="B1021" i="5"/>
  <c r="C250" i="32" s="1"/>
  <c r="B1020" i="5"/>
  <c r="B1019" i="5"/>
  <c r="C249" i="32" s="1"/>
  <c r="B1018" i="5"/>
  <c r="C248" i="32" s="1"/>
  <c r="B1017" i="5"/>
  <c r="B1016" i="5"/>
  <c r="C247" i="32" s="1"/>
  <c r="B1015" i="5"/>
  <c r="C246" i="32" s="1"/>
  <c r="B1014" i="5"/>
  <c r="B1013" i="5"/>
  <c r="C245" i="32" s="1"/>
  <c r="B1012" i="5"/>
  <c r="C244" i="32" s="1"/>
  <c r="B1011" i="5"/>
  <c r="B1010" i="5"/>
  <c r="C243" i="32" s="1"/>
  <c r="B1009" i="5"/>
  <c r="C242" i="32" s="1"/>
  <c r="B1008" i="5"/>
  <c r="B1007" i="5"/>
  <c r="C241" i="32" s="1"/>
  <c r="B1006" i="5"/>
  <c r="C240" i="32" s="1"/>
  <c r="B1005" i="5"/>
  <c r="B1004" i="5"/>
  <c r="C239" i="32" s="1"/>
  <c r="B1003" i="5"/>
  <c r="C238" i="32" s="1"/>
  <c r="B1002" i="5"/>
  <c r="B1001" i="5"/>
  <c r="C237" i="32" s="1"/>
  <c r="B1000" i="5"/>
  <c r="C236" i="32" s="1"/>
  <c r="B999" i="5"/>
  <c r="C235" i="32" s="1"/>
  <c r="B998" i="5"/>
  <c r="C234" i="32" s="1"/>
  <c r="B997" i="5"/>
  <c r="C233" i="32" s="1"/>
  <c r="B996" i="5"/>
  <c r="B995" i="5"/>
  <c r="C232" i="32" s="1"/>
  <c r="B994" i="5"/>
  <c r="C231" i="32" s="1"/>
  <c r="B993" i="5"/>
  <c r="B992" i="5"/>
  <c r="C230" i="32" s="1"/>
  <c r="B991" i="5"/>
  <c r="C229" i="32" s="1"/>
  <c r="B990" i="5"/>
  <c r="B989" i="5"/>
  <c r="C228" i="32" s="1"/>
  <c r="B988" i="5"/>
  <c r="C227" i="32" s="1"/>
  <c r="B987" i="5"/>
  <c r="B986" i="5"/>
  <c r="C226" i="32" s="1"/>
  <c r="B985" i="5"/>
  <c r="C225" i="32" s="1"/>
  <c r="B984" i="5"/>
  <c r="B983" i="5"/>
  <c r="C224" i="32" s="1"/>
  <c r="B982" i="5"/>
  <c r="B981" i="5"/>
  <c r="C223" i="32" s="1"/>
  <c r="B980" i="5"/>
  <c r="C222" i="32" s="1"/>
  <c r="B979" i="5"/>
  <c r="C221" i="32" s="1"/>
  <c r="B978" i="5"/>
  <c r="C220" i="32" s="1"/>
  <c r="B977" i="5"/>
  <c r="B976" i="5"/>
  <c r="C219" i="32" s="1"/>
  <c r="B975" i="5"/>
  <c r="C218" i="32" s="1"/>
  <c r="B974" i="5"/>
  <c r="B973" i="5"/>
  <c r="C217" i="32" s="1"/>
  <c r="B972" i="5"/>
  <c r="B971" i="5"/>
  <c r="C216" i="32" s="1"/>
  <c r="B970" i="5"/>
  <c r="C215" i="32" s="1"/>
  <c r="B969" i="5"/>
  <c r="C214" i="32" s="1"/>
  <c r="B968" i="5"/>
  <c r="B967" i="5"/>
  <c r="C213" i="32" s="1"/>
  <c r="B966" i="5"/>
  <c r="C212" i="32" s="1"/>
  <c r="B965" i="5"/>
  <c r="C211" i="32" s="1"/>
  <c r="B964" i="5"/>
  <c r="C210" i="32" s="1"/>
  <c r="B963" i="5"/>
  <c r="B962" i="5"/>
  <c r="C209" i="32" s="1"/>
  <c r="B961" i="5"/>
  <c r="C208" i="32" s="1"/>
  <c r="B960" i="5"/>
  <c r="C207" i="32" s="1"/>
  <c r="B959" i="5"/>
  <c r="C206" i="32" s="1"/>
  <c r="B958" i="5"/>
  <c r="B957" i="5"/>
  <c r="C205" i="32" s="1"/>
  <c r="B956" i="5"/>
  <c r="C204" i="32" s="1"/>
  <c r="B955" i="5"/>
  <c r="C203" i="32" s="1"/>
  <c r="B954" i="5"/>
  <c r="C202" i="32" s="1"/>
  <c r="B953" i="5"/>
  <c r="C201" i="32" s="1"/>
  <c r="B952" i="5"/>
  <c r="B951" i="5"/>
  <c r="B950" i="5"/>
  <c r="C200" i="32" s="1"/>
  <c r="B949" i="5"/>
  <c r="C199" i="32" s="1"/>
  <c r="B948" i="5"/>
  <c r="C198" i="32" s="1"/>
  <c r="B947" i="5"/>
  <c r="B946" i="5"/>
  <c r="C197" i="32" s="1"/>
  <c r="B945" i="5"/>
  <c r="C196" i="32" s="1"/>
  <c r="B944" i="5"/>
  <c r="C195" i="32" s="1"/>
  <c r="B943" i="5"/>
  <c r="B942" i="5"/>
  <c r="C194" i="32" s="1"/>
  <c r="B941" i="5"/>
  <c r="C193" i="32" s="1"/>
  <c r="B940" i="5"/>
  <c r="C192" i="32" s="1"/>
  <c r="B939" i="5"/>
  <c r="B938" i="5"/>
  <c r="C191" i="32" s="1"/>
  <c r="B937" i="5"/>
  <c r="C190" i="32" s="1"/>
  <c r="B936" i="5"/>
  <c r="B935" i="5"/>
  <c r="C189" i="32" s="1"/>
  <c r="B934" i="5"/>
  <c r="C188" i="32" s="1"/>
  <c r="B933" i="5"/>
  <c r="B932" i="5"/>
  <c r="C187" i="32" s="1"/>
  <c r="B931" i="5"/>
  <c r="C186" i="32" s="1"/>
  <c r="B930" i="5"/>
  <c r="C185" i="32" s="1"/>
  <c r="B929" i="5"/>
  <c r="C184" i="32" s="1"/>
  <c r="B928" i="5"/>
  <c r="B927" i="5"/>
  <c r="C183" i="32" s="1"/>
  <c r="B926" i="5"/>
  <c r="C182" i="32" s="1"/>
  <c r="B925" i="5"/>
  <c r="B924" i="5"/>
  <c r="C181" i="32" s="1"/>
  <c r="B923" i="5"/>
  <c r="C180" i="32" s="1"/>
  <c r="B922" i="5"/>
  <c r="C179" i="32" s="1"/>
  <c r="B921" i="5"/>
  <c r="B920" i="5"/>
  <c r="C178" i="32" s="1"/>
  <c r="B919" i="5"/>
  <c r="C177" i="32" s="1"/>
  <c r="B918" i="5"/>
  <c r="C176" i="32" s="1"/>
  <c r="B917" i="5"/>
  <c r="C175" i="32" s="1"/>
  <c r="B916" i="5"/>
  <c r="B915" i="5"/>
  <c r="C174" i="32" s="1"/>
  <c r="B914" i="5"/>
  <c r="B913" i="5"/>
  <c r="C173" i="32" s="1"/>
  <c r="B912" i="5"/>
  <c r="C172" i="32" s="1"/>
  <c r="B911" i="5"/>
  <c r="C171" i="32" s="1"/>
  <c r="B910" i="5"/>
  <c r="C170" i="32" s="1"/>
  <c r="B909" i="5"/>
  <c r="C169" i="32" s="1"/>
  <c r="B908" i="5"/>
  <c r="C168" i="32" s="1"/>
  <c r="B907" i="5"/>
  <c r="C167" i="32" s="1"/>
  <c r="B906" i="5"/>
  <c r="B905" i="5"/>
  <c r="C166" i="32" s="1"/>
  <c r="B904" i="5"/>
  <c r="C165" i="32" s="1"/>
  <c r="B903" i="5"/>
  <c r="B902" i="5"/>
  <c r="C164" i="32" s="1"/>
  <c r="B901" i="5"/>
  <c r="C163" i="32" s="1"/>
  <c r="B900" i="5"/>
  <c r="C162" i="32" s="1"/>
  <c r="B899" i="5"/>
  <c r="B898" i="5"/>
  <c r="C161" i="32" s="1"/>
  <c r="B897" i="5"/>
  <c r="C160" i="32" s="1"/>
  <c r="B896" i="5"/>
  <c r="B895" i="5"/>
  <c r="C159" i="32" s="1"/>
  <c r="B894" i="5"/>
  <c r="C158" i="32" s="1"/>
  <c r="B893" i="5"/>
  <c r="C157" i="32" s="1"/>
  <c r="B892" i="5"/>
  <c r="C156" i="32" s="1"/>
  <c r="B891" i="5"/>
  <c r="C155" i="32" s="1"/>
  <c r="B890" i="5"/>
  <c r="C154" i="32" s="1"/>
  <c r="B889" i="5"/>
  <c r="B888" i="5"/>
  <c r="C153" i="32" s="1"/>
  <c r="B887" i="5"/>
  <c r="C152" i="32" s="1"/>
  <c r="B886" i="5"/>
  <c r="B885" i="5"/>
  <c r="C151" i="32" s="1"/>
  <c r="B884" i="5"/>
  <c r="C150" i="32" s="1"/>
  <c r="B883" i="5"/>
  <c r="C149" i="32" s="1"/>
  <c r="B882" i="5"/>
  <c r="C148" i="32" s="1"/>
  <c r="B881" i="5"/>
  <c r="C147" i="32" s="1"/>
  <c r="B880" i="5"/>
  <c r="C146" i="32" s="1"/>
  <c r="B879" i="5"/>
  <c r="C145" i="32" s="1"/>
  <c r="B878" i="5"/>
  <c r="B877" i="5"/>
  <c r="C144" i="32" s="1"/>
  <c r="B876" i="5"/>
  <c r="C143" i="32" s="1"/>
  <c r="B875" i="5"/>
  <c r="B874" i="5"/>
  <c r="C142" i="32" s="1"/>
  <c r="B873" i="5"/>
  <c r="C141" i="32" s="1"/>
  <c r="B872" i="5"/>
  <c r="C140" i="32" s="1"/>
  <c r="B871" i="5"/>
  <c r="C139" i="32" s="1"/>
  <c r="B870" i="5"/>
  <c r="B869" i="5"/>
  <c r="B868" i="5"/>
  <c r="C138" i="32" s="1"/>
  <c r="B867" i="5"/>
  <c r="C137" i="32" s="1"/>
  <c r="B866" i="5"/>
  <c r="B865" i="5"/>
  <c r="C136" i="32" s="1"/>
  <c r="B864" i="5"/>
  <c r="C135" i="32" s="1"/>
  <c r="B863" i="5"/>
  <c r="C134" i="32" s="1"/>
  <c r="B862" i="5"/>
  <c r="C133" i="32" s="1"/>
  <c r="B861" i="5"/>
  <c r="B860" i="5"/>
  <c r="C132" i="32" s="1"/>
  <c r="B859" i="5"/>
  <c r="C131" i="32" s="1"/>
  <c r="B858" i="5"/>
  <c r="C130" i="32" s="1"/>
  <c r="B857" i="5"/>
  <c r="B856" i="5"/>
  <c r="C129" i="32" s="1"/>
  <c r="B855" i="5"/>
  <c r="C128" i="32" s="1"/>
  <c r="B854" i="5"/>
  <c r="C127" i="32" s="1"/>
  <c r="B853" i="5"/>
  <c r="B852" i="5"/>
  <c r="C126" i="32" s="1"/>
  <c r="B851" i="5"/>
  <c r="C125" i="32" s="1"/>
  <c r="B850" i="5"/>
  <c r="B849" i="5"/>
  <c r="C124" i="32" s="1"/>
  <c r="B848" i="5"/>
  <c r="C123" i="32" s="1"/>
  <c r="B847" i="5"/>
  <c r="C122" i="32" s="1"/>
  <c r="B846" i="5"/>
  <c r="C121" i="32" s="1"/>
  <c r="B845" i="5"/>
  <c r="C120" i="32" s="1"/>
  <c r="B844" i="5"/>
  <c r="C119" i="32" s="1"/>
  <c r="B843" i="5"/>
  <c r="C118" i="32" s="1"/>
  <c r="B842" i="5"/>
  <c r="C117" i="32" s="1"/>
  <c r="B841" i="5"/>
  <c r="C116" i="32" s="1"/>
  <c r="B840" i="5"/>
  <c r="B839" i="5"/>
  <c r="C115" i="32" s="1"/>
  <c r="B838" i="5"/>
  <c r="B837" i="5"/>
  <c r="C114" i="32" s="1"/>
  <c r="B836" i="5"/>
  <c r="C113" i="32" s="1"/>
  <c r="B835" i="5"/>
  <c r="B834" i="5"/>
  <c r="C112" i="32" s="1"/>
  <c r="B833" i="5"/>
  <c r="C111" i="32" s="1"/>
  <c r="B832" i="5"/>
  <c r="B831" i="5"/>
  <c r="C110" i="32" s="1"/>
  <c r="B830" i="5"/>
  <c r="C109" i="32" s="1"/>
  <c r="B829" i="5"/>
  <c r="B828" i="5"/>
  <c r="C108" i="32" s="1"/>
  <c r="B827" i="5"/>
  <c r="C107" i="32" s="1"/>
  <c r="B826" i="5"/>
  <c r="B825" i="5"/>
  <c r="C106" i="32" s="1"/>
  <c r="B824" i="5"/>
  <c r="C105" i="32" s="1"/>
  <c r="B823" i="5"/>
  <c r="C104" i="32" s="1"/>
  <c r="B822" i="5"/>
  <c r="C103" i="32" s="1"/>
  <c r="B821" i="5"/>
  <c r="B820" i="5"/>
  <c r="C102" i="32" s="1"/>
  <c r="B819" i="5"/>
  <c r="C101" i="32" s="1"/>
  <c r="B818" i="5"/>
  <c r="B817" i="5"/>
  <c r="B816" i="5"/>
  <c r="B815" i="5"/>
  <c r="B814" i="5"/>
  <c r="C98" i="32" s="1"/>
  <c r="B813" i="5"/>
  <c r="B812" i="5"/>
  <c r="C97" i="32" s="1"/>
  <c r="B811" i="5"/>
  <c r="C96" i="32" s="1"/>
  <c r="B810" i="5"/>
  <c r="B809" i="5"/>
  <c r="C95" i="32" s="1"/>
  <c r="B808" i="5"/>
  <c r="C94" i="32" s="1"/>
  <c r="B807" i="5"/>
  <c r="C93" i="32" s="1"/>
  <c r="B806" i="5"/>
  <c r="B805" i="5"/>
  <c r="C92" i="32" s="1"/>
  <c r="B804" i="5"/>
  <c r="C91" i="32" s="1"/>
  <c r="B803" i="5"/>
  <c r="C90" i="32" s="1"/>
  <c r="B802" i="5"/>
  <c r="B801" i="5"/>
  <c r="C89" i="32" s="1"/>
  <c r="B800" i="5"/>
  <c r="C88" i="32" s="1"/>
  <c r="B799" i="5"/>
  <c r="C87" i="32" s="1"/>
  <c r="B798" i="5"/>
  <c r="B797" i="5"/>
  <c r="C86" i="32" s="1"/>
  <c r="B796" i="5"/>
  <c r="C85" i="32" s="1"/>
  <c r="B795" i="5"/>
  <c r="C84" i="32" s="1"/>
  <c r="B794" i="5"/>
  <c r="C83" i="32" s="1"/>
  <c r="B793" i="5"/>
  <c r="C82" i="32" s="1"/>
  <c r="B792" i="5"/>
  <c r="C81" i="32" s="1"/>
  <c r="B791" i="5"/>
  <c r="C80" i="32" s="1"/>
  <c r="B790" i="5"/>
  <c r="C79" i="32" s="1"/>
  <c r="B789" i="5"/>
  <c r="C78" i="32" s="1"/>
  <c r="B788" i="5"/>
  <c r="B787" i="5"/>
  <c r="C77" i="32" s="1"/>
  <c r="B786" i="5"/>
  <c r="C76" i="32" s="1"/>
  <c r="B785" i="5"/>
  <c r="C75" i="32" s="1"/>
  <c r="B784" i="5"/>
  <c r="C74" i="32" s="1"/>
  <c r="B783" i="5"/>
  <c r="C73" i="32" s="1"/>
  <c r="B782" i="5"/>
  <c r="C72" i="32" s="1"/>
  <c r="B781" i="5"/>
  <c r="C71" i="32" s="1"/>
  <c r="B780" i="5"/>
  <c r="C70" i="32" s="1"/>
  <c r="B779" i="5"/>
  <c r="C69" i="32" s="1"/>
  <c r="B778" i="5"/>
  <c r="B777" i="5"/>
  <c r="C68" i="32" s="1"/>
  <c r="B776" i="5"/>
  <c r="C66" i="32" s="1"/>
  <c r="B775" i="5"/>
  <c r="B774" i="5"/>
  <c r="C65" i="32" s="1"/>
  <c r="B773" i="5"/>
  <c r="C64" i="32" s="1"/>
  <c r="B772" i="5"/>
  <c r="B771" i="5"/>
  <c r="C63" i="32" s="1"/>
  <c r="B770" i="5"/>
  <c r="C62" i="32" s="1"/>
  <c r="B769" i="5"/>
  <c r="C61" i="32" s="1"/>
  <c r="B768" i="5"/>
  <c r="C60" i="32" s="1"/>
  <c r="B767" i="5"/>
  <c r="B766" i="5"/>
  <c r="B765" i="5"/>
  <c r="C59" i="32" s="1"/>
  <c r="B764" i="5"/>
  <c r="C58" i="32" s="1"/>
  <c r="B763" i="5"/>
  <c r="B762" i="5"/>
  <c r="C57" i="32" s="1"/>
  <c r="B761" i="5"/>
  <c r="C56" i="32" s="1"/>
  <c r="B760" i="5"/>
  <c r="C55" i="32" s="1"/>
  <c r="B759" i="5"/>
  <c r="B758" i="5"/>
  <c r="C54" i="32" s="1"/>
  <c r="B757" i="5"/>
  <c r="C53" i="32" s="1"/>
  <c r="B756" i="5"/>
  <c r="B755" i="5"/>
  <c r="C52" i="32" s="1"/>
  <c r="B754" i="5"/>
  <c r="C51" i="32" s="1"/>
  <c r="B753" i="5"/>
  <c r="C50" i="32" s="1"/>
  <c r="B752" i="5"/>
  <c r="C49" i="32" s="1"/>
  <c r="B751" i="5"/>
  <c r="B750" i="5"/>
  <c r="C48" i="32" s="1"/>
  <c r="B749" i="5"/>
  <c r="C47" i="32" s="1"/>
  <c r="B748" i="5"/>
  <c r="B747" i="5"/>
  <c r="C46" i="32" s="1"/>
  <c r="B746" i="5"/>
  <c r="C45" i="32" s="1"/>
  <c r="B745" i="5"/>
  <c r="C44" i="32" s="1"/>
  <c r="B744" i="5"/>
  <c r="B743" i="5"/>
  <c r="C43" i="32" s="1"/>
  <c r="B742" i="5"/>
  <c r="C42" i="32" s="1"/>
  <c r="B741" i="5"/>
  <c r="B740" i="5"/>
  <c r="C41" i="32" s="1"/>
  <c r="B739" i="5"/>
  <c r="C40" i="32" s="1"/>
  <c r="B738" i="5"/>
  <c r="C39" i="32" s="1"/>
  <c r="B737" i="5"/>
  <c r="C38" i="32" s="1"/>
  <c r="B736" i="5"/>
  <c r="C37" i="32" s="1"/>
  <c r="B735" i="5"/>
  <c r="B734" i="5"/>
  <c r="B733" i="5"/>
  <c r="C36" i="32" s="1"/>
  <c r="B732" i="5"/>
  <c r="C35" i="32" s="1"/>
  <c r="B731" i="5"/>
  <c r="B730" i="5"/>
  <c r="C34" i="32" s="1"/>
  <c r="B729" i="5"/>
  <c r="C33" i="32" s="1"/>
  <c r="B728" i="5"/>
  <c r="C32" i="32" s="1"/>
  <c r="B727" i="5"/>
  <c r="C31" i="32" s="1"/>
  <c r="B726" i="5"/>
  <c r="C30" i="32" s="1"/>
  <c r="B725" i="5"/>
  <c r="C29" i="32" s="1"/>
  <c r="B724" i="5"/>
  <c r="B723" i="5"/>
  <c r="C28" i="32" s="1"/>
  <c r="B722" i="5"/>
  <c r="B721" i="5"/>
  <c r="C27" i="32" s="1"/>
  <c r="B720" i="5"/>
  <c r="C26" i="32" s="1"/>
  <c r="B719" i="5"/>
  <c r="C25" i="32" s="1"/>
  <c r="B718" i="5"/>
  <c r="C24" i="32" s="1"/>
  <c r="B717" i="5"/>
  <c r="C23" i="32" s="1"/>
  <c r="B716" i="5"/>
  <c r="C22" i="32" s="1"/>
  <c r="B715" i="5"/>
  <c r="B714" i="5"/>
  <c r="C21" i="32" s="1"/>
  <c r="B713" i="5"/>
  <c r="C20" i="32" s="1"/>
  <c r="B712" i="5"/>
  <c r="B711" i="5"/>
  <c r="C19" i="32" s="1"/>
  <c r="B710" i="5"/>
  <c r="C18" i="32" s="1"/>
  <c r="B709" i="5"/>
  <c r="C17" i="32" s="1"/>
  <c r="B708" i="5"/>
  <c r="C16" i="32" s="1"/>
  <c r="B707" i="5"/>
  <c r="B706" i="5"/>
  <c r="B705" i="5"/>
  <c r="C15" i="32" s="1"/>
  <c r="B704" i="5"/>
  <c r="C14" i="32" s="1"/>
  <c r="B703" i="5"/>
  <c r="C13" i="32" s="1"/>
  <c r="B702" i="5"/>
  <c r="B701" i="5"/>
  <c r="C12" i="32" s="1"/>
  <c r="B700" i="5"/>
  <c r="C572" i="32" s="1"/>
  <c r="B699" i="5"/>
  <c r="C10" i="32" s="1"/>
  <c r="B698" i="5"/>
  <c r="C9" i="32" s="1"/>
  <c r="B697" i="5"/>
  <c r="C7" i="32" s="1"/>
  <c r="B696" i="5"/>
  <c r="C6" i="32" s="1"/>
  <c r="B695" i="5"/>
  <c r="C5" i="32" s="1"/>
  <c r="B694" i="5"/>
  <c r="C4" i="32" s="1"/>
  <c r="B693" i="5"/>
  <c r="B692" i="5"/>
  <c r="E572" i="32" s="1"/>
  <c r="B691" i="5"/>
  <c r="B690" i="5"/>
  <c r="B689" i="5"/>
  <c r="B688" i="5"/>
  <c r="B687" i="5"/>
  <c r="B686" i="5"/>
  <c r="B685" i="5"/>
  <c r="E12" i="32" s="1"/>
  <c r="B684" i="5"/>
  <c r="B683" i="5"/>
  <c r="B682" i="5"/>
  <c r="B681" i="5"/>
  <c r="B680" i="5"/>
  <c r="B679" i="5"/>
  <c r="B678" i="5"/>
  <c r="E10" i="32" s="1"/>
  <c r="B677" i="5"/>
  <c r="B676" i="5"/>
  <c r="B675" i="5"/>
  <c r="B674" i="5"/>
  <c r="B673" i="5"/>
  <c r="B672" i="5"/>
  <c r="B671" i="5"/>
  <c r="B670" i="5"/>
  <c r="B669" i="5"/>
  <c r="B668" i="5"/>
  <c r="B667" i="5"/>
  <c r="B666" i="5"/>
  <c r="E4" i="32" s="1"/>
  <c r="F4" i="32" s="1"/>
  <c r="B665" i="5"/>
  <c r="E5" i="32" s="1"/>
  <c r="B664" i="5"/>
  <c r="B663" i="5"/>
  <c r="B662" i="5"/>
  <c r="B661" i="5"/>
  <c r="B660" i="5"/>
  <c r="B659" i="5"/>
  <c r="B658" i="5"/>
  <c r="B657" i="5"/>
  <c r="B656" i="5"/>
  <c r="B655" i="5"/>
  <c r="B654" i="5"/>
  <c r="B653" i="5"/>
  <c r="B652" i="5"/>
  <c r="B651" i="5"/>
  <c r="B650" i="5"/>
  <c r="B649" i="5"/>
  <c r="B648" i="5"/>
  <c r="B647" i="5"/>
  <c r="B646" i="5"/>
  <c r="B645" i="5"/>
  <c r="B644" i="5"/>
  <c r="B643" i="5"/>
  <c r="B642" i="5"/>
  <c r="B641" i="5"/>
  <c r="B640" i="5"/>
  <c r="B639" i="5"/>
  <c r="B638" i="5"/>
  <c r="B637" i="5"/>
  <c r="B636" i="5"/>
  <c r="C45" i="3" s="1"/>
  <c r="B635" i="5"/>
  <c r="B634" i="5"/>
  <c r="B633" i="5"/>
  <c r="B632" i="5"/>
  <c r="B631" i="5"/>
  <c r="B630" i="5"/>
  <c r="B629" i="5"/>
  <c r="B628" i="5"/>
  <c r="B627" i="5"/>
  <c r="B626" i="5"/>
  <c r="B625" i="5"/>
  <c r="B624" i="5"/>
  <c r="B623" i="5"/>
  <c r="B622" i="5"/>
  <c r="B621" i="5"/>
  <c r="B620" i="5"/>
  <c r="B619" i="5"/>
  <c r="B618" i="5"/>
  <c r="B617" i="5"/>
  <c r="B616" i="5"/>
  <c r="B615" i="5"/>
  <c r="B614" i="5"/>
  <c r="B613" i="5"/>
  <c r="B612" i="5"/>
  <c r="C67" i="32" s="1"/>
  <c r="B611" i="5"/>
  <c r="B610" i="5"/>
  <c r="B609" i="5"/>
  <c r="B608" i="5"/>
  <c r="B607" i="5"/>
  <c r="B606" i="5"/>
  <c r="B605" i="5"/>
  <c r="B604" i="5"/>
  <c r="B603" i="5"/>
  <c r="B602" i="5"/>
  <c r="B601" i="5"/>
  <c r="B600" i="5"/>
  <c r="B599" i="5"/>
  <c r="B598" i="5"/>
  <c r="B597" i="5"/>
  <c r="B596" i="5"/>
  <c r="B595" i="5"/>
  <c r="B594" i="5"/>
  <c r="B593" i="5"/>
  <c r="B592" i="5"/>
  <c r="B591" i="5"/>
  <c r="B590" i="5"/>
  <c r="B589" i="5"/>
  <c r="B588" i="5"/>
  <c r="B587" i="5"/>
  <c r="B586" i="5"/>
  <c r="B585" i="5"/>
  <c r="B584" i="5"/>
  <c r="B583" i="5"/>
  <c r="B582" i="5"/>
  <c r="B581" i="5"/>
  <c r="B580" i="5"/>
  <c r="B579" i="5"/>
  <c r="B578" i="5"/>
  <c r="B577" i="5"/>
  <c r="B576" i="5"/>
  <c r="B575" i="5"/>
  <c r="B574" i="5"/>
  <c r="B573" i="5"/>
  <c r="B572" i="5"/>
  <c r="B571" i="5"/>
  <c r="B570" i="5"/>
  <c r="B569" i="5"/>
  <c r="B568" i="5"/>
  <c r="B567" i="5"/>
  <c r="B566" i="5"/>
  <c r="B565" i="5"/>
  <c r="B564" i="5"/>
  <c r="B563" i="5"/>
  <c r="B562" i="5"/>
  <c r="B561" i="5"/>
  <c r="B560" i="5"/>
  <c r="B559" i="5"/>
  <c r="B558" i="5"/>
  <c r="B557" i="5"/>
  <c r="B556" i="5"/>
  <c r="B555" i="5"/>
  <c r="B554" i="5"/>
  <c r="B553" i="5"/>
  <c r="B552" i="5"/>
  <c r="B551" i="5"/>
  <c r="B550" i="5"/>
  <c r="B549" i="5"/>
  <c r="B548" i="5"/>
  <c r="B547" i="5"/>
  <c r="B546" i="5"/>
  <c r="B545" i="5"/>
  <c r="B544" i="5"/>
  <c r="B543" i="5"/>
  <c r="B542" i="5"/>
  <c r="B541" i="5"/>
  <c r="B540" i="5"/>
  <c r="B539" i="5"/>
  <c r="B538" i="5"/>
  <c r="B537" i="5"/>
  <c r="B536" i="5"/>
  <c r="B535" i="5"/>
  <c r="B534" i="5"/>
  <c r="B533" i="5"/>
  <c r="B532" i="5"/>
  <c r="B531" i="5"/>
  <c r="B530" i="5"/>
  <c r="B529" i="5"/>
  <c r="B528" i="5"/>
  <c r="B527" i="5"/>
  <c r="B526" i="5"/>
  <c r="B525" i="5"/>
  <c r="B524" i="5"/>
  <c r="B523" i="5"/>
  <c r="B522" i="5"/>
  <c r="B521" i="5"/>
  <c r="B520" i="5"/>
  <c r="B519" i="5"/>
  <c r="B518" i="5"/>
  <c r="B517" i="5"/>
  <c r="B516" i="5"/>
  <c r="B515" i="5"/>
  <c r="B514" i="5"/>
  <c r="B513" i="5"/>
  <c r="B512" i="5"/>
  <c r="B511" i="5"/>
  <c r="B510" i="5"/>
  <c r="B509" i="5"/>
  <c r="B508" i="5"/>
  <c r="B507" i="5"/>
  <c r="B506" i="5"/>
  <c r="B505" i="5"/>
  <c r="B504" i="5"/>
  <c r="B503" i="5"/>
  <c r="B502" i="5"/>
  <c r="B501" i="5"/>
  <c r="B500" i="5"/>
  <c r="B499" i="5"/>
  <c r="B498" i="5"/>
  <c r="B497" i="5"/>
  <c r="B496" i="5"/>
  <c r="B495" i="5"/>
  <c r="B494" i="5"/>
  <c r="B493" i="5"/>
  <c r="B492" i="5"/>
  <c r="B491" i="5"/>
  <c r="B490" i="5"/>
  <c r="B489" i="5"/>
  <c r="B488" i="5"/>
  <c r="B487" i="5"/>
  <c r="B486" i="5"/>
  <c r="B485" i="5"/>
  <c r="C114" i="3" s="1"/>
  <c r="B484" i="5"/>
  <c r="B483" i="5"/>
  <c r="B482" i="5"/>
  <c r="B481" i="5"/>
  <c r="B480" i="5"/>
  <c r="B479" i="5"/>
  <c r="B478" i="5"/>
  <c r="B477" i="5"/>
  <c r="B476" i="5"/>
  <c r="B475" i="5"/>
  <c r="B474" i="5"/>
  <c r="B473" i="5"/>
  <c r="B472" i="5"/>
  <c r="B471" i="5"/>
  <c r="B470" i="5"/>
  <c r="B469" i="5"/>
  <c r="B468" i="5"/>
  <c r="B467" i="5"/>
  <c r="B466" i="5"/>
  <c r="B465" i="5"/>
  <c r="B464" i="5"/>
  <c r="B463" i="5"/>
  <c r="B462" i="5"/>
  <c r="B461" i="5"/>
  <c r="B460" i="5"/>
  <c r="B459" i="5"/>
  <c r="B458" i="5"/>
  <c r="B457" i="5"/>
  <c r="B456" i="5"/>
  <c r="B455" i="5"/>
  <c r="B454" i="5"/>
  <c r="B453" i="5"/>
  <c r="B452" i="5"/>
  <c r="B451" i="5"/>
  <c r="B450" i="5"/>
  <c r="B449" i="5"/>
  <c r="B448" i="5"/>
  <c r="B447" i="5"/>
  <c r="B446" i="5"/>
  <c r="B445" i="5"/>
  <c r="B444" i="5"/>
  <c r="B443" i="5"/>
  <c r="B442" i="5"/>
  <c r="B441" i="5"/>
  <c r="B440" i="5"/>
  <c r="B439" i="5"/>
  <c r="B438" i="5"/>
  <c r="B437" i="5"/>
  <c r="B436" i="5"/>
  <c r="B435" i="5"/>
  <c r="B434" i="5"/>
  <c r="B433" i="5"/>
  <c r="B432" i="5"/>
  <c r="B431" i="5"/>
  <c r="B430" i="5"/>
  <c r="B429" i="5"/>
  <c r="B428" i="5"/>
  <c r="B427" i="5"/>
  <c r="B426" i="5"/>
  <c r="B425" i="5"/>
  <c r="B424" i="5"/>
  <c r="B423" i="5"/>
  <c r="B422" i="5"/>
  <c r="B421" i="5"/>
  <c r="B420" i="5"/>
  <c r="B419" i="5"/>
  <c r="B418" i="5"/>
  <c r="B417" i="5"/>
  <c r="B416" i="5"/>
  <c r="B415" i="5"/>
  <c r="B414"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341" i="5"/>
  <c r="B340" i="5"/>
  <c r="B339" i="5"/>
  <c r="B338" i="5"/>
  <c r="B337" i="5"/>
  <c r="B336" i="5"/>
  <c r="B335" i="5"/>
  <c r="B334" i="5"/>
  <c r="B333" i="5"/>
  <c r="B332" i="5"/>
  <c r="B331" i="5"/>
  <c r="B330" i="5"/>
  <c r="B329" i="5"/>
  <c r="B328" i="5"/>
  <c r="B327" i="5"/>
  <c r="B326" i="5"/>
  <c r="B325" i="5"/>
  <c r="B324" i="5"/>
  <c r="B323" i="5"/>
  <c r="B322" i="5"/>
  <c r="B321" i="5"/>
  <c r="B320" i="5"/>
  <c r="B319" i="5"/>
  <c r="B318" i="5"/>
  <c r="B317" i="5"/>
  <c r="B316" i="5"/>
  <c r="B315" i="5"/>
  <c r="B314" i="5"/>
  <c r="B313" i="5"/>
  <c r="B312" i="5"/>
  <c r="B311" i="5"/>
  <c r="B310" i="5"/>
  <c r="B309" i="5"/>
  <c r="B308" i="5"/>
  <c r="B307" i="5"/>
  <c r="B306" i="5"/>
  <c r="B305" i="5"/>
  <c r="B304" i="5"/>
  <c r="B303" i="5"/>
  <c r="B302" i="5"/>
  <c r="B301" i="5"/>
  <c r="B300" i="5"/>
  <c r="B299" i="5"/>
  <c r="B298" i="5"/>
  <c r="B297" i="5"/>
  <c r="B296" i="5"/>
  <c r="B295" i="5"/>
  <c r="B294" i="5"/>
  <c r="B293" i="5"/>
  <c r="B292" i="5"/>
  <c r="B291" i="5"/>
  <c r="B290" i="5"/>
  <c r="B289" i="5"/>
  <c r="B288" i="5"/>
  <c r="B287" i="5"/>
  <c r="B286" i="5"/>
  <c r="B285" i="5"/>
  <c r="B284" i="5"/>
  <c r="B283" i="5"/>
  <c r="B282" i="5"/>
  <c r="B281" i="5"/>
  <c r="B280" i="5"/>
  <c r="B279" i="5"/>
  <c r="B278" i="5"/>
  <c r="B277" i="5"/>
  <c r="B276" i="5"/>
  <c r="B275" i="5"/>
  <c r="B274" i="5"/>
  <c r="B273" i="5"/>
  <c r="B272" i="5"/>
  <c r="B271" i="5"/>
  <c r="B270" i="5"/>
  <c r="B269" i="5"/>
  <c r="B268" i="5"/>
  <c r="B267" i="5"/>
  <c r="B266" i="5"/>
  <c r="B265" i="5"/>
  <c r="B264" i="5"/>
  <c r="B263" i="5"/>
  <c r="B262" i="5"/>
  <c r="B261" i="5"/>
  <c r="B260" i="5"/>
  <c r="B259" i="5"/>
  <c r="B258" i="5"/>
  <c r="B257" i="5"/>
  <c r="B256" i="5"/>
  <c r="B255" i="5"/>
  <c r="B254" i="5"/>
  <c r="B253" i="5"/>
  <c r="B252" i="5"/>
  <c r="B251" i="5"/>
  <c r="B250" i="5"/>
  <c r="B249" i="5"/>
  <c r="B248" i="5"/>
  <c r="B247" i="5"/>
  <c r="B246" i="5"/>
  <c r="B245" i="5"/>
  <c r="B244" i="5"/>
  <c r="B243" i="5"/>
  <c r="B242" i="5"/>
  <c r="B241" i="5"/>
  <c r="B240" i="5"/>
  <c r="B239" i="5"/>
  <c r="B238" i="5"/>
  <c r="B237" i="5"/>
  <c r="B236" i="5"/>
  <c r="B235" i="5"/>
  <c r="B234" i="5"/>
  <c r="B233" i="5"/>
  <c r="B232" i="5"/>
  <c r="B231" i="5"/>
  <c r="B230" i="5"/>
  <c r="B229" i="5"/>
  <c r="B228" i="5"/>
  <c r="B227" i="5"/>
  <c r="B226" i="5"/>
  <c r="B225" i="5"/>
  <c r="B224" i="5"/>
  <c r="B223" i="5"/>
  <c r="B222" i="5"/>
  <c r="B221" i="5"/>
  <c r="B220" i="5"/>
  <c r="B219" i="5"/>
  <c r="B218" i="5"/>
  <c r="B217" i="5"/>
  <c r="B216" i="5"/>
  <c r="B215" i="5"/>
  <c r="B214" i="5"/>
  <c r="B213" i="5"/>
  <c r="B212" i="5"/>
  <c r="B211" i="5"/>
  <c r="B210" i="5"/>
  <c r="B209" i="5"/>
  <c r="B208" i="5"/>
  <c r="B207" i="5"/>
  <c r="B206" i="5"/>
  <c r="B205" i="5"/>
  <c r="B204" i="5"/>
  <c r="B203" i="5"/>
  <c r="B202" i="5"/>
  <c r="B201" i="5"/>
  <c r="B200" i="5"/>
  <c r="B199" i="5"/>
  <c r="B198" i="5"/>
  <c r="B197"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62" i="5"/>
  <c r="B161" i="5"/>
  <c r="B160" i="5"/>
  <c r="B159" i="5"/>
  <c r="B158" i="5"/>
  <c r="B157" i="5"/>
  <c r="B156" i="5"/>
  <c r="B155" i="5"/>
  <c r="B154" i="5"/>
  <c r="B153" i="5"/>
  <c r="B152" i="5"/>
  <c r="B151" i="5"/>
  <c r="B150" i="5"/>
  <c r="B149" i="5"/>
  <c r="B148" i="5"/>
  <c r="B147" i="5"/>
  <c r="B146" i="5"/>
  <c r="B145" i="5"/>
  <c r="B144" i="5"/>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E81" i="10" s="1"/>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W2" i="7"/>
  <c r="B117" i="3" l="1"/>
  <c r="B116" i="3"/>
  <c r="B115" i="3"/>
  <c r="K109" i="3"/>
  <c r="E729" i="29"/>
  <c r="E509" i="29"/>
  <c r="E773" i="29"/>
  <c r="E465" i="29"/>
  <c r="E421" i="29"/>
  <c r="E289" i="29"/>
  <c r="E245" i="29"/>
  <c r="E157" i="29"/>
  <c r="E553" i="29"/>
  <c r="E861" i="29"/>
  <c r="E377" i="29"/>
  <c r="E333" i="29"/>
  <c r="E201" i="29"/>
  <c r="E817" i="29"/>
  <c r="E685" i="29"/>
  <c r="E597" i="29"/>
  <c r="E641" i="29"/>
  <c r="E113" i="29"/>
  <c r="E622" i="29"/>
  <c r="E886" i="29"/>
  <c r="E798" i="29"/>
  <c r="E754" i="29"/>
  <c r="E666" i="29"/>
  <c r="E842" i="29"/>
  <c r="E446" i="29"/>
  <c r="E182" i="29"/>
  <c r="E490" i="29"/>
  <c r="E534" i="29"/>
  <c r="E578" i="29"/>
  <c r="E402" i="29"/>
  <c r="E710" i="29"/>
  <c r="E270" i="29"/>
  <c r="E226" i="29"/>
  <c r="E314" i="29"/>
  <c r="E138" i="29"/>
  <c r="E358" i="29"/>
  <c r="H764" i="29"/>
  <c r="H720" i="29"/>
  <c r="H588" i="29"/>
  <c r="H544" i="29"/>
  <c r="H808" i="29"/>
  <c r="H676" i="29"/>
  <c r="H632" i="29"/>
  <c r="H368" i="29"/>
  <c r="H192" i="29"/>
  <c r="H104" i="29"/>
  <c r="H500" i="29"/>
  <c r="H280" i="29"/>
  <c r="H852" i="29"/>
  <c r="H412" i="29"/>
  <c r="H456" i="29"/>
  <c r="H236" i="29"/>
  <c r="H148" i="29"/>
  <c r="H324" i="29"/>
  <c r="E840" i="29"/>
  <c r="E532" i="29"/>
  <c r="E884" i="29"/>
  <c r="E356" i="29"/>
  <c r="E312" i="29"/>
  <c r="E136" i="29"/>
  <c r="E620" i="29"/>
  <c r="E444" i="29"/>
  <c r="E796" i="29"/>
  <c r="E752" i="29"/>
  <c r="E664" i="29"/>
  <c r="E400" i="29"/>
  <c r="E180" i="29"/>
  <c r="E488" i="29"/>
  <c r="E708" i="29"/>
  <c r="E268" i="29"/>
  <c r="E224" i="29"/>
  <c r="E576" i="29"/>
  <c r="K643" i="29"/>
  <c r="K632" i="29"/>
  <c r="K620" i="29"/>
  <c r="K884" i="29"/>
  <c r="K863" i="29"/>
  <c r="K852" i="29"/>
  <c r="K819" i="29"/>
  <c r="K808" i="29"/>
  <c r="K796" i="29"/>
  <c r="K752" i="29"/>
  <c r="K687" i="29"/>
  <c r="K676" i="29"/>
  <c r="K664" i="29"/>
  <c r="K588" i="29"/>
  <c r="K555" i="29"/>
  <c r="K444" i="29"/>
  <c r="K180" i="29"/>
  <c r="K599" i="29"/>
  <c r="K532" i="29"/>
  <c r="K335" i="29"/>
  <c r="K775" i="29"/>
  <c r="K708" i="29"/>
  <c r="K488" i="29"/>
  <c r="K467" i="29"/>
  <c r="K356" i="29"/>
  <c r="K280" i="29"/>
  <c r="K764" i="29"/>
  <c r="K544" i="29"/>
  <c r="K412" i="29"/>
  <c r="K368" i="29"/>
  <c r="K324" i="29"/>
  <c r="K312" i="29"/>
  <c r="K291" i="29"/>
  <c r="K268" i="29"/>
  <c r="K236" i="29"/>
  <c r="K136" i="29"/>
  <c r="K104" i="29"/>
  <c r="K731" i="29"/>
  <c r="K500" i="29"/>
  <c r="K456" i="29"/>
  <c r="K400" i="29"/>
  <c r="K576" i="29"/>
  <c r="K115" i="29"/>
  <c r="K720" i="29"/>
  <c r="K511" i="29"/>
  <c r="K148" i="29"/>
  <c r="K840" i="29"/>
  <c r="K224" i="29"/>
  <c r="K203" i="29"/>
  <c r="K423" i="29"/>
  <c r="K379" i="29"/>
  <c r="K247" i="29"/>
  <c r="K192" i="29"/>
  <c r="K159" i="29"/>
  <c r="E611" i="29"/>
  <c r="E875" i="29"/>
  <c r="E787" i="29"/>
  <c r="E743" i="29"/>
  <c r="E655" i="29"/>
  <c r="E831" i="29"/>
  <c r="E523" i="29"/>
  <c r="E435" i="29"/>
  <c r="E171" i="29"/>
  <c r="E567" i="29"/>
  <c r="E479" i="29"/>
  <c r="E699" i="29"/>
  <c r="E303" i="29"/>
  <c r="E259" i="29"/>
  <c r="E127" i="29"/>
  <c r="E391" i="29"/>
  <c r="E215" i="29"/>
  <c r="E347" i="29"/>
  <c r="E775" i="29"/>
  <c r="E599" i="29"/>
  <c r="E555" i="29"/>
  <c r="E863" i="29"/>
  <c r="E731" i="29"/>
  <c r="E511" i="29"/>
  <c r="E379" i="29"/>
  <c r="E203" i="29"/>
  <c r="E115" i="29"/>
  <c r="E643" i="29"/>
  <c r="E819" i="29"/>
  <c r="E687" i="29"/>
  <c r="E423" i="29"/>
  <c r="E159" i="29"/>
  <c r="E467" i="29"/>
  <c r="E335" i="29"/>
  <c r="E291" i="29"/>
  <c r="E247" i="29"/>
  <c r="E887" i="29"/>
  <c r="E799" i="29"/>
  <c r="E755" i="29"/>
  <c r="E667" i="29"/>
  <c r="E579" i="29"/>
  <c r="E711" i="29"/>
  <c r="E491" i="29"/>
  <c r="E623" i="29"/>
  <c r="E535" i="29"/>
  <c r="E403" i="29"/>
  <c r="E447" i="29"/>
  <c r="E183" i="29"/>
  <c r="E359" i="29"/>
  <c r="E315" i="29"/>
  <c r="E271" i="29"/>
  <c r="E139" i="29"/>
  <c r="E843" i="29"/>
  <c r="E227" i="29"/>
  <c r="E704" i="29"/>
  <c r="E836" i="29"/>
  <c r="E572" i="29"/>
  <c r="E396" i="29"/>
  <c r="E264" i="29"/>
  <c r="E220" i="29"/>
  <c r="E352" i="29"/>
  <c r="E880" i="29"/>
  <c r="E792" i="29"/>
  <c r="E748" i="29"/>
  <c r="E660" i="29"/>
  <c r="E616" i="29"/>
  <c r="E176" i="29"/>
  <c r="E484" i="29"/>
  <c r="E440" i="29"/>
  <c r="E308" i="29"/>
  <c r="E528" i="29"/>
  <c r="E132" i="29"/>
  <c r="L863" i="29"/>
  <c r="L852" i="29"/>
  <c r="L819" i="29"/>
  <c r="L808" i="29"/>
  <c r="L687" i="29"/>
  <c r="L676" i="29"/>
  <c r="L731" i="29"/>
  <c r="L775" i="29"/>
  <c r="L643" i="29"/>
  <c r="L599" i="29"/>
  <c r="L335" i="29"/>
  <c r="L324" i="29"/>
  <c r="L500" i="29"/>
  <c r="L467" i="29"/>
  <c r="L412" i="29"/>
  <c r="L720" i="29"/>
  <c r="L456" i="29"/>
  <c r="L423" i="29"/>
  <c r="L764" i="29"/>
  <c r="L632" i="29"/>
  <c r="L588" i="29"/>
  <c r="L544" i="29"/>
  <c r="L368" i="29"/>
  <c r="L291" i="29"/>
  <c r="L236" i="29"/>
  <c r="L104" i="29"/>
  <c r="L511" i="29"/>
  <c r="L247" i="29"/>
  <c r="L192" i="29"/>
  <c r="L148" i="29"/>
  <c r="L115" i="29"/>
  <c r="L280" i="29"/>
  <c r="L203" i="29"/>
  <c r="L379" i="29"/>
  <c r="L159" i="29"/>
  <c r="L555" i="29"/>
  <c r="M708" i="29"/>
  <c r="M840" i="29"/>
  <c r="M400" i="29"/>
  <c r="M268" i="29"/>
  <c r="M224" i="29"/>
  <c r="M576" i="29"/>
  <c r="M796" i="29"/>
  <c r="M752" i="29"/>
  <c r="M664" i="29"/>
  <c r="M356" i="29"/>
  <c r="M620" i="29"/>
  <c r="M488" i="29"/>
  <c r="M532" i="29"/>
  <c r="M444" i="29"/>
  <c r="M884" i="29"/>
  <c r="M312" i="29"/>
  <c r="M136" i="29"/>
  <c r="M180" i="29"/>
  <c r="E54" i="29"/>
  <c r="E626" i="29"/>
  <c r="E890" i="29"/>
  <c r="E802" i="29"/>
  <c r="E758" i="29"/>
  <c r="E670" i="29"/>
  <c r="E582" i="29"/>
  <c r="E450" i="29"/>
  <c r="E186" i="29"/>
  <c r="E494" i="29"/>
  <c r="E846" i="29"/>
  <c r="E714" i="29"/>
  <c r="E230" i="29"/>
  <c r="E538" i="29"/>
  <c r="E406" i="29"/>
  <c r="E362" i="29"/>
  <c r="E318" i="29"/>
  <c r="E142" i="29"/>
  <c r="E274" i="29"/>
  <c r="E830" i="29"/>
  <c r="E522" i="29"/>
  <c r="E786" i="29"/>
  <c r="E742" i="29"/>
  <c r="E698" i="29"/>
  <c r="E654" i="29"/>
  <c r="E610" i="29"/>
  <c r="E346" i="29"/>
  <c r="E302" i="29"/>
  <c r="E126" i="29"/>
  <c r="E434" i="29"/>
  <c r="E566" i="29"/>
  <c r="E258" i="29"/>
  <c r="E874" i="29"/>
  <c r="E478" i="29"/>
  <c r="E390" i="29"/>
  <c r="E170" i="29"/>
  <c r="E214" i="29"/>
  <c r="E712" i="29"/>
  <c r="E844" i="29"/>
  <c r="E624" i="29"/>
  <c r="E536" i="29"/>
  <c r="E404" i="29"/>
  <c r="E272" i="29"/>
  <c r="E228" i="29"/>
  <c r="E360" i="29"/>
  <c r="E888" i="29"/>
  <c r="E580" i="29"/>
  <c r="E316" i="29"/>
  <c r="E140" i="29"/>
  <c r="E756" i="29"/>
  <c r="E800" i="29"/>
  <c r="E668" i="29"/>
  <c r="E492" i="29"/>
  <c r="E184" i="29"/>
  <c r="E448" i="29"/>
  <c r="L884" i="29"/>
  <c r="L796" i="29"/>
  <c r="L752" i="29"/>
  <c r="L664" i="29"/>
  <c r="L576" i="29"/>
  <c r="L708" i="29"/>
  <c r="L620" i="29"/>
  <c r="L532" i="29"/>
  <c r="L488" i="29"/>
  <c r="L840" i="29"/>
  <c r="L400" i="29"/>
  <c r="L312" i="29"/>
  <c r="L268" i="29"/>
  <c r="L136" i="29"/>
  <c r="L224" i="29"/>
  <c r="L444" i="29"/>
  <c r="L356" i="29"/>
  <c r="L180" i="29"/>
  <c r="E500" i="29"/>
  <c r="E764" i="29"/>
  <c r="E720" i="29"/>
  <c r="E544" i="29"/>
  <c r="E456" i="29"/>
  <c r="E412" i="29"/>
  <c r="E280" i="29"/>
  <c r="E236" i="29"/>
  <c r="E148" i="29"/>
  <c r="E588" i="29"/>
  <c r="E808" i="29"/>
  <c r="E676" i="29"/>
  <c r="E632" i="29"/>
  <c r="E368" i="29"/>
  <c r="E852" i="29"/>
  <c r="E324" i="29"/>
  <c r="E104" i="29"/>
  <c r="E192" i="29"/>
  <c r="D878" i="29"/>
  <c r="D790" i="29"/>
  <c r="D746" i="29"/>
  <c r="D658" i="29"/>
  <c r="D570" i="29"/>
  <c r="D702" i="29"/>
  <c r="D482" i="29"/>
  <c r="D394" i="29"/>
  <c r="D834" i="29"/>
  <c r="D438" i="29"/>
  <c r="D218" i="29"/>
  <c r="D350" i="29"/>
  <c r="D174" i="29"/>
  <c r="D526" i="29"/>
  <c r="D614" i="29"/>
  <c r="D306" i="29"/>
  <c r="D130" i="29"/>
  <c r="D262" i="29"/>
  <c r="E841" i="29"/>
  <c r="E533" i="29"/>
  <c r="E797" i="29"/>
  <c r="E753" i="29"/>
  <c r="E709" i="29"/>
  <c r="E665" i="29"/>
  <c r="E577" i="29"/>
  <c r="E357" i="29"/>
  <c r="E313" i="29"/>
  <c r="E137" i="29"/>
  <c r="E445" i="29"/>
  <c r="E225" i="29"/>
  <c r="E885" i="29"/>
  <c r="E181" i="29"/>
  <c r="E621" i="29"/>
  <c r="E269" i="29"/>
  <c r="E489" i="29"/>
  <c r="E401" i="29"/>
  <c r="F5" i="32"/>
  <c r="E8" i="32"/>
  <c r="C8" i="32"/>
  <c r="C100" i="32"/>
  <c r="C99" i="32"/>
  <c r="E11" i="32"/>
  <c r="C11" i="32"/>
  <c r="E511" i="32"/>
  <c r="E507" i="32"/>
  <c r="E503" i="32"/>
  <c r="E499" i="32"/>
  <c r="E495" i="32"/>
  <c r="E491" i="32"/>
  <c r="E487" i="32"/>
  <c r="E483" i="32"/>
  <c r="E479" i="32"/>
  <c r="E475" i="32"/>
  <c r="E471" i="32"/>
  <c r="E467" i="32"/>
  <c r="E463" i="32"/>
  <c r="E459" i="32"/>
  <c r="E455" i="32"/>
  <c r="E451" i="32"/>
  <c r="E447" i="32"/>
  <c r="E443" i="32"/>
  <c r="E439" i="32"/>
  <c r="E435" i="32"/>
  <c r="E431" i="32"/>
  <c r="E427" i="32"/>
  <c r="E423" i="32"/>
  <c r="E419" i="32"/>
  <c r="E415" i="32"/>
  <c r="E411" i="32"/>
  <c r="E407" i="32"/>
  <c r="E403" i="32"/>
  <c r="E399" i="32"/>
  <c r="E395" i="32"/>
  <c r="E391" i="32"/>
  <c r="E387" i="32"/>
  <c r="E383" i="32"/>
  <c r="E379" i="32"/>
  <c r="E375" i="32"/>
  <c r="E371" i="32"/>
  <c r="E367" i="32"/>
  <c r="E363" i="32"/>
  <c r="E359" i="32"/>
  <c r="E355" i="32"/>
  <c r="E351" i="32"/>
  <c r="E347" i="32"/>
  <c r="E343" i="32"/>
  <c r="E339" i="32"/>
  <c r="E335" i="32"/>
  <c r="E331" i="32"/>
  <c r="E327" i="32"/>
  <c r="E323" i="32"/>
  <c r="E319" i="32"/>
  <c r="E315" i="32"/>
  <c r="E311" i="32"/>
  <c r="E307" i="32"/>
  <c r="E303" i="32"/>
  <c r="E299" i="32"/>
  <c r="E295" i="32"/>
  <c r="E280" i="32"/>
  <c r="E276" i="32"/>
  <c r="E272" i="32"/>
  <c r="E268" i="32"/>
  <c r="E264" i="32"/>
  <c r="E260" i="32"/>
  <c r="E256" i="32"/>
  <c r="E252" i="32"/>
  <c r="E248" i="32"/>
  <c r="E244" i="32"/>
  <c r="E240" i="32"/>
  <c r="E236" i="32"/>
  <c r="E232" i="32"/>
  <c r="E228" i="32"/>
  <c r="E224" i="32"/>
  <c r="E213" i="32"/>
  <c r="E209" i="32"/>
  <c r="E205" i="32"/>
  <c r="E201" i="32"/>
  <c r="E197" i="32"/>
  <c r="E193" i="32"/>
  <c r="E189" i="32"/>
  <c r="E185" i="32"/>
  <c r="E181" i="32"/>
  <c r="E177" i="32"/>
  <c r="E173" i="32"/>
  <c r="E169" i="32"/>
  <c r="E165" i="32"/>
  <c r="E161" i="32"/>
  <c r="E157" i="32"/>
  <c r="E510" i="32"/>
  <c r="E506" i="32"/>
  <c r="E502" i="32"/>
  <c r="E498" i="32"/>
  <c r="E494" i="32"/>
  <c r="E490" i="32"/>
  <c r="E486" i="32"/>
  <c r="E482" i="32"/>
  <c r="E478" i="32"/>
  <c r="E474" i="32"/>
  <c r="E470" i="32"/>
  <c r="E466" i="32"/>
  <c r="E462" i="32"/>
  <c r="E458" i="32"/>
  <c r="E454" i="32"/>
  <c r="E450" i="32"/>
  <c r="E446" i="32"/>
  <c r="E442" i="32"/>
  <c r="E438" i="32"/>
  <c r="E434" i="32"/>
  <c r="E430" i="32"/>
  <c r="E426" i="32"/>
  <c r="E422" i="32"/>
  <c r="E418" i="32"/>
  <c r="E414" i="32"/>
  <c r="E410" i="32"/>
  <c r="E406" i="32"/>
  <c r="E402" i="32"/>
  <c r="E398" i="32"/>
  <c r="E394" i="32"/>
  <c r="E390" i="32"/>
  <c r="E386" i="32"/>
  <c r="E382" i="32"/>
  <c r="E378" i="32"/>
  <c r="E374" i="32"/>
  <c r="E370" i="32"/>
  <c r="E366" i="32"/>
  <c r="E362" i="32"/>
  <c r="E358" i="32"/>
  <c r="E354" i="32"/>
  <c r="E350" i="32"/>
  <c r="E346" i="32"/>
  <c r="E342" i="32"/>
  <c r="E338" i="32"/>
  <c r="E334" i="32"/>
  <c r="E330" i="32"/>
  <c r="E326" i="32"/>
  <c r="E322" i="32"/>
  <c r="E318" i="32"/>
  <c r="E314" i="32"/>
  <c r="E310" i="32"/>
  <c r="E306" i="32"/>
  <c r="E302" i="32"/>
  <c r="E509" i="32"/>
  <c r="E501" i="32"/>
  <c r="E493" i="32"/>
  <c r="E485" i="32"/>
  <c r="E477" i="32"/>
  <c r="E469" i="32"/>
  <c r="E461" i="32"/>
  <c r="E453" i="32"/>
  <c r="E445" i="32"/>
  <c r="E437" i="32"/>
  <c r="E429" i="32"/>
  <c r="E421" i="32"/>
  <c r="E413" i="32"/>
  <c r="E405" i="32"/>
  <c r="E397" i="32"/>
  <c r="E389" i="32"/>
  <c r="E381" i="32"/>
  <c r="E373" i="32"/>
  <c r="E365" i="32"/>
  <c r="E357" i="32"/>
  <c r="E349" i="32"/>
  <c r="E341" i="32"/>
  <c r="E333" i="32"/>
  <c r="E325" i="32"/>
  <c r="E317" i="32"/>
  <c r="E309" i="32"/>
  <c r="E301" i="32"/>
  <c r="E296" i="32"/>
  <c r="E279" i="32"/>
  <c r="E274" i="32"/>
  <c r="E269" i="32"/>
  <c r="E263" i="32"/>
  <c r="E258" i="32"/>
  <c r="E253" i="32"/>
  <c r="E247" i="32"/>
  <c r="E242" i="32"/>
  <c r="E237" i="32"/>
  <c r="E231" i="32"/>
  <c r="E226" i="32"/>
  <c r="E214" i="32"/>
  <c r="E208" i="32"/>
  <c r="E203" i="32"/>
  <c r="E198" i="32"/>
  <c r="E192" i="32"/>
  <c r="E187" i="32"/>
  <c r="E182" i="32"/>
  <c r="E176" i="32"/>
  <c r="E171" i="32"/>
  <c r="E166" i="32"/>
  <c r="E160" i="32"/>
  <c r="E155" i="32"/>
  <c r="E151" i="32"/>
  <c r="E147" i="32"/>
  <c r="E143" i="32"/>
  <c r="E139" i="32"/>
  <c r="E135" i="32"/>
  <c r="E131" i="32"/>
  <c r="E127" i="32"/>
  <c r="E123" i="32"/>
  <c r="E119" i="32"/>
  <c r="E115" i="32"/>
  <c r="E111" i="32"/>
  <c r="E107" i="32"/>
  <c r="E103" i="32"/>
  <c r="E99" i="32"/>
  <c r="E95" i="32"/>
  <c r="E91" i="32"/>
  <c r="E87" i="32"/>
  <c r="E83" i="32"/>
  <c r="E79" i="32"/>
  <c r="E55" i="32"/>
  <c r="E465" i="32"/>
  <c r="E441" i="32"/>
  <c r="E425" i="32"/>
  <c r="E409" i="32"/>
  <c r="E393" i="32"/>
  <c r="E377" i="32"/>
  <c r="E361" i="32"/>
  <c r="E345" i="32"/>
  <c r="E329" i="32"/>
  <c r="E508" i="32"/>
  <c r="E500" i="32"/>
  <c r="E492" i="32"/>
  <c r="E484" i="32"/>
  <c r="E476" i="32"/>
  <c r="E468" i="32"/>
  <c r="E460" i="32"/>
  <c r="E452" i="32"/>
  <c r="E444" i="32"/>
  <c r="E436" i="32"/>
  <c r="E428" i="32"/>
  <c r="E420" i="32"/>
  <c r="E412" i="32"/>
  <c r="E404" i="32"/>
  <c r="E396" i="32"/>
  <c r="E388" i="32"/>
  <c r="E380" i="32"/>
  <c r="E372" i="32"/>
  <c r="E364" i="32"/>
  <c r="E356" i="32"/>
  <c r="E348" i="32"/>
  <c r="E340" i="32"/>
  <c r="E332" i="32"/>
  <c r="E324" i="32"/>
  <c r="E316" i="32"/>
  <c r="E308" i="32"/>
  <c r="E300" i="32"/>
  <c r="E283" i="32"/>
  <c r="E278" i="32"/>
  <c r="E273" i="32"/>
  <c r="E267" i="32"/>
  <c r="E262" i="32"/>
  <c r="E257" i="32"/>
  <c r="E251" i="32"/>
  <c r="E246" i="32"/>
  <c r="E241" i="32"/>
  <c r="E235" i="32"/>
  <c r="E230" i="32"/>
  <c r="E225" i="32"/>
  <c r="E212" i="32"/>
  <c r="E207" i="32"/>
  <c r="E202" i="32"/>
  <c r="E196" i="32"/>
  <c r="E191" i="32"/>
  <c r="E186" i="32"/>
  <c r="E180" i="32"/>
  <c r="E175" i="32"/>
  <c r="E170" i="32"/>
  <c r="E164" i="32"/>
  <c r="E159" i="32"/>
  <c r="E154" i="32"/>
  <c r="E150" i="32"/>
  <c r="E146" i="32"/>
  <c r="E142" i="32"/>
  <c r="E138" i="32"/>
  <c r="E134" i="32"/>
  <c r="E130" i="32"/>
  <c r="E126" i="32"/>
  <c r="E122" i="32"/>
  <c r="E118" i="32"/>
  <c r="E114" i="32"/>
  <c r="E110" i="32"/>
  <c r="E106" i="32"/>
  <c r="E102" i="32"/>
  <c r="E98" i="32"/>
  <c r="E94" i="32"/>
  <c r="E90" i="32"/>
  <c r="E86" i="32"/>
  <c r="E82" i="32"/>
  <c r="E78" i="32"/>
  <c r="E513" i="32"/>
  <c r="E505" i="32"/>
  <c r="E497" i="32"/>
  <c r="E489" i="32"/>
  <c r="E481" i="32"/>
  <c r="E473" i="32"/>
  <c r="E457" i="32"/>
  <c r="E449" i="32"/>
  <c r="E433" i="32"/>
  <c r="E417" i="32"/>
  <c r="E401" i="32"/>
  <c r="E385" i="32"/>
  <c r="E369" i="32"/>
  <c r="E353" i="32"/>
  <c r="E337" i="32"/>
  <c r="E496" i="32"/>
  <c r="E464" i="32"/>
  <c r="E432" i="32"/>
  <c r="E400" i="32"/>
  <c r="E368" i="32"/>
  <c r="E336" i="32"/>
  <c r="E313" i="32"/>
  <c r="E298" i="32"/>
  <c r="E277" i="32"/>
  <c r="E266" i="32"/>
  <c r="E255" i="32"/>
  <c r="E245" i="32"/>
  <c r="E234" i="32"/>
  <c r="E216" i="32"/>
  <c r="E206" i="32"/>
  <c r="E195" i="32"/>
  <c r="E184" i="32"/>
  <c r="E174" i="32"/>
  <c r="E163" i="32"/>
  <c r="E153" i="32"/>
  <c r="E145" i="32"/>
  <c r="E137" i="32"/>
  <c r="E129" i="32"/>
  <c r="E121" i="32"/>
  <c r="E113" i="32"/>
  <c r="E105" i="32"/>
  <c r="E97" i="32"/>
  <c r="E89" i="32"/>
  <c r="E81" i="32"/>
  <c r="E512" i="32"/>
  <c r="E416" i="32"/>
  <c r="E352" i="32"/>
  <c r="E305" i="32"/>
  <c r="E271" i="32"/>
  <c r="E250" i="32"/>
  <c r="E229" i="32"/>
  <c r="E200" i="32"/>
  <c r="E179" i="32"/>
  <c r="E158" i="32"/>
  <c r="E141" i="32"/>
  <c r="E125" i="32"/>
  <c r="E109" i="32"/>
  <c r="E93" i="32"/>
  <c r="E57" i="32"/>
  <c r="E472" i="32"/>
  <c r="E440" i="32"/>
  <c r="E376" i="32"/>
  <c r="E320" i="32"/>
  <c r="E281" i="32"/>
  <c r="E259" i="32"/>
  <c r="E238" i="32"/>
  <c r="E210" i="32"/>
  <c r="E188" i="32"/>
  <c r="E167" i="32"/>
  <c r="E148" i="32"/>
  <c r="E132" i="32"/>
  <c r="E116" i="32"/>
  <c r="E100" i="32"/>
  <c r="E84" i="32"/>
  <c r="E488" i="32"/>
  <c r="E456" i="32"/>
  <c r="E424" i="32"/>
  <c r="E392" i="32"/>
  <c r="E360" i="32"/>
  <c r="E328" i="32"/>
  <c r="E312" i="32"/>
  <c r="E297" i="32"/>
  <c r="E275" i="32"/>
  <c r="E265" i="32"/>
  <c r="E254" i="32"/>
  <c r="E243" i="32"/>
  <c r="E233" i="32"/>
  <c r="E215" i="32"/>
  <c r="E204" i="32"/>
  <c r="E194" i="32"/>
  <c r="E183" i="32"/>
  <c r="E172" i="32"/>
  <c r="E162" i="32"/>
  <c r="E152" i="32"/>
  <c r="E144" i="32"/>
  <c r="E136" i="32"/>
  <c r="E128" i="32"/>
  <c r="E120" i="32"/>
  <c r="E112" i="32"/>
  <c r="E104" i="32"/>
  <c r="E96" i="32"/>
  <c r="E88" i="32"/>
  <c r="E80" i="32"/>
  <c r="E480" i="32"/>
  <c r="E448" i="32"/>
  <c r="E384" i="32"/>
  <c r="E321" i="32"/>
  <c r="E282" i="32"/>
  <c r="E261" i="32"/>
  <c r="E239" i="32"/>
  <c r="E211" i="32"/>
  <c r="E190" i="32"/>
  <c r="E168" i="32"/>
  <c r="E149" i="32"/>
  <c r="E133" i="32"/>
  <c r="E117" i="32"/>
  <c r="E101" i="32"/>
  <c r="E85" i="32"/>
  <c r="E504" i="32"/>
  <c r="E408" i="32"/>
  <c r="E344" i="32"/>
  <c r="E304" i="32"/>
  <c r="E270" i="32"/>
  <c r="E249" i="32"/>
  <c r="E227" i="32"/>
  <c r="E199" i="32"/>
  <c r="E178" i="32"/>
  <c r="E156" i="32"/>
  <c r="E140" i="32"/>
  <c r="E124" i="32"/>
  <c r="E108" i="32"/>
  <c r="E92" i="32"/>
  <c r="E56" i="32"/>
  <c r="E33" i="32"/>
  <c r="E29" i="32"/>
  <c r="E25" i="32"/>
  <c r="E21" i="32"/>
  <c r="E15" i="32"/>
  <c r="E35" i="32"/>
  <c r="E36" i="32"/>
  <c r="E32" i="32"/>
  <c r="E28" i="32"/>
  <c r="E24" i="32"/>
  <c r="E20" i="32"/>
  <c r="E27" i="32"/>
  <c r="E19" i="32"/>
  <c r="E31" i="32"/>
  <c r="E23" i="32"/>
  <c r="E34" i="32"/>
  <c r="E26" i="32"/>
  <c r="E18" i="32"/>
  <c r="E30" i="32"/>
  <c r="E22" i="32"/>
  <c r="E9" i="32"/>
  <c r="E6" i="32"/>
  <c r="E7" i="32"/>
  <c r="E294" i="32"/>
  <c r="E292" i="32"/>
  <c r="E288" i="32"/>
  <c r="E284" i="32"/>
  <c r="E220" i="32"/>
  <c r="E77" i="32"/>
  <c r="E73" i="32"/>
  <c r="E69" i="32"/>
  <c r="E65" i="32"/>
  <c r="E61" i="32"/>
  <c r="E290" i="32"/>
  <c r="E286" i="32"/>
  <c r="E222" i="32"/>
  <c r="E218" i="32"/>
  <c r="E75" i="32"/>
  <c r="E71" i="32"/>
  <c r="E67" i="32"/>
  <c r="E63" i="32"/>
  <c r="E59" i="32"/>
  <c r="E291" i="32"/>
  <c r="E287" i="32"/>
  <c r="E223" i="32"/>
  <c r="E219" i="32"/>
  <c r="E76" i="32"/>
  <c r="E72" i="32"/>
  <c r="E68" i="32"/>
  <c r="E64" i="32"/>
  <c r="E60" i="32"/>
  <c r="E293" i="32"/>
  <c r="E217" i="32"/>
  <c r="E62" i="32"/>
  <c r="E285" i="32"/>
  <c r="E66" i="32"/>
  <c r="E289" i="32"/>
  <c r="E74" i="32"/>
  <c r="E58" i="32"/>
  <c r="E221" i="32"/>
  <c r="E70" i="32"/>
  <c r="E53" i="32"/>
  <c r="E54" i="32"/>
  <c r="E49" i="32"/>
  <c r="E45" i="32"/>
  <c r="E51" i="32"/>
  <c r="E52" i="32"/>
  <c r="E48" i="32"/>
  <c r="E44" i="32"/>
  <c r="E47" i="32"/>
  <c r="E50" i="32"/>
  <c r="E46" i="32"/>
  <c r="E517" i="32"/>
  <c r="E516" i="32"/>
  <c r="E514" i="32"/>
  <c r="E515" i="32"/>
  <c r="E518" i="32"/>
  <c r="E568" i="32"/>
  <c r="E569" i="32"/>
  <c r="E567" i="32"/>
  <c r="E563" i="32"/>
  <c r="E559" i="32"/>
  <c r="E555" i="32"/>
  <c r="E551" i="32"/>
  <c r="E547" i="32"/>
  <c r="E543" i="32"/>
  <c r="E539" i="32"/>
  <c r="E535" i="32"/>
  <c r="E531" i="32"/>
  <c r="E527" i="32"/>
  <c r="E523" i="32"/>
  <c r="E519" i="32"/>
  <c r="E571" i="32"/>
  <c r="E565" i="32"/>
  <c r="E557" i="32"/>
  <c r="E549" i="32"/>
  <c r="E541" i="32"/>
  <c r="E537" i="32"/>
  <c r="E529" i="32"/>
  <c r="E521" i="32"/>
  <c r="E566" i="32"/>
  <c r="E562" i="32"/>
  <c r="E558" i="32"/>
  <c r="E554" i="32"/>
  <c r="E550" i="32"/>
  <c r="E546" i="32"/>
  <c r="E542" i="32"/>
  <c r="E538" i="32"/>
  <c r="E534" i="32"/>
  <c r="E530" i="32"/>
  <c r="E526" i="32"/>
  <c r="E522" i="32"/>
  <c r="E561" i="32"/>
  <c r="E553" i="32"/>
  <c r="E545" i="32"/>
  <c r="E533" i="32"/>
  <c r="E525" i="32"/>
  <c r="E556" i="32"/>
  <c r="E540" i="32"/>
  <c r="E524" i="32"/>
  <c r="E564" i="32"/>
  <c r="E532" i="32"/>
  <c r="E544" i="32"/>
  <c r="E552" i="32"/>
  <c r="E536" i="32"/>
  <c r="E520" i="32"/>
  <c r="E570" i="32"/>
  <c r="E548" i="32"/>
  <c r="E560" i="32"/>
  <c r="E528" i="32"/>
  <c r="E41" i="32"/>
  <c r="E37" i="32"/>
  <c r="E43" i="32"/>
  <c r="E40" i="32"/>
  <c r="E39" i="32"/>
  <c r="E38" i="32"/>
  <c r="E42" i="32"/>
  <c r="E13" i="32"/>
  <c r="E14" i="32"/>
  <c r="E16" i="32"/>
  <c r="E17" i="32"/>
  <c r="AX25" i="33"/>
  <c r="AR25" i="33"/>
  <c r="F546" i="32" l="1"/>
  <c r="F13" i="32"/>
  <c r="F40" i="32"/>
  <c r="F528" i="32"/>
  <c r="F520" i="32"/>
  <c r="F532" i="32"/>
  <c r="F556" i="32"/>
  <c r="F553" i="32"/>
  <c r="F530" i="32"/>
  <c r="F562" i="32"/>
  <c r="F565" i="32"/>
  <c r="F543" i="32"/>
  <c r="F568" i="32"/>
  <c r="F47" i="32"/>
  <c r="F53" i="32"/>
  <c r="F62" i="32"/>
  <c r="F64" i="32"/>
  <c r="F59" i="32"/>
  <c r="F290" i="32"/>
  <c r="F73" i="32"/>
  <c r="F6" i="32"/>
  <c r="F572" i="32"/>
  <c r="F12" i="32"/>
  <c r="F10" i="32"/>
  <c r="F18" i="32"/>
  <c r="F24" i="32"/>
  <c r="F108" i="32"/>
  <c r="F504" i="32"/>
  <c r="F321" i="32"/>
  <c r="F144" i="32"/>
  <c r="F275" i="32"/>
  <c r="F488" i="32"/>
  <c r="F320" i="32"/>
  <c r="F229" i="32"/>
  <c r="F153" i="32"/>
  <c r="F245" i="32"/>
  <c r="F337" i="32"/>
  <c r="F497" i="32"/>
  <c r="F98" i="32"/>
  <c r="F114" i="32"/>
  <c r="F146" i="32"/>
  <c r="F186" i="32"/>
  <c r="F235" i="32"/>
  <c r="F278" i="32"/>
  <c r="F348" i="32"/>
  <c r="F412" i="32"/>
  <c r="F476" i="32"/>
  <c r="F377" i="32"/>
  <c r="F83" i="32"/>
  <c r="F115" i="32"/>
  <c r="F147" i="32"/>
  <c r="F187" i="32"/>
  <c r="F237" i="32"/>
  <c r="F279" i="32"/>
  <c r="F349" i="32"/>
  <c r="F413" i="32"/>
  <c r="F477" i="32"/>
  <c r="F330" i="32"/>
  <c r="F17" i="32"/>
  <c r="F42" i="32"/>
  <c r="F43" i="32"/>
  <c r="F560" i="32"/>
  <c r="F536" i="32"/>
  <c r="F564" i="32"/>
  <c r="F525" i="32"/>
  <c r="F561" i="32"/>
  <c r="F534" i="32"/>
  <c r="F550" i="32"/>
  <c r="F566" i="32"/>
  <c r="F541" i="32"/>
  <c r="F571" i="32"/>
  <c r="F531" i="32"/>
  <c r="F547" i="32"/>
  <c r="F563" i="32"/>
  <c r="F518" i="32"/>
  <c r="F517" i="32"/>
  <c r="F44" i="32"/>
  <c r="F45" i="32"/>
  <c r="F70" i="32"/>
  <c r="F289" i="32"/>
  <c r="F217" i="32"/>
  <c r="F68" i="32"/>
  <c r="F223" i="32"/>
  <c r="F16" i="32"/>
  <c r="F38" i="32"/>
  <c r="F37" i="32"/>
  <c r="F548" i="32"/>
  <c r="F552" i="32"/>
  <c r="F524" i="32"/>
  <c r="F533" i="32"/>
  <c r="F522" i="32"/>
  <c r="F538" i="32"/>
  <c r="F554" i="32"/>
  <c r="F521" i="32"/>
  <c r="F549" i="32"/>
  <c r="F519" i="32"/>
  <c r="F535" i="32"/>
  <c r="F551" i="32"/>
  <c r="F567" i="32"/>
  <c r="F515" i="32"/>
  <c r="F46" i="32"/>
  <c r="F48" i="32"/>
  <c r="F49" i="32"/>
  <c r="F221" i="32"/>
  <c r="F66" i="32"/>
  <c r="F293" i="32"/>
  <c r="F72" i="32"/>
  <c r="F287" i="32"/>
  <c r="F67" i="32"/>
  <c r="F222" i="32"/>
  <c r="F65" i="32"/>
  <c r="F220" i="32"/>
  <c r="F294" i="32"/>
  <c r="F22" i="32"/>
  <c r="F34" i="32"/>
  <c r="F27" i="32"/>
  <c r="F32" i="32"/>
  <c r="F21" i="32"/>
  <c r="F56" i="32"/>
  <c r="F140" i="32"/>
  <c r="F227" i="32"/>
  <c r="F344" i="32"/>
  <c r="F101" i="32"/>
  <c r="F168" i="32"/>
  <c r="F261" i="32"/>
  <c r="F448" i="32"/>
  <c r="F96" i="32"/>
  <c r="F128" i="32"/>
  <c r="F162" i="32"/>
  <c r="F204" i="32"/>
  <c r="F254" i="32"/>
  <c r="F312" i="32"/>
  <c r="F424" i="32"/>
  <c r="F100" i="32"/>
  <c r="F167" i="32"/>
  <c r="F259" i="32"/>
  <c r="F440" i="32"/>
  <c r="F109" i="32"/>
  <c r="F179" i="32"/>
  <c r="F271" i="32"/>
  <c r="F29" i="32"/>
  <c r="F178" i="32"/>
  <c r="F133" i="32"/>
  <c r="F80" i="32"/>
  <c r="F183" i="32"/>
  <c r="F360" i="32"/>
  <c r="F210" i="32"/>
  <c r="F141" i="32"/>
  <c r="F89" i="32"/>
  <c r="F298" i="32"/>
  <c r="F401" i="32"/>
  <c r="F14" i="32"/>
  <c r="F39" i="32"/>
  <c r="F41" i="32"/>
  <c r="F570" i="32"/>
  <c r="F544" i="32"/>
  <c r="F540" i="32"/>
  <c r="F545" i="32"/>
  <c r="F526" i="32"/>
  <c r="F542" i="32"/>
  <c r="F558" i="32"/>
  <c r="F529" i="32"/>
  <c r="F557" i="32"/>
  <c r="F523" i="32"/>
  <c r="F539" i="32"/>
  <c r="F555" i="32"/>
  <c r="F569" i="32"/>
  <c r="F514" i="32"/>
  <c r="F50" i="32"/>
  <c r="F52" i="32"/>
  <c r="F54" i="32"/>
  <c r="F58" i="32"/>
  <c r="F285" i="32"/>
  <c r="F60" i="32"/>
  <c r="F76" i="32"/>
  <c r="F291" i="32"/>
  <c r="F71" i="32"/>
  <c r="F286" i="32"/>
  <c r="F69" i="32"/>
  <c r="F284" i="32"/>
  <c r="F7" i="32"/>
  <c r="F30" i="32"/>
  <c r="F23" i="32"/>
  <c r="F20" i="32"/>
  <c r="F36" i="32"/>
  <c r="F25" i="32"/>
  <c r="F92" i="32"/>
  <c r="F156" i="32"/>
  <c r="F249" i="32"/>
  <c r="F408" i="32"/>
  <c r="F117" i="32"/>
  <c r="F190" i="32"/>
  <c r="F282" i="32"/>
  <c r="F480" i="32"/>
  <c r="F104" i="32"/>
  <c r="F136" i="32"/>
  <c r="F172" i="32"/>
  <c r="F215" i="32"/>
  <c r="F265" i="32"/>
  <c r="F328" i="32"/>
  <c r="F456" i="32"/>
  <c r="F116" i="32"/>
  <c r="F188" i="32"/>
  <c r="F281" i="32"/>
  <c r="F472" i="32"/>
  <c r="F125" i="32"/>
  <c r="F200" i="32"/>
  <c r="F305" i="32"/>
  <c r="F81" i="32"/>
  <c r="F113" i="32"/>
  <c r="F145" i="32"/>
  <c r="F184" i="32"/>
  <c r="F234" i="32"/>
  <c r="F277" i="32"/>
  <c r="F368" i="32"/>
  <c r="F496" i="32"/>
  <c r="F385" i="32"/>
  <c r="F449" i="32"/>
  <c r="F489" i="32"/>
  <c r="F78" i="32"/>
  <c r="F94" i="32"/>
  <c r="F110" i="32"/>
  <c r="F126" i="32"/>
  <c r="F142" i="32"/>
  <c r="F159" i="32"/>
  <c r="F537" i="32"/>
  <c r="F527" i="32"/>
  <c r="F559" i="32"/>
  <c r="F516" i="32"/>
  <c r="F51" i="32"/>
  <c r="F74" i="32"/>
  <c r="F219" i="32"/>
  <c r="F75" i="32"/>
  <c r="F288" i="32"/>
  <c r="F31" i="32"/>
  <c r="F35" i="32"/>
  <c r="F270" i="32"/>
  <c r="F211" i="32"/>
  <c r="F112" i="32"/>
  <c r="F233" i="32"/>
  <c r="F132" i="32"/>
  <c r="F57" i="32"/>
  <c r="F352" i="32"/>
  <c r="F121" i="32"/>
  <c r="F195" i="32"/>
  <c r="F400" i="32"/>
  <c r="F457" i="32"/>
  <c r="F82" i="32"/>
  <c r="F130" i="32"/>
  <c r="F164" i="32"/>
  <c r="F207" i="32"/>
  <c r="F257" i="32"/>
  <c r="F316" i="32"/>
  <c r="F380" i="32"/>
  <c r="F444" i="32"/>
  <c r="F508" i="32"/>
  <c r="F441" i="32"/>
  <c r="F99" i="32"/>
  <c r="F131" i="32"/>
  <c r="F166" i="32"/>
  <c r="F208" i="32"/>
  <c r="F258" i="32"/>
  <c r="F317" i="32"/>
  <c r="F381" i="32"/>
  <c r="F445" i="32"/>
  <c r="F509" i="32"/>
  <c r="F314" i="32"/>
  <c r="F346" i="32"/>
  <c r="F362" i="32"/>
  <c r="F378" i="32"/>
  <c r="F394" i="32"/>
  <c r="F410" i="32"/>
  <c r="F426" i="32"/>
  <c r="F442" i="32"/>
  <c r="F458" i="32"/>
  <c r="F474" i="32"/>
  <c r="F490" i="32"/>
  <c r="F506" i="32"/>
  <c r="F165" i="32"/>
  <c r="F181" i="32"/>
  <c r="F197" i="32"/>
  <c r="F213" i="32"/>
  <c r="F236" i="32"/>
  <c r="F252" i="32"/>
  <c r="F268" i="32"/>
  <c r="F295" i="32"/>
  <c r="F311" i="32"/>
  <c r="F327" i="32"/>
  <c r="F343" i="32"/>
  <c r="F359" i="32"/>
  <c r="F375" i="32"/>
  <c r="F391" i="32"/>
  <c r="F407" i="32"/>
  <c r="F423" i="32"/>
  <c r="F439" i="32"/>
  <c r="F455" i="32"/>
  <c r="F471" i="32"/>
  <c r="F487" i="32"/>
  <c r="F503" i="32"/>
  <c r="F11" i="32"/>
  <c r="F8" i="32"/>
  <c r="F63" i="32"/>
  <c r="F218" i="32"/>
  <c r="F61" i="32"/>
  <c r="F77" i="32"/>
  <c r="F292" i="32"/>
  <c r="F9" i="32"/>
  <c r="F26" i="32"/>
  <c r="F19" i="32"/>
  <c r="F28" i="32"/>
  <c r="F15" i="32"/>
  <c r="F33" i="32"/>
  <c r="F124" i="32"/>
  <c r="F199" i="32"/>
  <c r="F304" i="32"/>
  <c r="F85" i="32"/>
  <c r="F149" i="32"/>
  <c r="F239" i="32"/>
  <c r="F384" i="32"/>
  <c r="F88" i="32"/>
  <c r="F120" i="32"/>
  <c r="F152" i="32"/>
  <c r="F194" i="32"/>
  <c r="F243" i="32"/>
  <c r="F297" i="32"/>
  <c r="F392" i="32"/>
  <c r="F84" i="32"/>
  <c r="F148" i="32"/>
  <c r="F238" i="32"/>
  <c r="F376" i="32"/>
  <c r="F93" i="32"/>
  <c r="F158" i="32"/>
  <c r="F250" i="32"/>
  <c r="F416" i="32"/>
  <c r="F97" i="32"/>
  <c r="F129" i="32"/>
  <c r="F163" i="32"/>
  <c r="F206" i="32"/>
  <c r="F255" i="32"/>
  <c r="F313" i="32"/>
  <c r="F432" i="32"/>
  <c r="F353" i="32"/>
  <c r="F417" i="32"/>
  <c r="F473" i="32"/>
  <c r="F505" i="32"/>
  <c r="F86" i="32"/>
  <c r="F102" i="32"/>
  <c r="F118" i="32"/>
  <c r="F134" i="32"/>
  <c r="F150" i="32"/>
  <c r="F170" i="32"/>
  <c r="F191" i="32"/>
  <c r="F212" i="32"/>
  <c r="F241" i="32"/>
  <c r="F262" i="32"/>
  <c r="F283" i="32"/>
  <c r="F324" i="32"/>
  <c r="F356" i="32"/>
  <c r="F388" i="32"/>
  <c r="F420" i="32"/>
  <c r="F452" i="32"/>
  <c r="F484" i="32"/>
  <c r="F329" i="32"/>
  <c r="F393" i="32"/>
  <c r="F465" i="32"/>
  <c r="F87" i="32"/>
  <c r="F103" i="32"/>
  <c r="F119" i="32"/>
  <c r="F135" i="32"/>
  <c r="F151" i="32"/>
  <c r="F171" i="32"/>
  <c r="F192" i="32"/>
  <c r="F214" i="32"/>
  <c r="F242" i="32"/>
  <c r="F263" i="32"/>
  <c r="F296" i="32"/>
  <c r="F325" i="32"/>
  <c r="F357" i="32"/>
  <c r="F389" i="32"/>
  <c r="F421" i="32"/>
  <c r="F453" i="32"/>
  <c r="F485" i="32"/>
  <c r="F302" i="32"/>
  <c r="F318" i="32"/>
  <c r="F334" i="32"/>
  <c r="F350" i="32"/>
  <c r="F366" i="32"/>
  <c r="F382" i="32"/>
  <c r="F398" i="32"/>
  <c r="F414" i="32"/>
  <c r="F430" i="32"/>
  <c r="F446" i="32"/>
  <c r="F462" i="32"/>
  <c r="F478" i="32"/>
  <c r="F494" i="32"/>
  <c r="F510" i="32"/>
  <c r="F169" i="32"/>
  <c r="F185" i="32"/>
  <c r="F201" i="32"/>
  <c r="F224" i="32"/>
  <c r="F240" i="32"/>
  <c r="F256" i="32"/>
  <c r="F272" i="32"/>
  <c r="F299" i="32"/>
  <c r="F315" i="32"/>
  <c r="F331" i="32"/>
  <c r="F347" i="32"/>
  <c r="F363" i="32"/>
  <c r="F379" i="32"/>
  <c r="F395" i="32"/>
  <c r="F411" i="32"/>
  <c r="F427" i="32"/>
  <c r="F443" i="32"/>
  <c r="F459" i="32"/>
  <c r="F475" i="32"/>
  <c r="F491" i="32"/>
  <c r="F507" i="32"/>
  <c r="F512" i="32"/>
  <c r="F105" i="32"/>
  <c r="F137" i="32"/>
  <c r="F174" i="32"/>
  <c r="F216" i="32"/>
  <c r="F266" i="32"/>
  <c r="F336" i="32"/>
  <c r="F464" i="32"/>
  <c r="F369" i="32"/>
  <c r="F433" i="32"/>
  <c r="F481" i="32"/>
  <c r="F513" i="32"/>
  <c r="F90" i="32"/>
  <c r="F106" i="32"/>
  <c r="F122" i="32"/>
  <c r="F138" i="32"/>
  <c r="F154" i="32"/>
  <c r="F175" i="32"/>
  <c r="F196" i="32"/>
  <c r="F225" i="32"/>
  <c r="F246" i="32"/>
  <c r="F267" i="32"/>
  <c r="F300" i="32"/>
  <c r="F332" i="32"/>
  <c r="F364" i="32"/>
  <c r="F396" i="32"/>
  <c r="F428" i="32"/>
  <c r="F460" i="32"/>
  <c r="F492" i="32"/>
  <c r="F345" i="32"/>
  <c r="F409" i="32"/>
  <c r="F55" i="32"/>
  <c r="F91" i="32"/>
  <c r="F107" i="32"/>
  <c r="F123" i="32"/>
  <c r="F139" i="32"/>
  <c r="F155" i="32"/>
  <c r="F176" i="32"/>
  <c r="F198" i="32"/>
  <c r="F226" i="32"/>
  <c r="F247" i="32"/>
  <c r="F269" i="32"/>
  <c r="F301" i="32"/>
  <c r="F333" i="32"/>
  <c r="F365" i="32"/>
  <c r="F397" i="32"/>
  <c r="F429" i="32"/>
  <c r="F461" i="32"/>
  <c r="F493" i="32"/>
  <c r="F306" i="32"/>
  <c r="F322" i="32"/>
  <c r="F338" i="32"/>
  <c r="F354" i="32"/>
  <c r="F370" i="32"/>
  <c r="F386" i="32"/>
  <c r="F402" i="32"/>
  <c r="F418" i="32"/>
  <c r="F434" i="32"/>
  <c r="F450" i="32"/>
  <c r="F466" i="32"/>
  <c r="F482" i="32"/>
  <c r="F498" i="32"/>
  <c r="F157" i="32"/>
  <c r="F173" i="32"/>
  <c r="F189" i="32"/>
  <c r="F205" i="32"/>
  <c r="F228" i="32"/>
  <c r="F244" i="32"/>
  <c r="F260" i="32"/>
  <c r="F276" i="32"/>
  <c r="F303" i="32"/>
  <c r="F319" i="32"/>
  <c r="F335" i="32"/>
  <c r="F351" i="32"/>
  <c r="F367" i="32"/>
  <c r="F383" i="32"/>
  <c r="F399" i="32"/>
  <c r="F415" i="32"/>
  <c r="F431" i="32"/>
  <c r="F447" i="32"/>
  <c r="F463" i="32"/>
  <c r="F479" i="32"/>
  <c r="F495" i="32"/>
  <c r="F511" i="32"/>
  <c r="F180" i="32"/>
  <c r="F202" i="32"/>
  <c r="F230" i="32"/>
  <c r="F251" i="32"/>
  <c r="F273" i="32"/>
  <c r="F308" i="32"/>
  <c r="F340" i="32"/>
  <c r="F372" i="32"/>
  <c r="F404" i="32"/>
  <c r="F436" i="32"/>
  <c r="F468" i="32"/>
  <c r="F500" i="32"/>
  <c r="F361" i="32"/>
  <c r="F425" i="32"/>
  <c r="F79" i="32"/>
  <c r="F95" i="32"/>
  <c r="F111" i="32"/>
  <c r="F127" i="32"/>
  <c r="F143" i="32"/>
  <c r="F160" i="32"/>
  <c r="F182" i="32"/>
  <c r="F203" i="32"/>
  <c r="F231" i="32"/>
  <c r="F253" i="32"/>
  <c r="F274" i="32"/>
  <c r="F309" i="32"/>
  <c r="F341" i="32"/>
  <c r="F373" i="32"/>
  <c r="F405" i="32"/>
  <c r="F437" i="32"/>
  <c r="F469" i="32"/>
  <c r="F501" i="32"/>
  <c r="F310" i="32"/>
  <c r="F326" i="32"/>
  <c r="F342" i="32"/>
  <c r="F358" i="32"/>
  <c r="F374" i="32"/>
  <c r="F390" i="32"/>
  <c r="F406" i="32"/>
  <c r="F422" i="32"/>
  <c r="F438" i="32"/>
  <c r="F454" i="32"/>
  <c r="F470" i="32"/>
  <c r="F486" i="32"/>
  <c r="F502" i="32"/>
  <c r="F161" i="32"/>
  <c r="F177" i="32"/>
  <c r="F193" i="32"/>
  <c r="F209" i="32"/>
  <c r="F232" i="32"/>
  <c r="F248" i="32"/>
  <c r="F264" i="32"/>
  <c r="F280" i="32"/>
  <c r="F307" i="32"/>
  <c r="F323" i="32"/>
  <c r="F339" i="32"/>
  <c r="F355" i="32"/>
  <c r="F371" i="32"/>
  <c r="F387" i="32"/>
  <c r="F403" i="32"/>
  <c r="F419" i="32"/>
  <c r="F435" i="32"/>
  <c r="F451" i="32"/>
  <c r="F467" i="32"/>
  <c r="F483" i="32"/>
  <c r="F499" i="32"/>
  <c r="AZ25" i="33"/>
  <c r="AV25" i="33"/>
  <c r="AU25" i="33"/>
  <c r="AT25" i="33"/>
  <c r="AQ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N25" i="33"/>
  <c r="M25" i="33"/>
  <c r="L25" i="33"/>
  <c r="K25" i="33"/>
  <c r="J25" i="33"/>
  <c r="I25" i="33"/>
  <c r="H25" i="33"/>
  <c r="G25" i="33"/>
  <c r="F25" i="33"/>
  <c r="E25" i="33"/>
  <c r="D25" i="33"/>
  <c r="D23" i="33"/>
  <c r="AA21" i="33"/>
  <c r="AA20" i="33"/>
  <c r="D21" i="33"/>
  <c r="AA19" i="33"/>
  <c r="D20" i="33"/>
  <c r="D19" i="33"/>
  <c r="AA17" i="33"/>
  <c r="D18" i="33"/>
  <c r="AA16" i="33"/>
  <c r="D17" i="33"/>
  <c r="AA15" i="33"/>
  <c r="D16" i="33"/>
  <c r="D14" i="33"/>
  <c r="D13" i="33"/>
  <c r="D12" i="33"/>
  <c r="AG11" i="33"/>
  <c r="AE11" i="33"/>
  <c r="AC11" i="33"/>
  <c r="AA11" i="33"/>
  <c r="S11" i="33"/>
  <c r="R11" i="33"/>
  <c r="O11" i="33"/>
  <c r="N11" i="33"/>
  <c r="M11" i="33"/>
  <c r="L11" i="33"/>
  <c r="K11" i="33"/>
  <c r="J11" i="33"/>
  <c r="I11" i="33"/>
  <c r="G11" i="33"/>
  <c r="D11" i="33"/>
  <c r="AA10" i="33"/>
  <c r="I10" i="33"/>
  <c r="D10" i="33"/>
  <c r="D8" i="33"/>
  <c r="D5" i="33"/>
  <c r="B2" i="33"/>
  <c r="F88" i="3" l="1"/>
  <c r="D88" i="3"/>
  <c r="A109" i="3"/>
  <c r="Q87" i="3"/>
  <c r="C87" i="3"/>
  <c r="B50" i="3"/>
  <c r="C21" i="3"/>
  <c r="F157" i="7"/>
  <c r="F140" i="7"/>
  <c r="O70" i="7"/>
  <c r="G255" i="31"/>
  <c r="G254" i="31"/>
  <c r="G250" i="31"/>
  <c r="G249" i="31"/>
  <c r="E245" i="31"/>
  <c r="G223" i="31"/>
  <c r="G220" i="31"/>
  <c r="G212" i="31"/>
  <c r="G210" i="31"/>
  <c r="G207" i="31"/>
  <c r="G205" i="31"/>
  <c r="G180" i="31"/>
  <c r="G172" i="31"/>
  <c r="G171" i="31"/>
  <c r="G170" i="31"/>
  <c r="G168" i="31"/>
  <c r="G167" i="31"/>
  <c r="G163" i="31"/>
  <c r="G162" i="31"/>
  <c r="E155" i="31"/>
  <c r="F155" i="7"/>
  <c r="G177" i="31"/>
  <c r="G176" i="31"/>
  <c r="F150" i="7"/>
  <c r="G140" i="31"/>
  <c r="G139" i="31"/>
  <c r="G137" i="31"/>
  <c r="G136" i="31"/>
  <c r="G134" i="31"/>
  <c r="G127" i="31"/>
  <c r="G126" i="31"/>
  <c r="G124" i="31"/>
  <c r="G123" i="31"/>
  <c r="E121" i="31"/>
  <c r="G116" i="31"/>
  <c r="G114" i="31"/>
  <c r="G113" i="31"/>
  <c r="E111" i="31"/>
  <c r="E160" i="31"/>
  <c r="E105" i="31"/>
  <c r="G96" i="31"/>
  <c r="G95" i="31"/>
  <c r="G94" i="31"/>
  <c r="G93" i="31"/>
  <c r="G91" i="31"/>
  <c r="G90" i="31"/>
  <c r="G85" i="31"/>
  <c r="G84" i="31"/>
  <c r="E84" i="31"/>
  <c r="G78" i="31"/>
  <c r="G77" i="31"/>
  <c r="G70" i="31"/>
  <c r="G69" i="31"/>
  <c r="G68" i="31"/>
  <c r="G65" i="31"/>
  <c r="G58" i="31"/>
  <c r="G56" i="31"/>
  <c r="G54" i="31"/>
  <c r="G52" i="31"/>
  <c r="G53" i="31"/>
  <c r="G44" i="31"/>
  <c r="G42" i="31"/>
  <c r="G41" i="31"/>
  <c r="G40" i="31"/>
  <c r="G36" i="31"/>
  <c r="G34" i="31"/>
  <c r="G33" i="31"/>
  <c r="G32" i="31"/>
  <c r="F94" i="30"/>
  <c r="E85" i="30"/>
  <c r="E46" i="30"/>
  <c r="E75" i="30"/>
  <c r="E11" i="30"/>
  <c r="E180" i="31"/>
  <c r="D109" i="9"/>
  <c r="E62" i="31"/>
  <c r="E59" i="31"/>
  <c r="AF110" i="9"/>
  <c r="AA13" i="9"/>
  <c r="Q450" i="7"/>
  <c r="G94" i="10"/>
  <c r="E78" i="10"/>
  <c r="E73" i="10"/>
  <c r="E13" i="10"/>
  <c r="G210" i="38"/>
  <c r="G202" i="38"/>
  <c r="G196" i="38"/>
  <c r="G179" i="38"/>
  <c r="G178" i="38"/>
  <c r="G146" i="38"/>
  <c r="G145" i="38"/>
  <c r="G141" i="38"/>
  <c r="G122" i="38"/>
  <c r="G121" i="38"/>
  <c r="G114" i="38"/>
  <c r="G101" i="38"/>
  <c r="G89" i="38"/>
  <c r="G82" i="38"/>
  <c r="G79" i="38"/>
  <c r="G75" i="38"/>
  <c r="G66" i="38"/>
  <c r="G33" i="38"/>
  <c r="G31" i="38"/>
  <c r="G23" i="38"/>
  <c r="D37" i="19"/>
  <c r="F34" i="19"/>
  <c r="C17" i="19"/>
  <c r="C13" i="19"/>
  <c r="G34" i="39"/>
  <c r="G33" i="39"/>
  <c r="G32" i="39"/>
  <c r="G29" i="39"/>
  <c r="G25" i="39"/>
  <c r="G24" i="39"/>
  <c r="G22" i="39"/>
  <c r="G20" i="39"/>
  <c r="G19" i="39"/>
  <c r="G18" i="39"/>
  <c r="G17" i="39"/>
  <c r="G16" i="39"/>
  <c r="G12" i="39"/>
  <c r="G9" i="39"/>
  <c r="C48" i="3"/>
  <c r="B108" i="3"/>
  <c r="Q88" i="3"/>
  <c r="E88" i="3"/>
  <c r="C88" i="3"/>
  <c r="A88" i="3"/>
  <c r="D69" i="3"/>
  <c r="B66" i="3"/>
  <c r="B21" i="3"/>
  <c r="Q486" i="7"/>
  <c r="Q378" i="7"/>
  <c r="Q342" i="7"/>
  <c r="Q234" i="7"/>
  <c r="Q198" i="7"/>
  <c r="F152" i="7"/>
  <c r="F151" i="7"/>
  <c r="N70" i="7"/>
  <c r="L44" i="7"/>
  <c r="G256" i="31"/>
  <c r="G251" i="31"/>
  <c r="G236" i="31"/>
  <c r="G234" i="31"/>
  <c r="G218" i="31"/>
  <c r="G215" i="31"/>
  <c r="G214" i="31"/>
  <c r="E194" i="31"/>
  <c r="G181" i="31"/>
  <c r="G175" i="31"/>
  <c r="G174" i="31"/>
  <c r="E172" i="31"/>
  <c r="G165" i="31"/>
  <c r="G164" i="31"/>
  <c r="E163" i="31"/>
  <c r="G143" i="31"/>
  <c r="G142" i="31"/>
  <c r="G132" i="31"/>
  <c r="G131" i="31"/>
  <c r="G125" i="31"/>
  <c r="G118" i="31"/>
  <c r="G117" i="31"/>
  <c r="E98" i="31"/>
  <c r="G97" i="31"/>
  <c r="E92" i="31"/>
  <c r="G89" i="31"/>
  <c r="G88" i="31"/>
  <c r="E80" i="31"/>
  <c r="E79" i="31"/>
  <c r="G74" i="31"/>
  <c r="G73" i="31"/>
  <c r="G72" i="31"/>
  <c r="G71" i="31"/>
  <c r="G64" i="31"/>
  <c r="G62" i="31"/>
  <c r="E60" i="31"/>
  <c r="G57" i="31"/>
  <c r="G50" i="31"/>
  <c r="G48" i="31"/>
  <c r="G46" i="31"/>
  <c r="G39" i="31"/>
  <c r="G38" i="31"/>
  <c r="G37" i="31"/>
  <c r="G35" i="31"/>
  <c r="E29" i="31"/>
  <c r="E28" i="31"/>
  <c r="E22" i="31"/>
  <c r="F95" i="30"/>
  <c r="F93" i="30"/>
  <c r="E39" i="30"/>
  <c r="E38" i="30"/>
  <c r="E71" i="29"/>
  <c r="E69" i="29"/>
  <c r="E51" i="29"/>
  <c r="E50" i="29"/>
  <c r="E27" i="29"/>
  <c r="E25" i="29"/>
  <c r="E23" i="16"/>
  <c r="Z110" i="9"/>
  <c r="Z96" i="9"/>
  <c r="E96" i="9"/>
  <c r="Z13" i="9"/>
  <c r="D12" i="9"/>
  <c r="E79" i="10"/>
  <c r="G215" i="38"/>
  <c r="G213" i="38"/>
  <c r="G191" i="38"/>
  <c r="G165" i="38"/>
  <c r="G147" i="38"/>
  <c r="G112" i="38"/>
  <c r="G110" i="38"/>
  <c r="G87" i="38"/>
  <c r="G70" i="38"/>
  <c r="G68" i="38"/>
  <c r="C26" i="19"/>
  <c r="C23" i="19"/>
  <c r="C12" i="19"/>
  <c r="G31" i="39"/>
  <c r="G30" i="39"/>
  <c r="G28" i="39"/>
  <c r="G27" i="39"/>
  <c r="G26" i="39"/>
  <c r="G23" i="39"/>
  <c r="G21" i="39"/>
  <c r="G15" i="39"/>
  <c r="G14" i="39"/>
  <c r="G13" i="39"/>
  <c r="G11" i="39"/>
  <c r="G10" i="39"/>
  <c r="G49" i="31" l="1"/>
  <c r="G141" i="31"/>
  <c r="G173" i="31"/>
  <c r="D158" i="7"/>
  <c r="Q270" i="7"/>
  <c r="Q414" i="7"/>
  <c r="E96" i="29"/>
  <c r="F101" i="10"/>
  <c r="G86" i="31"/>
  <c r="G213" i="31"/>
  <c r="Q162" i="7"/>
  <c r="Q306" i="7"/>
  <c r="G146" i="31"/>
  <c r="D95" i="9"/>
  <c r="G178" i="31"/>
  <c r="E171" i="31"/>
  <c r="E94" i="29"/>
  <c r="AA110" i="9"/>
  <c r="E43" i="30"/>
  <c r="G45" i="31"/>
  <c r="G98" i="31"/>
  <c r="F96" i="7"/>
  <c r="E52" i="29"/>
  <c r="E161" i="31"/>
  <c r="E164" i="31"/>
  <c r="G216" i="31"/>
  <c r="G144" i="31"/>
  <c r="E38" i="29"/>
  <c r="G83" i="31"/>
  <c r="F153" i="7"/>
  <c r="AA96" i="9"/>
  <c r="E95" i="29"/>
  <c r="E93" i="31"/>
  <c r="E82" i="29"/>
  <c r="G87" i="31"/>
  <c r="E110" i="31"/>
  <c r="G145" i="31"/>
  <c r="E96" i="31"/>
  <c r="AF96" i="9"/>
  <c r="F154" i="7"/>
  <c r="E49" i="29"/>
  <c r="E93" i="29"/>
  <c r="E170" i="31"/>
  <c r="G217" i="31"/>
  <c r="AF13" i="9"/>
  <c r="AS107" i="9"/>
  <c r="AS106" i="9"/>
  <c r="AS105" i="9"/>
  <c r="AS104" i="9"/>
  <c r="AS103" i="9"/>
  <c r="AS102" i="9"/>
  <c r="AS101" i="9"/>
  <c r="AS100" i="9"/>
  <c r="AS99" i="9"/>
  <c r="AR107" i="9"/>
  <c r="AR106" i="9"/>
  <c r="AR105" i="9"/>
  <c r="AR104" i="9"/>
  <c r="AR103" i="9"/>
  <c r="AR102" i="9"/>
  <c r="AR101" i="9"/>
  <c r="AR100" i="9"/>
  <c r="AR99" i="9"/>
  <c r="BD2" i="33" l="1"/>
  <c r="C58" i="29" l="1"/>
  <c r="L96" i="29"/>
  <c r="S81" i="29"/>
  <c r="S80" i="29"/>
  <c r="S79" i="29"/>
  <c r="S78" i="29"/>
  <c r="S77" i="29"/>
  <c r="S76" i="29"/>
  <c r="S75" i="29"/>
  <c r="S74" i="29"/>
  <c r="S73" i="29"/>
  <c r="S72" i="29"/>
  <c r="AA121" i="10"/>
  <c r="Z121" i="10"/>
  <c r="Y121" i="10"/>
  <c r="AB120" i="10"/>
  <c r="AA120" i="10"/>
  <c r="Z120" i="10"/>
  <c r="Y120" i="10"/>
  <c r="X120" i="10"/>
  <c r="AB119" i="10"/>
  <c r="AA119" i="10"/>
  <c r="Z119" i="10"/>
  <c r="Y119" i="10"/>
  <c r="X119" i="10"/>
  <c r="AB118" i="10"/>
  <c r="AA118" i="10"/>
  <c r="Z118" i="10"/>
  <c r="Y118" i="10"/>
  <c r="X118" i="10"/>
  <c r="AB117" i="10"/>
  <c r="AA117" i="10"/>
  <c r="Z117" i="10"/>
  <c r="Y117" i="10"/>
  <c r="X117" i="10"/>
  <c r="AB116" i="10"/>
  <c r="AA116" i="10"/>
  <c r="Z116" i="10"/>
  <c r="Y116" i="10"/>
  <c r="X116" i="10"/>
  <c r="AB115" i="10"/>
  <c r="AA115" i="10"/>
  <c r="Z115" i="10"/>
  <c r="Y115" i="10"/>
  <c r="X115" i="10"/>
  <c r="AB114" i="10"/>
  <c r="AA114" i="10"/>
  <c r="Z114" i="10"/>
  <c r="Y114" i="10"/>
  <c r="X114" i="10"/>
  <c r="AB113" i="10"/>
  <c r="AA113" i="10"/>
  <c r="Z113" i="10"/>
  <c r="Y113" i="10"/>
  <c r="X113" i="10"/>
  <c r="AB112" i="10"/>
  <c r="AA112" i="10"/>
  <c r="Z112" i="10"/>
  <c r="Y112" i="10"/>
  <c r="X112" i="10"/>
  <c r="AB111" i="10"/>
  <c r="AA111" i="10"/>
  <c r="Z111" i="10"/>
  <c r="Y111" i="10"/>
  <c r="X111" i="10"/>
  <c r="AB110" i="10"/>
  <c r="AA110" i="10"/>
  <c r="Z110" i="10"/>
  <c r="Y110" i="10"/>
  <c r="X110" i="10"/>
  <c r="AB109" i="10"/>
  <c r="AA109" i="10"/>
  <c r="Z109" i="10"/>
  <c r="Y109" i="10"/>
  <c r="X109" i="10"/>
  <c r="AB108" i="10"/>
  <c r="AA108" i="10"/>
  <c r="Z108" i="10"/>
  <c r="Y108" i="10"/>
  <c r="X108" i="10"/>
  <c r="AB107" i="10"/>
  <c r="AA107" i="10"/>
  <c r="Z107" i="10"/>
  <c r="Y107" i="10"/>
  <c r="AB106" i="10"/>
  <c r="AA106" i="10"/>
  <c r="Z106" i="10"/>
  <c r="Y106" i="10"/>
  <c r="X106" i="10"/>
  <c r="AB105" i="10"/>
  <c r="AA105" i="10"/>
  <c r="Z105" i="10"/>
  <c r="Y105" i="10"/>
  <c r="X105" i="10"/>
  <c r="AB104" i="10"/>
  <c r="AA104" i="10"/>
  <c r="Z104" i="10"/>
  <c r="Y104" i="10"/>
  <c r="AB103" i="10"/>
  <c r="AA103" i="10"/>
  <c r="Z103" i="10"/>
  <c r="Y103" i="10"/>
  <c r="AA102" i="10"/>
  <c r="Y102" i="10"/>
  <c r="N120" i="10"/>
  <c r="N119" i="10"/>
  <c r="N118" i="10"/>
  <c r="N117" i="10"/>
  <c r="N116" i="10"/>
  <c r="N115" i="10"/>
  <c r="N113" i="10"/>
  <c r="N112" i="10"/>
  <c r="N111" i="10"/>
  <c r="N110" i="10"/>
  <c r="N109" i="10"/>
  <c r="F1" i="3"/>
  <c r="B85" i="3" s="1"/>
  <c r="T3" i="29"/>
  <c r="V3" i="29" s="1"/>
  <c r="X3" i="29" s="1"/>
  <c r="Z3" i="29" s="1"/>
  <c r="R4" i="29" s="1"/>
  <c r="T4" i="29" s="1"/>
  <c r="V4" i="29" s="1"/>
  <c r="X4" i="29" s="1"/>
  <c r="Z4" i="29" s="1"/>
  <c r="N91" i="10"/>
  <c r="N90" i="10"/>
  <c r="R58" i="29" l="1"/>
  <c r="C102" i="29"/>
  <c r="R5" i="29"/>
  <c r="T5" i="29" s="1"/>
  <c r="V5" i="29" s="1"/>
  <c r="X5" i="29" s="1"/>
  <c r="Z5" i="29" s="1"/>
  <c r="AF122" i="9"/>
  <c r="AF121" i="9"/>
  <c r="AF120" i="9"/>
  <c r="AF119" i="9"/>
  <c r="AF118" i="9"/>
  <c r="AF117" i="9"/>
  <c r="AF116" i="9"/>
  <c r="AF115" i="9"/>
  <c r="AF114" i="9"/>
  <c r="AF113" i="9"/>
  <c r="AF112" i="9"/>
  <c r="AF111" i="9"/>
  <c r="AQ101" i="9"/>
  <c r="AP101" i="9"/>
  <c r="AN101" i="9"/>
  <c r="AO101" i="9" s="1"/>
  <c r="AQ100" i="9"/>
  <c r="AP100" i="9"/>
  <c r="AQ98" i="9"/>
  <c r="AP98" i="9"/>
  <c r="BE97" i="9"/>
  <c r="BL99" i="9"/>
  <c r="BL100" i="9"/>
  <c r="BL101" i="9"/>
  <c r="BL102" i="9"/>
  <c r="BL103" i="9"/>
  <c r="BL104" i="9"/>
  <c r="BL105" i="9"/>
  <c r="BL106" i="9"/>
  <c r="BL107" i="9"/>
  <c r="BL98" i="9"/>
  <c r="R102" i="29" l="1"/>
  <c r="C146" i="29"/>
  <c r="R6" i="29"/>
  <c r="I18" i="9"/>
  <c r="AU18" i="9"/>
  <c r="AV18" i="9" s="1"/>
  <c r="AX18" i="9"/>
  <c r="AY18" i="9"/>
  <c r="BA18" i="9"/>
  <c r="BL18" i="9"/>
  <c r="BM18" i="9"/>
  <c r="BN18" i="9"/>
  <c r="BO18" i="9"/>
  <c r="BR18" i="9"/>
  <c r="I19" i="9"/>
  <c r="AU19" i="9"/>
  <c r="AV19" i="9" s="1"/>
  <c r="AX19" i="9"/>
  <c r="AY19" i="9"/>
  <c r="BA19" i="9"/>
  <c r="BL19" i="9"/>
  <c r="BM19" i="9"/>
  <c r="BN19" i="9"/>
  <c r="BO19" i="9"/>
  <c r="BR19" i="9"/>
  <c r="I20" i="9"/>
  <c r="AU20" i="9"/>
  <c r="AV20" i="9" s="1"/>
  <c r="AX20" i="9"/>
  <c r="AY20" i="9"/>
  <c r="BA20" i="9"/>
  <c r="BL20" i="9"/>
  <c r="BM20" i="9"/>
  <c r="BN20" i="9"/>
  <c r="BO20" i="9"/>
  <c r="BR20" i="9"/>
  <c r="I21" i="9"/>
  <c r="AU21" i="9"/>
  <c r="AV21" i="9" s="1"/>
  <c r="AX21" i="9"/>
  <c r="AY21" i="9"/>
  <c r="BA21" i="9"/>
  <c r="BL21" i="9"/>
  <c r="BM21" i="9"/>
  <c r="BN21" i="9"/>
  <c r="BO21" i="9"/>
  <c r="BR21" i="9"/>
  <c r="I22" i="9"/>
  <c r="AU22" i="9"/>
  <c r="AV22" i="9" s="1"/>
  <c r="AX22" i="9"/>
  <c r="AY22" i="9"/>
  <c r="BA22" i="9"/>
  <c r="BL22" i="9"/>
  <c r="BM22" i="9"/>
  <c r="BN22" i="9"/>
  <c r="BO22" i="9"/>
  <c r="BR22" i="9"/>
  <c r="I23" i="9"/>
  <c r="AU23" i="9"/>
  <c r="AV23" i="9" s="1"/>
  <c r="AX23" i="9"/>
  <c r="AY23" i="9"/>
  <c r="BA23" i="9"/>
  <c r="BL23" i="9"/>
  <c r="BM23" i="9"/>
  <c r="BN23" i="9"/>
  <c r="BO23" i="9"/>
  <c r="BR23" i="9"/>
  <c r="I24" i="9"/>
  <c r="AU24" i="9"/>
  <c r="AV24" i="9" s="1"/>
  <c r="AX24" i="9"/>
  <c r="AY24" i="9"/>
  <c r="BA24" i="9"/>
  <c r="BL24" i="9"/>
  <c r="BM24" i="9"/>
  <c r="BN24" i="9"/>
  <c r="BO24" i="9"/>
  <c r="BR24" i="9"/>
  <c r="I25" i="9"/>
  <c r="AU25" i="9"/>
  <c r="AV25" i="9" s="1"/>
  <c r="AX25" i="9"/>
  <c r="AY25" i="9"/>
  <c r="BA25" i="9"/>
  <c r="BL25" i="9"/>
  <c r="BM25" i="9"/>
  <c r="BN25" i="9"/>
  <c r="BO25" i="9"/>
  <c r="BR25" i="9"/>
  <c r="I26" i="9"/>
  <c r="AU26" i="9"/>
  <c r="AV26" i="9" s="1"/>
  <c r="AX26" i="9"/>
  <c r="AY26" i="9"/>
  <c r="BA26" i="9"/>
  <c r="BL26" i="9"/>
  <c r="BM26" i="9"/>
  <c r="BN26" i="9"/>
  <c r="BO26" i="9"/>
  <c r="BR26" i="9"/>
  <c r="I27" i="9"/>
  <c r="AU27" i="9"/>
  <c r="AV27" i="9" s="1"/>
  <c r="AX27" i="9"/>
  <c r="AY27" i="9"/>
  <c r="BA27" i="9"/>
  <c r="BL27" i="9"/>
  <c r="BM27" i="9"/>
  <c r="BN27" i="9"/>
  <c r="BO27" i="9"/>
  <c r="BR27" i="9"/>
  <c r="I28" i="9"/>
  <c r="AU28" i="9"/>
  <c r="AV28" i="9" s="1"/>
  <c r="AX28" i="9"/>
  <c r="AY28" i="9"/>
  <c r="BA28" i="9"/>
  <c r="BL28" i="9"/>
  <c r="BM28" i="9"/>
  <c r="BN28" i="9"/>
  <c r="BO28" i="9"/>
  <c r="BR28" i="9"/>
  <c r="I29" i="9"/>
  <c r="AU29" i="9"/>
  <c r="AV29" i="9" s="1"/>
  <c r="AX29" i="9"/>
  <c r="AY29" i="9"/>
  <c r="BA29" i="9"/>
  <c r="BL29" i="9"/>
  <c r="BM29" i="9"/>
  <c r="BN29" i="9"/>
  <c r="BO29" i="9"/>
  <c r="BR29" i="9"/>
  <c r="I30" i="9"/>
  <c r="AU30" i="9"/>
  <c r="AV30" i="9" s="1"/>
  <c r="AX30" i="9"/>
  <c r="AY30" i="9"/>
  <c r="BA30" i="9"/>
  <c r="BL30" i="9"/>
  <c r="BM30" i="9"/>
  <c r="BN30" i="9"/>
  <c r="BO30" i="9"/>
  <c r="BR30" i="9"/>
  <c r="I31" i="9"/>
  <c r="AU31" i="9"/>
  <c r="AV31" i="9" s="1"/>
  <c r="AX31" i="9"/>
  <c r="AY31" i="9"/>
  <c r="BA31" i="9"/>
  <c r="BL31" i="9"/>
  <c r="BM31" i="9"/>
  <c r="BN31" i="9"/>
  <c r="BO31" i="9"/>
  <c r="BR31" i="9"/>
  <c r="I32" i="9"/>
  <c r="AU32" i="9"/>
  <c r="AV32" i="9" s="1"/>
  <c r="AX32" i="9"/>
  <c r="AY32" i="9"/>
  <c r="BA32" i="9"/>
  <c r="BL32" i="9"/>
  <c r="BM32" i="9"/>
  <c r="BN32" i="9"/>
  <c r="BO32" i="9"/>
  <c r="BR32" i="9"/>
  <c r="I33" i="9"/>
  <c r="AU33" i="9"/>
  <c r="AV33" i="9" s="1"/>
  <c r="AX33" i="9"/>
  <c r="AY33" i="9"/>
  <c r="BA33" i="9"/>
  <c r="BL33" i="9"/>
  <c r="BM33" i="9"/>
  <c r="BN33" i="9"/>
  <c r="BO33" i="9"/>
  <c r="BR33" i="9"/>
  <c r="I34" i="9"/>
  <c r="AU34" i="9"/>
  <c r="AV34" i="9" s="1"/>
  <c r="AX34" i="9"/>
  <c r="AY34" i="9"/>
  <c r="BA34" i="9"/>
  <c r="BL34" i="9"/>
  <c r="BM34" i="9"/>
  <c r="BN34" i="9"/>
  <c r="BO34" i="9"/>
  <c r="BR34" i="9"/>
  <c r="I35" i="9"/>
  <c r="AU35" i="9"/>
  <c r="AV35" i="9" s="1"/>
  <c r="AX35" i="9"/>
  <c r="AY35" i="9"/>
  <c r="BA35" i="9"/>
  <c r="BL35" i="9"/>
  <c r="BM35" i="9"/>
  <c r="BN35" i="9"/>
  <c r="BO35" i="9"/>
  <c r="BR35" i="9"/>
  <c r="I36" i="9"/>
  <c r="AU36" i="9"/>
  <c r="AV36" i="9" s="1"/>
  <c r="AX36" i="9"/>
  <c r="AY36" i="9"/>
  <c r="BA36" i="9"/>
  <c r="BL36" i="9"/>
  <c r="BM36" i="9"/>
  <c r="BN36" i="9"/>
  <c r="BO36" i="9"/>
  <c r="BR36" i="9"/>
  <c r="I37" i="9"/>
  <c r="AU37" i="9"/>
  <c r="AV37" i="9" s="1"/>
  <c r="AX37" i="9"/>
  <c r="AY37" i="9"/>
  <c r="BA37" i="9"/>
  <c r="BL37" i="9"/>
  <c r="BM37" i="9"/>
  <c r="BN37" i="9"/>
  <c r="BO37" i="9"/>
  <c r="BR37" i="9"/>
  <c r="I38" i="9"/>
  <c r="AU38" i="9"/>
  <c r="AV38" i="9" s="1"/>
  <c r="AX38" i="9"/>
  <c r="AY38" i="9"/>
  <c r="BA38" i="9"/>
  <c r="BL38" i="9"/>
  <c r="BM38" i="9"/>
  <c r="BN38" i="9"/>
  <c r="BO38" i="9"/>
  <c r="BR38" i="9"/>
  <c r="I39" i="9"/>
  <c r="AU39" i="9"/>
  <c r="AV39" i="9" s="1"/>
  <c r="AX39" i="9"/>
  <c r="AY39" i="9"/>
  <c r="BA39" i="9"/>
  <c r="BL39" i="9"/>
  <c r="BM39" i="9"/>
  <c r="BN39" i="9"/>
  <c r="BO39" i="9"/>
  <c r="BR39" i="9"/>
  <c r="I40" i="9"/>
  <c r="AU40" i="9"/>
  <c r="AV40" i="9" s="1"/>
  <c r="AX40" i="9"/>
  <c r="AY40" i="9"/>
  <c r="BA40" i="9"/>
  <c r="BL40" i="9"/>
  <c r="BM40" i="9"/>
  <c r="BN40" i="9"/>
  <c r="BO40" i="9"/>
  <c r="BR40" i="9"/>
  <c r="I41" i="9"/>
  <c r="AU41" i="9"/>
  <c r="AV41" i="9" s="1"/>
  <c r="AX41" i="9"/>
  <c r="AY41" i="9"/>
  <c r="BA41" i="9"/>
  <c r="BL41" i="9"/>
  <c r="BM41" i="9"/>
  <c r="BN41" i="9"/>
  <c r="BO41" i="9"/>
  <c r="BR41" i="9"/>
  <c r="I42" i="9"/>
  <c r="AU42" i="9"/>
  <c r="AV42" i="9" s="1"/>
  <c r="AX42" i="9"/>
  <c r="AY42" i="9"/>
  <c r="BA42" i="9"/>
  <c r="BL42" i="9"/>
  <c r="BM42" i="9"/>
  <c r="BN42" i="9"/>
  <c r="BO42" i="9"/>
  <c r="BR42" i="9"/>
  <c r="I43" i="9"/>
  <c r="AU43" i="9"/>
  <c r="AV43" i="9" s="1"/>
  <c r="AX43" i="9"/>
  <c r="AY43" i="9"/>
  <c r="BA43" i="9"/>
  <c r="BL43" i="9"/>
  <c r="BM43" i="9"/>
  <c r="BN43" i="9"/>
  <c r="BO43" i="9"/>
  <c r="BR43" i="9"/>
  <c r="I44" i="9"/>
  <c r="AU44" i="9"/>
  <c r="AV44" i="9" s="1"/>
  <c r="AX44" i="9"/>
  <c r="AY44" i="9"/>
  <c r="BA44" i="9"/>
  <c r="BL44" i="9"/>
  <c r="BM44" i="9"/>
  <c r="BN44" i="9"/>
  <c r="BO44" i="9"/>
  <c r="BR44" i="9"/>
  <c r="I45" i="9"/>
  <c r="AU45" i="9"/>
  <c r="AV45" i="9" s="1"/>
  <c r="AX45" i="9"/>
  <c r="AY45" i="9"/>
  <c r="BA45" i="9"/>
  <c r="BL45" i="9"/>
  <c r="BM45" i="9"/>
  <c r="BN45" i="9"/>
  <c r="BO45" i="9"/>
  <c r="BR45" i="9"/>
  <c r="I46" i="9"/>
  <c r="AU46" i="9"/>
  <c r="AV46" i="9" s="1"/>
  <c r="AX46" i="9"/>
  <c r="AY46" i="9"/>
  <c r="BA46" i="9"/>
  <c r="BL46" i="9"/>
  <c r="BM46" i="9"/>
  <c r="BN46" i="9"/>
  <c r="BO46" i="9"/>
  <c r="BR46" i="9"/>
  <c r="I47" i="9"/>
  <c r="AU47" i="9"/>
  <c r="AV47" i="9" s="1"/>
  <c r="AX47" i="9"/>
  <c r="AY47" i="9"/>
  <c r="BA47" i="9"/>
  <c r="BL47" i="9"/>
  <c r="BM47" i="9"/>
  <c r="BN47" i="9"/>
  <c r="BO47" i="9"/>
  <c r="BR47" i="9"/>
  <c r="I48" i="9"/>
  <c r="AU48" i="9"/>
  <c r="AV48" i="9" s="1"/>
  <c r="AX48" i="9"/>
  <c r="AY48" i="9"/>
  <c r="BA48" i="9"/>
  <c r="BL48" i="9"/>
  <c r="BM48" i="9"/>
  <c r="BN48" i="9"/>
  <c r="BO48" i="9"/>
  <c r="BR48" i="9"/>
  <c r="I49" i="9"/>
  <c r="AU49" i="9"/>
  <c r="AV49" i="9" s="1"/>
  <c r="AX49" i="9"/>
  <c r="AY49" i="9"/>
  <c r="BA49" i="9"/>
  <c r="BL49" i="9"/>
  <c r="BM49" i="9"/>
  <c r="BN49" i="9"/>
  <c r="BO49" i="9"/>
  <c r="BR49" i="9"/>
  <c r="I50" i="9"/>
  <c r="AU50" i="9"/>
  <c r="AV50" i="9" s="1"/>
  <c r="AX50" i="9"/>
  <c r="AY50" i="9"/>
  <c r="BA50" i="9"/>
  <c r="BL50" i="9"/>
  <c r="BM50" i="9"/>
  <c r="BN50" i="9"/>
  <c r="BO50" i="9"/>
  <c r="BR50" i="9"/>
  <c r="I51" i="9"/>
  <c r="AU51" i="9"/>
  <c r="AV51" i="9" s="1"/>
  <c r="AX51" i="9"/>
  <c r="AY51" i="9"/>
  <c r="BA51" i="9"/>
  <c r="BL51" i="9"/>
  <c r="BM51" i="9"/>
  <c r="BN51" i="9"/>
  <c r="BO51" i="9"/>
  <c r="BR51" i="9"/>
  <c r="I52" i="9"/>
  <c r="AU52" i="9"/>
  <c r="AV52" i="9" s="1"/>
  <c r="AX52" i="9"/>
  <c r="AY52" i="9"/>
  <c r="BA52" i="9"/>
  <c r="BL52" i="9"/>
  <c r="BM52" i="9"/>
  <c r="BN52" i="9"/>
  <c r="BO52" i="9"/>
  <c r="BR52" i="9"/>
  <c r="I53" i="9"/>
  <c r="AU53" i="9"/>
  <c r="AV53" i="9" s="1"/>
  <c r="AX53" i="9"/>
  <c r="AY53" i="9"/>
  <c r="BA53" i="9"/>
  <c r="BL53" i="9"/>
  <c r="BM53" i="9"/>
  <c r="BN53" i="9"/>
  <c r="BO53" i="9"/>
  <c r="BR53" i="9"/>
  <c r="I54" i="9"/>
  <c r="AU54" i="9"/>
  <c r="AV54" i="9" s="1"/>
  <c r="AX54" i="9"/>
  <c r="AY54" i="9"/>
  <c r="BA54" i="9"/>
  <c r="BL54" i="9"/>
  <c r="BM54" i="9"/>
  <c r="BN54" i="9"/>
  <c r="BO54" i="9"/>
  <c r="BR54" i="9"/>
  <c r="I55" i="9"/>
  <c r="AU55" i="9"/>
  <c r="AV55" i="9" s="1"/>
  <c r="AX55" i="9"/>
  <c r="AY55" i="9"/>
  <c r="BA55" i="9"/>
  <c r="BL55" i="9"/>
  <c r="BM55" i="9"/>
  <c r="BN55" i="9"/>
  <c r="BO55" i="9"/>
  <c r="BR55" i="9"/>
  <c r="I56" i="9"/>
  <c r="AU56" i="9"/>
  <c r="AV56" i="9" s="1"/>
  <c r="AX56" i="9"/>
  <c r="AY56" i="9"/>
  <c r="BA56" i="9"/>
  <c r="BL56" i="9"/>
  <c r="BM56" i="9"/>
  <c r="BN56" i="9"/>
  <c r="BO56" i="9"/>
  <c r="BR56" i="9"/>
  <c r="I57" i="9"/>
  <c r="AU57" i="9"/>
  <c r="AV57" i="9" s="1"/>
  <c r="AX57" i="9"/>
  <c r="AY57" i="9"/>
  <c r="BA57" i="9"/>
  <c r="BL57" i="9"/>
  <c r="BM57" i="9"/>
  <c r="BN57" i="9"/>
  <c r="BO57" i="9"/>
  <c r="BR57" i="9"/>
  <c r="I58" i="9"/>
  <c r="AU58" i="9"/>
  <c r="AV58" i="9" s="1"/>
  <c r="AX58" i="9"/>
  <c r="AY58" i="9"/>
  <c r="BA58" i="9"/>
  <c r="BL58" i="9"/>
  <c r="BM58" i="9"/>
  <c r="BN58" i="9"/>
  <c r="BO58" i="9"/>
  <c r="BR58" i="9"/>
  <c r="I59" i="9"/>
  <c r="AU59" i="9"/>
  <c r="AV59" i="9" s="1"/>
  <c r="AX59" i="9"/>
  <c r="AY59" i="9"/>
  <c r="BA59" i="9"/>
  <c r="BL59" i="9"/>
  <c r="BM59" i="9"/>
  <c r="BN59" i="9"/>
  <c r="BO59" i="9"/>
  <c r="BR59" i="9"/>
  <c r="I60" i="9"/>
  <c r="AU60" i="9"/>
  <c r="AV60" i="9" s="1"/>
  <c r="AX60" i="9"/>
  <c r="AY60" i="9"/>
  <c r="BA60" i="9"/>
  <c r="BL60" i="9"/>
  <c r="BM60" i="9"/>
  <c r="BN60" i="9"/>
  <c r="BO60" i="9"/>
  <c r="BR60" i="9"/>
  <c r="I61" i="9"/>
  <c r="AU61" i="9"/>
  <c r="AV61" i="9" s="1"/>
  <c r="AX61" i="9"/>
  <c r="AY61" i="9"/>
  <c r="BA61" i="9"/>
  <c r="BL61" i="9"/>
  <c r="BM61" i="9"/>
  <c r="BN61" i="9"/>
  <c r="BO61" i="9"/>
  <c r="BR61" i="9"/>
  <c r="I62" i="9"/>
  <c r="AU62" i="9"/>
  <c r="AV62" i="9" s="1"/>
  <c r="AX62" i="9"/>
  <c r="AY62" i="9"/>
  <c r="BA62" i="9"/>
  <c r="BL62" i="9"/>
  <c r="BM62" i="9"/>
  <c r="BN62" i="9"/>
  <c r="BO62" i="9"/>
  <c r="BR62" i="9"/>
  <c r="I63" i="9"/>
  <c r="AU63" i="9"/>
  <c r="AV63" i="9" s="1"/>
  <c r="AX63" i="9"/>
  <c r="AY63" i="9"/>
  <c r="BA63" i="9"/>
  <c r="BL63" i="9"/>
  <c r="BM63" i="9"/>
  <c r="BN63" i="9"/>
  <c r="BO63" i="9"/>
  <c r="BR63" i="9"/>
  <c r="I64" i="9"/>
  <c r="AU64" i="9"/>
  <c r="AV64" i="9" s="1"/>
  <c r="AX64" i="9"/>
  <c r="AY64" i="9"/>
  <c r="BA64" i="9"/>
  <c r="BL64" i="9"/>
  <c r="BM64" i="9"/>
  <c r="BN64" i="9"/>
  <c r="BO64" i="9"/>
  <c r="BR64" i="9"/>
  <c r="I65" i="9"/>
  <c r="AU65" i="9"/>
  <c r="AV65" i="9" s="1"/>
  <c r="AX65" i="9"/>
  <c r="AY65" i="9"/>
  <c r="BA65" i="9"/>
  <c r="BL65" i="9"/>
  <c r="BM65" i="9"/>
  <c r="BN65" i="9"/>
  <c r="BO65" i="9"/>
  <c r="BR65" i="9"/>
  <c r="I66" i="9"/>
  <c r="AU66" i="9"/>
  <c r="AV66" i="9" s="1"/>
  <c r="AX66" i="9"/>
  <c r="AY66" i="9"/>
  <c r="BA66" i="9"/>
  <c r="BL66" i="9"/>
  <c r="BM66" i="9"/>
  <c r="BN66" i="9"/>
  <c r="BO66" i="9"/>
  <c r="BR66" i="9"/>
  <c r="I67" i="9"/>
  <c r="AU67" i="9"/>
  <c r="AV67" i="9" s="1"/>
  <c r="AX67" i="9"/>
  <c r="AY67" i="9"/>
  <c r="BA67" i="9"/>
  <c r="BL67" i="9"/>
  <c r="BM67" i="9"/>
  <c r="BN67" i="9"/>
  <c r="BO67" i="9"/>
  <c r="BR67" i="9"/>
  <c r="I68" i="9"/>
  <c r="AU68" i="9"/>
  <c r="AV68" i="9" s="1"/>
  <c r="AX68" i="9"/>
  <c r="AY68" i="9"/>
  <c r="BA68" i="9"/>
  <c r="BL68" i="9"/>
  <c r="BM68" i="9"/>
  <c r="BN68" i="9"/>
  <c r="BO68" i="9"/>
  <c r="BR68" i="9"/>
  <c r="I69" i="9"/>
  <c r="AU69" i="9"/>
  <c r="AV69" i="9" s="1"/>
  <c r="AX69" i="9"/>
  <c r="AY69" i="9"/>
  <c r="BA69" i="9"/>
  <c r="BL69" i="9"/>
  <c r="BM69" i="9"/>
  <c r="BN69" i="9"/>
  <c r="BO69" i="9"/>
  <c r="BR69" i="9"/>
  <c r="I70" i="9"/>
  <c r="AU70" i="9"/>
  <c r="AV70" i="9" s="1"/>
  <c r="AX70" i="9"/>
  <c r="AY70" i="9"/>
  <c r="BA70" i="9"/>
  <c r="BL70" i="9"/>
  <c r="BM70" i="9"/>
  <c r="BN70" i="9"/>
  <c r="BO70" i="9"/>
  <c r="BR70" i="9"/>
  <c r="I71" i="9"/>
  <c r="AU71" i="9"/>
  <c r="AV71" i="9" s="1"/>
  <c r="AX71" i="9"/>
  <c r="AY71" i="9"/>
  <c r="BA71" i="9"/>
  <c r="BL71" i="9"/>
  <c r="BM71" i="9"/>
  <c r="BN71" i="9"/>
  <c r="BO71" i="9"/>
  <c r="BR71" i="9"/>
  <c r="I72" i="9"/>
  <c r="AU72" i="9"/>
  <c r="AV72" i="9" s="1"/>
  <c r="AX72" i="9"/>
  <c r="AY72" i="9"/>
  <c r="BA72" i="9"/>
  <c r="BL72" i="9"/>
  <c r="BM72" i="9"/>
  <c r="BN72" i="9"/>
  <c r="BO72" i="9"/>
  <c r="BR72" i="9"/>
  <c r="I73" i="9"/>
  <c r="AU73" i="9"/>
  <c r="AV73" i="9" s="1"/>
  <c r="AX73" i="9"/>
  <c r="AY73" i="9"/>
  <c r="BA73" i="9"/>
  <c r="BL73" i="9"/>
  <c r="BM73" i="9"/>
  <c r="BN73" i="9"/>
  <c r="BO73" i="9"/>
  <c r="BR73" i="9"/>
  <c r="I74" i="9"/>
  <c r="AU74" i="9"/>
  <c r="AV74" i="9" s="1"/>
  <c r="AX74" i="9"/>
  <c r="AY74" i="9"/>
  <c r="BA74" i="9"/>
  <c r="BL74" i="9"/>
  <c r="BM74" i="9"/>
  <c r="BN74" i="9"/>
  <c r="BO74" i="9"/>
  <c r="BR74" i="9"/>
  <c r="I75" i="9"/>
  <c r="AU75" i="9"/>
  <c r="AV75" i="9" s="1"/>
  <c r="AX75" i="9"/>
  <c r="AY75" i="9"/>
  <c r="BA75" i="9"/>
  <c r="BL75" i="9"/>
  <c r="BM75" i="9"/>
  <c r="BN75" i="9"/>
  <c r="BO75" i="9"/>
  <c r="BR75" i="9"/>
  <c r="I76" i="9"/>
  <c r="AU76" i="9"/>
  <c r="AV76" i="9" s="1"/>
  <c r="AX76" i="9"/>
  <c r="AY76" i="9"/>
  <c r="BA76" i="9"/>
  <c r="BL76" i="9"/>
  <c r="BM76" i="9"/>
  <c r="BN76" i="9"/>
  <c r="BO76" i="9"/>
  <c r="BR76" i="9"/>
  <c r="I77" i="9"/>
  <c r="AU77" i="9"/>
  <c r="AV77" i="9" s="1"/>
  <c r="AX77" i="9"/>
  <c r="AY77" i="9"/>
  <c r="BA77" i="9"/>
  <c r="BL77" i="9"/>
  <c r="BM77" i="9"/>
  <c r="BN77" i="9"/>
  <c r="BO77" i="9"/>
  <c r="BR77" i="9"/>
  <c r="I78" i="9"/>
  <c r="AU78" i="9"/>
  <c r="AV78" i="9" s="1"/>
  <c r="AX78" i="9"/>
  <c r="AY78" i="9"/>
  <c r="BA78" i="9"/>
  <c r="BL78" i="9"/>
  <c r="BM78" i="9"/>
  <c r="BN78" i="9"/>
  <c r="BO78" i="9"/>
  <c r="BR78" i="9"/>
  <c r="I79" i="9"/>
  <c r="AU79" i="9"/>
  <c r="AV79" i="9" s="1"/>
  <c r="AX79" i="9"/>
  <c r="AY79" i="9"/>
  <c r="BA79" i="9"/>
  <c r="BL79" i="9"/>
  <c r="BM79" i="9"/>
  <c r="BN79" i="9"/>
  <c r="BO79" i="9"/>
  <c r="BR79" i="9"/>
  <c r="I80" i="9"/>
  <c r="AU80" i="9"/>
  <c r="AV80" i="9" s="1"/>
  <c r="AX80" i="9"/>
  <c r="AY80" i="9"/>
  <c r="BA80" i="9"/>
  <c r="BL80" i="9"/>
  <c r="BM80" i="9"/>
  <c r="BN80" i="9"/>
  <c r="BO80" i="9"/>
  <c r="BR80" i="9"/>
  <c r="I81" i="9"/>
  <c r="AU81" i="9"/>
  <c r="AV81" i="9" s="1"/>
  <c r="AX81" i="9"/>
  <c r="AY81" i="9"/>
  <c r="BA81" i="9"/>
  <c r="BL81" i="9"/>
  <c r="BM81" i="9"/>
  <c r="BN81" i="9"/>
  <c r="BO81" i="9"/>
  <c r="BR81" i="9"/>
  <c r="I82" i="9"/>
  <c r="AU82" i="9"/>
  <c r="AV82" i="9" s="1"/>
  <c r="AX82" i="9"/>
  <c r="AY82" i="9"/>
  <c r="BA82" i="9"/>
  <c r="BL82" i="9"/>
  <c r="BM82" i="9"/>
  <c r="BN82" i="9"/>
  <c r="BO82" i="9"/>
  <c r="BR82" i="9"/>
  <c r="I83" i="9"/>
  <c r="AU83" i="9"/>
  <c r="AV83" i="9" s="1"/>
  <c r="AX83" i="9"/>
  <c r="AY83" i="9"/>
  <c r="BA83" i="9"/>
  <c r="BL83" i="9"/>
  <c r="BM83" i="9"/>
  <c r="BN83" i="9"/>
  <c r="BO83" i="9"/>
  <c r="BR83" i="9"/>
  <c r="I84" i="9"/>
  <c r="AU84" i="9"/>
  <c r="AV84" i="9" s="1"/>
  <c r="AX84" i="9"/>
  <c r="AY84" i="9"/>
  <c r="BA84" i="9"/>
  <c r="BL84" i="9"/>
  <c r="BM84" i="9"/>
  <c r="BN84" i="9"/>
  <c r="BO84" i="9"/>
  <c r="BR84" i="9"/>
  <c r="I85" i="9"/>
  <c r="AU85" i="9"/>
  <c r="AV85" i="9" s="1"/>
  <c r="AX85" i="9"/>
  <c r="AY85" i="9"/>
  <c r="BA85" i="9"/>
  <c r="BL85" i="9"/>
  <c r="BM85" i="9"/>
  <c r="BN85" i="9"/>
  <c r="BO85" i="9"/>
  <c r="BR85" i="9"/>
  <c r="I86" i="9"/>
  <c r="AU86" i="9"/>
  <c r="AV86" i="9" s="1"/>
  <c r="AX86" i="9"/>
  <c r="AY86" i="9"/>
  <c r="BA86" i="9"/>
  <c r="BL86" i="9"/>
  <c r="BM86" i="9"/>
  <c r="BN86" i="9"/>
  <c r="BO86" i="9"/>
  <c r="BR86" i="9"/>
  <c r="I87" i="9"/>
  <c r="AU87" i="9"/>
  <c r="AV87" i="9" s="1"/>
  <c r="AX87" i="9"/>
  <c r="AY87" i="9"/>
  <c r="BA87" i="9"/>
  <c r="BL87" i="9"/>
  <c r="BM87" i="9"/>
  <c r="BN87" i="9"/>
  <c r="BO87" i="9"/>
  <c r="BR87" i="9"/>
  <c r="I88" i="9"/>
  <c r="AU88" i="9"/>
  <c r="AV88" i="9" s="1"/>
  <c r="AX88" i="9"/>
  <c r="AY88" i="9"/>
  <c r="BA88" i="9"/>
  <c r="BL88" i="9"/>
  <c r="BM88" i="9"/>
  <c r="BN88" i="9"/>
  <c r="BO88" i="9"/>
  <c r="BR88" i="9"/>
  <c r="I89" i="9"/>
  <c r="AU89" i="9"/>
  <c r="AV89" i="9" s="1"/>
  <c r="AX89" i="9"/>
  <c r="AY89" i="9"/>
  <c r="BA89" i="9"/>
  <c r="BL89" i="9"/>
  <c r="BM89" i="9"/>
  <c r="BN89" i="9"/>
  <c r="BO89" i="9"/>
  <c r="BR89" i="9"/>
  <c r="I90" i="9"/>
  <c r="AU90" i="9"/>
  <c r="AV90" i="9" s="1"/>
  <c r="AX90" i="9"/>
  <c r="AY90" i="9"/>
  <c r="BA90" i="9"/>
  <c r="BL90" i="9"/>
  <c r="BM90" i="9"/>
  <c r="BN90" i="9"/>
  <c r="BO90" i="9"/>
  <c r="BR90" i="9"/>
  <c r="I91" i="9"/>
  <c r="AU91" i="9"/>
  <c r="AV91" i="9" s="1"/>
  <c r="AX91" i="9"/>
  <c r="AY91" i="9"/>
  <c r="BA91" i="9"/>
  <c r="BL91" i="9"/>
  <c r="BM91" i="9"/>
  <c r="BN91" i="9"/>
  <c r="BO91" i="9"/>
  <c r="BR91" i="9"/>
  <c r="I17" i="9"/>
  <c r="C190" i="29" l="1"/>
  <c r="R146" i="29"/>
  <c r="T6" i="29"/>
  <c r="C234" i="29" l="1"/>
  <c r="R190" i="29"/>
  <c r="V6" i="29"/>
  <c r="L64" i="30"/>
  <c r="L26" i="30"/>
  <c r="R234" i="29" l="1"/>
  <c r="C278" i="29"/>
  <c r="X6" i="29"/>
  <c r="S152" i="31"/>
  <c r="C322" i="29" l="1"/>
  <c r="R278" i="29"/>
  <c r="Z6" i="29"/>
  <c r="AQ107" i="9"/>
  <c r="AP107" i="9"/>
  <c r="AQ106" i="9"/>
  <c r="AP106" i="9"/>
  <c r="AQ105" i="9"/>
  <c r="AP105" i="9"/>
  <c r="AQ104" i="9"/>
  <c r="AP104" i="9"/>
  <c r="AQ103" i="9"/>
  <c r="AP103" i="9"/>
  <c r="AQ102" i="9"/>
  <c r="AP102" i="9"/>
  <c r="AQ99" i="9"/>
  <c r="AP99" i="9"/>
  <c r="C366" i="29" l="1"/>
  <c r="R322" i="29"/>
  <c r="K124" i="10"/>
  <c r="R366" i="29" l="1"/>
  <c r="C410" i="29"/>
  <c r="BW122" i="9"/>
  <c r="BW114" i="9"/>
  <c r="BW120" i="9"/>
  <c r="BW121" i="9"/>
  <c r="BW113" i="9"/>
  <c r="BW119" i="9"/>
  <c r="BW118" i="9"/>
  <c r="BW115" i="9"/>
  <c r="BW117" i="9"/>
  <c r="BW116" i="9"/>
  <c r="BW24" i="9"/>
  <c r="BW32" i="9"/>
  <c r="BW40" i="9"/>
  <c r="BW25" i="9"/>
  <c r="BW33" i="9"/>
  <c r="BW41" i="9"/>
  <c r="BW31" i="9"/>
  <c r="BW26" i="9"/>
  <c r="BW34" i="9"/>
  <c r="BW42" i="9"/>
  <c r="BW46" i="9"/>
  <c r="BW27" i="9"/>
  <c r="BW35" i="9"/>
  <c r="BW43" i="9"/>
  <c r="BW28" i="9"/>
  <c r="BW36" i="9"/>
  <c r="BW44" i="9"/>
  <c r="BW29" i="9"/>
  <c r="BW37" i="9"/>
  <c r="BW45" i="9"/>
  <c r="BW38" i="9"/>
  <c r="BW39" i="9"/>
  <c r="BW30" i="9"/>
  <c r="D155" i="7"/>
  <c r="D154" i="7"/>
  <c r="D153" i="7"/>
  <c r="D152" i="7"/>
  <c r="D151" i="7"/>
  <c r="D150" i="7"/>
  <c r="C454" i="29" l="1"/>
  <c r="R410" i="29"/>
  <c r="G219" i="31"/>
  <c r="G147" i="31"/>
  <c r="G179" i="31"/>
  <c r="H15" i="3"/>
  <c r="F219" i="31"/>
  <c r="F147" i="31"/>
  <c r="D156" i="7"/>
  <c r="F179" i="31"/>
  <c r="N487" i="7"/>
  <c r="M487" i="7"/>
  <c r="L487" i="7"/>
  <c r="N451" i="7"/>
  <c r="M451" i="7"/>
  <c r="L451" i="7"/>
  <c r="N415" i="7"/>
  <c r="M415" i="7"/>
  <c r="L415" i="7"/>
  <c r="N379" i="7"/>
  <c r="M379" i="7"/>
  <c r="L379" i="7"/>
  <c r="N343" i="7"/>
  <c r="M343" i="7"/>
  <c r="L343" i="7"/>
  <c r="N307" i="7"/>
  <c r="M307" i="7"/>
  <c r="L307" i="7"/>
  <c r="N271" i="7"/>
  <c r="M271" i="7"/>
  <c r="L271" i="7"/>
  <c r="N235" i="7"/>
  <c r="M235" i="7"/>
  <c r="L235" i="7"/>
  <c r="C198" i="7"/>
  <c r="C234" i="7" s="1"/>
  <c r="N199" i="7"/>
  <c r="M199" i="7"/>
  <c r="L199" i="7"/>
  <c r="C498" i="29" l="1"/>
  <c r="R454" i="29"/>
  <c r="C270" i="7"/>
  <c r="K114" i="7"/>
  <c r="L52" i="29"/>
  <c r="R498" i="29" l="1"/>
  <c r="C542" i="29"/>
  <c r="C306" i="7"/>
  <c r="C586" i="29" l="1"/>
  <c r="R542" i="29"/>
  <c r="C342" i="7"/>
  <c r="R586" i="29" l="1"/>
  <c r="C630" i="29"/>
  <c r="C378" i="7"/>
  <c r="B106" i="3"/>
  <c r="BK107" i="9"/>
  <c r="BK106" i="9"/>
  <c r="BK105" i="9"/>
  <c r="BK104" i="9"/>
  <c r="BK103" i="9"/>
  <c r="BK102" i="9"/>
  <c r="BK101" i="9"/>
  <c r="BK100" i="9"/>
  <c r="C674" i="29" l="1"/>
  <c r="R630" i="29"/>
  <c r="C414" i="7"/>
  <c r="U2" i="19"/>
  <c r="BF2" i="33"/>
  <c r="BF2" i="28"/>
  <c r="Y2" i="7"/>
  <c r="U2" i="31"/>
  <c r="U2" i="30"/>
  <c r="U2" i="29"/>
  <c r="U2" i="26"/>
  <c r="U2" i="16"/>
  <c r="BD2" i="9"/>
  <c r="U2" i="38"/>
  <c r="U2" i="39"/>
  <c r="U2" i="20"/>
  <c r="U2" i="10"/>
  <c r="AV112" i="9"/>
  <c r="AD112" i="9"/>
  <c r="AV111" i="9"/>
  <c r="AD111" i="9"/>
  <c r="AU106" i="9"/>
  <c r="AU105" i="9"/>
  <c r="AU102" i="9"/>
  <c r="BF97" i="9"/>
  <c r="S158" i="31"/>
  <c r="K2" i="33"/>
  <c r="I2" i="33"/>
  <c r="C718" i="29" l="1"/>
  <c r="R674" i="29"/>
  <c r="C450" i="7"/>
  <c r="AU111" i="9"/>
  <c r="AU112" i="9"/>
  <c r="R718" i="29" l="1"/>
  <c r="C762" i="29"/>
  <c r="C486" i="7"/>
  <c r="AH71" i="10"/>
  <c r="AH70" i="10"/>
  <c r="AH69" i="10"/>
  <c r="AN107" i="9"/>
  <c r="AO107" i="9" s="1"/>
  <c r="AN106" i="9"/>
  <c r="AO106" i="9" s="1"/>
  <c r="AN105" i="9"/>
  <c r="AO105" i="9" s="1"/>
  <c r="AN104" i="9"/>
  <c r="AO104" i="9" s="1"/>
  <c r="AN103" i="9"/>
  <c r="AO103" i="9" s="1"/>
  <c r="AN102" i="9"/>
  <c r="AO102" i="9" s="1"/>
  <c r="R762" i="29" l="1"/>
  <c r="C806" i="29"/>
  <c r="AU104" i="9"/>
  <c r="AU103" i="9"/>
  <c r="AU101" i="9"/>
  <c r="AU107" i="9"/>
  <c r="B2" i="39"/>
  <c r="C850" i="29" l="1"/>
  <c r="R850" i="29" s="1"/>
  <c r="R806" i="29"/>
  <c r="G8" i="39"/>
  <c r="F8" i="39"/>
  <c r="E8" i="39"/>
  <c r="C6" i="39"/>
  <c r="T8" i="20"/>
  <c r="S2" i="39"/>
  <c r="H59" i="20" l="1"/>
  <c r="D59" i="20" l="1"/>
  <c r="B2" i="20"/>
  <c r="F38" i="16"/>
  <c r="C44" i="3"/>
  <c r="B44" i="3"/>
  <c r="D43" i="3"/>
  <c r="C43" i="3"/>
  <c r="B43" i="3"/>
  <c r="F42" i="3"/>
  <c r="E42" i="3"/>
  <c r="D42" i="3"/>
  <c r="C42" i="3"/>
  <c r="B42" i="3"/>
  <c r="G211" i="31"/>
  <c r="I99" i="30"/>
  <c r="I97" i="30"/>
  <c r="F92" i="30"/>
  <c r="F37" i="16"/>
  <c r="F36" i="16"/>
  <c r="E34" i="16"/>
  <c r="E30" i="16"/>
  <c r="E29" i="16"/>
  <c r="E21" i="16"/>
  <c r="E286" i="38"/>
  <c r="E283" i="38"/>
  <c r="E282" i="38"/>
  <c r="D279" i="38"/>
  <c r="G276" i="38"/>
  <c r="G275" i="38"/>
  <c r="G274" i="38"/>
  <c r="G273" i="38"/>
  <c r="G272" i="38"/>
  <c r="G271" i="38"/>
  <c r="G270" i="38"/>
  <c r="G269" i="38"/>
  <c r="G267" i="38"/>
  <c r="G266" i="38"/>
  <c r="G265" i="38"/>
  <c r="G263" i="38"/>
  <c r="G262" i="38"/>
  <c r="G261" i="38"/>
  <c r="G260" i="38"/>
  <c r="G259" i="38"/>
  <c r="G258" i="38"/>
  <c r="G257" i="38"/>
  <c r="G256" i="38"/>
  <c r="G255" i="38"/>
  <c r="G254" i="38"/>
  <c r="G253" i="38"/>
  <c r="G252" i="38"/>
  <c r="G251" i="38"/>
  <c r="G250" i="38"/>
  <c r="G249" i="38"/>
  <c r="G248" i="38"/>
  <c r="G247" i="38"/>
  <c r="G246" i="38"/>
  <c r="G245" i="38"/>
  <c r="G244" i="38"/>
  <c r="G243" i="38"/>
  <c r="G242" i="38"/>
  <c r="G241" i="38"/>
  <c r="G240" i="38"/>
  <c r="G239" i="38"/>
  <c r="G238" i="38"/>
  <c r="G237" i="38"/>
  <c r="G236" i="38"/>
  <c r="G235" i="38"/>
  <c r="G234" i="38"/>
  <c r="G233" i="38"/>
  <c r="G232" i="38"/>
  <c r="G231" i="38"/>
  <c r="G230" i="38"/>
  <c r="G229" i="38"/>
  <c r="G228" i="38"/>
  <c r="G227" i="38"/>
  <c r="G226" i="38"/>
  <c r="G225" i="38"/>
  <c r="G224" i="38"/>
  <c r="G223" i="38"/>
  <c r="G222" i="38"/>
  <c r="G221" i="38"/>
  <c r="G220" i="38"/>
  <c r="G219" i="38"/>
  <c r="G218" i="38"/>
  <c r="G217" i="38"/>
  <c r="G216" i="38"/>
  <c r="G214" i="38"/>
  <c r="G212" i="38"/>
  <c r="G211" i="38"/>
  <c r="G209" i="38"/>
  <c r="G208" i="38"/>
  <c r="G207" i="38"/>
  <c r="G206" i="38"/>
  <c r="G205" i="38"/>
  <c r="G204" i="38"/>
  <c r="G201" i="38"/>
  <c r="G200" i="38"/>
  <c r="G199" i="38"/>
  <c r="G198" i="38"/>
  <c r="G197" i="38"/>
  <c r="G195" i="38"/>
  <c r="G194" i="38"/>
  <c r="G193" i="38"/>
  <c r="G192" i="38"/>
  <c r="G190" i="38"/>
  <c r="G189" i="38"/>
  <c r="G188" i="38"/>
  <c r="G187" i="38"/>
  <c r="G186" i="38"/>
  <c r="G185" i="38"/>
  <c r="G184" i="38"/>
  <c r="G183" i="38"/>
  <c r="G182" i="38"/>
  <c r="G181" i="38"/>
  <c r="G180" i="38"/>
  <c r="G177" i="38"/>
  <c r="L177" i="38"/>
  <c r="G176" i="38"/>
  <c r="L176" i="38"/>
  <c r="G175" i="38"/>
  <c r="L175" i="38"/>
  <c r="G174" i="38"/>
  <c r="L174" i="38"/>
  <c r="G173" i="38"/>
  <c r="L173" i="38"/>
  <c r="G172" i="38"/>
  <c r="L172" i="38"/>
  <c r="G171" i="38"/>
  <c r="L171" i="38"/>
  <c r="G170" i="38"/>
  <c r="L170" i="38"/>
  <c r="G169" i="38"/>
  <c r="L169" i="38"/>
  <c r="G168" i="38"/>
  <c r="L168" i="38"/>
  <c r="G167" i="38"/>
  <c r="L167" i="38"/>
  <c r="G166" i="38"/>
  <c r="L166" i="38"/>
  <c r="L165" i="38"/>
  <c r="G164" i="38"/>
  <c r="L164" i="38"/>
  <c r="G163" i="38"/>
  <c r="L163" i="38"/>
  <c r="G162" i="38"/>
  <c r="L162" i="38"/>
  <c r="G161" i="38"/>
  <c r="L161" i="38"/>
  <c r="G160" i="38"/>
  <c r="L160" i="38"/>
  <c r="G159" i="38"/>
  <c r="G158" i="38"/>
  <c r="L158" i="38"/>
  <c r="G157" i="38"/>
  <c r="L157" i="38"/>
  <c r="G156" i="38"/>
  <c r="L156" i="38"/>
  <c r="G155" i="38"/>
  <c r="L155" i="38"/>
  <c r="G154" i="38"/>
  <c r="L154" i="38"/>
  <c r="G153" i="38"/>
  <c r="L153" i="38"/>
  <c r="L152" i="38"/>
  <c r="G151" i="38"/>
  <c r="L151" i="38"/>
  <c r="G150" i="38"/>
  <c r="L150" i="38"/>
  <c r="G149" i="38"/>
  <c r="L149" i="38"/>
  <c r="G148" i="38"/>
  <c r="L148" i="38"/>
  <c r="L147" i="38"/>
  <c r="L146" i="38"/>
  <c r="L145" i="38"/>
  <c r="G144" i="38"/>
  <c r="L144" i="38"/>
  <c r="G143" i="38"/>
  <c r="L143" i="38"/>
  <c r="G142" i="38"/>
  <c r="L142" i="38"/>
  <c r="L141" i="38"/>
  <c r="G140" i="38"/>
  <c r="G139" i="38"/>
  <c r="G138" i="38"/>
  <c r="L138" i="38"/>
  <c r="G137" i="38"/>
  <c r="L137" i="38"/>
  <c r="G136" i="38"/>
  <c r="L136" i="38"/>
  <c r="G135" i="38"/>
  <c r="L135" i="38"/>
  <c r="G134" i="38"/>
  <c r="L134" i="38"/>
  <c r="G133" i="38"/>
  <c r="L133" i="38"/>
  <c r="G132" i="38"/>
  <c r="L132" i="38"/>
  <c r="G131" i="38"/>
  <c r="L131" i="38"/>
  <c r="G130" i="38"/>
  <c r="L130" i="38"/>
  <c r="G129" i="38"/>
  <c r="L129" i="38"/>
  <c r="G128" i="38"/>
  <c r="L128" i="38"/>
  <c r="G127" i="38"/>
  <c r="L127" i="38"/>
  <c r="G126" i="38"/>
  <c r="L126" i="38"/>
  <c r="G125" i="38"/>
  <c r="L125" i="38"/>
  <c r="G124" i="38"/>
  <c r="L124" i="38"/>
  <c r="G123" i="38"/>
  <c r="L123" i="38"/>
  <c r="L122" i="38"/>
  <c r="L121" i="38"/>
  <c r="G120" i="38"/>
  <c r="L120" i="38"/>
  <c r="L119" i="38"/>
  <c r="G118" i="38"/>
  <c r="G117" i="38"/>
  <c r="L117" i="38"/>
  <c r="G116" i="38"/>
  <c r="L116" i="38"/>
  <c r="G115" i="38"/>
  <c r="L115" i="38"/>
  <c r="L114" i="38"/>
  <c r="G113" i="38"/>
  <c r="L113" i="38"/>
  <c r="L112" i="38"/>
  <c r="G111" i="38"/>
  <c r="L111" i="38"/>
  <c r="L110" i="38"/>
  <c r="G109" i="38"/>
  <c r="L109" i="38"/>
  <c r="G108" i="38"/>
  <c r="L108" i="38"/>
  <c r="G107" i="38"/>
  <c r="L107" i="38"/>
  <c r="G106" i="38"/>
  <c r="L106" i="38"/>
  <c r="G105" i="38"/>
  <c r="L105" i="38"/>
  <c r="G104" i="38"/>
  <c r="L104" i="38"/>
  <c r="G103" i="38"/>
  <c r="L103" i="38"/>
  <c r="G102" i="38"/>
  <c r="L102" i="38"/>
  <c r="L101" i="38"/>
  <c r="G100" i="38"/>
  <c r="L100" i="38"/>
  <c r="G99" i="38"/>
  <c r="L99" i="38"/>
  <c r="G98" i="38"/>
  <c r="L98" i="38"/>
  <c r="G97" i="38"/>
  <c r="L97" i="38"/>
  <c r="G96" i="38"/>
  <c r="L96" i="38"/>
  <c r="G95" i="38"/>
  <c r="L95" i="38"/>
  <c r="G94" i="38"/>
  <c r="L94" i="38"/>
  <c r="G93" i="38"/>
  <c r="L93" i="38"/>
  <c r="G92" i="38"/>
  <c r="L92" i="38"/>
  <c r="G91" i="38"/>
  <c r="L91" i="38"/>
  <c r="G90" i="38"/>
  <c r="L90" i="38"/>
  <c r="L89" i="38"/>
  <c r="G88" i="38"/>
  <c r="L88" i="38"/>
  <c r="L87" i="38"/>
  <c r="G86" i="38"/>
  <c r="L86" i="38"/>
  <c r="G85" i="38"/>
  <c r="L85" i="38"/>
  <c r="G84" i="38"/>
  <c r="L84" i="38"/>
  <c r="G83" i="38"/>
  <c r="L83" i="38"/>
  <c r="L82" i="38"/>
  <c r="G81" i="38"/>
  <c r="L81" i="38"/>
  <c r="G80" i="38"/>
  <c r="L80" i="38"/>
  <c r="L79" i="38"/>
  <c r="G78" i="38"/>
  <c r="L78" i="38"/>
  <c r="G77" i="38"/>
  <c r="L77" i="38"/>
  <c r="G76" i="38"/>
  <c r="L76" i="38"/>
  <c r="L75" i="38"/>
  <c r="G74" i="38"/>
  <c r="L74" i="38"/>
  <c r="G73" i="38"/>
  <c r="L73" i="38"/>
  <c r="G72" i="38"/>
  <c r="L72" i="38"/>
  <c r="G71" i="38"/>
  <c r="L71" i="38"/>
  <c r="L70" i="38"/>
  <c r="G69" i="38"/>
  <c r="L69" i="38"/>
  <c r="L68" i="38"/>
  <c r="G67" i="38"/>
  <c r="L67" i="38"/>
  <c r="L66" i="38"/>
  <c r="G65" i="38"/>
  <c r="L65" i="38"/>
  <c r="G64" i="38"/>
  <c r="L64" i="38"/>
  <c r="G63" i="38"/>
  <c r="L63" i="38"/>
  <c r="G62" i="38"/>
  <c r="L62" i="38"/>
  <c r="L61" i="38"/>
  <c r="G61" i="38"/>
  <c r="L60" i="38"/>
  <c r="G60" i="38"/>
  <c r="L59" i="38"/>
  <c r="G59" i="38"/>
  <c r="L58" i="38"/>
  <c r="G58" i="38"/>
  <c r="L57" i="38"/>
  <c r="G57" i="38"/>
  <c r="L56" i="38"/>
  <c r="G56" i="38"/>
  <c r="L55" i="38"/>
  <c r="G55" i="38"/>
  <c r="L54" i="38"/>
  <c r="G54" i="38"/>
  <c r="L53" i="38"/>
  <c r="G53" i="38"/>
  <c r="L52" i="38"/>
  <c r="G52" i="38"/>
  <c r="L51" i="38"/>
  <c r="G51" i="38"/>
  <c r="L50" i="38"/>
  <c r="G50" i="38"/>
  <c r="L49" i="38"/>
  <c r="G49" i="38"/>
  <c r="L48" i="38"/>
  <c r="G48" i="38"/>
  <c r="L47" i="38"/>
  <c r="G47" i="38"/>
  <c r="L46" i="38"/>
  <c r="G46" i="38"/>
  <c r="L45" i="38"/>
  <c r="G45" i="38"/>
  <c r="L44" i="38"/>
  <c r="G44" i="38"/>
  <c r="L43" i="38"/>
  <c r="G43" i="38"/>
  <c r="L42" i="38"/>
  <c r="G42" i="38"/>
  <c r="L41" i="38"/>
  <c r="G41" i="38"/>
  <c r="L40" i="38"/>
  <c r="G40" i="38"/>
  <c r="L39" i="38"/>
  <c r="G39" i="38"/>
  <c r="L38" i="38"/>
  <c r="G38" i="38"/>
  <c r="L37" i="38"/>
  <c r="G37" i="38"/>
  <c r="L36" i="38"/>
  <c r="G36" i="38"/>
  <c r="L35" i="38"/>
  <c r="G35" i="38"/>
  <c r="L34" i="38"/>
  <c r="G34" i="38"/>
  <c r="L33" i="38"/>
  <c r="L32" i="38"/>
  <c r="G32" i="38"/>
  <c r="L31" i="38"/>
  <c r="L30" i="38"/>
  <c r="G30" i="38"/>
  <c r="L29" i="38"/>
  <c r="G29" i="38"/>
  <c r="L28" i="38"/>
  <c r="G28" i="38"/>
  <c r="L27" i="38"/>
  <c r="G27" i="38"/>
  <c r="L26" i="38"/>
  <c r="G26" i="38"/>
  <c r="L25" i="38"/>
  <c r="G25" i="38"/>
  <c r="L24" i="38"/>
  <c r="G24" i="38"/>
  <c r="L23" i="38"/>
  <c r="L22" i="38"/>
  <c r="G22" i="38"/>
  <c r="L21" i="38"/>
  <c r="G21" i="38"/>
  <c r="L20" i="38"/>
  <c r="G19" i="38"/>
  <c r="L18" i="38"/>
  <c r="G18" i="38"/>
  <c r="L17" i="38"/>
  <c r="G17" i="38"/>
  <c r="L16" i="38"/>
  <c r="G16" i="38"/>
  <c r="L15" i="38"/>
  <c r="G15" i="38"/>
  <c r="L14" i="38"/>
  <c r="G14" i="38"/>
  <c r="L13" i="38"/>
  <c r="G13" i="38"/>
  <c r="L12" i="38"/>
  <c r="G12" i="38"/>
  <c r="L11" i="38"/>
  <c r="G11" i="38"/>
  <c r="L10" i="38"/>
  <c r="G10" i="38"/>
  <c r="D8" i="38"/>
  <c r="C6" i="38"/>
  <c r="B2" i="38"/>
  <c r="F638" i="38"/>
  <c r="F413" i="38"/>
  <c r="H105" i="3"/>
  <c r="G105" i="3"/>
  <c r="H100" i="3"/>
  <c r="G100" i="3"/>
  <c r="I99" i="3"/>
  <c r="H99" i="3"/>
  <c r="G99" i="3"/>
  <c r="H96" i="3"/>
  <c r="G96" i="3"/>
  <c r="H94" i="3"/>
  <c r="G94" i="3"/>
  <c r="B75" i="3"/>
  <c r="B74" i="3"/>
  <c r="B73" i="3"/>
  <c r="B72" i="3"/>
  <c r="B67" i="3"/>
  <c r="B65" i="3"/>
  <c r="B64" i="3"/>
  <c r="B63" i="3"/>
  <c r="B62" i="3"/>
  <c r="B60" i="3"/>
  <c r="B59" i="3"/>
  <c r="D58" i="3"/>
  <c r="C58" i="3"/>
  <c r="C56" i="3"/>
  <c r="B54" i="3"/>
  <c r="D46" i="3"/>
  <c r="C46" i="3"/>
  <c r="F45" i="3"/>
  <c r="B20" i="3"/>
  <c r="B18" i="3"/>
  <c r="H9" i="28"/>
  <c r="D9" i="28"/>
  <c r="F158" i="7"/>
  <c r="F156" i="7"/>
  <c r="F149" i="7"/>
  <c r="F147" i="7"/>
  <c r="F146" i="7"/>
  <c r="F142" i="7"/>
  <c r="F141" i="7"/>
  <c r="F139" i="7"/>
  <c r="D139" i="7"/>
  <c r="D136" i="7"/>
  <c r="F113" i="7"/>
  <c r="F95" i="7"/>
  <c r="F93" i="7"/>
  <c r="F91" i="7"/>
  <c r="D89" i="7"/>
  <c r="E87" i="7"/>
  <c r="E86" i="7"/>
  <c r="E85" i="7"/>
  <c r="E84" i="7"/>
  <c r="E32" i="16"/>
  <c r="E83" i="7"/>
  <c r="L70" i="7"/>
  <c r="J70" i="7"/>
  <c r="I70" i="7"/>
  <c r="D68" i="7"/>
  <c r="D66" i="7"/>
  <c r="F20" i="7"/>
  <c r="D19" i="7"/>
  <c r="D8" i="7"/>
  <c r="D6" i="7"/>
  <c r="B2" i="7"/>
  <c r="G253" i="31"/>
  <c r="G252" i="31"/>
  <c r="G248" i="31"/>
  <c r="G247" i="31"/>
  <c r="G245" i="31"/>
  <c r="E244" i="31"/>
  <c r="G243" i="31"/>
  <c r="G242" i="31"/>
  <c r="G241" i="31"/>
  <c r="G240" i="31"/>
  <c r="G239" i="31"/>
  <c r="G238" i="31"/>
  <c r="G237" i="31"/>
  <c r="G235" i="31"/>
  <c r="G233" i="31"/>
  <c r="G231" i="31"/>
  <c r="G232" i="31"/>
  <c r="G230" i="31"/>
  <c r="G229" i="31"/>
  <c r="G228" i="31"/>
  <c r="G227" i="31"/>
  <c r="G226" i="31"/>
  <c r="G225" i="31"/>
  <c r="G224" i="31"/>
  <c r="G222" i="31"/>
  <c r="E221" i="31"/>
  <c r="E207" i="31"/>
  <c r="G206" i="31"/>
  <c r="E206" i="31"/>
  <c r="G204" i="31"/>
  <c r="G202" i="31"/>
  <c r="E201" i="31"/>
  <c r="E193" i="31"/>
  <c r="E192" i="31"/>
  <c r="G148" i="31"/>
  <c r="E148" i="31"/>
  <c r="D148" i="31"/>
  <c r="G138" i="31"/>
  <c r="D138" i="31"/>
  <c r="E136" i="31"/>
  <c r="D136" i="31"/>
  <c r="G135" i="31"/>
  <c r="G133" i="31"/>
  <c r="D131" i="31"/>
  <c r="G130" i="31"/>
  <c r="G129" i="31"/>
  <c r="F125" i="31"/>
  <c r="D124" i="31"/>
  <c r="G122" i="31"/>
  <c r="E122" i="31"/>
  <c r="D122" i="31"/>
  <c r="G119" i="31"/>
  <c r="E119" i="31"/>
  <c r="E118" i="31"/>
  <c r="E117" i="31"/>
  <c r="G115" i="31"/>
  <c r="E115" i="31"/>
  <c r="G112" i="31"/>
  <c r="F112" i="31"/>
  <c r="E112" i="31"/>
  <c r="D102" i="31"/>
  <c r="E97" i="31"/>
  <c r="G92" i="31"/>
  <c r="G82" i="31"/>
  <c r="G81" i="31"/>
  <c r="E77" i="31"/>
  <c r="G76" i="31"/>
  <c r="E76" i="31"/>
  <c r="G75" i="31"/>
  <c r="E75" i="31"/>
  <c r="G67" i="31"/>
  <c r="G66" i="31"/>
  <c r="G63" i="31"/>
  <c r="G61" i="31"/>
  <c r="E56" i="31"/>
  <c r="G55" i="31"/>
  <c r="G51" i="31"/>
  <c r="G47" i="31"/>
  <c r="G43" i="31"/>
  <c r="E33" i="31"/>
  <c r="G31" i="31"/>
  <c r="G30" i="31"/>
  <c r="E23" i="31"/>
  <c r="E21" i="31"/>
  <c r="E20" i="31"/>
  <c r="E13" i="31"/>
  <c r="E12" i="31"/>
  <c r="E11" i="31"/>
  <c r="D8" i="31"/>
  <c r="E6" i="31"/>
  <c r="B2" i="31"/>
  <c r="E94" i="30"/>
  <c r="E95" i="30"/>
  <c r="E89" i="30"/>
  <c r="F88" i="30"/>
  <c r="F87" i="30"/>
  <c r="E86" i="30"/>
  <c r="E84" i="30"/>
  <c r="D81" i="30"/>
  <c r="E52" i="30"/>
  <c r="E45" i="30"/>
  <c r="E44" i="30"/>
  <c r="E37" i="30"/>
  <c r="E32" i="30"/>
  <c r="E31" i="30"/>
  <c r="E24" i="30"/>
  <c r="E17" i="30"/>
  <c r="E12" i="30"/>
  <c r="E10" i="30"/>
  <c r="D8" i="30"/>
  <c r="E6" i="30"/>
  <c r="B2" i="30"/>
  <c r="G169" i="31"/>
  <c r="E8" i="29"/>
  <c r="E7" i="26"/>
  <c r="B2" i="26"/>
  <c r="J24" i="16"/>
  <c r="I24" i="16"/>
  <c r="H24" i="16"/>
  <c r="E24" i="16"/>
  <c r="E22" i="16"/>
  <c r="D19" i="16"/>
  <c r="L14" i="16"/>
  <c r="K14" i="16"/>
  <c r="J14" i="16"/>
  <c r="I14" i="16"/>
  <c r="H14" i="16"/>
  <c r="E14" i="16"/>
  <c r="E13" i="16"/>
  <c r="E12" i="16"/>
  <c r="E11" i="16"/>
  <c r="D10" i="16"/>
  <c r="D8" i="16"/>
  <c r="E6" i="16"/>
  <c r="B2" i="16"/>
  <c r="D112" i="9"/>
  <c r="R110" i="9"/>
  <c r="E97" i="9"/>
  <c r="C57" i="3"/>
  <c r="D56" i="3"/>
  <c r="E16" i="9"/>
  <c r="D16" i="9"/>
  <c r="C16" i="9"/>
  <c r="K15" i="9"/>
  <c r="E15" i="9"/>
  <c r="D15" i="9"/>
  <c r="K14" i="9"/>
  <c r="E14" i="9"/>
  <c r="D6" i="9"/>
  <c r="B2" i="9"/>
  <c r="E99" i="10"/>
  <c r="E98" i="10"/>
  <c r="F81" i="10"/>
  <c r="E77" i="10"/>
  <c r="E74" i="10"/>
  <c r="G61" i="10"/>
  <c r="E59" i="10"/>
  <c r="E58" i="10"/>
  <c r="E57" i="10"/>
  <c r="D55" i="10"/>
  <c r="E53" i="10"/>
  <c r="E52" i="10"/>
  <c r="E51" i="10"/>
  <c r="E50" i="10"/>
  <c r="E48" i="10"/>
  <c r="E47" i="10"/>
  <c r="E46" i="10"/>
  <c r="E45" i="10"/>
  <c r="E44" i="10"/>
  <c r="E43" i="10"/>
  <c r="E40" i="10"/>
  <c r="E37" i="10"/>
  <c r="E36" i="10"/>
  <c r="D34" i="10"/>
  <c r="E32" i="10"/>
  <c r="E31" i="10"/>
  <c r="E30" i="10"/>
  <c r="E24" i="10"/>
  <c r="E23" i="10"/>
  <c r="E19" i="10"/>
  <c r="D17" i="10"/>
  <c r="E14" i="10"/>
  <c r="K9" i="10"/>
  <c r="H9" i="10"/>
  <c r="D9" i="10"/>
  <c r="E6" i="10"/>
  <c r="B2" i="10"/>
  <c r="F50" i="19"/>
  <c r="C50" i="19"/>
  <c r="F49" i="19"/>
  <c r="C49" i="19"/>
  <c r="C48" i="19"/>
  <c r="C46" i="19"/>
  <c r="C44" i="19"/>
  <c r="C43" i="19"/>
  <c r="C42" i="19"/>
  <c r="E40" i="19"/>
  <c r="E39" i="19"/>
  <c r="E38" i="19"/>
  <c r="F35" i="19"/>
  <c r="F33" i="19"/>
  <c r="F32" i="19"/>
  <c r="F31" i="19"/>
  <c r="F30" i="19"/>
  <c r="D30" i="19"/>
  <c r="F29" i="19"/>
  <c r="D29" i="19"/>
  <c r="C28" i="19"/>
  <c r="C25" i="19"/>
  <c r="C24" i="19"/>
  <c r="C22" i="19"/>
  <c r="C21" i="19"/>
  <c r="C19" i="19"/>
  <c r="C16" i="19"/>
  <c r="C15" i="19"/>
  <c r="C14" i="19"/>
  <c r="C11" i="19"/>
  <c r="C10" i="19"/>
  <c r="C8" i="19"/>
  <c r="C6" i="19"/>
  <c r="B2" i="19"/>
  <c r="J64" i="20"/>
  <c r="H64" i="20"/>
  <c r="D64" i="20"/>
  <c r="D63" i="20"/>
  <c r="D62" i="20"/>
  <c r="D60" i="20"/>
  <c r="D54" i="20"/>
  <c r="D50" i="20"/>
  <c r="C6" i="20"/>
  <c r="AA211" i="28" l="1"/>
  <c r="S211" i="28"/>
  <c r="U210" i="28"/>
  <c r="W209" i="28"/>
  <c r="Y208" i="28"/>
  <c r="AA207" i="28"/>
  <c r="S207" i="28"/>
  <c r="U206" i="28"/>
  <c r="W205" i="28"/>
  <c r="Y204" i="28"/>
  <c r="AA203" i="28"/>
  <c r="S203" i="28"/>
  <c r="U202" i="28"/>
  <c r="W201" i="28"/>
  <c r="Y200" i="28"/>
  <c r="AA199" i="28"/>
  <c r="S199" i="28"/>
  <c r="U198" i="28"/>
  <c r="W197" i="28"/>
  <c r="Y196" i="28"/>
  <c r="AA195" i="28"/>
  <c r="S195" i="28"/>
  <c r="U194" i="28"/>
  <c r="W193" i="28"/>
  <c r="Y192" i="28"/>
  <c r="AA191" i="28"/>
  <c r="S191" i="28"/>
  <c r="U190" i="28"/>
  <c r="W189" i="28"/>
  <c r="Y188" i="28"/>
  <c r="AA187" i="28"/>
  <c r="S187" i="28"/>
  <c r="U186" i="28"/>
  <c r="W185" i="28"/>
  <c r="Y184" i="28"/>
  <c r="AA183" i="28"/>
  <c r="S183" i="28"/>
  <c r="U182" i="28"/>
  <c r="W181" i="28"/>
  <c r="Y180" i="28"/>
  <c r="AA179" i="28"/>
  <c r="S179" i="28"/>
  <c r="U178" i="28"/>
  <c r="W177" i="28"/>
  <c r="Y176" i="28"/>
  <c r="AA175" i="28"/>
  <c r="S175" i="28"/>
  <c r="U174" i="28"/>
  <c r="W173" i="28"/>
  <c r="Y172" i="28"/>
  <c r="AA171" i="28"/>
  <c r="S171" i="28"/>
  <c r="U170" i="28"/>
  <c r="W169" i="28"/>
  <c r="Y168" i="28"/>
  <c r="AA167" i="28"/>
  <c r="S167" i="28"/>
  <c r="U166" i="28"/>
  <c r="W165" i="28"/>
  <c r="Y164" i="28"/>
  <c r="AA163" i="28"/>
  <c r="S163" i="28"/>
  <c r="U162" i="28"/>
  <c r="W161" i="28"/>
  <c r="Y160" i="28"/>
  <c r="AA159" i="28"/>
  <c r="S159" i="28"/>
  <c r="U158" i="28"/>
  <c r="W157" i="28"/>
  <c r="Y156" i="28"/>
  <c r="AA155" i="28"/>
  <c r="S155" i="28"/>
  <c r="U154" i="28"/>
  <c r="W153" i="28"/>
  <c r="Y152" i="28"/>
  <c r="AA151" i="28"/>
  <c r="S151" i="28"/>
  <c r="U150" i="28"/>
  <c r="W149" i="28"/>
  <c r="Y148" i="28"/>
  <c r="AA147" i="28"/>
  <c r="S147" i="28"/>
  <c r="U146" i="28"/>
  <c r="W145" i="28"/>
  <c r="Y144" i="28"/>
  <c r="Z211" i="28"/>
  <c r="R211" i="28"/>
  <c r="T210" i="28"/>
  <c r="V209" i="28"/>
  <c r="X208" i="28"/>
  <c r="Z207" i="28"/>
  <c r="R207" i="28"/>
  <c r="T206" i="28"/>
  <c r="V205" i="28"/>
  <c r="X204" i="28"/>
  <c r="Z203" i="28"/>
  <c r="R203" i="28"/>
  <c r="T202" i="28"/>
  <c r="V201" i="28"/>
  <c r="X200" i="28"/>
  <c r="Z199" i="28"/>
  <c r="R199" i="28"/>
  <c r="T198" i="28"/>
  <c r="V197" i="28"/>
  <c r="X196" i="28"/>
  <c r="Z195" i="28"/>
  <c r="R195" i="28"/>
  <c r="T194" i="28"/>
  <c r="V193" i="28"/>
  <c r="X192" i="28"/>
  <c r="Z191" i="28"/>
  <c r="R191" i="28"/>
  <c r="T190" i="28"/>
  <c r="V189" i="28"/>
  <c r="X188" i="28"/>
  <c r="Z187" i="28"/>
  <c r="R187" i="28"/>
  <c r="T186" i="28"/>
  <c r="V185" i="28"/>
  <c r="X184" i="28"/>
  <c r="Z183" i="28"/>
  <c r="R183" i="28"/>
  <c r="T182" i="28"/>
  <c r="V181" i="28"/>
  <c r="X180" i="28"/>
  <c r="Z179" i="28"/>
  <c r="R179" i="28"/>
  <c r="T178" i="28"/>
  <c r="V177" i="28"/>
  <c r="X176" i="28"/>
  <c r="Z175" i="28"/>
  <c r="R175" i="28"/>
  <c r="T174" i="28"/>
  <c r="V173" i="28"/>
  <c r="X172" i="28"/>
  <c r="Z171" i="28"/>
  <c r="R171" i="28"/>
  <c r="T170" i="28"/>
  <c r="V169" i="28"/>
  <c r="X168" i="28"/>
  <c r="Z167" i="28"/>
  <c r="R167" i="28"/>
  <c r="T166" i="28"/>
  <c r="V165" i="28"/>
  <c r="X164" i="28"/>
  <c r="Z163" i="28"/>
  <c r="R163" i="28"/>
  <c r="T162" i="28"/>
  <c r="V161" i="28"/>
  <c r="X160" i="28"/>
  <c r="Z159" i="28"/>
  <c r="R159" i="28"/>
  <c r="T158" i="28"/>
  <c r="V157" i="28"/>
  <c r="X156" i="28"/>
  <c r="Z155" i="28"/>
  <c r="R155" i="28"/>
  <c r="T154" i="28"/>
  <c r="V153" i="28"/>
  <c r="X152" i="28"/>
  <c r="Z151" i="28"/>
  <c r="R151" i="28"/>
  <c r="T150" i="28"/>
  <c r="V149" i="28"/>
  <c r="X148" i="28"/>
  <c r="Z147" i="28"/>
  <c r="R147" i="28"/>
  <c r="T146" i="28"/>
  <c r="V145" i="28"/>
  <c r="X144" i="28"/>
  <c r="Y211" i="28"/>
  <c r="AA210" i="28"/>
  <c r="S210" i="28"/>
  <c r="U209" i="28"/>
  <c r="W208" i="28"/>
  <c r="Y207" i="28"/>
  <c r="AA206" i="28"/>
  <c r="S206" i="28"/>
  <c r="U205" i="28"/>
  <c r="W204" i="28"/>
  <c r="Y203" i="28"/>
  <c r="AA202" i="28"/>
  <c r="S202" i="28"/>
  <c r="U201" i="28"/>
  <c r="W200" i="28"/>
  <c r="Y199" i="28"/>
  <c r="AA198" i="28"/>
  <c r="S198" i="28"/>
  <c r="U197" i="28"/>
  <c r="W196" i="28"/>
  <c r="Y195" i="28"/>
  <c r="AA194" i="28"/>
  <c r="S194" i="28"/>
  <c r="U193" i="28"/>
  <c r="W192" i="28"/>
  <c r="Y191" i="28"/>
  <c r="AA190" i="28"/>
  <c r="S190" i="28"/>
  <c r="U189" i="28"/>
  <c r="W188" i="28"/>
  <c r="Y187" i="28"/>
  <c r="AA186" i="28"/>
  <c r="S186" i="28"/>
  <c r="U185" i="28"/>
  <c r="W184" i="28"/>
  <c r="Y183" i="28"/>
  <c r="AA182" i="28"/>
  <c r="S182" i="28"/>
  <c r="U181" i="28"/>
  <c r="W180" i="28"/>
  <c r="Y179" i="28"/>
  <c r="AA178" i="28"/>
  <c r="S178" i="28"/>
  <c r="U177" i="28"/>
  <c r="W176" i="28"/>
  <c r="Y175" i="28"/>
  <c r="AA174" i="28"/>
  <c r="S174" i="28"/>
  <c r="U173" i="28"/>
  <c r="W172" i="28"/>
  <c r="Y171" i="28"/>
  <c r="AA170" i="28"/>
  <c r="S170" i="28"/>
  <c r="U169" i="28"/>
  <c r="W168" i="28"/>
  <c r="Y167" i="28"/>
  <c r="AA166" i="28"/>
  <c r="S166" i="28"/>
  <c r="U165" i="28"/>
  <c r="W164" i="28"/>
  <c r="Y163" i="28"/>
  <c r="AA162" i="28"/>
  <c r="S162" i="28"/>
  <c r="U161" i="28"/>
  <c r="W160" i="28"/>
  <c r="Y159" i="28"/>
  <c r="AA158" i="28"/>
  <c r="S158" i="28"/>
  <c r="U157" i="28"/>
  <c r="W156" i="28"/>
  <c r="Y155" i="28"/>
  <c r="AA154" i="28"/>
  <c r="S154" i="28"/>
  <c r="U153" i="28"/>
  <c r="W152" i="28"/>
  <c r="Y151" i="28"/>
  <c r="AA150" i="28"/>
  <c r="S150" i="28"/>
  <c r="U149" i="28"/>
  <c r="W148" i="28"/>
  <c r="Y147" i="28"/>
  <c r="AA146" i="28"/>
  <c r="S146" i="28"/>
  <c r="U145" i="28"/>
  <c r="W144" i="28"/>
  <c r="X211" i="28"/>
  <c r="Z210" i="28"/>
  <c r="R210" i="28"/>
  <c r="T209" i="28"/>
  <c r="V208" i="28"/>
  <c r="X207" i="28"/>
  <c r="Z206" i="28"/>
  <c r="R206" i="28"/>
  <c r="T205" i="28"/>
  <c r="V204" i="28"/>
  <c r="X203" i="28"/>
  <c r="Z202" i="28"/>
  <c r="R202" i="28"/>
  <c r="T201" i="28"/>
  <c r="V200" i="28"/>
  <c r="X199" i="28"/>
  <c r="Z198" i="28"/>
  <c r="R198" i="28"/>
  <c r="T197" i="28"/>
  <c r="V196" i="28"/>
  <c r="W211" i="28"/>
  <c r="Y210" i="28"/>
  <c r="AA209" i="28"/>
  <c r="S209" i="28"/>
  <c r="U208" i="28"/>
  <c r="W207" i="28"/>
  <c r="Y206" i="28"/>
  <c r="AA205" i="28"/>
  <c r="S205" i="28"/>
  <c r="U204" i="28"/>
  <c r="W203" i="28"/>
  <c r="Y202" i="28"/>
  <c r="AA201" i="28"/>
  <c r="S201" i="28"/>
  <c r="U200" i="28"/>
  <c r="W199" i="28"/>
  <c r="Y198" i="28"/>
  <c r="AA197" i="28"/>
  <c r="S197" i="28"/>
  <c r="U196" i="28"/>
  <c r="W195" i="28"/>
  <c r="Y194" i="28"/>
  <c r="AA193" i="28"/>
  <c r="S193" i="28"/>
  <c r="U192" i="28"/>
  <c r="W191" i="28"/>
  <c r="Y190" i="28"/>
  <c r="AA189" i="28"/>
  <c r="S189" i="28"/>
  <c r="U188" i="28"/>
  <c r="W187" i="28"/>
  <c r="Y186" i="28"/>
  <c r="AA185" i="28"/>
  <c r="S185" i="28"/>
  <c r="U184" i="28"/>
  <c r="W183" i="28"/>
  <c r="Y182" i="28"/>
  <c r="AA181" i="28"/>
  <c r="S181" i="28"/>
  <c r="U180" i="28"/>
  <c r="W179" i="28"/>
  <c r="Y178" i="28"/>
  <c r="AA177" i="28"/>
  <c r="S177" i="28"/>
  <c r="U176" i="28"/>
  <c r="W175" i="28"/>
  <c r="Y174" i="28"/>
  <c r="AA173" i="28"/>
  <c r="S173" i="28"/>
  <c r="U172" i="28"/>
  <c r="W171" i="28"/>
  <c r="Y170" i="28"/>
  <c r="AA169" i="28"/>
  <c r="S169" i="28"/>
  <c r="U168" i="28"/>
  <c r="W167" i="28"/>
  <c r="Y166" i="28"/>
  <c r="AA165" i="28"/>
  <c r="S165" i="28"/>
  <c r="U164" i="28"/>
  <c r="W163" i="28"/>
  <c r="Y162" i="28"/>
  <c r="AA161" i="28"/>
  <c r="S161" i="28"/>
  <c r="U160" i="28"/>
  <c r="W159" i="28"/>
  <c r="Y158" i="28"/>
  <c r="AA157" i="28"/>
  <c r="S157" i="28"/>
  <c r="U156" i="28"/>
  <c r="W155" i="28"/>
  <c r="Y154" i="28"/>
  <c r="AA153" i="28"/>
  <c r="S153" i="28"/>
  <c r="U152" i="28"/>
  <c r="W151" i="28"/>
  <c r="Y150" i="28"/>
  <c r="AA149" i="28"/>
  <c r="S149" i="28"/>
  <c r="U148" i="28"/>
  <c r="W147" i="28"/>
  <c r="Y146" i="28"/>
  <c r="AA145" i="28"/>
  <c r="S145" i="28"/>
  <c r="U144" i="28"/>
  <c r="V211" i="28"/>
  <c r="X210" i="28"/>
  <c r="Z209" i="28"/>
  <c r="R209" i="28"/>
  <c r="T208" i="28"/>
  <c r="V207" i="28"/>
  <c r="X206" i="28"/>
  <c r="Z205" i="28"/>
  <c r="R205" i="28"/>
  <c r="T204" i="28"/>
  <c r="V203" i="28"/>
  <c r="X202" i="28"/>
  <c r="Z201" i="28"/>
  <c r="R201" i="28"/>
  <c r="T200" i="28"/>
  <c r="V199" i="28"/>
  <c r="X198" i="28"/>
  <c r="Z197" i="28"/>
  <c r="R197" i="28"/>
  <c r="T196" i="28"/>
  <c r="V195" i="28"/>
  <c r="X194" i="28"/>
  <c r="Z193" i="28"/>
  <c r="R193" i="28"/>
  <c r="T192" i="28"/>
  <c r="V191" i="28"/>
  <c r="X190" i="28"/>
  <c r="Z189" i="28"/>
  <c r="R189" i="28"/>
  <c r="T188" i="28"/>
  <c r="V187" i="28"/>
  <c r="X186" i="28"/>
  <c r="Z185" i="28"/>
  <c r="R185" i="28"/>
  <c r="T184" i="28"/>
  <c r="V183" i="28"/>
  <c r="X182" i="28"/>
  <c r="Z181" i="28"/>
  <c r="R181" i="28"/>
  <c r="T180" i="28"/>
  <c r="V179" i="28"/>
  <c r="X178" i="28"/>
  <c r="Z177" i="28"/>
  <c r="R177" i="28"/>
  <c r="T176" i="28"/>
  <c r="V175" i="28"/>
  <c r="X174" i="28"/>
  <c r="Z173" i="28"/>
  <c r="R173" i="28"/>
  <c r="T172" i="28"/>
  <c r="V171" i="28"/>
  <c r="X170" i="28"/>
  <c r="Z169" i="28"/>
  <c r="R169" i="28"/>
  <c r="T168" i="28"/>
  <c r="V167" i="28"/>
  <c r="X166" i="28"/>
  <c r="Z165" i="28"/>
  <c r="R165" i="28"/>
  <c r="T164" i="28"/>
  <c r="V163" i="28"/>
  <c r="X162" i="28"/>
  <c r="Z161" i="28"/>
  <c r="R161" i="28"/>
  <c r="T160" i="28"/>
  <c r="V159" i="28"/>
  <c r="X158" i="28"/>
  <c r="Z157" i="28"/>
  <c r="R157" i="28"/>
  <c r="T156" i="28"/>
  <c r="V155" i="28"/>
  <c r="X154" i="28"/>
  <c r="Z153" i="28"/>
  <c r="R153" i="28"/>
  <c r="T152" i="28"/>
  <c r="V151" i="28"/>
  <c r="X150" i="28"/>
  <c r="Z149" i="28"/>
  <c r="R149" i="28"/>
  <c r="T148" i="28"/>
  <c r="V147" i="28"/>
  <c r="X146" i="28"/>
  <c r="Z145" i="28"/>
  <c r="R145" i="28"/>
  <c r="T144" i="28"/>
  <c r="T211" i="28"/>
  <c r="V210" i="28"/>
  <c r="X209" i="28"/>
  <c r="Z208" i="28"/>
  <c r="R208" i="28"/>
  <c r="T207" i="28"/>
  <c r="V206" i="28"/>
  <c r="X205" i="28"/>
  <c r="Z204" i="28"/>
  <c r="R204" i="28"/>
  <c r="T203" i="28"/>
  <c r="V202" i="28"/>
  <c r="X201" i="28"/>
  <c r="Z200" i="28"/>
  <c r="R200" i="28"/>
  <c r="T199" i="28"/>
  <c r="V198" i="28"/>
  <c r="X197" i="28"/>
  <c r="Z196" i="28"/>
  <c r="R196" i="28"/>
  <c r="T195" i="28"/>
  <c r="V194" i="28"/>
  <c r="X193" i="28"/>
  <c r="Z192" i="28"/>
  <c r="R192" i="28"/>
  <c r="T191" i="28"/>
  <c r="V190" i="28"/>
  <c r="X189" i="28"/>
  <c r="Z188" i="28"/>
  <c r="R188" i="28"/>
  <c r="T187" i="28"/>
  <c r="V186" i="28"/>
  <c r="X185" i="28"/>
  <c r="Z184" i="28"/>
  <c r="R184" i="28"/>
  <c r="T183" i="28"/>
  <c r="V182" i="28"/>
  <c r="X181" i="28"/>
  <c r="Z180" i="28"/>
  <c r="R180" i="28"/>
  <c r="T179" i="28"/>
  <c r="V178" i="28"/>
  <c r="X177" i="28"/>
  <c r="Z176" i="28"/>
  <c r="R176" i="28"/>
  <c r="T175" i="28"/>
  <c r="V174" i="28"/>
  <c r="X173" i="28"/>
  <c r="Z172" i="28"/>
  <c r="R172" i="28"/>
  <c r="T171" i="28"/>
  <c r="V170" i="28"/>
  <c r="X169" i="28"/>
  <c r="Z168" i="28"/>
  <c r="R168" i="28"/>
  <c r="T167" i="28"/>
  <c r="V166" i="28"/>
  <c r="X165" i="28"/>
  <c r="Z164" i="28"/>
  <c r="R164" i="28"/>
  <c r="T163" i="28"/>
  <c r="V162" i="28"/>
  <c r="X161" i="28"/>
  <c r="Z160" i="28"/>
  <c r="R160" i="28"/>
  <c r="T159" i="28"/>
  <c r="V158" i="28"/>
  <c r="X157" i="28"/>
  <c r="Z156" i="28"/>
  <c r="R156" i="28"/>
  <c r="T155" i="28"/>
  <c r="V154" i="28"/>
  <c r="X153" i="28"/>
  <c r="Z152" i="28"/>
  <c r="R152" i="28"/>
  <c r="T151" i="28"/>
  <c r="V150" i="28"/>
  <c r="X149" i="28"/>
  <c r="Z148" i="28"/>
  <c r="R148" i="28"/>
  <c r="T147" i="28"/>
  <c r="V146" i="28"/>
  <c r="X145" i="28"/>
  <c r="Z144" i="28"/>
  <c r="R144" i="28"/>
  <c r="U211" i="28"/>
  <c r="AA204" i="28"/>
  <c r="W198" i="28"/>
  <c r="R194" i="28"/>
  <c r="Z190" i="28"/>
  <c r="X187" i="28"/>
  <c r="V184" i="28"/>
  <c r="T181" i="28"/>
  <c r="R178" i="28"/>
  <c r="Z174" i="28"/>
  <c r="X171" i="28"/>
  <c r="V168" i="28"/>
  <c r="T165" i="28"/>
  <c r="R162" i="28"/>
  <c r="Z158" i="28"/>
  <c r="X155" i="28"/>
  <c r="V152" i="28"/>
  <c r="T149" i="28"/>
  <c r="R146" i="28"/>
  <c r="Y143" i="28"/>
  <c r="AA142" i="28"/>
  <c r="S142" i="28"/>
  <c r="U141" i="28"/>
  <c r="W140" i="28"/>
  <c r="Y139" i="28"/>
  <c r="AA138" i="28"/>
  <c r="S138" i="28"/>
  <c r="U137" i="28"/>
  <c r="W136" i="28"/>
  <c r="Y135" i="28"/>
  <c r="AA134" i="28"/>
  <c r="S134" i="28"/>
  <c r="U133" i="28"/>
  <c r="W132" i="28"/>
  <c r="Y131" i="28"/>
  <c r="AA130" i="28"/>
  <c r="S130" i="28"/>
  <c r="U129" i="28"/>
  <c r="W128" i="28"/>
  <c r="Y127" i="28"/>
  <c r="AA126" i="28"/>
  <c r="S126" i="28"/>
  <c r="U125" i="28"/>
  <c r="W124" i="28"/>
  <c r="Y123" i="28"/>
  <c r="AA122" i="28"/>
  <c r="S122" i="28"/>
  <c r="U121" i="28"/>
  <c r="W120" i="28"/>
  <c r="Y119" i="28"/>
  <c r="AA118" i="28"/>
  <c r="S118" i="28"/>
  <c r="U117" i="28"/>
  <c r="W116" i="28"/>
  <c r="Y115" i="28"/>
  <c r="AA114" i="28"/>
  <c r="S114" i="28"/>
  <c r="U113" i="28"/>
  <c r="W112" i="28"/>
  <c r="U115" i="28"/>
  <c r="S200" i="28"/>
  <c r="T169" i="28"/>
  <c r="R150" i="28"/>
  <c r="Y140" i="28"/>
  <c r="W137" i="28"/>
  <c r="W133" i="28"/>
  <c r="Y128" i="28"/>
  <c r="S123" i="28"/>
  <c r="U118" i="28"/>
  <c r="W113" i="28"/>
  <c r="W194" i="28"/>
  <c r="W178" i="28"/>
  <c r="S156" i="28"/>
  <c r="Z139" i="28"/>
  <c r="T134" i="28"/>
  <c r="V129" i="28"/>
  <c r="R123" i="28"/>
  <c r="T118" i="28"/>
  <c r="T114" i="28"/>
  <c r="W210" i="28"/>
  <c r="S204" i="28"/>
  <c r="Y197" i="28"/>
  <c r="Y193" i="28"/>
  <c r="W190" i="28"/>
  <c r="U187" i="28"/>
  <c r="S184" i="28"/>
  <c r="AA180" i="28"/>
  <c r="Y177" i="28"/>
  <c r="W174" i="28"/>
  <c r="U171" i="28"/>
  <c r="S168" i="28"/>
  <c r="AA164" i="28"/>
  <c r="Y161" i="28"/>
  <c r="W158" i="28"/>
  <c r="U155" i="28"/>
  <c r="S152" i="28"/>
  <c r="AA148" i="28"/>
  <c r="Y145" i="28"/>
  <c r="X143" i="28"/>
  <c r="Z142" i="28"/>
  <c r="R142" i="28"/>
  <c r="T141" i="28"/>
  <c r="V140" i="28"/>
  <c r="X139" i="28"/>
  <c r="Z138" i="28"/>
  <c r="R138" i="28"/>
  <c r="T137" i="28"/>
  <c r="V136" i="28"/>
  <c r="X135" i="28"/>
  <c r="Z134" i="28"/>
  <c r="R134" i="28"/>
  <c r="T133" i="28"/>
  <c r="V132" i="28"/>
  <c r="X131" i="28"/>
  <c r="Z130" i="28"/>
  <c r="R130" i="28"/>
  <c r="T129" i="28"/>
  <c r="V128" i="28"/>
  <c r="X127" i="28"/>
  <c r="Z126" i="28"/>
  <c r="R126" i="28"/>
  <c r="T125" i="28"/>
  <c r="V124" i="28"/>
  <c r="X123" i="28"/>
  <c r="Z122" i="28"/>
  <c r="R122" i="28"/>
  <c r="T121" i="28"/>
  <c r="V120" i="28"/>
  <c r="X119" i="28"/>
  <c r="Z118" i="28"/>
  <c r="R118" i="28"/>
  <c r="T117" i="28"/>
  <c r="V116" i="28"/>
  <c r="X115" i="28"/>
  <c r="Z114" i="28"/>
  <c r="R114" i="28"/>
  <c r="T113" i="28"/>
  <c r="V112" i="28"/>
  <c r="S116" i="28"/>
  <c r="S112" i="28"/>
  <c r="Z194" i="28"/>
  <c r="U142" i="28"/>
  <c r="S135" i="28"/>
  <c r="W129" i="28"/>
  <c r="AA123" i="28"/>
  <c r="S119" i="28"/>
  <c r="S115" i="28"/>
  <c r="U199" i="28"/>
  <c r="S172" i="28"/>
  <c r="AA152" i="28"/>
  <c r="T142" i="28"/>
  <c r="V137" i="28"/>
  <c r="V133" i="28"/>
  <c r="X128" i="28"/>
  <c r="Z123" i="28"/>
  <c r="R119" i="28"/>
  <c r="Y209" i="28"/>
  <c r="U203" i="28"/>
  <c r="AA196" i="28"/>
  <c r="T193" i="28"/>
  <c r="R190" i="28"/>
  <c r="Z186" i="28"/>
  <c r="X183" i="28"/>
  <c r="V180" i="28"/>
  <c r="T177" i="28"/>
  <c r="R174" i="28"/>
  <c r="Z170" i="28"/>
  <c r="X167" i="28"/>
  <c r="V164" i="28"/>
  <c r="T161" i="28"/>
  <c r="R158" i="28"/>
  <c r="Z154" i="28"/>
  <c r="X151" i="28"/>
  <c r="V148" i="28"/>
  <c r="T145" i="28"/>
  <c r="W143" i="28"/>
  <c r="Y142" i="28"/>
  <c r="AA141" i="28"/>
  <c r="S141" i="28"/>
  <c r="U140" i="28"/>
  <c r="W139" i="28"/>
  <c r="Y138" i="28"/>
  <c r="AA137" i="28"/>
  <c r="S137" i="28"/>
  <c r="U136" i="28"/>
  <c r="W135" i="28"/>
  <c r="Y134" i="28"/>
  <c r="AA133" i="28"/>
  <c r="S133" i="28"/>
  <c r="U132" i="28"/>
  <c r="W131" i="28"/>
  <c r="Y130" i="28"/>
  <c r="AA129" i="28"/>
  <c r="S129" i="28"/>
  <c r="U128" i="28"/>
  <c r="W127" i="28"/>
  <c r="Y126" i="28"/>
  <c r="AA125" i="28"/>
  <c r="S125" i="28"/>
  <c r="U124" i="28"/>
  <c r="W123" i="28"/>
  <c r="Y122" i="28"/>
  <c r="AA121" i="28"/>
  <c r="S121" i="28"/>
  <c r="U120" i="28"/>
  <c r="W119" i="28"/>
  <c r="Y118" i="28"/>
  <c r="AA117" i="28"/>
  <c r="S117" i="28"/>
  <c r="U116" i="28"/>
  <c r="W115" i="28"/>
  <c r="Y114" i="28"/>
  <c r="AA113" i="28"/>
  <c r="S113" i="28"/>
  <c r="U112" i="28"/>
  <c r="AA116" i="28"/>
  <c r="AA112" i="28"/>
  <c r="V188" i="28"/>
  <c r="V172" i="28"/>
  <c r="T153" i="28"/>
  <c r="W141" i="28"/>
  <c r="Y136" i="28"/>
  <c r="Y132" i="28"/>
  <c r="AA127" i="28"/>
  <c r="W125" i="28"/>
  <c r="W121" i="28"/>
  <c r="W117" i="28"/>
  <c r="Y112" i="28"/>
  <c r="S188" i="28"/>
  <c r="W162" i="28"/>
  <c r="Z143" i="28"/>
  <c r="R139" i="28"/>
  <c r="Z135" i="28"/>
  <c r="Z131" i="28"/>
  <c r="R127" i="28"/>
  <c r="T122" i="28"/>
  <c r="V117" i="28"/>
  <c r="V113" i="28"/>
  <c r="AA208" i="28"/>
  <c r="W202" i="28"/>
  <c r="S196" i="28"/>
  <c r="AA192" i="28"/>
  <c r="Y189" i="28"/>
  <c r="W186" i="28"/>
  <c r="U183" i="28"/>
  <c r="S180" i="28"/>
  <c r="AA176" i="28"/>
  <c r="Y173" i="28"/>
  <c r="W170" i="28"/>
  <c r="U167" i="28"/>
  <c r="S164" i="28"/>
  <c r="AA160" i="28"/>
  <c r="Y157" i="28"/>
  <c r="W154" i="28"/>
  <c r="U151" i="28"/>
  <c r="S148" i="28"/>
  <c r="AA144" i="28"/>
  <c r="V143" i="28"/>
  <c r="X142" i="28"/>
  <c r="Z141" i="28"/>
  <c r="R141" i="28"/>
  <c r="T140" i="28"/>
  <c r="V139" i="28"/>
  <c r="X138" i="28"/>
  <c r="Z137" i="28"/>
  <c r="R137" i="28"/>
  <c r="T136" i="28"/>
  <c r="V135" i="28"/>
  <c r="X134" i="28"/>
  <c r="Z133" i="28"/>
  <c r="R133" i="28"/>
  <c r="T132" i="28"/>
  <c r="V131" i="28"/>
  <c r="X130" i="28"/>
  <c r="Z129" i="28"/>
  <c r="R129" i="28"/>
  <c r="T128" i="28"/>
  <c r="V127" i="28"/>
  <c r="X126" i="28"/>
  <c r="Z125" i="28"/>
  <c r="R125" i="28"/>
  <c r="T124" i="28"/>
  <c r="V123" i="28"/>
  <c r="X122" i="28"/>
  <c r="Z121" i="28"/>
  <c r="R121" i="28"/>
  <c r="T120" i="28"/>
  <c r="V119" i="28"/>
  <c r="X118" i="28"/>
  <c r="Z117" i="28"/>
  <c r="R117" i="28"/>
  <c r="T116" i="28"/>
  <c r="V115" i="28"/>
  <c r="X114" i="28"/>
  <c r="Z113" i="28"/>
  <c r="R113" i="28"/>
  <c r="T112" i="28"/>
  <c r="Y117" i="28"/>
  <c r="Y113" i="28"/>
  <c r="X191" i="28"/>
  <c r="R166" i="28"/>
  <c r="V156" i="28"/>
  <c r="Z146" i="28"/>
  <c r="AA139" i="28"/>
  <c r="AA135" i="28"/>
  <c r="S131" i="28"/>
  <c r="U126" i="28"/>
  <c r="Y120" i="28"/>
  <c r="Y116" i="28"/>
  <c r="Y205" i="28"/>
  <c r="Y181" i="28"/>
  <c r="U175" i="28"/>
  <c r="U159" i="28"/>
  <c r="R143" i="28"/>
  <c r="T138" i="28"/>
  <c r="X132" i="28"/>
  <c r="Z127" i="28"/>
  <c r="X124" i="28"/>
  <c r="Z119" i="28"/>
  <c r="Z115" i="28"/>
  <c r="S208" i="28"/>
  <c r="Y201" i="28"/>
  <c r="X195" i="28"/>
  <c r="V192" i="28"/>
  <c r="T189" i="28"/>
  <c r="R186" i="28"/>
  <c r="Z182" i="28"/>
  <c r="X179" i="28"/>
  <c r="V176" i="28"/>
  <c r="T173" i="28"/>
  <c r="R170" i="28"/>
  <c r="Z166" i="28"/>
  <c r="X163" i="28"/>
  <c r="V160" i="28"/>
  <c r="T157" i="28"/>
  <c r="R154" i="28"/>
  <c r="Z150" i="28"/>
  <c r="X147" i="28"/>
  <c r="V144" i="28"/>
  <c r="U143" i="28"/>
  <c r="W142" i="28"/>
  <c r="Y141" i="28"/>
  <c r="AA140" i="28"/>
  <c r="S140" i="28"/>
  <c r="U139" i="28"/>
  <c r="W138" i="28"/>
  <c r="Y137" i="28"/>
  <c r="AA136" i="28"/>
  <c r="S136" i="28"/>
  <c r="U135" i="28"/>
  <c r="W134" i="28"/>
  <c r="Y133" i="28"/>
  <c r="AA132" i="28"/>
  <c r="S132" i="28"/>
  <c r="U131" i="28"/>
  <c r="W130" i="28"/>
  <c r="Y129" i="28"/>
  <c r="AA128" i="28"/>
  <c r="S128" i="28"/>
  <c r="U127" i="28"/>
  <c r="W126" i="28"/>
  <c r="Y125" i="28"/>
  <c r="AA124" i="28"/>
  <c r="S124" i="28"/>
  <c r="U123" i="28"/>
  <c r="W122" i="28"/>
  <c r="Y121" i="28"/>
  <c r="AA120" i="28"/>
  <c r="S120" i="28"/>
  <c r="U119" i="28"/>
  <c r="W118" i="28"/>
  <c r="W114" i="28"/>
  <c r="T185" i="28"/>
  <c r="X159" i="28"/>
  <c r="S143" i="28"/>
  <c r="U138" i="28"/>
  <c r="AA131" i="28"/>
  <c r="S127" i="28"/>
  <c r="U122" i="28"/>
  <c r="AA115" i="28"/>
  <c r="AA184" i="28"/>
  <c r="Y165" i="28"/>
  <c r="W146" i="28"/>
  <c r="V141" i="28"/>
  <c r="X136" i="28"/>
  <c r="R131" i="28"/>
  <c r="T126" i="28"/>
  <c r="X120" i="28"/>
  <c r="R115" i="28"/>
  <c r="U207" i="28"/>
  <c r="AA200" i="28"/>
  <c r="U195" i="28"/>
  <c r="S192" i="28"/>
  <c r="AA188" i="28"/>
  <c r="Y185" i="28"/>
  <c r="W182" i="28"/>
  <c r="U179" i="28"/>
  <c r="S176" i="28"/>
  <c r="AA172" i="28"/>
  <c r="Y169" i="28"/>
  <c r="W166" i="28"/>
  <c r="U163" i="28"/>
  <c r="S160" i="28"/>
  <c r="AA156" i="28"/>
  <c r="Y153" i="28"/>
  <c r="W150" i="28"/>
  <c r="U147" i="28"/>
  <c r="S144" i="28"/>
  <c r="T143" i="28"/>
  <c r="V142" i="28"/>
  <c r="X141" i="28"/>
  <c r="Z140" i="28"/>
  <c r="R140" i="28"/>
  <c r="T139" i="28"/>
  <c r="V138" i="28"/>
  <c r="X137" i="28"/>
  <c r="Z136" i="28"/>
  <c r="R136" i="28"/>
  <c r="T135" i="28"/>
  <c r="V134" i="28"/>
  <c r="X133" i="28"/>
  <c r="Z132" i="28"/>
  <c r="R132" i="28"/>
  <c r="T131" i="28"/>
  <c r="V130" i="28"/>
  <c r="X129" i="28"/>
  <c r="Z128" i="28"/>
  <c r="R128" i="28"/>
  <c r="T127" i="28"/>
  <c r="V126" i="28"/>
  <c r="X125" i="28"/>
  <c r="Z124" i="28"/>
  <c r="R124" i="28"/>
  <c r="T123" i="28"/>
  <c r="V122" i="28"/>
  <c r="X121" i="28"/>
  <c r="Z120" i="28"/>
  <c r="R120" i="28"/>
  <c r="T119" i="28"/>
  <c r="V118" i="28"/>
  <c r="X117" i="28"/>
  <c r="Z116" i="28"/>
  <c r="R116" i="28"/>
  <c r="T115" i="28"/>
  <c r="V114" i="28"/>
  <c r="X113" i="28"/>
  <c r="Z112" i="28"/>
  <c r="R112" i="28"/>
  <c r="W206" i="28"/>
  <c r="R182" i="28"/>
  <c r="Z178" i="28"/>
  <c r="X175" i="28"/>
  <c r="Z162" i="28"/>
  <c r="AA143" i="28"/>
  <c r="S139" i="28"/>
  <c r="U134" i="28"/>
  <c r="U130" i="28"/>
  <c r="Y124" i="28"/>
  <c r="AA119" i="28"/>
  <c r="U114" i="28"/>
  <c r="U191" i="28"/>
  <c r="AA168" i="28"/>
  <c r="Y149" i="28"/>
  <c r="X140" i="28"/>
  <c r="R135" i="28"/>
  <c r="T130" i="28"/>
  <c r="V125" i="28"/>
  <c r="V121" i="28"/>
  <c r="X116" i="28"/>
  <c r="X112" i="28"/>
  <c r="E89" i="31"/>
  <c r="W110" i="9"/>
  <c r="W96" i="9"/>
  <c r="W13" i="9"/>
  <c r="E651" i="26"/>
  <c r="E586" i="26"/>
  <c r="E521" i="26"/>
  <c r="E456" i="26"/>
  <c r="E391" i="26"/>
  <c r="E657" i="26"/>
  <c r="E592" i="26"/>
  <c r="E527" i="26"/>
  <c r="E462" i="26"/>
  <c r="E397" i="26"/>
  <c r="E332" i="26"/>
  <c r="E267" i="26"/>
  <c r="E202" i="26"/>
  <c r="E137" i="26"/>
  <c r="E72" i="26"/>
  <c r="E196" i="26"/>
  <c r="E261" i="26"/>
  <c r="E326" i="26"/>
  <c r="E66" i="26"/>
  <c r="E131" i="26"/>
  <c r="E54" i="30"/>
  <c r="E79" i="30"/>
  <c r="Z109" i="3"/>
  <c r="C122" i="3"/>
  <c r="AE8" i="28"/>
  <c r="E237" i="31"/>
  <c r="F300" i="38"/>
  <c r="F340" i="38"/>
  <c r="F477" i="38"/>
  <c r="F629" i="38"/>
  <c r="F677" i="38"/>
  <c r="F733" i="38"/>
  <c r="F789" i="38"/>
  <c r="F845" i="38"/>
  <c r="F917" i="38"/>
  <c r="F966" i="38"/>
  <c r="F1006" i="38"/>
  <c r="K10" i="38"/>
  <c r="F10" i="38"/>
  <c r="E14" i="7"/>
  <c r="E41" i="10"/>
  <c r="E26" i="10"/>
  <c r="J44" i="7"/>
  <c r="J20" i="7"/>
  <c r="J101" i="10"/>
  <c r="L61" i="10"/>
  <c r="B70" i="3"/>
  <c r="E70" i="7"/>
  <c r="E101" i="7"/>
  <c r="E32" i="7"/>
  <c r="E99" i="30"/>
  <c r="E101" i="10"/>
  <c r="E34" i="31"/>
  <c r="H110" i="9"/>
  <c r="H96" i="9"/>
  <c r="H13" i="9"/>
  <c r="E47" i="31"/>
  <c r="P110" i="9"/>
  <c r="P96" i="9"/>
  <c r="P13" i="9"/>
  <c r="E90" i="31"/>
  <c r="X110" i="9"/>
  <c r="X96" i="9"/>
  <c r="X13" i="9"/>
  <c r="E73" i="31"/>
  <c r="AN110" i="9"/>
  <c r="AN96" i="9"/>
  <c r="AN13" i="9"/>
  <c r="AV110" i="9"/>
  <c r="AV96" i="9"/>
  <c r="AV13" i="9"/>
  <c r="E612" i="26"/>
  <c r="E547" i="26"/>
  <c r="E482" i="26"/>
  <c r="E417" i="26"/>
  <c r="E287" i="26"/>
  <c r="E222" i="26"/>
  <c r="E157" i="26"/>
  <c r="E92" i="26"/>
  <c r="E27" i="26"/>
  <c r="E352" i="26"/>
  <c r="L634" i="26"/>
  <c r="L569" i="26"/>
  <c r="L504" i="26"/>
  <c r="L439" i="26"/>
  <c r="E645" i="26"/>
  <c r="E580" i="26"/>
  <c r="E515" i="26"/>
  <c r="E450" i="26"/>
  <c r="E385" i="26"/>
  <c r="E320" i="26"/>
  <c r="E255" i="26"/>
  <c r="E190" i="26"/>
  <c r="E125" i="26"/>
  <c r="E60" i="26"/>
  <c r="L309" i="26"/>
  <c r="L244" i="26"/>
  <c r="L179" i="26"/>
  <c r="L114" i="26"/>
  <c r="L49" i="26"/>
  <c r="E512" i="26"/>
  <c r="M641" i="26"/>
  <c r="M576" i="26"/>
  <c r="M511" i="26"/>
  <c r="M446" i="26"/>
  <c r="M381" i="26"/>
  <c r="M645" i="26"/>
  <c r="M580" i="26"/>
  <c r="M515" i="26"/>
  <c r="M450" i="26"/>
  <c r="M385" i="26"/>
  <c r="M316" i="26"/>
  <c r="M251" i="26"/>
  <c r="M186" i="26"/>
  <c r="M121" i="26"/>
  <c r="M56" i="26"/>
  <c r="M320" i="26"/>
  <c r="M255" i="26"/>
  <c r="M190" i="26"/>
  <c r="M125" i="26"/>
  <c r="M60" i="26"/>
  <c r="E652" i="26"/>
  <c r="E587" i="26"/>
  <c r="E522" i="26"/>
  <c r="E457" i="26"/>
  <c r="E392" i="26"/>
  <c r="E327" i="26"/>
  <c r="E262" i="26"/>
  <c r="E197" i="26"/>
  <c r="E132" i="26"/>
  <c r="E67" i="26"/>
  <c r="E167" i="31"/>
  <c r="E88" i="29"/>
  <c r="E44" i="29"/>
  <c r="J63" i="30"/>
  <c r="J25" i="30"/>
  <c r="L74" i="30"/>
  <c r="L47" i="30"/>
  <c r="K234" i="7"/>
  <c r="K270" i="7"/>
  <c r="K306" i="7"/>
  <c r="K342" i="7"/>
  <c r="K8" i="28"/>
  <c r="K378" i="7"/>
  <c r="K414" i="7"/>
  <c r="D145" i="7"/>
  <c r="F209" i="31"/>
  <c r="K486" i="7"/>
  <c r="K198" i="7"/>
  <c r="K162" i="7"/>
  <c r="K450" i="7"/>
  <c r="S234" i="7"/>
  <c r="S270" i="7"/>
  <c r="S306" i="7"/>
  <c r="S342" i="7"/>
  <c r="N100" i="7"/>
  <c r="S378" i="7"/>
  <c r="S414" i="7"/>
  <c r="D160" i="7"/>
  <c r="E98" i="7"/>
  <c r="S486" i="7"/>
  <c r="S198" i="7"/>
  <c r="M99" i="30"/>
  <c r="S162" i="7"/>
  <c r="S450" i="7"/>
  <c r="F8" i="28"/>
  <c r="E204" i="31"/>
  <c r="AL8" i="28"/>
  <c r="E247" i="31"/>
  <c r="I450" i="7"/>
  <c r="I162" i="7"/>
  <c r="F207" i="31"/>
  <c r="I486" i="7"/>
  <c r="I198" i="7"/>
  <c r="D143" i="7"/>
  <c r="H100" i="7"/>
  <c r="E92" i="7"/>
  <c r="I234" i="7"/>
  <c r="I270" i="7"/>
  <c r="I306" i="7"/>
  <c r="I342" i="7"/>
  <c r="I414" i="7"/>
  <c r="H113" i="7"/>
  <c r="I8" i="28"/>
  <c r="I378" i="7"/>
  <c r="H414" i="7"/>
  <c r="AF414" i="7" s="1"/>
  <c r="H450" i="7"/>
  <c r="AF450" i="7" s="1"/>
  <c r="H162" i="7"/>
  <c r="H486" i="7"/>
  <c r="H198" i="7"/>
  <c r="AF198" i="7" s="1"/>
  <c r="H234" i="7"/>
  <c r="AF234" i="7" s="1"/>
  <c r="D142" i="7"/>
  <c r="H270" i="7"/>
  <c r="H306" i="7"/>
  <c r="AF306" i="7" s="1"/>
  <c r="H378" i="7"/>
  <c r="AF378" i="7" s="1"/>
  <c r="H342" i="7"/>
  <c r="AF342" i="7" s="1"/>
  <c r="O378" i="7"/>
  <c r="O414" i="7"/>
  <c r="O450" i="7"/>
  <c r="O162" i="7"/>
  <c r="O486" i="7"/>
  <c r="O198" i="7"/>
  <c r="O234" i="7"/>
  <c r="O270" i="7"/>
  <c r="D149" i="7"/>
  <c r="O342" i="7"/>
  <c r="O306" i="7"/>
  <c r="AS9" i="28"/>
  <c r="AY9" i="28"/>
  <c r="BA9" i="28"/>
  <c r="B46" i="3"/>
  <c r="E43" i="3"/>
  <c r="B45" i="3"/>
  <c r="E58" i="3"/>
  <c r="A99" i="3"/>
  <c r="M295" i="38"/>
  <c r="F295" i="38"/>
  <c r="B69" i="3"/>
  <c r="B68" i="3"/>
  <c r="S89" i="3"/>
  <c r="A91" i="3"/>
  <c r="M287" i="38"/>
  <c r="A96" i="3"/>
  <c r="M336" i="38"/>
  <c r="M332" i="38"/>
  <c r="M335" i="38"/>
  <c r="M331" i="38"/>
  <c r="M338" i="38"/>
  <c r="M334" i="38"/>
  <c r="M330" i="38"/>
  <c r="M337" i="38"/>
  <c r="M333" i="38"/>
  <c r="M329" i="38"/>
  <c r="A100" i="3"/>
  <c r="M299" i="38"/>
  <c r="M298" i="38"/>
  <c r="M297" i="38"/>
  <c r="F292" i="38"/>
  <c r="F301" i="38"/>
  <c r="F309" i="38"/>
  <c r="F317" i="38"/>
  <c r="F325" i="38"/>
  <c r="F333" i="38"/>
  <c r="F341" i="38"/>
  <c r="F349" i="38"/>
  <c r="F357" i="38"/>
  <c r="F365" i="38"/>
  <c r="F374" i="38"/>
  <c r="F382" i="38"/>
  <c r="F390" i="38"/>
  <c r="F398" i="38"/>
  <c r="F406" i="38"/>
  <c r="F414" i="38"/>
  <c r="F422" i="38"/>
  <c r="F430" i="38"/>
  <c r="F438" i="38"/>
  <c r="F446" i="38"/>
  <c r="F454" i="38"/>
  <c r="F462" i="38"/>
  <c r="F470" i="38"/>
  <c r="F478" i="38"/>
  <c r="F486" i="38"/>
  <c r="F494" i="38"/>
  <c r="F502" i="38"/>
  <c r="F510" i="38"/>
  <c r="F518" i="38"/>
  <c r="F526" i="38"/>
  <c r="F534" i="38"/>
  <c r="F542" i="38"/>
  <c r="F550" i="38"/>
  <c r="F558" i="38"/>
  <c r="F566" i="38"/>
  <c r="F574" i="38"/>
  <c r="F582" i="38"/>
  <c r="F590" i="38"/>
  <c r="F598" i="38"/>
  <c r="F606" i="38"/>
  <c r="F614" i="38"/>
  <c r="F622" i="38"/>
  <c r="F630" i="38"/>
  <c r="F646" i="38"/>
  <c r="F654" i="38"/>
  <c r="F662" i="38"/>
  <c r="F670" i="38"/>
  <c r="F678" i="38"/>
  <c r="F686" i="38"/>
  <c r="F694" i="38"/>
  <c r="F702" i="38"/>
  <c r="F710" i="38"/>
  <c r="F718" i="38"/>
  <c r="F726" i="38"/>
  <c r="F734" i="38"/>
  <c r="F742" i="38"/>
  <c r="F750" i="38"/>
  <c r="F758" i="38"/>
  <c r="F766" i="38"/>
  <c r="F774" i="38"/>
  <c r="F782" i="38"/>
  <c r="F790" i="38"/>
  <c r="F798" i="38"/>
  <c r="F806" i="38"/>
  <c r="F814" i="38"/>
  <c r="F822" i="38"/>
  <c r="F830" i="38"/>
  <c r="F838" i="38"/>
  <c r="F846" i="38"/>
  <c r="F854" i="38"/>
  <c r="F862" i="38"/>
  <c r="F870" i="38"/>
  <c r="F878" i="38"/>
  <c r="F886" i="38"/>
  <c r="F894" i="38"/>
  <c r="F902" i="38"/>
  <c r="F910" i="38"/>
  <c r="F918" i="38"/>
  <c r="F926" i="38"/>
  <c r="F934" i="38"/>
  <c r="F942" i="38"/>
  <c r="F950" i="38"/>
  <c r="F959" i="38"/>
  <c r="F967" i="38"/>
  <c r="F975" i="38"/>
  <c r="F983" i="38"/>
  <c r="F991" i="38"/>
  <c r="F999" i="38"/>
  <c r="F1007" i="38"/>
  <c r="F1015" i="38"/>
  <c r="F1023" i="38"/>
  <c r="F1031" i="38"/>
  <c r="G152" i="38"/>
  <c r="G264" i="38"/>
  <c r="E181" i="31"/>
  <c r="E98" i="29"/>
  <c r="E37" i="16"/>
  <c r="E41" i="16"/>
  <c r="E64" i="31"/>
  <c r="G110" i="9"/>
  <c r="G96" i="9"/>
  <c r="G13" i="9"/>
  <c r="R109" i="3"/>
  <c r="G115" i="3"/>
  <c r="W8" i="28"/>
  <c r="E229" i="31"/>
  <c r="F373" i="38"/>
  <c r="F501" i="38"/>
  <c r="F557" i="38"/>
  <c r="F621" i="38"/>
  <c r="F685" i="38"/>
  <c r="F741" i="38"/>
  <c r="F805" i="38"/>
  <c r="F861" i="38"/>
  <c r="F909" i="38"/>
  <c r="F958" i="38"/>
  <c r="F974" i="38"/>
  <c r="F1030" i="38"/>
  <c r="F1033" i="38"/>
  <c r="E15" i="7"/>
  <c r="E27" i="10"/>
  <c r="K44" i="7"/>
  <c r="K20" i="7"/>
  <c r="K101" i="10"/>
  <c r="M61" i="10"/>
  <c r="D17" i="31"/>
  <c r="D8" i="9"/>
  <c r="E38" i="31"/>
  <c r="I110" i="9"/>
  <c r="I96" i="9"/>
  <c r="I13" i="9"/>
  <c r="E50" i="31"/>
  <c r="Q110" i="9"/>
  <c r="Q96" i="9"/>
  <c r="Q13" i="9"/>
  <c r="E91" i="31"/>
  <c r="Y110" i="9"/>
  <c r="Y96" i="9"/>
  <c r="Y13" i="9"/>
  <c r="E66" i="31"/>
  <c r="AG110" i="9"/>
  <c r="AG96" i="9"/>
  <c r="AG13" i="9"/>
  <c r="E74" i="31"/>
  <c r="AO110" i="9"/>
  <c r="AO96" i="9"/>
  <c r="AO13" i="9"/>
  <c r="C112" i="9"/>
  <c r="C15" i="9"/>
  <c r="E82" i="31"/>
  <c r="E110" i="9"/>
  <c r="E613" i="26"/>
  <c r="E548" i="26"/>
  <c r="E483" i="26"/>
  <c r="E418" i="26"/>
  <c r="E353" i="26"/>
  <c r="E288" i="26"/>
  <c r="E28" i="26"/>
  <c r="E93" i="26"/>
  <c r="E158" i="26"/>
  <c r="E223" i="26"/>
  <c r="M634" i="26"/>
  <c r="M569" i="26"/>
  <c r="M504" i="26"/>
  <c r="M439" i="26"/>
  <c r="M374" i="26"/>
  <c r="M309" i="26"/>
  <c r="M244" i="26"/>
  <c r="M179" i="26"/>
  <c r="M114" i="26"/>
  <c r="M49" i="26"/>
  <c r="E642" i="26"/>
  <c r="E577" i="26"/>
  <c r="E447" i="26"/>
  <c r="E382" i="26"/>
  <c r="E317" i="26"/>
  <c r="E252" i="26"/>
  <c r="E187" i="26"/>
  <c r="E122" i="26"/>
  <c r="E57" i="26"/>
  <c r="E655" i="26"/>
  <c r="E590" i="26"/>
  <c r="E525" i="26"/>
  <c r="E460" i="26"/>
  <c r="E395" i="26"/>
  <c r="E330" i="26"/>
  <c r="E265" i="26"/>
  <c r="E200" i="26"/>
  <c r="E135" i="26"/>
  <c r="E70" i="26"/>
  <c r="I47" i="30"/>
  <c r="I74" i="30"/>
  <c r="I19" i="30"/>
  <c r="I59" i="30"/>
  <c r="K25" i="30"/>
  <c r="K63" i="30"/>
  <c r="M74" i="30"/>
  <c r="M47" i="30"/>
  <c r="E256" i="31"/>
  <c r="AZ8" i="28"/>
  <c r="N99" i="30"/>
  <c r="B114" i="3"/>
  <c r="E222" i="31"/>
  <c r="P8" i="28"/>
  <c r="E117" i="3"/>
  <c r="F114" i="3"/>
  <c r="O109" i="3"/>
  <c r="E118" i="3"/>
  <c r="E115" i="3"/>
  <c r="T8" i="28"/>
  <c r="E226" i="31"/>
  <c r="E116" i="3"/>
  <c r="H114" i="3"/>
  <c r="T109" i="3"/>
  <c r="E230" i="31"/>
  <c r="X8" i="28"/>
  <c r="C110" i="3"/>
  <c r="W109" i="3"/>
  <c r="AB8" i="28"/>
  <c r="E234" i="31"/>
  <c r="C123" i="3"/>
  <c r="AA109" i="3"/>
  <c r="E238" i="31"/>
  <c r="AF8" i="28"/>
  <c r="AE109" i="3"/>
  <c r="E124" i="3"/>
  <c r="AJ8" i="28"/>
  <c r="E242" i="31"/>
  <c r="AU8" i="28"/>
  <c r="E253" i="31"/>
  <c r="F143" i="7"/>
  <c r="F92" i="7"/>
  <c r="E203" i="31"/>
  <c r="E8" i="28"/>
  <c r="E9" i="28"/>
  <c r="A93" i="3"/>
  <c r="M953" i="38"/>
  <c r="M949" i="38"/>
  <c r="M945" i="38"/>
  <c r="M941" i="38"/>
  <c r="M937" i="38"/>
  <c r="M933" i="38"/>
  <c r="M929" i="38"/>
  <c r="M925" i="38"/>
  <c r="M921" i="38"/>
  <c r="M917" i="38"/>
  <c r="M913" i="38"/>
  <c r="M909" i="38"/>
  <c r="M905" i="38"/>
  <c r="M901" i="38"/>
  <c r="M897" i="38"/>
  <c r="M893" i="38"/>
  <c r="M889" i="38"/>
  <c r="M885" i="38"/>
  <c r="M881" i="38"/>
  <c r="M877" i="38"/>
  <c r="M873" i="38"/>
  <c r="M869" i="38"/>
  <c r="M865" i="38"/>
  <c r="M861" i="38"/>
  <c r="M857" i="38"/>
  <c r="M853" i="38"/>
  <c r="M849" i="38"/>
  <c r="M845" i="38"/>
  <c r="M841" i="38"/>
  <c r="M837" i="38"/>
  <c r="M833" i="38"/>
  <c r="M829" i="38"/>
  <c r="M825" i="38"/>
  <c r="M821" i="38"/>
  <c r="M817" i="38"/>
  <c r="M813" i="38"/>
  <c r="M809" i="38"/>
  <c r="M805" i="38"/>
  <c r="M801" i="38"/>
  <c r="M797" i="38"/>
  <c r="M793" i="38"/>
  <c r="M789" i="38"/>
  <c r="M785" i="38"/>
  <c r="M781" i="38"/>
  <c r="M777" i="38"/>
  <c r="M773" i="38"/>
  <c r="M769" i="38"/>
  <c r="M765" i="38"/>
  <c r="M761" i="38"/>
  <c r="M757" i="38"/>
  <c r="M753" i="38"/>
  <c r="M749" i="38"/>
  <c r="M745" i="38"/>
  <c r="M741" i="38"/>
  <c r="M737" i="38"/>
  <c r="M733" i="38"/>
  <c r="M729" i="38"/>
  <c r="M725" i="38"/>
  <c r="M721" i="38"/>
  <c r="M717" i="38"/>
  <c r="M713" i="38"/>
  <c r="M709" i="38"/>
  <c r="M705" i="38"/>
  <c r="M701" i="38"/>
  <c r="M697" i="38"/>
  <c r="M693" i="38"/>
  <c r="M689" i="38"/>
  <c r="M685" i="38"/>
  <c r="M681" i="38"/>
  <c r="M956" i="38"/>
  <c r="M952" i="38"/>
  <c r="M948" i="38"/>
  <c r="M944" i="38"/>
  <c r="M940" i="38"/>
  <c r="M936" i="38"/>
  <c r="M932" i="38"/>
  <c r="M928" i="38"/>
  <c r="M924" i="38"/>
  <c r="M920" i="38"/>
  <c r="M916" i="38"/>
  <c r="M912" i="38"/>
  <c r="M908" i="38"/>
  <c r="M904" i="38"/>
  <c r="M900" i="38"/>
  <c r="M896" i="38"/>
  <c r="M892" i="38"/>
  <c r="M888" i="38"/>
  <c r="M884" i="38"/>
  <c r="M880" i="38"/>
  <c r="M876" i="38"/>
  <c r="M872" i="38"/>
  <c r="M868" i="38"/>
  <c r="M864" i="38"/>
  <c r="M860" i="38"/>
  <c r="M856" i="38"/>
  <c r="M852" i="38"/>
  <c r="M848" i="38"/>
  <c r="M844" i="38"/>
  <c r="M840" i="38"/>
  <c r="M836" i="38"/>
  <c r="M832" i="38"/>
  <c r="M828" i="38"/>
  <c r="M824" i="38"/>
  <c r="M820" i="38"/>
  <c r="M816" i="38"/>
  <c r="M812" i="38"/>
  <c r="M808" i="38"/>
  <c r="M804" i="38"/>
  <c r="M800" i="38"/>
  <c r="M796" i="38"/>
  <c r="M792" i="38"/>
  <c r="M788" i="38"/>
  <c r="M784" i="38"/>
  <c r="M780" i="38"/>
  <c r="M776" i="38"/>
  <c r="M772" i="38"/>
  <c r="M768" i="38"/>
  <c r="M764" i="38"/>
  <c r="M760" i="38"/>
  <c r="M756" i="38"/>
  <c r="M752" i="38"/>
  <c r="M748" i="38"/>
  <c r="M744" i="38"/>
  <c r="M740" i="38"/>
  <c r="M736" i="38"/>
  <c r="M732" i="38"/>
  <c r="M728" i="38"/>
  <c r="M724" i="38"/>
  <c r="M720" i="38"/>
  <c r="M716" i="38"/>
  <c r="M712" i="38"/>
  <c r="M708" i="38"/>
  <c r="M704" i="38"/>
  <c r="M700" i="38"/>
  <c r="M696" i="38"/>
  <c r="M692" i="38"/>
  <c r="M688" i="38"/>
  <c r="M684" i="38"/>
  <c r="M680" i="38"/>
  <c r="M676" i="38"/>
  <c r="M955" i="38"/>
  <c r="M951" i="38"/>
  <c r="M947" i="38"/>
  <c r="M943" i="38"/>
  <c r="M939" i="38"/>
  <c r="M935" i="38"/>
  <c r="M931" i="38"/>
  <c r="M927" i="38"/>
  <c r="M923" i="38"/>
  <c r="M919" i="38"/>
  <c r="M915" i="38"/>
  <c r="M911" i="38"/>
  <c r="M907" i="38"/>
  <c r="M903" i="38"/>
  <c r="M899" i="38"/>
  <c r="M895" i="38"/>
  <c r="M891" i="38"/>
  <c r="M887" i="38"/>
  <c r="M883" i="38"/>
  <c r="M879" i="38"/>
  <c r="M875" i="38"/>
  <c r="M871" i="38"/>
  <c r="M867" i="38"/>
  <c r="M863" i="38"/>
  <c r="M859" i="38"/>
  <c r="M855" i="38"/>
  <c r="M851" i="38"/>
  <c r="M847" i="38"/>
  <c r="M843" i="38"/>
  <c r="M839" i="38"/>
  <c r="M835" i="38"/>
  <c r="M831" i="38"/>
  <c r="M827" i="38"/>
  <c r="M823" i="38"/>
  <c r="M819" i="38"/>
  <c r="M815" i="38"/>
  <c r="M811" i="38"/>
  <c r="M807" i="38"/>
  <c r="M803" i="38"/>
  <c r="M799" i="38"/>
  <c r="M795" i="38"/>
  <c r="M791" i="38"/>
  <c r="M787" i="38"/>
  <c r="M783" i="38"/>
  <c r="M779" i="38"/>
  <c r="M775" i="38"/>
  <c r="M771" i="38"/>
  <c r="M767" i="38"/>
  <c r="M763" i="38"/>
  <c r="M759" i="38"/>
  <c r="M755" i="38"/>
  <c r="M751" i="38"/>
  <c r="M747" i="38"/>
  <c r="M743" i="38"/>
  <c r="M739" i="38"/>
  <c r="M735" i="38"/>
  <c r="M731" i="38"/>
  <c r="M727" i="38"/>
  <c r="M723" i="38"/>
  <c r="M719" i="38"/>
  <c r="M715" i="38"/>
  <c r="M711" i="38"/>
  <c r="M707" i="38"/>
  <c r="M703" i="38"/>
  <c r="M699" i="38"/>
  <c r="M695" i="38"/>
  <c r="M954" i="38"/>
  <c r="M950" i="38"/>
  <c r="M946" i="38"/>
  <c r="M942" i="38"/>
  <c r="M938" i="38"/>
  <c r="M934" i="38"/>
  <c r="M930" i="38"/>
  <c r="M926" i="38"/>
  <c r="M922" i="38"/>
  <c r="M918" i="38"/>
  <c r="M914" i="38"/>
  <c r="M910" i="38"/>
  <c r="M906" i="38"/>
  <c r="M902" i="38"/>
  <c r="M898" i="38"/>
  <c r="M894" i="38"/>
  <c r="M890" i="38"/>
  <c r="M886" i="38"/>
  <c r="M882" i="38"/>
  <c r="M878" i="38"/>
  <c r="M874" i="38"/>
  <c r="M870" i="38"/>
  <c r="M866" i="38"/>
  <c r="M862" i="38"/>
  <c r="M858" i="38"/>
  <c r="M854" i="38"/>
  <c r="M850" i="38"/>
  <c r="M846" i="38"/>
  <c r="M842" i="38"/>
  <c r="M838" i="38"/>
  <c r="M834" i="38"/>
  <c r="M830" i="38"/>
  <c r="M826" i="38"/>
  <c r="M822" i="38"/>
  <c r="M818" i="38"/>
  <c r="M814" i="38"/>
  <c r="M810" i="38"/>
  <c r="M806" i="38"/>
  <c r="M802" i="38"/>
  <c r="M798" i="38"/>
  <c r="M794" i="38"/>
  <c r="M790" i="38"/>
  <c r="M786" i="38"/>
  <c r="M782" i="38"/>
  <c r="M778" i="38"/>
  <c r="M774" i="38"/>
  <c r="M770" i="38"/>
  <c r="M766" i="38"/>
  <c r="M762" i="38"/>
  <c r="M758" i="38"/>
  <c r="M754" i="38"/>
  <c r="M750" i="38"/>
  <c r="M746" i="38"/>
  <c r="M742" i="38"/>
  <c r="M738" i="38"/>
  <c r="M734" i="38"/>
  <c r="M730" i="38"/>
  <c r="M726" i="38"/>
  <c r="M722" i="38"/>
  <c r="M718" i="38"/>
  <c r="M714" i="38"/>
  <c r="M710" i="38"/>
  <c r="M706" i="38"/>
  <c r="M702" i="38"/>
  <c r="M698" i="38"/>
  <c r="M675" i="38"/>
  <c r="M659" i="38"/>
  <c r="M655" i="38"/>
  <c r="M651" i="38"/>
  <c r="M647" i="38"/>
  <c r="M643" i="38"/>
  <c r="M639" i="38"/>
  <c r="M635" i="38"/>
  <c r="M631" i="38"/>
  <c r="M627" i="38"/>
  <c r="M623" i="38"/>
  <c r="M619" i="38"/>
  <c r="M615" i="38"/>
  <c r="M611" i="38"/>
  <c r="M607" i="38"/>
  <c r="M603" i="38"/>
  <c r="M599" i="38"/>
  <c r="M595" i="38"/>
  <c r="M591" i="38"/>
  <c r="M587" i="38"/>
  <c r="M583" i="38"/>
  <c r="M579" i="38"/>
  <c r="M567" i="38"/>
  <c r="M563" i="38"/>
  <c r="M559" i="38"/>
  <c r="M555" i="38"/>
  <c r="M551" i="38"/>
  <c r="M547" i="38"/>
  <c r="M543" i="38"/>
  <c r="M539" i="38"/>
  <c r="M535" i="38"/>
  <c r="M531" i="38"/>
  <c r="M527" i="38"/>
  <c r="M523" i="38"/>
  <c r="M519" i="38"/>
  <c r="M515" i="38"/>
  <c r="M511" i="38"/>
  <c r="M507" i="38"/>
  <c r="M503" i="38"/>
  <c r="M499" i="38"/>
  <c r="M495" i="38"/>
  <c r="M491" i="38"/>
  <c r="M487" i="38"/>
  <c r="M483" i="38"/>
  <c r="M479" i="38"/>
  <c r="M475" i="38"/>
  <c r="M471" i="38"/>
  <c r="M467" i="38"/>
  <c r="M463" i="38"/>
  <c r="M459" i="38"/>
  <c r="M455" i="38"/>
  <c r="M451" i="38"/>
  <c r="M447" i="38"/>
  <c r="M443" i="38"/>
  <c r="M439" i="38"/>
  <c r="M435" i="38"/>
  <c r="M431" i="38"/>
  <c r="M427" i="38"/>
  <c r="M423" i="38"/>
  <c r="M419" i="38"/>
  <c r="M415" i="38"/>
  <c r="M411" i="38"/>
  <c r="M407" i="38"/>
  <c r="M403" i="38"/>
  <c r="M399" i="38"/>
  <c r="M395" i="38"/>
  <c r="M391" i="38"/>
  <c r="M387" i="38"/>
  <c r="M355" i="38"/>
  <c r="M686" i="38"/>
  <c r="M679" i="38"/>
  <c r="M691" i="38"/>
  <c r="M674" i="38"/>
  <c r="M658" i="38"/>
  <c r="M654" i="38"/>
  <c r="M650" i="38"/>
  <c r="M646" i="38"/>
  <c r="M642" i="38"/>
  <c r="M638" i="38"/>
  <c r="M634" i="38"/>
  <c r="M630" i="38"/>
  <c r="M626" i="38"/>
  <c r="M622" i="38"/>
  <c r="M618" i="38"/>
  <c r="M614" i="38"/>
  <c r="M610" i="38"/>
  <c r="M606" i="38"/>
  <c r="M602" i="38"/>
  <c r="M598" i="38"/>
  <c r="M594" i="38"/>
  <c r="M590" i="38"/>
  <c r="M586" i="38"/>
  <c r="M582" i="38"/>
  <c r="M578" i="38"/>
  <c r="M566" i="38"/>
  <c r="M562" i="38"/>
  <c r="M558" i="38"/>
  <c r="M554" i="38"/>
  <c r="M550" i="38"/>
  <c r="M546" i="38"/>
  <c r="M542" i="38"/>
  <c r="M538" i="38"/>
  <c r="M534" i="38"/>
  <c r="M530" i="38"/>
  <c r="M526" i="38"/>
  <c r="M522" i="38"/>
  <c r="M518" i="38"/>
  <c r="M514" i="38"/>
  <c r="M510" i="38"/>
  <c r="M506" i="38"/>
  <c r="M502" i="38"/>
  <c r="M498" i="38"/>
  <c r="M494" i="38"/>
  <c r="M490" i="38"/>
  <c r="M486" i="38"/>
  <c r="M482" i="38"/>
  <c r="M478" i="38"/>
  <c r="M474" i="38"/>
  <c r="M470" i="38"/>
  <c r="M466" i="38"/>
  <c r="M462" i="38"/>
  <c r="M458" i="38"/>
  <c r="M454" i="38"/>
  <c r="M450" i="38"/>
  <c r="M446" i="38"/>
  <c r="M442" i="38"/>
  <c r="M438" i="38"/>
  <c r="M434" i="38"/>
  <c r="M430" i="38"/>
  <c r="M426" i="38"/>
  <c r="M422" i="38"/>
  <c r="M418" i="38"/>
  <c r="M414" i="38"/>
  <c r="M410" i="38"/>
  <c r="M406" i="38"/>
  <c r="M402" i="38"/>
  <c r="M398" i="38"/>
  <c r="M394" i="38"/>
  <c r="M390" i="38"/>
  <c r="M386" i="38"/>
  <c r="M678" i="38"/>
  <c r="M690" i="38"/>
  <c r="M683" i="38"/>
  <c r="M657" i="38"/>
  <c r="M653" i="38"/>
  <c r="M649" i="38"/>
  <c r="M645" i="38"/>
  <c r="M641" i="38"/>
  <c r="M637" i="38"/>
  <c r="M633" i="38"/>
  <c r="M629" i="38"/>
  <c r="M625" i="38"/>
  <c r="M621" i="38"/>
  <c r="M617" i="38"/>
  <c r="M613" i="38"/>
  <c r="M609" i="38"/>
  <c r="M605" i="38"/>
  <c r="M601" i="38"/>
  <c r="M597" i="38"/>
  <c r="M593" i="38"/>
  <c r="M589" i="38"/>
  <c r="M585" i="38"/>
  <c r="M581" i="38"/>
  <c r="M565" i="38"/>
  <c r="M561" i="38"/>
  <c r="M557" i="38"/>
  <c r="M553" i="38"/>
  <c r="M549" i="38"/>
  <c r="M545" i="38"/>
  <c r="M541" i="38"/>
  <c r="M537" i="38"/>
  <c r="M533" i="38"/>
  <c r="M529" i="38"/>
  <c r="M525" i="38"/>
  <c r="M521" i="38"/>
  <c r="M517" i="38"/>
  <c r="M513" i="38"/>
  <c r="M509" i="38"/>
  <c r="M505" i="38"/>
  <c r="M501" i="38"/>
  <c r="M497" i="38"/>
  <c r="M493" i="38"/>
  <c r="M489" i="38"/>
  <c r="M485" i="38"/>
  <c r="M481" i="38"/>
  <c r="M477" i="38"/>
  <c r="M473" i="38"/>
  <c r="M469" i="38"/>
  <c r="M465" i="38"/>
  <c r="M461" i="38"/>
  <c r="M457" i="38"/>
  <c r="M453" i="38"/>
  <c r="M449" i="38"/>
  <c r="M445" i="38"/>
  <c r="M441" i="38"/>
  <c r="M437" i="38"/>
  <c r="M433" i="38"/>
  <c r="M429" i="38"/>
  <c r="M425" i="38"/>
  <c r="M421" i="38"/>
  <c r="M417" i="38"/>
  <c r="M413" i="38"/>
  <c r="M409" i="38"/>
  <c r="M405" i="38"/>
  <c r="M401" i="38"/>
  <c r="M397" i="38"/>
  <c r="M393" i="38"/>
  <c r="M677" i="38"/>
  <c r="M682" i="38"/>
  <c r="M656" i="38"/>
  <c r="M652" i="38"/>
  <c r="M648" i="38"/>
  <c r="M644" i="38"/>
  <c r="M640" i="38"/>
  <c r="M636" i="38"/>
  <c r="M632" i="38"/>
  <c r="M628" i="38"/>
  <c r="M624" i="38"/>
  <c r="M620" i="38"/>
  <c r="M616" i="38"/>
  <c r="M612" i="38"/>
  <c r="M608" i="38"/>
  <c r="M604" i="38"/>
  <c r="M600" i="38"/>
  <c r="M596" i="38"/>
  <c r="M592" i="38"/>
  <c r="M588" i="38"/>
  <c r="M584" i="38"/>
  <c r="M580" i="38"/>
  <c r="M564" i="38"/>
  <c r="M560" i="38"/>
  <c r="M556" i="38"/>
  <c r="M552" i="38"/>
  <c r="M548" i="38"/>
  <c r="M544" i="38"/>
  <c r="M540" i="38"/>
  <c r="M536" i="38"/>
  <c r="M532" i="38"/>
  <c r="M528" i="38"/>
  <c r="M524" i="38"/>
  <c r="M520" i="38"/>
  <c r="M516" i="38"/>
  <c r="M512" i="38"/>
  <c r="M508" i="38"/>
  <c r="M504" i="38"/>
  <c r="M500" i="38"/>
  <c r="M496" i="38"/>
  <c r="M492" i="38"/>
  <c r="M488" i="38"/>
  <c r="M484" i="38"/>
  <c r="M480" i="38"/>
  <c r="M476" i="38"/>
  <c r="M472" i="38"/>
  <c r="M468" i="38"/>
  <c r="M464" i="38"/>
  <c r="M460" i="38"/>
  <c r="M456" i="38"/>
  <c r="M452" i="38"/>
  <c r="M448" i="38"/>
  <c r="M444" i="38"/>
  <c r="M440" i="38"/>
  <c r="M436" i="38"/>
  <c r="M432" i="38"/>
  <c r="M428" i="38"/>
  <c r="M424" i="38"/>
  <c r="M420" i="38"/>
  <c r="M416" i="38"/>
  <c r="M694" i="38"/>
  <c r="M687" i="38"/>
  <c r="M408" i="38"/>
  <c r="M385" i="38"/>
  <c r="M396" i="38"/>
  <c r="M357" i="38"/>
  <c r="M404" i="38"/>
  <c r="M389" i="38"/>
  <c r="M384" i="38"/>
  <c r="M356" i="38"/>
  <c r="M388" i="38"/>
  <c r="M400" i="38"/>
  <c r="M412" i="38"/>
  <c r="M392" i="38"/>
  <c r="M354" i="38"/>
  <c r="C69" i="3"/>
  <c r="C68" i="3"/>
  <c r="A92" i="3"/>
  <c r="M291" i="38"/>
  <c r="F291" i="38"/>
  <c r="F293" i="38"/>
  <c r="F302" i="38"/>
  <c r="F310" i="38"/>
  <c r="F318" i="38"/>
  <c r="F326" i="38"/>
  <c r="F334" i="38"/>
  <c r="F342" i="38"/>
  <c r="F350" i="38"/>
  <c r="F358" i="38"/>
  <c r="F366" i="38"/>
  <c r="F375" i="38"/>
  <c r="F383" i="38"/>
  <c r="F391" i="38"/>
  <c r="F399" i="38"/>
  <c r="F407" i="38"/>
  <c r="F415" i="38"/>
  <c r="F423" i="38"/>
  <c r="F431" i="38"/>
  <c r="F439" i="38"/>
  <c r="F447" i="38"/>
  <c r="F455" i="38"/>
  <c r="F463" i="38"/>
  <c r="F471" i="38"/>
  <c r="F479" i="38"/>
  <c r="F487" i="38"/>
  <c r="F495" i="38"/>
  <c r="F503" i="38"/>
  <c r="F511" i="38"/>
  <c r="F519" i="38"/>
  <c r="F527" i="38"/>
  <c r="F535" i="38"/>
  <c r="F543" i="38"/>
  <c r="F551" i="38"/>
  <c r="F559" i="38"/>
  <c r="F567" i="38"/>
  <c r="F575" i="38"/>
  <c r="F583" i="38"/>
  <c r="F591" i="38"/>
  <c r="F599" i="38"/>
  <c r="F607" i="38"/>
  <c r="F615" i="38"/>
  <c r="F623" i="38"/>
  <c r="F631" i="38"/>
  <c r="F639" i="38"/>
  <c r="F647" i="38"/>
  <c r="F655" i="38"/>
  <c r="F663" i="38"/>
  <c r="F671" i="38"/>
  <c r="F679" i="38"/>
  <c r="F687" i="38"/>
  <c r="F695" i="38"/>
  <c r="F703" i="38"/>
  <c r="F711" i="38"/>
  <c r="F719" i="38"/>
  <c r="F727" i="38"/>
  <c r="F735" i="38"/>
  <c r="F743" i="38"/>
  <c r="F751" i="38"/>
  <c r="F759" i="38"/>
  <c r="F767" i="38"/>
  <c r="F775" i="38"/>
  <c r="F783" i="38"/>
  <c r="F791" i="38"/>
  <c r="F799" i="38"/>
  <c r="F807" i="38"/>
  <c r="F815" i="38"/>
  <c r="F823" i="38"/>
  <c r="F831" i="38"/>
  <c r="F839" i="38"/>
  <c r="F847" i="38"/>
  <c r="F855" i="38"/>
  <c r="F863" i="38"/>
  <c r="F871" i="38"/>
  <c r="F879" i="38"/>
  <c r="F887" i="38"/>
  <c r="F895" i="38"/>
  <c r="F903" i="38"/>
  <c r="F911" i="38"/>
  <c r="F919" i="38"/>
  <c r="F927" i="38"/>
  <c r="F935" i="38"/>
  <c r="F943" i="38"/>
  <c r="F951" i="38"/>
  <c r="F960" i="38"/>
  <c r="F968" i="38"/>
  <c r="F976" i="38"/>
  <c r="F984" i="38"/>
  <c r="F992" i="38"/>
  <c r="F1000" i="38"/>
  <c r="F1008" i="38"/>
  <c r="F1016" i="38"/>
  <c r="F1024" i="38"/>
  <c r="F1032" i="38"/>
  <c r="E39" i="10"/>
  <c r="E25" i="10"/>
  <c r="E13" i="7" s="1"/>
  <c r="E46" i="31"/>
  <c r="O110" i="9"/>
  <c r="O96" i="9"/>
  <c r="O13" i="9"/>
  <c r="E78" i="31"/>
  <c r="AU13" i="9"/>
  <c r="AU110" i="9"/>
  <c r="AU96" i="9"/>
  <c r="D117" i="3"/>
  <c r="E114" i="3"/>
  <c r="N109" i="3"/>
  <c r="D116" i="3"/>
  <c r="D118" i="3"/>
  <c r="S8" i="28"/>
  <c r="E225" i="31"/>
  <c r="D115" i="3"/>
  <c r="A105" i="3"/>
  <c r="M958" i="38"/>
  <c r="M961" i="38"/>
  <c r="M957" i="38"/>
  <c r="F957" i="38"/>
  <c r="M960" i="38"/>
  <c r="M959" i="38"/>
  <c r="F356" i="38"/>
  <c r="F397" i="38"/>
  <c r="F429" i="38"/>
  <c r="F461" i="38"/>
  <c r="F517" i="38"/>
  <c r="F549" i="38"/>
  <c r="F597" i="38"/>
  <c r="F669" i="38"/>
  <c r="F717" i="38"/>
  <c r="F765" i="38"/>
  <c r="F813" i="38"/>
  <c r="F869" i="38"/>
  <c r="F925" i="38"/>
  <c r="F990" i="38"/>
  <c r="E16" i="7"/>
  <c r="E28" i="10"/>
  <c r="L20" i="7"/>
  <c r="N61" i="10"/>
  <c r="E81" i="31"/>
  <c r="L81" i="10"/>
  <c r="L101" i="10"/>
  <c r="D110" i="9"/>
  <c r="E39" i="31"/>
  <c r="J110" i="9"/>
  <c r="J96" i="9"/>
  <c r="J13" i="9"/>
  <c r="E51" i="31"/>
  <c r="R96" i="9"/>
  <c r="R13" i="9"/>
  <c r="E67" i="31"/>
  <c r="AH110" i="9"/>
  <c r="AH96" i="9"/>
  <c r="AH13" i="9"/>
  <c r="AP110" i="9"/>
  <c r="AP96" i="9"/>
  <c r="AP13" i="9"/>
  <c r="AX110" i="9"/>
  <c r="AX96" i="9"/>
  <c r="AX13" i="9"/>
  <c r="C9" i="28"/>
  <c r="C97" i="9"/>
  <c r="D152" i="31"/>
  <c r="R152" i="31" s="1"/>
  <c r="D12" i="29"/>
  <c r="D9" i="26"/>
  <c r="E614" i="26"/>
  <c r="E549" i="26"/>
  <c r="E484" i="26"/>
  <c r="E419" i="26"/>
  <c r="E354" i="26"/>
  <c r="E289" i="26"/>
  <c r="E224" i="26"/>
  <c r="E159" i="26"/>
  <c r="E94" i="26"/>
  <c r="E29" i="26"/>
  <c r="E635" i="26"/>
  <c r="E570" i="26"/>
  <c r="E505" i="26"/>
  <c r="E440" i="26"/>
  <c r="E375" i="26"/>
  <c r="E310" i="26"/>
  <c r="E245" i="26"/>
  <c r="E180" i="26"/>
  <c r="E115" i="26"/>
  <c r="E50" i="26"/>
  <c r="E643" i="26"/>
  <c r="E578" i="26"/>
  <c r="E513" i="26"/>
  <c r="E448" i="26"/>
  <c r="E383" i="26"/>
  <c r="E318" i="26"/>
  <c r="E253" i="26"/>
  <c r="E188" i="26"/>
  <c r="E123" i="26"/>
  <c r="E58" i="26"/>
  <c r="E656" i="26"/>
  <c r="E591" i="26"/>
  <c r="E526" i="26"/>
  <c r="E461" i="26"/>
  <c r="E396" i="26"/>
  <c r="E331" i="26"/>
  <c r="E266" i="26"/>
  <c r="E201" i="26"/>
  <c r="E136" i="26"/>
  <c r="E71" i="26"/>
  <c r="J59" i="30"/>
  <c r="J19" i="30"/>
  <c r="E64" i="30"/>
  <c r="E26" i="30"/>
  <c r="J68" i="30"/>
  <c r="J40" i="30"/>
  <c r="J33" i="30"/>
  <c r="J71" i="30"/>
  <c r="E76" i="30"/>
  <c r="E49" i="30"/>
  <c r="H99" i="30"/>
  <c r="E93" i="30"/>
  <c r="AM8" i="28"/>
  <c r="E248" i="31"/>
  <c r="K10" i="7"/>
  <c r="I100" i="7"/>
  <c r="E93" i="7"/>
  <c r="F145" i="7"/>
  <c r="F148" i="7"/>
  <c r="G8" i="28"/>
  <c r="E205" i="31"/>
  <c r="F286" i="38"/>
  <c r="G9" i="28"/>
  <c r="F372" i="38"/>
  <c r="AL9" i="28"/>
  <c r="A94" i="3"/>
  <c r="R93" i="3"/>
  <c r="M671" i="38"/>
  <c r="M667" i="38"/>
  <c r="M663" i="38"/>
  <c r="M575" i="38"/>
  <c r="M571" i="38"/>
  <c r="M383" i="38"/>
  <c r="M379" i="38"/>
  <c r="M375" i="38"/>
  <c r="M371" i="38"/>
  <c r="M367" i="38"/>
  <c r="M363" i="38"/>
  <c r="M359" i="38"/>
  <c r="M670" i="38"/>
  <c r="M666" i="38"/>
  <c r="M662" i="38"/>
  <c r="M574" i="38"/>
  <c r="M570" i="38"/>
  <c r="M673" i="38"/>
  <c r="M669" i="38"/>
  <c r="M665" i="38"/>
  <c r="M661" i="38"/>
  <c r="M577" i="38"/>
  <c r="M573" i="38"/>
  <c r="M569" i="38"/>
  <c r="M672" i="38"/>
  <c r="M668" i="38"/>
  <c r="M664" i="38"/>
  <c r="M660" i="38"/>
  <c r="M576" i="38"/>
  <c r="M572" i="38"/>
  <c r="M568" i="38"/>
  <c r="M376" i="38"/>
  <c r="M362" i="38"/>
  <c r="M380" i="38"/>
  <c r="M366" i="38"/>
  <c r="M370" i="38"/>
  <c r="M361" i="38"/>
  <c r="M374" i="38"/>
  <c r="M365" i="38"/>
  <c r="M378" i="38"/>
  <c r="M369" i="38"/>
  <c r="M360" i="38"/>
  <c r="M382" i="38"/>
  <c r="M373" i="38"/>
  <c r="M364" i="38"/>
  <c r="M377" i="38"/>
  <c r="M368" i="38"/>
  <c r="M381" i="38"/>
  <c r="M372" i="38"/>
  <c r="M358" i="38"/>
  <c r="A106" i="3"/>
  <c r="M294" i="38"/>
  <c r="F294" i="38"/>
  <c r="F303" i="38"/>
  <c r="F311" i="38"/>
  <c r="F319" i="38"/>
  <c r="F327" i="38"/>
  <c r="F335" i="38"/>
  <c r="F343" i="38"/>
  <c r="F351" i="38"/>
  <c r="F359" i="38"/>
  <c r="F367" i="38"/>
  <c r="F376" i="38"/>
  <c r="F384" i="38"/>
  <c r="F392" i="38"/>
  <c r="F400" i="38"/>
  <c r="F408" i="38"/>
  <c r="F416" i="38"/>
  <c r="F424" i="38"/>
  <c r="F432" i="38"/>
  <c r="F440" i="38"/>
  <c r="F448" i="38"/>
  <c r="F456" i="38"/>
  <c r="F464" i="38"/>
  <c r="F472" i="38"/>
  <c r="F480" i="38"/>
  <c r="F488" i="38"/>
  <c r="F496" i="38"/>
  <c r="F504" i="38"/>
  <c r="F512" i="38"/>
  <c r="F520" i="38"/>
  <c r="F528" i="38"/>
  <c r="F536" i="38"/>
  <c r="F544" i="38"/>
  <c r="F552" i="38"/>
  <c r="F560" i="38"/>
  <c r="F568" i="38"/>
  <c r="F576" i="38"/>
  <c r="F584" i="38"/>
  <c r="F592" i="38"/>
  <c r="F600" i="38"/>
  <c r="F608" i="38"/>
  <c r="F616" i="38"/>
  <c r="F624" i="38"/>
  <c r="F632" i="38"/>
  <c r="F640" i="38"/>
  <c r="F648" i="38"/>
  <c r="F656" i="38"/>
  <c r="F664" i="38"/>
  <c r="F672" i="38"/>
  <c r="F680" i="38"/>
  <c r="F688" i="38"/>
  <c r="F696" i="38"/>
  <c r="F704" i="38"/>
  <c r="F712" i="38"/>
  <c r="F720" i="38"/>
  <c r="F728" i="38"/>
  <c r="F736" i="38"/>
  <c r="F744" i="38"/>
  <c r="F752" i="38"/>
  <c r="F760" i="38"/>
  <c r="F768" i="38"/>
  <c r="F776" i="38"/>
  <c r="F784" i="38"/>
  <c r="F792" i="38"/>
  <c r="F800" i="38"/>
  <c r="F808" i="38"/>
  <c r="F816" i="38"/>
  <c r="F824" i="38"/>
  <c r="F832" i="38"/>
  <c r="F840" i="38"/>
  <c r="F848" i="38"/>
  <c r="F856" i="38"/>
  <c r="F864" i="38"/>
  <c r="F872" i="38"/>
  <c r="F880" i="38"/>
  <c r="F888" i="38"/>
  <c r="F896" i="38"/>
  <c r="F904" i="38"/>
  <c r="F912" i="38"/>
  <c r="F920" i="38"/>
  <c r="F928" i="38"/>
  <c r="F936" i="38"/>
  <c r="F944" i="38"/>
  <c r="F952" i="38"/>
  <c r="F961" i="38"/>
  <c r="F969" i="38"/>
  <c r="F977" i="38"/>
  <c r="F985" i="38"/>
  <c r="F993" i="38"/>
  <c r="F1001" i="38"/>
  <c r="F1009" i="38"/>
  <c r="F1017" i="38"/>
  <c r="F1025" i="38"/>
  <c r="F1034" i="38"/>
  <c r="L118" i="38"/>
  <c r="L140" i="38"/>
  <c r="L139" i="38"/>
  <c r="E38" i="16"/>
  <c r="E42" i="16"/>
  <c r="M8" i="28"/>
  <c r="E211" i="31"/>
  <c r="L641" i="26"/>
  <c r="L576" i="26"/>
  <c r="L511" i="26"/>
  <c r="L446" i="26"/>
  <c r="L381" i="26"/>
  <c r="L645" i="26"/>
  <c r="L580" i="26"/>
  <c r="L515" i="26"/>
  <c r="L450" i="26"/>
  <c r="L385" i="26"/>
  <c r="L316" i="26"/>
  <c r="L251" i="26"/>
  <c r="L186" i="26"/>
  <c r="L121" i="26"/>
  <c r="L56" i="26"/>
  <c r="L125" i="26"/>
  <c r="L190" i="26"/>
  <c r="L255" i="26"/>
  <c r="L320" i="26"/>
  <c r="L60" i="26"/>
  <c r="D189" i="31"/>
  <c r="B2" i="28"/>
  <c r="AD109" i="3"/>
  <c r="D124" i="3"/>
  <c r="AI8" i="28"/>
  <c r="E241" i="31"/>
  <c r="B71" i="3"/>
  <c r="E44" i="7"/>
  <c r="N342" i="7"/>
  <c r="N378" i="7"/>
  <c r="N414" i="7"/>
  <c r="N450" i="7"/>
  <c r="N162" i="7"/>
  <c r="N486" i="7"/>
  <c r="N198" i="7"/>
  <c r="N234" i="7"/>
  <c r="N306" i="7"/>
  <c r="D148" i="7"/>
  <c r="N270" i="7"/>
  <c r="F316" i="38"/>
  <c r="F348" i="38"/>
  <c r="F453" i="38"/>
  <c r="F509" i="38"/>
  <c r="F565" i="38"/>
  <c r="F605" i="38"/>
  <c r="F661" i="38"/>
  <c r="F725" i="38"/>
  <c r="F773" i="38"/>
  <c r="F837" i="38"/>
  <c r="F893" i="38"/>
  <c r="F1022" i="38"/>
  <c r="E20" i="10"/>
  <c r="E21" i="10"/>
  <c r="E38" i="10"/>
  <c r="E17" i="7"/>
  <c r="E29" i="10"/>
  <c r="F342" i="7"/>
  <c r="F378" i="7"/>
  <c r="F44" i="7"/>
  <c r="F414" i="7"/>
  <c r="F450" i="7"/>
  <c r="F162" i="7"/>
  <c r="F100" i="7"/>
  <c r="F32" i="7"/>
  <c r="F486" i="7"/>
  <c r="F198" i="7"/>
  <c r="F234" i="7"/>
  <c r="F306" i="7"/>
  <c r="F70" i="7"/>
  <c r="F99" i="30"/>
  <c r="F270" i="7"/>
  <c r="E61" i="10"/>
  <c r="M286" i="38"/>
  <c r="N81" i="10"/>
  <c r="N101" i="10"/>
  <c r="C13" i="9"/>
  <c r="C110" i="9"/>
  <c r="C96" i="9"/>
  <c r="E40" i="31"/>
  <c r="K13" i="9"/>
  <c r="K110" i="9"/>
  <c r="K96" i="9"/>
  <c r="E54" i="31"/>
  <c r="E87" i="31"/>
  <c r="S110" i="9"/>
  <c r="S96" i="9"/>
  <c r="S13" i="9"/>
  <c r="E68" i="31"/>
  <c r="AI110" i="9"/>
  <c r="AI96" i="9"/>
  <c r="AI13" i="9"/>
  <c r="AQ110" i="9"/>
  <c r="AQ96" i="9"/>
  <c r="AQ13" i="9"/>
  <c r="AY110" i="9"/>
  <c r="AY96" i="9"/>
  <c r="AY13" i="9"/>
  <c r="E25" i="16"/>
  <c r="E15" i="16"/>
  <c r="E600" i="26"/>
  <c r="E535" i="26"/>
  <c r="E470" i="26"/>
  <c r="E405" i="26"/>
  <c r="E340" i="26"/>
  <c r="E275" i="26"/>
  <c r="E210" i="26"/>
  <c r="E145" i="26"/>
  <c r="E80" i="26"/>
  <c r="E15" i="26"/>
  <c r="E616" i="26"/>
  <c r="E551" i="26"/>
  <c r="E486" i="26"/>
  <c r="E421" i="26"/>
  <c r="E291" i="26"/>
  <c r="E226" i="26"/>
  <c r="E161" i="26"/>
  <c r="E96" i="26"/>
  <c r="E31" i="26"/>
  <c r="E356" i="26"/>
  <c r="E636" i="26"/>
  <c r="E571" i="26"/>
  <c r="E506" i="26"/>
  <c r="E441" i="26"/>
  <c r="E376" i="26"/>
  <c r="E311" i="26"/>
  <c r="E246" i="26"/>
  <c r="E181" i="26"/>
  <c r="E116" i="26"/>
  <c r="E51" i="26"/>
  <c r="E646" i="26"/>
  <c r="E581" i="26"/>
  <c r="E516" i="26"/>
  <c r="E451" i="26"/>
  <c r="E386" i="26"/>
  <c r="E321" i="26"/>
  <c r="E256" i="26"/>
  <c r="E191" i="26"/>
  <c r="E126" i="26"/>
  <c r="E61" i="26"/>
  <c r="K59" i="30"/>
  <c r="K19" i="30"/>
  <c r="K71" i="30"/>
  <c r="K40" i="30"/>
  <c r="K68" i="30"/>
  <c r="K33" i="30"/>
  <c r="E51" i="30"/>
  <c r="E78" i="30"/>
  <c r="AR8" i="28"/>
  <c r="E83" i="31"/>
  <c r="E65" i="31"/>
  <c r="E55" i="31"/>
  <c r="H70" i="7"/>
  <c r="E124" i="31"/>
  <c r="E196" i="31"/>
  <c r="E195" i="31"/>
  <c r="E223" i="31"/>
  <c r="L109" i="3"/>
  <c r="Q8" i="28"/>
  <c r="F117" i="3"/>
  <c r="G114" i="3"/>
  <c r="P109" i="3"/>
  <c r="F115" i="3"/>
  <c r="F116" i="3"/>
  <c r="E227" i="31"/>
  <c r="U8" i="28"/>
  <c r="C126" i="3"/>
  <c r="C125" i="3"/>
  <c r="U109" i="3"/>
  <c r="Z8" i="28"/>
  <c r="E232" i="31"/>
  <c r="C112" i="3"/>
  <c r="X109" i="3"/>
  <c r="E235" i="31"/>
  <c r="AC8" i="28"/>
  <c r="D123" i="3"/>
  <c r="AB109" i="3"/>
  <c r="E239" i="31"/>
  <c r="AG8" i="28"/>
  <c r="AF109" i="3"/>
  <c r="F124" i="3"/>
  <c r="AK8" i="28"/>
  <c r="E243" i="31"/>
  <c r="K11" i="7"/>
  <c r="L270" i="7"/>
  <c r="L306" i="7"/>
  <c r="L342" i="7"/>
  <c r="L378" i="7"/>
  <c r="D146" i="7"/>
  <c r="L414" i="7"/>
  <c r="L450" i="7"/>
  <c r="L162" i="7"/>
  <c r="L234" i="7"/>
  <c r="L198" i="7"/>
  <c r="L486" i="7"/>
  <c r="H8" i="28"/>
  <c r="H45" i="3"/>
  <c r="F46" i="3"/>
  <c r="A97" i="3"/>
  <c r="M348" i="38"/>
  <c r="M344" i="38"/>
  <c r="M340" i="38"/>
  <c r="M347" i="38"/>
  <c r="M343" i="38"/>
  <c r="M339" i="38"/>
  <c r="M350" i="38"/>
  <c r="M346" i="38"/>
  <c r="M342" i="38"/>
  <c r="M349" i="38"/>
  <c r="M345" i="38"/>
  <c r="M341" i="38"/>
  <c r="A101" i="3"/>
  <c r="M296" i="38"/>
  <c r="F296" i="38"/>
  <c r="F304" i="38"/>
  <c r="F312" i="38"/>
  <c r="F320" i="38"/>
  <c r="F328" i="38"/>
  <c r="F336" i="38"/>
  <c r="F344" i="38"/>
  <c r="F352" i="38"/>
  <c r="F360" i="38"/>
  <c r="F368" i="38"/>
  <c r="F377" i="38"/>
  <c r="F385" i="38"/>
  <c r="F393" i="38"/>
  <c r="F401" i="38"/>
  <c r="F409" i="38"/>
  <c r="F417" i="38"/>
  <c r="F425" i="38"/>
  <c r="F433" i="38"/>
  <c r="F441" i="38"/>
  <c r="F449" i="38"/>
  <c r="F457" i="38"/>
  <c r="F465" i="38"/>
  <c r="F473" i="38"/>
  <c r="F481" i="38"/>
  <c r="F489" i="38"/>
  <c r="F497" i="38"/>
  <c r="F505" i="38"/>
  <c r="F513" i="38"/>
  <c r="F521" i="38"/>
  <c r="F529" i="38"/>
  <c r="F537" i="38"/>
  <c r="F545" i="38"/>
  <c r="F553" i="38"/>
  <c r="F561" i="38"/>
  <c r="F569" i="38"/>
  <c r="F577" i="38"/>
  <c r="F585" i="38"/>
  <c r="F593" i="38"/>
  <c r="F601" i="38"/>
  <c r="F609" i="38"/>
  <c r="F617" i="38"/>
  <c r="F625" i="38"/>
  <c r="F633" i="38"/>
  <c r="F641" i="38"/>
  <c r="F649" i="38"/>
  <c r="F657" i="38"/>
  <c r="F665" i="38"/>
  <c r="F673" i="38"/>
  <c r="F681" i="38"/>
  <c r="F689" i="38"/>
  <c r="F697" i="38"/>
  <c r="F705" i="38"/>
  <c r="F713" i="38"/>
  <c r="F721" i="38"/>
  <c r="F729" i="38"/>
  <c r="F737" i="38"/>
  <c r="F745" i="38"/>
  <c r="F753" i="38"/>
  <c r="F761" i="38"/>
  <c r="F769" i="38"/>
  <c r="F777" i="38"/>
  <c r="F785" i="38"/>
  <c r="F793" i="38"/>
  <c r="F801" i="38"/>
  <c r="F809" i="38"/>
  <c r="F817" i="38"/>
  <c r="F825" i="38"/>
  <c r="F833" i="38"/>
  <c r="F841" i="38"/>
  <c r="F849" i="38"/>
  <c r="F857" i="38"/>
  <c r="F865" i="38"/>
  <c r="F873" i="38"/>
  <c r="F881" i="38"/>
  <c r="F889" i="38"/>
  <c r="F897" i="38"/>
  <c r="F905" i="38"/>
  <c r="F913" i="38"/>
  <c r="F921" i="38"/>
  <c r="F929" i="38"/>
  <c r="F937" i="38"/>
  <c r="F945" i="38"/>
  <c r="F953" i="38"/>
  <c r="F962" i="38"/>
  <c r="F970" i="38"/>
  <c r="F978" i="38"/>
  <c r="F986" i="38"/>
  <c r="F994" i="38"/>
  <c r="F1002" i="38"/>
  <c r="F1010" i="38"/>
  <c r="F1018" i="38"/>
  <c r="F1026" i="38"/>
  <c r="F1035" i="38"/>
  <c r="G20" i="38"/>
  <c r="L19" i="38"/>
  <c r="H31" i="16"/>
  <c r="G99" i="30"/>
  <c r="E92" i="30"/>
  <c r="A85" i="3"/>
  <c r="E1" i="3"/>
  <c r="I20" i="7"/>
  <c r="I44" i="7"/>
  <c r="I101" i="10"/>
  <c r="K61" i="10"/>
  <c r="L374" i="26"/>
  <c r="K634" i="26"/>
  <c r="K569" i="26"/>
  <c r="K504" i="26"/>
  <c r="K439" i="26"/>
  <c r="K374" i="26"/>
  <c r="K309" i="26"/>
  <c r="K49" i="26"/>
  <c r="K114" i="26"/>
  <c r="K179" i="26"/>
  <c r="K244" i="26"/>
  <c r="E68" i="30"/>
  <c r="E30" i="30"/>
  <c r="E252" i="31"/>
  <c r="AT8" i="28"/>
  <c r="A90" i="3"/>
  <c r="R89" i="3"/>
  <c r="M288" i="38"/>
  <c r="F308" i="38"/>
  <c r="F364" i="38"/>
  <c r="F405" i="38"/>
  <c r="F445" i="38"/>
  <c r="F493" i="38"/>
  <c r="F541" i="38"/>
  <c r="F589" i="38"/>
  <c r="F645" i="38"/>
  <c r="F701" i="38"/>
  <c r="F757" i="38"/>
  <c r="F821" i="38"/>
  <c r="F877" i="38"/>
  <c r="F941" i="38"/>
  <c r="F1014" i="38"/>
  <c r="E2" i="28"/>
  <c r="E2" i="31"/>
  <c r="F2" i="7"/>
  <c r="E2" i="29"/>
  <c r="E2" i="30"/>
  <c r="E2" i="26"/>
  <c r="E2" i="9"/>
  <c r="E2" i="16"/>
  <c r="E2" i="10"/>
  <c r="E2" i="38"/>
  <c r="E2" i="39"/>
  <c r="E2" i="19"/>
  <c r="E2" i="20"/>
  <c r="E12" i="7"/>
  <c r="E22" i="10"/>
  <c r="E114" i="7"/>
  <c r="B2" i="29"/>
  <c r="D96" i="10"/>
  <c r="E30" i="31"/>
  <c r="E61" i="31"/>
  <c r="D96" i="9"/>
  <c r="D13" i="9"/>
  <c r="E41" i="31"/>
  <c r="L110" i="9"/>
  <c r="L96" i="9"/>
  <c r="L13" i="9"/>
  <c r="E69" i="31"/>
  <c r="AJ110" i="9"/>
  <c r="AJ96" i="9"/>
  <c r="AJ13" i="9"/>
  <c r="AR110" i="9"/>
  <c r="AR96" i="9"/>
  <c r="AR13" i="9"/>
  <c r="C111" i="9"/>
  <c r="C14" i="9"/>
  <c r="E26" i="16"/>
  <c r="E16" i="16"/>
  <c r="I31" i="16"/>
  <c r="K24" i="16"/>
  <c r="F87" i="3"/>
  <c r="H16" i="29"/>
  <c r="H60" i="29"/>
  <c r="H600" i="26"/>
  <c r="H535" i="26"/>
  <c r="H470" i="26"/>
  <c r="H405" i="26"/>
  <c r="H210" i="26"/>
  <c r="H275" i="26"/>
  <c r="H15" i="26"/>
  <c r="H340" i="26"/>
  <c r="H80" i="26"/>
  <c r="H145" i="26"/>
  <c r="E626" i="26"/>
  <c r="E561" i="26"/>
  <c r="E496" i="26"/>
  <c r="E431" i="26"/>
  <c r="E366" i="26"/>
  <c r="E301" i="26"/>
  <c r="E236" i="26"/>
  <c r="E171" i="26"/>
  <c r="E106" i="26"/>
  <c r="E41" i="26"/>
  <c r="I76" i="30"/>
  <c r="I61" i="30"/>
  <c r="I21" i="30"/>
  <c r="L655" i="26"/>
  <c r="L590" i="26"/>
  <c r="L525" i="26"/>
  <c r="L460" i="26"/>
  <c r="L395" i="26"/>
  <c r="I49" i="30"/>
  <c r="L48" i="29"/>
  <c r="L92" i="29"/>
  <c r="L649" i="26"/>
  <c r="L638" i="26"/>
  <c r="L584" i="26"/>
  <c r="L573" i="26"/>
  <c r="L519" i="26"/>
  <c r="L508" i="26"/>
  <c r="L454" i="26"/>
  <c r="L443" i="26"/>
  <c r="L389" i="26"/>
  <c r="L378" i="26"/>
  <c r="L324" i="26"/>
  <c r="L313" i="26"/>
  <c r="L259" i="26"/>
  <c r="L248" i="26"/>
  <c r="L194" i="26"/>
  <c r="L183" i="26"/>
  <c r="L129" i="26"/>
  <c r="L118" i="26"/>
  <c r="L64" i="26"/>
  <c r="L53" i="26"/>
  <c r="L330" i="26"/>
  <c r="L265" i="26"/>
  <c r="L200" i="26"/>
  <c r="L135" i="26"/>
  <c r="L70" i="26"/>
  <c r="E647" i="26"/>
  <c r="E582" i="26"/>
  <c r="E517" i="26"/>
  <c r="E452" i="26"/>
  <c r="E387" i="26"/>
  <c r="E322" i="26"/>
  <c r="E257" i="26"/>
  <c r="E192" i="26"/>
  <c r="E127" i="26"/>
  <c r="E62" i="26"/>
  <c r="E162" i="31"/>
  <c r="E16" i="29"/>
  <c r="E60" i="29"/>
  <c r="E92" i="29"/>
  <c r="E48" i="29"/>
  <c r="L59" i="30"/>
  <c r="M59" i="30"/>
  <c r="M19" i="30"/>
  <c r="L19" i="30"/>
  <c r="E28" i="30"/>
  <c r="E66" i="30"/>
  <c r="L68" i="30"/>
  <c r="L33" i="30"/>
  <c r="E81" i="7"/>
  <c r="K99" i="30"/>
  <c r="AP8" i="28"/>
  <c r="E250" i="31"/>
  <c r="J486" i="7"/>
  <c r="J198" i="7"/>
  <c r="J234" i="7"/>
  <c r="J270" i="7"/>
  <c r="J306" i="7"/>
  <c r="J342" i="7"/>
  <c r="J8" i="28"/>
  <c r="J378" i="7"/>
  <c r="J113" i="7"/>
  <c r="E94" i="7"/>
  <c r="J450" i="7"/>
  <c r="J162" i="7"/>
  <c r="D144" i="7"/>
  <c r="J100" i="7"/>
  <c r="J414" i="7"/>
  <c r="F208" i="31"/>
  <c r="E212" i="31"/>
  <c r="N8" i="28"/>
  <c r="AW9" i="28"/>
  <c r="L9" i="28"/>
  <c r="AO9" i="28"/>
  <c r="D44" i="3"/>
  <c r="I45" i="3"/>
  <c r="G46" i="3"/>
  <c r="K31" i="16"/>
  <c r="A98" i="3"/>
  <c r="M293" i="38"/>
  <c r="A102" i="3"/>
  <c r="M304" i="38"/>
  <c r="M303" i="38"/>
  <c r="M302" i="38"/>
  <c r="F287" i="38"/>
  <c r="F297" i="38"/>
  <c r="F305" i="38"/>
  <c r="F313" i="38"/>
  <c r="F321" i="38"/>
  <c r="F329" i="38"/>
  <c r="F337" i="38"/>
  <c r="F345" i="38"/>
  <c r="F353" i="38"/>
  <c r="F361" i="38"/>
  <c r="F369" i="38"/>
  <c r="F378" i="38"/>
  <c r="F386" i="38"/>
  <c r="F394" i="38"/>
  <c r="F402" i="38"/>
  <c r="F410" i="38"/>
  <c r="F418" i="38"/>
  <c r="F426" i="38"/>
  <c r="F434" i="38"/>
  <c r="F442" i="38"/>
  <c r="F450" i="38"/>
  <c r="F458" i="38"/>
  <c r="F466" i="38"/>
  <c r="F474" i="38"/>
  <c r="F482" i="38"/>
  <c r="F490" i="38"/>
  <c r="F498" i="38"/>
  <c r="F506" i="38"/>
  <c r="F514" i="38"/>
  <c r="F522" i="38"/>
  <c r="F530" i="38"/>
  <c r="F538" i="38"/>
  <c r="F546" i="38"/>
  <c r="F554" i="38"/>
  <c r="F562" i="38"/>
  <c r="F570" i="38"/>
  <c r="F578" i="38"/>
  <c r="F586" i="38"/>
  <c r="F594" i="38"/>
  <c r="F602" i="38"/>
  <c r="F610" i="38"/>
  <c r="F618" i="38"/>
  <c r="F626" i="38"/>
  <c r="F634" i="38"/>
  <c r="F642" i="38"/>
  <c r="F650" i="38"/>
  <c r="F658" i="38"/>
  <c r="F666" i="38"/>
  <c r="F674" i="38"/>
  <c r="F682" i="38"/>
  <c r="F690" i="38"/>
  <c r="F698" i="38"/>
  <c r="F706" i="38"/>
  <c r="F714" i="38"/>
  <c r="F722" i="38"/>
  <c r="F730" i="38"/>
  <c r="F738" i="38"/>
  <c r="F746" i="38"/>
  <c r="F754" i="38"/>
  <c r="F762" i="38"/>
  <c r="F770" i="38"/>
  <c r="F778" i="38"/>
  <c r="F786" i="38"/>
  <c r="F794" i="38"/>
  <c r="F802" i="38"/>
  <c r="F810" i="38"/>
  <c r="F818" i="38"/>
  <c r="F826" i="38"/>
  <c r="F834" i="38"/>
  <c r="F842" i="38"/>
  <c r="F850" i="38"/>
  <c r="F858" i="38"/>
  <c r="F866" i="38"/>
  <c r="F874" i="38"/>
  <c r="F882" i="38"/>
  <c r="F890" i="38"/>
  <c r="F898" i="38"/>
  <c r="F906" i="38"/>
  <c r="F914" i="38"/>
  <c r="F922" i="38"/>
  <c r="F930" i="38"/>
  <c r="F938" i="38"/>
  <c r="F946" i="38"/>
  <c r="F954" i="38"/>
  <c r="F963" i="38"/>
  <c r="F971" i="38"/>
  <c r="F979" i="38"/>
  <c r="F987" i="38"/>
  <c r="F995" i="38"/>
  <c r="F1003" i="38"/>
  <c r="F1011" i="38"/>
  <c r="F1019" i="38"/>
  <c r="F1027" i="38"/>
  <c r="J31" i="16"/>
  <c r="F160" i="7"/>
  <c r="F98" i="7"/>
  <c r="F97" i="7"/>
  <c r="F159" i="7"/>
  <c r="E95" i="31"/>
  <c r="AE96" i="9"/>
  <c r="AE13" i="9"/>
  <c r="AE110" i="9"/>
  <c r="L25" i="30"/>
  <c r="L63" i="30"/>
  <c r="N24" i="16"/>
  <c r="E16" i="30"/>
  <c r="E60" i="30"/>
  <c r="D125" i="3"/>
  <c r="V109" i="3"/>
  <c r="D126" i="3"/>
  <c r="AA8" i="28"/>
  <c r="E233" i="31"/>
  <c r="AV8" i="28"/>
  <c r="E254" i="31"/>
  <c r="A95" i="3"/>
  <c r="M351" i="38"/>
  <c r="M353" i="38"/>
  <c r="M352" i="38"/>
  <c r="F324" i="38"/>
  <c r="F381" i="38"/>
  <c r="F421" i="38"/>
  <c r="F469" i="38"/>
  <c r="F525" i="38"/>
  <c r="F573" i="38"/>
  <c r="F613" i="38"/>
  <c r="F653" i="38"/>
  <c r="F709" i="38"/>
  <c r="F781" i="38"/>
  <c r="F829" i="38"/>
  <c r="F885" i="38"/>
  <c r="F933" i="38"/>
  <c r="F982" i="38"/>
  <c r="G44" i="7"/>
  <c r="G20" i="7"/>
  <c r="I61" i="10"/>
  <c r="G101" i="10"/>
  <c r="E31" i="31"/>
  <c r="E13" i="9"/>
  <c r="E42" i="31"/>
  <c r="M110" i="9"/>
  <c r="M96" i="9"/>
  <c r="M13" i="9"/>
  <c r="E70" i="31"/>
  <c r="AK110" i="9"/>
  <c r="AK96" i="9"/>
  <c r="AK13" i="9"/>
  <c r="AS110" i="9"/>
  <c r="AS96" i="9"/>
  <c r="AS13" i="9"/>
  <c r="B56" i="3"/>
  <c r="D14" i="9"/>
  <c r="B88" i="3"/>
  <c r="I71" i="30"/>
  <c r="L8" i="28"/>
  <c r="J83" i="7"/>
  <c r="F210" i="31"/>
  <c r="I60" i="30"/>
  <c r="I48" i="30"/>
  <c r="I75" i="30"/>
  <c r="I68" i="30"/>
  <c r="I53" i="30"/>
  <c r="K92" i="29"/>
  <c r="K16" i="29"/>
  <c r="K649" i="26"/>
  <c r="K638" i="26"/>
  <c r="K611" i="26"/>
  <c r="K584" i="26"/>
  <c r="K573" i="26"/>
  <c r="K546" i="26"/>
  <c r="K519" i="26"/>
  <c r="K508" i="26"/>
  <c r="K481" i="26"/>
  <c r="K454" i="26"/>
  <c r="K443" i="26"/>
  <c r="K416" i="26"/>
  <c r="K389" i="26"/>
  <c r="K378" i="26"/>
  <c r="K351" i="26"/>
  <c r="I20" i="30"/>
  <c r="K655" i="26"/>
  <c r="K616" i="26"/>
  <c r="K590" i="26"/>
  <c r="K551" i="26"/>
  <c r="K525" i="26"/>
  <c r="K486" i="26"/>
  <c r="K460" i="26"/>
  <c r="K421" i="26"/>
  <c r="K395" i="26"/>
  <c r="G70" i="7"/>
  <c r="K60" i="29"/>
  <c r="I40" i="30"/>
  <c r="I33" i="30"/>
  <c r="K27" i="29"/>
  <c r="K641" i="26"/>
  <c r="K600" i="26"/>
  <c r="K576" i="26"/>
  <c r="K535" i="26"/>
  <c r="K511" i="26"/>
  <c r="K470" i="26"/>
  <c r="K446" i="26"/>
  <c r="K405" i="26"/>
  <c r="K381" i="26"/>
  <c r="K48" i="29"/>
  <c r="I25" i="30"/>
  <c r="K645" i="26"/>
  <c r="K580" i="26"/>
  <c r="K515" i="26"/>
  <c r="K450" i="26"/>
  <c r="K385" i="26"/>
  <c r="I78" i="30"/>
  <c r="I63" i="30"/>
  <c r="K71" i="29"/>
  <c r="K320" i="26"/>
  <c r="K255" i="26"/>
  <c r="K190" i="26"/>
  <c r="K125" i="26"/>
  <c r="K60" i="26"/>
  <c r="G24" i="16"/>
  <c r="K324" i="26"/>
  <c r="K313" i="26"/>
  <c r="K286" i="26"/>
  <c r="K259" i="26"/>
  <c r="K248" i="26"/>
  <c r="K221" i="26"/>
  <c r="K194" i="26"/>
  <c r="K183" i="26"/>
  <c r="K156" i="26"/>
  <c r="K129" i="26"/>
  <c r="K118" i="26"/>
  <c r="K91" i="26"/>
  <c r="K64" i="26"/>
  <c r="K53" i="26"/>
  <c r="K26" i="26"/>
  <c r="K330" i="26"/>
  <c r="K291" i="26"/>
  <c r="K265" i="26"/>
  <c r="K226" i="26"/>
  <c r="K200" i="26"/>
  <c r="K161" i="26"/>
  <c r="K135" i="26"/>
  <c r="K96" i="26"/>
  <c r="K70" i="26"/>
  <c r="K31" i="26"/>
  <c r="G31" i="16"/>
  <c r="K356" i="26"/>
  <c r="K340" i="26"/>
  <c r="K316" i="26"/>
  <c r="K275" i="26"/>
  <c r="K251" i="26"/>
  <c r="K210" i="26"/>
  <c r="K186" i="26"/>
  <c r="K145" i="26"/>
  <c r="K121" i="26"/>
  <c r="K80" i="26"/>
  <c r="K56" i="26"/>
  <c r="K15" i="26"/>
  <c r="G14" i="16"/>
  <c r="E17" i="16"/>
  <c r="E27" i="16"/>
  <c r="K70" i="7"/>
  <c r="K83" i="7"/>
  <c r="L24" i="16"/>
  <c r="L616" i="26"/>
  <c r="L551" i="26"/>
  <c r="L486" i="26"/>
  <c r="L421" i="26"/>
  <c r="L60" i="29"/>
  <c r="L27" i="29"/>
  <c r="L600" i="26"/>
  <c r="L535" i="26"/>
  <c r="L470" i="26"/>
  <c r="L405" i="26"/>
  <c r="L71" i="29"/>
  <c r="L16" i="29"/>
  <c r="L611" i="26"/>
  <c r="L546" i="26"/>
  <c r="L481" i="26"/>
  <c r="L416" i="26"/>
  <c r="L286" i="26"/>
  <c r="L221" i="26"/>
  <c r="L156" i="26"/>
  <c r="L91" i="26"/>
  <c r="L26" i="26"/>
  <c r="L351" i="26"/>
  <c r="L291" i="26"/>
  <c r="L226" i="26"/>
  <c r="L161" i="26"/>
  <c r="L96" i="26"/>
  <c r="L31" i="26"/>
  <c r="L356" i="26"/>
  <c r="L340" i="26"/>
  <c r="L275" i="26"/>
  <c r="L210" i="26"/>
  <c r="L145" i="26"/>
  <c r="L80" i="26"/>
  <c r="L15" i="26"/>
  <c r="E165" i="31"/>
  <c r="E39" i="29"/>
  <c r="E83" i="29"/>
  <c r="E627" i="26"/>
  <c r="E562" i="26"/>
  <c r="E497" i="26"/>
  <c r="E432" i="26"/>
  <c r="E367" i="26"/>
  <c r="E302" i="26"/>
  <c r="E237" i="26"/>
  <c r="E172" i="26"/>
  <c r="E107" i="26"/>
  <c r="E42" i="26"/>
  <c r="E639" i="26"/>
  <c r="E574" i="26"/>
  <c r="E509" i="26"/>
  <c r="E444" i="26"/>
  <c r="E379" i="26"/>
  <c r="E314" i="26"/>
  <c r="E249" i="26"/>
  <c r="E184" i="26"/>
  <c r="E119" i="26"/>
  <c r="E54" i="26"/>
  <c r="E138" i="31"/>
  <c r="E649" i="26"/>
  <c r="E584" i="26"/>
  <c r="E519" i="26"/>
  <c r="E454" i="26"/>
  <c r="E389" i="26"/>
  <c r="E324" i="26"/>
  <c r="E259" i="26"/>
  <c r="E194" i="26"/>
  <c r="E129" i="26"/>
  <c r="E64" i="26"/>
  <c r="M48" i="29"/>
  <c r="M92" i="29"/>
  <c r="E61" i="30"/>
  <c r="E21" i="30"/>
  <c r="J28" i="30"/>
  <c r="J66" i="30"/>
  <c r="E34" i="30"/>
  <c r="E69" i="30"/>
  <c r="J53" i="30"/>
  <c r="J78" i="30"/>
  <c r="C116" i="3"/>
  <c r="C117" i="3"/>
  <c r="D114" i="3"/>
  <c r="M109" i="3"/>
  <c r="C118" i="3"/>
  <c r="C115" i="3"/>
  <c r="R8" i="28"/>
  <c r="E224" i="31"/>
  <c r="Q109" i="3"/>
  <c r="F118" i="3"/>
  <c r="V8" i="28"/>
  <c r="E228" i="31"/>
  <c r="E125" i="3"/>
  <c r="H115" i="3"/>
  <c r="S109" i="3"/>
  <c r="E231" i="31"/>
  <c r="E126" i="3"/>
  <c r="Y8" i="28"/>
  <c r="Y109" i="3"/>
  <c r="C121" i="3"/>
  <c r="AD8" i="28"/>
  <c r="E236" i="31"/>
  <c r="AC109" i="3"/>
  <c r="C124" i="3"/>
  <c r="AH8" i="28"/>
  <c r="E240" i="31"/>
  <c r="E20" i="7"/>
  <c r="D138" i="7"/>
  <c r="D90" i="7"/>
  <c r="F94" i="7"/>
  <c r="F144" i="7"/>
  <c r="M306" i="7"/>
  <c r="M342" i="7"/>
  <c r="D147" i="7"/>
  <c r="M378" i="7"/>
  <c r="M414" i="7"/>
  <c r="M450" i="7"/>
  <c r="M162" i="7"/>
  <c r="M486" i="7"/>
  <c r="M198" i="7"/>
  <c r="M270" i="7"/>
  <c r="M234" i="7"/>
  <c r="O8" i="28"/>
  <c r="B58" i="3"/>
  <c r="P9" i="28"/>
  <c r="B57" i="3"/>
  <c r="D97" i="9"/>
  <c r="I94" i="3"/>
  <c r="J99" i="3"/>
  <c r="I96" i="3"/>
  <c r="I105" i="3"/>
  <c r="I100" i="3"/>
  <c r="A103" i="3"/>
  <c r="M328" i="38"/>
  <c r="M324" i="38"/>
  <c r="M320" i="38"/>
  <c r="M316" i="38"/>
  <c r="M312" i="38"/>
  <c r="M308" i="38"/>
  <c r="M300" i="38"/>
  <c r="M327" i="38"/>
  <c r="M323" i="38"/>
  <c r="M319" i="38"/>
  <c r="M315" i="38"/>
  <c r="M311" i="38"/>
  <c r="M307" i="38"/>
  <c r="M326" i="38"/>
  <c r="M322" i="38"/>
  <c r="M318" i="38"/>
  <c r="M314" i="38"/>
  <c r="M310" i="38"/>
  <c r="M306" i="38"/>
  <c r="M325" i="38"/>
  <c r="M321" i="38"/>
  <c r="M317" i="38"/>
  <c r="M313" i="38"/>
  <c r="M309" i="38"/>
  <c r="M305" i="38"/>
  <c r="M301" i="38"/>
  <c r="F288" i="38"/>
  <c r="F298" i="38"/>
  <c r="F306" i="38"/>
  <c r="F314" i="38"/>
  <c r="F322" i="38"/>
  <c r="F330" i="38"/>
  <c r="F338" i="38"/>
  <c r="F346" i="38"/>
  <c r="F354" i="38"/>
  <c r="F362" i="38"/>
  <c r="F370" i="38"/>
  <c r="F379" i="38"/>
  <c r="F387" i="38"/>
  <c r="F395" i="38"/>
  <c r="F403" i="38"/>
  <c r="F411" i="38"/>
  <c r="F419" i="38"/>
  <c r="F427" i="38"/>
  <c r="F435" i="38"/>
  <c r="F443" i="38"/>
  <c r="F451" i="38"/>
  <c r="F459" i="38"/>
  <c r="F467" i="38"/>
  <c r="F475" i="38"/>
  <c r="F483" i="38"/>
  <c r="F491" i="38"/>
  <c r="F499" i="38"/>
  <c r="F507" i="38"/>
  <c r="F515" i="38"/>
  <c r="F523" i="38"/>
  <c r="F531" i="38"/>
  <c r="F539" i="38"/>
  <c r="F547" i="38"/>
  <c r="F555" i="38"/>
  <c r="F563" i="38"/>
  <c r="F571" i="38"/>
  <c r="F579" i="38"/>
  <c r="F587" i="38"/>
  <c r="F595" i="38"/>
  <c r="F603" i="38"/>
  <c r="F611" i="38"/>
  <c r="F619" i="38"/>
  <c r="F627" i="38"/>
  <c r="F635" i="38"/>
  <c r="F643" i="38"/>
  <c r="F651" i="38"/>
  <c r="F659" i="38"/>
  <c r="F667" i="38"/>
  <c r="F675" i="38"/>
  <c r="F683" i="38"/>
  <c r="F691" i="38"/>
  <c r="F699" i="38"/>
  <c r="F707" i="38"/>
  <c r="F715" i="38"/>
  <c r="F723" i="38"/>
  <c r="F731" i="38"/>
  <c r="F739" i="38"/>
  <c r="F747" i="38"/>
  <c r="F755" i="38"/>
  <c r="F763" i="38"/>
  <c r="F771" i="38"/>
  <c r="F779" i="38"/>
  <c r="F787" i="38"/>
  <c r="F795" i="38"/>
  <c r="F803" i="38"/>
  <c r="F811" i="38"/>
  <c r="F819" i="38"/>
  <c r="F827" i="38"/>
  <c r="F835" i="38"/>
  <c r="F843" i="38"/>
  <c r="F851" i="38"/>
  <c r="F859" i="38"/>
  <c r="F867" i="38"/>
  <c r="F875" i="38"/>
  <c r="F883" i="38"/>
  <c r="F891" i="38"/>
  <c r="F899" i="38"/>
  <c r="F907" i="38"/>
  <c r="F915" i="38"/>
  <c r="F923" i="38"/>
  <c r="F931" i="38"/>
  <c r="F939" i="38"/>
  <c r="F947" i="38"/>
  <c r="F955" i="38"/>
  <c r="F964" i="38"/>
  <c r="F972" i="38"/>
  <c r="F980" i="38"/>
  <c r="F988" i="38"/>
  <c r="F996" i="38"/>
  <c r="F1004" i="38"/>
  <c r="F1012" i="38"/>
  <c r="F1020" i="38"/>
  <c r="F1028" i="38"/>
  <c r="AQ9" i="28"/>
  <c r="L159" i="38"/>
  <c r="E72" i="31"/>
  <c r="AM13" i="9"/>
  <c r="AM110" i="9"/>
  <c r="AM96" i="9"/>
  <c r="E611" i="26"/>
  <c r="E546" i="26"/>
  <c r="E481" i="26"/>
  <c r="E416" i="26"/>
  <c r="E351" i="26"/>
  <c r="E286" i="26"/>
  <c r="E221" i="26"/>
  <c r="E156" i="26"/>
  <c r="E91" i="26"/>
  <c r="E26" i="26"/>
  <c r="D42" i="29"/>
  <c r="D86" i="29"/>
  <c r="K47" i="30"/>
  <c r="K74" i="30"/>
  <c r="R486" i="7"/>
  <c r="R198" i="7"/>
  <c r="R234" i="7"/>
  <c r="R270" i="7"/>
  <c r="R306" i="7"/>
  <c r="R342" i="7"/>
  <c r="M100" i="7"/>
  <c r="R378" i="7"/>
  <c r="R450" i="7"/>
  <c r="R162" i="7"/>
  <c r="D159" i="7"/>
  <c r="E97" i="7"/>
  <c r="R414" i="7"/>
  <c r="L99" i="30"/>
  <c r="E46" i="3"/>
  <c r="AT9" i="28"/>
  <c r="F290" i="38"/>
  <c r="F332" i="38"/>
  <c r="F389" i="38"/>
  <c r="F437" i="38"/>
  <c r="F485" i="38"/>
  <c r="F533" i="38"/>
  <c r="F581" i="38"/>
  <c r="F637" i="38"/>
  <c r="F693" i="38"/>
  <c r="F749" i="38"/>
  <c r="F797" i="38"/>
  <c r="F853" i="38"/>
  <c r="F901" i="38"/>
  <c r="F949" i="38"/>
  <c r="F998" i="38"/>
  <c r="H20" i="7"/>
  <c r="H44" i="7"/>
  <c r="H101" i="10"/>
  <c r="J61" i="10"/>
  <c r="E32" i="31"/>
  <c r="F110" i="9"/>
  <c r="F96" i="9"/>
  <c r="F13" i="9"/>
  <c r="E43" i="31"/>
  <c r="N110" i="9"/>
  <c r="N96" i="9"/>
  <c r="N13" i="9"/>
  <c r="E88" i="31"/>
  <c r="V110" i="9"/>
  <c r="V96" i="9"/>
  <c r="V13" i="9"/>
  <c r="E94" i="31"/>
  <c r="AD110" i="9"/>
  <c r="AD96" i="9"/>
  <c r="AD13" i="9"/>
  <c r="E71" i="31"/>
  <c r="AL110" i="9"/>
  <c r="AL96" i="9"/>
  <c r="AL13" i="9"/>
  <c r="AT110" i="9"/>
  <c r="AT96" i="9"/>
  <c r="AT13" i="9"/>
  <c r="L83" i="7"/>
  <c r="M24" i="16"/>
  <c r="E609" i="26"/>
  <c r="E544" i="26"/>
  <c r="E479" i="26"/>
  <c r="E414" i="26"/>
  <c r="E349" i="26"/>
  <c r="E284" i="26"/>
  <c r="E219" i="26"/>
  <c r="E154" i="26"/>
  <c r="E89" i="26"/>
  <c r="E24" i="26"/>
  <c r="E120" i="31"/>
  <c r="D630" i="26"/>
  <c r="D565" i="26"/>
  <c r="D500" i="26"/>
  <c r="D435" i="26"/>
  <c r="D305" i="26"/>
  <c r="D240" i="26"/>
  <c r="D175" i="26"/>
  <c r="D110" i="26"/>
  <c r="D45" i="26"/>
  <c r="D370" i="26"/>
  <c r="E131" i="31"/>
  <c r="E641" i="26"/>
  <c r="E576" i="26"/>
  <c r="E511" i="26"/>
  <c r="E446" i="26"/>
  <c r="E381" i="26"/>
  <c r="E121" i="26"/>
  <c r="E186" i="26"/>
  <c r="E251" i="26"/>
  <c r="E316" i="26"/>
  <c r="E56" i="26"/>
  <c r="E650" i="26"/>
  <c r="E585" i="26"/>
  <c r="E520" i="26"/>
  <c r="E455" i="26"/>
  <c r="E390" i="26"/>
  <c r="E325" i="26"/>
  <c r="E260" i="26"/>
  <c r="E195" i="26"/>
  <c r="E130" i="26"/>
  <c r="E65" i="26"/>
  <c r="D14" i="30"/>
  <c r="D57" i="30"/>
  <c r="E63" i="30"/>
  <c r="E23" i="30"/>
  <c r="L66" i="30"/>
  <c r="L28" i="30"/>
  <c r="E36" i="30"/>
  <c r="E41" i="30"/>
  <c r="E72" i="30"/>
  <c r="E71" i="30"/>
  <c r="J74" i="30"/>
  <c r="J47" i="30"/>
  <c r="K78" i="30"/>
  <c r="K53" i="30"/>
  <c r="E251" i="31"/>
  <c r="J99" i="30"/>
  <c r="E202" i="31"/>
  <c r="D8" i="28"/>
  <c r="P414" i="7"/>
  <c r="P450" i="7"/>
  <c r="P162" i="7"/>
  <c r="E96" i="7"/>
  <c r="P486" i="7"/>
  <c r="P198" i="7"/>
  <c r="P234" i="7"/>
  <c r="D157" i="7"/>
  <c r="P270" i="7"/>
  <c r="P306" i="7"/>
  <c r="L100" i="7"/>
  <c r="P378" i="7"/>
  <c r="E220" i="31"/>
  <c r="P342" i="7"/>
  <c r="G100" i="7"/>
  <c r="E91" i="7"/>
  <c r="E95" i="7"/>
  <c r="K113" i="7"/>
  <c r="K100" i="7"/>
  <c r="G378" i="7"/>
  <c r="G414" i="7"/>
  <c r="G450" i="7"/>
  <c r="G162" i="7"/>
  <c r="G486" i="7"/>
  <c r="G198" i="7"/>
  <c r="G234" i="7"/>
  <c r="G270" i="7"/>
  <c r="D141" i="7"/>
  <c r="G342" i="7"/>
  <c r="G306" i="7"/>
  <c r="D272" i="7"/>
  <c r="D308" i="7"/>
  <c r="D344" i="7"/>
  <c r="D380" i="7"/>
  <c r="D416" i="7"/>
  <c r="D452" i="7"/>
  <c r="D164" i="7"/>
  <c r="D236" i="7"/>
  <c r="D200" i="7"/>
  <c r="D488" i="7"/>
  <c r="AN8" i="28"/>
  <c r="E249" i="31"/>
  <c r="A89" i="3"/>
  <c r="M292" i="38"/>
  <c r="M290" i="38"/>
  <c r="M289" i="38"/>
  <c r="K99" i="3"/>
  <c r="J96" i="3"/>
  <c r="J105" i="3"/>
  <c r="J100" i="3"/>
  <c r="J94" i="3"/>
  <c r="A104" i="3"/>
  <c r="M1034" i="38"/>
  <c r="M1030" i="38"/>
  <c r="M1026" i="38"/>
  <c r="M1022" i="38"/>
  <c r="M1018" i="38"/>
  <c r="M1014" i="38"/>
  <c r="M1010" i="38"/>
  <c r="M1006" i="38"/>
  <c r="M1002" i="38"/>
  <c r="M998" i="38"/>
  <c r="M994" i="38"/>
  <c r="M990" i="38"/>
  <c r="M986" i="38"/>
  <c r="M982" i="38"/>
  <c r="M978" i="38"/>
  <c r="M974" i="38"/>
  <c r="M970" i="38"/>
  <c r="M966" i="38"/>
  <c r="M962" i="38"/>
  <c r="M1033" i="38"/>
  <c r="M1029" i="38"/>
  <c r="M1025" i="38"/>
  <c r="M1021" i="38"/>
  <c r="M1017" i="38"/>
  <c r="M1013" i="38"/>
  <c r="M1009" i="38"/>
  <c r="M1005" i="38"/>
  <c r="M1001" i="38"/>
  <c r="M997" i="38"/>
  <c r="M993" i="38"/>
  <c r="M989" i="38"/>
  <c r="M985" i="38"/>
  <c r="M981" i="38"/>
  <c r="M977" i="38"/>
  <c r="M973" i="38"/>
  <c r="M969" i="38"/>
  <c r="M965" i="38"/>
  <c r="M1024" i="38"/>
  <c r="M1008" i="38"/>
  <c r="M992" i="38"/>
  <c r="M980" i="38"/>
  <c r="M971" i="38"/>
  <c r="M1023" i="38"/>
  <c r="M1007" i="38"/>
  <c r="M991" i="38"/>
  <c r="M979" i="38"/>
  <c r="M963" i="38"/>
  <c r="M1020" i="38"/>
  <c r="M1004" i="38"/>
  <c r="M988" i="38"/>
  <c r="M968" i="38"/>
  <c r="M1035" i="38"/>
  <c r="M1019" i="38"/>
  <c r="M1003" i="38"/>
  <c r="M987" i="38"/>
  <c r="M976" i="38"/>
  <c r="M1032" i="38"/>
  <c r="M1016" i="38"/>
  <c r="M1000" i="38"/>
  <c r="M975" i="38"/>
  <c r="M967" i="38"/>
  <c r="M1031" i="38"/>
  <c r="M1015" i="38"/>
  <c r="M999" i="38"/>
  <c r="M984" i="38"/>
  <c r="M1028" i="38"/>
  <c r="M1012" i="38"/>
  <c r="M996" i="38"/>
  <c r="M983" i="38"/>
  <c r="M972" i="38"/>
  <c r="M1027" i="38"/>
  <c r="M1011" i="38"/>
  <c r="M995" i="38"/>
  <c r="M964" i="38"/>
  <c r="F289" i="38"/>
  <c r="F299" i="38"/>
  <c r="F307" i="38"/>
  <c r="F315" i="38"/>
  <c r="F323" i="38"/>
  <c r="F331" i="38"/>
  <c r="F339" i="38"/>
  <c r="F347" i="38"/>
  <c r="F355" i="38"/>
  <c r="F363" i="38"/>
  <c r="F371" i="38"/>
  <c r="F380" i="38"/>
  <c r="F388" i="38"/>
  <c r="F396" i="38"/>
  <c r="F404" i="38"/>
  <c r="F412" i="38"/>
  <c r="F420" i="38"/>
  <c r="F428" i="38"/>
  <c r="F436" i="38"/>
  <c r="F444" i="38"/>
  <c r="F452" i="38"/>
  <c r="F460" i="38"/>
  <c r="F468" i="38"/>
  <c r="F476" i="38"/>
  <c r="F484" i="38"/>
  <c r="F492" i="38"/>
  <c r="F500" i="38"/>
  <c r="F508" i="38"/>
  <c r="F516" i="38"/>
  <c r="F524" i="38"/>
  <c r="F532" i="38"/>
  <c r="F540" i="38"/>
  <c r="F548" i="38"/>
  <c r="F556" i="38"/>
  <c r="F564" i="38"/>
  <c r="F572" i="38"/>
  <c r="F580" i="38"/>
  <c r="F588" i="38"/>
  <c r="F596" i="38"/>
  <c r="F604" i="38"/>
  <c r="F612" i="38"/>
  <c r="F620" i="38"/>
  <c r="F628" i="38"/>
  <c r="F636" i="38"/>
  <c r="F644" i="38"/>
  <c r="F652" i="38"/>
  <c r="F660" i="38"/>
  <c r="F668" i="38"/>
  <c r="F676" i="38"/>
  <c r="F684" i="38"/>
  <c r="F692" i="38"/>
  <c r="F700" i="38"/>
  <c r="F708" i="38"/>
  <c r="F716" i="38"/>
  <c r="F724" i="38"/>
  <c r="F732" i="38"/>
  <c r="F740" i="38"/>
  <c r="F748" i="38"/>
  <c r="F756" i="38"/>
  <c r="F764" i="38"/>
  <c r="F772" i="38"/>
  <c r="F780" i="38"/>
  <c r="F788" i="38"/>
  <c r="F796" i="38"/>
  <c r="F804" i="38"/>
  <c r="F812" i="38"/>
  <c r="F820" i="38"/>
  <c r="F828" i="38"/>
  <c r="F836" i="38"/>
  <c r="F844" i="38"/>
  <c r="F852" i="38"/>
  <c r="F860" i="38"/>
  <c r="F868" i="38"/>
  <c r="F876" i="38"/>
  <c r="F884" i="38"/>
  <c r="F892" i="38"/>
  <c r="F900" i="38"/>
  <c r="F908" i="38"/>
  <c r="F916" i="38"/>
  <c r="F924" i="38"/>
  <c r="F932" i="38"/>
  <c r="F940" i="38"/>
  <c r="F948" i="38"/>
  <c r="F956" i="38"/>
  <c r="F965" i="38"/>
  <c r="F973" i="38"/>
  <c r="F981" i="38"/>
  <c r="F989" i="38"/>
  <c r="F997" i="38"/>
  <c r="F1005" i="38"/>
  <c r="F1013" i="38"/>
  <c r="F1021" i="38"/>
  <c r="F1029" i="38"/>
  <c r="G268" i="38"/>
  <c r="G203" i="38"/>
  <c r="E36" i="16"/>
  <c r="E40" i="16"/>
  <c r="E255" i="31"/>
  <c r="AX8" i="28"/>
  <c r="E14" i="31"/>
  <c r="AF486" i="7"/>
  <c r="AF270" i="7"/>
  <c r="D850" i="29" l="1"/>
  <c r="D718" i="29"/>
  <c r="D322" i="29"/>
  <c r="D586" i="29"/>
  <c r="D102" i="29"/>
  <c r="D454" i="29"/>
  <c r="D366" i="29"/>
  <c r="D190" i="29"/>
  <c r="D498" i="29"/>
  <c r="D762" i="29"/>
  <c r="D234" i="29"/>
  <c r="D630" i="29"/>
  <c r="D410" i="29"/>
  <c r="D806" i="29"/>
  <c r="D278" i="29"/>
  <c r="D542" i="29"/>
  <c r="D674" i="29"/>
  <c r="D146" i="29"/>
  <c r="Z890" i="29"/>
  <c r="Z802" i="29"/>
  <c r="Z758" i="29"/>
  <c r="Z670" i="29"/>
  <c r="Z582" i="29"/>
  <c r="Z714" i="29"/>
  <c r="Z846" i="29"/>
  <c r="Z494" i="29"/>
  <c r="Z538" i="29"/>
  <c r="Z406" i="29"/>
  <c r="Z626" i="29"/>
  <c r="Z450" i="29"/>
  <c r="Z318" i="29"/>
  <c r="Z186" i="29"/>
  <c r="Z142" i="29"/>
  <c r="Z362" i="29"/>
  <c r="Z274" i="29"/>
  <c r="Z230" i="29"/>
  <c r="AQ97" i="9"/>
  <c r="AP97" i="9"/>
  <c r="Z98" i="29"/>
  <c r="Z54" i="29"/>
  <c r="AD20" i="33"/>
  <c r="AG12" i="33"/>
  <c r="AE12" i="33"/>
  <c r="AC12" i="33"/>
  <c r="AA12" i="33"/>
  <c r="J100" i="30"/>
  <c r="K100" i="30" s="1"/>
  <c r="AQ109" i="28"/>
  <c r="AQ108" i="28"/>
  <c r="AQ107" i="28"/>
  <c r="AQ106" i="28"/>
  <c r="AQ105" i="28"/>
  <c r="AQ104" i="28"/>
  <c r="AQ103" i="28"/>
  <c r="AQ102" i="28"/>
  <c r="AQ101" i="28"/>
  <c r="AQ100" i="28"/>
  <c r="AQ99" i="28"/>
  <c r="AQ98" i="28"/>
  <c r="AQ97" i="28"/>
  <c r="AQ96" i="28"/>
  <c r="AQ95" i="28"/>
  <c r="AQ94" i="28"/>
  <c r="AQ93" i="28"/>
  <c r="AQ92" i="28"/>
  <c r="AQ91" i="28"/>
  <c r="AQ90" i="28"/>
  <c r="AQ89" i="28"/>
  <c r="AQ88" i="28"/>
  <c r="AQ87" i="28"/>
  <c r="AQ86" i="28"/>
  <c r="AQ85" i="28"/>
  <c r="AQ84" i="28"/>
  <c r="AQ83" i="28"/>
  <c r="AQ82" i="28"/>
  <c r="AQ81" i="28"/>
  <c r="AQ80" i="28"/>
  <c r="AQ79" i="28"/>
  <c r="AQ78" i="28"/>
  <c r="AQ77" i="28"/>
  <c r="AQ76" i="28"/>
  <c r="AQ75" i="28"/>
  <c r="AQ74" i="28"/>
  <c r="AQ73" i="28"/>
  <c r="AQ72" i="28"/>
  <c r="AQ71" i="28"/>
  <c r="AQ70" i="28"/>
  <c r="AQ69" i="28"/>
  <c r="AQ68" i="28"/>
  <c r="AQ67" i="28"/>
  <c r="AQ66" i="28"/>
  <c r="AQ65" i="28"/>
  <c r="AQ64" i="28"/>
  <c r="AQ63" i="28"/>
  <c r="AQ62" i="28"/>
  <c r="AQ61" i="28"/>
  <c r="AQ60" i="28"/>
  <c r="AQ59" i="28"/>
  <c r="AQ58" i="28"/>
  <c r="AQ57" i="28"/>
  <c r="AQ56" i="28"/>
  <c r="AQ55" i="28"/>
  <c r="AQ54" i="28"/>
  <c r="AQ53" i="28"/>
  <c r="AQ52" i="28"/>
  <c r="AQ51" i="28"/>
  <c r="AQ50" i="28"/>
  <c r="AQ49" i="28"/>
  <c r="AQ48" i="28"/>
  <c r="AQ47" i="28"/>
  <c r="AQ46" i="28"/>
  <c r="AQ45" i="28"/>
  <c r="AQ44" i="28"/>
  <c r="AQ43" i="28"/>
  <c r="AQ42" i="28"/>
  <c r="AQ41" i="28"/>
  <c r="AQ40" i="28"/>
  <c r="AQ39" i="28"/>
  <c r="AQ38" i="28"/>
  <c r="AQ37" i="28"/>
  <c r="AQ36" i="28"/>
  <c r="AQ35" i="28"/>
  <c r="AQ34" i="28"/>
  <c r="AQ33" i="28"/>
  <c r="AQ32" i="28"/>
  <c r="AQ31" i="28"/>
  <c r="AQ30" i="28"/>
  <c r="AQ29" i="28"/>
  <c r="AQ28" i="28"/>
  <c r="AQ27" i="28"/>
  <c r="AQ26" i="28"/>
  <c r="AQ25" i="28"/>
  <c r="AQ24" i="28"/>
  <c r="AQ23" i="28"/>
  <c r="AQ22" i="28"/>
  <c r="AQ21" i="28"/>
  <c r="AQ20" i="28"/>
  <c r="AQ19" i="28"/>
  <c r="AQ18" i="28"/>
  <c r="AQ17" i="28"/>
  <c r="AQ16" i="28"/>
  <c r="AQ15" i="28"/>
  <c r="AQ14" i="28"/>
  <c r="AQ13" i="28"/>
  <c r="AQ12" i="28"/>
  <c r="AQ11" i="28"/>
  <c r="AQ10" i="28"/>
  <c r="K97" i="30"/>
  <c r="S26" i="10"/>
  <c r="G16" i="33" s="1"/>
  <c r="S279" i="38"/>
  <c r="A279" i="38"/>
  <c r="S8" i="38"/>
  <c r="R8" i="38"/>
  <c r="A8" i="38"/>
  <c r="T14" i="20"/>
  <c r="S2" i="38"/>
  <c r="AS109" i="28"/>
  <c r="AS108" i="28"/>
  <c r="AS107" i="28"/>
  <c r="AS106" i="28"/>
  <c r="AY106" i="28" s="1"/>
  <c r="AS105" i="28"/>
  <c r="AS104" i="28"/>
  <c r="AS103" i="28"/>
  <c r="AS102" i="28"/>
  <c r="AS101" i="28"/>
  <c r="AS100" i="28"/>
  <c r="AS99" i="28"/>
  <c r="AS98" i="28"/>
  <c r="AS97" i="28"/>
  <c r="AS96" i="28"/>
  <c r="AS95" i="28"/>
  <c r="AS94" i="28"/>
  <c r="AS93" i="28"/>
  <c r="AS92" i="28"/>
  <c r="AS91" i="28"/>
  <c r="AS90" i="28"/>
  <c r="AY90" i="28" s="1"/>
  <c r="AS89" i="28"/>
  <c r="AS88" i="28"/>
  <c r="AS87" i="28"/>
  <c r="AS86" i="28"/>
  <c r="AS85" i="28"/>
  <c r="AS84" i="28"/>
  <c r="AS83" i="28"/>
  <c r="AS82" i="28"/>
  <c r="AS81" i="28"/>
  <c r="AS80" i="28"/>
  <c r="AS79" i="28"/>
  <c r="AS78" i="28"/>
  <c r="AS77" i="28"/>
  <c r="AS76" i="28"/>
  <c r="AS75" i="28"/>
  <c r="AS74" i="28"/>
  <c r="AY74" i="28" s="1"/>
  <c r="AS73" i="28"/>
  <c r="AS72" i="28"/>
  <c r="AS71" i="28"/>
  <c r="AS70" i="28"/>
  <c r="AS69" i="28"/>
  <c r="AS68" i="28"/>
  <c r="AS67" i="28"/>
  <c r="AS66" i="28"/>
  <c r="AS65" i="28"/>
  <c r="AS64" i="28"/>
  <c r="AS63" i="28"/>
  <c r="AS62" i="28"/>
  <c r="AS61" i="28"/>
  <c r="AS60" i="28"/>
  <c r="AS59" i="28"/>
  <c r="AS58" i="28"/>
  <c r="AY58" i="28" s="1"/>
  <c r="AS57" i="28"/>
  <c r="AS56" i="28"/>
  <c r="AS55" i="28"/>
  <c r="AS54" i="28"/>
  <c r="AS53" i="28"/>
  <c r="AS52" i="28"/>
  <c r="AS51" i="28"/>
  <c r="AS50" i="28"/>
  <c r="AS49" i="28"/>
  <c r="AS48" i="28"/>
  <c r="AS47" i="28"/>
  <c r="AS46" i="28"/>
  <c r="AS45" i="28"/>
  <c r="AS44" i="28"/>
  <c r="AS43" i="28"/>
  <c r="AS42" i="28"/>
  <c r="AY42" i="28" s="1"/>
  <c r="AS41" i="28"/>
  <c r="AS40" i="28"/>
  <c r="AS39" i="28"/>
  <c r="AS38" i="28"/>
  <c r="AS37" i="28"/>
  <c r="AS36" i="28"/>
  <c r="AS35" i="28"/>
  <c r="AS34" i="28"/>
  <c r="AS33" i="28"/>
  <c r="AS32" i="28"/>
  <c r="AS31" i="28"/>
  <c r="AS30" i="28"/>
  <c r="AS29" i="28"/>
  <c r="AS28" i="28"/>
  <c r="AS27" i="28"/>
  <c r="AS26" i="28"/>
  <c r="AY26" i="28" s="1"/>
  <c r="AS25" i="28"/>
  <c r="AS24" i="28"/>
  <c r="AS23" i="28"/>
  <c r="AS22" i="28"/>
  <c r="AS21" i="28"/>
  <c r="AS20" i="28"/>
  <c r="AS19" i="28"/>
  <c r="AS18" i="28"/>
  <c r="AS17" i="28"/>
  <c r="AS16" i="28"/>
  <c r="AS15" i="28"/>
  <c r="AS13" i="28"/>
  <c r="AS12" i="28"/>
  <c r="AS11" i="28"/>
  <c r="AY62" i="28" l="1"/>
  <c r="AY78" i="28"/>
  <c r="AY30" i="28"/>
  <c r="AY94" i="28"/>
  <c r="AY46" i="28"/>
  <c r="AY18" i="28"/>
  <c r="AY34" i="28"/>
  <c r="AY50" i="28"/>
  <c r="AY66" i="28"/>
  <c r="AY82" i="28"/>
  <c r="AY98" i="28"/>
  <c r="G3" i="38"/>
  <c r="AY22" i="28"/>
  <c r="AY38" i="28"/>
  <c r="AY54" i="28"/>
  <c r="AY70" i="28"/>
  <c r="AY86" i="28"/>
  <c r="AY102" i="28"/>
  <c r="AY13" i="28"/>
  <c r="AY17" i="28"/>
  <c r="AY21" i="28"/>
  <c r="AY25" i="28"/>
  <c r="AY29" i="28"/>
  <c r="AY33" i="28"/>
  <c r="AY37" i="28"/>
  <c r="AY41" i="28"/>
  <c r="AY45" i="28"/>
  <c r="AY49" i="28"/>
  <c r="AY53" i="28"/>
  <c r="AY57" i="28"/>
  <c r="AY61" i="28"/>
  <c r="AY65" i="28"/>
  <c r="AY69" i="28"/>
  <c r="AY73" i="28"/>
  <c r="AY77" i="28"/>
  <c r="AY81" i="28"/>
  <c r="AY85" i="28"/>
  <c r="AY89" i="28"/>
  <c r="AY93" i="28"/>
  <c r="AY97" i="28"/>
  <c r="AY101" i="28"/>
  <c r="AY105" i="28"/>
  <c r="AY109" i="28"/>
  <c r="AY11" i="28"/>
  <c r="AY15" i="28"/>
  <c r="AY19" i="28"/>
  <c r="AY23" i="28"/>
  <c r="AY27" i="28"/>
  <c r="AY31" i="28"/>
  <c r="AY35" i="28"/>
  <c r="AY39" i="28"/>
  <c r="AY43" i="28"/>
  <c r="AY47" i="28"/>
  <c r="AY51" i="28"/>
  <c r="AY55" i="28"/>
  <c r="AY59" i="28"/>
  <c r="AY63" i="28"/>
  <c r="AY67" i="28"/>
  <c r="AY71" i="28"/>
  <c r="AY75" i="28"/>
  <c r="AY79" i="28"/>
  <c r="AY83" i="28"/>
  <c r="AY87" i="28"/>
  <c r="AY91" i="28"/>
  <c r="AY95" i="28"/>
  <c r="AY99" i="28"/>
  <c r="AY103" i="28"/>
  <c r="AY107" i="28"/>
  <c r="AY12" i="28"/>
  <c r="AY16" i="28"/>
  <c r="AY20" i="28"/>
  <c r="AY24" i="28"/>
  <c r="AY28" i="28"/>
  <c r="AY32" i="28"/>
  <c r="AY36" i="28"/>
  <c r="AY40" i="28"/>
  <c r="AY44" i="28"/>
  <c r="AY48" i="28"/>
  <c r="AY52" i="28"/>
  <c r="AY56" i="28"/>
  <c r="AY60" i="28"/>
  <c r="AY64" i="28"/>
  <c r="AY68" i="28"/>
  <c r="AY72" i="28"/>
  <c r="AY76" i="28"/>
  <c r="AY80" i="28"/>
  <c r="AY84" i="28"/>
  <c r="AY88" i="28"/>
  <c r="AY92" i="28"/>
  <c r="AY96" i="28"/>
  <c r="AY100" i="28"/>
  <c r="AY104" i="28"/>
  <c r="AY108" i="28"/>
  <c r="R41" i="16" l="1"/>
  <c r="R40" i="16"/>
  <c r="X41" i="16"/>
  <c r="G32" i="16" l="1"/>
  <c r="I26" i="30" l="1"/>
  <c r="I64" i="30"/>
  <c r="I79" i="30"/>
  <c r="L75" i="30"/>
  <c r="J75" i="30"/>
  <c r="M60" i="30"/>
  <c r="L60" i="30"/>
  <c r="K60" i="30"/>
  <c r="J60" i="30"/>
  <c r="I54" i="30"/>
  <c r="L48" i="30"/>
  <c r="J48" i="30"/>
  <c r="M20" i="30"/>
  <c r="L20" i="30"/>
  <c r="K20" i="30"/>
  <c r="J20" i="30"/>
  <c r="R125" i="33" l="1"/>
  <c r="R124" i="33"/>
  <c r="R123" i="33"/>
  <c r="R122" i="33"/>
  <c r="R121" i="33"/>
  <c r="R120" i="33"/>
  <c r="R119" i="33"/>
  <c r="R118" i="33"/>
  <c r="R117" i="33"/>
  <c r="R116" i="33"/>
  <c r="R115" i="33"/>
  <c r="R114" i="33"/>
  <c r="R113" i="33"/>
  <c r="R112" i="33"/>
  <c r="R111" i="33"/>
  <c r="R110" i="33"/>
  <c r="R109" i="33"/>
  <c r="R108" i="33"/>
  <c r="R107" i="33"/>
  <c r="R106" i="33"/>
  <c r="R105" i="33"/>
  <c r="R104" i="33"/>
  <c r="R103" i="33"/>
  <c r="R102" i="33"/>
  <c r="R101" i="33"/>
  <c r="R100" i="33"/>
  <c r="R99" i="33"/>
  <c r="R98" i="33"/>
  <c r="R97" i="33"/>
  <c r="R96" i="33"/>
  <c r="R95" i="33"/>
  <c r="R94" i="33"/>
  <c r="R93" i="33"/>
  <c r="R92" i="33"/>
  <c r="R91" i="33"/>
  <c r="R90" i="33"/>
  <c r="R89" i="33"/>
  <c r="R88" i="33"/>
  <c r="R87" i="33"/>
  <c r="R86" i="33"/>
  <c r="R85" i="33"/>
  <c r="R84" i="33"/>
  <c r="R83" i="33"/>
  <c r="R82" i="33"/>
  <c r="R81" i="33"/>
  <c r="R80" i="33"/>
  <c r="R79" i="33"/>
  <c r="R78" i="33"/>
  <c r="R77" i="33"/>
  <c r="R76" i="33"/>
  <c r="R75" i="33"/>
  <c r="R74" i="33"/>
  <c r="R73" i="33"/>
  <c r="R72" i="33"/>
  <c r="R71" i="33"/>
  <c r="R70" i="33"/>
  <c r="R69" i="33"/>
  <c r="R68" i="33"/>
  <c r="R67" i="33"/>
  <c r="R66" i="33"/>
  <c r="R65" i="33"/>
  <c r="R64" i="33"/>
  <c r="R63" i="33"/>
  <c r="R62" i="33"/>
  <c r="R61" i="33"/>
  <c r="R60" i="33"/>
  <c r="R59" i="33"/>
  <c r="R58" i="33"/>
  <c r="R57" i="33"/>
  <c r="R56" i="33"/>
  <c r="R55" i="33"/>
  <c r="R54" i="33"/>
  <c r="R53" i="33"/>
  <c r="R52" i="33"/>
  <c r="R51" i="33"/>
  <c r="R50" i="33"/>
  <c r="R49" i="33"/>
  <c r="R48" i="33"/>
  <c r="R47" i="33"/>
  <c r="R46" i="33"/>
  <c r="R45" i="33"/>
  <c r="R44" i="33"/>
  <c r="R43" i="33"/>
  <c r="R42" i="33"/>
  <c r="R41" i="33"/>
  <c r="R40" i="33"/>
  <c r="R39" i="33"/>
  <c r="R38" i="33"/>
  <c r="R37" i="33"/>
  <c r="R36" i="33"/>
  <c r="R35" i="33"/>
  <c r="R34" i="33"/>
  <c r="R33" i="33"/>
  <c r="R32" i="33"/>
  <c r="R31" i="33"/>
  <c r="R30" i="33"/>
  <c r="R29" i="33"/>
  <c r="R28" i="33"/>
  <c r="R27" i="33"/>
  <c r="R26" i="33"/>
  <c r="D80" i="7"/>
  <c r="D79" i="7"/>
  <c r="D78" i="7"/>
  <c r="D77" i="7"/>
  <c r="D76" i="7"/>
  <c r="D75" i="7"/>
  <c r="D74" i="7"/>
  <c r="D73" i="7"/>
  <c r="D72" i="7"/>
  <c r="D71" i="7"/>
  <c r="R42" i="16"/>
  <c r="I3" i="38"/>
  <c r="E158" i="31" l="1"/>
  <c r="AF162" i="7"/>
  <c r="E63" i="31"/>
  <c r="K17" i="16"/>
  <c r="J17" i="16"/>
  <c r="I17" i="16"/>
  <c r="G2" i="33"/>
  <c r="H2" i="33"/>
  <c r="BJ15" i="9" l="1"/>
  <c r="BU15" i="9"/>
  <c r="BH15" i="9"/>
  <c r="AX15" i="9"/>
  <c r="M15" i="9"/>
  <c r="BF15" i="9"/>
  <c r="BS15" i="9"/>
  <c r="BD15" i="9"/>
  <c r="AY15" i="9"/>
  <c r="AY14" i="9"/>
  <c r="BI14" i="9"/>
  <c r="BF14" i="9"/>
  <c r="AX14" i="9"/>
  <c r="BE14" i="9"/>
  <c r="BT14" i="9"/>
  <c r="M14" i="9"/>
  <c r="BU14" i="9"/>
  <c r="BJ14" i="9"/>
  <c r="BS16" i="9"/>
  <c r="BT16" i="9"/>
  <c r="BD16" i="9"/>
  <c r="M16" i="9"/>
  <c r="BJ16" i="9"/>
  <c r="BI16" i="9"/>
  <c r="BH16" i="9"/>
  <c r="AY16" i="9"/>
  <c r="BF16" i="9"/>
  <c r="AX16" i="9"/>
  <c r="BU16" i="9"/>
  <c r="BE16" i="9"/>
  <c r="AG91" i="10"/>
  <c r="AG90" i="10"/>
  <c r="BS20" i="9"/>
  <c r="BS23" i="9"/>
  <c r="BH26" i="9"/>
  <c r="BD28" i="9"/>
  <c r="BS30" i="9"/>
  <c r="BH33" i="9"/>
  <c r="BS37" i="9"/>
  <c r="BD39" i="9"/>
  <c r="BD18" i="9"/>
  <c r="BD21" i="9"/>
  <c r="BH22" i="9"/>
  <c r="BD24" i="9"/>
  <c r="BS26" i="9"/>
  <c r="BH29" i="9"/>
  <c r="BS33" i="9"/>
  <c r="BD35" i="9"/>
  <c r="BH36" i="9"/>
  <c r="BH19" i="9"/>
  <c r="BS22" i="9"/>
  <c r="BH25" i="9"/>
  <c r="BS29" i="9"/>
  <c r="BS19" i="9"/>
  <c r="BS25" i="9"/>
  <c r="BD27" i="9"/>
  <c r="BH28" i="9"/>
  <c r="BS32" i="9"/>
  <c r="BD34" i="9"/>
  <c r="BH39" i="9"/>
  <c r="BD22" i="9"/>
  <c r="BH27" i="9"/>
  <c r="BD29" i="9"/>
  <c r="BS31" i="9"/>
  <c r="BH34" i="9"/>
  <c r="BD36" i="9"/>
  <c r="BS38" i="9"/>
  <c r="BH18" i="9"/>
  <c r="BH20" i="9"/>
  <c r="BH23" i="9"/>
  <c r="BD38" i="9"/>
  <c r="BD41" i="9"/>
  <c r="BS43" i="9"/>
  <c r="BH46" i="9"/>
  <c r="BD48" i="9"/>
  <c r="BS50" i="9"/>
  <c r="BH53" i="9"/>
  <c r="BS57" i="9"/>
  <c r="BD59" i="9"/>
  <c r="BH60" i="9"/>
  <c r="BS64" i="9"/>
  <c r="BD66" i="9"/>
  <c r="BH67" i="9"/>
  <c r="BD69" i="9"/>
  <c r="BD72" i="9"/>
  <c r="BD37" i="9"/>
  <c r="BH42" i="9"/>
  <c r="BD44" i="9"/>
  <c r="BS46" i="9"/>
  <c r="BH49" i="9"/>
  <c r="BS53" i="9"/>
  <c r="BD55" i="9"/>
  <c r="BH56" i="9"/>
  <c r="BS60" i="9"/>
  <c r="BD62" i="9"/>
  <c r="BS67" i="9"/>
  <c r="BH70" i="9"/>
  <c r="BD26" i="9"/>
  <c r="BS27" i="9"/>
  <c r="BD31" i="9"/>
  <c r="BS36" i="9"/>
  <c r="BH38" i="9"/>
  <c r="BS42" i="9"/>
  <c r="BH45" i="9"/>
  <c r="BS49" i="9"/>
  <c r="BD51" i="9"/>
  <c r="BH52" i="9"/>
  <c r="BS56" i="9"/>
  <c r="BD58" i="9"/>
  <c r="BH63" i="9"/>
  <c r="BD65" i="9"/>
  <c r="BD68" i="9"/>
  <c r="BS70" i="9"/>
  <c r="BS21" i="9"/>
  <c r="BS24" i="9"/>
  <c r="BD25" i="9"/>
  <c r="BD30" i="9"/>
  <c r="BD32" i="9"/>
  <c r="BD33" i="9"/>
  <c r="BH37" i="9"/>
  <c r="BS39" i="9"/>
  <c r="BD40" i="9"/>
  <c r="BH41" i="9"/>
  <c r="BS45" i="9"/>
  <c r="BD47" i="9"/>
  <c r="BH48" i="9"/>
  <c r="BS52" i="9"/>
  <c r="BD54" i="9"/>
  <c r="BH59" i="9"/>
  <c r="BD61" i="9"/>
  <c r="BS63" i="9"/>
  <c r="BH66" i="9"/>
  <c r="BH69" i="9"/>
  <c r="BD71" i="9"/>
  <c r="BH72" i="9"/>
  <c r="BD20" i="9"/>
  <c r="BD23" i="9"/>
  <c r="BS40" i="9"/>
  <c r="BD42" i="9"/>
  <c r="BH47" i="9"/>
  <c r="BD49" i="9"/>
  <c r="BS51" i="9"/>
  <c r="BH54" i="9"/>
  <c r="BD56" i="9"/>
  <c r="BS58" i="9"/>
  <c r="BH61" i="9"/>
  <c r="BD43" i="9"/>
  <c r="BH55" i="9"/>
  <c r="BS76" i="9"/>
  <c r="BD78" i="9"/>
  <c r="BH83" i="9"/>
  <c r="BD85" i="9"/>
  <c r="BS87" i="9"/>
  <c r="BH90" i="9"/>
  <c r="BD64" i="9"/>
  <c r="BS72" i="9"/>
  <c r="BH82" i="9"/>
  <c r="BS86" i="9"/>
  <c r="BD91" i="9"/>
  <c r="BH17" i="9"/>
  <c r="BH81" i="9"/>
  <c r="BS85" i="9"/>
  <c r="BH88" i="9"/>
  <c r="BH24" i="9"/>
  <c r="BH30" i="9"/>
  <c r="BS35" i="9"/>
  <c r="BS48" i="9"/>
  <c r="BD52" i="9"/>
  <c r="BD53" i="9"/>
  <c r="BS54" i="9"/>
  <c r="BH58" i="9"/>
  <c r="BD74" i="9"/>
  <c r="BH79" i="9"/>
  <c r="BD81" i="9"/>
  <c r="BS83" i="9"/>
  <c r="BH86" i="9"/>
  <c r="BD88" i="9"/>
  <c r="BS90" i="9"/>
  <c r="BS17" i="9"/>
  <c r="BD57" i="9"/>
  <c r="BH75" i="9"/>
  <c r="BD77" i="9"/>
  <c r="BS79" i="9"/>
  <c r="BD84" i="9"/>
  <c r="BH89" i="9"/>
  <c r="BH65" i="9"/>
  <c r="BS66" i="9"/>
  <c r="BH68" i="9"/>
  <c r="BD70" i="9"/>
  <c r="BH71" i="9"/>
  <c r="BD76" i="9"/>
  <c r="BS78" i="9"/>
  <c r="BD87" i="9"/>
  <c r="BH32" i="9"/>
  <c r="BH43" i="9"/>
  <c r="BH35" i="9"/>
  <c r="BH51" i="9"/>
  <c r="BD63" i="9"/>
  <c r="BD73" i="9"/>
  <c r="BS75" i="9"/>
  <c r="BH78" i="9"/>
  <c r="BD80" i="9"/>
  <c r="BS82" i="9"/>
  <c r="BH85" i="9"/>
  <c r="BS89" i="9"/>
  <c r="BD17" i="9"/>
  <c r="BS34" i="9"/>
  <c r="BS41" i="9"/>
  <c r="BD46" i="9"/>
  <c r="BS47" i="9"/>
  <c r="BD50" i="9"/>
  <c r="BH57" i="9"/>
  <c r="BS62" i="9"/>
  <c r="BD67" i="9"/>
  <c r="BS69" i="9"/>
  <c r="BS71" i="9"/>
  <c r="BH74" i="9"/>
  <c r="BD19" i="9"/>
  <c r="BS59" i="9"/>
  <c r="BS74" i="9"/>
  <c r="BD75" i="9"/>
  <c r="BH80" i="9"/>
  <c r="BS80" i="9"/>
  <c r="BH87" i="9"/>
  <c r="BH91" i="9"/>
  <c r="BS91" i="9"/>
  <c r="BH62" i="9"/>
  <c r="BH84" i="9"/>
  <c r="BS77" i="9"/>
  <c r="BS65" i="9"/>
  <c r="BH21" i="9"/>
  <c r="BS68" i="9"/>
  <c r="BD86" i="9"/>
  <c r="BD90" i="9"/>
  <c r="BH40" i="9"/>
  <c r="BS88" i="9"/>
  <c r="BH77" i="9"/>
  <c r="BH31" i="9"/>
  <c r="BS44" i="9"/>
  <c r="BD45" i="9"/>
  <c r="BH73" i="9"/>
  <c r="BS73" i="9"/>
  <c r="BD79" i="9"/>
  <c r="BH44" i="9"/>
  <c r="BH64" i="9"/>
  <c r="BS84" i="9"/>
  <c r="BD89" i="9"/>
  <c r="BD83" i="9"/>
  <c r="BS81" i="9"/>
  <c r="BH76" i="9"/>
  <c r="BS28" i="9"/>
  <c r="BS55" i="9"/>
  <c r="BS61" i="9"/>
  <c r="BS18" i="9"/>
  <c r="BH50" i="9"/>
  <c r="BD60" i="9"/>
  <c r="BD82" i="9"/>
  <c r="BE19" i="9"/>
  <c r="BI20" i="9"/>
  <c r="BI23" i="9"/>
  <c r="BE25" i="9"/>
  <c r="BT27" i="9"/>
  <c r="BI30" i="9"/>
  <c r="BE32" i="9"/>
  <c r="BT34" i="9"/>
  <c r="BI37" i="9"/>
  <c r="BT20" i="9"/>
  <c r="BT23" i="9"/>
  <c r="BI26" i="9"/>
  <c r="BE28" i="9"/>
  <c r="BT30" i="9"/>
  <c r="BI33" i="9"/>
  <c r="BT37" i="9"/>
  <c r="BE39" i="9"/>
  <c r="BE18" i="9"/>
  <c r="BE21" i="9"/>
  <c r="BI22" i="9"/>
  <c r="BE24" i="9"/>
  <c r="BT26" i="9"/>
  <c r="BI29" i="9"/>
  <c r="BI19" i="9"/>
  <c r="BT22" i="9"/>
  <c r="BI25" i="9"/>
  <c r="BT29" i="9"/>
  <c r="BE31" i="9"/>
  <c r="BI32" i="9"/>
  <c r="BT36" i="9"/>
  <c r="BE38" i="9"/>
  <c r="BT18" i="9"/>
  <c r="BT21" i="9"/>
  <c r="BT24" i="9"/>
  <c r="BE26" i="9"/>
  <c r="BI31" i="9"/>
  <c r="BE33" i="9"/>
  <c r="BT35" i="9"/>
  <c r="BI38" i="9"/>
  <c r="BE40" i="9"/>
  <c r="BI28" i="9"/>
  <c r="BT28" i="9"/>
  <c r="BI43" i="9"/>
  <c r="BE45" i="9"/>
  <c r="BT47" i="9"/>
  <c r="BI50" i="9"/>
  <c r="BE52" i="9"/>
  <c r="BT54" i="9"/>
  <c r="BI57" i="9"/>
  <c r="BT61" i="9"/>
  <c r="BE63" i="9"/>
  <c r="BI64" i="9"/>
  <c r="BT71" i="9"/>
  <c r="BI18" i="9"/>
  <c r="BE27" i="9"/>
  <c r="BE41" i="9"/>
  <c r="BT43" i="9"/>
  <c r="BI46" i="9"/>
  <c r="BE48" i="9"/>
  <c r="BT50" i="9"/>
  <c r="BI53" i="9"/>
  <c r="BT57" i="9"/>
  <c r="BE59" i="9"/>
  <c r="BI60" i="9"/>
  <c r="BT64" i="9"/>
  <c r="BE66" i="9"/>
  <c r="BI67" i="9"/>
  <c r="BE69" i="9"/>
  <c r="BE22" i="9"/>
  <c r="BT25" i="9"/>
  <c r="BE37" i="9"/>
  <c r="BT38" i="9"/>
  <c r="BI42" i="9"/>
  <c r="BE44" i="9"/>
  <c r="BT46" i="9"/>
  <c r="BI49" i="9"/>
  <c r="BT53" i="9"/>
  <c r="BE55" i="9"/>
  <c r="BI56" i="9"/>
  <c r="BT60" i="9"/>
  <c r="BE62" i="9"/>
  <c r="BT67" i="9"/>
  <c r="BI70" i="9"/>
  <c r="BI27" i="9"/>
  <c r="BT32" i="9"/>
  <c r="BE36" i="9"/>
  <c r="BI39" i="9"/>
  <c r="BT42" i="9"/>
  <c r="BI45" i="9"/>
  <c r="BT49" i="9"/>
  <c r="BE51" i="9"/>
  <c r="BI52" i="9"/>
  <c r="BT56" i="9"/>
  <c r="BE58" i="9"/>
  <c r="BI63" i="9"/>
  <c r="BE65" i="9"/>
  <c r="BE68" i="9"/>
  <c r="BT70" i="9"/>
  <c r="BT19" i="9"/>
  <c r="BI34" i="9"/>
  <c r="BI35" i="9"/>
  <c r="BI40" i="9"/>
  <c r="BT44" i="9"/>
  <c r="BE46" i="9"/>
  <c r="BI51" i="9"/>
  <c r="BE53" i="9"/>
  <c r="BT55" i="9"/>
  <c r="BI58" i="9"/>
  <c r="BE60" i="9"/>
  <c r="BT62" i="9"/>
  <c r="BE30" i="9"/>
  <c r="BI36" i="9"/>
  <c r="BE49" i="9"/>
  <c r="BT52" i="9"/>
  <c r="BE54" i="9"/>
  <c r="BI59" i="9"/>
  <c r="BT59" i="9"/>
  <c r="BT73" i="9"/>
  <c r="BE75" i="9"/>
  <c r="BI76" i="9"/>
  <c r="BT80" i="9"/>
  <c r="BE82" i="9"/>
  <c r="BI87" i="9"/>
  <c r="BE89" i="9"/>
  <c r="BE17" i="9"/>
  <c r="BT48" i="9"/>
  <c r="BE71" i="9"/>
  <c r="BE74" i="9"/>
  <c r="BI79" i="9"/>
  <c r="BT83" i="9"/>
  <c r="BI86" i="9"/>
  <c r="BE88" i="9"/>
  <c r="BI78" i="9"/>
  <c r="BT89" i="9"/>
  <c r="BE43" i="9"/>
  <c r="BI55" i="9"/>
  <c r="BT58" i="9"/>
  <c r="BT76" i="9"/>
  <c r="BE78" i="9"/>
  <c r="BI83" i="9"/>
  <c r="BE85" i="9"/>
  <c r="BT87" i="9"/>
  <c r="BI90" i="9"/>
  <c r="BI48" i="9"/>
  <c r="BI54" i="9"/>
  <c r="BT63" i="9"/>
  <c r="BE72" i="9"/>
  <c r="BE81" i="9"/>
  <c r="BT90" i="9"/>
  <c r="BE80" i="9"/>
  <c r="BT82" i="9"/>
  <c r="BI85" i="9"/>
  <c r="BE20" i="9"/>
  <c r="BI24" i="9"/>
  <c r="BE35" i="9"/>
  <c r="BE47" i="9"/>
  <c r="BT51" i="9"/>
  <c r="BE57" i="9"/>
  <c r="BE64" i="9"/>
  <c r="BI72" i="9"/>
  <c r="BT72" i="9"/>
  <c r="BI75" i="9"/>
  <c r="BE77" i="9"/>
  <c r="BT79" i="9"/>
  <c r="BI82" i="9"/>
  <c r="BE84" i="9"/>
  <c r="BT86" i="9"/>
  <c r="BI89" i="9"/>
  <c r="BE91" i="9"/>
  <c r="BE29" i="9"/>
  <c r="BT31" i="9"/>
  <c r="BE42" i="9"/>
  <c r="BT45" i="9"/>
  <c r="BE73" i="9"/>
  <c r="BT75" i="9"/>
  <c r="BE23" i="9"/>
  <c r="BT41" i="9"/>
  <c r="BI65" i="9"/>
  <c r="BT65" i="9"/>
  <c r="BT69" i="9"/>
  <c r="BI91" i="9"/>
  <c r="BT17" i="9"/>
  <c r="BI84" i="9"/>
  <c r="BI88" i="9"/>
  <c r="BE70" i="9"/>
  <c r="BT81" i="9"/>
  <c r="BI41" i="9"/>
  <c r="BI69" i="9"/>
  <c r="BI74" i="9"/>
  <c r="BT74" i="9"/>
  <c r="BI80" i="9"/>
  <c r="BT85" i="9"/>
  <c r="BT91" i="9"/>
  <c r="BE86" i="9"/>
  <c r="BE90" i="9"/>
  <c r="BT33" i="9"/>
  <c r="BI71" i="9"/>
  <c r="BE79" i="9"/>
  <c r="BT84" i="9"/>
  <c r="BI17" i="9"/>
  <c r="BE87" i="9"/>
  <c r="BI66" i="9"/>
  <c r="BI81" i="9"/>
  <c r="BI21" i="9"/>
  <c r="BE34" i="9"/>
  <c r="BT40" i="9"/>
  <c r="BE56" i="9"/>
  <c r="BI68" i="9"/>
  <c r="BT68" i="9"/>
  <c r="BT78" i="9"/>
  <c r="BI73" i="9"/>
  <c r="BT88" i="9"/>
  <c r="BT39" i="9"/>
  <c r="BI44" i="9"/>
  <c r="BE61" i="9"/>
  <c r="BI62" i="9"/>
  <c r="BI47" i="9"/>
  <c r="BE50" i="9"/>
  <c r="BE67" i="9"/>
  <c r="BE76" i="9"/>
  <c r="BI77" i="9"/>
  <c r="BT77" i="9"/>
  <c r="BE83" i="9"/>
  <c r="BI61" i="9"/>
  <c r="BT66" i="9"/>
  <c r="M17" i="9"/>
  <c r="BF22" i="9"/>
  <c r="BJ27" i="9"/>
  <c r="M29" i="9"/>
  <c r="BF29" i="9"/>
  <c r="BU31" i="9"/>
  <c r="BJ34" i="9"/>
  <c r="BF36" i="9"/>
  <c r="BU38" i="9"/>
  <c r="M19" i="9"/>
  <c r="BF19" i="9"/>
  <c r="BJ20" i="9"/>
  <c r="M22" i="9"/>
  <c r="BJ23" i="9"/>
  <c r="M25" i="9"/>
  <c r="BF25" i="9"/>
  <c r="BU27" i="9"/>
  <c r="BJ30" i="9"/>
  <c r="BF32" i="9"/>
  <c r="BU34" i="9"/>
  <c r="M36" i="9"/>
  <c r="BJ37" i="9"/>
  <c r="BU20" i="9"/>
  <c r="BU23" i="9"/>
  <c r="BJ26" i="9"/>
  <c r="BF28" i="9"/>
  <c r="BF18" i="9"/>
  <c r="BF21" i="9"/>
  <c r="BJ22" i="9"/>
  <c r="BF24" i="9"/>
  <c r="BU26" i="9"/>
  <c r="M28" i="9"/>
  <c r="BJ29" i="9"/>
  <c r="BU33" i="9"/>
  <c r="M35" i="9"/>
  <c r="BF35" i="9"/>
  <c r="BJ36" i="9"/>
  <c r="BJ18" i="9"/>
  <c r="BF20" i="9"/>
  <c r="BJ21" i="9"/>
  <c r="M23" i="9"/>
  <c r="BF23" i="9"/>
  <c r="BJ24" i="9"/>
  <c r="BU28" i="9"/>
  <c r="M30" i="9"/>
  <c r="BF30" i="9"/>
  <c r="BJ35" i="9"/>
  <c r="M37" i="9"/>
  <c r="BF37" i="9"/>
  <c r="BU39" i="9"/>
  <c r="BU18" i="9"/>
  <c r="BJ19" i="9"/>
  <c r="BU22" i="9"/>
  <c r="BU40" i="9"/>
  <c r="M42" i="9"/>
  <c r="BF42" i="9"/>
  <c r="BJ47" i="9"/>
  <c r="M49" i="9"/>
  <c r="BF49" i="9"/>
  <c r="BU51" i="9"/>
  <c r="BJ54" i="9"/>
  <c r="BF56" i="9"/>
  <c r="BU58" i="9"/>
  <c r="M60" i="9"/>
  <c r="BJ61" i="9"/>
  <c r="BU65" i="9"/>
  <c r="M67" i="9"/>
  <c r="BU68" i="9"/>
  <c r="M70" i="9"/>
  <c r="BF70" i="9"/>
  <c r="BJ71" i="9"/>
  <c r="M20" i="9"/>
  <c r="BJ28" i="9"/>
  <c r="BU37" i="9"/>
  <c r="BF38" i="9"/>
  <c r="BJ43" i="9"/>
  <c r="M45" i="9"/>
  <c r="BF45" i="9"/>
  <c r="BU47" i="9"/>
  <c r="BJ50" i="9"/>
  <c r="BF52" i="9"/>
  <c r="BU54" i="9"/>
  <c r="M56" i="9"/>
  <c r="BJ57" i="9"/>
  <c r="BU61" i="9"/>
  <c r="M63" i="9"/>
  <c r="BF63" i="9"/>
  <c r="BJ64" i="9"/>
  <c r="BU71" i="9"/>
  <c r="BF27" i="9"/>
  <c r="BF39" i="9"/>
  <c r="M41" i="9"/>
  <c r="BF41" i="9"/>
  <c r="BU43" i="9"/>
  <c r="BJ46" i="9"/>
  <c r="BF48" i="9"/>
  <c r="BU50" i="9"/>
  <c r="M52" i="9"/>
  <c r="BJ53" i="9"/>
  <c r="BU57" i="9"/>
  <c r="M59" i="9"/>
  <c r="BF59" i="9"/>
  <c r="BJ60" i="9"/>
  <c r="BU64" i="9"/>
  <c r="M66" i="9"/>
  <c r="BF66" i="9"/>
  <c r="BJ67" i="9"/>
  <c r="M69" i="9"/>
  <c r="BF69" i="9"/>
  <c r="BF72" i="9"/>
  <c r="M18" i="9"/>
  <c r="BU25" i="9"/>
  <c r="BF26" i="9"/>
  <c r="M27" i="9"/>
  <c r="BU30" i="9"/>
  <c r="BF31" i="9"/>
  <c r="BU36" i="9"/>
  <c r="M38" i="9"/>
  <c r="BJ38" i="9"/>
  <c r="BJ42" i="9"/>
  <c r="BF44" i="9"/>
  <c r="BU46" i="9"/>
  <c r="M48" i="9"/>
  <c r="BJ49" i="9"/>
  <c r="BU53" i="9"/>
  <c r="M55" i="9"/>
  <c r="BF55" i="9"/>
  <c r="BJ56" i="9"/>
  <c r="BU60" i="9"/>
  <c r="M62" i="9"/>
  <c r="BF62" i="9"/>
  <c r="BU67" i="9"/>
  <c r="BJ70" i="9"/>
  <c r="M72" i="9"/>
  <c r="M32" i="9"/>
  <c r="M33" i="9"/>
  <c r="M34" i="9"/>
  <c r="M40" i="9"/>
  <c r="BU41" i="9"/>
  <c r="M43" i="9"/>
  <c r="BF43" i="9"/>
  <c r="BJ44" i="9"/>
  <c r="BU48" i="9"/>
  <c r="M50" i="9"/>
  <c r="BF50" i="9"/>
  <c r="BJ55" i="9"/>
  <c r="M57" i="9"/>
  <c r="BF57" i="9"/>
  <c r="BU59" i="9"/>
  <c r="BJ62" i="9"/>
  <c r="BU24" i="9"/>
  <c r="M31" i="9"/>
  <c r="BJ33" i="9"/>
  <c r="BU55" i="9"/>
  <c r="BF58" i="9"/>
  <c r="BJ73" i="9"/>
  <c r="BU77" i="9"/>
  <c r="M79" i="9"/>
  <c r="BF79" i="9"/>
  <c r="BJ80" i="9"/>
  <c r="BU84" i="9"/>
  <c r="M86" i="9"/>
  <c r="BF86" i="9"/>
  <c r="BU91" i="9"/>
  <c r="BF51" i="9"/>
  <c r="BJ52" i="9"/>
  <c r="M54" i="9"/>
  <c r="BJ58" i="9"/>
  <c r="BF78" i="9"/>
  <c r="BF85" i="9"/>
  <c r="BJ90" i="9"/>
  <c r="BJ17" i="9"/>
  <c r="BJ72" i="9"/>
  <c r="BJ75" i="9"/>
  <c r="BU79" i="9"/>
  <c r="BJ82" i="9"/>
  <c r="BU86" i="9"/>
  <c r="BF91" i="9"/>
  <c r="BU17" i="9"/>
  <c r="M21" i="9"/>
  <c r="BU32" i="9"/>
  <c r="BJ39" i="9"/>
  <c r="M44" i="9"/>
  <c r="BU52" i="9"/>
  <c r="BF54" i="9"/>
  <c r="BJ59" i="9"/>
  <c r="BU73" i="9"/>
  <c r="M75" i="9"/>
  <c r="BF75" i="9"/>
  <c r="BJ76" i="9"/>
  <c r="BU80" i="9"/>
  <c r="M82" i="9"/>
  <c r="BF82" i="9"/>
  <c r="BJ87" i="9"/>
  <c r="M89" i="9"/>
  <c r="BF89" i="9"/>
  <c r="BF53" i="9"/>
  <c r="BU76" i="9"/>
  <c r="M78" i="9"/>
  <c r="BJ83" i="9"/>
  <c r="M85" i="9"/>
  <c r="BU87" i="9"/>
  <c r="BU56" i="9"/>
  <c r="BU72" i="9"/>
  <c r="BF77" i="9"/>
  <c r="BF84" i="9"/>
  <c r="M88" i="9"/>
  <c r="BJ89" i="9"/>
  <c r="BU29" i="9"/>
  <c r="BU35" i="9"/>
  <c r="BU42" i="9"/>
  <c r="BJ32" i="9"/>
  <c r="M39" i="9"/>
  <c r="BJ48" i="9"/>
  <c r="M53" i="9"/>
  <c r="M58" i="9"/>
  <c r="BU63" i="9"/>
  <c r="BF65" i="9"/>
  <c r="BF68" i="9"/>
  <c r="BU70" i="9"/>
  <c r="BF71" i="9"/>
  <c r="M74" i="9"/>
  <c r="BF74" i="9"/>
  <c r="BJ79" i="9"/>
  <c r="M81" i="9"/>
  <c r="BF81" i="9"/>
  <c r="BU83" i="9"/>
  <c r="BJ86" i="9"/>
  <c r="BF88" i="9"/>
  <c r="BU90" i="9"/>
  <c r="BF17" i="9"/>
  <c r="BU19" i="9"/>
  <c r="M24" i="9"/>
  <c r="BF47" i="9"/>
  <c r="BJ51" i="9"/>
  <c r="BJ63" i="9"/>
  <c r="BF64" i="9"/>
  <c r="M77" i="9"/>
  <c r="BU21" i="9"/>
  <c r="BJ31" i="9"/>
  <c r="BF46" i="9"/>
  <c r="BJ66" i="9"/>
  <c r="M76" i="9"/>
  <c r="BJ81" i="9"/>
  <c r="BU81" i="9"/>
  <c r="BJ91" i="9"/>
  <c r="BJ45" i="9"/>
  <c r="BJ68" i="9"/>
  <c r="M90" i="9"/>
  <c r="M83" i="9"/>
  <c r="M47" i="9"/>
  <c r="BF80" i="9"/>
  <c r="BU45" i="9"/>
  <c r="BJ65" i="9"/>
  <c r="BU69" i="9"/>
  <c r="BF73" i="9"/>
  <c r="M87" i="9"/>
  <c r="BU89" i="9"/>
  <c r="BF34" i="9"/>
  <c r="BU44" i="9"/>
  <c r="BJ85" i="9"/>
  <c r="BF90" i="9"/>
  <c r="BF83" i="9"/>
  <c r="BU49" i="9"/>
  <c r="BF87" i="9"/>
  <c r="BF40" i="9"/>
  <c r="BJ41" i="9"/>
  <c r="BU62" i="9"/>
  <c r="M65" i="9"/>
  <c r="BJ69" i="9"/>
  <c r="BJ74" i="9"/>
  <c r="BU74" i="9"/>
  <c r="M80" i="9"/>
  <c r="BU85" i="9"/>
  <c r="M46" i="9"/>
  <c r="BU78" i="9"/>
  <c r="M91" i="9"/>
  <c r="M73" i="9"/>
  <c r="M84" i="9"/>
  <c r="BF60" i="9"/>
  <c r="BJ40" i="9"/>
  <c r="BJ78" i="9"/>
  <c r="BU82" i="9"/>
  <c r="M26" i="9"/>
  <c r="BF33" i="9"/>
  <c r="M51" i="9"/>
  <c r="BF61" i="9"/>
  <c r="M68" i="9"/>
  <c r="BJ84" i="9"/>
  <c r="BJ88" i="9"/>
  <c r="BU88" i="9"/>
  <c r="BJ25" i="9"/>
  <c r="M61" i="9"/>
  <c r="M64" i="9"/>
  <c r="BF67" i="9"/>
  <c r="M71" i="9"/>
  <c r="BU75" i="9"/>
  <c r="BF76" i="9"/>
  <c r="BJ77" i="9"/>
  <c r="BU66" i="9"/>
  <c r="AH67" i="10"/>
  <c r="AH66" i="10"/>
  <c r="D58" i="29"/>
  <c r="N92" i="10"/>
  <c r="AG92" i="10" s="1"/>
  <c r="BH103" i="9"/>
  <c r="BH104" i="9"/>
  <c r="BH107" i="9"/>
  <c r="BH100" i="9"/>
  <c r="BH105" i="9"/>
  <c r="BH97" i="9"/>
  <c r="BI97" i="9" s="1"/>
  <c r="BH98" i="9"/>
  <c r="BH106" i="9"/>
  <c r="BH99" i="9"/>
  <c r="BH102" i="9"/>
  <c r="BH101" i="9"/>
  <c r="BM10" i="28"/>
  <c r="AH68" i="10"/>
  <c r="AH65" i="10"/>
  <c r="AH64" i="10"/>
  <c r="AN97" i="9"/>
  <c r="BK99" i="9"/>
  <c r="BK98" i="9"/>
  <c r="AH63" i="10"/>
  <c r="AH62" i="10"/>
  <c r="I115" i="3"/>
  <c r="L115" i="3" s="1"/>
  <c r="D11" i="26"/>
  <c r="B53" i="3"/>
  <c r="B39" i="3"/>
  <c r="D14" i="29"/>
  <c r="C23" i="3"/>
  <c r="B36" i="3"/>
  <c r="B35" i="3"/>
  <c r="G117" i="3"/>
  <c r="I114" i="3"/>
  <c r="L114" i="3" s="1"/>
  <c r="Q211" i="28"/>
  <c r="Q210" i="28"/>
  <c r="Q209" i="28"/>
  <c r="Q208" i="28"/>
  <c r="Q207" i="28"/>
  <c r="Q206" i="28"/>
  <c r="Q205" i="28"/>
  <c r="Q204" i="28"/>
  <c r="Q203" i="28"/>
  <c r="Q202" i="28"/>
  <c r="Q201" i="28"/>
  <c r="Q200" i="28"/>
  <c r="Q199" i="28"/>
  <c r="Q198" i="28"/>
  <c r="Q197" i="28"/>
  <c r="Q196" i="28"/>
  <c r="Q195" i="28"/>
  <c r="Q194" i="28"/>
  <c r="Q193" i="28"/>
  <c r="Q192" i="28"/>
  <c r="Q191" i="28"/>
  <c r="Q190" i="28"/>
  <c r="Q189" i="28"/>
  <c r="Q188" i="28"/>
  <c r="Q187" i="28"/>
  <c r="Q186" i="28"/>
  <c r="Q185" i="28"/>
  <c r="Q184" i="28"/>
  <c r="Q183" i="28"/>
  <c r="Q182" i="28"/>
  <c r="Q181" i="28"/>
  <c r="Q180" i="28"/>
  <c r="Q179" i="28"/>
  <c r="Q178" i="28"/>
  <c r="Q177" i="28"/>
  <c r="Q176" i="28"/>
  <c r="Q175" i="28"/>
  <c r="Q174" i="28"/>
  <c r="Q173" i="28"/>
  <c r="Q172" i="28"/>
  <c r="Q171" i="28"/>
  <c r="Q170" i="28"/>
  <c r="Q169" i="28"/>
  <c r="Q168" i="28"/>
  <c r="Q167" i="28"/>
  <c r="Q166" i="28"/>
  <c r="Q165" i="28"/>
  <c r="Q164" i="28"/>
  <c r="Q163" i="28"/>
  <c r="Q162" i="28"/>
  <c r="Q161" i="28"/>
  <c r="Q160" i="28"/>
  <c r="Q159" i="28"/>
  <c r="Q158" i="28"/>
  <c r="Q157" i="28"/>
  <c r="Q156" i="28"/>
  <c r="Q155" i="28"/>
  <c r="Q154" i="28"/>
  <c r="Q153" i="28"/>
  <c r="Q152" i="28"/>
  <c r="Q151" i="28"/>
  <c r="Q150" i="28"/>
  <c r="Q149" i="28"/>
  <c r="Q148" i="28"/>
  <c r="Q147" i="28"/>
  <c r="Q146" i="28"/>
  <c r="Q145" i="28"/>
  <c r="Q144" i="28"/>
  <c r="Q143" i="28"/>
  <c r="Q142" i="28"/>
  <c r="Q141" i="28"/>
  <c r="Q140" i="28"/>
  <c r="Q139" i="28"/>
  <c r="Q138" i="28"/>
  <c r="Q137" i="28"/>
  <c r="Q136" i="28"/>
  <c r="Q135" i="28"/>
  <c r="Q134" i="28"/>
  <c r="Q133" i="28"/>
  <c r="Q132" i="28"/>
  <c r="Q131" i="28"/>
  <c r="Q130" i="28"/>
  <c r="Q129" i="28"/>
  <c r="Q128" i="28"/>
  <c r="Q127" i="28"/>
  <c r="Q126" i="28"/>
  <c r="Q125" i="28"/>
  <c r="Q124" i="28"/>
  <c r="Q123" i="28"/>
  <c r="Q122" i="28"/>
  <c r="Q121" i="28"/>
  <c r="Q120" i="28"/>
  <c r="Q119" i="28"/>
  <c r="Q118" i="28"/>
  <c r="Q117" i="28"/>
  <c r="Q115" i="28"/>
  <c r="BW102" i="9" l="1"/>
  <c r="BW101" i="9"/>
  <c r="BW103" i="9"/>
  <c r="BW104" i="9"/>
  <c r="AO97" i="9"/>
  <c r="AS97" i="9" s="1"/>
  <c r="AR97" i="9"/>
  <c r="BW106" i="9"/>
  <c r="BW105" i="9"/>
  <c r="BW107" i="9"/>
  <c r="M27" i="16"/>
  <c r="L84" i="7" s="1"/>
  <c r="AU97" i="9" l="1"/>
  <c r="AI16" i="33"/>
  <c r="BD109" i="28"/>
  <c r="BD108" i="28"/>
  <c r="BD107" i="28"/>
  <c r="BD106" i="28"/>
  <c r="BD105" i="28"/>
  <c r="BD104" i="28"/>
  <c r="BD103" i="28"/>
  <c r="BD102" i="28"/>
  <c r="BD101" i="28"/>
  <c r="BD100" i="28"/>
  <c r="BD99" i="28"/>
  <c r="BD98" i="28"/>
  <c r="BD97" i="28"/>
  <c r="BD96" i="28"/>
  <c r="BD95" i="28"/>
  <c r="BD94" i="28"/>
  <c r="BD93" i="28"/>
  <c r="BD92" i="28"/>
  <c r="BD91" i="28"/>
  <c r="BD90" i="28"/>
  <c r="BD89" i="28"/>
  <c r="BD88" i="28"/>
  <c r="BD87" i="28"/>
  <c r="BD86" i="28"/>
  <c r="BD85" i="28"/>
  <c r="BD84" i="28"/>
  <c r="BD83" i="28"/>
  <c r="BD82" i="28"/>
  <c r="BD81" i="28"/>
  <c r="BD80" i="28"/>
  <c r="BD79" i="28"/>
  <c r="BD78" i="28"/>
  <c r="BD77" i="28"/>
  <c r="BD76" i="28"/>
  <c r="BD75" i="28"/>
  <c r="BD74" i="28"/>
  <c r="BD73" i="28"/>
  <c r="BD72" i="28"/>
  <c r="BD71" i="28"/>
  <c r="BD70" i="28"/>
  <c r="BD69" i="28"/>
  <c r="BD68" i="28"/>
  <c r="BD67" i="28"/>
  <c r="BD66" i="28"/>
  <c r="BD65" i="28"/>
  <c r="BD64" i="28"/>
  <c r="BD63" i="28"/>
  <c r="BD62" i="28"/>
  <c r="BD61" i="28"/>
  <c r="BD60" i="28"/>
  <c r="BD59" i="28"/>
  <c r="BD58" i="28"/>
  <c r="BD57" i="28"/>
  <c r="BD56" i="28"/>
  <c r="BD55" i="28"/>
  <c r="BD54" i="28"/>
  <c r="BD53" i="28"/>
  <c r="BD52" i="28"/>
  <c r="BD51" i="28"/>
  <c r="BD50" i="28"/>
  <c r="BD49" i="28"/>
  <c r="BD48" i="28"/>
  <c r="BD47" i="28"/>
  <c r="BD46" i="28"/>
  <c r="BD45" i="28"/>
  <c r="BD44" i="28"/>
  <c r="BD43" i="28"/>
  <c r="BD42" i="28"/>
  <c r="BD41" i="28"/>
  <c r="BD40" i="28"/>
  <c r="BD39" i="28"/>
  <c r="BD38" i="28"/>
  <c r="BD37" i="28"/>
  <c r="BD36" i="28"/>
  <c r="BD35" i="28"/>
  <c r="BD34" i="28"/>
  <c r="BD33" i="28"/>
  <c r="BD32" i="28"/>
  <c r="BD31" i="28"/>
  <c r="BD30" i="28"/>
  <c r="BD29" i="28"/>
  <c r="BD28" i="28"/>
  <c r="BD27" i="28"/>
  <c r="BD26" i="28"/>
  <c r="BD25" i="28"/>
  <c r="BD24" i="28"/>
  <c r="BD23" i="28"/>
  <c r="BD22" i="28"/>
  <c r="BD21" i="28"/>
  <c r="BD20" i="28"/>
  <c r="BD19" i="28"/>
  <c r="BD18" i="28"/>
  <c r="BD17" i="28"/>
  <c r="BD16" i="28"/>
  <c r="BD15" i="28"/>
  <c r="BD13" i="28"/>
  <c r="K9" i="28" l="1"/>
  <c r="AT125" i="33"/>
  <c r="AT124" i="33"/>
  <c r="AT123" i="33"/>
  <c r="AT122" i="33"/>
  <c r="AT121" i="33"/>
  <c r="AT120" i="33"/>
  <c r="AT119" i="33"/>
  <c r="AT118" i="33"/>
  <c r="AT117" i="33"/>
  <c r="AT116" i="33"/>
  <c r="AT115" i="33"/>
  <c r="AT114" i="33"/>
  <c r="AT113" i="33"/>
  <c r="AT112" i="33"/>
  <c r="AT111" i="33"/>
  <c r="AT110" i="33"/>
  <c r="AT109" i="33"/>
  <c r="AT108" i="33"/>
  <c r="AT107" i="33"/>
  <c r="AT106" i="33"/>
  <c r="AT105" i="33"/>
  <c r="AT104" i="33"/>
  <c r="AT103" i="33"/>
  <c r="AT102" i="33"/>
  <c r="AT101" i="33"/>
  <c r="AT100" i="33"/>
  <c r="AT99" i="33"/>
  <c r="AT98" i="33"/>
  <c r="AT97" i="33"/>
  <c r="AT96" i="33"/>
  <c r="AT95" i="33"/>
  <c r="AT94" i="33"/>
  <c r="AT93" i="33"/>
  <c r="AT92" i="33"/>
  <c r="AT91" i="33"/>
  <c r="AT90" i="33"/>
  <c r="AT89" i="33"/>
  <c r="AT88" i="33"/>
  <c r="AT87" i="33"/>
  <c r="AT86" i="33"/>
  <c r="AT85" i="33"/>
  <c r="AT84" i="33"/>
  <c r="AT83" i="33"/>
  <c r="AT82" i="33"/>
  <c r="AT81" i="33"/>
  <c r="AT80" i="33"/>
  <c r="AT79" i="33"/>
  <c r="AT78" i="33"/>
  <c r="AT77" i="33"/>
  <c r="AT76" i="33"/>
  <c r="AT75" i="33"/>
  <c r="AT74" i="33"/>
  <c r="AT73" i="33"/>
  <c r="AT72" i="33"/>
  <c r="AT71" i="33"/>
  <c r="AT70" i="33"/>
  <c r="AT69" i="33"/>
  <c r="AT68" i="33"/>
  <c r="AT67" i="33"/>
  <c r="AT66" i="33"/>
  <c r="AT65" i="33"/>
  <c r="AT64" i="33"/>
  <c r="AT63" i="33"/>
  <c r="AT62" i="33"/>
  <c r="AT61" i="33"/>
  <c r="AT60" i="33"/>
  <c r="AT59" i="33"/>
  <c r="AT58" i="33"/>
  <c r="AT57" i="33"/>
  <c r="AT56" i="33"/>
  <c r="AT55" i="33"/>
  <c r="AT54" i="33"/>
  <c r="AT53" i="33"/>
  <c r="AT52" i="33"/>
  <c r="AT51" i="33"/>
  <c r="AT50" i="33"/>
  <c r="AT49" i="33"/>
  <c r="AT48" i="33"/>
  <c r="AT47" i="33"/>
  <c r="AT46" i="33"/>
  <c r="AT45" i="33"/>
  <c r="AT44" i="33"/>
  <c r="AT43" i="33"/>
  <c r="AT42" i="33"/>
  <c r="AT41" i="33"/>
  <c r="AT40" i="33"/>
  <c r="AT39" i="33"/>
  <c r="AT38" i="33"/>
  <c r="AT37" i="33"/>
  <c r="AT36" i="33"/>
  <c r="AT35" i="33"/>
  <c r="AT34" i="33"/>
  <c r="AT33" i="33"/>
  <c r="AT32" i="33"/>
  <c r="AT31" i="33"/>
  <c r="AT29" i="33"/>
  <c r="AT28" i="33"/>
  <c r="AT27" i="33"/>
  <c r="AT26" i="33"/>
  <c r="AM125" i="33"/>
  <c r="AM124" i="33"/>
  <c r="AM123" i="33"/>
  <c r="AM122" i="33"/>
  <c r="AM121" i="33"/>
  <c r="AM120" i="33"/>
  <c r="AM119" i="33"/>
  <c r="AM118" i="33"/>
  <c r="AM117" i="33"/>
  <c r="AM116" i="33"/>
  <c r="AM115" i="33"/>
  <c r="AM114" i="33"/>
  <c r="AM113" i="33"/>
  <c r="AM112" i="33"/>
  <c r="AM111" i="33"/>
  <c r="AM110" i="33"/>
  <c r="AM109" i="33"/>
  <c r="AM108" i="33"/>
  <c r="AM107" i="33"/>
  <c r="AM106" i="33"/>
  <c r="AM105" i="33"/>
  <c r="AM104" i="33"/>
  <c r="AM103" i="33"/>
  <c r="AM102" i="33"/>
  <c r="AM101" i="33"/>
  <c r="AM100" i="33"/>
  <c r="AM99" i="33"/>
  <c r="AM98" i="33"/>
  <c r="AM97" i="33"/>
  <c r="AM96" i="33"/>
  <c r="AM95" i="33"/>
  <c r="AM94" i="33"/>
  <c r="AM93" i="33"/>
  <c r="AM92" i="33"/>
  <c r="AM91" i="33"/>
  <c r="AM90" i="33"/>
  <c r="AM89" i="33"/>
  <c r="AM88" i="33"/>
  <c r="AM87" i="33"/>
  <c r="AM86" i="33"/>
  <c r="AM85" i="33"/>
  <c r="AM84" i="33"/>
  <c r="AM83" i="33"/>
  <c r="AM82" i="33"/>
  <c r="AM81" i="33"/>
  <c r="AM80" i="33"/>
  <c r="AM79" i="33"/>
  <c r="AM78" i="33"/>
  <c r="AM77" i="33"/>
  <c r="AM76" i="33"/>
  <c r="AM75" i="33"/>
  <c r="AM74" i="33"/>
  <c r="AM73" i="33"/>
  <c r="AM72" i="33"/>
  <c r="AM71" i="33"/>
  <c r="AM70" i="33"/>
  <c r="AM69" i="33"/>
  <c r="AM68" i="33"/>
  <c r="AM67" i="33"/>
  <c r="AM66" i="33"/>
  <c r="AM65" i="33"/>
  <c r="AM64" i="33"/>
  <c r="AM63" i="33"/>
  <c r="AM62" i="33"/>
  <c r="AM61" i="33"/>
  <c r="AM60" i="33"/>
  <c r="AM59" i="33"/>
  <c r="AM58" i="33"/>
  <c r="AM57" i="33"/>
  <c r="AM56" i="33"/>
  <c r="AM55" i="33"/>
  <c r="AM54" i="33"/>
  <c r="AM53" i="33"/>
  <c r="AM52" i="33"/>
  <c r="AM51" i="33"/>
  <c r="AM50" i="33"/>
  <c r="AM49" i="33"/>
  <c r="AM48" i="33"/>
  <c r="AM47" i="33"/>
  <c r="AM46" i="33"/>
  <c r="AM45" i="33"/>
  <c r="AM44" i="33"/>
  <c r="AM43" i="33"/>
  <c r="AM42" i="33"/>
  <c r="AM41" i="33"/>
  <c r="AM40" i="33"/>
  <c r="AM39" i="33"/>
  <c r="AM38" i="33"/>
  <c r="AM37" i="33"/>
  <c r="AM36" i="33"/>
  <c r="AM35" i="33"/>
  <c r="AM34" i="33"/>
  <c r="AM33" i="33"/>
  <c r="AM32" i="33"/>
  <c r="AM31" i="33"/>
  <c r="AM29" i="33"/>
  <c r="AM28" i="33"/>
  <c r="AM27" i="33"/>
  <c r="AM26" i="33"/>
  <c r="Q125" i="33"/>
  <c r="Q124" i="33"/>
  <c r="Q123" i="33"/>
  <c r="Q122" i="33"/>
  <c r="Q121" i="33"/>
  <c r="Q120" i="33"/>
  <c r="Q119" i="33"/>
  <c r="Q118" i="33"/>
  <c r="Q117" i="33"/>
  <c r="Q116" i="33"/>
  <c r="Q115" i="33"/>
  <c r="Q114" i="33"/>
  <c r="Q113" i="33"/>
  <c r="Q112" i="33"/>
  <c r="Q111" i="33"/>
  <c r="Q110" i="33"/>
  <c r="Q109" i="33"/>
  <c r="Q108" i="33"/>
  <c r="Q107" i="33"/>
  <c r="Q106" i="33"/>
  <c r="Q105" i="33"/>
  <c r="Q104" i="33"/>
  <c r="Q103" i="33"/>
  <c r="Q102" i="33"/>
  <c r="Q101" i="33"/>
  <c r="Q100" i="33"/>
  <c r="Q99" i="33"/>
  <c r="Q98" i="33"/>
  <c r="Q97" i="33"/>
  <c r="Q96" i="33"/>
  <c r="Q95" i="33"/>
  <c r="Q94" i="33"/>
  <c r="Q93" i="33"/>
  <c r="Q92" i="33"/>
  <c r="Q91" i="33"/>
  <c r="Q90" i="33"/>
  <c r="Q89" i="33"/>
  <c r="Q88" i="33"/>
  <c r="Q87" i="33"/>
  <c r="Q86" i="33"/>
  <c r="Q85" i="33"/>
  <c r="Q84" i="33"/>
  <c r="Q83" i="33"/>
  <c r="Q82" i="33"/>
  <c r="Q81" i="33"/>
  <c r="Q80" i="33"/>
  <c r="Q79" i="33"/>
  <c r="Q78" i="33"/>
  <c r="Q77" i="33"/>
  <c r="Q76" i="33"/>
  <c r="Q75" i="33"/>
  <c r="Q74" i="33"/>
  <c r="Q73" i="33"/>
  <c r="Q72" i="33"/>
  <c r="Q71" i="33"/>
  <c r="Q70" i="33"/>
  <c r="Q69" i="33"/>
  <c r="Q68" i="33"/>
  <c r="Q67" i="33"/>
  <c r="Q66" i="33"/>
  <c r="Q65" i="33"/>
  <c r="Q64" i="33"/>
  <c r="Q63" i="33"/>
  <c r="Q62" i="33"/>
  <c r="Q61" i="33"/>
  <c r="Q60" i="33"/>
  <c r="Q59" i="33"/>
  <c r="Q58" i="33"/>
  <c r="Q57" i="33"/>
  <c r="Q56" i="33"/>
  <c r="Q55" i="33"/>
  <c r="Q54" i="33"/>
  <c r="Q53" i="33"/>
  <c r="Q52" i="33"/>
  <c r="Q51" i="33"/>
  <c r="Q50" i="33"/>
  <c r="Q49" i="33"/>
  <c r="Q48" i="33"/>
  <c r="Q47" i="33"/>
  <c r="Q46" i="33"/>
  <c r="Q45" i="33"/>
  <c r="Q44" i="33"/>
  <c r="Q43" i="33"/>
  <c r="Q42" i="33"/>
  <c r="Q41" i="33"/>
  <c r="Q40" i="33"/>
  <c r="Q39" i="33"/>
  <c r="Q38" i="33"/>
  <c r="Q37" i="33"/>
  <c r="Q36" i="33"/>
  <c r="Q35" i="33"/>
  <c r="Q34" i="33"/>
  <c r="Q33" i="33"/>
  <c r="Q32" i="33"/>
  <c r="Q31" i="33"/>
  <c r="Q29" i="33"/>
  <c r="Q28" i="33"/>
  <c r="Q27" i="33"/>
  <c r="Q26" i="33"/>
  <c r="AX125" i="33" l="1"/>
  <c r="AU125" i="33"/>
  <c r="AR125" i="33"/>
  <c r="AQ125" i="33"/>
  <c r="AN125" i="33"/>
  <c r="AL125" i="33"/>
  <c r="AK125" i="33"/>
  <c r="AJ125" i="33"/>
  <c r="AI125" i="33"/>
  <c r="AH125" i="33"/>
  <c r="AG125" i="33"/>
  <c r="AF125" i="33"/>
  <c r="AE125" i="33"/>
  <c r="AD125" i="33"/>
  <c r="AC125" i="33"/>
  <c r="AB125" i="33"/>
  <c r="AA125" i="33"/>
  <c r="Z125" i="33"/>
  <c r="Y125" i="33"/>
  <c r="X125" i="33"/>
  <c r="W125" i="33"/>
  <c r="V125" i="33"/>
  <c r="U125" i="33"/>
  <c r="T125" i="33"/>
  <c r="S125" i="33"/>
  <c r="H125" i="33"/>
  <c r="F125" i="33"/>
  <c r="G125" i="33" s="1"/>
  <c r="D125" i="33"/>
  <c r="AX124" i="33"/>
  <c r="AU124" i="33"/>
  <c r="AR124" i="33"/>
  <c r="AQ124" i="33"/>
  <c r="AN124" i="33"/>
  <c r="AL124" i="33"/>
  <c r="AK124" i="33"/>
  <c r="AJ124" i="33"/>
  <c r="AI124" i="33"/>
  <c r="AH124" i="33"/>
  <c r="AG124" i="33"/>
  <c r="AF124" i="33"/>
  <c r="AE124" i="33"/>
  <c r="AD124" i="33"/>
  <c r="AC124" i="33"/>
  <c r="AB124" i="33"/>
  <c r="AA124" i="33"/>
  <c r="Z124" i="33"/>
  <c r="Y124" i="33"/>
  <c r="X124" i="33"/>
  <c r="W124" i="33"/>
  <c r="V124" i="33"/>
  <c r="U124" i="33"/>
  <c r="T124" i="33"/>
  <c r="S124" i="33"/>
  <c r="H124" i="33"/>
  <c r="F124" i="33"/>
  <c r="G124" i="33" s="1"/>
  <c r="D124" i="33"/>
  <c r="AX123" i="33"/>
  <c r="AU123" i="33"/>
  <c r="AR123" i="33"/>
  <c r="AQ123" i="33"/>
  <c r="AN123" i="33"/>
  <c r="AL123" i="33"/>
  <c r="AK123" i="33"/>
  <c r="AJ123" i="33"/>
  <c r="AI123" i="33"/>
  <c r="AH123" i="33"/>
  <c r="AG123" i="33"/>
  <c r="AF123" i="33"/>
  <c r="AE123" i="33"/>
  <c r="AD123" i="33"/>
  <c r="AC123" i="33"/>
  <c r="AB123" i="33"/>
  <c r="AA123" i="33"/>
  <c r="Z123" i="33"/>
  <c r="Y123" i="33"/>
  <c r="X123" i="33"/>
  <c r="W123" i="33"/>
  <c r="V123" i="33"/>
  <c r="U123" i="33"/>
  <c r="T123" i="33"/>
  <c r="S123" i="33"/>
  <c r="H123" i="33"/>
  <c r="F123" i="33"/>
  <c r="G123" i="33" s="1"/>
  <c r="D123" i="33"/>
  <c r="AX122" i="33"/>
  <c r="AU122" i="33"/>
  <c r="AR122" i="33"/>
  <c r="AQ122" i="33"/>
  <c r="AN122" i="33"/>
  <c r="AL122" i="33"/>
  <c r="AK122" i="33"/>
  <c r="AJ122" i="33"/>
  <c r="AI122" i="33"/>
  <c r="AH122" i="33"/>
  <c r="AG122" i="33"/>
  <c r="AF122" i="33"/>
  <c r="AE122" i="33"/>
  <c r="AD122" i="33"/>
  <c r="AC122" i="33"/>
  <c r="AB122" i="33"/>
  <c r="AA122" i="33"/>
  <c r="Z122" i="33"/>
  <c r="Y122" i="33"/>
  <c r="X122" i="33"/>
  <c r="W122" i="33"/>
  <c r="V122" i="33"/>
  <c r="U122" i="33"/>
  <c r="T122" i="33"/>
  <c r="S122" i="33"/>
  <c r="H122" i="33"/>
  <c r="F122" i="33"/>
  <c r="G122" i="33" s="1"/>
  <c r="D122" i="33"/>
  <c r="AX121" i="33"/>
  <c r="AU121" i="33"/>
  <c r="AR121" i="33"/>
  <c r="AQ121" i="33"/>
  <c r="AN121" i="33"/>
  <c r="AL121" i="33"/>
  <c r="AK121" i="33"/>
  <c r="AJ121" i="33"/>
  <c r="AI121" i="33"/>
  <c r="AH121" i="33"/>
  <c r="AG121" i="33"/>
  <c r="AF121" i="33"/>
  <c r="AE121" i="33"/>
  <c r="AD121" i="33"/>
  <c r="AC121" i="33"/>
  <c r="AB121" i="33"/>
  <c r="AA121" i="33"/>
  <c r="Z121" i="33"/>
  <c r="Y121" i="33"/>
  <c r="X121" i="33"/>
  <c r="W121" i="33"/>
  <c r="V121" i="33"/>
  <c r="U121" i="33"/>
  <c r="T121" i="33"/>
  <c r="S121" i="33"/>
  <c r="H121" i="33"/>
  <c r="F121" i="33"/>
  <c r="G121" i="33" s="1"/>
  <c r="D121" i="33"/>
  <c r="AX120" i="33"/>
  <c r="AU120" i="33"/>
  <c r="AR120" i="33"/>
  <c r="AQ120" i="33"/>
  <c r="AN120" i="33"/>
  <c r="AL120" i="33"/>
  <c r="AK120" i="33"/>
  <c r="AJ120" i="33"/>
  <c r="AI120" i="33"/>
  <c r="AH120" i="33"/>
  <c r="AG120" i="33"/>
  <c r="AF120" i="33"/>
  <c r="AE120" i="33"/>
  <c r="AD120" i="33"/>
  <c r="AC120" i="33"/>
  <c r="AB120" i="33"/>
  <c r="AA120" i="33"/>
  <c r="Z120" i="33"/>
  <c r="Y120" i="33"/>
  <c r="X120" i="33"/>
  <c r="W120" i="33"/>
  <c r="V120" i="33"/>
  <c r="U120" i="33"/>
  <c r="T120" i="33"/>
  <c r="S120" i="33"/>
  <c r="H120" i="33"/>
  <c r="F120" i="33"/>
  <c r="G120" i="33" s="1"/>
  <c r="D120" i="33"/>
  <c r="AX119" i="33"/>
  <c r="AU119" i="33"/>
  <c r="AR119" i="33"/>
  <c r="AQ119" i="33"/>
  <c r="AN119" i="33"/>
  <c r="AL119" i="33"/>
  <c r="AK119" i="33"/>
  <c r="AJ119" i="33"/>
  <c r="AI119" i="33"/>
  <c r="AH119" i="33"/>
  <c r="AG119" i="33"/>
  <c r="AF119" i="33"/>
  <c r="AE119" i="33"/>
  <c r="AD119" i="33"/>
  <c r="AC119" i="33"/>
  <c r="AB119" i="33"/>
  <c r="AA119" i="33"/>
  <c r="Z119" i="33"/>
  <c r="Y119" i="33"/>
  <c r="X119" i="33"/>
  <c r="W119" i="33"/>
  <c r="V119" i="33"/>
  <c r="U119" i="33"/>
  <c r="T119" i="33"/>
  <c r="S119" i="33"/>
  <c r="H119" i="33"/>
  <c r="F119" i="33"/>
  <c r="G119" i="33" s="1"/>
  <c r="D119" i="33"/>
  <c r="AX118" i="33"/>
  <c r="AU118" i="33"/>
  <c r="AR118" i="33"/>
  <c r="AQ118" i="33"/>
  <c r="AN118" i="33"/>
  <c r="AL118" i="33"/>
  <c r="AK118" i="33"/>
  <c r="AJ118" i="33"/>
  <c r="AI118" i="33"/>
  <c r="AH118" i="33"/>
  <c r="AG118" i="33"/>
  <c r="AF118" i="33"/>
  <c r="AE118" i="33"/>
  <c r="AD118" i="33"/>
  <c r="AC118" i="33"/>
  <c r="AB118" i="33"/>
  <c r="AA118" i="33"/>
  <c r="Z118" i="33"/>
  <c r="Y118" i="33"/>
  <c r="X118" i="33"/>
  <c r="W118" i="33"/>
  <c r="V118" i="33"/>
  <c r="U118" i="33"/>
  <c r="T118" i="33"/>
  <c r="S118" i="33"/>
  <c r="H118" i="33"/>
  <c r="F118" i="33"/>
  <c r="G118" i="33" s="1"/>
  <c r="D118" i="33"/>
  <c r="AX117" i="33"/>
  <c r="AU117" i="33"/>
  <c r="AR117" i="33"/>
  <c r="AQ117" i="33"/>
  <c r="AN117" i="33"/>
  <c r="AL117" i="33"/>
  <c r="AK117" i="33"/>
  <c r="AJ117" i="33"/>
  <c r="AI117" i="33"/>
  <c r="AH117" i="33"/>
  <c r="AG117" i="33"/>
  <c r="AF117" i="33"/>
  <c r="AE117" i="33"/>
  <c r="AD117" i="33"/>
  <c r="AC117" i="33"/>
  <c r="AB117" i="33"/>
  <c r="AA117" i="33"/>
  <c r="Z117" i="33"/>
  <c r="Y117" i="33"/>
  <c r="X117" i="33"/>
  <c r="W117" i="33"/>
  <c r="V117" i="33"/>
  <c r="U117" i="33"/>
  <c r="T117" i="33"/>
  <c r="S117" i="33"/>
  <c r="H117" i="33"/>
  <c r="F117" i="33"/>
  <c r="G117" i="33" s="1"/>
  <c r="D117" i="33"/>
  <c r="AX116" i="33"/>
  <c r="AU116" i="33"/>
  <c r="AR116" i="33"/>
  <c r="AQ116" i="33"/>
  <c r="AN116" i="33"/>
  <c r="AL116" i="33"/>
  <c r="AK116" i="33"/>
  <c r="AJ116" i="33"/>
  <c r="AI116" i="33"/>
  <c r="AH116" i="33"/>
  <c r="AG116" i="33"/>
  <c r="AF116" i="33"/>
  <c r="AE116" i="33"/>
  <c r="AD116" i="33"/>
  <c r="AC116" i="33"/>
  <c r="AB116" i="33"/>
  <c r="AA116" i="33"/>
  <c r="Z116" i="33"/>
  <c r="Y116" i="33"/>
  <c r="X116" i="33"/>
  <c r="W116" i="33"/>
  <c r="V116" i="33"/>
  <c r="U116" i="33"/>
  <c r="T116" i="33"/>
  <c r="S116" i="33"/>
  <c r="H116" i="33"/>
  <c r="F116" i="33"/>
  <c r="G116" i="33" s="1"/>
  <c r="D116" i="33"/>
  <c r="AX115" i="33"/>
  <c r="AU115" i="33"/>
  <c r="AR115" i="33"/>
  <c r="AQ115" i="33"/>
  <c r="AN115" i="33"/>
  <c r="AL115" i="33"/>
  <c r="AK115" i="33"/>
  <c r="AJ115" i="33"/>
  <c r="AI115" i="33"/>
  <c r="AH115" i="33"/>
  <c r="AG115" i="33"/>
  <c r="AF115" i="33"/>
  <c r="AE115" i="33"/>
  <c r="AD115" i="33"/>
  <c r="AC115" i="33"/>
  <c r="AB115" i="33"/>
  <c r="AA115" i="33"/>
  <c r="Z115" i="33"/>
  <c r="Y115" i="33"/>
  <c r="X115" i="33"/>
  <c r="W115" i="33"/>
  <c r="V115" i="33"/>
  <c r="U115" i="33"/>
  <c r="T115" i="33"/>
  <c r="S115" i="33"/>
  <c r="H115" i="33"/>
  <c r="F115" i="33"/>
  <c r="G115" i="33" s="1"/>
  <c r="D115" i="33"/>
  <c r="AX114" i="33"/>
  <c r="AU114" i="33"/>
  <c r="AR114" i="33"/>
  <c r="AQ114" i="33"/>
  <c r="AN114" i="33"/>
  <c r="AL114" i="33"/>
  <c r="AK114" i="33"/>
  <c r="AJ114" i="33"/>
  <c r="AI114" i="33"/>
  <c r="AH114" i="33"/>
  <c r="AG114" i="33"/>
  <c r="AF114" i="33"/>
  <c r="AE114" i="33"/>
  <c r="AD114" i="33"/>
  <c r="AC114" i="33"/>
  <c r="AB114" i="33"/>
  <c r="AA114" i="33"/>
  <c r="Z114" i="33"/>
  <c r="Y114" i="33"/>
  <c r="X114" i="33"/>
  <c r="W114" i="33"/>
  <c r="V114" i="33"/>
  <c r="U114" i="33"/>
  <c r="T114" i="33"/>
  <c r="S114" i="33"/>
  <c r="H114" i="33"/>
  <c r="F114" i="33"/>
  <c r="G114" i="33" s="1"/>
  <c r="D114" i="33"/>
  <c r="AX113" i="33"/>
  <c r="AU113" i="33"/>
  <c r="AR113" i="33"/>
  <c r="AQ113" i="33"/>
  <c r="AN113" i="33"/>
  <c r="AL113" i="33"/>
  <c r="AK113" i="33"/>
  <c r="AJ113" i="33"/>
  <c r="AI113" i="33"/>
  <c r="AH113" i="33"/>
  <c r="AG113" i="33"/>
  <c r="AF113" i="33"/>
  <c r="AE113" i="33"/>
  <c r="AD113" i="33"/>
  <c r="AC113" i="33"/>
  <c r="AB113" i="33"/>
  <c r="AA113" i="33"/>
  <c r="Z113" i="33"/>
  <c r="Y113" i="33"/>
  <c r="X113" i="33"/>
  <c r="W113" i="33"/>
  <c r="V113" i="33"/>
  <c r="U113" i="33"/>
  <c r="T113" i="33"/>
  <c r="S113" i="33"/>
  <c r="H113" i="33"/>
  <c r="F113" i="33"/>
  <c r="G113" i="33" s="1"/>
  <c r="D113" i="33"/>
  <c r="AX112" i="33"/>
  <c r="AU112" i="33"/>
  <c r="AR112" i="33"/>
  <c r="AQ112" i="33"/>
  <c r="AN112" i="33"/>
  <c r="AL112" i="33"/>
  <c r="AK112" i="33"/>
  <c r="AJ112" i="33"/>
  <c r="AI112" i="33"/>
  <c r="AH112" i="33"/>
  <c r="AG112" i="33"/>
  <c r="AF112" i="33"/>
  <c r="AE112" i="33"/>
  <c r="AD112" i="33"/>
  <c r="AC112" i="33"/>
  <c r="AB112" i="33"/>
  <c r="AA112" i="33"/>
  <c r="Z112" i="33"/>
  <c r="Y112" i="33"/>
  <c r="X112" i="33"/>
  <c r="W112" i="33"/>
  <c r="V112" i="33"/>
  <c r="U112" i="33"/>
  <c r="T112" i="33"/>
  <c r="S112" i="33"/>
  <c r="H112" i="33"/>
  <c r="F112" i="33"/>
  <c r="G112" i="33" s="1"/>
  <c r="D112" i="33"/>
  <c r="AX111" i="33"/>
  <c r="AU111" i="33"/>
  <c r="AR111" i="33"/>
  <c r="AQ111" i="33"/>
  <c r="AN111" i="33"/>
  <c r="AL111" i="33"/>
  <c r="AK111" i="33"/>
  <c r="AJ111" i="33"/>
  <c r="AI111" i="33"/>
  <c r="AH111" i="33"/>
  <c r="AG111" i="33"/>
  <c r="AF111" i="33"/>
  <c r="AE111" i="33"/>
  <c r="AD111" i="33"/>
  <c r="AC111" i="33"/>
  <c r="AB111" i="33"/>
  <c r="AA111" i="33"/>
  <c r="Z111" i="33"/>
  <c r="Y111" i="33"/>
  <c r="X111" i="33"/>
  <c r="W111" i="33"/>
  <c r="V111" i="33"/>
  <c r="U111" i="33"/>
  <c r="T111" i="33"/>
  <c r="S111" i="33"/>
  <c r="H111" i="33"/>
  <c r="F111" i="33"/>
  <c r="G111" i="33" s="1"/>
  <c r="D111" i="33"/>
  <c r="AX110" i="33"/>
  <c r="AU110" i="33"/>
  <c r="AR110" i="33"/>
  <c r="AQ110" i="33"/>
  <c r="AN110" i="33"/>
  <c r="AL110" i="33"/>
  <c r="AK110" i="33"/>
  <c r="AJ110" i="33"/>
  <c r="AI110" i="33"/>
  <c r="AH110" i="33"/>
  <c r="AG110" i="33"/>
  <c r="AF110" i="33"/>
  <c r="AE110" i="33"/>
  <c r="AD110" i="33"/>
  <c r="AC110" i="33"/>
  <c r="AB110" i="33"/>
  <c r="AA110" i="33"/>
  <c r="Z110" i="33"/>
  <c r="Y110" i="33"/>
  <c r="X110" i="33"/>
  <c r="W110" i="33"/>
  <c r="V110" i="33"/>
  <c r="U110" i="33"/>
  <c r="T110" i="33"/>
  <c r="S110" i="33"/>
  <c r="H110" i="33"/>
  <c r="F110" i="33"/>
  <c r="G110" i="33" s="1"/>
  <c r="D110" i="33"/>
  <c r="AX109" i="33"/>
  <c r="AU109" i="33"/>
  <c r="AR109" i="33"/>
  <c r="AQ109" i="33"/>
  <c r="AN109" i="33"/>
  <c r="AL109" i="33"/>
  <c r="AK109" i="33"/>
  <c r="AJ109" i="33"/>
  <c r="AI109" i="33"/>
  <c r="AH109" i="33"/>
  <c r="AG109" i="33"/>
  <c r="AF109" i="33"/>
  <c r="AE109" i="33"/>
  <c r="AD109" i="33"/>
  <c r="AC109" i="33"/>
  <c r="AB109" i="33"/>
  <c r="AA109" i="33"/>
  <c r="Z109" i="33"/>
  <c r="Y109" i="33"/>
  <c r="X109" i="33"/>
  <c r="W109" i="33"/>
  <c r="V109" i="33"/>
  <c r="U109" i="33"/>
  <c r="T109" i="33"/>
  <c r="S109" i="33"/>
  <c r="H109" i="33"/>
  <c r="F109" i="33"/>
  <c r="G109" i="33" s="1"/>
  <c r="D109" i="33"/>
  <c r="AX108" i="33"/>
  <c r="AU108" i="33"/>
  <c r="AR108" i="33"/>
  <c r="AQ108" i="33"/>
  <c r="AN108" i="33"/>
  <c r="AL108" i="33"/>
  <c r="AK108" i="33"/>
  <c r="AJ108" i="33"/>
  <c r="AI108" i="33"/>
  <c r="AH108" i="33"/>
  <c r="AG108" i="33"/>
  <c r="AF108" i="33"/>
  <c r="AE108" i="33"/>
  <c r="AD108" i="33"/>
  <c r="AC108" i="33"/>
  <c r="AB108" i="33"/>
  <c r="AA108" i="33"/>
  <c r="Z108" i="33"/>
  <c r="Y108" i="33"/>
  <c r="X108" i="33"/>
  <c r="W108" i="33"/>
  <c r="V108" i="33"/>
  <c r="U108" i="33"/>
  <c r="T108" i="33"/>
  <c r="S108" i="33"/>
  <c r="H108" i="33"/>
  <c r="F108" i="33"/>
  <c r="G108" i="33" s="1"/>
  <c r="D108" i="33"/>
  <c r="AX107" i="33"/>
  <c r="AU107" i="33"/>
  <c r="AR107" i="33"/>
  <c r="AQ107" i="33"/>
  <c r="AN107" i="33"/>
  <c r="AL107" i="33"/>
  <c r="AK107" i="33"/>
  <c r="AJ107" i="33"/>
  <c r="AI107" i="33"/>
  <c r="AH107" i="33"/>
  <c r="AG107" i="33"/>
  <c r="AF107" i="33"/>
  <c r="AE107" i="33"/>
  <c r="AD107" i="33"/>
  <c r="AC107" i="33"/>
  <c r="AB107" i="33"/>
  <c r="AA107" i="33"/>
  <c r="Z107" i="33"/>
  <c r="Y107" i="33"/>
  <c r="X107" i="33"/>
  <c r="W107" i="33"/>
  <c r="V107" i="33"/>
  <c r="U107" i="33"/>
  <c r="T107" i="33"/>
  <c r="S107" i="33"/>
  <c r="H107" i="33"/>
  <c r="F107" i="33"/>
  <c r="G107" i="33" s="1"/>
  <c r="D107" i="33"/>
  <c r="AX106" i="33"/>
  <c r="AU106" i="33"/>
  <c r="AR106" i="33"/>
  <c r="AQ106" i="33"/>
  <c r="AN106" i="33"/>
  <c r="AL106" i="33"/>
  <c r="AK106" i="33"/>
  <c r="AJ106" i="33"/>
  <c r="AI106" i="33"/>
  <c r="AH106" i="33"/>
  <c r="AG106" i="33"/>
  <c r="AF106" i="33"/>
  <c r="AE106" i="33"/>
  <c r="AD106" i="33"/>
  <c r="AC106" i="33"/>
  <c r="AB106" i="33"/>
  <c r="AA106" i="33"/>
  <c r="Z106" i="33"/>
  <c r="Y106" i="33"/>
  <c r="X106" i="33"/>
  <c r="W106" i="33"/>
  <c r="V106" i="33"/>
  <c r="U106" i="33"/>
  <c r="T106" i="33"/>
  <c r="S106" i="33"/>
  <c r="H106" i="33"/>
  <c r="F106" i="33"/>
  <c r="G106" i="33" s="1"/>
  <c r="D106" i="33"/>
  <c r="AX105" i="33"/>
  <c r="AU105" i="33"/>
  <c r="AR105" i="33"/>
  <c r="AQ105" i="33"/>
  <c r="AN105" i="33"/>
  <c r="AL105" i="33"/>
  <c r="AK105" i="33"/>
  <c r="AJ105" i="33"/>
  <c r="AI105" i="33"/>
  <c r="AH105" i="33"/>
  <c r="AG105" i="33"/>
  <c r="AF105" i="33"/>
  <c r="AE105" i="33"/>
  <c r="AD105" i="33"/>
  <c r="AC105" i="33"/>
  <c r="AB105" i="33"/>
  <c r="AA105" i="33"/>
  <c r="Z105" i="33"/>
  <c r="Y105" i="33"/>
  <c r="X105" i="33"/>
  <c r="W105" i="33"/>
  <c r="V105" i="33"/>
  <c r="U105" i="33"/>
  <c r="T105" i="33"/>
  <c r="S105" i="33"/>
  <c r="H105" i="33"/>
  <c r="F105" i="33"/>
  <c r="G105" i="33" s="1"/>
  <c r="D105" i="33"/>
  <c r="AX104" i="33"/>
  <c r="AU104" i="33"/>
  <c r="AR104" i="33"/>
  <c r="AQ104" i="33"/>
  <c r="AN104" i="33"/>
  <c r="AL104" i="33"/>
  <c r="AK104" i="33"/>
  <c r="AJ104" i="33"/>
  <c r="AI104" i="33"/>
  <c r="AH104" i="33"/>
  <c r="AG104" i="33"/>
  <c r="AF104" i="33"/>
  <c r="AE104" i="33"/>
  <c r="AD104" i="33"/>
  <c r="AC104" i="33"/>
  <c r="AB104" i="33"/>
  <c r="AA104" i="33"/>
  <c r="Z104" i="33"/>
  <c r="Y104" i="33"/>
  <c r="X104" i="33"/>
  <c r="W104" i="33"/>
  <c r="V104" i="33"/>
  <c r="U104" i="33"/>
  <c r="T104" i="33"/>
  <c r="S104" i="33"/>
  <c r="H104" i="33"/>
  <c r="F104" i="33"/>
  <c r="G104" i="33" s="1"/>
  <c r="D104" i="33"/>
  <c r="AX103" i="33"/>
  <c r="AU103" i="33"/>
  <c r="AR103" i="33"/>
  <c r="AQ103" i="33"/>
  <c r="AN103" i="33"/>
  <c r="AL103" i="33"/>
  <c r="AK103" i="33"/>
  <c r="AJ103" i="33"/>
  <c r="AI103" i="33"/>
  <c r="AH103" i="33"/>
  <c r="AG103" i="33"/>
  <c r="AF103" i="33"/>
  <c r="AE103" i="33"/>
  <c r="AD103" i="33"/>
  <c r="AC103" i="33"/>
  <c r="AB103" i="33"/>
  <c r="AA103" i="33"/>
  <c r="Z103" i="33"/>
  <c r="Y103" i="33"/>
  <c r="X103" i="33"/>
  <c r="W103" i="33"/>
  <c r="V103" i="33"/>
  <c r="U103" i="33"/>
  <c r="T103" i="33"/>
  <c r="S103" i="33"/>
  <c r="H103" i="33"/>
  <c r="F103" i="33"/>
  <c r="G103" i="33" s="1"/>
  <c r="D103" i="33"/>
  <c r="AX102" i="33"/>
  <c r="AU102" i="33"/>
  <c r="AR102" i="33"/>
  <c r="AQ102" i="33"/>
  <c r="AN102" i="33"/>
  <c r="AL102" i="33"/>
  <c r="AK102" i="33"/>
  <c r="AJ102" i="33"/>
  <c r="AI102" i="33"/>
  <c r="AH102" i="33"/>
  <c r="AG102" i="33"/>
  <c r="AF102" i="33"/>
  <c r="AE102" i="33"/>
  <c r="AD102" i="33"/>
  <c r="AC102" i="33"/>
  <c r="AB102" i="33"/>
  <c r="AA102" i="33"/>
  <c r="Z102" i="33"/>
  <c r="Y102" i="33"/>
  <c r="X102" i="33"/>
  <c r="W102" i="33"/>
  <c r="V102" i="33"/>
  <c r="U102" i="33"/>
  <c r="T102" i="33"/>
  <c r="S102" i="33"/>
  <c r="H102" i="33"/>
  <c r="F102" i="33"/>
  <c r="G102" i="33" s="1"/>
  <c r="D102" i="33"/>
  <c r="AX101" i="33"/>
  <c r="AU101" i="33"/>
  <c r="AR101" i="33"/>
  <c r="AQ101" i="33"/>
  <c r="AN101" i="33"/>
  <c r="AL101" i="33"/>
  <c r="AK101" i="33"/>
  <c r="AJ101" i="33"/>
  <c r="AI101" i="33"/>
  <c r="AH101" i="33"/>
  <c r="AG101" i="33"/>
  <c r="AF101" i="33"/>
  <c r="AE101" i="33"/>
  <c r="AD101" i="33"/>
  <c r="AC101" i="33"/>
  <c r="AB101" i="33"/>
  <c r="AA101" i="33"/>
  <c r="Z101" i="33"/>
  <c r="Y101" i="33"/>
  <c r="X101" i="33"/>
  <c r="W101" i="33"/>
  <c r="V101" i="33"/>
  <c r="U101" i="33"/>
  <c r="T101" i="33"/>
  <c r="S101" i="33"/>
  <c r="H101" i="33"/>
  <c r="F101" i="33"/>
  <c r="G101" i="33" s="1"/>
  <c r="D101" i="33"/>
  <c r="AX100" i="33"/>
  <c r="AU100" i="33"/>
  <c r="AR100" i="33"/>
  <c r="AQ100" i="33"/>
  <c r="AN100" i="33"/>
  <c r="AL100" i="33"/>
  <c r="AK100" i="33"/>
  <c r="AJ100" i="33"/>
  <c r="AI100" i="33"/>
  <c r="AH100" i="33"/>
  <c r="AG100" i="33"/>
  <c r="AF100" i="33"/>
  <c r="AE100" i="33"/>
  <c r="AD100" i="33"/>
  <c r="AC100" i="33"/>
  <c r="AB100" i="33"/>
  <c r="AA100" i="33"/>
  <c r="Z100" i="33"/>
  <c r="Y100" i="33"/>
  <c r="X100" i="33"/>
  <c r="W100" i="33"/>
  <c r="V100" i="33"/>
  <c r="U100" i="33"/>
  <c r="T100" i="33"/>
  <c r="S100" i="33"/>
  <c r="H100" i="33"/>
  <c r="F100" i="33"/>
  <c r="G100" i="33" s="1"/>
  <c r="D100" i="33"/>
  <c r="AX99" i="33"/>
  <c r="AU99" i="33"/>
  <c r="AR99" i="33"/>
  <c r="AQ99" i="33"/>
  <c r="AN99" i="33"/>
  <c r="AL99" i="33"/>
  <c r="AK99" i="33"/>
  <c r="AJ99" i="33"/>
  <c r="AI99" i="33"/>
  <c r="AH99" i="33"/>
  <c r="AG99" i="33"/>
  <c r="AF99" i="33"/>
  <c r="AE99" i="33"/>
  <c r="AD99" i="33"/>
  <c r="AC99" i="33"/>
  <c r="AB99" i="33"/>
  <c r="AA99" i="33"/>
  <c r="Z99" i="33"/>
  <c r="Y99" i="33"/>
  <c r="X99" i="33"/>
  <c r="W99" i="33"/>
  <c r="V99" i="33"/>
  <c r="U99" i="33"/>
  <c r="T99" i="33"/>
  <c r="S99" i="33"/>
  <c r="H99" i="33"/>
  <c r="F99" i="33"/>
  <c r="G99" i="33" s="1"/>
  <c r="D99" i="33"/>
  <c r="AX98" i="33"/>
  <c r="AU98" i="33"/>
  <c r="AR98" i="33"/>
  <c r="AQ98" i="33"/>
  <c r="AN98" i="33"/>
  <c r="AL98" i="33"/>
  <c r="AK98" i="33"/>
  <c r="AJ98" i="33"/>
  <c r="AI98" i="33"/>
  <c r="AH98" i="33"/>
  <c r="AG98" i="33"/>
  <c r="AF98" i="33"/>
  <c r="AE98" i="33"/>
  <c r="AD98" i="33"/>
  <c r="AC98" i="33"/>
  <c r="AB98" i="33"/>
  <c r="AA98" i="33"/>
  <c r="Z98" i="33"/>
  <c r="Y98" i="33"/>
  <c r="X98" i="33"/>
  <c r="W98" i="33"/>
  <c r="V98" i="33"/>
  <c r="U98" i="33"/>
  <c r="T98" i="33"/>
  <c r="S98" i="33"/>
  <c r="H98" i="33"/>
  <c r="F98" i="33"/>
  <c r="G98" i="33" s="1"/>
  <c r="D98" i="33"/>
  <c r="AX97" i="33"/>
  <c r="AU97" i="33"/>
  <c r="AR97" i="33"/>
  <c r="AQ97" i="33"/>
  <c r="AN97" i="33"/>
  <c r="AL97" i="33"/>
  <c r="AK97" i="33"/>
  <c r="AJ97" i="33"/>
  <c r="AI97" i="33"/>
  <c r="AH97" i="33"/>
  <c r="AG97" i="33"/>
  <c r="AF97" i="33"/>
  <c r="AE97" i="33"/>
  <c r="AD97" i="33"/>
  <c r="AC97" i="33"/>
  <c r="AB97" i="33"/>
  <c r="AA97" i="33"/>
  <c r="Z97" i="33"/>
  <c r="Y97" i="33"/>
  <c r="X97" i="33"/>
  <c r="W97" i="33"/>
  <c r="V97" i="33"/>
  <c r="U97" i="33"/>
  <c r="T97" i="33"/>
  <c r="S97" i="33"/>
  <c r="H97" i="33"/>
  <c r="F97" i="33"/>
  <c r="G97" i="33" s="1"/>
  <c r="D97" i="33"/>
  <c r="AX96" i="33"/>
  <c r="AU96" i="33"/>
  <c r="AR96" i="33"/>
  <c r="AQ96" i="33"/>
  <c r="AN96" i="33"/>
  <c r="AL96" i="33"/>
  <c r="AK96" i="33"/>
  <c r="AJ96" i="33"/>
  <c r="AI96" i="33"/>
  <c r="AH96" i="33"/>
  <c r="AG96" i="33"/>
  <c r="AF96" i="33"/>
  <c r="AE96" i="33"/>
  <c r="AD96" i="33"/>
  <c r="AC96" i="33"/>
  <c r="AB96" i="33"/>
  <c r="AA96" i="33"/>
  <c r="Z96" i="33"/>
  <c r="Y96" i="33"/>
  <c r="X96" i="33"/>
  <c r="W96" i="33"/>
  <c r="V96" i="33"/>
  <c r="U96" i="33"/>
  <c r="T96" i="33"/>
  <c r="S96" i="33"/>
  <c r="H96" i="33"/>
  <c r="F96" i="33"/>
  <c r="G96" i="33" s="1"/>
  <c r="D96" i="33"/>
  <c r="AX95" i="33"/>
  <c r="AU95" i="33"/>
  <c r="AR95" i="33"/>
  <c r="AQ95" i="33"/>
  <c r="AN95" i="33"/>
  <c r="AL95" i="33"/>
  <c r="AK95" i="33"/>
  <c r="AJ95" i="33"/>
  <c r="AI95" i="33"/>
  <c r="AH95" i="33"/>
  <c r="AG95" i="33"/>
  <c r="AF95" i="33"/>
  <c r="AE95" i="33"/>
  <c r="AD95" i="33"/>
  <c r="AC95" i="33"/>
  <c r="AB95" i="33"/>
  <c r="AA95" i="33"/>
  <c r="Z95" i="33"/>
  <c r="Y95" i="33"/>
  <c r="X95" i="33"/>
  <c r="W95" i="33"/>
  <c r="V95" i="33"/>
  <c r="U95" i="33"/>
  <c r="T95" i="33"/>
  <c r="S95" i="33"/>
  <c r="H95" i="33"/>
  <c r="F95" i="33"/>
  <c r="G95" i="33" s="1"/>
  <c r="D95" i="33"/>
  <c r="AX94" i="33"/>
  <c r="AU94" i="33"/>
  <c r="AR94" i="33"/>
  <c r="AQ94" i="33"/>
  <c r="AN94" i="33"/>
  <c r="AL94" i="33"/>
  <c r="AK94" i="33"/>
  <c r="AJ94" i="33"/>
  <c r="AI94" i="33"/>
  <c r="AH94" i="33"/>
  <c r="AG94" i="33"/>
  <c r="AF94" i="33"/>
  <c r="AE94" i="33"/>
  <c r="AD94" i="33"/>
  <c r="AC94" i="33"/>
  <c r="AB94" i="33"/>
  <c r="AA94" i="33"/>
  <c r="Z94" i="33"/>
  <c r="Y94" i="33"/>
  <c r="X94" i="33"/>
  <c r="W94" i="33"/>
  <c r="V94" i="33"/>
  <c r="U94" i="33"/>
  <c r="T94" i="33"/>
  <c r="S94" i="33"/>
  <c r="H94" i="33"/>
  <c r="F94" i="33"/>
  <c r="G94" i="33" s="1"/>
  <c r="D94" i="33"/>
  <c r="AX93" i="33"/>
  <c r="AU93" i="33"/>
  <c r="AR93" i="33"/>
  <c r="AQ93" i="33"/>
  <c r="AN93" i="33"/>
  <c r="AL93" i="33"/>
  <c r="AK93" i="33"/>
  <c r="AJ93" i="33"/>
  <c r="AI93" i="33"/>
  <c r="AH93" i="33"/>
  <c r="AG93" i="33"/>
  <c r="AF93" i="33"/>
  <c r="AE93" i="33"/>
  <c r="AD93" i="33"/>
  <c r="AC93" i="33"/>
  <c r="AB93" i="33"/>
  <c r="AA93" i="33"/>
  <c r="Z93" i="33"/>
  <c r="Y93" i="33"/>
  <c r="X93" i="33"/>
  <c r="W93" i="33"/>
  <c r="V93" i="33"/>
  <c r="U93" i="33"/>
  <c r="T93" i="33"/>
  <c r="S93" i="33"/>
  <c r="H93" i="33"/>
  <c r="F93" i="33"/>
  <c r="G93" i="33" s="1"/>
  <c r="D93" i="33"/>
  <c r="AX92" i="33"/>
  <c r="AU92" i="33"/>
  <c r="AR92" i="33"/>
  <c r="AQ92" i="33"/>
  <c r="AN92" i="33"/>
  <c r="AL92" i="33"/>
  <c r="AK92" i="33"/>
  <c r="AJ92" i="33"/>
  <c r="AI92" i="33"/>
  <c r="AH92" i="33"/>
  <c r="AG92" i="33"/>
  <c r="AF92" i="33"/>
  <c r="AE92" i="33"/>
  <c r="AD92" i="33"/>
  <c r="AC92" i="33"/>
  <c r="AB92" i="33"/>
  <c r="AA92" i="33"/>
  <c r="Z92" i="33"/>
  <c r="Y92" i="33"/>
  <c r="X92" i="33"/>
  <c r="W92" i="33"/>
  <c r="V92" i="33"/>
  <c r="U92" i="33"/>
  <c r="T92" i="33"/>
  <c r="S92" i="33"/>
  <c r="H92" i="33"/>
  <c r="F92" i="33"/>
  <c r="G92" i="33" s="1"/>
  <c r="D92" i="33"/>
  <c r="AX91" i="33"/>
  <c r="AU91" i="33"/>
  <c r="AR91" i="33"/>
  <c r="AQ91" i="33"/>
  <c r="AN91" i="33"/>
  <c r="AL91" i="33"/>
  <c r="AK91" i="33"/>
  <c r="AJ91" i="33"/>
  <c r="AI91" i="33"/>
  <c r="AH91" i="33"/>
  <c r="AG91" i="33"/>
  <c r="AF91" i="33"/>
  <c r="AE91" i="33"/>
  <c r="AD91" i="33"/>
  <c r="AC91" i="33"/>
  <c r="AB91" i="33"/>
  <c r="AA91" i="33"/>
  <c r="Z91" i="33"/>
  <c r="Y91" i="33"/>
  <c r="X91" i="33"/>
  <c r="W91" i="33"/>
  <c r="V91" i="33"/>
  <c r="U91" i="33"/>
  <c r="T91" i="33"/>
  <c r="S91" i="33"/>
  <c r="H91" i="33"/>
  <c r="F91" i="33"/>
  <c r="G91" i="33" s="1"/>
  <c r="D91" i="33"/>
  <c r="AX90" i="33"/>
  <c r="AU90" i="33"/>
  <c r="AR90" i="33"/>
  <c r="AQ90" i="33"/>
  <c r="AN90" i="33"/>
  <c r="AL90" i="33"/>
  <c r="AK90" i="33"/>
  <c r="AJ90" i="33"/>
  <c r="AI90" i="33"/>
  <c r="AH90" i="33"/>
  <c r="AG90" i="33"/>
  <c r="AF90" i="33"/>
  <c r="AE90" i="33"/>
  <c r="AD90" i="33"/>
  <c r="AC90" i="33"/>
  <c r="AB90" i="33"/>
  <c r="AA90" i="33"/>
  <c r="Z90" i="33"/>
  <c r="Y90" i="33"/>
  <c r="X90" i="33"/>
  <c r="W90" i="33"/>
  <c r="V90" i="33"/>
  <c r="U90" i="33"/>
  <c r="T90" i="33"/>
  <c r="S90" i="33"/>
  <c r="H90" i="33"/>
  <c r="F90" i="33"/>
  <c r="G90" i="33" s="1"/>
  <c r="D90" i="33"/>
  <c r="AX89" i="33"/>
  <c r="AU89" i="33"/>
  <c r="AR89" i="33"/>
  <c r="AQ89" i="33"/>
  <c r="AN89" i="33"/>
  <c r="AL89" i="33"/>
  <c r="AK89" i="33"/>
  <c r="AJ89" i="33"/>
  <c r="AI89" i="33"/>
  <c r="AH89" i="33"/>
  <c r="AG89" i="33"/>
  <c r="AF89" i="33"/>
  <c r="AE89" i="33"/>
  <c r="AD89" i="33"/>
  <c r="AC89" i="33"/>
  <c r="AB89" i="33"/>
  <c r="AA89" i="33"/>
  <c r="Z89" i="33"/>
  <c r="Y89" i="33"/>
  <c r="X89" i="33"/>
  <c r="W89" i="33"/>
  <c r="V89" i="33"/>
  <c r="U89" i="33"/>
  <c r="T89" i="33"/>
  <c r="S89" i="33"/>
  <c r="H89" i="33"/>
  <c r="F89" i="33"/>
  <c r="G89" i="33" s="1"/>
  <c r="D89" i="33"/>
  <c r="AX88" i="33"/>
  <c r="AU88" i="33"/>
  <c r="AR88" i="33"/>
  <c r="AQ88" i="33"/>
  <c r="AN88" i="33"/>
  <c r="AL88" i="33"/>
  <c r="AK88" i="33"/>
  <c r="AJ88" i="33"/>
  <c r="AI88" i="33"/>
  <c r="AH88" i="33"/>
  <c r="AG88" i="33"/>
  <c r="AF88" i="33"/>
  <c r="AE88" i="33"/>
  <c r="AD88" i="33"/>
  <c r="AC88" i="33"/>
  <c r="AB88" i="33"/>
  <c r="AA88" i="33"/>
  <c r="Z88" i="33"/>
  <c r="Y88" i="33"/>
  <c r="X88" i="33"/>
  <c r="W88" i="33"/>
  <c r="V88" i="33"/>
  <c r="U88" i="33"/>
  <c r="T88" i="33"/>
  <c r="S88" i="33"/>
  <c r="H88" i="33"/>
  <c r="F88" i="33"/>
  <c r="G88" i="33" s="1"/>
  <c r="D88" i="33"/>
  <c r="AX87" i="33"/>
  <c r="AU87" i="33"/>
  <c r="AR87" i="33"/>
  <c r="AQ87" i="33"/>
  <c r="AN87" i="33"/>
  <c r="AL87" i="33"/>
  <c r="AK87" i="33"/>
  <c r="AJ87" i="33"/>
  <c r="AI87" i="33"/>
  <c r="AH87" i="33"/>
  <c r="AG87" i="33"/>
  <c r="AF87" i="33"/>
  <c r="AE87" i="33"/>
  <c r="AD87" i="33"/>
  <c r="AC87" i="33"/>
  <c r="AB87" i="33"/>
  <c r="AA87" i="33"/>
  <c r="Z87" i="33"/>
  <c r="Y87" i="33"/>
  <c r="X87" i="33"/>
  <c r="W87" i="33"/>
  <c r="V87" i="33"/>
  <c r="U87" i="33"/>
  <c r="T87" i="33"/>
  <c r="S87" i="33"/>
  <c r="H87" i="33"/>
  <c r="F87" i="33"/>
  <c r="G87" i="33" s="1"/>
  <c r="D87" i="33"/>
  <c r="AX86" i="33"/>
  <c r="AU86" i="33"/>
  <c r="AR86" i="33"/>
  <c r="AQ86" i="33"/>
  <c r="AN86" i="33"/>
  <c r="AL86" i="33"/>
  <c r="AK86" i="33"/>
  <c r="AJ86" i="33"/>
  <c r="AI86" i="33"/>
  <c r="AH86" i="33"/>
  <c r="AG86" i="33"/>
  <c r="AF86" i="33"/>
  <c r="AE86" i="33"/>
  <c r="AD86" i="33"/>
  <c r="AC86" i="33"/>
  <c r="AB86" i="33"/>
  <c r="AA86" i="33"/>
  <c r="Z86" i="33"/>
  <c r="Y86" i="33"/>
  <c r="X86" i="33"/>
  <c r="W86" i="33"/>
  <c r="V86" i="33"/>
  <c r="U86" i="33"/>
  <c r="T86" i="33"/>
  <c r="S86" i="33"/>
  <c r="H86" i="33"/>
  <c r="F86" i="33"/>
  <c r="G86" i="33" s="1"/>
  <c r="D86" i="33"/>
  <c r="AX85" i="33"/>
  <c r="AU85" i="33"/>
  <c r="AR85" i="33"/>
  <c r="AQ85" i="33"/>
  <c r="AN85" i="33"/>
  <c r="AL85" i="33"/>
  <c r="AK85" i="33"/>
  <c r="AJ85" i="33"/>
  <c r="AI85" i="33"/>
  <c r="AH85" i="33"/>
  <c r="AG85" i="33"/>
  <c r="AF85" i="33"/>
  <c r="AE85" i="33"/>
  <c r="AD85" i="33"/>
  <c r="AC85" i="33"/>
  <c r="AB85" i="33"/>
  <c r="AA85" i="33"/>
  <c r="Z85" i="33"/>
  <c r="Y85" i="33"/>
  <c r="X85" i="33"/>
  <c r="W85" i="33"/>
  <c r="V85" i="33"/>
  <c r="U85" i="33"/>
  <c r="T85" i="33"/>
  <c r="S85" i="33"/>
  <c r="H85" i="33"/>
  <c r="F85" i="33"/>
  <c r="G85" i="33" s="1"/>
  <c r="D85" i="33"/>
  <c r="AX84" i="33"/>
  <c r="AU84" i="33"/>
  <c r="AR84" i="33"/>
  <c r="AQ84" i="33"/>
  <c r="AN84" i="33"/>
  <c r="AL84" i="33"/>
  <c r="AK84" i="33"/>
  <c r="AJ84" i="33"/>
  <c r="AI84" i="33"/>
  <c r="AH84" i="33"/>
  <c r="AG84" i="33"/>
  <c r="AF84" i="33"/>
  <c r="AE84" i="33"/>
  <c r="AD84" i="33"/>
  <c r="AC84" i="33"/>
  <c r="AB84" i="33"/>
  <c r="AA84" i="33"/>
  <c r="Z84" i="33"/>
  <c r="Y84" i="33"/>
  <c r="X84" i="33"/>
  <c r="W84" i="33"/>
  <c r="V84" i="33"/>
  <c r="U84" i="33"/>
  <c r="T84" i="33"/>
  <c r="S84" i="33"/>
  <c r="H84" i="33"/>
  <c r="F84" i="33"/>
  <c r="G84" i="33" s="1"/>
  <c r="D84" i="33"/>
  <c r="AX83" i="33"/>
  <c r="AU83" i="33"/>
  <c r="AR83" i="33"/>
  <c r="AQ83" i="33"/>
  <c r="AN83" i="33"/>
  <c r="AL83" i="33"/>
  <c r="AK83" i="33"/>
  <c r="AJ83" i="33"/>
  <c r="AI83" i="33"/>
  <c r="AH83" i="33"/>
  <c r="AG83" i="33"/>
  <c r="AF83" i="33"/>
  <c r="AE83" i="33"/>
  <c r="AD83" i="33"/>
  <c r="AC83" i="33"/>
  <c r="AB83" i="33"/>
  <c r="AA83" i="33"/>
  <c r="Z83" i="33"/>
  <c r="Y83" i="33"/>
  <c r="X83" i="33"/>
  <c r="W83" i="33"/>
  <c r="V83" i="33"/>
  <c r="U83" i="33"/>
  <c r="T83" i="33"/>
  <c r="S83" i="33"/>
  <c r="H83" i="33"/>
  <c r="F83" i="33"/>
  <c r="G83" i="33" s="1"/>
  <c r="D83" i="33"/>
  <c r="AX82" i="33"/>
  <c r="AU82" i="33"/>
  <c r="AR82" i="33"/>
  <c r="AQ82" i="33"/>
  <c r="AN82" i="33"/>
  <c r="AL82" i="33"/>
  <c r="AK82" i="33"/>
  <c r="AJ82" i="33"/>
  <c r="AI82" i="33"/>
  <c r="AH82" i="33"/>
  <c r="AG82" i="33"/>
  <c r="AF82" i="33"/>
  <c r="AE82" i="33"/>
  <c r="AD82" i="33"/>
  <c r="AC82" i="33"/>
  <c r="AB82" i="33"/>
  <c r="AA82" i="33"/>
  <c r="Z82" i="33"/>
  <c r="Y82" i="33"/>
  <c r="X82" i="33"/>
  <c r="W82" i="33"/>
  <c r="V82" i="33"/>
  <c r="U82" i="33"/>
  <c r="T82" i="33"/>
  <c r="S82" i="33"/>
  <c r="H82" i="33"/>
  <c r="F82" i="33"/>
  <c r="G82" i="33" s="1"/>
  <c r="D82" i="33"/>
  <c r="AX81" i="33"/>
  <c r="AU81" i="33"/>
  <c r="AR81" i="33"/>
  <c r="AQ81" i="33"/>
  <c r="AN81" i="33"/>
  <c r="AL81" i="33"/>
  <c r="AK81" i="33"/>
  <c r="AJ81" i="33"/>
  <c r="AI81" i="33"/>
  <c r="AH81" i="33"/>
  <c r="AG81" i="33"/>
  <c r="AF81" i="33"/>
  <c r="AE81" i="33"/>
  <c r="AD81" i="33"/>
  <c r="AC81" i="33"/>
  <c r="AB81" i="33"/>
  <c r="AA81" i="33"/>
  <c r="Z81" i="33"/>
  <c r="Y81" i="33"/>
  <c r="X81" i="33"/>
  <c r="W81" i="33"/>
  <c r="V81" i="33"/>
  <c r="U81" i="33"/>
  <c r="T81" i="33"/>
  <c r="S81" i="33"/>
  <c r="H81" i="33"/>
  <c r="F81" i="33"/>
  <c r="G81" i="33" s="1"/>
  <c r="D81" i="33"/>
  <c r="AX80" i="33"/>
  <c r="AU80" i="33"/>
  <c r="AR80" i="33"/>
  <c r="AQ80" i="33"/>
  <c r="AN80" i="33"/>
  <c r="AL80" i="33"/>
  <c r="AK80" i="33"/>
  <c r="AJ80" i="33"/>
  <c r="AI80" i="33"/>
  <c r="AH80" i="33"/>
  <c r="AG80" i="33"/>
  <c r="AF80" i="33"/>
  <c r="AE80" i="33"/>
  <c r="AD80" i="33"/>
  <c r="AC80" i="33"/>
  <c r="AB80" i="33"/>
  <c r="AA80" i="33"/>
  <c r="Z80" i="33"/>
  <c r="Y80" i="33"/>
  <c r="X80" i="33"/>
  <c r="W80" i="33"/>
  <c r="V80" i="33"/>
  <c r="U80" i="33"/>
  <c r="T80" i="33"/>
  <c r="S80" i="33"/>
  <c r="H80" i="33"/>
  <c r="F80" i="33"/>
  <c r="G80" i="33" s="1"/>
  <c r="D80" i="33"/>
  <c r="AX79" i="33"/>
  <c r="AU79" i="33"/>
  <c r="AR79" i="33"/>
  <c r="AQ79" i="33"/>
  <c r="AN79" i="33"/>
  <c r="AL79" i="33"/>
  <c r="AK79" i="33"/>
  <c r="AJ79" i="33"/>
  <c r="AI79" i="33"/>
  <c r="AH79" i="33"/>
  <c r="AG79" i="33"/>
  <c r="AF79" i="33"/>
  <c r="AE79" i="33"/>
  <c r="AD79" i="33"/>
  <c r="AC79" i="33"/>
  <c r="AB79" i="33"/>
  <c r="AA79" i="33"/>
  <c r="Z79" i="33"/>
  <c r="Y79" i="33"/>
  <c r="X79" i="33"/>
  <c r="W79" i="33"/>
  <c r="V79" i="33"/>
  <c r="U79" i="33"/>
  <c r="T79" i="33"/>
  <c r="S79" i="33"/>
  <c r="H79" i="33"/>
  <c r="F79" i="33"/>
  <c r="G79" i="33" s="1"/>
  <c r="D79" i="33"/>
  <c r="AX78" i="33"/>
  <c r="AU78" i="33"/>
  <c r="AR78" i="33"/>
  <c r="AQ78" i="33"/>
  <c r="AN78" i="33"/>
  <c r="AL78" i="33"/>
  <c r="AK78" i="33"/>
  <c r="AJ78" i="33"/>
  <c r="AI78" i="33"/>
  <c r="AH78" i="33"/>
  <c r="AG78" i="33"/>
  <c r="AF78" i="33"/>
  <c r="AE78" i="33"/>
  <c r="AD78" i="33"/>
  <c r="AC78" i="33"/>
  <c r="AB78" i="33"/>
  <c r="AA78" i="33"/>
  <c r="Z78" i="33"/>
  <c r="Y78" i="33"/>
  <c r="X78" i="33"/>
  <c r="W78" i="33"/>
  <c r="V78" i="33"/>
  <c r="U78" i="33"/>
  <c r="T78" i="33"/>
  <c r="S78" i="33"/>
  <c r="H78" i="33"/>
  <c r="F78" i="33"/>
  <c r="G78" i="33" s="1"/>
  <c r="D78" i="33"/>
  <c r="AX77" i="33"/>
  <c r="AU77" i="33"/>
  <c r="AR77" i="33"/>
  <c r="AQ77" i="33"/>
  <c r="AN77" i="33"/>
  <c r="AL77" i="33"/>
  <c r="AK77" i="33"/>
  <c r="AJ77" i="33"/>
  <c r="AI77" i="33"/>
  <c r="AH77" i="33"/>
  <c r="AG77" i="33"/>
  <c r="AF77" i="33"/>
  <c r="AE77" i="33"/>
  <c r="AD77" i="33"/>
  <c r="AC77" i="33"/>
  <c r="AB77" i="33"/>
  <c r="AA77" i="33"/>
  <c r="Z77" i="33"/>
  <c r="Y77" i="33"/>
  <c r="X77" i="33"/>
  <c r="W77" i="33"/>
  <c r="V77" i="33"/>
  <c r="U77" i="33"/>
  <c r="T77" i="33"/>
  <c r="S77" i="33"/>
  <c r="H77" i="33"/>
  <c r="F77" i="33"/>
  <c r="G77" i="33" s="1"/>
  <c r="D77" i="33"/>
  <c r="AX76" i="33"/>
  <c r="AU76" i="33"/>
  <c r="AR76" i="33"/>
  <c r="AQ76" i="33"/>
  <c r="AN76" i="33"/>
  <c r="AL76" i="33"/>
  <c r="AK76" i="33"/>
  <c r="AJ76" i="33"/>
  <c r="AI76" i="33"/>
  <c r="AH76" i="33"/>
  <c r="AG76" i="33"/>
  <c r="AF76" i="33"/>
  <c r="AE76" i="33"/>
  <c r="AD76" i="33"/>
  <c r="AC76" i="33"/>
  <c r="AB76" i="33"/>
  <c r="AA76" i="33"/>
  <c r="Z76" i="33"/>
  <c r="Y76" i="33"/>
  <c r="X76" i="33"/>
  <c r="W76" i="33"/>
  <c r="V76" i="33"/>
  <c r="U76" i="33"/>
  <c r="T76" i="33"/>
  <c r="S76" i="33"/>
  <c r="H76" i="33"/>
  <c r="F76" i="33"/>
  <c r="G76" i="33" s="1"/>
  <c r="D76" i="33"/>
  <c r="AX75" i="33"/>
  <c r="AU75" i="33"/>
  <c r="AR75" i="33"/>
  <c r="AQ75" i="33"/>
  <c r="AN75" i="33"/>
  <c r="AL75" i="33"/>
  <c r="AK75" i="33"/>
  <c r="AJ75" i="33"/>
  <c r="AI75" i="33"/>
  <c r="AH75" i="33"/>
  <c r="AG75" i="33"/>
  <c r="AF75" i="33"/>
  <c r="AE75" i="33"/>
  <c r="AD75" i="33"/>
  <c r="AC75" i="33"/>
  <c r="AB75" i="33"/>
  <c r="AA75" i="33"/>
  <c r="Z75" i="33"/>
  <c r="Y75" i="33"/>
  <c r="X75" i="33"/>
  <c r="W75" i="33"/>
  <c r="V75" i="33"/>
  <c r="U75" i="33"/>
  <c r="T75" i="33"/>
  <c r="S75" i="33"/>
  <c r="H75" i="33"/>
  <c r="F75" i="33"/>
  <c r="G75" i="33" s="1"/>
  <c r="D75" i="33"/>
  <c r="AX74" i="33"/>
  <c r="AU74" i="33"/>
  <c r="AR74" i="33"/>
  <c r="AQ74" i="33"/>
  <c r="AN74" i="33"/>
  <c r="AL74" i="33"/>
  <c r="AK74" i="33"/>
  <c r="AJ74" i="33"/>
  <c r="AI74" i="33"/>
  <c r="AH74" i="33"/>
  <c r="AG74" i="33"/>
  <c r="AF74" i="33"/>
  <c r="AE74" i="33"/>
  <c r="AD74" i="33"/>
  <c r="AC74" i="33"/>
  <c r="AB74" i="33"/>
  <c r="AA74" i="33"/>
  <c r="Z74" i="33"/>
  <c r="Y74" i="33"/>
  <c r="X74" i="33"/>
  <c r="W74" i="33"/>
  <c r="V74" i="33"/>
  <c r="U74" i="33"/>
  <c r="T74" i="33"/>
  <c r="S74" i="33"/>
  <c r="H74" i="33"/>
  <c r="F74" i="33"/>
  <c r="G74" i="33" s="1"/>
  <c r="D74" i="33"/>
  <c r="AX73" i="33"/>
  <c r="AU73" i="33"/>
  <c r="AR73" i="33"/>
  <c r="AQ73" i="33"/>
  <c r="AN73" i="33"/>
  <c r="AL73" i="33"/>
  <c r="AK73" i="33"/>
  <c r="AJ73" i="33"/>
  <c r="AI73" i="33"/>
  <c r="AH73" i="33"/>
  <c r="AG73" i="33"/>
  <c r="AF73" i="33"/>
  <c r="AE73" i="33"/>
  <c r="AD73" i="33"/>
  <c r="AC73" i="33"/>
  <c r="AB73" i="33"/>
  <c r="AA73" i="33"/>
  <c r="Z73" i="33"/>
  <c r="Y73" i="33"/>
  <c r="X73" i="33"/>
  <c r="W73" i="33"/>
  <c r="V73" i="33"/>
  <c r="U73" i="33"/>
  <c r="T73" i="33"/>
  <c r="S73" i="33"/>
  <c r="H73" i="33"/>
  <c r="F73" i="33"/>
  <c r="G73" i="33" s="1"/>
  <c r="D73" i="33"/>
  <c r="AX72" i="33"/>
  <c r="AU72" i="33"/>
  <c r="AR72" i="33"/>
  <c r="AQ72" i="33"/>
  <c r="AN72" i="33"/>
  <c r="AL72" i="33"/>
  <c r="AK72" i="33"/>
  <c r="AJ72" i="33"/>
  <c r="AI72" i="33"/>
  <c r="AH72" i="33"/>
  <c r="AG72" i="33"/>
  <c r="AF72" i="33"/>
  <c r="AE72" i="33"/>
  <c r="AD72" i="33"/>
  <c r="AC72" i="33"/>
  <c r="AB72" i="33"/>
  <c r="AA72" i="33"/>
  <c r="Z72" i="33"/>
  <c r="Y72" i="33"/>
  <c r="X72" i="33"/>
  <c r="W72" i="33"/>
  <c r="V72" i="33"/>
  <c r="U72" i="33"/>
  <c r="T72" i="33"/>
  <c r="S72" i="33"/>
  <c r="H72" i="33"/>
  <c r="F72" i="33"/>
  <c r="G72" i="33" s="1"/>
  <c r="D72" i="33"/>
  <c r="AX71" i="33"/>
  <c r="AU71" i="33"/>
  <c r="AR71" i="33"/>
  <c r="AQ71" i="33"/>
  <c r="AN71" i="33"/>
  <c r="AL71" i="33"/>
  <c r="AK71" i="33"/>
  <c r="AJ71" i="33"/>
  <c r="AI71" i="33"/>
  <c r="AH71" i="33"/>
  <c r="AG71" i="33"/>
  <c r="AF71" i="33"/>
  <c r="AE71" i="33"/>
  <c r="AD71" i="33"/>
  <c r="AC71" i="33"/>
  <c r="AB71" i="33"/>
  <c r="AA71" i="33"/>
  <c r="Z71" i="33"/>
  <c r="Y71" i="33"/>
  <c r="X71" i="33"/>
  <c r="W71" i="33"/>
  <c r="V71" i="33"/>
  <c r="U71" i="33"/>
  <c r="T71" i="33"/>
  <c r="S71" i="33"/>
  <c r="H71" i="33"/>
  <c r="F71" i="33"/>
  <c r="G71" i="33" s="1"/>
  <c r="D71" i="33"/>
  <c r="AX70" i="33"/>
  <c r="AU70" i="33"/>
  <c r="AR70" i="33"/>
  <c r="AQ70" i="33"/>
  <c r="AN70" i="33"/>
  <c r="AL70" i="33"/>
  <c r="AK70" i="33"/>
  <c r="AJ70" i="33"/>
  <c r="AI70" i="33"/>
  <c r="AH70" i="33"/>
  <c r="AG70" i="33"/>
  <c r="AF70" i="33"/>
  <c r="AE70" i="33"/>
  <c r="AD70" i="33"/>
  <c r="AC70" i="33"/>
  <c r="AB70" i="33"/>
  <c r="AA70" i="33"/>
  <c r="Z70" i="33"/>
  <c r="Y70" i="33"/>
  <c r="X70" i="33"/>
  <c r="W70" i="33"/>
  <c r="V70" i="33"/>
  <c r="U70" i="33"/>
  <c r="T70" i="33"/>
  <c r="S70" i="33"/>
  <c r="H70" i="33"/>
  <c r="F70" i="33"/>
  <c r="G70" i="33" s="1"/>
  <c r="D70" i="33"/>
  <c r="AX69" i="33"/>
  <c r="AU69" i="33"/>
  <c r="AR69" i="33"/>
  <c r="AQ69" i="33"/>
  <c r="AN69" i="33"/>
  <c r="AL69" i="33"/>
  <c r="AK69" i="33"/>
  <c r="AJ69" i="33"/>
  <c r="AI69" i="33"/>
  <c r="AH69" i="33"/>
  <c r="AG69" i="33"/>
  <c r="AF69" i="33"/>
  <c r="AE69" i="33"/>
  <c r="AD69" i="33"/>
  <c r="AC69" i="33"/>
  <c r="AB69" i="33"/>
  <c r="AA69" i="33"/>
  <c r="Z69" i="33"/>
  <c r="Y69" i="33"/>
  <c r="X69" i="33"/>
  <c r="W69" i="33"/>
  <c r="V69" i="33"/>
  <c r="U69" i="33"/>
  <c r="T69" i="33"/>
  <c r="S69" i="33"/>
  <c r="H69" i="33"/>
  <c r="F69" i="33"/>
  <c r="G69" i="33" s="1"/>
  <c r="D69" i="33"/>
  <c r="AX68" i="33"/>
  <c r="AU68" i="33"/>
  <c r="AR68" i="33"/>
  <c r="AQ68" i="33"/>
  <c r="AN68" i="33"/>
  <c r="AL68" i="33"/>
  <c r="AK68" i="33"/>
  <c r="AJ68" i="33"/>
  <c r="AI68" i="33"/>
  <c r="AH68" i="33"/>
  <c r="AG68" i="33"/>
  <c r="AF68" i="33"/>
  <c r="AE68" i="33"/>
  <c r="AD68" i="33"/>
  <c r="AC68" i="33"/>
  <c r="AB68" i="33"/>
  <c r="AA68" i="33"/>
  <c r="Z68" i="33"/>
  <c r="Y68" i="33"/>
  <c r="X68" i="33"/>
  <c r="W68" i="33"/>
  <c r="V68" i="33"/>
  <c r="U68" i="33"/>
  <c r="T68" i="33"/>
  <c r="S68" i="33"/>
  <c r="H68" i="33"/>
  <c r="F68" i="33"/>
  <c r="G68" i="33" s="1"/>
  <c r="D68" i="33"/>
  <c r="AX67" i="33"/>
  <c r="AU67" i="33"/>
  <c r="AR67" i="33"/>
  <c r="AQ67" i="33"/>
  <c r="AN67" i="33"/>
  <c r="AL67" i="33"/>
  <c r="AK67" i="33"/>
  <c r="AJ67" i="33"/>
  <c r="AI67" i="33"/>
  <c r="AH67" i="33"/>
  <c r="AG67" i="33"/>
  <c r="AF67" i="33"/>
  <c r="AE67" i="33"/>
  <c r="AD67" i="33"/>
  <c r="AC67" i="33"/>
  <c r="AB67" i="33"/>
  <c r="AA67" i="33"/>
  <c r="Z67" i="33"/>
  <c r="Y67" i="33"/>
  <c r="X67" i="33"/>
  <c r="W67" i="33"/>
  <c r="V67" i="33"/>
  <c r="U67" i="33"/>
  <c r="T67" i="33"/>
  <c r="S67" i="33"/>
  <c r="H67" i="33"/>
  <c r="F67" i="33"/>
  <c r="G67" i="33" s="1"/>
  <c r="D67" i="33"/>
  <c r="AX66" i="33"/>
  <c r="AU66" i="33"/>
  <c r="AR66" i="33"/>
  <c r="AQ66" i="33"/>
  <c r="AN66" i="33"/>
  <c r="AL66" i="33"/>
  <c r="AK66" i="33"/>
  <c r="AJ66" i="33"/>
  <c r="AI66" i="33"/>
  <c r="AH66" i="33"/>
  <c r="AG66" i="33"/>
  <c r="AF66" i="33"/>
  <c r="AE66" i="33"/>
  <c r="AD66" i="33"/>
  <c r="AC66" i="33"/>
  <c r="AB66" i="33"/>
  <c r="AA66" i="33"/>
  <c r="Z66" i="33"/>
  <c r="Y66" i="33"/>
  <c r="X66" i="33"/>
  <c r="W66" i="33"/>
  <c r="V66" i="33"/>
  <c r="U66" i="33"/>
  <c r="T66" i="33"/>
  <c r="S66" i="33"/>
  <c r="H66" i="33"/>
  <c r="F66" i="33"/>
  <c r="G66" i="33" s="1"/>
  <c r="D66" i="33"/>
  <c r="AX65" i="33"/>
  <c r="AU65" i="33"/>
  <c r="AR65" i="33"/>
  <c r="AQ65" i="33"/>
  <c r="AN65" i="33"/>
  <c r="AL65" i="33"/>
  <c r="AK65" i="33"/>
  <c r="AJ65" i="33"/>
  <c r="AI65" i="33"/>
  <c r="AH65" i="33"/>
  <c r="AG65" i="33"/>
  <c r="AF65" i="33"/>
  <c r="AE65" i="33"/>
  <c r="AD65" i="33"/>
  <c r="AC65" i="33"/>
  <c r="AB65" i="33"/>
  <c r="AA65" i="33"/>
  <c r="Z65" i="33"/>
  <c r="Y65" i="33"/>
  <c r="X65" i="33"/>
  <c r="W65" i="33"/>
  <c r="V65" i="33"/>
  <c r="U65" i="33"/>
  <c r="T65" i="33"/>
  <c r="S65" i="33"/>
  <c r="H65" i="33"/>
  <c r="F65" i="33"/>
  <c r="G65" i="33" s="1"/>
  <c r="D65" i="33"/>
  <c r="AX64" i="33"/>
  <c r="AU64" i="33"/>
  <c r="AR64" i="33"/>
  <c r="AQ64" i="33"/>
  <c r="AN64" i="33"/>
  <c r="AL64" i="33"/>
  <c r="AK64" i="33"/>
  <c r="AJ64" i="33"/>
  <c r="AI64" i="33"/>
  <c r="AH64" i="33"/>
  <c r="AG64" i="33"/>
  <c r="AF64" i="33"/>
  <c r="AE64" i="33"/>
  <c r="AD64" i="33"/>
  <c r="AC64" i="33"/>
  <c r="AB64" i="33"/>
  <c r="AA64" i="33"/>
  <c r="Z64" i="33"/>
  <c r="Y64" i="33"/>
  <c r="X64" i="33"/>
  <c r="W64" i="33"/>
  <c r="V64" i="33"/>
  <c r="U64" i="33"/>
  <c r="T64" i="33"/>
  <c r="S64" i="33"/>
  <c r="H64" i="33"/>
  <c r="F64" i="33"/>
  <c r="G64" i="33" s="1"/>
  <c r="D64" i="33"/>
  <c r="AX63" i="33"/>
  <c r="AU63" i="33"/>
  <c r="AR63" i="33"/>
  <c r="AQ63" i="33"/>
  <c r="AN63" i="33"/>
  <c r="AL63" i="33"/>
  <c r="AK63" i="33"/>
  <c r="AJ63" i="33"/>
  <c r="AI63" i="33"/>
  <c r="AH63" i="33"/>
  <c r="AG63" i="33"/>
  <c r="AF63" i="33"/>
  <c r="AE63" i="33"/>
  <c r="AD63" i="33"/>
  <c r="AC63" i="33"/>
  <c r="AB63" i="33"/>
  <c r="AA63" i="33"/>
  <c r="Z63" i="33"/>
  <c r="Y63" i="33"/>
  <c r="X63" i="33"/>
  <c r="W63" i="33"/>
  <c r="V63" i="33"/>
  <c r="U63" i="33"/>
  <c r="T63" i="33"/>
  <c r="S63" i="33"/>
  <c r="H63" i="33"/>
  <c r="F63" i="33"/>
  <c r="G63" i="33" s="1"/>
  <c r="D63" i="33"/>
  <c r="AX62" i="33"/>
  <c r="AU62" i="33"/>
  <c r="AR62" i="33"/>
  <c r="AQ62" i="33"/>
  <c r="AN62" i="33"/>
  <c r="AL62" i="33"/>
  <c r="AK62" i="33"/>
  <c r="AJ62" i="33"/>
  <c r="AI62" i="33"/>
  <c r="AH62" i="33"/>
  <c r="AG62" i="33"/>
  <c r="AF62" i="33"/>
  <c r="AE62" i="33"/>
  <c r="AD62" i="33"/>
  <c r="AC62" i="33"/>
  <c r="AB62" i="33"/>
  <c r="AA62" i="33"/>
  <c r="Z62" i="33"/>
  <c r="Y62" i="33"/>
  <c r="X62" i="33"/>
  <c r="W62" i="33"/>
  <c r="V62" i="33"/>
  <c r="U62" i="33"/>
  <c r="T62" i="33"/>
  <c r="S62" i="33"/>
  <c r="H62" i="33"/>
  <c r="F62" i="33"/>
  <c r="G62" i="33" s="1"/>
  <c r="D62" i="33"/>
  <c r="AX61" i="33"/>
  <c r="AU61" i="33"/>
  <c r="AR61" i="33"/>
  <c r="AQ61" i="33"/>
  <c r="AN61" i="33"/>
  <c r="AL61" i="33"/>
  <c r="AK61" i="33"/>
  <c r="AJ61" i="33"/>
  <c r="AI61" i="33"/>
  <c r="AH61" i="33"/>
  <c r="AG61" i="33"/>
  <c r="AF61" i="33"/>
  <c r="AE61" i="33"/>
  <c r="AD61" i="33"/>
  <c r="AC61" i="33"/>
  <c r="AB61" i="33"/>
  <c r="AA61" i="33"/>
  <c r="Z61" i="33"/>
  <c r="Y61" i="33"/>
  <c r="X61" i="33"/>
  <c r="W61" i="33"/>
  <c r="V61" i="33"/>
  <c r="U61" i="33"/>
  <c r="T61" i="33"/>
  <c r="S61" i="33"/>
  <c r="H61" i="33"/>
  <c r="F61" i="33"/>
  <c r="G61" i="33" s="1"/>
  <c r="D61" i="33"/>
  <c r="AX60" i="33"/>
  <c r="AU60" i="33"/>
  <c r="AR60" i="33"/>
  <c r="AQ60" i="33"/>
  <c r="AN60" i="33"/>
  <c r="AL60" i="33"/>
  <c r="AK60" i="33"/>
  <c r="AJ60" i="33"/>
  <c r="AI60" i="33"/>
  <c r="AH60" i="33"/>
  <c r="AG60" i="33"/>
  <c r="AF60" i="33"/>
  <c r="AE60" i="33"/>
  <c r="AD60" i="33"/>
  <c r="AC60" i="33"/>
  <c r="AB60" i="33"/>
  <c r="AA60" i="33"/>
  <c r="Z60" i="33"/>
  <c r="Y60" i="33"/>
  <c r="X60" i="33"/>
  <c r="W60" i="33"/>
  <c r="V60" i="33"/>
  <c r="U60" i="33"/>
  <c r="T60" i="33"/>
  <c r="S60" i="33"/>
  <c r="H60" i="33"/>
  <c r="F60" i="33"/>
  <c r="G60" i="33" s="1"/>
  <c r="D60" i="33"/>
  <c r="AX59" i="33"/>
  <c r="AU59" i="33"/>
  <c r="AR59" i="33"/>
  <c r="AQ59" i="33"/>
  <c r="AN59" i="33"/>
  <c r="AL59" i="33"/>
  <c r="AK59" i="33"/>
  <c r="AJ59" i="33"/>
  <c r="AI59" i="33"/>
  <c r="AH59" i="33"/>
  <c r="AG59" i="33"/>
  <c r="AF59" i="33"/>
  <c r="AE59" i="33"/>
  <c r="AD59" i="33"/>
  <c r="AC59" i="33"/>
  <c r="AB59" i="33"/>
  <c r="AA59" i="33"/>
  <c r="Z59" i="33"/>
  <c r="Y59" i="33"/>
  <c r="X59" i="33"/>
  <c r="W59" i="33"/>
  <c r="V59" i="33"/>
  <c r="U59" i="33"/>
  <c r="T59" i="33"/>
  <c r="S59" i="33"/>
  <c r="H59" i="33"/>
  <c r="F59" i="33"/>
  <c r="G59" i="33" s="1"/>
  <c r="D59" i="33"/>
  <c r="AX58" i="33"/>
  <c r="AU58" i="33"/>
  <c r="AR58" i="33"/>
  <c r="AQ58" i="33"/>
  <c r="AN58" i="33"/>
  <c r="AL58" i="33"/>
  <c r="AK58" i="33"/>
  <c r="AJ58" i="33"/>
  <c r="AI58" i="33"/>
  <c r="AH58" i="33"/>
  <c r="AG58" i="33"/>
  <c r="AF58" i="33"/>
  <c r="AE58" i="33"/>
  <c r="AD58" i="33"/>
  <c r="AC58" i="33"/>
  <c r="AB58" i="33"/>
  <c r="AA58" i="33"/>
  <c r="Z58" i="33"/>
  <c r="Y58" i="33"/>
  <c r="X58" i="33"/>
  <c r="W58" i="33"/>
  <c r="V58" i="33"/>
  <c r="U58" i="33"/>
  <c r="T58" i="33"/>
  <c r="S58" i="33"/>
  <c r="H58" i="33"/>
  <c r="F58" i="33"/>
  <c r="G58" i="33" s="1"/>
  <c r="D58" i="33"/>
  <c r="AX57" i="33"/>
  <c r="AU57" i="33"/>
  <c r="AR57" i="33"/>
  <c r="AQ57" i="33"/>
  <c r="AN57" i="33"/>
  <c r="AL57" i="33"/>
  <c r="AK57" i="33"/>
  <c r="AJ57" i="33"/>
  <c r="AI57" i="33"/>
  <c r="AH57" i="33"/>
  <c r="AG57" i="33"/>
  <c r="AF57" i="33"/>
  <c r="AE57" i="33"/>
  <c r="AD57" i="33"/>
  <c r="AC57" i="33"/>
  <c r="AB57" i="33"/>
  <c r="AA57" i="33"/>
  <c r="Z57" i="33"/>
  <c r="Y57" i="33"/>
  <c r="X57" i="33"/>
  <c r="W57" i="33"/>
  <c r="V57" i="33"/>
  <c r="U57" i="33"/>
  <c r="T57" i="33"/>
  <c r="S57" i="33"/>
  <c r="H57" i="33"/>
  <c r="F57" i="33"/>
  <c r="G57" i="33" s="1"/>
  <c r="D57" i="33"/>
  <c r="AX56" i="33"/>
  <c r="AU56" i="33"/>
  <c r="AR56" i="33"/>
  <c r="AQ56" i="33"/>
  <c r="AN56" i="33"/>
  <c r="AL56" i="33"/>
  <c r="AK56" i="33"/>
  <c r="AJ56" i="33"/>
  <c r="AI56" i="33"/>
  <c r="AH56" i="33"/>
  <c r="AG56" i="33"/>
  <c r="AF56" i="33"/>
  <c r="AE56" i="33"/>
  <c r="AD56" i="33"/>
  <c r="AC56" i="33"/>
  <c r="AB56" i="33"/>
  <c r="AA56" i="33"/>
  <c r="Z56" i="33"/>
  <c r="Y56" i="33"/>
  <c r="X56" i="33"/>
  <c r="W56" i="33"/>
  <c r="V56" i="33"/>
  <c r="U56" i="33"/>
  <c r="T56" i="33"/>
  <c r="S56" i="33"/>
  <c r="H56" i="33"/>
  <c r="F56" i="33"/>
  <c r="G56" i="33" s="1"/>
  <c r="D56" i="33"/>
  <c r="AX55" i="33"/>
  <c r="AU55" i="33"/>
  <c r="AR55" i="33"/>
  <c r="AQ55" i="33"/>
  <c r="AN55" i="33"/>
  <c r="AL55" i="33"/>
  <c r="AK55" i="33"/>
  <c r="AJ55" i="33"/>
  <c r="AI55" i="33"/>
  <c r="AH55" i="33"/>
  <c r="AG55" i="33"/>
  <c r="AF55" i="33"/>
  <c r="AE55" i="33"/>
  <c r="AD55" i="33"/>
  <c r="AC55" i="33"/>
  <c r="AB55" i="33"/>
  <c r="AA55" i="33"/>
  <c r="Z55" i="33"/>
  <c r="Y55" i="33"/>
  <c r="X55" i="33"/>
  <c r="W55" i="33"/>
  <c r="V55" i="33"/>
  <c r="U55" i="33"/>
  <c r="T55" i="33"/>
  <c r="S55" i="33"/>
  <c r="H55" i="33"/>
  <c r="F55" i="33"/>
  <c r="G55" i="33" s="1"/>
  <c r="D55" i="33"/>
  <c r="AX54" i="33"/>
  <c r="AU54" i="33"/>
  <c r="AR54" i="33"/>
  <c r="AQ54" i="33"/>
  <c r="AN54" i="33"/>
  <c r="AL54" i="33"/>
  <c r="AK54" i="33"/>
  <c r="AJ54" i="33"/>
  <c r="AI54" i="33"/>
  <c r="AH54" i="33"/>
  <c r="AG54" i="33"/>
  <c r="AF54" i="33"/>
  <c r="AE54" i="33"/>
  <c r="AD54" i="33"/>
  <c r="AC54" i="33"/>
  <c r="AB54" i="33"/>
  <c r="AA54" i="33"/>
  <c r="Z54" i="33"/>
  <c r="Y54" i="33"/>
  <c r="X54" i="33"/>
  <c r="W54" i="33"/>
  <c r="V54" i="33"/>
  <c r="U54" i="33"/>
  <c r="T54" i="33"/>
  <c r="S54" i="33"/>
  <c r="H54" i="33"/>
  <c r="F54" i="33"/>
  <c r="G54" i="33" s="1"/>
  <c r="D54" i="33"/>
  <c r="AX53" i="33"/>
  <c r="AU53" i="33"/>
  <c r="AR53" i="33"/>
  <c r="AQ53" i="33"/>
  <c r="AN53" i="33"/>
  <c r="AL53" i="33"/>
  <c r="AK53" i="33"/>
  <c r="AJ53" i="33"/>
  <c r="AI53" i="33"/>
  <c r="AH53" i="33"/>
  <c r="AG53" i="33"/>
  <c r="AF53" i="33"/>
  <c r="AE53" i="33"/>
  <c r="AD53" i="33"/>
  <c r="AC53" i="33"/>
  <c r="AB53" i="33"/>
  <c r="AA53" i="33"/>
  <c r="Z53" i="33"/>
  <c r="Y53" i="33"/>
  <c r="X53" i="33"/>
  <c r="W53" i="33"/>
  <c r="V53" i="33"/>
  <c r="U53" i="33"/>
  <c r="T53" i="33"/>
  <c r="S53" i="33"/>
  <c r="H53" i="33"/>
  <c r="F53" i="33"/>
  <c r="G53" i="33" s="1"/>
  <c r="D53" i="33"/>
  <c r="AX52" i="33"/>
  <c r="AU52" i="33"/>
  <c r="AR52" i="33"/>
  <c r="AQ52" i="33"/>
  <c r="AN52" i="33"/>
  <c r="AL52" i="33"/>
  <c r="AK52" i="33"/>
  <c r="AJ52" i="33"/>
  <c r="AI52" i="33"/>
  <c r="AH52" i="33"/>
  <c r="AG52" i="33"/>
  <c r="AF52" i="33"/>
  <c r="AE52" i="33"/>
  <c r="AD52" i="33"/>
  <c r="AC52" i="33"/>
  <c r="AB52" i="33"/>
  <c r="AA52" i="33"/>
  <c r="Z52" i="33"/>
  <c r="Y52" i="33"/>
  <c r="X52" i="33"/>
  <c r="W52" i="33"/>
  <c r="V52" i="33"/>
  <c r="U52" i="33"/>
  <c r="T52" i="33"/>
  <c r="S52" i="33"/>
  <c r="H52" i="33"/>
  <c r="F52" i="33"/>
  <c r="G52" i="33" s="1"/>
  <c r="D52" i="33"/>
  <c r="AX51" i="33"/>
  <c r="AU51" i="33"/>
  <c r="AR51" i="33"/>
  <c r="AQ51" i="33"/>
  <c r="AN51" i="33"/>
  <c r="AL51" i="33"/>
  <c r="AK51" i="33"/>
  <c r="AJ51" i="33"/>
  <c r="AI51" i="33"/>
  <c r="AH51" i="33"/>
  <c r="AG51" i="33"/>
  <c r="AF51" i="33"/>
  <c r="AE51" i="33"/>
  <c r="AD51" i="33"/>
  <c r="AC51" i="33"/>
  <c r="AB51" i="33"/>
  <c r="AA51" i="33"/>
  <c r="Z51" i="33"/>
  <c r="Y51" i="33"/>
  <c r="X51" i="33"/>
  <c r="W51" i="33"/>
  <c r="V51" i="33"/>
  <c r="U51" i="33"/>
  <c r="T51" i="33"/>
  <c r="S51" i="33"/>
  <c r="H51" i="33"/>
  <c r="F51" i="33"/>
  <c r="G51" i="33" s="1"/>
  <c r="D51" i="33"/>
  <c r="AX50" i="33"/>
  <c r="AU50" i="33"/>
  <c r="AR50" i="33"/>
  <c r="AQ50" i="33"/>
  <c r="AN50" i="33"/>
  <c r="AL50" i="33"/>
  <c r="AK50" i="33"/>
  <c r="AJ50" i="33"/>
  <c r="AI50" i="33"/>
  <c r="AH50" i="33"/>
  <c r="AG50" i="33"/>
  <c r="AF50" i="33"/>
  <c r="AE50" i="33"/>
  <c r="AD50" i="33"/>
  <c r="AC50" i="33"/>
  <c r="AB50" i="33"/>
  <c r="AA50" i="33"/>
  <c r="Z50" i="33"/>
  <c r="Y50" i="33"/>
  <c r="X50" i="33"/>
  <c r="W50" i="33"/>
  <c r="V50" i="33"/>
  <c r="U50" i="33"/>
  <c r="T50" i="33"/>
  <c r="S50" i="33"/>
  <c r="H50" i="33"/>
  <c r="F50" i="33"/>
  <c r="G50" i="33" s="1"/>
  <c r="D50" i="33"/>
  <c r="AX49" i="33"/>
  <c r="AU49" i="33"/>
  <c r="AR49" i="33"/>
  <c r="AQ49" i="33"/>
  <c r="AN49" i="33"/>
  <c r="AL49" i="33"/>
  <c r="AK49" i="33"/>
  <c r="AJ49" i="33"/>
  <c r="AI49" i="33"/>
  <c r="AH49" i="33"/>
  <c r="AG49" i="33"/>
  <c r="AF49" i="33"/>
  <c r="AE49" i="33"/>
  <c r="AD49" i="33"/>
  <c r="AC49" i="33"/>
  <c r="AB49" i="33"/>
  <c r="AA49" i="33"/>
  <c r="Z49" i="33"/>
  <c r="Y49" i="33"/>
  <c r="X49" i="33"/>
  <c r="W49" i="33"/>
  <c r="V49" i="33"/>
  <c r="U49" i="33"/>
  <c r="T49" i="33"/>
  <c r="S49" i="33"/>
  <c r="H49" i="33"/>
  <c r="F49" i="33"/>
  <c r="G49" i="33" s="1"/>
  <c r="D49" i="33"/>
  <c r="AX48" i="33"/>
  <c r="AU48" i="33"/>
  <c r="AR48" i="33"/>
  <c r="AQ48" i="33"/>
  <c r="AN48" i="33"/>
  <c r="AL48" i="33"/>
  <c r="AK48" i="33"/>
  <c r="AJ48" i="33"/>
  <c r="AI48" i="33"/>
  <c r="AH48" i="33"/>
  <c r="AG48" i="33"/>
  <c r="AF48" i="33"/>
  <c r="AE48" i="33"/>
  <c r="AD48" i="33"/>
  <c r="AC48" i="33"/>
  <c r="AB48" i="33"/>
  <c r="AA48" i="33"/>
  <c r="Z48" i="33"/>
  <c r="Y48" i="33"/>
  <c r="X48" i="33"/>
  <c r="W48" i="33"/>
  <c r="V48" i="33"/>
  <c r="U48" i="33"/>
  <c r="T48" i="33"/>
  <c r="S48" i="33"/>
  <c r="H48" i="33"/>
  <c r="F48" i="33"/>
  <c r="G48" i="33" s="1"/>
  <c r="D48" i="33"/>
  <c r="AX47" i="33"/>
  <c r="AU47" i="33"/>
  <c r="AR47" i="33"/>
  <c r="AQ47" i="33"/>
  <c r="AN47" i="33"/>
  <c r="AL47" i="33"/>
  <c r="AK47" i="33"/>
  <c r="AJ47" i="33"/>
  <c r="AI47" i="33"/>
  <c r="AH47" i="33"/>
  <c r="AG47" i="33"/>
  <c r="AF47" i="33"/>
  <c r="AE47" i="33"/>
  <c r="AD47" i="33"/>
  <c r="AC47" i="33"/>
  <c r="AB47" i="33"/>
  <c r="AA47" i="33"/>
  <c r="Z47" i="33"/>
  <c r="Y47" i="33"/>
  <c r="X47" i="33"/>
  <c r="W47" i="33"/>
  <c r="V47" i="33"/>
  <c r="U47" i="33"/>
  <c r="T47" i="33"/>
  <c r="S47" i="33"/>
  <c r="H47" i="33"/>
  <c r="F47" i="33"/>
  <c r="G47" i="33" s="1"/>
  <c r="D47" i="33"/>
  <c r="AX46" i="33"/>
  <c r="AU46" i="33"/>
  <c r="AR46" i="33"/>
  <c r="AQ46" i="33"/>
  <c r="AN46" i="33"/>
  <c r="AL46" i="33"/>
  <c r="AK46" i="33"/>
  <c r="AJ46" i="33"/>
  <c r="AI46" i="33"/>
  <c r="AH46" i="33"/>
  <c r="AG46" i="33"/>
  <c r="AF46" i="33"/>
  <c r="AE46" i="33"/>
  <c r="AD46" i="33"/>
  <c r="AC46" i="33"/>
  <c r="AB46" i="33"/>
  <c r="AA46" i="33"/>
  <c r="Z46" i="33"/>
  <c r="Y46" i="33"/>
  <c r="X46" i="33"/>
  <c r="W46" i="33"/>
  <c r="V46" i="33"/>
  <c r="U46" i="33"/>
  <c r="T46" i="33"/>
  <c r="S46" i="33"/>
  <c r="H46" i="33"/>
  <c r="F46" i="33"/>
  <c r="G46" i="33" s="1"/>
  <c r="D46" i="33"/>
  <c r="AX45" i="33"/>
  <c r="AU45" i="33"/>
  <c r="AR45" i="33"/>
  <c r="AQ45" i="33"/>
  <c r="AN45" i="33"/>
  <c r="AL45" i="33"/>
  <c r="AK45" i="33"/>
  <c r="AJ45" i="33"/>
  <c r="AI45" i="33"/>
  <c r="AH45" i="33"/>
  <c r="AG45" i="33"/>
  <c r="AF45" i="33"/>
  <c r="AE45" i="33"/>
  <c r="AD45" i="33"/>
  <c r="AC45" i="33"/>
  <c r="AB45" i="33"/>
  <c r="AA45" i="33"/>
  <c r="Z45" i="33"/>
  <c r="Y45" i="33"/>
  <c r="X45" i="33"/>
  <c r="W45" i="33"/>
  <c r="V45" i="33"/>
  <c r="U45" i="33"/>
  <c r="T45" i="33"/>
  <c r="S45" i="33"/>
  <c r="H45" i="33"/>
  <c r="F45" i="33"/>
  <c r="G45" i="33" s="1"/>
  <c r="D45" i="33"/>
  <c r="AX44" i="33"/>
  <c r="AU44" i="33"/>
  <c r="AR44" i="33"/>
  <c r="AQ44" i="33"/>
  <c r="AN44" i="33"/>
  <c r="AL44" i="33"/>
  <c r="AK44" i="33"/>
  <c r="AJ44" i="33"/>
  <c r="AI44" i="33"/>
  <c r="AH44" i="33"/>
  <c r="AG44" i="33"/>
  <c r="AF44" i="33"/>
  <c r="AE44" i="33"/>
  <c r="AD44" i="33"/>
  <c r="AC44" i="33"/>
  <c r="AB44" i="33"/>
  <c r="AA44" i="33"/>
  <c r="Z44" i="33"/>
  <c r="Y44" i="33"/>
  <c r="X44" i="33"/>
  <c r="W44" i="33"/>
  <c r="V44" i="33"/>
  <c r="U44" i="33"/>
  <c r="T44" i="33"/>
  <c r="S44" i="33"/>
  <c r="H44" i="33"/>
  <c r="F44" i="33"/>
  <c r="G44" i="33" s="1"/>
  <c r="D44" i="33"/>
  <c r="AX43" i="33"/>
  <c r="AU43" i="33"/>
  <c r="AR43" i="33"/>
  <c r="AQ43" i="33"/>
  <c r="AN43" i="33"/>
  <c r="AL43" i="33"/>
  <c r="AK43" i="33"/>
  <c r="AJ43" i="33"/>
  <c r="AI43" i="33"/>
  <c r="AH43" i="33"/>
  <c r="AG43" i="33"/>
  <c r="AF43" i="33"/>
  <c r="AE43" i="33"/>
  <c r="AD43" i="33"/>
  <c r="AC43" i="33"/>
  <c r="AB43" i="33"/>
  <c r="AA43" i="33"/>
  <c r="Z43" i="33"/>
  <c r="Y43" i="33"/>
  <c r="X43" i="33"/>
  <c r="W43" i="33"/>
  <c r="V43" i="33"/>
  <c r="U43" i="33"/>
  <c r="T43" i="33"/>
  <c r="S43" i="33"/>
  <c r="H43" i="33"/>
  <c r="F43" i="33"/>
  <c r="G43" i="33" s="1"/>
  <c r="D43" i="33"/>
  <c r="AX42" i="33"/>
  <c r="AU42" i="33"/>
  <c r="AR42" i="33"/>
  <c r="AQ42" i="33"/>
  <c r="AN42" i="33"/>
  <c r="AL42" i="33"/>
  <c r="AK42" i="33"/>
  <c r="AJ42" i="33"/>
  <c r="AI42" i="33"/>
  <c r="AH42" i="33"/>
  <c r="AG42" i="33"/>
  <c r="AF42" i="33"/>
  <c r="AE42" i="33"/>
  <c r="AD42" i="33"/>
  <c r="AC42" i="33"/>
  <c r="AB42" i="33"/>
  <c r="AA42" i="33"/>
  <c r="Z42" i="33"/>
  <c r="Y42" i="33"/>
  <c r="X42" i="33"/>
  <c r="W42" i="33"/>
  <c r="V42" i="33"/>
  <c r="U42" i="33"/>
  <c r="T42" i="33"/>
  <c r="S42" i="33"/>
  <c r="H42" i="33"/>
  <c r="F42" i="33"/>
  <c r="G42" i="33" s="1"/>
  <c r="D42" i="33"/>
  <c r="AX41" i="33"/>
  <c r="AU41" i="33"/>
  <c r="AR41" i="33"/>
  <c r="AQ41" i="33"/>
  <c r="AN41" i="33"/>
  <c r="AL41" i="33"/>
  <c r="AK41" i="33"/>
  <c r="AJ41" i="33"/>
  <c r="AI41" i="33"/>
  <c r="AH41" i="33"/>
  <c r="AG41" i="33"/>
  <c r="AF41" i="33"/>
  <c r="AE41" i="33"/>
  <c r="AD41" i="33"/>
  <c r="AC41" i="33"/>
  <c r="AB41" i="33"/>
  <c r="AA41" i="33"/>
  <c r="Z41" i="33"/>
  <c r="Y41" i="33"/>
  <c r="X41" i="33"/>
  <c r="W41" i="33"/>
  <c r="V41" i="33"/>
  <c r="U41" i="33"/>
  <c r="T41" i="33"/>
  <c r="S41" i="33"/>
  <c r="H41" i="33"/>
  <c r="F41" i="33"/>
  <c r="G41" i="33" s="1"/>
  <c r="D41" i="33"/>
  <c r="AX40" i="33"/>
  <c r="AU40" i="33"/>
  <c r="AR40" i="33"/>
  <c r="AQ40" i="33"/>
  <c r="AN40" i="33"/>
  <c r="AL40" i="33"/>
  <c r="AK40" i="33"/>
  <c r="AJ40" i="33"/>
  <c r="AI40" i="33"/>
  <c r="AH40" i="33"/>
  <c r="AG40" i="33"/>
  <c r="AF40" i="33"/>
  <c r="AE40" i="33"/>
  <c r="AD40" i="33"/>
  <c r="AC40" i="33"/>
  <c r="AB40" i="33"/>
  <c r="AA40" i="33"/>
  <c r="Z40" i="33"/>
  <c r="Y40" i="33"/>
  <c r="X40" i="33"/>
  <c r="W40" i="33"/>
  <c r="V40" i="33"/>
  <c r="U40" i="33"/>
  <c r="T40" i="33"/>
  <c r="S40" i="33"/>
  <c r="H40" i="33"/>
  <c r="F40" i="33"/>
  <c r="G40" i="33" s="1"/>
  <c r="D40" i="33"/>
  <c r="AX39" i="33"/>
  <c r="AU39" i="33"/>
  <c r="AR39" i="33"/>
  <c r="AQ39" i="33"/>
  <c r="AN39" i="33"/>
  <c r="AL39" i="33"/>
  <c r="AK39" i="33"/>
  <c r="AJ39" i="33"/>
  <c r="AI39" i="33"/>
  <c r="AH39" i="33"/>
  <c r="AG39" i="33"/>
  <c r="AF39" i="33"/>
  <c r="AE39" i="33"/>
  <c r="AD39" i="33"/>
  <c r="AC39" i="33"/>
  <c r="AB39" i="33"/>
  <c r="AA39" i="33"/>
  <c r="Z39" i="33"/>
  <c r="Y39" i="33"/>
  <c r="X39" i="33"/>
  <c r="W39" i="33"/>
  <c r="V39" i="33"/>
  <c r="U39" i="33"/>
  <c r="T39" i="33"/>
  <c r="S39" i="33"/>
  <c r="H39" i="33"/>
  <c r="F39" i="33"/>
  <c r="G39" i="33" s="1"/>
  <c r="D39" i="33"/>
  <c r="AX38" i="33"/>
  <c r="AU38" i="33"/>
  <c r="AR38" i="33"/>
  <c r="AQ38" i="33"/>
  <c r="AN38" i="33"/>
  <c r="AL38" i="33"/>
  <c r="AK38" i="33"/>
  <c r="AJ38" i="33"/>
  <c r="AI38" i="33"/>
  <c r="AH38" i="33"/>
  <c r="AG38" i="33"/>
  <c r="AF38" i="33"/>
  <c r="AE38" i="33"/>
  <c r="AD38" i="33"/>
  <c r="AC38" i="33"/>
  <c r="AB38" i="33"/>
  <c r="AA38" i="33"/>
  <c r="Z38" i="33"/>
  <c r="Y38" i="33"/>
  <c r="X38" i="33"/>
  <c r="W38" i="33"/>
  <c r="V38" i="33"/>
  <c r="U38" i="33"/>
  <c r="T38" i="33"/>
  <c r="S38" i="33"/>
  <c r="H38" i="33"/>
  <c r="F38" i="33"/>
  <c r="G38" i="33" s="1"/>
  <c r="D38" i="33"/>
  <c r="AX37" i="33"/>
  <c r="AU37" i="33"/>
  <c r="AR37" i="33"/>
  <c r="AQ37" i="33"/>
  <c r="AN37" i="33"/>
  <c r="AL37" i="33"/>
  <c r="AK37" i="33"/>
  <c r="AJ37" i="33"/>
  <c r="AI37" i="33"/>
  <c r="AH37" i="33"/>
  <c r="AG37" i="33"/>
  <c r="AF37" i="33"/>
  <c r="AE37" i="33"/>
  <c r="AD37" i="33"/>
  <c r="AC37" i="33"/>
  <c r="AB37" i="33"/>
  <c r="AA37" i="33"/>
  <c r="Z37" i="33"/>
  <c r="Y37" i="33"/>
  <c r="X37" i="33"/>
  <c r="W37" i="33"/>
  <c r="V37" i="33"/>
  <c r="U37" i="33"/>
  <c r="T37" i="33"/>
  <c r="S37" i="33"/>
  <c r="H37" i="33"/>
  <c r="F37" i="33"/>
  <c r="G37" i="33" s="1"/>
  <c r="D37" i="33"/>
  <c r="AX36" i="33"/>
  <c r="AU36" i="33"/>
  <c r="AR36" i="33"/>
  <c r="AQ36" i="33"/>
  <c r="AN36" i="33"/>
  <c r="AL36" i="33"/>
  <c r="AK36" i="33"/>
  <c r="AJ36" i="33"/>
  <c r="AI36" i="33"/>
  <c r="AH36" i="33"/>
  <c r="AG36" i="33"/>
  <c r="AF36" i="33"/>
  <c r="AE36" i="33"/>
  <c r="AD36" i="33"/>
  <c r="AC36" i="33"/>
  <c r="AB36" i="33"/>
  <c r="AA36" i="33"/>
  <c r="Z36" i="33"/>
  <c r="Y36" i="33"/>
  <c r="X36" i="33"/>
  <c r="W36" i="33"/>
  <c r="V36" i="33"/>
  <c r="U36" i="33"/>
  <c r="T36" i="33"/>
  <c r="S36" i="33"/>
  <c r="H36" i="33"/>
  <c r="F36" i="33"/>
  <c r="G36" i="33" s="1"/>
  <c r="D36" i="33"/>
  <c r="AX35" i="33"/>
  <c r="AU35" i="33"/>
  <c r="AR35" i="33"/>
  <c r="AQ35" i="33"/>
  <c r="AN35" i="33"/>
  <c r="AL35" i="33"/>
  <c r="AK35" i="33"/>
  <c r="AJ35" i="33"/>
  <c r="AI35" i="33"/>
  <c r="AH35" i="33"/>
  <c r="AG35" i="33"/>
  <c r="AF35" i="33"/>
  <c r="AE35" i="33"/>
  <c r="AD35" i="33"/>
  <c r="AC35" i="33"/>
  <c r="AB35" i="33"/>
  <c r="AA35" i="33"/>
  <c r="Z35" i="33"/>
  <c r="Y35" i="33"/>
  <c r="X35" i="33"/>
  <c r="W35" i="33"/>
  <c r="V35" i="33"/>
  <c r="U35" i="33"/>
  <c r="T35" i="33"/>
  <c r="S35" i="33"/>
  <c r="H35" i="33"/>
  <c r="F35" i="33"/>
  <c r="G35" i="33" s="1"/>
  <c r="D35" i="33"/>
  <c r="AX34" i="33"/>
  <c r="AU34" i="33"/>
  <c r="AR34" i="33"/>
  <c r="AQ34" i="33"/>
  <c r="AN34" i="33"/>
  <c r="AL34" i="33"/>
  <c r="AK34" i="33"/>
  <c r="AJ34" i="33"/>
  <c r="AI34" i="33"/>
  <c r="AH34" i="33"/>
  <c r="AG34" i="33"/>
  <c r="AF34" i="33"/>
  <c r="AE34" i="33"/>
  <c r="AD34" i="33"/>
  <c r="AC34" i="33"/>
  <c r="AB34" i="33"/>
  <c r="AA34" i="33"/>
  <c r="Z34" i="33"/>
  <c r="Y34" i="33"/>
  <c r="X34" i="33"/>
  <c r="W34" i="33"/>
  <c r="V34" i="33"/>
  <c r="U34" i="33"/>
  <c r="T34" i="33"/>
  <c r="S34" i="33"/>
  <c r="H34" i="33"/>
  <c r="F34" i="33"/>
  <c r="G34" i="33" s="1"/>
  <c r="D34" i="33"/>
  <c r="AX33" i="33"/>
  <c r="AU33" i="33"/>
  <c r="AR33" i="33"/>
  <c r="AQ33" i="33"/>
  <c r="AN33" i="33"/>
  <c r="AL33" i="33"/>
  <c r="AK33" i="33"/>
  <c r="AJ33" i="33"/>
  <c r="AI33" i="33"/>
  <c r="AH33" i="33"/>
  <c r="AG33" i="33"/>
  <c r="AF33" i="33"/>
  <c r="AE33" i="33"/>
  <c r="AD33" i="33"/>
  <c r="AC33" i="33"/>
  <c r="AB33" i="33"/>
  <c r="AA33" i="33"/>
  <c r="Z33" i="33"/>
  <c r="Y33" i="33"/>
  <c r="X33" i="33"/>
  <c r="W33" i="33"/>
  <c r="V33" i="33"/>
  <c r="U33" i="33"/>
  <c r="T33" i="33"/>
  <c r="S33" i="33"/>
  <c r="H33" i="33"/>
  <c r="F33" i="33"/>
  <c r="G33" i="33" s="1"/>
  <c r="D33" i="33"/>
  <c r="AX32" i="33"/>
  <c r="AU32" i="33"/>
  <c r="AR32" i="33"/>
  <c r="AQ32" i="33"/>
  <c r="AN32" i="33"/>
  <c r="AL32" i="33"/>
  <c r="AK32" i="33"/>
  <c r="AJ32" i="33"/>
  <c r="AI32" i="33"/>
  <c r="AH32" i="33"/>
  <c r="AG32" i="33"/>
  <c r="AF32" i="33"/>
  <c r="AE32" i="33"/>
  <c r="AD32" i="33"/>
  <c r="AC32" i="33"/>
  <c r="AB32" i="33"/>
  <c r="AA32" i="33"/>
  <c r="Z32" i="33"/>
  <c r="Y32" i="33"/>
  <c r="X32" i="33"/>
  <c r="W32" i="33"/>
  <c r="V32" i="33"/>
  <c r="U32" i="33"/>
  <c r="T32" i="33"/>
  <c r="S32" i="33"/>
  <c r="H32" i="33"/>
  <c r="F32" i="33"/>
  <c r="G32" i="33" s="1"/>
  <c r="D32" i="33"/>
  <c r="AX31" i="33"/>
  <c r="AU31" i="33"/>
  <c r="AR31" i="33"/>
  <c r="AQ31" i="33"/>
  <c r="AN31" i="33"/>
  <c r="AL31" i="33"/>
  <c r="AK31" i="33"/>
  <c r="AJ31" i="33"/>
  <c r="AI31" i="33"/>
  <c r="AH31" i="33"/>
  <c r="AG31" i="33"/>
  <c r="AF31" i="33"/>
  <c r="AE31" i="33"/>
  <c r="AD31" i="33"/>
  <c r="AC31" i="33"/>
  <c r="AB31" i="33"/>
  <c r="AA31" i="33"/>
  <c r="Z31" i="33"/>
  <c r="Y31" i="33"/>
  <c r="X31" i="33"/>
  <c r="W31" i="33"/>
  <c r="V31" i="33"/>
  <c r="U31" i="33"/>
  <c r="T31" i="33"/>
  <c r="S31" i="33"/>
  <c r="H31" i="33"/>
  <c r="F31" i="33"/>
  <c r="G31" i="33" s="1"/>
  <c r="D31" i="33"/>
  <c r="AU30" i="33"/>
  <c r="AQ30" i="33"/>
  <c r="AN30" i="33"/>
  <c r="AL30" i="33"/>
  <c r="AK30" i="33"/>
  <c r="AJ30" i="33"/>
  <c r="AI30" i="33"/>
  <c r="AH30" i="33"/>
  <c r="AG30" i="33"/>
  <c r="AF30" i="33"/>
  <c r="AE30" i="33"/>
  <c r="AD30" i="33"/>
  <c r="AC30" i="33"/>
  <c r="AB30" i="33"/>
  <c r="AA30" i="33"/>
  <c r="Z30" i="33"/>
  <c r="Y30" i="33"/>
  <c r="X30" i="33"/>
  <c r="W30" i="33"/>
  <c r="V30" i="33"/>
  <c r="U30" i="33"/>
  <c r="T30" i="33"/>
  <c r="S30" i="33"/>
  <c r="H30" i="33"/>
  <c r="F30" i="33"/>
  <c r="G30" i="33" s="1"/>
  <c r="D30" i="33"/>
  <c r="AX29" i="33"/>
  <c r="AU29" i="33"/>
  <c r="AR29" i="33"/>
  <c r="AQ29" i="33"/>
  <c r="AN29" i="33"/>
  <c r="AL29" i="33"/>
  <c r="AK29" i="33"/>
  <c r="AJ29" i="33"/>
  <c r="AI29" i="33"/>
  <c r="AH29" i="33"/>
  <c r="AG29" i="33"/>
  <c r="AF29" i="33"/>
  <c r="AE29" i="33"/>
  <c r="AD29" i="33"/>
  <c r="AC29" i="33"/>
  <c r="AB29" i="33"/>
  <c r="AA29" i="33"/>
  <c r="Z29" i="33"/>
  <c r="Y29" i="33"/>
  <c r="X29" i="33"/>
  <c r="W29" i="33"/>
  <c r="V29" i="33"/>
  <c r="U29" i="33"/>
  <c r="T29" i="33"/>
  <c r="S29" i="33"/>
  <c r="H29" i="33"/>
  <c r="F29" i="33"/>
  <c r="G29" i="33" s="1"/>
  <c r="D29" i="33"/>
  <c r="AX28" i="33"/>
  <c r="AU28" i="33"/>
  <c r="AR28" i="33"/>
  <c r="AQ28" i="33"/>
  <c r="AN28" i="33"/>
  <c r="AL28" i="33"/>
  <c r="AK28" i="33"/>
  <c r="AJ28" i="33"/>
  <c r="AI28" i="33"/>
  <c r="AH28" i="33"/>
  <c r="AG28" i="33"/>
  <c r="AF28" i="33"/>
  <c r="AE28" i="33"/>
  <c r="AD28" i="33"/>
  <c r="AC28" i="33"/>
  <c r="AB28" i="33"/>
  <c r="AA28" i="33"/>
  <c r="Z28" i="33"/>
  <c r="Y28" i="33"/>
  <c r="X28" i="33"/>
  <c r="W28" i="33"/>
  <c r="V28" i="33"/>
  <c r="U28" i="33"/>
  <c r="T28" i="33"/>
  <c r="S28" i="33"/>
  <c r="H28" i="33"/>
  <c r="F28" i="33"/>
  <c r="G28" i="33" s="1"/>
  <c r="D28" i="33"/>
  <c r="AX27" i="33"/>
  <c r="AU27" i="33"/>
  <c r="AR27" i="33"/>
  <c r="AQ27" i="33"/>
  <c r="AN27" i="33"/>
  <c r="AL27" i="33"/>
  <c r="AK27" i="33"/>
  <c r="AJ27" i="33"/>
  <c r="AI27" i="33"/>
  <c r="AH27" i="33"/>
  <c r="AG27" i="33"/>
  <c r="AF27" i="33"/>
  <c r="AE27" i="33"/>
  <c r="AD27" i="33"/>
  <c r="AC27" i="33"/>
  <c r="AB27" i="33"/>
  <c r="AA27" i="33"/>
  <c r="Z27" i="33"/>
  <c r="Y27" i="33"/>
  <c r="X27" i="33"/>
  <c r="W27" i="33"/>
  <c r="V27" i="33"/>
  <c r="U27" i="33"/>
  <c r="T27" i="33"/>
  <c r="S27" i="33"/>
  <c r="H27" i="33"/>
  <c r="F27" i="33"/>
  <c r="G27" i="33" s="1"/>
  <c r="D27" i="33"/>
  <c r="AX26" i="33"/>
  <c r="AU26" i="33"/>
  <c r="AR26" i="33"/>
  <c r="AQ26" i="33"/>
  <c r="AL26" i="33"/>
  <c r="AK26" i="33"/>
  <c r="AJ26" i="33"/>
  <c r="AI26" i="33"/>
  <c r="AH26" i="33"/>
  <c r="AG26" i="33"/>
  <c r="AF26" i="33"/>
  <c r="AE26" i="33"/>
  <c r="AD26" i="33"/>
  <c r="AC26" i="33"/>
  <c r="AB26" i="33"/>
  <c r="AA26" i="33"/>
  <c r="Z26" i="33"/>
  <c r="Y26" i="33"/>
  <c r="X26" i="33"/>
  <c r="W26" i="33"/>
  <c r="V26" i="33"/>
  <c r="U26" i="33"/>
  <c r="T26" i="33"/>
  <c r="S26" i="33"/>
  <c r="H26" i="33"/>
  <c r="F26" i="33"/>
  <c r="G26" i="33" s="1"/>
  <c r="D26" i="33"/>
  <c r="O109" i="28"/>
  <c r="O125" i="33" s="1"/>
  <c r="P125" i="33" s="1"/>
  <c r="N109" i="28"/>
  <c r="N125" i="33" s="1"/>
  <c r="K109" i="28"/>
  <c r="J109" i="28"/>
  <c r="J125" i="33" s="1"/>
  <c r="I109" i="28"/>
  <c r="I125" i="33" s="1"/>
  <c r="O108" i="28"/>
  <c r="N108" i="28"/>
  <c r="K108" i="28"/>
  <c r="J108" i="28"/>
  <c r="J124" i="33" s="1"/>
  <c r="I108" i="28"/>
  <c r="I124" i="33" s="1"/>
  <c r="O107" i="28"/>
  <c r="O123" i="33" s="1"/>
  <c r="P123" i="33" s="1"/>
  <c r="N107" i="28"/>
  <c r="N123" i="33" s="1"/>
  <c r="K107" i="28"/>
  <c r="J107" i="28"/>
  <c r="J123" i="33" s="1"/>
  <c r="I107" i="28"/>
  <c r="I123" i="33" s="1"/>
  <c r="O106" i="28"/>
  <c r="O122" i="33" s="1"/>
  <c r="P122" i="33" s="1"/>
  <c r="N106" i="28"/>
  <c r="N122" i="33" s="1"/>
  <c r="K106" i="28"/>
  <c r="J106" i="28"/>
  <c r="J122" i="33" s="1"/>
  <c r="I106" i="28"/>
  <c r="I122" i="33" s="1"/>
  <c r="O105" i="28"/>
  <c r="O121" i="33" s="1"/>
  <c r="P121" i="33" s="1"/>
  <c r="N105" i="28"/>
  <c r="N121" i="33" s="1"/>
  <c r="K105" i="28"/>
  <c r="J105" i="28"/>
  <c r="J121" i="33" s="1"/>
  <c r="I105" i="28"/>
  <c r="I121" i="33" s="1"/>
  <c r="O104" i="28"/>
  <c r="N104" i="28"/>
  <c r="K104" i="28"/>
  <c r="J104" i="28"/>
  <c r="J120" i="33" s="1"/>
  <c r="I104" i="28"/>
  <c r="I120" i="33" s="1"/>
  <c r="O103" i="28"/>
  <c r="O119" i="33" s="1"/>
  <c r="P119" i="33" s="1"/>
  <c r="N103" i="28"/>
  <c r="N119" i="33" s="1"/>
  <c r="K103" i="28"/>
  <c r="J103" i="28"/>
  <c r="J119" i="33" s="1"/>
  <c r="I103" i="28"/>
  <c r="I119" i="33" s="1"/>
  <c r="O102" i="28"/>
  <c r="O118" i="33" s="1"/>
  <c r="P118" i="33" s="1"/>
  <c r="N102" i="28"/>
  <c r="N118" i="33" s="1"/>
  <c r="K102" i="28"/>
  <c r="J102" i="28"/>
  <c r="J118" i="33" s="1"/>
  <c r="I102" i="28"/>
  <c r="I118" i="33" s="1"/>
  <c r="O101" i="28"/>
  <c r="O117" i="33" s="1"/>
  <c r="P117" i="33" s="1"/>
  <c r="N101" i="28"/>
  <c r="N117" i="33" s="1"/>
  <c r="K101" i="28"/>
  <c r="J101" i="28"/>
  <c r="J117" i="33" s="1"/>
  <c r="I101" i="28"/>
  <c r="I117" i="33" s="1"/>
  <c r="O100" i="28"/>
  <c r="N100" i="28"/>
  <c r="K100" i="28"/>
  <c r="J100" i="28"/>
  <c r="J116" i="33" s="1"/>
  <c r="I100" i="28"/>
  <c r="I116" i="33" s="1"/>
  <c r="O99" i="28"/>
  <c r="O115" i="33" s="1"/>
  <c r="P115" i="33" s="1"/>
  <c r="N99" i="28"/>
  <c r="N115" i="33" s="1"/>
  <c r="K99" i="28"/>
  <c r="J99" i="28"/>
  <c r="J115" i="33" s="1"/>
  <c r="I99" i="28"/>
  <c r="I115" i="33" s="1"/>
  <c r="O98" i="28"/>
  <c r="O114" i="33" s="1"/>
  <c r="P114" i="33" s="1"/>
  <c r="N98" i="28"/>
  <c r="N114" i="33" s="1"/>
  <c r="K98" i="28"/>
  <c r="J98" i="28"/>
  <c r="J114" i="33" s="1"/>
  <c r="I98" i="28"/>
  <c r="I114" i="33" s="1"/>
  <c r="O97" i="28"/>
  <c r="O113" i="33" s="1"/>
  <c r="P113" i="33" s="1"/>
  <c r="N97" i="28"/>
  <c r="N113" i="33" s="1"/>
  <c r="K97" i="28"/>
  <c r="J97" i="28"/>
  <c r="J113" i="33" s="1"/>
  <c r="I97" i="28"/>
  <c r="I113" i="33" s="1"/>
  <c r="O96" i="28"/>
  <c r="N96" i="28"/>
  <c r="K96" i="28"/>
  <c r="J96" i="28"/>
  <c r="J112" i="33" s="1"/>
  <c r="I96" i="28"/>
  <c r="I112" i="33" s="1"/>
  <c r="O95" i="28"/>
  <c r="O111" i="33" s="1"/>
  <c r="P111" i="33" s="1"/>
  <c r="N95" i="28"/>
  <c r="N111" i="33" s="1"/>
  <c r="K95" i="28"/>
  <c r="J95" i="28"/>
  <c r="J111" i="33" s="1"/>
  <c r="I95" i="28"/>
  <c r="I111" i="33" s="1"/>
  <c r="O94" i="28"/>
  <c r="O110" i="33" s="1"/>
  <c r="P110" i="33" s="1"/>
  <c r="N94" i="28"/>
  <c r="N110" i="33" s="1"/>
  <c r="K94" i="28"/>
  <c r="J94" i="28"/>
  <c r="J110" i="33" s="1"/>
  <c r="I94" i="28"/>
  <c r="I110" i="33" s="1"/>
  <c r="O93" i="28"/>
  <c r="O109" i="33" s="1"/>
  <c r="P109" i="33" s="1"/>
  <c r="N93" i="28"/>
  <c r="N109" i="33" s="1"/>
  <c r="K93" i="28"/>
  <c r="J93" i="28"/>
  <c r="J109" i="33" s="1"/>
  <c r="I93" i="28"/>
  <c r="I109" i="33" s="1"/>
  <c r="O92" i="28"/>
  <c r="N92" i="28"/>
  <c r="K92" i="28"/>
  <c r="J92" i="28"/>
  <c r="J108" i="33" s="1"/>
  <c r="I92" i="28"/>
  <c r="I108" i="33" s="1"/>
  <c r="O91" i="28"/>
  <c r="O107" i="33" s="1"/>
  <c r="P107" i="33" s="1"/>
  <c r="N91" i="28"/>
  <c r="N107" i="33" s="1"/>
  <c r="K91" i="28"/>
  <c r="J91" i="28"/>
  <c r="J107" i="33" s="1"/>
  <c r="I91" i="28"/>
  <c r="I107" i="33" s="1"/>
  <c r="O90" i="28"/>
  <c r="O106" i="33" s="1"/>
  <c r="P106" i="33" s="1"/>
  <c r="N90" i="28"/>
  <c r="N106" i="33" s="1"/>
  <c r="K90" i="28"/>
  <c r="J90" i="28"/>
  <c r="J106" i="33" s="1"/>
  <c r="I90" i="28"/>
  <c r="I106" i="33" s="1"/>
  <c r="O89" i="28"/>
  <c r="O105" i="33" s="1"/>
  <c r="P105" i="33" s="1"/>
  <c r="N89" i="28"/>
  <c r="N105" i="33" s="1"/>
  <c r="K89" i="28"/>
  <c r="J89" i="28"/>
  <c r="J105" i="33" s="1"/>
  <c r="I89" i="28"/>
  <c r="I105" i="33" s="1"/>
  <c r="O88" i="28"/>
  <c r="N88" i="28"/>
  <c r="K88" i="28"/>
  <c r="J88" i="28"/>
  <c r="J104" i="33" s="1"/>
  <c r="I88" i="28"/>
  <c r="I104" i="33" s="1"/>
  <c r="O87" i="28"/>
  <c r="O103" i="33" s="1"/>
  <c r="P103" i="33" s="1"/>
  <c r="N87" i="28"/>
  <c r="N103" i="33" s="1"/>
  <c r="K87" i="28"/>
  <c r="J87" i="28"/>
  <c r="J103" i="33" s="1"/>
  <c r="I87" i="28"/>
  <c r="I103" i="33" s="1"/>
  <c r="O86" i="28"/>
  <c r="O102" i="33" s="1"/>
  <c r="P102" i="33" s="1"/>
  <c r="N86" i="28"/>
  <c r="N102" i="33" s="1"/>
  <c r="K86" i="28"/>
  <c r="J86" i="28"/>
  <c r="J102" i="33" s="1"/>
  <c r="I86" i="28"/>
  <c r="I102" i="33" s="1"/>
  <c r="O85" i="28"/>
  <c r="O101" i="33" s="1"/>
  <c r="P101" i="33" s="1"/>
  <c r="N85" i="28"/>
  <c r="N101" i="33" s="1"/>
  <c r="K85" i="28"/>
  <c r="J85" i="28"/>
  <c r="J101" i="33" s="1"/>
  <c r="I85" i="28"/>
  <c r="I101" i="33" s="1"/>
  <c r="O84" i="28"/>
  <c r="N84" i="28"/>
  <c r="K84" i="28"/>
  <c r="J84" i="28"/>
  <c r="J100" i="33" s="1"/>
  <c r="I84" i="28"/>
  <c r="I100" i="33" s="1"/>
  <c r="O83" i="28"/>
  <c r="O99" i="33" s="1"/>
  <c r="P99" i="33" s="1"/>
  <c r="N83" i="28"/>
  <c r="N99" i="33" s="1"/>
  <c r="K83" i="28"/>
  <c r="J83" i="28"/>
  <c r="J99" i="33" s="1"/>
  <c r="I83" i="28"/>
  <c r="I99" i="33" s="1"/>
  <c r="O82" i="28"/>
  <c r="O98" i="33" s="1"/>
  <c r="P98" i="33" s="1"/>
  <c r="N82" i="28"/>
  <c r="N98" i="33" s="1"/>
  <c r="K82" i="28"/>
  <c r="J82" i="28"/>
  <c r="J98" i="33" s="1"/>
  <c r="I82" i="28"/>
  <c r="I98" i="33" s="1"/>
  <c r="O81" i="28"/>
  <c r="O97" i="33" s="1"/>
  <c r="P97" i="33" s="1"/>
  <c r="N81" i="28"/>
  <c r="N97" i="33" s="1"/>
  <c r="K81" i="28"/>
  <c r="J81" i="28"/>
  <c r="J97" i="33" s="1"/>
  <c r="I81" i="28"/>
  <c r="I97" i="33" s="1"/>
  <c r="O80" i="28"/>
  <c r="N80" i="28"/>
  <c r="K80" i="28"/>
  <c r="J80" i="28"/>
  <c r="J96" i="33" s="1"/>
  <c r="I80" i="28"/>
  <c r="I96" i="33" s="1"/>
  <c r="O79" i="28"/>
  <c r="O95" i="33" s="1"/>
  <c r="P95" i="33" s="1"/>
  <c r="N79" i="28"/>
  <c r="N95" i="33" s="1"/>
  <c r="K79" i="28"/>
  <c r="J79" i="28"/>
  <c r="J95" i="33" s="1"/>
  <c r="I79" i="28"/>
  <c r="I95" i="33" s="1"/>
  <c r="O78" i="28"/>
  <c r="O94" i="33" s="1"/>
  <c r="P94" i="33" s="1"/>
  <c r="N78" i="28"/>
  <c r="N94" i="33" s="1"/>
  <c r="K78" i="28"/>
  <c r="J78" i="28"/>
  <c r="J94" i="33" s="1"/>
  <c r="I78" i="28"/>
  <c r="I94" i="33" s="1"/>
  <c r="O77" i="28"/>
  <c r="O93" i="33" s="1"/>
  <c r="P93" i="33" s="1"/>
  <c r="N77" i="28"/>
  <c r="N93" i="33" s="1"/>
  <c r="K77" i="28"/>
  <c r="J77" i="28"/>
  <c r="J93" i="33" s="1"/>
  <c r="I77" i="28"/>
  <c r="I93" i="33" s="1"/>
  <c r="O76" i="28"/>
  <c r="N76" i="28"/>
  <c r="K76" i="28"/>
  <c r="J76" i="28"/>
  <c r="J92" i="33" s="1"/>
  <c r="I76" i="28"/>
  <c r="I92" i="33" s="1"/>
  <c r="O75" i="28"/>
  <c r="O91" i="33" s="1"/>
  <c r="P91" i="33" s="1"/>
  <c r="N75" i="28"/>
  <c r="N91" i="33" s="1"/>
  <c r="K75" i="28"/>
  <c r="J75" i="28"/>
  <c r="J91" i="33" s="1"/>
  <c r="I75" i="28"/>
  <c r="I91" i="33" s="1"/>
  <c r="O74" i="28"/>
  <c r="O90" i="33" s="1"/>
  <c r="P90" i="33" s="1"/>
  <c r="N74" i="28"/>
  <c r="N90" i="33" s="1"/>
  <c r="K74" i="28"/>
  <c r="J74" i="28"/>
  <c r="J90" i="33" s="1"/>
  <c r="I74" i="28"/>
  <c r="I90" i="33" s="1"/>
  <c r="O73" i="28"/>
  <c r="O89" i="33" s="1"/>
  <c r="P89" i="33" s="1"/>
  <c r="N73" i="28"/>
  <c r="N89" i="33" s="1"/>
  <c r="K73" i="28"/>
  <c r="J73" i="28"/>
  <c r="J89" i="33" s="1"/>
  <c r="I73" i="28"/>
  <c r="I89" i="33" s="1"/>
  <c r="O72" i="28"/>
  <c r="N72" i="28"/>
  <c r="K72" i="28"/>
  <c r="J72" i="28"/>
  <c r="J88" i="33" s="1"/>
  <c r="I72" i="28"/>
  <c r="I88" i="33" s="1"/>
  <c r="O71" i="28"/>
  <c r="O87" i="33" s="1"/>
  <c r="P87" i="33" s="1"/>
  <c r="N71" i="28"/>
  <c r="N87" i="33" s="1"/>
  <c r="K71" i="28"/>
  <c r="J71" i="28"/>
  <c r="J87" i="33" s="1"/>
  <c r="I71" i="28"/>
  <c r="I87" i="33" s="1"/>
  <c r="O70" i="28"/>
  <c r="O86" i="33" s="1"/>
  <c r="P86" i="33" s="1"/>
  <c r="N70" i="28"/>
  <c r="N86" i="33" s="1"/>
  <c r="K70" i="28"/>
  <c r="J70" i="28"/>
  <c r="J86" i="33" s="1"/>
  <c r="I70" i="28"/>
  <c r="I86" i="33" s="1"/>
  <c r="O69" i="28"/>
  <c r="O85" i="33" s="1"/>
  <c r="P85" i="33" s="1"/>
  <c r="N69" i="28"/>
  <c r="N85" i="33" s="1"/>
  <c r="K69" i="28"/>
  <c r="J69" i="28"/>
  <c r="J85" i="33" s="1"/>
  <c r="I69" i="28"/>
  <c r="I85" i="33" s="1"/>
  <c r="O68" i="28"/>
  <c r="N68" i="28"/>
  <c r="K68" i="28"/>
  <c r="J68" i="28"/>
  <c r="J84" i="33" s="1"/>
  <c r="I68" i="28"/>
  <c r="I84" i="33" s="1"/>
  <c r="O67" i="28"/>
  <c r="O83" i="33" s="1"/>
  <c r="P83" i="33" s="1"/>
  <c r="N67" i="28"/>
  <c r="N83" i="33" s="1"/>
  <c r="K67" i="28"/>
  <c r="J67" i="28"/>
  <c r="J83" i="33" s="1"/>
  <c r="I67" i="28"/>
  <c r="I83" i="33" s="1"/>
  <c r="O66" i="28"/>
  <c r="O82" i="33" s="1"/>
  <c r="P82" i="33" s="1"/>
  <c r="N66" i="28"/>
  <c r="N82" i="33" s="1"/>
  <c r="K66" i="28"/>
  <c r="J66" i="28"/>
  <c r="J82" i="33" s="1"/>
  <c r="I66" i="28"/>
  <c r="I82" i="33" s="1"/>
  <c r="O65" i="28"/>
  <c r="O81" i="33" s="1"/>
  <c r="P81" i="33" s="1"/>
  <c r="N65" i="28"/>
  <c r="N81" i="33" s="1"/>
  <c r="K65" i="28"/>
  <c r="J65" i="28"/>
  <c r="J81" i="33" s="1"/>
  <c r="I65" i="28"/>
  <c r="I81" i="33" s="1"/>
  <c r="O64" i="28"/>
  <c r="N64" i="28"/>
  <c r="K64" i="28"/>
  <c r="J64" i="28"/>
  <c r="J80" i="33" s="1"/>
  <c r="I64" i="28"/>
  <c r="I80" i="33" s="1"/>
  <c r="O63" i="28"/>
  <c r="O79" i="33" s="1"/>
  <c r="P79" i="33" s="1"/>
  <c r="N63" i="28"/>
  <c r="N79" i="33" s="1"/>
  <c r="K63" i="28"/>
  <c r="J63" i="28"/>
  <c r="J79" i="33" s="1"/>
  <c r="I63" i="28"/>
  <c r="I79" i="33" s="1"/>
  <c r="O62" i="28"/>
  <c r="O78" i="33" s="1"/>
  <c r="P78" i="33" s="1"/>
  <c r="N62" i="28"/>
  <c r="N78" i="33" s="1"/>
  <c r="K62" i="28"/>
  <c r="J62" i="28"/>
  <c r="J78" i="33" s="1"/>
  <c r="I62" i="28"/>
  <c r="I78" i="33" s="1"/>
  <c r="O61" i="28"/>
  <c r="O77" i="33" s="1"/>
  <c r="P77" i="33" s="1"/>
  <c r="N61" i="28"/>
  <c r="N77" i="33" s="1"/>
  <c r="K61" i="28"/>
  <c r="J61" i="28"/>
  <c r="J77" i="33" s="1"/>
  <c r="I61" i="28"/>
  <c r="I77" i="33" s="1"/>
  <c r="O60" i="28"/>
  <c r="N60" i="28"/>
  <c r="K60" i="28"/>
  <c r="J60" i="28"/>
  <c r="J76" i="33" s="1"/>
  <c r="I60" i="28"/>
  <c r="I76" i="33" s="1"/>
  <c r="O59" i="28"/>
  <c r="O75" i="33" s="1"/>
  <c r="P75" i="33" s="1"/>
  <c r="N59" i="28"/>
  <c r="N75" i="33" s="1"/>
  <c r="K59" i="28"/>
  <c r="J59" i="28"/>
  <c r="J75" i="33" s="1"/>
  <c r="I59" i="28"/>
  <c r="I75" i="33" s="1"/>
  <c r="O58" i="28"/>
  <c r="O74" i="33" s="1"/>
  <c r="P74" i="33" s="1"/>
  <c r="N58" i="28"/>
  <c r="N74" i="33" s="1"/>
  <c r="K58" i="28"/>
  <c r="J58" i="28"/>
  <c r="J74" i="33" s="1"/>
  <c r="I58" i="28"/>
  <c r="I74" i="33" s="1"/>
  <c r="O57" i="28"/>
  <c r="N57" i="28"/>
  <c r="N73" i="33" s="1"/>
  <c r="K57" i="28"/>
  <c r="J57" i="28"/>
  <c r="J73" i="33" s="1"/>
  <c r="I57" i="28"/>
  <c r="I73" i="33" s="1"/>
  <c r="O56" i="28"/>
  <c r="N56" i="28"/>
  <c r="K56" i="28"/>
  <c r="J56" i="28"/>
  <c r="J72" i="33" s="1"/>
  <c r="I56" i="28"/>
  <c r="I72" i="33" s="1"/>
  <c r="O55" i="28"/>
  <c r="O71" i="33" s="1"/>
  <c r="P71" i="33" s="1"/>
  <c r="N55" i="28"/>
  <c r="N71" i="33" s="1"/>
  <c r="K55" i="28"/>
  <c r="J55" i="28"/>
  <c r="J71" i="33" s="1"/>
  <c r="I55" i="28"/>
  <c r="I71" i="33" s="1"/>
  <c r="O54" i="28"/>
  <c r="O70" i="33" s="1"/>
  <c r="P70" i="33" s="1"/>
  <c r="N54" i="28"/>
  <c r="N70" i="33" s="1"/>
  <c r="K54" i="28"/>
  <c r="J54" i="28"/>
  <c r="J70" i="33" s="1"/>
  <c r="I54" i="28"/>
  <c r="I70" i="33" s="1"/>
  <c r="O53" i="28"/>
  <c r="N53" i="28"/>
  <c r="N69" i="33" s="1"/>
  <c r="K53" i="28"/>
  <c r="J53" i="28"/>
  <c r="J69" i="33" s="1"/>
  <c r="I53" i="28"/>
  <c r="I69" i="33" s="1"/>
  <c r="O52" i="28"/>
  <c r="N52" i="28"/>
  <c r="K52" i="28"/>
  <c r="J52" i="28"/>
  <c r="J68" i="33" s="1"/>
  <c r="I52" i="28"/>
  <c r="I68" i="33" s="1"/>
  <c r="O51" i="28"/>
  <c r="O67" i="33" s="1"/>
  <c r="P67" i="33" s="1"/>
  <c r="N51" i="28"/>
  <c r="N67" i="33" s="1"/>
  <c r="K51" i="28"/>
  <c r="J51" i="28"/>
  <c r="J67" i="33" s="1"/>
  <c r="I51" i="28"/>
  <c r="I67" i="33" s="1"/>
  <c r="O50" i="28"/>
  <c r="O66" i="33" s="1"/>
  <c r="P66" i="33" s="1"/>
  <c r="N50" i="28"/>
  <c r="K50" i="28"/>
  <c r="J50" i="28"/>
  <c r="J66" i="33" s="1"/>
  <c r="I50" i="28"/>
  <c r="I66" i="33" s="1"/>
  <c r="O49" i="28"/>
  <c r="O65" i="33" s="1"/>
  <c r="P65" i="33" s="1"/>
  <c r="N49" i="28"/>
  <c r="N65" i="33" s="1"/>
  <c r="K49" i="28"/>
  <c r="J49" i="28"/>
  <c r="J65" i="33" s="1"/>
  <c r="I49" i="28"/>
  <c r="I65" i="33" s="1"/>
  <c r="O48" i="28"/>
  <c r="N48" i="28"/>
  <c r="K48" i="28"/>
  <c r="J48" i="28"/>
  <c r="J64" i="33" s="1"/>
  <c r="I48" i="28"/>
  <c r="I64" i="33" s="1"/>
  <c r="O47" i="28"/>
  <c r="O63" i="33" s="1"/>
  <c r="P63" i="33" s="1"/>
  <c r="N47" i="28"/>
  <c r="N63" i="33" s="1"/>
  <c r="K47" i="28"/>
  <c r="J47" i="28"/>
  <c r="J63" i="33" s="1"/>
  <c r="I47" i="28"/>
  <c r="I63" i="33" s="1"/>
  <c r="O46" i="28"/>
  <c r="O62" i="33" s="1"/>
  <c r="P62" i="33" s="1"/>
  <c r="N46" i="28"/>
  <c r="N62" i="33" s="1"/>
  <c r="K46" i="28"/>
  <c r="J46" i="28"/>
  <c r="J62" i="33" s="1"/>
  <c r="I46" i="28"/>
  <c r="I62" i="33" s="1"/>
  <c r="O45" i="28"/>
  <c r="O61" i="33" s="1"/>
  <c r="P61" i="33" s="1"/>
  <c r="N45" i="28"/>
  <c r="N61" i="33" s="1"/>
  <c r="K45" i="28"/>
  <c r="J45" i="28"/>
  <c r="J61" i="33" s="1"/>
  <c r="I45" i="28"/>
  <c r="I61" i="33" s="1"/>
  <c r="O44" i="28"/>
  <c r="N44" i="28"/>
  <c r="K44" i="28"/>
  <c r="J44" i="28"/>
  <c r="J60" i="33" s="1"/>
  <c r="I44" i="28"/>
  <c r="I60" i="33" s="1"/>
  <c r="O43" i="28"/>
  <c r="O59" i="33" s="1"/>
  <c r="P59" i="33" s="1"/>
  <c r="N43" i="28"/>
  <c r="N59" i="33" s="1"/>
  <c r="K43" i="28"/>
  <c r="J43" i="28"/>
  <c r="J59" i="33" s="1"/>
  <c r="I43" i="28"/>
  <c r="I59" i="33" s="1"/>
  <c r="O42" i="28"/>
  <c r="O58" i="33" s="1"/>
  <c r="P58" i="33" s="1"/>
  <c r="N42" i="28"/>
  <c r="N58" i="33" s="1"/>
  <c r="K42" i="28"/>
  <c r="J42" i="28"/>
  <c r="J58" i="33" s="1"/>
  <c r="I42" i="28"/>
  <c r="I58" i="33" s="1"/>
  <c r="O41" i="28"/>
  <c r="O57" i="33" s="1"/>
  <c r="P57" i="33" s="1"/>
  <c r="N41" i="28"/>
  <c r="N57" i="33" s="1"/>
  <c r="K41" i="28"/>
  <c r="J41" i="28"/>
  <c r="J57" i="33" s="1"/>
  <c r="I41" i="28"/>
  <c r="I57" i="33" s="1"/>
  <c r="O40" i="28"/>
  <c r="N40" i="28"/>
  <c r="N56" i="33" s="1"/>
  <c r="K40" i="28"/>
  <c r="J40" i="28"/>
  <c r="J56" i="33" s="1"/>
  <c r="I40" i="28"/>
  <c r="I56" i="33" s="1"/>
  <c r="O39" i="28"/>
  <c r="O55" i="33" s="1"/>
  <c r="P55" i="33" s="1"/>
  <c r="N39" i="28"/>
  <c r="N55" i="33" s="1"/>
  <c r="K39" i="28"/>
  <c r="J39" i="28"/>
  <c r="J55" i="33" s="1"/>
  <c r="I39" i="28"/>
  <c r="I55" i="33" s="1"/>
  <c r="O38" i="28"/>
  <c r="O54" i="33" s="1"/>
  <c r="P54" i="33" s="1"/>
  <c r="N38" i="28"/>
  <c r="K38" i="28"/>
  <c r="J38" i="28"/>
  <c r="J54" i="33" s="1"/>
  <c r="I38" i="28"/>
  <c r="I54" i="33" s="1"/>
  <c r="O37" i="28"/>
  <c r="O53" i="33" s="1"/>
  <c r="P53" i="33" s="1"/>
  <c r="N37" i="28"/>
  <c r="N53" i="33" s="1"/>
  <c r="K37" i="28"/>
  <c r="J37" i="28"/>
  <c r="J53" i="33" s="1"/>
  <c r="I37" i="28"/>
  <c r="I53" i="33" s="1"/>
  <c r="O36" i="28"/>
  <c r="N36" i="28"/>
  <c r="K36" i="28"/>
  <c r="J36" i="28"/>
  <c r="J52" i="33" s="1"/>
  <c r="I36" i="28"/>
  <c r="I52" i="33" s="1"/>
  <c r="O35" i="28"/>
  <c r="O51" i="33" s="1"/>
  <c r="P51" i="33" s="1"/>
  <c r="N35" i="28"/>
  <c r="N51" i="33" s="1"/>
  <c r="K35" i="28"/>
  <c r="J35" i="28"/>
  <c r="J51" i="33" s="1"/>
  <c r="I35" i="28"/>
  <c r="I51" i="33" s="1"/>
  <c r="O34" i="28"/>
  <c r="O50" i="33" s="1"/>
  <c r="P50" i="33" s="1"/>
  <c r="N34" i="28"/>
  <c r="K34" i="28"/>
  <c r="J34" i="28"/>
  <c r="J50" i="33" s="1"/>
  <c r="I34" i="28"/>
  <c r="I50" i="33" s="1"/>
  <c r="O33" i="28"/>
  <c r="O49" i="33" s="1"/>
  <c r="P49" i="33" s="1"/>
  <c r="N33" i="28"/>
  <c r="N49" i="33" s="1"/>
  <c r="K33" i="28"/>
  <c r="J33" i="28"/>
  <c r="J49" i="33" s="1"/>
  <c r="I33" i="28"/>
  <c r="I49" i="33" s="1"/>
  <c r="O32" i="28"/>
  <c r="N32" i="28"/>
  <c r="K32" i="28"/>
  <c r="J32" i="28"/>
  <c r="J48" i="33" s="1"/>
  <c r="I32" i="28"/>
  <c r="I48" i="33" s="1"/>
  <c r="O31" i="28"/>
  <c r="O47" i="33" s="1"/>
  <c r="P47" i="33" s="1"/>
  <c r="N31" i="28"/>
  <c r="N47" i="33" s="1"/>
  <c r="K31" i="28"/>
  <c r="J31" i="28"/>
  <c r="J47" i="33" s="1"/>
  <c r="I31" i="28"/>
  <c r="I47" i="33" s="1"/>
  <c r="O30" i="28"/>
  <c r="O46" i="33" s="1"/>
  <c r="P46" i="33" s="1"/>
  <c r="N30" i="28"/>
  <c r="N46" i="33" s="1"/>
  <c r="K30" i="28"/>
  <c r="J30" i="28"/>
  <c r="J46" i="33" s="1"/>
  <c r="I30" i="28"/>
  <c r="I46" i="33" s="1"/>
  <c r="O29" i="28"/>
  <c r="O45" i="33" s="1"/>
  <c r="P45" i="33" s="1"/>
  <c r="N29" i="28"/>
  <c r="N45" i="33" s="1"/>
  <c r="K29" i="28"/>
  <c r="J29" i="28"/>
  <c r="J45" i="33" s="1"/>
  <c r="I29" i="28"/>
  <c r="I45" i="33" s="1"/>
  <c r="O28" i="28"/>
  <c r="N28" i="28"/>
  <c r="K28" i="28"/>
  <c r="J28" i="28"/>
  <c r="J44" i="33" s="1"/>
  <c r="I28" i="28"/>
  <c r="I44" i="33" s="1"/>
  <c r="O27" i="28"/>
  <c r="O43" i="33" s="1"/>
  <c r="P43" i="33" s="1"/>
  <c r="N27" i="28"/>
  <c r="N43" i="33" s="1"/>
  <c r="K27" i="28"/>
  <c r="J27" i="28"/>
  <c r="J43" i="33" s="1"/>
  <c r="I27" i="28"/>
  <c r="I43" i="33" s="1"/>
  <c r="O26" i="28"/>
  <c r="O42" i="33" s="1"/>
  <c r="P42" i="33" s="1"/>
  <c r="N26" i="28"/>
  <c r="N42" i="33" s="1"/>
  <c r="K26" i="28"/>
  <c r="J26" i="28"/>
  <c r="J42" i="33" s="1"/>
  <c r="I26" i="28"/>
  <c r="I42" i="33" s="1"/>
  <c r="O25" i="28"/>
  <c r="O41" i="33" s="1"/>
  <c r="P41" i="33" s="1"/>
  <c r="N25" i="28"/>
  <c r="N41" i="33" s="1"/>
  <c r="K25" i="28"/>
  <c r="J25" i="28"/>
  <c r="J41" i="33" s="1"/>
  <c r="I25" i="28"/>
  <c r="I41" i="33" s="1"/>
  <c r="O24" i="28"/>
  <c r="N24" i="28"/>
  <c r="K24" i="28"/>
  <c r="J24" i="28"/>
  <c r="J40" i="33" s="1"/>
  <c r="I24" i="28"/>
  <c r="I40" i="33" s="1"/>
  <c r="O23" i="28"/>
  <c r="O39" i="33" s="1"/>
  <c r="P39" i="33" s="1"/>
  <c r="N23" i="28"/>
  <c r="N39" i="33" s="1"/>
  <c r="K23" i="28"/>
  <c r="J23" i="28"/>
  <c r="J39" i="33" s="1"/>
  <c r="I23" i="28"/>
  <c r="I39" i="33" s="1"/>
  <c r="O22" i="28"/>
  <c r="O38" i="33" s="1"/>
  <c r="P38" i="33" s="1"/>
  <c r="N22" i="28"/>
  <c r="K22" i="28"/>
  <c r="J22" i="28"/>
  <c r="J38" i="33" s="1"/>
  <c r="I22" i="28"/>
  <c r="I38" i="33" s="1"/>
  <c r="O21" i="28"/>
  <c r="O37" i="33" s="1"/>
  <c r="P37" i="33" s="1"/>
  <c r="N21" i="28"/>
  <c r="N37" i="33" s="1"/>
  <c r="K21" i="28"/>
  <c r="J21" i="28"/>
  <c r="J37" i="33" s="1"/>
  <c r="I21" i="28"/>
  <c r="I37" i="33" s="1"/>
  <c r="O20" i="28"/>
  <c r="N20" i="28"/>
  <c r="N36" i="33" s="1"/>
  <c r="K20" i="28"/>
  <c r="J20" i="28"/>
  <c r="J36" i="33" s="1"/>
  <c r="I20" i="28"/>
  <c r="I36" i="33" s="1"/>
  <c r="O19" i="28"/>
  <c r="O35" i="33" s="1"/>
  <c r="P35" i="33" s="1"/>
  <c r="N19" i="28"/>
  <c r="N35" i="33" s="1"/>
  <c r="K19" i="28"/>
  <c r="J19" i="28"/>
  <c r="J35" i="33" s="1"/>
  <c r="I19" i="28"/>
  <c r="I35" i="33" s="1"/>
  <c r="O18" i="28"/>
  <c r="O34" i="33" s="1"/>
  <c r="P34" i="33" s="1"/>
  <c r="N18" i="28"/>
  <c r="K18" i="28"/>
  <c r="J18" i="28"/>
  <c r="J34" i="33" s="1"/>
  <c r="I18" i="28"/>
  <c r="I34" i="33" s="1"/>
  <c r="O17" i="28"/>
  <c r="O33" i="33" s="1"/>
  <c r="P33" i="33" s="1"/>
  <c r="N17" i="28"/>
  <c r="N33" i="33" s="1"/>
  <c r="K17" i="28"/>
  <c r="J17" i="28"/>
  <c r="J33" i="33" s="1"/>
  <c r="I17" i="28"/>
  <c r="I33" i="33" s="1"/>
  <c r="O16" i="28"/>
  <c r="N16" i="28"/>
  <c r="K16" i="28"/>
  <c r="J16" i="28"/>
  <c r="J32" i="33" s="1"/>
  <c r="I16" i="28"/>
  <c r="I32" i="33" s="1"/>
  <c r="O15" i="28"/>
  <c r="O31" i="33" s="1"/>
  <c r="P31" i="33" s="1"/>
  <c r="N15" i="28"/>
  <c r="N31" i="33" s="1"/>
  <c r="K15" i="28"/>
  <c r="J15" i="28"/>
  <c r="J31" i="33" s="1"/>
  <c r="I15" i="28"/>
  <c r="I31" i="33" s="1"/>
  <c r="O13" i="28"/>
  <c r="O29" i="33" s="1"/>
  <c r="P29" i="33" s="1"/>
  <c r="N13" i="28"/>
  <c r="N29" i="33" s="1"/>
  <c r="K13" i="28"/>
  <c r="J13" i="28"/>
  <c r="J29" i="33" s="1"/>
  <c r="I13" i="28"/>
  <c r="I29" i="33" s="1"/>
  <c r="E11" i="7"/>
  <c r="E10" i="7"/>
  <c r="T55" i="20"/>
  <c r="K107" i="33" l="1"/>
  <c r="AZ91" i="28"/>
  <c r="K111" i="33"/>
  <c r="AZ95" i="28"/>
  <c r="K115" i="33"/>
  <c r="AZ99" i="28"/>
  <c r="K119" i="33"/>
  <c r="AZ103" i="28"/>
  <c r="K123" i="33"/>
  <c r="AZ107" i="28"/>
  <c r="K35" i="33"/>
  <c r="AZ19" i="28"/>
  <c r="K55" i="33"/>
  <c r="AZ39" i="28"/>
  <c r="K63" i="33"/>
  <c r="AZ47" i="28"/>
  <c r="K67" i="33"/>
  <c r="AZ51" i="28"/>
  <c r="K71" i="33"/>
  <c r="AZ55" i="28"/>
  <c r="K79" i="33"/>
  <c r="AZ63" i="28"/>
  <c r="K83" i="33"/>
  <c r="AZ67" i="28"/>
  <c r="K87" i="33"/>
  <c r="AZ71" i="28"/>
  <c r="K99" i="33"/>
  <c r="AZ83" i="28"/>
  <c r="K103" i="33"/>
  <c r="AZ87" i="28"/>
  <c r="K44" i="33"/>
  <c r="AZ28" i="28"/>
  <c r="K92" i="33"/>
  <c r="AZ76" i="28"/>
  <c r="K96" i="33"/>
  <c r="AZ80" i="28"/>
  <c r="K100" i="33"/>
  <c r="AZ84" i="28"/>
  <c r="K104" i="33"/>
  <c r="AZ88" i="28"/>
  <c r="K108" i="33"/>
  <c r="AZ92" i="28"/>
  <c r="K112" i="33"/>
  <c r="AZ96" i="28"/>
  <c r="K116" i="33"/>
  <c r="AZ100" i="28"/>
  <c r="K120" i="33"/>
  <c r="AZ104" i="28"/>
  <c r="K124" i="33"/>
  <c r="AZ108" i="28"/>
  <c r="K31" i="33"/>
  <c r="AZ15" i="28"/>
  <c r="K39" i="33"/>
  <c r="AZ23" i="28"/>
  <c r="K47" i="33"/>
  <c r="AZ31" i="28"/>
  <c r="K32" i="33"/>
  <c r="AZ16" i="28"/>
  <c r="K40" i="33"/>
  <c r="AZ24" i="28"/>
  <c r="K48" i="33"/>
  <c r="AZ32" i="28"/>
  <c r="K56" i="33"/>
  <c r="AZ40" i="28"/>
  <c r="K68" i="33"/>
  <c r="AZ52" i="28"/>
  <c r="K76" i="33"/>
  <c r="AZ60" i="28"/>
  <c r="K84" i="33"/>
  <c r="AZ68" i="28"/>
  <c r="K29" i="33"/>
  <c r="AZ13" i="28"/>
  <c r="K33" i="33"/>
  <c r="AZ17" i="28"/>
  <c r="K37" i="33"/>
  <c r="AZ21" i="28"/>
  <c r="K41" i="33"/>
  <c r="AZ25" i="28"/>
  <c r="K45" i="33"/>
  <c r="AZ29" i="28"/>
  <c r="K49" i="33"/>
  <c r="AZ33" i="28"/>
  <c r="K53" i="33"/>
  <c r="AZ37" i="28"/>
  <c r="K57" i="33"/>
  <c r="AZ41" i="28"/>
  <c r="K61" i="33"/>
  <c r="AZ45" i="28"/>
  <c r="K65" i="33"/>
  <c r="AZ49" i="28"/>
  <c r="K69" i="33"/>
  <c r="AZ53" i="28"/>
  <c r="K73" i="33"/>
  <c r="AZ57" i="28"/>
  <c r="K77" i="33"/>
  <c r="AZ61" i="28"/>
  <c r="K81" i="33"/>
  <c r="AZ65" i="28"/>
  <c r="K85" i="33"/>
  <c r="AZ69" i="28"/>
  <c r="K89" i="33"/>
  <c r="AZ73" i="28"/>
  <c r="K93" i="33"/>
  <c r="AZ77" i="28"/>
  <c r="K97" i="33"/>
  <c r="AZ81" i="28"/>
  <c r="K101" i="33"/>
  <c r="AZ85" i="28"/>
  <c r="K105" i="33"/>
  <c r="AZ89" i="28"/>
  <c r="K109" i="33"/>
  <c r="AZ93" i="28"/>
  <c r="K113" i="33"/>
  <c r="AZ97" i="28"/>
  <c r="K117" i="33"/>
  <c r="AZ101" i="28"/>
  <c r="K121" i="33"/>
  <c r="AZ105" i="28"/>
  <c r="K125" i="33"/>
  <c r="AZ109" i="28"/>
  <c r="K43" i="33"/>
  <c r="AZ27" i="28"/>
  <c r="K51" i="33"/>
  <c r="AZ35" i="28"/>
  <c r="K59" i="33"/>
  <c r="AZ43" i="28"/>
  <c r="K75" i="33"/>
  <c r="AZ59" i="28"/>
  <c r="K91" i="33"/>
  <c r="AZ75" i="28"/>
  <c r="K95" i="33"/>
  <c r="AZ79" i="28"/>
  <c r="K36" i="33"/>
  <c r="AZ20" i="28"/>
  <c r="K52" i="33"/>
  <c r="AZ36" i="28"/>
  <c r="K60" i="33"/>
  <c r="AZ44" i="28"/>
  <c r="K64" i="33"/>
  <c r="AZ48" i="28"/>
  <c r="K72" i="33"/>
  <c r="AZ56" i="28"/>
  <c r="K80" i="33"/>
  <c r="AZ64" i="28"/>
  <c r="K88" i="33"/>
  <c r="AZ72" i="28"/>
  <c r="K34" i="33"/>
  <c r="AZ18" i="28"/>
  <c r="K38" i="33"/>
  <c r="AZ22" i="28"/>
  <c r="K42" i="33"/>
  <c r="AZ26" i="28"/>
  <c r="K46" i="33"/>
  <c r="AZ30" i="28"/>
  <c r="K50" i="33"/>
  <c r="AZ34" i="28"/>
  <c r="K54" i="33"/>
  <c r="AZ38" i="28"/>
  <c r="K58" i="33"/>
  <c r="AZ42" i="28"/>
  <c r="K62" i="33"/>
  <c r="AZ46" i="28"/>
  <c r="K66" i="33"/>
  <c r="AZ50" i="28"/>
  <c r="K70" i="33"/>
  <c r="AZ54" i="28"/>
  <c r="K74" i="33"/>
  <c r="AZ58" i="28"/>
  <c r="K78" i="33"/>
  <c r="AZ62" i="28"/>
  <c r="K82" i="33"/>
  <c r="AZ66" i="28"/>
  <c r="K86" i="33"/>
  <c r="AZ70" i="28"/>
  <c r="K90" i="33"/>
  <c r="AZ74" i="28"/>
  <c r="K94" i="33"/>
  <c r="AZ78" i="28"/>
  <c r="K98" i="33"/>
  <c r="AZ82" i="28"/>
  <c r="K102" i="33"/>
  <c r="AZ86" i="28"/>
  <c r="K106" i="33"/>
  <c r="AZ90" i="28"/>
  <c r="K110" i="33"/>
  <c r="AZ94" i="28"/>
  <c r="K114" i="33"/>
  <c r="AZ98" i="28"/>
  <c r="K118" i="33"/>
  <c r="AZ102" i="28"/>
  <c r="K122" i="33"/>
  <c r="AZ106" i="28"/>
  <c r="N50" i="33"/>
  <c r="N68" i="33"/>
  <c r="O44" i="33"/>
  <c r="P44" i="33" s="1"/>
  <c r="O48" i="33"/>
  <c r="P48" i="33" s="1"/>
  <c r="O52" i="33"/>
  <c r="P52" i="33" s="1"/>
  <c r="O56" i="33"/>
  <c r="P56" i="33" s="1"/>
  <c r="O60" i="33"/>
  <c r="P60" i="33" s="1"/>
  <c r="O64" i="33"/>
  <c r="P64" i="33" s="1"/>
  <c r="O32" i="33"/>
  <c r="P32" i="33" s="1"/>
  <c r="N34" i="33"/>
  <c r="O40" i="33"/>
  <c r="P40" i="33" s="1"/>
  <c r="N52" i="33"/>
  <c r="O36" i="33"/>
  <c r="P36" i="33" s="1"/>
  <c r="N38" i="33"/>
  <c r="N44" i="33"/>
  <c r="N54" i="33"/>
  <c r="N60" i="33"/>
  <c r="N64" i="33"/>
  <c r="N66" i="33"/>
  <c r="N32" i="33"/>
  <c r="N40" i="33"/>
  <c r="N48" i="33"/>
  <c r="N120" i="33"/>
  <c r="N124" i="33"/>
  <c r="O73" i="33"/>
  <c r="P73" i="33" s="1"/>
  <c r="O108" i="33"/>
  <c r="P108" i="33" s="1"/>
  <c r="O69" i="33"/>
  <c r="P69" i="33" s="1"/>
  <c r="N80" i="33"/>
  <c r="N84" i="33"/>
  <c r="N88" i="33"/>
  <c r="N92" i="33"/>
  <c r="N96" i="33"/>
  <c r="N100" i="33"/>
  <c r="N104" i="33"/>
  <c r="N108" i="33"/>
  <c r="N112" i="33"/>
  <c r="N116" i="33"/>
  <c r="O68" i="33"/>
  <c r="P68" i="33" s="1"/>
  <c r="O72" i="33"/>
  <c r="P72" i="33" s="1"/>
  <c r="O76" i="33"/>
  <c r="P76" i="33" s="1"/>
  <c r="O80" i="33"/>
  <c r="P80" i="33" s="1"/>
  <c r="O84" i="33"/>
  <c r="P84" i="33" s="1"/>
  <c r="O88" i="33"/>
  <c r="P88" i="33" s="1"/>
  <c r="O92" i="33"/>
  <c r="P92" i="33" s="1"/>
  <c r="O96" i="33"/>
  <c r="P96" i="33" s="1"/>
  <c r="O100" i="33"/>
  <c r="P100" i="33" s="1"/>
  <c r="O104" i="33"/>
  <c r="P104" i="33" s="1"/>
  <c r="O112" i="33"/>
  <c r="P112" i="33" s="1"/>
  <c r="O120" i="33"/>
  <c r="P120" i="33" s="1"/>
  <c r="N72" i="33"/>
  <c r="O116" i="33"/>
  <c r="P116" i="33" s="1"/>
  <c r="N76" i="33"/>
  <c r="O124" i="33"/>
  <c r="P124" i="33" s="1"/>
  <c r="BH106" i="3" l="1"/>
  <c r="BH105" i="3"/>
  <c r="BH104" i="3"/>
  <c r="BH103" i="3"/>
  <c r="BH102" i="3"/>
  <c r="BH101" i="3"/>
  <c r="BH100" i="3"/>
  <c r="BH99" i="3"/>
  <c r="BH98" i="3"/>
  <c r="BH97" i="3"/>
  <c r="BH96" i="3"/>
  <c r="BH95" i="3"/>
  <c r="BH94" i="3"/>
  <c r="BH93" i="3"/>
  <c r="BH92" i="3"/>
  <c r="BH91" i="3"/>
  <c r="BH90" i="3"/>
  <c r="BH89" i="3"/>
  <c r="BF88" i="3"/>
  <c r="BE88" i="3"/>
  <c r="BD88" i="3"/>
  <c r="BC88" i="3"/>
  <c r="BB88" i="3"/>
  <c r="BA88" i="3"/>
  <c r="AZ88" i="3"/>
  <c r="AY88" i="3"/>
  <c r="AX88" i="3"/>
  <c r="AW88" i="3"/>
  <c r="AV88" i="3"/>
  <c r="AU88" i="3"/>
  <c r="AT88" i="3"/>
  <c r="AS88" i="3"/>
  <c r="AR88" i="3"/>
  <c r="AQ88" i="3"/>
  <c r="AP88" i="3"/>
  <c r="AO88" i="3"/>
  <c r="K3" i="9" l="1"/>
  <c r="G3" i="9"/>
  <c r="J69" i="30" l="1"/>
  <c r="M61" i="30"/>
  <c r="K69" i="30" l="1"/>
  <c r="J76" i="30" s="1"/>
  <c r="L69" i="30" l="1"/>
  <c r="L76" i="30"/>
  <c r="M76" i="30" s="1"/>
  <c r="J79" i="30"/>
  <c r="K79" i="30" s="1"/>
  <c r="K76" i="30"/>
  <c r="H63" i="20" l="1"/>
  <c r="F1" i="32" l="1"/>
  <c r="K657" i="26" l="1"/>
  <c r="T652" i="26"/>
  <c r="K651" i="26"/>
  <c r="K650" i="26"/>
  <c r="K646" i="26"/>
  <c r="X645" i="26"/>
  <c r="X646" i="26" s="1"/>
  <c r="X647" i="26" s="1"/>
  <c r="X641" i="26"/>
  <c r="X642" i="26" s="1"/>
  <c r="X643" i="26" s="1"/>
  <c r="K592" i="26"/>
  <c r="T587" i="26"/>
  <c r="K586" i="26"/>
  <c r="K585" i="26"/>
  <c r="K581" i="26"/>
  <c r="X580" i="26"/>
  <c r="X581" i="26" s="1"/>
  <c r="X582" i="26" s="1"/>
  <c r="X576" i="26"/>
  <c r="X577" i="26" s="1"/>
  <c r="X578" i="26" s="1"/>
  <c r="K527" i="26"/>
  <c r="T522" i="26"/>
  <c r="K521" i="26"/>
  <c r="K520" i="26"/>
  <c r="K516" i="26"/>
  <c r="X515" i="26"/>
  <c r="X516" i="26" s="1"/>
  <c r="X517" i="26" s="1"/>
  <c r="X511" i="26"/>
  <c r="X512" i="26" s="1"/>
  <c r="X513" i="26" s="1"/>
  <c r="K462" i="26"/>
  <c r="T457" i="26"/>
  <c r="K456" i="26"/>
  <c r="K455" i="26"/>
  <c r="K451" i="26"/>
  <c r="X450" i="26"/>
  <c r="X451" i="26" s="1"/>
  <c r="X452" i="26" s="1"/>
  <c r="X446" i="26"/>
  <c r="X447" i="26" s="1"/>
  <c r="X448" i="26" s="1"/>
  <c r="K397" i="26"/>
  <c r="T392" i="26"/>
  <c r="K391" i="26"/>
  <c r="K390" i="26"/>
  <c r="K386" i="26"/>
  <c r="X385" i="26"/>
  <c r="X386" i="26" s="1"/>
  <c r="X387" i="26" s="1"/>
  <c r="X381" i="26"/>
  <c r="X382" i="26" s="1"/>
  <c r="X383" i="26" s="1"/>
  <c r="K332" i="26"/>
  <c r="T327" i="26"/>
  <c r="K326" i="26"/>
  <c r="K325" i="26"/>
  <c r="K321" i="26"/>
  <c r="X320" i="26"/>
  <c r="X321" i="26" s="1"/>
  <c r="X322" i="26" s="1"/>
  <c r="X316" i="26"/>
  <c r="X317" i="26" s="1"/>
  <c r="X318" i="26" s="1"/>
  <c r="K267" i="26"/>
  <c r="T262" i="26"/>
  <c r="K261" i="26"/>
  <c r="K260" i="26"/>
  <c r="K256" i="26"/>
  <c r="X255" i="26"/>
  <c r="X256" i="26" s="1"/>
  <c r="X257" i="26" s="1"/>
  <c r="X251" i="26"/>
  <c r="X252" i="26" s="1"/>
  <c r="X253" i="26" s="1"/>
  <c r="K202" i="26"/>
  <c r="T197" i="26"/>
  <c r="K196" i="26"/>
  <c r="K195" i="26"/>
  <c r="K191" i="26"/>
  <c r="X190" i="26"/>
  <c r="X191" i="26" s="1"/>
  <c r="X192" i="26" s="1"/>
  <c r="X186" i="26"/>
  <c r="X187" i="26" s="1"/>
  <c r="X188" i="26" s="1"/>
  <c r="C76" i="26"/>
  <c r="R76" i="26" s="1"/>
  <c r="K137" i="26"/>
  <c r="T132" i="26"/>
  <c r="K131" i="26"/>
  <c r="K130" i="26"/>
  <c r="K126" i="26"/>
  <c r="X125" i="26"/>
  <c r="X126" i="26" s="1"/>
  <c r="X127" i="26" s="1"/>
  <c r="X121" i="26"/>
  <c r="X122" i="26" s="1"/>
  <c r="X123" i="26" s="1"/>
  <c r="P211" i="28"/>
  <c r="AB211" i="28"/>
  <c r="AC211" i="28"/>
  <c r="AD211" i="28"/>
  <c r="AE211" i="28"/>
  <c r="AF211" i="28"/>
  <c r="AG211" i="28"/>
  <c r="AH211" i="28"/>
  <c r="AI211" i="28"/>
  <c r="AJ211" i="28"/>
  <c r="AK211" i="28"/>
  <c r="P142" i="28"/>
  <c r="AB142" i="28"/>
  <c r="AC142" i="28"/>
  <c r="AD142" i="28"/>
  <c r="AE142" i="28"/>
  <c r="AF142" i="28"/>
  <c r="AG142" i="28"/>
  <c r="AH142" i="28"/>
  <c r="AI142" i="28"/>
  <c r="AJ142" i="28"/>
  <c r="AK142" i="28"/>
  <c r="P143" i="28"/>
  <c r="AB143" i="28"/>
  <c r="AC143" i="28"/>
  <c r="AD143" i="28"/>
  <c r="AE143" i="28"/>
  <c r="AF143" i="28"/>
  <c r="AG143" i="28"/>
  <c r="AH143" i="28"/>
  <c r="AI143" i="28"/>
  <c r="AJ143" i="28"/>
  <c r="AK143" i="28"/>
  <c r="P144" i="28"/>
  <c r="AB144" i="28"/>
  <c r="AC144" i="28"/>
  <c r="AD144" i="28"/>
  <c r="AE144" i="28"/>
  <c r="AF144" i="28"/>
  <c r="AG144" i="28"/>
  <c r="AH144" i="28"/>
  <c r="AI144" i="28"/>
  <c r="AJ144" i="28"/>
  <c r="AK144" i="28"/>
  <c r="P145" i="28"/>
  <c r="AB145" i="28"/>
  <c r="AC145" i="28"/>
  <c r="AD145" i="28"/>
  <c r="AE145" i="28"/>
  <c r="AF145" i="28"/>
  <c r="AG145" i="28"/>
  <c r="AH145" i="28"/>
  <c r="AI145" i="28"/>
  <c r="AJ145" i="28"/>
  <c r="AK145" i="28"/>
  <c r="P146" i="28"/>
  <c r="AB146" i="28"/>
  <c r="AC146" i="28"/>
  <c r="AD146" i="28"/>
  <c r="AE146" i="28"/>
  <c r="AF146" i="28"/>
  <c r="AG146" i="28"/>
  <c r="AH146" i="28"/>
  <c r="AI146" i="28"/>
  <c r="AJ146" i="28"/>
  <c r="AK146" i="28"/>
  <c r="P147" i="28"/>
  <c r="AB147" i="28"/>
  <c r="AC147" i="28"/>
  <c r="AD147" i="28"/>
  <c r="AE147" i="28"/>
  <c r="AF147" i="28"/>
  <c r="AG147" i="28"/>
  <c r="AH147" i="28"/>
  <c r="AI147" i="28"/>
  <c r="AJ147" i="28"/>
  <c r="AK147" i="28"/>
  <c r="P148" i="28"/>
  <c r="AB148" i="28"/>
  <c r="AC148" i="28"/>
  <c r="AD148" i="28"/>
  <c r="AE148" i="28"/>
  <c r="AF148" i="28"/>
  <c r="AG148" i="28"/>
  <c r="AH148" i="28"/>
  <c r="AI148" i="28"/>
  <c r="AJ148" i="28"/>
  <c r="AK148" i="28"/>
  <c r="P149" i="28"/>
  <c r="AB149" i="28"/>
  <c r="AC149" i="28"/>
  <c r="AD149" i="28"/>
  <c r="AE149" i="28"/>
  <c r="AF149" i="28"/>
  <c r="AG149" i="28"/>
  <c r="AH149" i="28"/>
  <c r="AI149" i="28"/>
  <c r="AJ149" i="28"/>
  <c r="AK149" i="28"/>
  <c r="P150" i="28"/>
  <c r="AB150" i="28"/>
  <c r="AC150" i="28"/>
  <c r="AD150" i="28"/>
  <c r="AE150" i="28"/>
  <c r="AF150" i="28"/>
  <c r="AG150" i="28"/>
  <c r="AH150" i="28"/>
  <c r="AI150" i="28"/>
  <c r="AJ150" i="28"/>
  <c r="AK150" i="28"/>
  <c r="P151" i="28"/>
  <c r="AB151" i="28"/>
  <c r="AC151" i="28"/>
  <c r="AD151" i="28"/>
  <c r="AE151" i="28"/>
  <c r="AF151" i="28"/>
  <c r="AG151" i="28"/>
  <c r="AH151" i="28"/>
  <c r="AI151" i="28"/>
  <c r="AJ151" i="28"/>
  <c r="AK151" i="28"/>
  <c r="P152" i="28"/>
  <c r="AB152" i="28"/>
  <c r="AC152" i="28"/>
  <c r="AD152" i="28"/>
  <c r="AE152" i="28"/>
  <c r="AF152" i="28"/>
  <c r="AG152" i="28"/>
  <c r="AH152" i="28"/>
  <c r="AI152" i="28"/>
  <c r="AJ152" i="28"/>
  <c r="AK152" i="28"/>
  <c r="P153" i="28"/>
  <c r="AB153" i="28"/>
  <c r="AC153" i="28"/>
  <c r="AD153" i="28"/>
  <c r="AE153" i="28"/>
  <c r="AF153" i="28"/>
  <c r="AG153" i="28"/>
  <c r="AH153" i="28"/>
  <c r="AI153" i="28"/>
  <c r="AJ153" i="28"/>
  <c r="AK153" i="28"/>
  <c r="P154" i="28"/>
  <c r="AB154" i="28"/>
  <c r="AC154" i="28"/>
  <c r="AD154" i="28"/>
  <c r="AE154" i="28"/>
  <c r="AF154" i="28"/>
  <c r="AG154" i="28"/>
  <c r="AH154" i="28"/>
  <c r="AI154" i="28"/>
  <c r="AJ154" i="28"/>
  <c r="AK154" i="28"/>
  <c r="P155" i="28"/>
  <c r="AB155" i="28"/>
  <c r="AC155" i="28"/>
  <c r="AD155" i="28"/>
  <c r="AE155" i="28"/>
  <c r="AF155" i="28"/>
  <c r="AG155" i="28"/>
  <c r="AH155" i="28"/>
  <c r="AI155" i="28"/>
  <c r="AJ155" i="28"/>
  <c r="AK155" i="28"/>
  <c r="P156" i="28"/>
  <c r="AB156" i="28"/>
  <c r="AC156" i="28"/>
  <c r="AD156" i="28"/>
  <c r="AE156" i="28"/>
  <c r="AF156" i="28"/>
  <c r="AG156" i="28"/>
  <c r="AH156" i="28"/>
  <c r="AI156" i="28"/>
  <c r="AJ156" i="28"/>
  <c r="AK156" i="28"/>
  <c r="P157" i="28"/>
  <c r="AB157" i="28"/>
  <c r="AC157" i="28"/>
  <c r="AD157" i="28"/>
  <c r="AE157" i="28"/>
  <c r="AF157" i="28"/>
  <c r="AG157" i="28"/>
  <c r="AH157" i="28"/>
  <c r="AI157" i="28"/>
  <c r="AJ157" i="28"/>
  <c r="AK157" i="28"/>
  <c r="P158" i="28"/>
  <c r="AB158" i="28"/>
  <c r="AC158" i="28"/>
  <c r="AD158" i="28"/>
  <c r="AE158" i="28"/>
  <c r="AF158" i="28"/>
  <c r="AG158" i="28"/>
  <c r="AH158" i="28"/>
  <c r="AI158" i="28"/>
  <c r="AJ158" i="28"/>
  <c r="AK158" i="28"/>
  <c r="P159" i="28"/>
  <c r="AB159" i="28"/>
  <c r="AC159" i="28"/>
  <c r="AD159" i="28"/>
  <c r="AE159" i="28"/>
  <c r="AF159" i="28"/>
  <c r="AG159" i="28"/>
  <c r="AH159" i="28"/>
  <c r="AI159" i="28"/>
  <c r="AJ159" i="28"/>
  <c r="AK159" i="28"/>
  <c r="P160" i="28"/>
  <c r="AB160" i="28"/>
  <c r="AC160" i="28"/>
  <c r="AD160" i="28"/>
  <c r="AE160" i="28"/>
  <c r="AF160" i="28"/>
  <c r="AG160" i="28"/>
  <c r="AH160" i="28"/>
  <c r="AI160" i="28"/>
  <c r="AJ160" i="28"/>
  <c r="AK160" i="28"/>
  <c r="P161" i="28"/>
  <c r="AB161" i="28"/>
  <c r="AC161" i="28"/>
  <c r="AD161" i="28"/>
  <c r="AE161" i="28"/>
  <c r="AF161" i="28"/>
  <c r="AG161" i="28"/>
  <c r="AH161" i="28"/>
  <c r="AI161" i="28"/>
  <c r="AJ161" i="28"/>
  <c r="AK161" i="28"/>
  <c r="P162" i="28"/>
  <c r="AB162" i="28"/>
  <c r="AC162" i="28"/>
  <c r="AD162" i="28"/>
  <c r="AE162" i="28"/>
  <c r="AF162" i="28"/>
  <c r="AG162" i="28"/>
  <c r="AH162" i="28"/>
  <c r="AI162" i="28"/>
  <c r="AJ162" i="28"/>
  <c r="AK162" i="28"/>
  <c r="P163" i="28"/>
  <c r="AB163" i="28"/>
  <c r="AC163" i="28"/>
  <c r="AD163" i="28"/>
  <c r="AE163" i="28"/>
  <c r="AF163" i="28"/>
  <c r="AG163" i="28"/>
  <c r="AH163" i="28"/>
  <c r="AI163" i="28"/>
  <c r="AJ163" i="28"/>
  <c r="AK163" i="28"/>
  <c r="P164" i="28"/>
  <c r="AB164" i="28"/>
  <c r="AC164" i="28"/>
  <c r="AD164" i="28"/>
  <c r="AE164" i="28"/>
  <c r="AF164" i="28"/>
  <c r="AG164" i="28"/>
  <c r="AH164" i="28"/>
  <c r="AI164" i="28"/>
  <c r="AJ164" i="28"/>
  <c r="AK164" i="28"/>
  <c r="P165" i="28"/>
  <c r="AB165" i="28"/>
  <c r="AC165" i="28"/>
  <c r="AD165" i="28"/>
  <c r="AE165" i="28"/>
  <c r="AF165" i="28"/>
  <c r="AG165" i="28"/>
  <c r="AH165" i="28"/>
  <c r="AI165" i="28"/>
  <c r="AJ165" i="28"/>
  <c r="AK165" i="28"/>
  <c r="P166" i="28"/>
  <c r="AB166" i="28"/>
  <c r="AC166" i="28"/>
  <c r="AD166" i="28"/>
  <c r="AE166" i="28"/>
  <c r="AF166" i="28"/>
  <c r="AG166" i="28"/>
  <c r="AH166" i="28"/>
  <c r="AI166" i="28"/>
  <c r="AJ166" i="28"/>
  <c r="AK166" i="28"/>
  <c r="P167" i="28"/>
  <c r="AB167" i="28"/>
  <c r="AC167" i="28"/>
  <c r="AD167" i="28"/>
  <c r="AE167" i="28"/>
  <c r="AF167" i="28"/>
  <c r="AG167" i="28"/>
  <c r="AH167" i="28"/>
  <c r="AI167" i="28"/>
  <c r="AJ167" i="28"/>
  <c r="AK167" i="28"/>
  <c r="P168" i="28"/>
  <c r="AB168" i="28"/>
  <c r="AC168" i="28"/>
  <c r="AD168" i="28"/>
  <c r="AE168" i="28"/>
  <c r="AF168" i="28"/>
  <c r="AG168" i="28"/>
  <c r="AH168" i="28"/>
  <c r="AI168" i="28"/>
  <c r="AJ168" i="28"/>
  <c r="AK168" i="28"/>
  <c r="P169" i="28"/>
  <c r="AB169" i="28"/>
  <c r="AC169" i="28"/>
  <c r="AD169" i="28"/>
  <c r="AE169" i="28"/>
  <c r="AF169" i="28"/>
  <c r="AG169" i="28"/>
  <c r="AH169" i="28"/>
  <c r="AI169" i="28"/>
  <c r="AJ169" i="28"/>
  <c r="AK169" i="28"/>
  <c r="P170" i="28"/>
  <c r="AB170" i="28"/>
  <c r="AC170" i="28"/>
  <c r="AD170" i="28"/>
  <c r="AE170" i="28"/>
  <c r="AF170" i="28"/>
  <c r="AG170" i="28"/>
  <c r="AH170" i="28"/>
  <c r="AI170" i="28"/>
  <c r="AJ170" i="28"/>
  <c r="AK170" i="28"/>
  <c r="P171" i="28"/>
  <c r="AB171" i="28"/>
  <c r="AC171" i="28"/>
  <c r="AD171" i="28"/>
  <c r="AE171" i="28"/>
  <c r="AF171" i="28"/>
  <c r="AG171" i="28"/>
  <c r="AH171" i="28"/>
  <c r="AI171" i="28"/>
  <c r="AJ171" i="28"/>
  <c r="AK171" i="28"/>
  <c r="P172" i="28"/>
  <c r="AB172" i="28"/>
  <c r="AC172" i="28"/>
  <c r="AD172" i="28"/>
  <c r="AE172" i="28"/>
  <c r="AF172" i="28"/>
  <c r="AG172" i="28"/>
  <c r="AH172" i="28"/>
  <c r="AI172" i="28"/>
  <c r="AJ172" i="28"/>
  <c r="AK172" i="28"/>
  <c r="P173" i="28"/>
  <c r="AB173" i="28"/>
  <c r="AC173" i="28"/>
  <c r="AD173" i="28"/>
  <c r="AE173" i="28"/>
  <c r="AF173" i="28"/>
  <c r="AG173" i="28"/>
  <c r="AH173" i="28"/>
  <c r="AI173" i="28"/>
  <c r="AJ173" i="28"/>
  <c r="AK173" i="28"/>
  <c r="P174" i="28"/>
  <c r="AB174" i="28"/>
  <c r="AC174" i="28"/>
  <c r="AD174" i="28"/>
  <c r="AE174" i="28"/>
  <c r="AF174" i="28"/>
  <c r="AG174" i="28"/>
  <c r="AH174" i="28"/>
  <c r="AI174" i="28"/>
  <c r="AJ174" i="28"/>
  <c r="AK174" i="28"/>
  <c r="P175" i="28"/>
  <c r="AB175" i="28"/>
  <c r="AC175" i="28"/>
  <c r="AD175" i="28"/>
  <c r="AE175" i="28"/>
  <c r="AF175" i="28"/>
  <c r="AG175" i="28"/>
  <c r="AH175" i="28"/>
  <c r="AI175" i="28"/>
  <c r="AJ175" i="28"/>
  <c r="AK175" i="28"/>
  <c r="P176" i="28"/>
  <c r="AB176" i="28"/>
  <c r="AC176" i="28"/>
  <c r="AD176" i="28"/>
  <c r="AE176" i="28"/>
  <c r="AF176" i="28"/>
  <c r="AG176" i="28"/>
  <c r="AH176" i="28"/>
  <c r="AI176" i="28"/>
  <c r="AJ176" i="28"/>
  <c r="AK176" i="28"/>
  <c r="P177" i="28"/>
  <c r="AB177" i="28"/>
  <c r="AC177" i="28"/>
  <c r="AD177" i="28"/>
  <c r="AE177" i="28"/>
  <c r="AF177" i="28"/>
  <c r="AG177" i="28"/>
  <c r="AH177" i="28"/>
  <c r="AI177" i="28"/>
  <c r="AJ177" i="28"/>
  <c r="AK177" i="28"/>
  <c r="P178" i="28"/>
  <c r="AB178" i="28"/>
  <c r="AC178" i="28"/>
  <c r="AD178" i="28"/>
  <c r="AE178" i="28"/>
  <c r="AF178" i="28"/>
  <c r="AG178" i="28"/>
  <c r="AH178" i="28"/>
  <c r="AI178" i="28"/>
  <c r="AJ178" i="28"/>
  <c r="AK178" i="28"/>
  <c r="P179" i="28"/>
  <c r="AB179" i="28"/>
  <c r="AC179" i="28"/>
  <c r="AD179" i="28"/>
  <c r="AE179" i="28"/>
  <c r="AF179" i="28"/>
  <c r="AG179" i="28"/>
  <c r="AH179" i="28"/>
  <c r="AI179" i="28"/>
  <c r="AJ179" i="28"/>
  <c r="AK179" i="28"/>
  <c r="P180" i="28"/>
  <c r="AB180" i="28"/>
  <c r="AC180" i="28"/>
  <c r="AD180" i="28"/>
  <c r="AE180" i="28"/>
  <c r="AF180" i="28"/>
  <c r="AG180" i="28"/>
  <c r="AH180" i="28"/>
  <c r="AI180" i="28"/>
  <c r="AJ180" i="28"/>
  <c r="AK180" i="28"/>
  <c r="P181" i="28"/>
  <c r="AB181" i="28"/>
  <c r="AC181" i="28"/>
  <c r="AD181" i="28"/>
  <c r="AE181" i="28"/>
  <c r="AF181" i="28"/>
  <c r="AG181" i="28"/>
  <c r="AH181" i="28"/>
  <c r="AI181" i="28"/>
  <c r="AJ181" i="28"/>
  <c r="AK181" i="28"/>
  <c r="P182" i="28"/>
  <c r="AB182" i="28"/>
  <c r="AC182" i="28"/>
  <c r="AD182" i="28"/>
  <c r="AE182" i="28"/>
  <c r="AF182" i="28"/>
  <c r="AG182" i="28"/>
  <c r="AH182" i="28"/>
  <c r="AI182" i="28"/>
  <c r="AJ182" i="28"/>
  <c r="AK182" i="28"/>
  <c r="P183" i="28"/>
  <c r="AB183" i="28"/>
  <c r="AC183" i="28"/>
  <c r="AD183" i="28"/>
  <c r="AE183" i="28"/>
  <c r="AF183" i="28"/>
  <c r="AG183" i="28"/>
  <c r="AH183" i="28"/>
  <c r="AI183" i="28"/>
  <c r="AJ183" i="28"/>
  <c r="AK183" i="28"/>
  <c r="P184" i="28"/>
  <c r="AB184" i="28"/>
  <c r="AC184" i="28"/>
  <c r="AD184" i="28"/>
  <c r="AE184" i="28"/>
  <c r="AF184" i="28"/>
  <c r="AG184" i="28"/>
  <c r="AH184" i="28"/>
  <c r="AI184" i="28"/>
  <c r="AJ184" i="28"/>
  <c r="AK184" i="28"/>
  <c r="P185" i="28"/>
  <c r="AB185" i="28"/>
  <c r="AC185" i="28"/>
  <c r="AD185" i="28"/>
  <c r="AE185" i="28"/>
  <c r="AF185" i="28"/>
  <c r="AG185" i="28"/>
  <c r="AH185" i="28"/>
  <c r="AI185" i="28"/>
  <c r="AJ185" i="28"/>
  <c r="AK185" i="28"/>
  <c r="P186" i="28"/>
  <c r="AB186" i="28"/>
  <c r="AC186" i="28"/>
  <c r="AD186" i="28"/>
  <c r="AE186" i="28"/>
  <c r="AF186" i="28"/>
  <c r="AG186" i="28"/>
  <c r="AH186" i="28"/>
  <c r="AI186" i="28"/>
  <c r="AJ186" i="28"/>
  <c r="AK186" i="28"/>
  <c r="P187" i="28"/>
  <c r="AB187" i="28"/>
  <c r="AC187" i="28"/>
  <c r="AD187" i="28"/>
  <c r="AE187" i="28"/>
  <c r="AF187" i="28"/>
  <c r="AG187" i="28"/>
  <c r="AH187" i="28"/>
  <c r="AI187" i="28"/>
  <c r="AJ187" i="28"/>
  <c r="AK187" i="28"/>
  <c r="P188" i="28"/>
  <c r="AB188" i="28"/>
  <c r="AC188" i="28"/>
  <c r="AD188" i="28"/>
  <c r="AE188" i="28"/>
  <c r="AF188" i="28"/>
  <c r="AG188" i="28"/>
  <c r="AH188" i="28"/>
  <c r="AI188" i="28"/>
  <c r="AJ188" i="28"/>
  <c r="AK188" i="28"/>
  <c r="P189" i="28"/>
  <c r="AB189" i="28"/>
  <c r="AC189" i="28"/>
  <c r="AD189" i="28"/>
  <c r="AE189" i="28"/>
  <c r="AF189" i="28"/>
  <c r="AG189" i="28"/>
  <c r="AH189" i="28"/>
  <c r="AI189" i="28"/>
  <c r="AJ189" i="28"/>
  <c r="AK189" i="28"/>
  <c r="P190" i="28"/>
  <c r="AB190" i="28"/>
  <c r="AC190" i="28"/>
  <c r="AD190" i="28"/>
  <c r="AE190" i="28"/>
  <c r="AF190" i="28"/>
  <c r="AG190" i="28"/>
  <c r="AH190" i="28"/>
  <c r="AI190" i="28"/>
  <c r="AJ190" i="28"/>
  <c r="AK190" i="28"/>
  <c r="P191" i="28"/>
  <c r="AB191" i="28"/>
  <c r="AC191" i="28"/>
  <c r="AD191" i="28"/>
  <c r="AE191" i="28"/>
  <c r="AF191" i="28"/>
  <c r="AG191" i="28"/>
  <c r="AH191" i="28"/>
  <c r="AI191" i="28"/>
  <c r="AJ191" i="28"/>
  <c r="AK191" i="28"/>
  <c r="P192" i="28"/>
  <c r="AB192" i="28"/>
  <c r="AC192" i="28"/>
  <c r="AD192" i="28"/>
  <c r="AE192" i="28"/>
  <c r="AF192" i="28"/>
  <c r="AG192" i="28"/>
  <c r="AH192" i="28"/>
  <c r="AI192" i="28"/>
  <c r="AJ192" i="28"/>
  <c r="AK192" i="28"/>
  <c r="P193" i="28"/>
  <c r="AB193" i="28"/>
  <c r="AC193" i="28"/>
  <c r="AD193" i="28"/>
  <c r="AE193" i="28"/>
  <c r="AF193" i="28"/>
  <c r="AG193" i="28"/>
  <c r="AH193" i="28"/>
  <c r="AI193" i="28"/>
  <c r="AJ193" i="28"/>
  <c r="AK193" i="28"/>
  <c r="P194" i="28"/>
  <c r="AB194" i="28"/>
  <c r="AC194" i="28"/>
  <c r="AD194" i="28"/>
  <c r="AE194" i="28"/>
  <c r="AF194" i="28"/>
  <c r="AG194" i="28"/>
  <c r="AH194" i="28"/>
  <c r="AI194" i="28"/>
  <c r="AJ194" i="28"/>
  <c r="AK194" i="28"/>
  <c r="P195" i="28"/>
  <c r="AB195" i="28"/>
  <c r="AC195" i="28"/>
  <c r="AD195" i="28"/>
  <c r="AE195" i="28"/>
  <c r="AF195" i="28"/>
  <c r="AG195" i="28"/>
  <c r="AH195" i="28"/>
  <c r="AI195" i="28"/>
  <c r="AJ195" i="28"/>
  <c r="AK195" i="28"/>
  <c r="P196" i="28"/>
  <c r="AB196" i="28"/>
  <c r="AC196" i="28"/>
  <c r="AD196" i="28"/>
  <c r="AE196" i="28"/>
  <c r="AF196" i="28"/>
  <c r="AG196" i="28"/>
  <c r="AH196" i="28"/>
  <c r="AI196" i="28"/>
  <c r="AJ196" i="28"/>
  <c r="AK196" i="28"/>
  <c r="P197" i="28"/>
  <c r="AB197" i="28"/>
  <c r="AC197" i="28"/>
  <c r="AD197" i="28"/>
  <c r="AE197" i="28"/>
  <c r="AF197" i="28"/>
  <c r="AG197" i="28"/>
  <c r="AH197" i="28"/>
  <c r="AI197" i="28"/>
  <c r="AJ197" i="28"/>
  <c r="AK197" i="28"/>
  <c r="P198" i="28"/>
  <c r="AB198" i="28"/>
  <c r="AC198" i="28"/>
  <c r="AD198" i="28"/>
  <c r="AE198" i="28"/>
  <c r="AF198" i="28"/>
  <c r="AG198" i="28"/>
  <c r="AH198" i="28"/>
  <c r="AI198" i="28"/>
  <c r="AJ198" i="28"/>
  <c r="AK198" i="28"/>
  <c r="P199" i="28"/>
  <c r="AB199" i="28"/>
  <c r="AC199" i="28"/>
  <c r="AD199" i="28"/>
  <c r="AE199" i="28"/>
  <c r="AF199" i="28"/>
  <c r="AG199" i="28"/>
  <c r="AH199" i="28"/>
  <c r="AI199" i="28"/>
  <c r="AJ199" i="28"/>
  <c r="AK199" i="28"/>
  <c r="P200" i="28"/>
  <c r="AB200" i="28"/>
  <c r="AC200" i="28"/>
  <c r="AD200" i="28"/>
  <c r="AE200" i="28"/>
  <c r="AF200" i="28"/>
  <c r="AG200" i="28"/>
  <c r="AH200" i="28"/>
  <c r="AI200" i="28"/>
  <c r="AJ200" i="28"/>
  <c r="AK200" i="28"/>
  <c r="P201" i="28"/>
  <c r="AB201" i="28"/>
  <c r="AC201" i="28"/>
  <c r="AD201" i="28"/>
  <c r="AE201" i="28"/>
  <c r="AF201" i="28"/>
  <c r="AG201" i="28"/>
  <c r="AH201" i="28"/>
  <c r="AI201" i="28"/>
  <c r="AJ201" i="28"/>
  <c r="AK201" i="28"/>
  <c r="P202" i="28"/>
  <c r="AB202" i="28"/>
  <c r="AC202" i="28"/>
  <c r="AD202" i="28"/>
  <c r="AE202" i="28"/>
  <c r="AF202" i="28"/>
  <c r="AG202" i="28"/>
  <c r="AH202" i="28"/>
  <c r="AI202" i="28"/>
  <c r="AJ202" i="28"/>
  <c r="AK202" i="28"/>
  <c r="P203" i="28"/>
  <c r="AB203" i="28"/>
  <c r="AC203" i="28"/>
  <c r="AD203" i="28"/>
  <c r="AE203" i="28"/>
  <c r="AF203" i="28"/>
  <c r="AG203" i="28"/>
  <c r="AH203" i="28"/>
  <c r="AI203" i="28"/>
  <c r="AJ203" i="28"/>
  <c r="AK203" i="28"/>
  <c r="P204" i="28"/>
  <c r="AB204" i="28"/>
  <c r="AC204" i="28"/>
  <c r="AD204" i="28"/>
  <c r="AE204" i="28"/>
  <c r="AF204" i="28"/>
  <c r="AG204" i="28"/>
  <c r="AH204" i="28"/>
  <c r="AI204" i="28"/>
  <c r="AJ204" i="28"/>
  <c r="AK204" i="28"/>
  <c r="P205" i="28"/>
  <c r="AB205" i="28"/>
  <c r="AC205" i="28"/>
  <c r="AD205" i="28"/>
  <c r="AE205" i="28"/>
  <c r="AF205" i="28"/>
  <c r="AG205" i="28"/>
  <c r="AH205" i="28"/>
  <c r="AI205" i="28"/>
  <c r="AJ205" i="28"/>
  <c r="AK205" i="28"/>
  <c r="P206" i="28"/>
  <c r="AB206" i="28"/>
  <c r="AC206" i="28"/>
  <c r="AD206" i="28"/>
  <c r="AE206" i="28"/>
  <c r="AF206" i="28"/>
  <c r="AG206" i="28"/>
  <c r="AH206" i="28"/>
  <c r="AI206" i="28"/>
  <c r="AJ206" i="28"/>
  <c r="AK206" i="28"/>
  <c r="P207" i="28"/>
  <c r="AB207" i="28"/>
  <c r="AC207" i="28"/>
  <c r="AD207" i="28"/>
  <c r="AE207" i="28"/>
  <c r="AF207" i="28"/>
  <c r="AG207" i="28"/>
  <c r="AH207" i="28"/>
  <c r="AI207" i="28"/>
  <c r="AJ207" i="28"/>
  <c r="AK207" i="28"/>
  <c r="P208" i="28"/>
  <c r="AB208" i="28"/>
  <c r="AC208" i="28"/>
  <c r="AD208" i="28"/>
  <c r="AE208" i="28"/>
  <c r="AF208" i="28"/>
  <c r="AG208" i="28"/>
  <c r="AH208" i="28"/>
  <c r="AI208" i="28"/>
  <c r="AJ208" i="28"/>
  <c r="AK208" i="28"/>
  <c r="P209" i="28"/>
  <c r="AB209" i="28"/>
  <c r="AC209" i="28"/>
  <c r="AD209" i="28"/>
  <c r="AE209" i="28"/>
  <c r="AF209" i="28"/>
  <c r="AG209" i="28"/>
  <c r="AH209" i="28"/>
  <c r="AI209" i="28"/>
  <c r="AJ209" i="28"/>
  <c r="AK209" i="28"/>
  <c r="P210" i="28"/>
  <c r="AB210" i="28"/>
  <c r="AC210" i="28"/>
  <c r="AD210" i="28"/>
  <c r="AE210" i="28"/>
  <c r="AF210" i="28"/>
  <c r="AG210" i="28"/>
  <c r="AH210" i="28"/>
  <c r="AI210" i="28"/>
  <c r="AJ210" i="28"/>
  <c r="AK210" i="28"/>
  <c r="BK11" i="28"/>
  <c r="BL11" i="28"/>
  <c r="BM11" i="28"/>
  <c r="BN11" i="28"/>
  <c r="BK12" i="28"/>
  <c r="BL12" i="28"/>
  <c r="BM12" i="28"/>
  <c r="BN12" i="28"/>
  <c r="BK13" i="28"/>
  <c r="BL13" i="28"/>
  <c r="BM13" i="28"/>
  <c r="BN13" i="28"/>
  <c r="BK14" i="28"/>
  <c r="BL14" i="28"/>
  <c r="BM14" i="28"/>
  <c r="BN14" i="28"/>
  <c r="BK15" i="28"/>
  <c r="BL15" i="28"/>
  <c r="BM15" i="28"/>
  <c r="BN15" i="28"/>
  <c r="BK16" i="28"/>
  <c r="BL16" i="28"/>
  <c r="BM16" i="28"/>
  <c r="BN16" i="28"/>
  <c r="BK17" i="28"/>
  <c r="BL17" i="28"/>
  <c r="BM17" i="28"/>
  <c r="BN17" i="28"/>
  <c r="BK18" i="28"/>
  <c r="BL18" i="28"/>
  <c r="BM18" i="28"/>
  <c r="BN18" i="28"/>
  <c r="BK19" i="28"/>
  <c r="BL19" i="28"/>
  <c r="BM19" i="28"/>
  <c r="BN19" i="28"/>
  <c r="BK20" i="28"/>
  <c r="BL20" i="28"/>
  <c r="BM20" i="28"/>
  <c r="BN20" i="28"/>
  <c r="BK21" i="28"/>
  <c r="BL21" i="28"/>
  <c r="BM21" i="28"/>
  <c r="BN21" i="28"/>
  <c r="BK22" i="28"/>
  <c r="BL22" i="28"/>
  <c r="BM22" i="28"/>
  <c r="BN22" i="28"/>
  <c r="BK23" i="28"/>
  <c r="BL23" i="28"/>
  <c r="BM23" i="28"/>
  <c r="BN23" i="28"/>
  <c r="BK24" i="28"/>
  <c r="BL24" i="28"/>
  <c r="BM24" i="28"/>
  <c r="BN24" i="28"/>
  <c r="BK25" i="28"/>
  <c r="BL25" i="28"/>
  <c r="BM25" i="28"/>
  <c r="BN25" i="28"/>
  <c r="BK26" i="28"/>
  <c r="BL26" i="28"/>
  <c r="BM26" i="28"/>
  <c r="BN26" i="28"/>
  <c r="BK27" i="28"/>
  <c r="BL27" i="28"/>
  <c r="BM27" i="28"/>
  <c r="BN27" i="28"/>
  <c r="BK28" i="28"/>
  <c r="BL28" i="28"/>
  <c r="BM28" i="28"/>
  <c r="BN28" i="28"/>
  <c r="BK29" i="28"/>
  <c r="BL29" i="28"/>
  <c r="BM29" i="28"/>
  <c r="BN29" i="28"/>
  <c r="BK30" i="28"/>
  <c r="BL30" i="28"/>
  <c r="BM30" i="28"/>
  <c r="BN30" i="28"/>
  <c r="BK31" i="28"/>
  <c r="BL31" i="28"/>
  <c r="BM31" i="28"/>
  <c r="BN31" i="28"/>
  <c r="BK32" i="28"/>
  <c r="BL32" i="28"/>
  <c r="BM32" i="28"/>
  <c r="BN32" i="28"/>
  <c r="BK33" i="28"/>
  <c r="BL33" i="28"/>
  <c r="BM33" i="28"/>
  <c r="BN33" i="28"/>
  <c r="BK34" i="28"/>
  <c r="BL34" i="28"/>
  <c r="BM34" i="28"/>
  <c r="BN34" i="28"/>
  <c r="BK35" i="28"/>
  <c r="BL35" i="28"/>
  <c r="BM35" i="28"/>
  <c r="BN35" i="28"/>
  <c r="BK36" i="28"/>
  <c r="BL36" i="28"/>
  <c r="BM36" i="28"/>
  <c r="BN36" i="28"/>
  <c r="BK37" i="28"/>
  <c r="BL37" i="28"/>
  <c r="BM37" i="28"/>
  <c r="BN37" i="28"/>
  <c r="BK38" i="28"/>
  <c r="BL38" i="28"/>
  <c r="BM38" i="28"/>
  <c r="BN38" i="28"/>
  <c r="BK39" i="28"/>
  <c r="BL39" i="28"/>
  <c r="BM39" i="28"/>
  <c r="BN39" i="28"/>
  <c r="BK40" i="28"/>
  <c r="BL40" i="28"/>
  <c r="BM40" i="28"/>
  <c r="BN40" i="28"/>
  <c r="BK41" i="28"/>
  <c r="BL41" i="28"/>
  <c r="BM41" i="28"/>
  <c r="BN41" i="28"/>
  <c r="BK42" i="28"/>
  <c r="BL42" i="28"/>
  <c r="BM42" i="28"/>
  <c r="BN42" i="28"/>
  <c r="BK43" i="28"/>
  <c r="BL43" i="28"/>
  <c r="BM43" i="28"/>
  <c r="BN43" i="28"/>
  <c r="BK44" i="28"/>
  <c r="BL44" i="28"/>
  <c r="BM44" i="28"/>
  <c r="BN44" i="28"/>
  <c r="BK45" i="28"/>
  <c r="BL45" i="28"/>
  <c r="BM45" i="28"/>
  <c r="BN45" i="28"/>
  <c r="BK46" i="28"/>
  <c r="BL46" i="28"/>
  <c r="BM46" i="28"/>
  <c r="BN46" i="28"/>
  <c r="BK47" i="28"/>
  <c r="BL47" i="28"/>
  <c r="BM47" i="28"/>
  <c r="BN47" i="28"/>
  <c r="BK48" i="28"/>
  <c r="BL48" i="28"/>
  <c r="BM48" i="28"/>
  <c r="BN48" i="28"/>
  <c r="BK49" i="28"/>
  <c r="BL49" i="28"/>
  <c r="BM49" i="28"/>
  <c r="BN49" i="28"/>
  <c r="BK50" i="28"/>
  <c r="BL50" i="28"/>
  <c r="BM50" i="28"/>
  <c r="BN50" i="28"/>
  <c r="BK51" i="28"/>
  <c r="BL51" i="28"/>
  <c r="BM51" i="28"/>
  <c r="BN51" i="28"/>
  <c r="BK52" i="28"/>
  <c r="BL52" i="28"/>
  <c r="BM52" i="28"/>
  <c r="BN52" i="28"/>
  <c r="BK53" i="28"/>
  <c r="BL53" i="28"/>
  <c r="BM53" i="28"/>
  <c r="BN53" i="28"/>
  <c r="BK54" i="28"/>
  <c r="BL54" i="28"/>
  <c r="BM54" i="28"/>
  <c r="BN54" i="28"/>
  <c r="BK55" i="28"/>
  <c r="BL55" i="28"/>
  <c r="BM55" i="28"/>
  <c r="BN55" i="28"/>
  <c r="BK56" i="28"/>
  <c r="BL56" i="28"/>
  <c r="BM56" i="28"/>
  <c r="BN56" i="28"/>
  <c r="BK57" i="28"/>
  <c r="BL57" i="28"/>
  <c r="BM57" i="28"/>
  <c r="BN57" i="28"/>
  <c r="BK58" i="28"/>
  <c r="BL58" i="28"/>
  <c r="BM58" i="28"/>
  <c r="BN58" i="28"/>
  <c r="BK59" i="28"/>
  <c r="BL59" i="28"/>
  <c r="BM59" i="28"/>
  <c r="BN59" i="28"/>
  <c r="BK60" i="28"/>
  <c r="BL60" i="28"/>
  <c r="BM60" i="28"/>
  <c r="BN60" i="28"/>
  <c r="BK61" i="28"/>
  <c r="BL61" i="28"/>
  <c r="BM61" i="28"/>
  <c r="BN61" i="28"/>
  <c r="BK62" i="28"/>
  <c r="BL62" i="28"/>
  <c r="BM62" i="28"/>
  <c r="BN62" i="28"/>
  <c r="BK63" i="28"/>
  <c r="BL63" i="28"/>
  <c r="BM63" i="28"/>
  <c r="BN63" i="28"/>
  <c r="BK64" i="28"/>
  <c r="BL64" i="28"/>
  <c r="BM64" i="28"/>
  <c r="BN64" i="28"/>
  <c r="BK65" i="28"/>
  <c r="BL65" i="28"/>
  <c r="BM65" i="28"/>
  <c r="BN65" i="28"/>
  <c r="BK66" i="28"/>
  <c r="BL66" i="28"/>
  <c r="BM66" i="28"/>
  <c r="BN66" i="28"/>
  <c r="BK67" i="28"/>
  <c r="BL67" i="28"/>
  <c r="BM67" i="28"/>
  <c r="BN67" i="28"/>
  <c r="BK68" i="28"/>
  <c r="BL68" i="28"/>
  <c r="BM68" i="28"/>
  <c r="BN68" i="28"/>
  <c r="BK69" i="28"/>
  <c r="BL69" i="28"/>
  <c r="BM69" i="28"/>
  <c r="BN69" i="28"/>
  <c r="BK70" i="28"/>
  <c r="BL70" i="28"/>
  <c r="BM70" i="28"/>
  <c r="BN70" i="28"/>
  <c r="BK71" i="28"/>
  <c r="BL71" i="28"/>
  <c r="BM71" i="28"/>
  <c r="BN71" i="28"/>
  <c r="BK72" i="28"/>
  <c r="BL72" i="28"/>
  <c r="BM72" i="28"/>
  <c r="BN72" i="28"/>
  <c r="BK73" i="28"/>
  <c r="BL73" i="28"/>
  <c r="BM73" i="28"/>
  <c r="BN73" i="28"/>
  <c r="BK74" i="28"/>
  <c r="BL74" i="28"/>
  <c r="BM74" i="28"/>
  <c r="BN74" i="28"/>
  <c r="BK75" i="28"/>
  <c r="BL75" i="28"/>
  <c r="BM75" i="28"/>
  <c r="BN75" i="28"/>
  <c r="BK76" i="28"/>
  <c r="BL76" i="28"/>
  <c r="BM76" i="28"/>
  <c r="BN76" i="28"/>
  <c r="BK77" i="28"/>
  <c r="BL77" i="28"/>
  <c r="BM77" i="28"/>
  <c r="BN77" i="28"/>
  <c r="BK78" i="28"/>
  <c r="BL78" i="28"/>
  <c r="BM78" i="28"/>
  <c r="BN78" i="28"/>
  <c r="BK79" i="28"/>
  <c r="BL79" i="28"/>
  <c r="BM79" i="28"/>
  <c r="BN79" i="28"/>
  <c r="BK80" i="28"/>
  <c r="BL80" i="28"/>
  <c r="BM80" i="28"/>
  <c r="BN80" i="28"/>
  <c r="BK81" i="28"/>
  <c r="BL81" i="28"/>
  <c r="BM81" i="28"/>
  <c r="BN81" i="28"/>
  <c r="BK82" i="28"/>
  <c r="BL82" i="28"/>
  <c r="BM82" i="28"/>
  <c r="BN82" i="28"/>
  <c r="BK83" i="28"/>
  <c r="BL83" i="28"/>
  <c r="BM83" i="28"/>
  <c r="BN83" i="28"/>
  <c r="BK84" i="28"/>
  <c r="BL84" i="28"/>
  <c r="BM84" i="28"/>
  <c r="BN84" i="28"/>
  <c r="BK85" i="28"/>
  <c r="BL85" i="28"/>
  <c r="BM85" i="28"/>
  <c r="BN85" i="28"/>
  <c r="BK86" i="28"/>
  <c r="BL86" i="28"/>
  <c r="BM86" i="28"/>
  <c r="BN86" i="28"/>
  <c r="BK87" i="28"/>
  <c r="BL87" i="28"/>
  <c r="BM87" i="28"/>
  <c r="BN87" i="28"/>
  <c r="BK88" i="28"/>
  <c r="BL88" i="28"/>
  <c r="BM88" i="28"/>
  <c r="BN88" i="28"/>
  <c r="BK89" i="28"/>
  <c r="BL89" i="28"/>
  <c r="BM89" i="28"/>
  <c r="BN89" i="28"/>
  <c r="BK90" i="28"/>
  <c r="BL90" i="28"/>
  <c r="BM90" i="28"/>
  <c r="BN90" i="28"/>
  <c r="BK91" i="28"/>
  <c r="BL91" i="28"/>
  <c r="BM91" i="28"/>
  <c r="BN91" i="28"/>
  <c r="BK92" i="28"/>
  <c r="BL92" i="28"/>
  <c r="BM92" i="28"/>
  <c r="BN92" i="28"/>
  <c r="BK93" i="28"/>
  <c r="BL93" i="28"/>
  <c r="BM93" i="28"/>
  <c r="BN93" i="28"/>
  <c r="BK94" i="28"/>
  <c r="BL94" i="28"/>
  <c r="BM94" i="28"/>
  <c r="BN94" i="28"/>
  <c r="BK95" i="28"/>
  <c r="BL95" i="28"/>
  <c r="BM95" i="28"/>
  <c r="BN95" i="28"/>
  <c r="BK96" i="28"/>
  <c r="BL96" i="28"/>
  <c r="BM96" i="28"/>
  <c r="BN96" i="28"/>
  <c r="BK97" i="28"/>
  <c r="BL97" i="28"/>
  <c r="BM97" i="28"/>
  <c r="BN97" i="28"/>
  <c r="BK98" i="28"/>
  <c r="BL98" i="28"/>
  <c r="BM98" i="28"/>
  <c r="BN98" i="28"/>
  <c r="BK99" i="28"/>
  <c r="BL99" i="28"/>
  <c r="BM99" i="28"/>
  <c r="BN99" i="28"/>
  <c r="BK100" i="28"/>
  <c r="BL100" i="28"/>
  <c r="BM100" i="28"/>
  <c r="BN100" i="28"/>
  <c r="BK101" i="28"/>
  <c r="BL101" i="28"/>
  <c r="BM101" i="28"/>
  <c r="BN101" i="28"/>
  <c r="BK102" i="28"/>
  <c r="BL102" i="28"/>
  <c r="BM102" i="28"/>
  <c r="BN102" i="28"/>
  <c r="BK103" i="28"/>
  <c r="BL103" i="28"/>
  <c r="BM103" i="28"/>
  <c r="BN103" i="28"/>
  <c r="BK104" i="28"/>
  <c r="BL104" i="28"/>
  <c r="BM104" i="28"/>
  <c r="BN104" i="28"/>
  <c r="BK105" i="28"/>
  <c r="BL105" i="28"/>
  <c r="BM105" i="28"/>
  <c r="BN105" i="28"/>
  <c r="BK106" i="28"/>
  <c r="BL106" i="28"/>
  <c r="BM106" i="28"/>
  <c r="BN106" i="28"/>
  <c r="BK107" i="28"/>
  <c r="BL107" i="28"/>
  <c r="BM107" i="28"/>
  <c r="BN107" i="28"/>
  <c r="BK108" i="28"/>
  <c r="BL108" i="28"/>
  <c r="BM108" i="28"/>
  <c r="BN108" i="28"/>
  <c r="BK109" i="28"/>
  <c r="BL109" i="28"/>
  <c r="BM109" i="28"/>
  <c r="BN109" i="28"/>
  <c r="BN10" i="28"/>
  <c r="BL10" i="28"/>
  <c r="BK10" i="28"/>
  <c r="BN8" i="28"/>
  <c r="BM8" i="28"/>
  <c r="BL8" i="28"/>
  <c r="BK8" i="28"/>
  <c r="C141" i="26" l="1"/>
  <c r="R141" i="26" s="1"/>
  <c r="D76" i="26"/>
  <c r="S97" i="26"/>
  <c r="S98" i="26" s="1"/>
  <c r="G3" i="19"/>
  <c r="S162" i="26" l="1"/>
  <c r="BW98" i="9"/>
  <c r="BW99" i="9"/>
  <c r="BW100" i="9"/>
  <c r="S99" i="26"/>
  <c r="C206" i="26"/>
  <c r="D141" i="26"/>
  <c r="S163" i="26"/>
  <c r="S164" i="26" s="1"/>
  <c r="AI103" i="10"/>
  <c r="AI107" i="10"/>
  <c r="AI111" i="10"/>
  <c r="AI115" i="10"/>
  <c r="AI119" i="10"/>
  <c r="AI110" i="10"/>
  <c r="AI118" i="10"/>
  <c r="AI104" i="10"/>
  <c r="AI108" i="10"/>
  <c r="AI112" i="10"/>
  <c r="AI116" i="10"/>
  <c r="AI120" i="10"/>
  <c r="AI114" i="10"/>
  <c r="AI105" i="10"/>
  <c r="AI109" i="10"/>
  <c r="AI113" i="10"/>
  <c r="AI117" i="10"/>
  <c r="AI121" i="10"/>
  <c r="AI106" i="10"/>
  <c r="AI102" i="10"/>
  <c r="AG62" i="10"/>
  <c r="S2" i="20"/>
  <c r="R19" i="19"/>
  <c r="I3" i="19" s="1"/>
  <c r="BB2" i="9"/>
  <c r="I4" i="28"/>
  <c r="H4" i="28"/>
  <c r="G4" i="28"/>
  <c r="I3" i="28"/>
  <c r="H3" i="28"/>
  <c r="G3" i="28"/>
  <c r="BA95" i="9"/>
  <c r="I3" i="9" s="1"/>
  <c r="S8" i="31"/>
  <c r="R8" i="31"/>
  <c r="A8" i="31"/>
  <c r="A17" i="31"/>
  <c r="A102" i="31"/>
  <c r="S26" i="31"/>
  <c r="S100" i="26" l="1"/>
  <c r="C271" i="26"/>
  <c r="D206" i="26"/>
  <c r="R206" i="26"/>
  <c r="S227" i="26"/>
  <c r="G3" i="31"/>
  <c r="S165" i="26"/>
  <c r="E26" i="31"/>
  <c r="T23" i="20"/>
  <c r="R189" i="31"/>
  <c r="M3" i="31" s="1"/>
  <c r="S189" i="31"/>
  <c r="R102" i="31"/>
  <c r="K3" i="31" s="1"/>
  <c r="S102" i="31"/>
  <c r="R17" i="31"/>
  <c r="I3" i="31" s="1"/>
  <c r="R95" i="3"/>
  <c r="D22" i="7"/>
  <c r="D23" i="7"/>
  <c r="D24" i="7"/>
  <c r="D25" i="7"/>
  <c r="D26" i="7"/>
  <c r="D27" i="7"/>
  <c r="D28" i="7"/>
  <c r="D29" i="7"/>
  <c r="D30" i="7"/>
  <c r="D21" i="7"/>
  <c r="L46" i="7"/>
  <c r="L47" i="7"/>
  <c r="L48" i="7"/>
  <c r="L49" i="7"/>
  <c r="L50" i="7"/>
  <c r="L51" i="7"/>
  <c r="L52" i="7"/>
  <c r="L53" i="7"/>
  <c r="L54" i="7"/>
  <c r="L55" i="7"/>
  <c r="L56" i="7"/>
  <c r="L57" i="7"/>
  <c r="L58" i="7"/>
  <c r="L59" i="7"/>
  <c r="L60" i="7"/>
  <c r="L61" i="7"/>
  <c r="L62" i="7"/>
  <c r="L63" i="7"/>
  <c r="L64" i="7"/>
  <c r="L45" i="7"/>
  <c r="AY125" i="33"/>
  <c r="AY124" i="33"/>
  <c r="AY123" i="33"/>
  <c r="AY122" i="33"/>
  <c r="AY121" i="33"/>
  <c r="AY120" i="33"/>
  <c r="AY119" i="33"/>
  <c r="AY118" i="33"/>
  <c r="AY117" i="33"/>
  <c r="AY116" i="33"/>
  <c r="AY115" i="33"/>
  <c r="AY114" i="33"/>
  <c r="AY113" i="33"/>
  <c r="AY112" i="33"/>
  <c r="AY111" i="33"/>
  <c r="AY110" i="33"/>
  <c r="AY109" i="33"/>
  <c r="AY108" i="33"/>
  <c r="AY107" i="33"/>
  <c r="AY106" i="33"/>
  <c r="AY105" i="33"/>
  <c r="AY104" i="33"/>
  <c r="AY103" i="33"/>
  <c r="AY102" i="33"/>
  <c r="AY101" i="33"/>
  <c r="AY100" i="33"/>
  <c r="AY99" i="33"/>
  <c r="AY98" i="33"/>
  <c r="AY97" i="33"/>
  <c r="AY96" i="33"/>
  <c r="AY95" i="33"/>
  <c r="AY94" i="33"/>
  <c r="AY93" i="33"/>
  <c r="AY92" i="33"/>
  <c r="AY91" i="33"/>
  <c r="AY90" i="33"/>
  <c r="AY89" i="33"/>
  <c r="AY88" i="33"/>
  <c r="AY87" i="33"/>
  <c r="AY86" i="33"/>
  <c r="AY85" i="33"/>
  <c r="AY84" i="33"/>
  <c r="AY83" i="33"/>
  <c r="AY82" i="33"/>
  <c r="AY81" i="33"/>
  <c r="AY80" i="33"/>
  <c r="AY79" i="33"/>
  <c r="AY78" i="33"/>
  <c r="AY77" i="33"/>
  <c r="AY76" i="33"/>
  <c r="AY75" i="33"/>
  <c r="AY74" i="33"/>
  <c r="AY73" i="33"/>
  <c r="AY72" i="33"/>
  <c r="AY71" i="33"/>
  <c r="AY70" i="33"/>
  <c r="AY69" i="33"/>
  <c r="AY68" i="33"/>
  <c r="AY67" i="33"/>
  <c r="AY66" i="33"/>
  <c r="AY65" i="33"/>
  <c r="AY64" i="33"/>
  <c r="AY63" i="33"/>
  <c r="AY62" i="33"/>
  <c r="AY61" i="33"/>
  <c r="AY60" i="33"/>
  <c r="AY59" i="33"/>
  <c r="AY58" i="33"/>
  <c r="AY57" i="33"/>
  <c r="AY56" i="33"/>
  <c r="AY55" i="33"/>
  <c r="AY54" i="33"/>
  <c r="AY53" i="33"/>
  <c r="AY52" i="33"/>
  <c r="AY51" i="33"/>
  <c r="AY50" i="33"/>
  <c r="AY49" i="33"/>
  <c r="AY48" i="33"/>
  <c r="AY47" i="33"/>
  <c r="AY46" i="33"/>
  <c r="AY45" i="33"/>
  <c r="AY44" i="33"/>
  <c r="AY43" i="33"/>
  <c r="AY42" i="33"/>
  <c r="AY41" i="33"/>
  <c r="AY40" i="33"/>
  <c r="AY39" i="33"/>
  <c r="AY38" i="33"/>
  <c r="AY37" i="33"/>
  <c r="AY36" i="33"/>
  <c r="AY35" i="33"/>
  <c r="AY34" i="33"/>
  <c r="AY33" i="33"/>
  <c r="AY32" i="33"/>
  <c r="AY31" i="33"/>
  <c r="AY29" i="33"/>
  <c r="AY28" i="33"/>
  <c r="AU214" i="28"/>
  <c r="BD2" i="28"/>
  <c r="G17" i="7"/>
  <c r="G19" i="33" s="1"/>
  <c r="G16" i="7"/>
  <c r="G18" i="33" s="1"/>
  <c r="G15" i="7"/>
  <c r="G17" i="33" s="1"/>
  <c r="G14" i="7"/>
  <c r="G12" i="7"/>
  <c r="G14" i="33" s="1"/>
  <c r="G11" i="7"/>
  <c r="G13" i="33" s="1"/>
  <c r="G10" i="7"/>
  <c r="G12" i="33" s="1"/>
  <c r="AT214" i="28"/>
  <c r="I2" i="39"/>
  <c r="S8" i="20"/>
  <c r="S55" i="20"/>
  <c r="M2" i="31"/>
  <c r="S23" i="20"/>
  <c r="G2" i="38"/>
  <c r="S100" i="31"/>
  <c r="G4" i="31" l="1"/>
  <c r="S101" i="26"/>
  <c r="S228" i="26"/>
  <c r="C336" i="26"/>
  <c r="D271" i="26"/>
  <c r="S292" i="26"/>
  <c r="S293" i="26" s="1"/>
  <c r="R271" i="26"/>
  <c r="W30" i="7"/>
  <c r="H21" i="33"/>
  <c r="W26" i="7"/>
  <c r="H17" i="33"/>
  <c r="W22" i="7"/>
  <c r="H13" i="33"/>
  <c r="W29" i="7"/>
  <c r="H20" i="33"/>
  <c r="W25" i="7"/>
  <c r="H16" i="33"/>
  <c r="W28" i="7"/>
  <c r="H19" i="33"/>
  <c r="W24" i="7"/>
  <c r="H15" i="33"/>
  <c r="W21" i="7"/>
  <c r="H12" i="33"/>
  <c r="W27" i="7"/>
  <c r="H18" i="33"/>
  <c r="W23" i="7"/>
  <c r="H14" i="33"/>
  <c r="BA13" i="28"/>
  <c r="BA29" i="33" s="1"/>
  <c r="AS29" i="33"/>
  <c r="BA15" i="28"/>
  <c r="BA31" i="33" s="1"/>
  <c r="AS31" i="33"/>
  <c r="BA17" i="28"/>
  <c r="BA33" i="33" s="1"/>
  <c r="AS33" i="33"/>
  <c r="BA19" i="28"/>
  <c r="BA35" i="33" s="1"/>
  <c r="AS35" i="33"/>
  <c r="BA21" i="28"/>
  <c r="BA37" i="33" s="1"/>
  <c r="AS37" i="33"/>
  <c r="BA23" i="28"/>
  <c r="BA39" i="33" s="1"/>
  <c r="AS39" i="33"/>
  <c r="BA25" i="28"/>
  <c r="BA41" i="33" s="1"/>
  <c r="AS41" i="33"/>
  <c r="BA27" i="28"/>
  <c r="BA43" i="33" s="1"/>
  <c r="AS43" i="33"/>
  <c r="BA29" i="28"/>
  <c r="BA45" i="33" s="1"/>
  <c r="AS45" i="33"/>
  <c r="BA31" i="28"/>
  <c r="BA47" i="33" s="1"/>
  <c r="AS47" i="33"/>
  <c r="BA33" i="28"/>
  <c r="BA49" i="33" s="1"/>
  <c r="AS49" i="33"/>
  <c r="BA35" i="28"/>
  <c r="BA51" i="33" s="1"/>
  <c r="AS51" i="33"/>
  <c r="BA37" i="28"/>
  <c r="BA53" i="33" s="1"/>
  <c r="AS53" i="33"/>
  <c r="BA39" i="28"/>
  <c r="BA55" i="33" s="1"/>
  <c r="AS55" i="33"/>
  <c r="BA41" i="28"/>
  <c r="BA57" i="33" s="1"/>
  <c r="AS57" i="33"/>
  <c r="BA43" i="28"/>
  <c r="BA59" i="33" s="1"/>
  <c r="AS59" i="33"/>
  <c r="BA45" i="28"/>
  <c r="BA61" i="33" s="1"/>
  <c r="AS61" i="33"/>
  <c r="BA47" i="28"/>
  <c r="BA63" i="33" s="1"/>
  <c r="AS63" i="33"/>
  <c r="BA49" i="28"/>
  <c r="BA65" i="33" s="1"/>
  <c r="AS65" i="33"/>
  <c r="BA51" i="28"/>
  <c r="BA67" i="33" s="1"/>
  <c r="AS67" i="33"/>
  <c r="BA53" i="28"/>
  <c r="BA69" i="33" s="1"/>
  <c r="AS69" i="33"/>
  <c r="BA55" i="28"/>
  <c r="BA71" i="33" s="1"/>
  <c r="AS71" i="33"/>
  <c r="BA57" i="28"/>
  <c r="BA73" i="33" s="1"/>
  <c r="AS73" i="33"/>
  <c r="BA59" i="28"/>
  <c r="BA75" i="33" s="1"/>
  <c r="AS75" i="33"/>
  <c r="BA61" i="28"/>
  <c r="BA77" i="33" s="1"/>
  <c r="AS77" i="33"/>
  <c r="BA63" i="28"/>
  <c r="BA79" i="33" s="1"/>
  <c r="AS79" i="33"/>
  <c r="BA65" i="28"/>
  <c r="BA81" i="33" s="1"/>
  <c r="AS81" i="33"/>
  <c r="BA67" i="28"/>
  <c r="BA83" i="33" s="1"/>
  <c r="AS83" i="33"/>
  <c r="BA69" i="28"/>
  <c r="BA85" i="33" s="1"/>
  <c r="AS85" i="33"/>
  <c r="BA71" i="28"/>
  <c r="BA87" i="33" s="1"/>
  <c r="AS87" i="33"/>
  <c r="BA73" i="28"/>
  <c r="BA89" i="33" s="1"/>
  <c r="AS89" i="33"/>
  <c r="BA75" i="28"/>
  <c r="BA91" i="33" s="1"/>
  <c r="AS91" i="33"/>
  <c r="BA77" i="28"/>
  <c r="BA93" i="33" s="1"/>
  <c r="AS93" i="33"/>
  <c r="BA79" i="28"/>
  <c r="BA95" i="33" s="1"/>
  <c r="AS95" i="33"/>
  <c r="BA81" i="28"/>
  <c r="BA97" i="33" s="1"/>
  <c r="AS97" i="33"/>
  <c r="BA83" i="28"/>
  <c r="BA99" i="33" s="1"/>
  <c r="AS99" i="33"/>
  <c r="BA85" i="28"/>
  <c r="BA101" i="33" s="1"/>
  <c r="AS101" i="33"/>
  <c r="BA87" i="28"/>
  <c r="BA103" i="33" s="1"/>
  <c r="AS103" i="33"/>
  <c r="BA89" i="28"/>
  <c r="BA105" i="33" s="1"/>
  <c r="AS105" i="33"/>
  <c r="BA91" i="28"/>
  <c r="BA107" i="33" s="1"/>
  <c r="AS107" i="33"/>
  <c r="BA93" i="28"/>
  <c r="BA109" i="33" s="1"/>
  <c r="AS109" i="33"/>
  <c r="BA95" i="28"/>
  <c r="BA111" i="33" s="1"/>
  <c r="AS111" i="33"/>
  <c r="BA97" i="28"/>
  <c r="BA113" i="33" s="1"/>
  <c r="AS113" i="33"/>
  <c r="BA99" i="28"/>
  <c r="BA115" i="33" s="1"/>
  <c r="AS115" i="33"/>
  <c r="BA101" i="28"/>
  <c r="BA117" i="33" s="1"/>
  <c r="AS117" i="33"/>
  <c r="BA103" i="28"/>
  <c r="BA119" i="33" s="1"/>
  <c r="AS119" i="33"/>
  <c r="BA105" i="28"/>
  <c r="BA121" i="33" s="1"/>
  <c r="AS121" i="33"/>
  <c r="BA107" i="28"/>
  <c r="BA123" i="33" s="1"/>
  <c r="AS123" i="33"/>
  <c r="BA109" i="28"/>
  <c r="BA125" i="33" s="1"/>
  <c r="AS125" i="33"/>
  <c r="BA12" i="28"/>
  <c r="BA28" i="33" s="1"/>
  <c r="AS28" i="33"/>
  <c r="BA16" i="28"/>
  <c r="BA32" i="33" s="1"/>
  <c r="AS32" i="33"/>
  <c r="BA18" i="28"/>
  <c r="BA34" i="33" s="1"/>
  <c r="AS34" i="33"/>
  <c r="BA20" i="28"/>
  <c r="BA36" i="33" s="1"/>
  <c r="AS36" i="33"/>
  <c r="BA22" i="28"/>
  <c r="BA38" i="33" s="1"/>
  <c r="AS38" i="33"/>
  <c r="BA24" i="28"/>
  <c r="BA40" i="33" s="1"/>
  <c r="AS40" i="33"/>
  <c r="BA26" i="28"/>
  <c r="BA42" i="33" s="1"/>
  <c r="AS42" i="33"/>
  <c r="BA28" i="28"/>
  <c r="BA44" i="33" s="1"/>
  <c r="AS44" i="33"/>
  <c r="BA30" i="28"/>
  <c r="BA46" i="33" s="1"/>
  <c r="AS46" i="33"/>
  <c r="BA32" i="28"/>
  <c r="BA48" i="33" s="1"/>
  <c r="AS48" i="33"/>
  <c r="BA34" i="28"/>
  <c r="BA50" i="33" s="1"/>
  <c r="AS50" i="33"/>
  <c r="BA36" i="28"/>
  <c r="BA52" i="33" s="1"/>
  <c r="AS52" i="33"/>
  <c r="BA38" i="28"/>
  <c r="BA54" i="33" s="1"/>
  <c r="AS54" i="33"/>
  <c r="BA40" i="28"/>
  <c r="BA56" i="33" s="1"/>
  <c r="AS56" i="33"/>
  <c r="BA42" i="28"/>
  <c r="BA58" i="33" s="1"/>
  <c r="AS58" i="33"/>
  <c r="BA44" i="28"/>
  <c r="BA60" i="33" s="1"/>
  <c r="AS60" i="33"/>
  <c r="BA46" i="28"/>
  <c r="BA62" i="33" s="1"/>
  <c r="AS62" i="33"/>
  <c r="BA48" i="28"/>
  <c r="BA64" i="33" s="1"/>
  <c r="AS64" i="33"/>
  <c r="BA50" i="28"/>
  <c r="BA66" i="33" s="1"/>
  <c r="AS66" i="33"/>
  <c r="BA52" i="28"/>
  <c r="BA68" i="33" s="1"/>
  <c r="AS68" i="33"/>
  <c r="BA54" i="28"/>
  <c r="BA70" i="33" s="1"/>
  <c r="AS70" i="33"/>
  <c r="BA56" i="28"/>
  <c r="BA72" i="33" s="1"/>
  <c r="AS72" i="33"/>
  <c r="BA58" i="28"/>
  <c r="BA74" i="33" s="1"/>
  <c r="AS74" i="33"/>
  <c r="BA60" i="28"/>
  <c r="BA76" i="33" s="1"/>
  <c r="AS76" i="33"/>
  <c r="BA62" i="28"/>
  <c r="BA78" i="33" s="1"/>
  <c r="AS78" i="33"/>
  <c r="BA64" i="28"/>
  <c r="BA80" i="33" s="1"/>
  <c r="AS80" i="33"/>
  <c r="BA66" i="28"/>
  <c r="BA82" i="33" s="1"/>
  <c r="AS82" i="33"/>
  <c r="BA68" i="28"/>
  <c r="BA84" i="33" s="1"/>
  <c r="AS84" i="33"/>
  <c r="BA70" i="28"/>
  <c r="BA86" i="33" s="1"/>
  <c r="AS86" i="33"/>
  <c r="BA72" i="28"/>
  <c r="BA88" i="33" s="1"/>
  <c r="AS88" i="33"/>
  <c r="BA74" i="28"/>
  <c r="BA90" i="33" s="1"/>
  <c r="AS90" i="33"/>
  <c r="BA76" i="28"/>
  <c r="BA92" i="33" s="1"/>
  <c r="AS92" i="33"/>
  <c r="BA78" i="28"/>
  <c r="BA94" i="33" s="1"/>
  <c r="AS94" i="33"/>
  <c r="BA80" i="28"/>
  <c r="BA96" i="33" s="1"/>
  <c r="AS96" i="33"/>
  <c r="BA82" i="28"/>
  <c r="BA98" i="33" s="1"/>
  <c r="AS98" i="33"/>
  <c r="BA84" i="28"/>
  <c r="BA100" i="33" s="1"/>
  <c r="AS100" i="33"/>
  <c r="BA86" i="28"/>
  <c r="BA102" i="33" s="1"/>
  <c r="AS102" i="33"/>
  <c r="BA88" i="28"/>
  <c r="BA104" i="33" s="1"/>
  <c r="AS104" i="33"/>
  <c r="BA90" i="28"/>
  <c r="BA106" i="33" s="1"/>
  <c r="AS106" i="33"/>
  <c r="BA92" i="28"/>
  <c r="BA108" i="33" s="1"/>
  <c r="AS108" i="33"/>
  <c r="BA94" i="28"/>
  <c r="BA110" i="33" s="1"/>
  <c r="AS110" i="33"/>
  <c r="BA96" i="28"/>
  <c r="BA112" i="33" s="1"/>
  <c r="AS112" i="33"/>
  <c r="BA98" i="28"/>
  <c r="BA114" i="33" s="1"/>
  <c r="AS114" i="33"/>
  <c r="BA100" i="28"/>
  <c r="BA116" i="33" s="1"/>
  <c r="AS116" i="33"/>
  <c r="BA102" i="28"/>
  <c r="BA118" i="33" s="1"/>
  <c r="AS118" i="33"/>
  <c r="BA104" i="28"/>
  <c r="BA120" i="33" s="1"/>
  <c r="AS120" i="33"/>
  <c r="BA106" i="28"/>
  <c r="BA122" i="33" s="1"/>
  <c r="AS122" i="33"/>
  <c r="BA108" i="28"/>
  <c r="BA124" i="33" s="1"/>
  <c r="AS124" i="33"/>
  <c r="T10" i="20"/>
  <c r="S166" i="26"/>
  <c r="T52" i="20"/>
  <c r="E100" i="31"/>
  <c r="T42" i="20"/>
  <c r="A66" i="7"/>
  <c r="S68" i="10"/>
  <c r="E27" i="7" s="1"/>
  <c r="F27" i="7" s="1"/>
  <c r="V68" i="10"/>
  <c r="W68" i="10"/>
  <c r="X68" i="10"/>
  <c r="Y68" i="10"/>
  <c r="Z68" i="10"/>
  <c r="AA68" i="10"/>
  <c r="AB68" i="10"/>
  <c r="AC68" i="10"/>
  <c r="AE68" i="10"/>
  <c r="G69" i="10"/>
  <c r="S69" i="10"/>
  <c r="E28" i="7" s="1"/>
  <c r="F28" i="7" s="1"/>
  <c r="V69" i="10"/>
  <c r="W69" i="10"/>
  <c r="X69" i="10"/>
  <c r="Y69" i="10"/>
  <c r="Z69" i="10"/>
  <c r="AA69" i="10"/>
  <c r="AB69" i="10"/>
  <c r="AC69" i="10"/>
  <c r="AE69" i="10"/>
  <c r="G70" i="10"/>
  <c r="S70" i="10"/>
  <c r="E29" i="7" s="1"/>
  <c r="F29" i="7" s="1"/>
  <c r="V70" i="10"/>
  <c r="W70" i="10"/>
  <c r="X70" i="10"/>
  <c r="Y70" i="10"/>
  <c r="Z70" i="10"/>
  <c r="AA70" i="10"/>
  <c r="AB70" i="10"/>
  <c r="AC70" i="10"/>
  <c r="AE70" i="10"/>
  <c r="G71" i="10"/>
  <c r="S71" i="10"/>
  <c r="E30" i="7" s="1"/>
  <c r="F30" i="7" s="1"/>
  <c r="V71" i="10"/>
  <c r="W71" i="10"/>
  <c r="X71" i="10"/>
  <c r="Y71" i="10"/>
  <c r="Z71" i="10"/>
  <c r="AA71" i="10"/>
  <c r="AB71" i="10"/>
  <c r="AC71" i="10"/>
  <c r="AE71" i="10"/>
  <c r="D63" i="7"/>
  <c r="W63" i="7" s="1"/>
  <c r="D64" i="7"/>
  <c r="W64" i="7" s="1"/>
  <c r="D55" i="7"/>
  <c r="W55" i="7" s="1"/>
  <c r="D56" i="7"/>
  <c r="W56" i="7" s="1"/>
  <c r="D57" i="7"/>
  <c r="W57" i="7" s="1"/>
  <c r="D58" i="7"/>
  <c r="W58" i="7" s="1"/>
  <c r="D59" i="7"/>
  <c r="W59" i="7" s="1"/>
  <c r="D60" i="7"/>
  <c r="W60" i="7" s="1"/>
  <c r="D61" i="7"/>
  <c r="W61" i="7" s="1"/>
  <c r="D62" i="7"/>
  <c r="W62" i="7" s="1"/>
  <c r="D54" i="7"/>
  <c r="W54" i="7" s="1"/>
  <c r="D53" i="7"/>
  <c r="W53" i="7" s="1"/>
  <c r="D52" i="7"/>
  <c r="W52" i="7" s="1"/>
  <c r="D51" i="7"/>
  <c r="W51" i="7" s="1"/>
  <c r="D50" i="7"/>
  <c r="W50" i="7" s="1"/>
  <c r="D49" i="7"/>
  <c r="W49" i="7" s="1"/>
  <c r="D48" i="7"/>
  <c r="W48" i="7" s="1"/>
  <c r="D47" i="7"/>
  <c r="W47" i="7" s="1"/>
  <c r="D46" i="7"/>
  <c r="W46" i="7" s="1"/>
  <c r="D45" i="7"/>
  <c r="W45" i="7" s="1"/>
  <c r="D42" i="7"/>
  <c r="D41" i="7"/>
  <c r="D40" i="7"/>
  <c r="D39" i="7"/>
  <c r="D38" i="7"/>
  <c r="D37" i="7"/>
  <c r="D36" i="7"/>
  <c r="D35" i="7"/>
  <c r="D34" i="7"/>
  <c r="D33" i="7"/>
  <c r="G2" i="9"/>
  <c r="M2" i="29"/>
  <c r="M2" i="16"/>
  <c r="M2" i="39"/>
  <c r="G2" i="20"/>
  <c r="I2" i="30"/>
  <c r="G2" i="39"/>
  <c r="S258" i="31"/>
  <c r="H2" i="7"/>
  <c r="M2" i="9"/>
  <c r="M2" i="20"/>
  <c r="I2" i="20"/>
  <c r="G2" i="19"/>
  <c r="S199" i="31"/>
  <c r="G2" i="26"/>
  <c r="I2" i="19"/>
  <c r="D8" i="20"/>
  <c r="I2" i="9"/>
  <c r="G2" i="30"/>
  <c r="I2" i="38"/>
  <c r="G2" i="31"/>
  <c r="D55" i="20"/>
  <c r="G2" i="29"/>
  <c r="M2" i="19"/>
  <c r="I2" i="16"/>
  <c r="I2" i="10"/>
  <c r="M2" i="38"/>
  <c r="G2" i="28"/>
  <c r="M2" i="30"/>
  <c r="N2" i="7"/>
  <c r="G2" i="16"/>
  <c r="J2" i="7"/>
  <c r="M2" i="10"/>
  <c r="M2" i="26"/>
  <c r="G2" i="10"/>
  <c r="S52" i="20"/>
  <c r="S102" i="26" l="1"/>
  <c r="C401" i="26"/>
  <c r="D336" i="26"/>
  <c r="R336" i="26"/>
  <c r="S357" i="26"/>
  <c r="S358" i="26" s="1"/>
  <c r="S229" i="26"/>
  <c r="S294" i="26"/>
  <c r="W35" i="7"/>
  <c r="Q14" i="33"/>
  <c r="W39" i="7"/>
  <c r="Q18" i="33"/>
  <c r="W36" i="7"/>
  <c r="Q15" i="33"/>
  <c r="W40" i="7"/>
  <c r="Q19" i="33"/>
  <c r="W33" i="7"/>
  <c r="Q12" i="33"/>
  <c r="W37" i="7"/>
  <c r="Q16" i="33"/>
  <c r="W41" i="7"/>
  <c r="Q20" i="33"/>
  <c r="W34" i="7"/>
  <c r="Q13" i="33"/>
  <c r="W38" i="7"/>
  <c r="Q17" i="33"/>
  <c r="W42" i="7"/>
  <c r="Q21" i="33"/>
  <c r="X29" i="7"/>
  <c r="I20" i="33"/>
  <c r="X30" i="7"/>
  <c r="I21" i="33"/>
  <c r="X27" i="7"/>
  <c r="I18" i="33"/>
  <c r="X28" i="7"/>
  <c r="I19" i="33"/>
  <c r="S167" i="26"/>
  <c r="E258" i="31"/>
  <c r="E199" i="31"/>
  <c r="L29" i="7"/>
  <c r="H29" i="7"/>
  <c r="I29" i="7"/>
  <c r="K29" i="7"/>
  <c r="G29" i="7"/>
  <c r="J29" i="7"/>
  <c r="J30" i="7"/>
  <c r="I30" i="7"/>
  <c r="G30" i="7"/>
  <c r="L30" i="7"/>
  <c r="H30" i="7"/>
  <c r="K30" i="7"/>
  <c r="J28" i="7"/>
  <c r="I28" i="7"/>
  <c r="K28" i="7"/>
  <c r="L28" i="7"/>
  <c r="H28" i="7"/>
  <c r="G28" i="7"/>
  <c r="L27" i="7"/>
  <c r="H27" i="7"/>
  <c r="I27" i="7"/>
  <c r="K27" i="7"/>
  <c r="G27" i="7"/>
  <c r="J27" i="7"/>
  <c r="S102" i="3"/>
  <c r="J95" i="3"/>
  <c r="I95" i="3"/>
  <c r="H95" i="3"/>
  <c r="G95" i="3"/>
  <c r="L99" i="3"/>
  <c r="S103" i="26" l="1"/>
  <c r="S104" i="26" s="1"/>
  <c r="S230" i="26"/>
  <c r="S295" i="26"/>
  <c r="C466" i="26"/>
  <c r="D401" i="26"/>
  <c r="S422" i="26"/>
  <c r="R401" i="26"/>
  <c r="S359" i="26"/>
  <c r="AD27" i="7"/>
  <c r="O18" i="33"/>
  <c r="Z29" i="7"/>
  <c r="K20" i="33"/>
  <c r="N18" i="33"/>
  <c r="AC27" i="7"/>
  <c r="Y28" i="7"/>
  <c r="J19" i="33"/>
  <c r="L19" i="33"/>
  <c r="AA28" i="7"/>
  <c r="L21" i="33"/>
  <c r="AA30" i="7"/>
  <c r="J20" i="33"/>
  <c r="Y29" i="7"/>
  <c r="AD29" i="7"/>
  <c r="O20" i="33"/>
  <c r="J18" i="33"/>
  <c r="Y27" i="7"/>
  <c r="AC30" i="7"/>
  <c r="N21" i="33"/>
  <c r="AB27" i="7"/>
  <c r="M18" i="33"/>
  <c r="L18" i="33"/>
  <c r="AA27" i="7"/>
  <c r="Z28" i="7"/>
  <c r="K19" i="33"/>
  <c r="Z30" i="7"/>
  <c r="K21" i="33"/>
  <c r="AB30" i="7"/>
  <c r="M21" i="33"/>
  <c r="N20" i="33"/>
  <c r="AC29" i="7"/>
  <c r="AC28" i="7"/>
  <c r="N19" i="33"/>
  <c r="Y30" i="7"/>
  <c r="J21" i="33"/>
  <c r="Z27" i="7"/>
  <c r="K18" i="33"/>
  <c r="AD28" i="7"/>
  <c r="O19" i="33"/>
  <c r="AB28" i="7"/>
  <c r="M19" i="33"/>
  <c r="AD30" i="7"/>
  <c r="O21" i="33"/>
  <c r="AB29" i="7"/>
  <c r="M20" i="33"/>
  <c r="AA29" i="7"/>
  <c r="L20" i="33"/>
  <c r="S168" i="26"/>
  <c r="AG119" i="10"/>
  <c r="AG117" i="10"/>
  <c r="AG116" i="10"/>
  <c r="AG115" i="10"/>
  <c r="AG113" i="10"/>
  <c r="AG112" i="10"/>
  <c r="AG111" i="10"/>
  <c r="W121" i="10"/>
  <c r="W120" i="10"/>
  <c r="W119" i="10"/>
  <c r="W118" i="10"/>
  <c r="W117" i="10"/>
  <c r="W116" i="10"/>
  <c r="W115" i="10"/>
  <c r="W114" i="10"/>
  <c r="W113" i="10"/>
  <c r="W112" i="10"/>
  <c r="W111" i="10"/>
  <c r="W110" i="10"/>
  <c r="W109" i="10"/>
  <c r="W108" i="10"/>
  <c r="W107" i="10"/>
  <c r="W106" i="10"/>
  <c r="W105" i="10"/>
  <c r="W104" i="10"/>
  <c r="X104" i="10" s="1"/>
  <c r="W103" i="10"/>
  <c r="X103" i="10" s="1"/>
  <c r="V121" i="10"/>
  <c r="V120" i="10"/>
  <c r="V119" i="10"/>
  <c r="V118" i="10"/>
  <c r="V117" i="10"/>
  <c r="V116" i="10"/>
  <c r="V115" i="10"/>
  <c r="V114" i="10"/>
  <c r="V113" i="10"/>
  <c r="V112" i="10"/>
  <c r="V111" i="10"/>
  <c r="V110" i="10"/>
  <c r="V109" i="10"/>
  <c r="V108" i="10"/>
  <c r="V107" i="10"/>
  <c r="V106" i="10"/>
  <c r="V105" i="10"/>
  <c r="V104" i="10"/>
  <c r="V103" i="10"/>
  <c r="V102" i="10"/>
  <c r="V67" i="10"/>
  <c r="V66" i="10"/>
  <c r="V65" i="10"/>
  <c r="V64" i="10"/>
  <c r="V63" i="10"/>
  <c r="V62" i="10"/>
  <c r="V92" i="10"/>
  <c r="V91" i="10"/>
  <c r="V90" i="10"/>
  <c r="V89" i="10"/>
  <c r="V88" i="10"/>
  <c r="V87" i="10"/>
  <c r="V86" i="10"/>
  <c r="V85" i="10"/>
  <c r="V84" i="10"/>
  <c r="V83" i="10"/>
  <c r="W102" i="10"/>
  <c r="AD92" i="10"/>
  <c r="AD91" i="10"/>
  <c r="AD90" i="10"/>
  <c r="AB102" i="10" l="1"/>
  <c r="Z102" i="10"/>
  <c r="X102" i="10"/>
  <c r="AB121" i="10"/>
  <c r="X121" i="10"/>
  <c r="S105" i="26"/>
  <c r="S423" i="26"/>
  <c r="S360" i="26"/>
  <c r="C531" i="26"/>
  <c r="D466" i="26"/>
  <c r="S487" i="26"/>
  <c r="R466" i="26"/>
  <c r="S231" i="26"/>
  <c r="S296" i="26"/>
  <c r="S169" i="26"/>
  <c r="E99" i="28"/>
  <c r="M99" i="28" s="1"/>
  <c r="M115" i="33" s="1"/>
  <c r="G99" i="28"/>
  <c r="E100" i="28"/>
  <c r="M100" i="28" s="1"/>
  <c r="M116" i="33" s="1"/>
  <c r="G100" i="28"/>
  <c r="E101" i="28"/>
  <c r="M101" i="28" s="1"/>
  <c r="M117" i="33" s="1"/>
  <c r="G101" i="28"/>
  <c r="E102" i="28"/>
  <c r="M102" i="28" s="1"/>
  <c r="M118" i="33" s="1"/>
  <c r="G102" i="28"/>
  <c r="E103" i="28"/>
  <c r="M103" i="28" s="1"/>
  <c r="M119" i="33" s="1"/>
  <c r="G103" i="28"/>
  <c r="E104" i="28"/>
  <c r="M104" i="28" s="1"/>
  <c r="M120" i="33" s="1"/>
  <c r="G104" i="28"/>
  <c r="E105" i="28"/>
  <c r="M105" i="28" s="1"/>
  <c r="M121" i="33" s="1"/>
  <c r="G105" i="28"/>
  <c r="E106" i="28"/>
  <c r="M106" i="28" s="1"/>
  <c r="M122" i="33" s="1"/>
  <c r="G106" i="28"/>
  <c r="E107" i="28"/>
  <c r="M107" i="28" s="1"/>
  <c r="M123" i="33" s="1"/>
  <c r="G107" i="28"/>
  <c r="E108" i="28"/>
  <c r="M108" i="28" s="1"/>
  <c r="M124" i="33" s="1"/>
  <c r="G108" i="28"/>
  <c r="E109" i="28"/>
  <c r="M109" i="28" s="1"/>
  <c r="M125" i="33" s="1"/>
  <c r="G109" i="28"/>
  <c r="E86" i="28"/>
  <c r="M86" i="28" s="1"/>
  <c r="M102" i="33" s="1"/>
  <c r="G86" i="28"/>
  <c r="E87" i="28"/>
  <c r="M87" i="28" s="1"/>
  <c r="M103" i="33" s="1"/>
  <c r="G87" i="28"/>
  <c r="E88" i="28"/>
  <c r="M88" i="28" s="1"/>
  <c r="M104" i="33" s="1"/>
  <c r="G88" i="28"/>
  <c r="E89" i="28"/>
  <c r="M89" i="28" s="1"/>
  <c r="M105" i="33" s="1"/>
  <c r="G89" i="28"/>
  <c r="E90" i="28"/>
  <c r="M90" i="28" s="1"/>
  <c r="M106" i="33" s="1"/>
  <c r="G90" i="28"/>
  <c r="E91" i="28"/>
  <c r="M91" i="28" s="1"/>
  <c r="M107" i="33" s="1"/>
  <c r="G91" i="28"/>
  <c r="E92" i="28"/>
  <c r="M92" i="28" s="1"/>
  <c r="M108" i="33" s="1"/>
  <c r="G92" i="28"/>
  <c r="E93" i="28"/>
  <c r="M93" i="28" s="1"/>
  <c r="M109" i="33" s="1"/>
  <c r="G93" i="28"/>
  <c r="E94" i="28"/>
  <c r="M94" i="28" s="1"/>
  <c r="M110" i="33" s="1"/>
  <c r="G94" i="28"/>
  <c r="E95" i="28"/>
  <c r="M95" i="28" s="1"/>
  <c r="M111" i="33" s="1"/>
  <c r="G95" i="28"/>
  <c r="E96" i="28"/>
  <c r="M96" i="28" s="1"/>
  <c r="M112" i="33" s="1"/>
  <c r="G96" i="28"/>
  <c r="E97" i="28"/>
  <c r="M97" i="28" s="1"/>
  <c r="M113" i="33" s="1"/>
  <c r="G97" i="28"/>
  <c r="E98" i="28"/>
  <c r="M98" i="28" s="1"/>
  <c r="M114" i="33" s="1"/>
  <c r="G98" i="28"/>
  <c r="E40" i="28"/>
  <c r="M40" i="28" s="1"/>
  <c r="M56" i="33" s="1"/>
  <c r="G40" i="28"/>
  <c r="E41" i="28"/>
  <c r="M41" i="28" s="1"/>
  <c r="M57" i="33" s="1"/>
  <c r="G41" i="28"/>
  <c r="E42" i="28"/>
  <c r="M42" i="28" s="1"/>
  <c r="M58" i="33" s="1"/>
  <c r="G42" i="28"/>
  <c r="E43" i="28"/>
  <c r="M43" i="28" s="1"/>
  <c r="M59" i="33" s="1"/>
  <c r="G43" i="28"/>
  <c r="E44" i="28"/>
  <c r="M44" i="28" s="1"/>
  <c r="M60" i="33" s="1"/>
  <c r="G44" i="28"/>
  <c r="E45" i="28"/>
  <c r="M45" i="28" s="1"/>
  <c r="M61" i="33" s="1"/>
  <c r="G45" i="28"/>
  <c r="E46" i="28"/>
  <c r="M46" i="28" s="1"/>
  <c r="M62" i="33" s="1"/>
  <c r="G46" i="28"/>
  <c r="E47" i="28"/>
  <c r="M47" i="28" s="1"/>
  <c r="M63" i="33" s="1"/>
  <c r="G47" i="28"/>
  <c r="E48" i="28"/>
  <c r="M48" i="28" s="1"/>
  <c r="M64" i="33" s="1"/>
  <c r="G48" i="28"/>
  <c r="E49" i="28"/>
  <c r="M49" i="28" s="1"/>
  <c r="M65" i="33" s="1"/>
  <c r="G49" i="28"/>
  <c r="E50" i="28"/>
  <c r="M50" i="28" s="1"/>
  <c r="M66" i="33" s="1"/>
  <c r="G50" i="28"/>
  <c r="E51" i="28"/>
  <c r="M51" i="28" s="1"/>
  <c r="M67" i="33" s="1"/>
  <c r="G51" i="28"/>
  <c r="E52" i="28"/>
  <c r="M52" i="28" s="1"/>
  <c r="M68" i="33" s="1"/>
  <c r="G52" i="28"/>
  <c r="E53" i="28"/>
  <c r="M53" i="28" s="1"/>
  <c r="M69" i="33" s="1"/>
  <c r="G53" i="28"/>
  <c r="E54" i="28"/>
  <c r="M54" i="28" s="1"/>
  <c r="M70" i="33" s="1"/>
  <c r="G54" i="28"/>
  <c r="E55" i="28"/>
  <c r="M55" i="28" s="1"/>
  <c r="M71" i="33" s="1"/>
  <c r="G55" i="28"/>
  <c r="E56" i="28"/>
  <c r="M56" i="28" s="1"/>
  <c r="M72" i="33" s="1"/>
  <c r="G56" i="28"/>
  <c r="E57" i="28"/>
  <c r="M57" i="28" s="1"/>
  <c r="M73" i="33" s="1"/>
  <c r="G57" i="28"/>
  <c r="E58" i="28"/>
  <c r="M58" i="28" s="1"/>
  <c r="M74" i="33" s="1"/>
  <c r="G58" i="28"/>
  <c r="E59" i="28"/>
  <c r="M59" i="28" s="1"/>
  <c r="M75" i="33" s="1"/>
  <c r="G59" i="28"/>
  <c r="E60" i="28"/>
  <c r="M60" i="28" s="1"/>
  <c r="M76" i="33" s="1"/>
  <c r="G60" i="28"/>
  <c r="E61" i="28"/>
  <c r="M61" i="28" s="1"/>
  <c r="M77" i="33" s="1"/>
  <c r="G61" i="28"/>
  <c r="E62" i="28"/>
  <c r="M62" i="28" s="1"/>
  <c r="M78" i="33" s="1"/>
  <c r="G62" i="28"/>
  <c r="E63" i="28"/>
  <c r="M63" i="28" s="1"/>
  <c r="M79" i="33" s="1"/>
  <c r="G63" i="28"/>
  <c r="E64" i="28"/>
  <c r="M64" i="28" s="1"/>
  <c r="M80" i="33" s="1"/>
  <c r="G64" i="28"/>
  <c r="E65" i="28"/>
  <c r="M65" i="28" s="1"/>
  <c r="M81" i="33" s="1"/>
  <c r="G65" i="28"/>
  <c r="E66" i="28"/>
  <c r="M66" i="28" s="1"/>
  <c r="M82" i="33" s="1"/>
  <c r="G66" i="28"/>
  <c r="E67" i="28"/>
  <c r="M67" i="28" s="1"/>
  <c r="M83" i="33" s="1"/>
  <c r="G67" i="28"/>
  <c r="E68" i="28"/>
  <c r="M68" i="28" s="1"/>
  <c r="M84" i="33" s="1"/>
  <c r="G68" i="28"/>
  <c r="E69" i="28"/>
  <c r="M69" i="28" s="1"/>
  <c r="M85" i="33" s="1"/>
  <c r="G69" i="28"/>
  <c r="E70" i="28"/>
  <c r="M70" i="28" s="1"/>
  <c r="M86" i="33" s="1"/>
  <c r="G70" i="28"/>
  <c r="E71" i="28"/>
  <c r="M71" i="28" s="1"/>
  <c r="M87" i="33" s="1"/>
  <c r="G71" i="28"/>
  <c r="E72" i="28"/>
  <c r="M72" i="28" s="1"/>
  <c r="M88" i="33" s="1"/>
  <c r="G72" i="28"/>
  <c r="E73" i="28"/>
  <c r="M73" i="28" s="1"/>
  <c r="M89" i="33" s="1"/>
  <c r="G73" i="28"/>
  <c r="E74" i="28"/>
  <c r="M74" i="28" s="1"/>
  <c r="M90" i="33" s="1"/>
  <c r="G74" i="28"/>
  <c r="E75" i="28"/>
  <c r="M75" i="28" s="1"/>
  <c r="M91" i="33" s="1"/>
  <c r="G75" i="28"/>
  <c r="E76" i="28"/>
  <c r="M76" i="28" s="1"/>
  <c r="M92" i="33" s="1"/>
  <c r="G76" i="28"/>
  <c r="E77" i="28"/>
  <c r="M77" i="28" s="1"/>
  <c r="M93" i="33" s="1"/>
  <c r="G77" i="28"/>
  <c r="E78" i="28"/>
  <c r="M78" i="28" s="1"/>
  <c r="M94" i="33" s="1"/>
  <c r="G78" i="28"/>
  <c r="E79" i="28"/>
  <c r="M79" i="28" s="1"/>
  <c r="M95" i="33" s="1"/>
  <c r="G79" i="28"/>
  <c r="E80" i="28"/>
  <c r="M80" i="28" s="1"/>
  <c r="M96" i="33" s="1"/>
  <c r="G80" i="28"/>
  <c r="E81" i="28"/>
  <c r="M81" i="28" s="1"/>
  <c r="M97" i="33" s="1"/>
  <c r="G81" i="28"/>
  <c r="E82" i="28"/>
  <c r="M82" i="28" s="1"/>
  <c r="M98" i="33" s="1"/>
  <c r="G82" i="28"/>
  <c r="E83" i="28"/>
  <c r="M83" i="28" s="1"/>
  <c r="M99" i="33" s="1"/>
  <c r="G83" i="28"/>
  <c r="E84" i="28"/>
  <c r="M84" i="28" s="1"/>
  <c r="M100" i="33" s="1"/>
  <c r="G84" i="28"/>
  <c r="E85" i="28"/>
  <c r="M85" i="28" s="1"/>
  <c r="M101" i="33" s="1"/>
  <c r="G85" i="28"/>
  <c r="AX214" i="28"/>
  <c r="AR214" i="28"/>
  <c r="AP214" i="28"/>
  <c r="AL214" i="28"/>
  <c r="H214" i="28"/>
  <c r="F214" i="28"/>
  <c r="K72" i="26"/>
  <c r="K66" i="26"/>
  <c r="K65" i="26"/>
  <c r="K61" i="26"/>
  <c r="S361" i="26" l="1"/>
  <c r="S362" i="26" s="1"/>
  <c r="S424" i="26"/>
  <c r="S425" i="26" s="1"/>
  <c r="S232" i="26"/>
  <c r="S297" i="26"/>
  <c r="S298" i="26" s="1"/>
  <c r="S488" i="26"/>
  <c r="C596" i="26"/>
  <c r="D531" i="26"/>
  <c r="S552" i="26"/>
  <c r="R531" i="26"/>
  <c r="E101" i="33"/>
  <c r="L85" i="28"/>
  <c r="L101" i="33" s="1"/>
  <c r="E99" i="33"/>
  <c r="L83" i="28"/>
  <c r="AO83" i="28" s="1"/>
  <c r="AW83" i="28" s="1"/>
  <c r="E97" i="33"/>
  <c r="L81" i="28"/>
  <c r="L97" i="33" s="1"/>
  <c r="E95" i="33"/>
  <c r="L79" i="28"/>
  <c r="E93" i="33"/>
  <c r="L77" i="28"/>
  <c r="L93" i="33" s="1"/>
  <c r="E91" i="33"/>
  <c r="L75" i="28"/>
  <c r="AO75" i="28" s="1"/>
  <c r="AW75" i="28" s="1"/>
  <c r="E89" i="33"/>
  <c r="L73" i="28"/>
  <c r="L89" i="33" s="1"/>
  <c r="E87" i="33"/>
  <c r="L71" i="28"/>
  <c r="E85" i="33"/>
  <c r="L69" i="28"/>
  <c r="L85" i="33" s="1"/>
  <c r="E83" i="33"/>
  <c r="L67" i="28"/>
  <c r="AO67" i="28" s="1"/>
  <c r="AW67" i="28" s="1"/>
  <c r="E81" i="33"/>
  <c r="L65" i="28"/>
  <c r="L81" i="33" s="1"/>
  <c r="E79" i="33"/>
  <c r="L63" i="28"/>
  <c r="E77" i="33"/>
  <c r="L61" i="28"/>
  <c r="L77" i="33" s="1"/>
  <c r="E75" i="33"/>
  <c r="L59" i="28"/>
  <c r="AO59" i="28" s="1"/>
  <c r="AW59" i="28" s="1"/>
  <c r="E73" i="33"/>
  <c r="L57" i="28"/>
  <c r="L73" i="33" s="1"/>
  <c r="E71" i="33"/>
  <c r="L55" i="28"/>
  <c r="E69" i="33"/>
  <c r="L53" i="28"/>
  <c r="L69" i="33" s="1"/>
  <c r="E67" i="33"/>
  <c r="L51" i="28"/>
  <c r="AO51" i="28" s="1"/>
  <c r="AW51" i="28" s="1"/>
  <c r="E65" i="33"/>
  <c r="L49" i="28"/>
  <c r="L65" i="33" s="1"/>
  <c r="E63" i="33"/>
  <c r="L47" i="28"/>
  <c r="E61" i="33"/>
  <c r="L45" i="28"/>
  <c r="L61" i="33" s="1"/>
  <c r="E59" i="33"/>
  <c r="L43" i="28"/>
  <c r="AO43" i="28" s="1"/>
  <c r="AW43" i="28" s="1"/>
  <c r="E57" i="33"/>
  <c r="L41" i="28"/>
  <c r="L57" i="33" s="1"/>
  <c r="E114" i="33"/>
  <c r="L98" i="28"/>
  <c r="L114" i="33" s="1"/>
  <c r="E112" i="33"/>
  <c r="L96" i="28"/>
  <c r="L112" i="33" s="1"/>
  <c r="E110" i="33"/>
  <c r="L94" i="28"/>
  <c r="L110" i="33" s="1"/>
  <c r="E108" i="33"/>
  <c r="L92" i="28"/>
  <c r="L108" i="33" s="1"/>
  <c r="E106" i="33"/>
  <c r="L90" i="28"/>
  <c r="L106" i="33" s="1"/>
  <c r="E104" i="33"/>
  <c r="L88" i="28"/>
  <c r="L104" i="33" s="1"/>
  <c r="E102" i="33"/>
  <c r="L86" i="28"/>
  <c r="L102" i="33" s="1"/>
  <c r="E124" i="33"/>
  <c r="L108" i="28"/>
  <c r="L124" i="33" s="1"/>
  <c r="E122" i="33"/>
  <c r="L106" i="28"/>
  <c r="L122" i="33" s="1"/>
  <c r="E120" i="33"/>
  <c r="L104" i="28"/>
  <c r="L120" i="33" s="1"/>
  <c r="E118" i="33"/>
  <c r="L102" i="28"/>
  <c r="L118" i="33" s="1"/>
  <c r="E116" i="33"/>
  <c r="L100" i="28"/>
  <c r="L116" i="33" s="1"/>
  <c r="E100" i="33"/>
  <c r="L84" i="28"/>
  <c r="L100" i="33" s="1"/>
  <c r="E98" i="33"/>
  <c r="L82" i="28"/>
  <c r="L98" i="33" s="1"/>
  <c r="E96" i="33"/>
  <c r="L80" i="28"/>
  <c r="L96" i="33" s="1"/>
  <c r="E94" i="33"/>
  <c r="L78" i="28"/>
  <c r="L94" i="33" s="1"/>
  <c r="E92" i="33"/>
  <c r="L76" i="28"/>
  <c r="L92" i="33" s="1"/>
  <c r="E90" i="33"/>
  <c r="L74" i="28"/>
  <c r="L90" i="33" s="1"/>
  <c r="E88" i="33"/>
  <c r="L72" i="28"/>
  <c r="L88" i="33" s="1"/>
  <c r="E86" i="33"/>
  <c r="L70" i="28"/>
  <c r="L86" i="33" s="1"/>
  <c r="E84" i="33"/>
  <c r="L68" i="28"/>
  <c r="L84" i="33" s="1"/>
  <c r="E82" i="33"/>
  <c r="L66" i="28"/>
  <c r="L82" i="33" s="1"/>
  <c r="E80" i="33"/>
  <c r="L64" i="28"/>
  <c r="L80" i="33" s="1"/>
  <c r="E78" i="33"/>
  <c r="L62" i="28"/>
  <c r="L78" i="33" s="1"/>
  <c r="E76" i="33"/>
  <c r="L60" i="28"/>
  <c r="L76" i="33" s="1"/>
  <c r="E74" i="33"/>
  <c r="L58" i="28"/>
  <c r="L74" i="33" s="1"/>
  <c r="E72" i="33"/>
  <c r="L56" i="28"/>
  <c r="L72" i="33" s="1"/>
  <c r="E70" i="33"/>
  <c r="L54" i="28"/>
  <c r="L70" i="33" s="1"/>
  <c r="E68" i="33"/>
  <c r="L52" i="28"/>
  <c r="L68" i="33" s="1"/>
  <c r="E66" i="33"/>
  <c r="L50" i="28"/>
  <c r="L66" i="33" s="1"/>
  <c r="E64" i="33"/>
  <c r="L48" i="28"/>
  <c r="L64" i="33" s="1"/>
  <c r="E62" i="33"/>
  <c r="L46" i="28"/>
  <c r="L62" i="33" s="1"/>
  <c r="E60" i="33"/>
  <c r="L44" i="28"/>
  <c r="L60" i="33" s="1"/>
  <c r="E58" i="33"/>
  <c r="L42" i="28"/>
  <c r="L58" i="33" s="1"/>
  <c r="E56" i="33"/>
  <c r="L40" i="28"/>
  <c r="L56" i="33" s="1"/>
  <c r="E113" i="33"/>
  <c r="L97" i="28"/>
  <c r="L113" i="33" s="1"/>
  <c r="E111" i="33"/>
  <c r="L95" i="28"/>
  <c r="E109" i="33"/>
  <c r="L93" i="28"/>
  <c r="L109" i="33" s="1"/>
  <c r="E107" i="33"/>
  <c r="L91" i="28"/>
  <c r="AO91" i="28" s="1"/>
  <c r="AW91" i="28" s="1"/>
  <c r="E105" i="33"/>
  <c r="L89" i="28"/>
  <c r="L105" i="33" s="1"/>
  <c r="E103" i="33"/>
  <c r="L87" i="28"/>
  <c r="E125" i="33"/>
  <c r="L109" i="28"/>
  <c r="L125" i="33" s="1"/>
  <c r="E123" i="33"/>
  <c r="L107" i="28"/>
  <c r="AO107" i="28" s="1"/>
  <c r="AW107" i="28" s="1"/>
  <c r="E121" i="33"/>
  <c r="L105" i="28"/>
  <c r="L121" i="33" s="1"/>
  <c r="E119" i="33"/>
  <c r="L103" i="28"/>
  <c r="E117" i="33"/>
  <c r="L101" i="28"/>
  <c r="L117" i="33" s="1"/>
  <c r="E115" i="33"/>
  <c r="L99" i="28"/>
  <c r="AO99" i="28" s="1"/>
  <c r="AW99" i="28" s="1"/>
  <c r="S170" i="26"/>
  <c r="AZ97" i="33"/>
  <c r="AV81" i="28"/>
  <c r="AV97" i="33" s="1"/>
  <c r="AN81" i="28"/>
  <c r="AO97" i="33" s="1"/>
  <c r="AZ85" i="33"/>
  <c r="AV69" i="28"/>
  <c r="AV85" i="33" s="1"/>
  <c r="AN69" i="28"/>
  <c r="AO85" i="33" s="1"/>
  <c r="AZ120" i="33"/>
  <c r="AN104" i="28"/>
  <c r="AO120" i="33" s="1"/>
  <c r="AV104" i="28"/>
  <c r="AV120" i="33" s="1"/>
  <c r="AV82" i="28"/>
  <c r="AV98" i="33" s="1"/>
  <c r="AN82" i="28"/>
  <c r="AO98" i="33" s="1"/>
  <c r="AV78" i="28"/>
  <c r="AV94" i="33" s="1"/>
  <c r="AN78" i="28"/>
  <c r="AO94" i="33" s="1"/>
  <c r="AV74" i="28"/>
  <c r="AV90" i="33" s="1"/>
  <c r="AN74" i="28"/>
  <c r="AO90" i="33" s="1"/>
  <c r="AV70" i="28"/>
  <c r="AV86" i="33" s="1"/>
  <c r="AN70" i="28"/>
  <c r="AO86" i="33" s="1"/>
  <c r="AV66" i="28"/>
  <c r="AV82" i="33" s="1"/>
  <c r="AN66" i="28"/>
  <c r="AO82" i="33" s="1"/>
  <c r="AV62" i="28"/>
  <c r="AV78" i="33" s="1"/>
  <c r="AN62" i="28"/>
  <c r="AO78" i="33" s="1"/>
  <c r="AV58" i="28"/>
  <c r="AV74" i="33" s="1"/>
  <c r="AN58" i="28"/>
  <c r="AO74" i="33" s="1"/>
  <c r="AZ70" i="33"/>
  <c r="AV54" i="28"/>
  <c r="AV70" i="33" s="1"/>
  <c r="AN54" i="28"/>
  <c r="AO70" i="33" s="1"/>
  <c r="AZ66" i="33"/>
  <c r="AV50" i="28"/>
  <c r="AV66" i="33" s="1"/>
  <c r="AN50" i="28"/>
  <c r="AO66" i="33" s="1"/>
  <c r="AZ62" i="33"/>
  <c r="AV46" i="28"/>
  <c r="AV62" i="33" s="1"/>
  <c r="AN46" i="28"/>
  <c r="AO62" i="33" s="1"/>
  <c r="AZ58" i="33"/>
  <c r="AV42" i="28"/>
  <c r="AV58" i="33" s="1"/>
  <c r="AN42" i="28"/>
  <c r="AO58" i="33" s="1"/>
  <c r="AZ113" i="33"/>
  <c r="AV97" i="28"/>
  <c r="AV113" i="33" s="1"/>
  <c r="AN97" i="28"/>
  <c r="AO113" i="33" s="1"/>
  <c r="AZ109" i="33"/>
  <c r="AV93" i="28"/>
  <c r="AV109" i="33" s="1"/>
  <c r="AN93" i="28"/>
  <c r="AO109" i="33" s="1"/>
  <c r="AZ105" i="33"/>
  <c r="AV89" i="28"/>
  <c r="AV105" i="33" s="1"/>
  <c r="AN89" i="28"/>
  <c r="AO105" i="33" s="1"/>
  <c r="AZ125" i="33"/>
  <c r="AV109" i="28"/>
  <c r="AV125" i="33" s="1"/>
  <c r="AN109" i="28"/>
  <c r="AO125" i="33" s="1"/>
  <c r="AZ121" i="33"/>
  <c r="AV105" i="28"/>
  <c r="AV121" i="33" s="1"/>
  <c r="AN105" i="28"/>
  <c r="AO121" i="33" s="1"/>
  <c r="AZ117" i="33"/>
  <c r="AV101" i="28"/>
  <c r="AV117" i="33" s="1"/>
  <c r="AN101" i="28"/>
  <c r="AO117" i="33" s="1"/>
  <c r="AV41" i="28"/>
  <c r="AV57" i="33" s="1"/>
  <c r="AN41" i="28"/>
  <c r="AO57" i="33" s="1"/>
  <c r="AN96" i="28"/>
  <c r="AO112" i="33" s="1"/>
  <c r="AV96" i="28"/>
  <c r="AV112" i="33" s="1"/>
  <c r="AZ108" i="33"/>
  <c r="AV92" i="28"/>
  <c r="AV108" i="33" s="1"/>
  <c r="AN92" i="28"/>
  <c r="AO108" i="33" s="1"/>
  <c r="AZ104" i="33"/>
  <c r="AN88" i="28"/>
  <c r="AO104" i="33" s="1"/>
  <c r="AV88" i="28"/>
  <c r="AV104" i="33" s="1"/>
  <c r="AZ116" i="33"/>
  <c r="AV100" i="28"/>
  <c r="AV116" i="33" s="1"/>
  <c r="AN100" i="28"/>
  <c r="AO116" i="33" s="1"/>
  <c r="AZ99" i="33"/>
  <c r="AN83" i="28"/>
  <c r="AO99" i="33" s="1"/>
  <c r="AV83" i="28"/>
  <c r="AV99" i="33" s="1"/>
  <c r="AZ95" i="33"/>
  <c r="AV79" i="28"/>
  <c r="AV95" i="33" s="1"/>
  <c r="AN79" i="28"/>
  <c r="AO95" i="33" s="1"/>
  <c r="AZ91" i="33"/>
  <c r="AN75" i="28"/>
  <c r="AO91" i="33" s="1"/>
  <c r="AV75" i="28"/>
  <c r="AV91" i="33" s="1"/>
  <c r="AZ87" i="33"/>
  <c r="AV71" i="28"/>
  <c r="AV87" i="33" s="1"/>
  <c r="AN71" i="28"/>
  <c r="AO87" i="33" s="1"/>
  <c r="AZ83" i="33"/>
  <c r="AN67" i="28"/>
  <c r="AO83" i="33" s="1"/>
  <c r="AV67" i="28"/>
  <c r="AV83" i="33" s="1"/>
  <c r="AZ79" i="33"/>
  <c r="AV63" i="28"/>
  <c r="AV79" i="33" s="1"/>
  <c r="AN63" i="28"/>
  <c r="AO79" i="33" s="1"/>
  <c r="AZ75" i="33"/>
  <c r="AN59" i="28"/>
  <c r="AO75" i="33" s="1"/>
  <c r="AV59" i="28"/>
  <c r="AV75" i="33" s="1"/>
  <c r="AZ71" i="33"/>
  <c r="AV55" i="28"/>
  <c r="AV71" i="33" s="1"/>
  <c r="AN55" i="28"/>
  <c r="AO71" i="33" s="1"/>
  <c r="AZ67" i="33"/>
  <c r="AN51" i="28"/>
  <c r="AO67" i="33" s="1"/>
  <c r="AV51" i="28"/>
  <c r="AV67" i="33" s="1"/>
  <c r="AZ63" i="33"/>
  <c r="AV47" i="28"/>
  <c r="AV63" i="33" s="1"/>
  <c r="AN47" i="28"/>
  <c r="AO63" i="33" s="1"/>
  <c r="AZ59" i="33"/>
  <c r="AN43" i="28"/>
  <c r="AO59" i="33" s="1"/>
  <c r="AV43" i="28"/>
  <c r="AV59" i="33" s="1"/>
  <c r="AZ114" i="33"/>
  <c r="AV98" i="28"/>
  <c r="AV114" i="33" s="1"/>
  <c r="AN98" i="28"/>
  <c r="AO114" i="33" s="1"/>
  <c r="AZ110" i="33"/>
  <c r="AV94" i="28"/>
  <c r="AV110" i="33" s="1"/>
  <c r="AN94" i="28"/>
  <c r="AO110" i="33" s="1"/>
  <c r="AZ106" i="33"/>
  <c r="AV90" i="28"/>
  <c r="AV106" i="33" s="1"/>
  <c r="AN90" i="28"/>
  <c r="AO106" i="33" s="1"/>
  <c r="AZ102" i="33"/>
  <c r="AV86" i="28"/>
  <c r="AV102" i="33" s="1"/>
  <c r="AN86" i="28"/>
  <c r="AO102" i="33" s="1"/>
  <c r="AZ122" i="33"/>
  <c r="AV106" i="28"/>
  <c r="AV122" i="33" s="1"/>
  <c r="AN106" i="28"/>
  <c r="AO122" i="33" s="1"/>
  <c r="AZ118" i="33"/>
  <c r="AV102" i="28"/>
  <c r="AV118" i="33" s="1"/>
  <c r="AN102" i="28"/>
  <c r="AO118" i="33" s="1"/>
  <c r="AZ101" i="33"/>
  <c r="AV85" i="28"/>
  <c r="AV101" i="33" s="1"/>
  <c r="AN85" i="28"/>
  <c r="AO101" i="33" s="1"/>
  <c r="AZ93" i="33"/>
  <c r="AV77" i="28"/>
  <c r="AV93" i="33" s="1"/>
  <c r="AN77" i="28"/>
  <c r="AO93" i="33" s="1"/>
  <c r="AZ89" i="33"/>
  <c r="AV73" i="28"/>
  <c r="AV89" i="33" s="1"/>
  <c r="AN73" i="28"/>
  <c r="AO89" i="33" s="1"/>
  <c r="AZ81" i="33"/>
  <c r="AV65" i="28"/>
  <c r="AV81" i="33" s="1"/>
  <c r="AN65" i="28"/>
  <c r="AO81" i="33" s="1"/>
  <c r="AZ77" i="33"/>
  <c r="AV61" i="28"/>
  <c r="AV77" i="33" s="1"/>
  <c r="AN61" i="28"/>
  <c r="AO77" i="33" s="1"/>
  <c r="AZ73" i="33"/>
  <c r="AV57" i="28"/>
  <c r="AV73" i="33" s="1"/>
  <c r="AN57" i="28"/>
  <c r="AO73" i="33" s="1"/>
  <c r="AZ69" i="33"/>
  <c r="AV53" i="28"/>
  <c r="AV69" i="33" s="1"/>
  <c r="AN53" i="28"/>
  <c r="AO69" i="33" s="1"/>
  <c r="AZ65" i="33"/>
  <c r="AV49" i="28"/>
  <c r="AV65" i="33" s="1"/>
  <c r="AN49" i="28"/>
  <c r="AO65" i="33" s="1"/>
  <c r="AZ61" i="33"/>
  <c r="AV45" i="28"/>
  <c r="AV61" i="33" s="1"/>
  <c r="AN45" i="28"/>
  <c r="AO61" i="33" s="1"/>
  <c r="AZ124" i="33"/>
  <c r="AV108" i="28"/>
  <c r="AV124" i="33" s="1"/>
  <c r="AN108" i="28"/>
  <c r="AO124" i="33" s="1"/>
  <c r="AV84" i="28"/>
  <c r="AV100" i="33" s="1"/>
  <c r="AN84" i="28"/>
  <c r="AO100" i="33" s="1"/>
  <c r="AN80" i="28"/>
  <c r="AO96" i="33" s="1"/>
  <c r="AV80" i="28"/>
  <c r="AV96" i="33" s="1"/>
  <c r="AZ92" i="33"/>
  <c r="AN76" i="28"/>
  <c r="AO92" i="33" s="1"/>
  <c r="AV76" i="28"/>
  <c r="AV92" i="33" s="1"/>
  <c r="AZ88" i="33"/>
  <c r="AN72" i="28"/>
  <c r="AO88" i="33" s="1"/>
  <c r="AV72" i="28"/>
  <c r="AV88" i="33" s="1"/>
  <c r="AZ84" i="33"/>
  <c r="AV68" i="28"/>
  <c r="AV84" i="33" s="1"/>
  <c r="AN68" i="28"/>
  <c r="AO84" i="33" s="1"/>
  <c r="AN64" i="28"/>
  <c r="AO80" i="33" s="1"/>
  <c r="AV64" i="28"/>
  <c r="AV80" i="33" s="1"/>
  <c r="AZ76" i="33"/>
  <c r="AV60" i="28"/>
  <c r="AV76" i="33" s="1"/>
  <c r="AN60" i="28"/>
  <c r="AO76" i="33" s="1"/>
  <c r="AZ72" i="33"/>
  <c r="AN56" i="28"/>
  <c r="AO72" i="33" s="1"/>
  <c r="AV56" i="28"/>
  <c r="AV72" i="33" s="1"/>
  <c r="AZ68" i="33"/>
  <c r="AV52" i="28"/>
  <c r="AV68" i="33" s="1"/>
  <c r="AN52" i="28"/>
  <c r="AO68" i="33" s="1"/>
  <c r="AZ64" i="33"/>
  <c r="AN48" i="28"/>
  <c r="AO64" i="33" s="1"/>
  <c r="AV48" i="28"/>
  <c r="AV64" i="33" s="1"/>
  <c r="AZ60" i="33"/>
  <c r="AV44" i="28"/>
  <c r="AV60" i="33" s="1"/>
  <c r="AN44" i="28"/>
  <c r="AO60" i="33" s="1"/>
  <c r="AZ56" i="33"/>
  <c r="AN40" i="28"/>
  <c r="AO56" i="33" s="1"/>
  <c r="AV40" i="28"/>
  <c r="AV56" i="33" s="1"/>
  <c r="AZ111" i="33"/>
  <c r="AV95" i="28"/>
  <c r="AV111" i="33" s="1"/>
  <c r="AN95" i="28"/>
  <c r="AO111" i="33" s="1"/>
  <c r="AZ107" i="33"/>
  <c r="AN91" i="28"/>
  <c r="AO107" i="33" s="1"/>
  <c r="AV91" i="28"/>
  <c r="AV107" i="33" s="1"/>
  <c r="AV87" i="28"/>
  <c r="AV103" i="33" s="1"/>
  <c r="AN87" i="28"/>
  <c r="AO103" i="33" s="1"/>
  <c r="AN107" i="28"/>
  <c r="AO123" i="33" s="1"/>
  <c r="AV107" i="28"/>
  <c r="AV123" i="33" s="1"/>
  <c r="AZ119" i="33"/>
  <c r="AV103" i="28"/>
  <c r="AV119" i="33" s="1"/>
  <c r="AN103" i="28"/>
  <c r="AO119" i="33" s="1"/>
  <c r="AZ115" i="33"/>
  <c r="AN99" i="28"/>
  <c r="AO115" i="33" s="1"/>
  <c r="AV99" i="28"/>
  <c r="AV115" i="33" s="1"/>
  <c r="AZ103" i="33"/>
  <c r="AZ100" i="33"/>
  <c r="AZ57" i="33"/>
  <c r="AZ123" i="33"/>
  <c r="AZ112" i="33"/>
  <c r="AZ86" i="33"/>
  <c r="AZ96" i="33"/>
  <c r="AZ80" i="33"/>
  <c r="AZ98" i="33"/>
  <c r="AZ82" i="33"/>
  <c r="AZ90" i="33"/>
  <c r="AZ74" i="33"/>
  <c r="AZ94" i="33"/>
  <c r="AZ78" i="33"/>
  <c r="G39" i="28"/>
  <c r="G38" i="28"/>
  <c r="G37" i="28"/>
  <c r="G36" i="28"/>
  <c r="G35" i="28"/>
  <c r="G34" i="28"/>
  <c r="G33" i="28"/>
  <c r="G32" i="28"/>
  <c r="G31" i="28"/>
  <c r="G30" i="28"/>
  <c r="G29" i="28"/>
  <c r="G28" i="28"/>
  <c r="G27" i="28"/>
  <c r="G26" i="28"/>
  <c r="G25" i="28"/>
  <c r="G24" i="28"/>
  <c r="G23" i="28"/>
  <c r="G22" i="28"/>
  <c r="G21" i="28"/>
  <c r="G20" i="28"/>
  <c r="G19" i="28"/>
  <c r="G18" i="28"/>
  <c r="G17" i="28"/>
  <c r="G16" i="28"/>
  <c r="G15" i="28"/>
  <c r="S233" i="26" l="1"/>
  <c r="S299" i="26"/>
  <c r="S553" i="26"/>
  <c r="D596" i="26"/>
  <c r="R596" i="26"/>
  <c r="S617" i="26"/>
  <c r="S363" i="26"/>
  <c r="S489" i="26"/>
  <c r="S426" i="26"/>
  <c r="G14" i="28"/>
  <c r="AO102" i="28"/>
  <c r="AO70" i="28"/>
  <c r="AO56" i="28"/>
  <c r="AO97" i="28"/>
  <c r="AO92" i="28"/>
  <c r="AO105" i="28"/>
  <c r="AO54" i="28"/>
  <c r="AO100" i="28"/>
  <c r="AO49" i="28"/>
  <c r="AO40" i="28"/>
  <c r="AO72" i="28"/>
  <c r="AP88" i="33" s="1"/>
  <c r="AO94" i="28"/>
  <c r="AO57" i="28"/>
  <c r="AO48" i="28"/>
  <c r="AO64" i="28"/>
  <c r="AO80" i="28"/>
  <c r="AO86" i="28"/>
  <c r="AO65" i="28"/>
  <c r="AO89" i="28"/>
  <c r="AP105" i="33" s="1"/>
  <c r="AO46" i="28"/>
  <c r="AO62" i="28"/>
  <c r="AO78" i="28"/>
  <c r="AO108" i="28"/>
  <c r="AO41" i="28"/>
  <c r="AO73" i="28"/>
  <c r="AW59" i="33"/>
  <c r="AP59" i="33"/>
  <c r="AW91" i="33"/>
  <c r="AP91" i="33"/>
  <c r="AW99" i="33"/>
  <c r="AP99" i="33"/>
  <c r="AW67" i="33"/>
  <c r="AP67" i="33"/>
  <c r="AW75" i="33"/>
  <c r="AP75" i="33"/>
  <c r="AW83" i="33"/>
  <c r="AP83" i="33"/>
  <c r="AW115" i="33"/>
  <c r="AP115" i="33"/>
  <c r="L119" i="33"/>
  <c r="AW123" i="33"/>
  <c r="AP123" i="33"/>
  <c r="L103" i="33"/>
  <c r="AW107" i="33"/>
  <c r="AP107" i="33"/>
  <c r="L111" i="33"/>
  <c r="L63" i="33"/>
  <c r="L71" i="33"/>
  <c r="L79" i="33"/>
  <c r="L87" i="33"/>
  <c r="L95" i="33"/>
  <c r="AO81" i="28"/>
  <c r="AW81" i="28" s="1"/>
  <c r="L115" i="33"/>
  <c r="AO103" i="28"/>
  <c r="AW103" i="28" s="1"/>
  <c r="L123" i="33"/>
  <c r="AO87" i="28"/>
  <c r="AW87" i="28" s="1"/>
  <c r="L107" i="33"/>
  <c r="AO95" i="28"/>
  <c r="AW95" i="28" s="1"/>
  <c r="AO44" i="28"/>
  <c r="AW44" i="28" s="1"/>
  <c r="AO52" i="28"/>
  <c r="AW52" i="28" s="1"/>
  <c r="AO60" i="28"/>
  <c r="AW60" i="28" s="1"/>
  <c r="AO68" i="28"/>
  <c r="AW68" i="28" s="1"/>
  <c r="AO76" i="28"/>
  <c r="AW76" i="28" s="1"/>
  <c r="AO84" i="28"/>
  <c r="AW84" i="28" s="1"/>
  <c r="AO106" i="28"/>
  <c r="AW106" i="28" s="1"/>
  <c r="AO90" i="28"/>
  <c r="AW90" i="28" s="1"/>
  <c r="AO98" i="28"/>
  <c r="AW98" i="28" s="1"/>
  <c r="L59" i="33"/>
  <c r="AO47" i="28"/>
  <c r="AW47" i="28" s="1"/>
  <c r="L67" i="33"/>
  <c r="AO55" i="28"/>
  <c r="AW55" i="28" s="1"/>
  <c r="L75" i="33"/>
  <c r="AO63" i="28"/>
  <c r="AW63" i="28" s="1"/>
  <c r="L83" i="33"/>
  <c r="AO71" i="28"/>
  <c r="AW71" i="28" s="1"/>
  <c r="L91" i="33"/>
  <c r="AO79" i="28"/>
  <c r="AW79" i="28" s="1"/>
  <c r="L99" i="33"/>
  <c r="AO101" i="28"/>
  <c r="AW101" i="28" s="1"/>
  <c r="AO109" i="28"/>
  <c r="AW109" i="28" s="1"/>
  <c r="AO93" i="28"/>
  <c r="AW93" i="28" s="1"/>
  <c r="AO42" i="28"/>
  <c r="AW42" i="28" s="1"/>
  <c r="AO50" i="28"/>
  <c r="AW50" i="28" s="1"/>
  <c r="AO58" i="28"/>
  <c r="AW58" i="28" s="1"/>
  <c r="AO66" i="28"/>
  <c r="AW66" i="28" s="1"/>
  <c r="AO74" i="28"/>
  <c r="AW74" i="28" s="1"/>
  <c r="AO82" i="28"/>
  <c r="AW82" i="28" s="1"/>
  <c r="AO104" i="28"/>
  <c r="AW104" i="28" s="1"/>
  <c r="AO88" i="28"/>
  <c r="AW88" i="28" s="1"/>
  <c r="AO96" i="28"/>
  <c r="AW96" i="28" s="1"/>
  <c r="AO45" i="28"/>
  <c r="AW45" i="28" s="1"/>
  <c r="AO53" i="28"/>
  <c r="AW53" i="28" s="1"/>
  <c r="AO61" i="28"/>
  <c r="AW61" i="28" s="1"/>
  <c r="AO69" i="28"/>
  <c r="AW69" i="28" s="1"/>
  <c r="AO77" i="28"/>
  <c r="AW77" i="28" s="1"/>
  <c r="AO85" i="28"/>
  <c r="AW85" i="28" s="1"/>
  <c r="G13" i="28"/>
  <c r="G10" i="28"/>
  <c r="G11" i="28"/>
  <c r="G12" i="28"/>
  <c r="AP94" i="33" l="1"/>
  <c r="AW78" i="28"/>
  <c r="AW94" i="33" s="1"/>
  <c r="AW48" i="28"/>
  <c r="AW64" i="33" s="1"/>
  <c r="AW70" i="28"/>
  <c r="AW86" i="33" s="1"/>
  <c r="AW73" i="28"/>
  <c r="AW89" i="33" s="1"/>
  <c r="AW62" i="28"/>
  <c r="AW78" i="33" s="1"/>
  <c r="AP102" i="33"/>
  <c r="AW86" i="28"/>
  <c r="AW102" i="33" s="1"/>
  <c r="AW57" i="28"/>
  <c r="AW73" i="33" s="1"/>
  <c r="AW49" i="28"/>
  <c r="AW65" i="33" s="1"/>
  <c r="AW92" i="28"/>
  <c r="AW108" i="33" s="1"/>
  <c r="AP118" i="33"/>
  <c r="AW102" i="28"/>
  <c r="AW118" i="33" s="1"/>
  <c r="AW65" i="28"/>
  <c r="AW81" i="33" s="1"/>
  <c r="AW40" i="28"/>
  <c r="AW56" i="33" s="1"/>
  <c r="AP121" i="33"/>
  <c r="AW105" i="28"/>
  <c r="AW121" i="33" s="1"/>
  <c r="AW41" i="28"/>
  <c r="AW57" i="33" s="1"/>
  <c r="AP62" i="33"/>
  <c r="AW46" i="28"/>
  <c r="AW62" i="33" s="1"/>
  <c r="AP96" i="33"/>
  <c r="AW80" i="28"/>
  <c r="AW96" i="33" s="1"/>
  <c r="AW94" i="28"/>
  <c r="AW110" i="33" s="1"/>
  <c r="AW100" i="28"/>
  <c r="AW116" i="33" s="1"/>
  <c r="AW97" i="28"/>
  <c r="AW113" i="33" s="1"/>
  <c r="AW108" i="28"/>
  <c r="AW124" i="33" s="1"/>
  <c r="AW89" i="28"/>
  <c r="AW105" i="33" s="1"/>
  <c r="AW64" i="28"/>
  <c r="AW80" i="33" s="1"/>
  <c r="AW72" i="28"/>
  <c r="AW88" i="33" s="1"/>
  <c r="AP70" i="33"/>
  <c r="AW54" i="28"/>
  <c r="AW70" i="33" s="1"/>
  <c r="AW56" i="28"/>
  <c r="AW72" i="33" s="1"/>
  <c r="S618" i="26"/>
  <c r="S234" i="26"/>
  <c r="S364" i="26"/>
  <c r="S490" i="26"/>
  <c r="S554" i="26"/>
  <c r="S300" i="26"/>
  <c r="S427" i="26"/>
  <c r="AP81" i="33"/>
  <c r="AP56" i="33"/>
  <c r="AP86" i="33"/>
  <c r="AP72" i="33"/>
  <c r="AP64" i="33"/>
  <c r="AP124" i="33"/>
  <c r="AP108" i="33"/>
  <c r="AP110" i="33"/>
  <c r="AP80" i="33"/>
  <c r="AP113" i="33"/>
  <c r="AP78" i="33"/>
  <c r="AP73" i="33"/>
  <c r="AP89" i="33"/>
  <c r="AP57" i="33"/>
  <c r="AP65" i="33"/>
  <c r="AP116" i="33"/>
  <c r="AW93" i="33"/>
  <c r="AP93" i="33"/>
  <c r="AW61" i="33"/>
  <c r="AP61" i="33"/>
  <c r="AW98" i="33"/>
  <c r="AP98" i="33"/>
  <c r="AW66" i="33"/>
  <c r="AP66" i="33"/>
  <c r="AW117" i="33"/>
  <c r="AP117" i="33"/>
  <c r="AW71" i="33"/>
  <c r="AP71" i="33"/>
  <c r="AW122" i="33"/>
  <c r="AP122" i="33"/>
  <c r="AW76" i="33"/>
  <c r="AP76" i="33"/>
  <c r="AW97" i="33"/>
  <c r="AP97" i="33"/>
  <c r="AW85" i="33"/>
  <c r="AP85" i="33"/>
  <c r="AW112" i="33"/>
  <c r="AP112" i="33"/>
  <c r="AW90" i="33"/>
  <c r="AP90" i="33"/>
  <c r="AW58" i="33"/>
  <c r="AP58" i="33"/>
  <c r="AW79" i="33"/>
  <c r="AP79" i="33"/>
  <c r="AW100" i="33"/>
  <c r="AP100" i="33"/>
  <c r="AW68" i="33"/>
  <c r="AP68" i="33"/>
  <c r="AW119" i="33"/>
  <c r="AP119" i="33"/>
  <c r="AW77" i="33"/>
  <c r="AP77" i="33"/>
  <c r="AW104" i="33"/>
  <c r="AP104" i="33"/>
  <c r="AW82" i="33"/>
  <c r="AP82" i="33"/>
  <c r="AW109" i="33"/>
  <c r="AP109" i="33"/>
  <c r="AW87" i="33"/>
  <c r="AP87" i="33"/>
  <c r="AW114" i="33"/>
  <c r="AP114" i="33"/>
  <c r="AW92" i="33"/>
  <c r="AP92" i="33"/>
  <c r="AW60" i="33"/>
  <c r="AP60" i="33"/>
  <c r="AW103" i="33"/>
  <c r="AP103" i="33"/>
  <c r="AW101" i="33"/>
  <c r="AP101" i="33"/>
  <c r="AW69" i="33"/>
  <c r="AP69" i="33"/>
  <c r="AW120" i="33"/>
  <c r="AP120" i="33"/>
  <c r="AW74" i="33"/>
  <c r="AP74" i="33"/>
  <c r="AW125" i="33"/>
  <c r="AP125" i="33"/>
  <c r="AW95" i="33"/>
  <c r="AP95" i="33"/>
  <c r="AW63" i="33"/>
  <c r="AP63" i="33"/>
  <c r="AW106" i="33"/>
  <c r="AP106" i="33"/>
  <c r="AW84" i="33"/>
  <c r="AP84" i="33"/>
  <c r="AW111" i="33"/>
  <c r="AP111" i="33"/>
  <c r="G214" i="28"/>
  <c r="A81" i="30"/>
  <c r="S2" i="26"/>
  <c r="S2" i="29"/>
  <c r="A136" i="7"/>
  <c r="A6" i="7"/>
  <c r="A8" i="30"/>
  <c r="A19" i="16"/>
  <c r="A8" i="16"/>
  <c r="A96" i="10"/>
  <c r="A55" i="10"/>
  <c r="A34" i="10"/>
  <c r="A17" i="10"/>
  <c r="A9" i="10"/>
  <c r="K2" i="39"/>
  <c r="S619" i="26" l="1"/>
  <c r="S235" i="26"/>
  <c r="S428" i="26"/>
  <c r="S365" i="26"/>
  <c r="S491" i="26"/>
  <c r="S555" i="26"/>
  <c r="M4" i="30"/>
  <c r="M3" i="30"/>
  <c r="K4" i="30"/>
  <c r="K3" i="30"/>
  <c r="I4" i="30"/>
  <c r="I3" i="30"/>
  <c r="G4" i="30"/>
  <c r="M3" i="10"/>
  <c r="K3" i="10"/>
  <c r="N4" i="7"/>
  <c r="L4" i="7"/>
  <c r="J4" i="7"/>
  <c r="J3" i="7"/>
  <c r="H4" i="7"/>
  <c r="H3" i="7"/>
  <c r="N3" i="7"/>
  <c r="L3" i="7"/>
  <c r="T43" i="20"/>
  <c r="T51" i="20"/>
  <c r="T38" i="20"/>
  <c r="D129" i="30"/>
  <c r="D130" i="30"/>
  <c r="D101" i="30"/>
  <c r="D102" i="30"/>
  <c r="D103" i="30"/>
  <c r="D104" i="30"/>
  <c r="D105" i="30"/>
  <c r="D106" i="30"/>
  <c r="D107" i="30"/>
  <c r="D108" i="30"/>
  <c r="D109" i="30"/>
  <c r="D110" i="30"/>
  <c r="D111" i="30"/>
  <c r="D112" i="30"/>
  <c r="D113" i="30"/>
  <c r="D114" i="30"/>
  <c r="D115" i="30"/>
  <c r="D116" i="30"/>
  <c r="D117" i="30"/>
  <c r="D118" i="30"/>
  <c r="D119" i="30"/>
  <c r="D120" i="30"/>
  <c r="D121" i="30"/>
  <c r="D122" i="30"/>
  <c r="D123" i="30"/>
  <c r="D124" i="30"/>
  <c r="D125" i="30"/>
  <c r="D126" i="30"/>
  <c r="D127" i="30"/>
  <c r="D128" i="30"/>
  <c r="S81" i="30"/>
  <c r="K2" i="31"/>
  <c r="S42" i="20"/>
  <c r="K2" i="26"/>
  <c r="K2" i="20"/>
  <c r="K2" i="19"/>
  <c r="K2" i="16"/>
  <c r="K2" i="10"/>
  <c r="K2" i="29"/>
  <c r="K2" i="9"/>
  <c r="I2" i="28"/>
  <c r="S51" i="20"/>
  <c r="K2" i="30"/>
  <c r="K2" i="38"/>
  <c r="S38" i="20"/>
  <c r="S620" i="26" l="1"/>
  <c r="S429" i="26"/>
  <c r="S492" i="26"/>
  <c r="S556" i="26"/>
  <c r="T44" i="20"/>
  <c r="T45" i="20" s="1"/>
  <c r="BU69" i="18"/>
  <c r="BT69" i="18"/>
  <c r="BS69" i="18"/>
  <c r="BR69" i="18"/>
  <c r="BQ69" i="18"/>
  <c r="BP69" i="18"/>
  <c r="BO69" i="18"/>
  <c r="BN69" i="18"/>
  <c r="BM69" i="18"/>
  <c r="BL69" i="18"/>
  <c r="BK69" i="18"/>
  <c r="BJ69" i="18"/>
  <c r="BI69" i="18"/>
  <c r="BH69" i="18"/>
  <c r="BG69" i="18"/>
  <c r="BF69" i="18"/>
  <c r="BE69" i="18"/>
  <c r="BD69" i="18"/>
  <c r="BC69" i="18"/>
  <c r="BB69" i="18"/>
  <c r="BA69" i="18"/>
  <c r="AZ69" i="18"/>
  <c r="AY69" i="18"/>
  <c r="AX69" i="18"/>
  <c r="AW69" i="18"/>
  <c r="AV69" i="18"/>
  <c r="AU69" i="18"/>
  <c r="AT69" i="18"/>
  <c r="AS69" i="18"/>
  <c r="AR69" i="18"/>
  <c r="BU5" i="18"/>
  <c r="BD5" i="18"/>
  <c r="BE5" i="18"/>
  <c r="BF5" i="18"/>
  <c r="BG5" i="18"/>
  <c r="BH5" i="18"/>
  <c r="BI5" i="18"/>
  <c r="BJ5" i="18"/>
  <c r="BK5" i="18"/>
  <c r="BL5" i="18"/>
  <c r="BM5" i="18"/>
  <c r="BN5" i="18"/>
  <c r="BO5" i="18"/>
  <c r="BP5" i="18"/>
  <c r="BQ5" i="18"/>
  <c r="BR5" i="18"/>
  <c r="BS5" i="18"/>
  <c r="BT5" i="18"/>
  <c r="S8" i="30"/>
  <c r="R8" i="30"/>
  <c r="G3" i="30" s="1"/>
  <c r="I3" i="16"/>
  <c r="R8" i="16"/>
  <c r="G3" i="16" s="1"/>
  <c r="R96" i="10"/>
  <c r="G4" i="10" s="1"/>
  <c r="R17" i="10"/>
  <c r="I3" i="10" s="1"/>
  <c r="R9" i="10"/>
  <c r="G3" i="10" s="1"/>
  <c r="M21" i="30"/>
  <c r="T67" i="26"/>
  <c r="D42" i="20"/>
  <c r="D51" i="20"/>
  <c r="D52" i="20"/>
  <c r="S43" i="20"/>
  <c r="S557" i="26" l="1"/>
  <c r="S430" i="26"/>
  <c r="S621" i="26"/>
  <c r="S493" i="26"/>
  <c r="S494" i="26" s="1"/>
  <c r="T46" i="20"/>
  <c r="T47" i="20" s="1"/>
  <c r="K34" i="30"/>
  <c r="J34" i="30"/>
  <c r="S45" i="20"/>
  <c r="E43" i="20"/>
  <c r="S47" i="20"/>
  <c r="S44" i="20"/>
  <c r="S622" i="26" l="1"/>
  <c r="S623" i="26" s="1"/>
  <c r="S558" i="26"/>
  <c r="S495" i="26"/>
  <c r="L49" i="30"/>
  <c r="M49" i="30" s="1"/>
  <c r="J49" i="30"/>
  <c r="L34" i="30"/>
  <c r="S46" i="20"/>
  <c r="E47" i="20"/>
  <c r="E44" i="20"/>
  <c r="E45" i="20"/>
  <c r="S559" i="26" l="1"/>
  <c r="S560" i="26" s="1"/>
  <c r="S624" i="26"/>
  <c r="J54" i="30"/>
  <c r="K54" i="30" s="1"/>
  <c r="K49" i="30"/>
  <c r="R11" i="26"/>
  <c r="E46" i="20"/>
  <c r="S625" i="26" l="1"/>
  <c r="X60" i="26"/>
  <c r="X56" i="26"/>
  <c r="D125" i="7" l="1"/>
  <c r="D126" i="7"/>
  <c r="D127" i="7"/>
  <c r="D128" i="7"/>
  <c r="D129" i="7"/>
  <c r="D130" i="7"/>
  <c r="D131" i="7"/>
  <c r="D132" i="7"/>
  <c r="D133" i="7"/>
  <c r="D134" i="7"/>
  <c r="P50" i="18"/>
  <c r="Q51" i="18"/>
  <c r="R52" i="18"/>
  <c r="S53" i="18"/>
  <c r="T54" i="18"/>
  <c r="U55" i="18"/>
  <c r="V56" i="18"/>
  <c r="W57" i="18"/>
  <c r="X58" i="18"/>
  <c r="Y59" i="18"/>
  <c r="Z60" i="18"/>
  <c r="AA61" i="18"/>
  <c r="AB62" i="18"/>
  <c r="AC63" i="18"/>
  <c r="AD64" i="18"/>
  <c r="AE65" i="18"/>
  <c r="AF66" i="18"/>
  <c r="AG67" i="18"/>
  <c r="AH68" i="18"/>
  <c r="S111" i="10"/>
  <c r="L410" i="29" s="1"/>
  <c r="T111" i="10"/>
  <c r="G410" i="29" s="1"/>
  <c r="U111" i="10"/>
  <c r="S112" i="10"/>
  <c r="L454" i="29" s="1"/>
  <c r="T112" i="10"/>
  <c r="G454" i="29" s="1"/>
  <c r="U112" i="10"/>
  <c r="S113" i="10"/>
  <c r="L498" i="29" s="1"/>
  <c r="T113" i="10"/>
  <c r="G498" i="29" s="1"/>
  <c r="U113" i="10"/>
  <c r="S114" i="10"/>
  <c r="L542" i="29" s="1"/>
  <c r="T114" i="10"/>
  <c r="G542" i="29" s="1"/>
  <c r="S115" i="10"/>
  <c r="L586" i="29" s="1"/>
  <c r="T115" i="10"/>
  <c r="G586" i="29" s="1"/>
  <c r="U115" i="10"/>
  <c r="S116" i="10"/>
  <c r="L630" i="29" s="1"/>
  <c r="T116" i="10"/>
  <c r="G630" i="29" s="1"/>
  <c r="U116" i="10"/>
  <c r="S117" i="10"/>
  <c r="L674" i="29" s="1"/>
  <c r="T117" i="10"/>
  <c r="G674" i="29" s="1"/>
  <c r="U117" i="10"/>
  <c r="S118" i="10"/>
  <c r="L718" i="29" s="1"/>
  <c r="T118" i="10"/>
  <c r="G718" i="29" s="1"/>
  <c r="S119" i="10"/>
  <c r="L762" i="29" s="1"/>
  <c r="T119" i="10"/>
  <c r="G762" i="29" s="1"/>
  <c r="U119" i="10"/>
  <c r="S120" i="10"/>
  <c r="L806" i="29" s="1"/>
  <c r="T120" i="10"/>
  <c r="G806" i="29" s="1"/>
  <c r="S121" i="10"/>
  <c r="L850" i="29" s="1"/>
  <c r="T121" i="10"/>
  <c r="G850" i="29" s="1"/>
  <c r="V843" i="29" l="1"/>
  <c r="Z828" i="29"/>
  <c r="U843" i="29"/>
  <c r="U842" i="29"/>
  <c r="T824" i="29"/>
  <c r="T817" i="29"/>
  <c r="T825" i="29"/>
  <c r="Z825" i="29"/>
  <c r="L831" i="29"/>
  <c r="T821" i="29"/>
  <c r="R842" i="29"/>
  <c r="L817" i="29"/>
  <c r="V842" i="29"/>
  <c r="S841" i="29"/>
  <c r="T828" i="29"/>
  <c r="Z822" i="29"/>
  <c r="E809" i="29"/>
  <c r="T823" i="29"/>
  <c r="Z823" i="29"/>
  <c r="T829" i="29"/>
  <c r="T842" i="29"/>
  <c r="U841" i="29"/>
  <c r="T826" i="29"/>
  <c r="T822" i="29"/>
  <c r="Z806" i="29"/>
  <c r="T841" i="29"/>
  <c r="T827" i="29"/>
  <c r="V831" i="29"/>
  <c r="Z826" i="29"/>
  <c r="R817" i="29"/>
  <c r="Z821" i="29"/>
  <c r="Z827" i="29"/>
  <c r="S844" i="29"/>
  <c r="J834" i="29"/>
  <c r="Z824" i="29"/>
  <c r="Z820" i="29"/>
  <c r="V846" i="29"/>
  <c r="Z829" i="29"/>
  <c r="R843" i="29"/>
  <c r="V830" i="29"/>
  <c r="T820" i="29"/>
  <c r="R841" i="29"/>
  <c r="V841" i="29"/>
  <c r="T844" i="29"/>
  <c r="H766" i="29"/>
  <c r="H768" i="29"/>
  <c r="Y768" i="29" s="1"/>
  <c r="V768" i="29" s="1"/>
  <c r="H770" i="29"/>
  <c r="Y770" i="29" s="1"/>
  <c r="V770" i="29" s="1"/>
  <c r="H769" i="29"/>
  <c r="Y769" i="29" s="1"/>
  <c r="V769" i="29" s="1"/>
  <c r="K765" i="29"/>
  <c r="K773" i="29" s="1"/>
  <c r="K786" i="29" s="1"/>
  <c r="K787" i="29" s="1"/>
  <c r="H767" i="29"/>
  <c r="Y767" i="29" s="1"/>
  <c r="V767" i="29" s="1"/>
  <c r="H771" i="29"/>
  <c r="Y771" i="29" s="1"/>
  <c r="V771" i="29" s="1"/>
  <c r="K797" i="29"/>
  <c r="H765" i="29"/>
  <c r="Y765" i="29" s="1"/>
  <c r="V765" i="29" s="1"/>
  <c r="H772" i="29"/>
  <c r="Y772" i="29" s="1"/>
  <c r="V772" i="29" s="1"/>
  <c r="S712" i="29"/>
  <c r="J702" i="29"/>
  <c r="T694" i="29"/>
  <c r="Z688" i="29"/>
  <c r="V714" i="29"/>
  <c r="Z697" i="29"/>
  <c r="Z693" i="29"/>
  <c r="Z689" i="29"/>
  <c r="U710" i="29"/>
  <c r="V709" i="29"/>
  <c r="T712" i="29"/>
  <c r="Z695" i="29"/>
  <c r="V711" i="29"/>
  <c r="Z696" i="29"/>
  <c r="Z692" i="29"/>
  <c r="U711" i="29"/>
  <c r="S709" i="29"/>
  <c r="T696" i="29"/>
  <c r="T692" i="29"/>
  <c r="T688" i="29"/>
  <c r="T689" i="29"/>
  <c r="T693" i="29"/>
  <c r="R709" i="29"/>
  <c r="R710" i="29"/>
  <c r="L685" i="29"/>
  <c r="V710" i="29"/>
  <c r="V699" i="29"/>
  <c r="Z694" i="29"/>
  <c r="Z690" i="29"/>
  <c r="T685" i="29"/>
  <c r="Z691" i="29"/>
  <c r="L699" i="29"/>
  <c r="U709" i="29"/>
  <c r="T690" i="29"/>
  <c r="Z674" i="29"/>
  <c r="T709" i="29"/>
  <c r="T695" i="29"/>
  <c r="T691" i="29"/>
  <c r="R711" i="29"/>
  <c r="V698" i="29"/>
  <c r="E677" i="29"/>
  <c r="R685" i="29"/>
  <c r="T710" i="29"/>
  <c r="T697" i="29"/>
  <c r="H640" i="29"/>
  <c r="Y640" i="29" s="1"/>
  <c r="V640" i="29" s="1"/>
  <c r="H634" i="29"/>
  <c r="H633" i="29"/>
  <c r="Y633" i="29" s="1"/>
  <c r="V633" i="29" s="1"/>
  <c r="H636" i="29"/>
  <c r="Y636" i="29" s="1"/>
  <c r="V636" i="29" s="1"/>
  <c r="K633" i="29"/>
  <c r="K641" i="29" s="1"/>
  <c r="K654" i="29" s="1"/>
  <c r="K655" i="29" s="1"/>
  <c r="H639" i="29"/>
  <c r="Y639" i="29" s="1"/>
  <c r="V639" i="29" s="1"/>
  <c r="K665" i="29"/>
  <c r="H635" i="29"/>
  <c r="Y635" i="29" s="1"/>
  <c r="V635" i="29" s="1"/>
  <c r="H638" i="29"/>
  <c r="Y638" i="29" s="1"/>
  <c r="V638" i="29" s="1"/>
  <c r="H637" i="29"/>
  <c r="Y637" i="29" s="1"/>
  <c r="V637" i="29" s="1"/>
  <c r="S580" i="29"/>
  <c r="J570" i="29"/>
  <c r="Z560" i="29"/>
  <c r="U579" i="29"/>
  <c r="T559" i="29"/>
  <c r="L567" i="29"/>
  <c r="T557" i="29"/>
  <c r="V566" i="29"/>
  <c r="S577" i="29"/>
  <c r="T578" i="29"/>
  <c r="V579" i="29"/>
  <c r="Z564" i="29"/>
  <c r="L553" i="29"/>
  <c r="V578" i="29"/>
  <c r="T563" i="29"/>
  <c r="Z557" i="29"/>
  <c r="Z562" i="29"/>
  <c r="T556" i="29"/>
  <c r="T564" i="29"/>
  <c r="Z563" i="29"/>
  <c r="R577" i="29"/>
  <c r="T560" i="29"/>
  <c r="T561" i="29"/>
  <c r="R578" i="29"/>
  <c r="T558" i="29"/>
  <c r="Z542" i="29"/>
  <c r="T577" i="29"/>
  <c r="Z561" i="29"/>
  <c r="E545" i="29"/>
  <c r="T553" i="29"/>
  <c r="Z558" i="29"/>
  <c r="T565" i="29"/>
  <c r="R553" i="29"/>
  <c r="U577" i="29"/>
  <c r="T562" i="29"/>
  <c r="Z556" i="29"/>
  <c r="V582" i="29"/>
  <c r="Z565" i="29"/>
  <c r="V577" i="29"/>
  <c r="R579" i="29"/>
  <c r="U578" i="29"/>
  <c r="T580" i="29"/>
  <c r="Z559" i="29"/>
  <c r="V567" i="29"/>
  <c r="H501" i="29"/>
  <c r="Y501" i="29" s="1"/>
  <c r="V501" i="29" s="1"/>
  <c r="H508" i="29"/>
  <c r="Y508" i="29" s="1"/>
  <c r="V508" i="29" s="1"/>
  <c r="H507" i="29"/>
  <c r="Y507" i="29" s="1"/>
  <c r="V507" i="29" s="1"/>
  <c r="H506" i="29"/>
  <c r="Y506" i="29" s="1"/>
  <c r="V506" i="29" s="1"/>
  <c r="K533" i="29"/>
  <c r="H503" i="29"/>
  <c r="Y503" i="29" s="1"/>
  <c r="V503" i="29" s="1"/>
  <c r="H505" i="29"/>
  <c r="Y505" i="29" s="1"/>
  <c r="V505" i="29" s="1"/>
  <c r="K501" i="29"/>
  <c r="K509" i="29" s="1"/>
  <c r="K522" i="29" s="1"/>
  <c r="K523" i="29" s="1"/>
  <c r="H502" i="29"/>
  <c r="H504" i="29"/>
  <c r="Y504" i="29" s="1"/>
  <c r="V504" i="29" s="1"/>
  <c r="H810" i="29"/>
  <c r="H813" i="29"/>
  <c r="Y813" i="29" s="1"/>
  <c r="V813" i="29" s="1"/>
  <c r="K809" i="29"/>
  <c r="K817" i="29" s="1"/>
  <c r="K830" i="29" s="1"/>
  <c r="K831" i="29" s="1"/>
  <c r="H811" i="29"/>
  <c r="Y811" i="29" s="1"/>
  <c r="V811" i="29" s="1"/>
  <c r="K841" i="29"/>
  <c r="H816" i="29"/>
  <c r="Y816" i="29" s="1"/>
  <c r="V816" i="29" s="1"/>
  <c r="H809" i="29"/>
  <c r="Y809" i="29" s="1"/>
  <c r="V809" i="29" s="1"/>
  <c r="H814" i="29"/>
  <c r="Y814" i="29" s="1"/>
  <c r="V814" i="29" s="1"/>
  <c r="H812" i="29"/>
  <c r="Y812" i="29" s="1"/>
  <c r="V812" i="29" s="1"/>
  <c r="H815" i="29"/>
  <c r="Y815" i="29" s="1"/>
  <c r="V815" i="29" s="1"/>
  <c r="S753" i="29"/>
  <c r="Z738" i="29"/>
  <c r="R754" i="29"/>
  <c r="T737" i="29"/>
  <c r="T739" i="29"/>
  <c r="L729" i="29"/>
  <c r="T741" i="29"/>
  <c r="R753" i="29"/>
  <c r="Z737" i="29"/>
  <c r="T740" i="29"/>
  <c r="Z733" i="29"/>
  <c r="E721" i="29"/>
  <c r="T756" i="29"/>
  <c r="J746" i="29"/>
  <c r="V743" i="29"/>
  <c r="U753" i="29"/>
  <c r="Z736" i="29"/>
  <c r="T753" i="29"/>
  <c r="T732" i="29"/>
  <c r="Z735" i="29"/>
  <c r="T754" i="29"/>
  <c r="V754" i="29"/>
  <c r="Z739" i="29"/>
  <c r="U755" i="29"/>
  <c r="U754" i="29"/>
  <c r="T734" i="29"/>
  <c r="V753" i="29"/>
  <c r="R755" i="29"/>
  <c r="V742" i="29"/>
  <c r="T736" i="29"/>
  <c r="L743" i="29"/>
  <c r="T735" i="29"/>
  <c r="Z741" i="29"/>
  <c r="Z734" i="29"/>
  <c r="T729" i="29"/>
  <c r="V755" i="29"/>
  <c r="Z718" i="29"/>
  <c r="R729" i="29"/>
  <c r="T738" i="29"/>
  <c r="T733" i="29"/>
  <c r="Z740" i="29"/>
  <c r="Z732" i="29"/>
  <c r="S756" i="29"/>
  <c r="V758" i="29"/>
  <c r="H682" i="29"/>
  <c r="Y682" i="29" s="1"/>
  <c r="V682" i="29" s="1"/>
  <c r="H677" i="29"/>
  <c r="Y677" i="29" s="1"/>
  <c r="V677" i="29" s="1"/>
  <c r="H683" i="29"/>
  <c r="Y683" i="29" s="1"/>
  <c r="V683" i="29" s="1"/>
  <c r="H678" i="29"/>
  <c r="H684" i="29"/>
  <c r="Y684" i="29" s="1"/>
  <c r="V684" i="29" s="1"/>
  <c r="K677" i="29"/>
  <c r="K685" i="29" s="1"/>
  <c r="K698" i="29" s="1"/>
  <c r="K699" i="29" s="1"/>
  <c r="H680" i="29"/>
  <c r="Y680" i="29" s="1"/>
  <c r="V680" i="29" s="1"/>
  <c r="K709" i="29"/>
  <c r="H681" i="29"/>
  <c r="Y681" i="29" s="1"/>
  <c r="V681" i="29" s="1"/>
  <c r="H679" i="29"/>
  <c r="Y679" i="29" s="1"/>
  <c r="V679" i="29" s="1"/>
  <c r="K577" i="29"/>
  <c r="H549" i="29"/>
  <c r="Y549" i="29" s="1"/>
  <c r="V549" i="29" s="1"/>
  <c r="H551" i="29"/>
  <c r="Y551" i="29" s="1"/>
  <c r="V551" i="29" s="1"/>
  <c r="H550" i="29"/>
  <c r="Y550" i="29" s="1"/>
  <c r="V550" i="29" s="1"/>
  <c r="H545" i="29"/>
  <c r="Y545" i="29" s="1"/>
  <c r="V545" i="29" s="1"/>
  <c r="H547" i="29"/>
  <c r="Y547" i="29" s="1"/>
  <c r="V547" i="29" s="1"/>
  <c r="H546" i="29"/>
  <c r="H548" i="29"/>
  <c r="Y548" i="29" s="1"/>
  <c r="V548" i="29" s="1"/>
  <c r="K545" i="29"/>
  <c r="K553" i="29" s="1"/>
  <c r="K566" i="29" s="1"/>
  <c r="K567" i="29" s="1"/>
  <c r="H552" i="29"/>
  <c r="Y552" i="29" s="1"/>
  <c r="V552" i="29" s="1"/>
  <c r="S448" i="29"/>
  <c r="J438" i="29"/>
  <c r="Z428" i="29"/>
  <c r="U447" i="29"/>
  <c r="T427" i="29"/>
  <c r="L435" i="29"/>
  <c r="T425" i="29"/>
  <c r="S445" i="29"/>
  <c r="V435" i="29"/>
  <c r="T428" i="29"/>
  <c r="T446" i="29"/>
  <c r="T432" i="29"/>
  <c r="V447" i="29"/>
  <c r="Z432" i="29"/>
  <c r="L421" i="29"/>
  <c r="V446" i="29"/>
  <c r="T431" i="29"/>
  <c r="Z425" i="29"/>
  <c r="Z430" i="29"/>
  <c r="T424" i="29"/>
  <c r="Z431" i="29"/>
  <c r="R421" i="29"/>
  <c r="R445" i="29"/>
  <c r="Z427" i="29"/>
  <c r="R446" i="29"/>
  <c r="T426" i="29"/>
  <c r="Z410" i="29"/>
  <c r="T445" i="29"/>
  <c r="Z429" i="29"/>
  <c r="E413" i="29"/>
  <c r="T448" i="29"/>
  <c r="V434" i="29"/>
  <c r="T421" i="29"/>
  <c r="U445" i="29"/>
  <c r="T430" i="29"/>
  <c r="Z424" i="29"/>
  <c r="V450" i="29"/>
  <c r="Z433" i="29"/>
  <c r="V445" i="29"/>
  <c r="U446" i="29"/>
  <c r="Z426" i="29"/>
  <c r="T429" i="29"/>
  <c r="R447" i="29"/>
  <c r="T433" i="29"/>
  <c r="S888" i="29"/>
  <c r="J878" i="29"/>
  <c r="T870" i="29"/>
  <c r="Z864" i="29"/>
  <c r="V890" i="29"/>
  <c r="Z873" i="29"/>
  <c r="Z869" i="29"/>
  <c r="Z865" i="29"/>
  <c r="L875" i="29"/>
  <c r="R861" i="29"/>
  <c r="V875" i="29"/>
  <c r="Z870" i="29"/>
  <c r="Z866" i="29"/>
  <c r="T861" i="29"/>
  <c r="V885" i="29"/>
  <c r="T885" i="29"/>
  <c r="T872" i="29"/>
  <c r="T886" i="29"/>
  <c r="V887" i="29"/>
  <c r="Z872" i="29"/>
  <c r="Z868" i="29"/>
  <c r="U887" i="29"/>
  <c r="T873" i="29"/>
  <c r="R887" i="29"/>
  <c r="V874" i="29"/>
  <c r="E853" i="29"/>
  <c r="Z871" i="29"/>
  <c r="T865" i="29"/>
  <c r="U885" i="29"/>
  <c r="T866" i="29"/>
  <c r="Z850" i="29"/>
  <c r="T871" i="29"/>
  <c r="T867" i="29"/>
  <c r="R885" i="29"/>
  <c r="S885" i="29"/>
  <c r="T868" i="29"/>
  <c r="T864" i="29"/>
  <c r="T869" i="29"/>
  <c r="R886" i="29"/>
  <c r="L861" i="29"/>
  <c r="V886" i="29"/>
  <c r="Z867" i="29"/>
  <c r="U886" i="29"/>
  <c r="T888" i="29"/>
  <c r="H727" i="29"/>
  <c r="Y727" i="29" s="1"/>
  <c r="V727" i="29" s="1"/>
  <c r="H722" i="29"/>
  <c r="K753" i="29"/>
  <c r="H728" i="29"/>
  <c r="Y728" i="29" s="1"/>
  <c r="V728" i="29" s="1"/>
  <c r="K721" i="29"/>
  <c r="K729" i="29" s="1"/>
  <c r="K742" i="29" s="1"/>
  <c r="K743" i="29" s="1"/>
  <c r="H723" i="29"/>
  <c r="Y723" i="29" s="1"/>
  <c r="V723" i="29" s="1"/>
  <c r="H721" i="29"/>
  <c r="Y721" i="29" s="1"/>
  <c r="V721" i="29" s="1"/>
  <c r="H724" i="29"/>
  <c r="H726" i="29"/>
  <c r="Y726" i="29" s="1"/>
  <c r="V726" i="29" s="1"/>
  <c r="H725" i="29"/>
  <c r="Y725" i="29" s="1"/>
  <c r="V725" i="29" s="1"/>
  <c r="V623" i="29"/>
  <c r="Z608" i="29"/>
  <c r="V611" i="29"/>
  <c r="T621" i="29"/>
  <c r="T603" i="29"/>
  <c r="V626" i="29"/>
  <c r="T624" i="29"/>
  <c r="Z607" i="29"/>
  <c r="T600" i="29"/>
  <c r="Z600" i="29"/>
  <c r="T607" i="29"/>
  <c r="Z603" i="29"/>
  <c r="J614" i="29"/>
  <c r="Z604" i="29"/>
  <c r="Z606" i="29"/>
  <c r="T622" i="29"/>
  <c r="Z586" i="29"/>
  <c r="R622" i="29"/>
  <c r="R623" i="29"/>
  <c r="V610" i="29"/>
  <c r="T604" i="29"/>
  <c r="Z601" i="29"/>
  <c r="V621" i="29"/>
  <c r="R621" i="29"/>
  <c r="Z605" i="29"/>
  <c r="T597" i="29"/>
  <c r="S624" i="29"/>
  <c r="S621" i="29"/>
  <c r="Z609" i="29"/>
  <c r="V622" i="29"/>
  <c r="T609" i="29"/>
  <c r="R597" i="29"/>
  <c r="U621" i="29"/>
  <c r="T606" i="29"/>
  <c r="U622" i="29"/>
  <c r="T608" i="29"/>
  <c r="U623" i="29"/>
  <c r="T602" i="29"/>
  <c r="L611" i="29"/>
  <c r="Z602" i="29"/>
  <c r="E589" i="29"/>
  <c r="L597" i="29"/>
  <c r="T605" i="29"/>
  <c r="T601" i="29"/>
  <c r="V490" i="29"/>
  <c r="T475" i="29"/>
  <c r="R490" i="29"/>
  <c r="T477" i="29"/>
  <c r="Z470" i="29"/>
  <c r="E457" i="29"/>
  <c r="T492" i="29"/>
  <c r="Z475" i="29"/>
  <c r="R465" i="29"/>
  <c r="Z469" i="29"/>
  <c r="T490" i="29"/>
  <c r="T470" i="29"/>
  <c r="J482" i="29"/>
  <c r="T472" i="29"/>
  <c r="R491" i="29"/>
  <c r="Z472" i="29"/>
  <c r="L465" i="29"/>
  <c r="T465" i="29"/>
  <c r="T476" i="29"/>
  <c r="U489" i="29"/>
  <c r="Z454" i="29"/>
  <c r="T489" i="29"/>
  <c r="Z473" i="29"/>
  <c r="S489" i="29"/>
  <c r="Z476" i="29"/>
  <c r="V491" i="29"/>
  <c r="R489" i="29"/>
  <c r="S492" i="29"/>
  <c r="T473" i="29"/>
  <c r="Z474" i="29"/>
  <c r="Z468" i="29"/>
  <c r="U491" i="29"/>
  <c r="T471" i="29"/>
  <c r="V478" i="29"/>
  <c r="T474" i="29"/>
  <c r="V489" i="29"/>
  <c r="T469" i="29"/>
  <c r="Z471" i="29"/>
  <c r="V494" i="29"/>
  <c r="Z477" i="29"/>
  <c r="V479" i="29"/>
  <c r="T468" i="29"/>
  <c r="U490" i="29"/>
  <c r="L479" i="29"/>
  <c r="H418" i="29"/>
  <c r="Y418" i="29" s="1"/>
  <c r="V418" i="29" s="1"/>
  <c r="H413" i="29"/>
  <c r="Y413" i="29" s="1"/>
  <c r="V413" i="29" s="1"/>
  <c r="H420" i="29"/>
  <c r="Y420" i="29" s="1"/>
  <c r="V420" i="29" s="1"/>
  <c r="H414" i="29"/>
  <c r="H416" i="29"/>
  <c r="Y416" i="29" s="1"/>
  <c r="V416" i="29" s="1"/>
  <c r="K413" i="29"/>
  <c r="K421" i="29" s="1"/>
  <c r="K434" i="29" s="1"/>
  <c r="K435" i="29" s="1"/>
  <c r="H419" i="29"/>
  <c r="Y419" i="29" s="1"/>
  <c r="V419" i="29" s="1"/>
  <c r="K445" i="29"/>
  <c r="H417" i="29"/>
  <c r="Y417" i="29" s="1"/>
  <c r="V417" i="29" s="1"/>
  <c r="H415" i="29"/>
  <c r="Y415" i="29" s="1"/>
  <c r="V415" i="29" s="1"/>
  <c r="H854" i="29"/>
  <c r="H860" i="29"/>
  <c r="Y860" i="29" s="1"/>
  <c r="V860" i="29" s="1"/>
  <c r="K853" i="29"/>
  <c r="K861" i="29" s="1"/>
  <c r="K874" i="29" s="1"/>
  <c r="K875" i="29" s="1"/>
  <c r="H856" i="29"/>
  <c r="Y856" i="29" s="1"/>
  <c r="V856" i="29" s="1"/>
  <c r="H858" i="29"/>
  <c r="Y858" i="29" s="1"/>
  <c r="V858" i="29" s="1"/>
  <c r="H853" i="29"/>
  <c r="Y853" i="29" s="1"/>
  <c r="V853" i="29" s="1"/>
  <c r="H855" i="29"/>
  <c r="Y855" i="29" s="1"/>
  <c r="V855" i="29" s="1"/>
  <c r="K885" i="29"/>
  <c r="H857" i="29"/>
  <c r="Y857" i="29" s="1"/>
  <c r="V857" i="29" s="1"/>
  <c r="H859" i="29"/>
  <c r="Y859" i="29" s="1"/>
  <c r="V859" i="29" s="1"/>
  <c r="R798" i="29"/>
  <c r="T778" i="29"/>
  <c r="Z762" i="29"/>
  <c r="L787" i="29"/>
  <c r="Z778" i="29"/>
  <c r="V786" i="29"/>
  <c r="Z785" i="29"/>
  <c r="T800" i="29"/>
  <c r="T785" i="29"/>
  <c r="V799" i="29"/>
  <c r="L773" i="29"/>
  <c r="T797" i="29"/>
  <c r="U799" i="29"/>
  <c r="Z783" i="29"/>
  <c r="E765" i="29"/>
  <c r="Z781" i="29"/>
  <c r="V787" i="29"/>
  <c r="U797" i="29"/>
  <c r="T782" i="29"/>
  <c r="Z776" i="29"/>
  <c r="V802" i="29"/>
  <c r="T781" i="29"/>
  <c r="T776" i="29"/>
  <c r="V798" i="29"/>
  <c r="Z779" i="29"/>
  <c r="R799" i="29"/>
  <c r="Z784" i="29"/>
  <c r="T779" i="29"/>
  <c r="S797" i="29"/>
  <c r="Z777" i="29"/>
  <c r="Z782" i="29"/>
  <c r="T780" i="29"/>
  <c r="S800" i="29"/>
  <c r="J790" i="29"/>
  <c r="Z780" i="29"/>
  <c r="T798" i="29"/>
  <c r="T773" i="29"/>
  <c r="T783" i="29"/>
  <c r="T784" i="29"/>
  <c r="R773" i="29"/>
  <c r="R797" i="29"/>
  <c r="T777" i="29"/>
  <c r="U798" i="29"/>
  <c r="V797" i="29"/>
  <c r="R667" i="29"/>
  <c r="V654" i="29"/>
  <c r="T648" i="29"/>
  <c r="T641" i="29"/>
  <c r="V665" i="29"/>
  <c r="S668" i="29"/>
  <c r="J658" i="29"/>
  <c r="Z648" i="29"/>
  <c r="Z651" i="29"/>
  <c r="T665" i="29"/>
  <c r="V670" i="29"/>
  <c r="U666" i="29"/>
  <c r="T652" i="29"/>
  <c r="Z646" i="29"/>
  <c r="E633" i="29"/>
  <c r="R665" i="29"/>
  <c r="V667" i="29"/>
  <c r="Z652" i="29"/>
  <c r="L641" i="29"/>
  <c r="Z649" i="29"/>
  <c r="T651" i="29"/>
  <c r="T647" i="29"/>
  <c r="U667" i="29"/>
  <c r="S665" i="29"/>
  <c r="Z650" i="29"/>
  <c r="T668" i="29"/>
  <c r="L655" i="29"/>
  <c r="R666" i="29"/>
  <c r="T646" i="29"/>
  <c r="Z630" i="29"/>
  <c r="Z647" i="29"/>
  <c r="T645" i="29"/>
  <c r="V655" i="29"/>
  <c r="T644" i="29"/>
  <c r="T666" i="29"/>
  <c r="T653" i="29"/>
  <c r="U665" i="29"/>
  <c r="T650" i="29"/>
  <c r="Z644" i="29"/>
  <c r="V666" i="29"/>
  <c r="Z645" i="29"/>
  <c r="Z653" i="29"/>
  <c r="T649" i="29"/>
  <c r="R641" i="29"/>
  <c r="K621" i="29"/>
  <c r="H596" i="29"/>
  <c r="Y596" i="29" s="1"/>
  <c r="V596" i="29" s="1"/>
  <c r="H595" i="29"/>
  <c r="Y595" i="29" s="1"/>
  <c r="V595" i="29" s="1"/>
  <c r="H590" i="29"/>
  <c r="H593" i="29"/>
  <c r="Y593" i="29" s="1"/>
  <c r="V593" i="29" s="1"/>
  <c r="H592" i="29"/>
  <c r="Y592" i="29" s="1"/>
  <c r="V592" i="29" s="1"/>
  <c r="H591" i="29"/>
  <c r="K589" i="29"/>
  <c r="K597" i="29" s="1"/>
  <c r="K610" i="29" s="1"/>
  <c r="K611" i="29" s="1"/>
  <c r="H589" i="29"/>
  <c r="Y589" i="29" s="1"/>
  <c r="V589" i="29" s="1"/>
  <c r="H594" i="29"/>
  <c r="Y594" i="29" s="1"/>
  <c r="V594" i="29" s="1"/>
  <c r="S533" i="29"/>
  <c r="Z518" i="29"/>
  <c r="Z514" i="29"/>
  <c r="T536" i="29"/>
  <c r="L523" i="29"/>
  <c r="Z512" i="29"/>
  <c r="Z520" i="29"/>
  <c r="V534" i="29"/>
  <c r="T519" i="29"/>
  <c r="E501" i="29"/>
  <c r="Z498" i="29"/>
  <c r="V523" i="29"/>
  <c r="T534" i="29"/>
  <c r="T521" i="29"/>
  <c r="T517" i="29"/>
  <c r="T513" i="29"/>
  <c r="V535" i="29"/>
  <c r="U533" i="29"/>
  <c r="T518" i="29"/>
  <c r="R534" i="29"/>
  <c r="Z521" i="29"/>
  <c r="S536" i="29"/>
  <c r="R535" i="29"/>
  <c r="V522" i="29"/>
  <c r="T512" i="29"/>
  <c r="V533" i="29"/>
  <c r="Z519" i="29"/>
  <c r="Z515" i="29"/>
  <c r="R509" i="29"/>
  <c r="T533" i="29"/>
  <c r="T515" i="29"/>
  <c r="Z513" i="29"/>
  <c r="Z516" i="29"/>
  <c r="U535" i="29"/>
  <c r="U534" i="29"/>
  <c r="R533" i="29"/>
  <c r="J526" i="29"/>
  <c r="T514" i="29"/>
  <c r="T520" i="29"/>
  <c r="V538" i="29"/>
  <c r="T516" i="29"/>
  <c r="T509" i="29"/>
  <c r="Z517" i="29"/>
  <c r="L509" i="29"/>
  <c r="H460" i="29"/>
  <c r="Y460" i="29" s="1"/>
  <c r="V460" i="29" s="1"/>
  <c r="H462" i="29"/>
  <c r="Y462" i="29" s="1"/>
  <c r="V462" i="29" s="1"/>
  <c r="H461" i="29"/>
  <c r="Y461" i="29" s="1"/>
  <c r="V461" i="29" s="1"/>
  <c r="H463" i="29"/>
  <c r="Y463" i="29" s="1"/>
  <c r="V463" i="29" s="1"/>
  <c r="H458" i="29"/>
  <c r="H457" i="29"/>
  <c r="Y457" i="29" s="1"/>
  <c r="V457" i="29" s="1"/>
  <c r="K489" i="29"/>
  <c r="K457" i="29"/>
  <c r="K465" i="29" s="1"/>
  <c r="K478" i="29" s="1"/>
  <c r="K479" i="29" s="1"/>
  <c r="H464" i="29"/>
  <c r="Y464" i="29" s="1"/>
  <c r="V464" i="29" s="1"/>
  <c r="H459" i="29"/>
  <c r="M4" i="29"/>
  <c r="M6" i="29"/>
  <c r="I6" i="29"/>
  <c r="M5" i="29"/>
  <c r="E6" i="29"/>
  <c r="K6" i="29"/>
  <c r="G6" i="29"/>
  <c r="D27" i="18"/>
  <c r="D59" i="18" s="1"/>
  <c r="E56" i="7"/>
  <c r="F56" i="7" s="1"/>
  <c r="X56" i="7" s="1"/>
  <c r="E54" i="7"/>
  <c r="F54" i="7" s="1"/>
  <c r="X54" i="7" s="1"/>
  <c r="E126" i="30"/>
  <c r="G126" i="30" s="1"/>
  <c r="E60" i="7"/>
  <c r="F60" i="7" s="1"/>
  <c r="X60" i="7" s="1"/>
  <c r="E130" i="30"/>
  <c r="E64" i="7"/>
  <c r="E127" i="30"/>
  <c r="E61" i="7"/>
  <c r="F61" i="7" s="1"/>
  <c r="X61" i="7" s="1"/>
  <c r="E123" i="30"/>
  <c r="E57" i="7"/>
  <c r="E124" i="30"/>
  <c r="G124" i="30" s="1"/>
  <c r="E58" i="7"/>
  <c r="F58" i="7" s="1"/>
  <c r="X58" i="7" s="1"/>
  <c r="E128" i="30"/>
  <c r="G128" i="30" s="1"/>
  <c r="E62" i="7"/>
  <c r="F62" i="7" s="1"/>
  <c r="X62" i="7" s="1"/>
  <c r="E129" i="30"/>
  <c r="E63" i="7"/>
  <c r="E125" i="30"/>
  <c r="G125" i="30" s="1"/>
  <c r="E59" i="7"/>
  <c r="F59" i="7" s="1"/>
  <c r="X59" i="7" s="1"/>
  <c r="E121" i="30"/>
  <c r="G121" i="30" s="1"/>
  <c r="E55" i="7"/>
  <c r="F55" i="7" s="1"/>
  <c r="X55" i="7" s="1"/>
  <c r="D35" i="18"/>
  <c r="D99" i="18" s="1"/>
  <c r="K5" i="29"/>
  <c r="E122" i="30"/>
  <c r="G122" i="30" s="1"/>
  <c r="G5" i="29"/>
  <c r="E120" i="30"/>
  <c r="G120" i="30" s="1"/>
  <c r="I5" i="29"/>
  <c r="E125" i="7"/>
  <c r="D33" i="18"/>
  <c r="D97" i="18" s="1"/>
  <c r="D29" i="18"/>
  <c r="D93" i="18" s="1"/>
  <c r="D34" i="18"/>
  <c r="D98" i="18" s="1"/>
  <c r="E128" i="7"/>
  <c r="E124" i="7"/>
  <c r="E133" i="7"/>
  <c r="E129" i="7"/>
  <c r="D36" i="18"/>
  <c r="AH6" i="18" s="1"/>
  <c r="AH70" i="18" s="1"/>
  <c r="BU70" i="18" s="1"/>
  <c r="D32" i="18"/>
  <c r="AD6" i="18" s="1"/>
  <c r="AD70" i="18" s="1"/>
  <c r="BQ70" i="18" s="1"/>
  <c r="D28" i="18"/>
  <c r="D92" i="18" s="1"/>
  <c r="D31" i="18"/>
  <c r="D95" i="18" s="1"/>
  <c r="D30" i="18"/>
  <c r="D94" i="18" s="1"/>
  <c r="E132" i="7"/>
  <c r="E134" i="7"/>
  <c r="E131" i="7"/>
  <c r="E127" i="7"/>
  <c r="E130" i="7"/>
  <c r="E126" i="7"/>
  <c r="S108" i="31"/>
  <c r="D91" i="18" l="1"/>
  <c r="K492" i="29"/>
  <c r="K491" i="29"/>
  <c r="K490" i="29"/>
  <c r="Y459" i="29"/>
  <c r="V459" i="29" s="1"/>
  <c r="K624" i="29"/>
  <c r="K623" i="29"/>
  <c r="K622" i="29"/>
  <c r="K888" i="29"/>
  <c r="K887" i="29"/>
  <c r="K886" i="29"/>
  <c r="E722" i="29"/>
  <c r="E723" i="29" s="1"/>
  <c r="Y722" i="29"/>
  <c r="V722" i="29" s="1"/>
  <c r="K722" i="29"/>
  <c r="K723" i="29" s="1"/>
  <c r="K724" i="29" s="1"/>
  <c r="K725" i="29" s="1"/>
  <c r="K726" i="29" s="1"/>
  <c r="K727" i="29" s="1"/>
  <c r="K728" i="29" s="1"/>
  <c r="K578" i="29"/>
  <c r="K580" i="29"/>
  <c r="K579" i="29"/>
  <c r="E502" i="29"/>
  <c r="E503" i="29" s="1"/>
  <c r="E504" i="29" s="1"/>
  <c r="E505" i="29" s="1"/>
  <c r="E506" i="29" s="1"/>
  <c r="E507" i="29" s="1"/>
  <c r="E508" i="29" s="1"/>
  <c r="Y502" i="29"/>
  <c r="V502" i="29" s="1"/>
  <c r="K502" i="29"/>
  <c r="K503" i="29" s="1"/>
  <c r="K504" i="29" s="1"/>
  <c r="K505" i="29" s="1"/>
  <c r="K506" i="29" s="1"/>
  <c r="K507" i="29" s="1"/>
  <c r="K508" i="29" s="1"/>
  <c r="K535" i="29"/>
  <c r="K534" i="29"/>
  <c r="K536" i="29"/>
  <c r="K766" i="29"/>
  <c r="K767" i="29" s="1"/>
  <c r="K768" i="29" s="1"/>
  <c r="K769" i="29" s="1"/>
  <c r="K770" i="29" s="1"/>
  <c r="K771" i="29" s="1"/>
  <c r="K772" i="29" s="1"/>
  <c r="E766" i="29"/>
  <c r="E767" i="29" s="1"/>
  <c r="E768" i="29" s="1"/>
  <c r="E769" i="29" s="1"/>
  <c r="E770" i="29" s="1"/>
  <c r="E771" i="29" s="1"/>
  <c r="E772" i="29" s="1"/>
  <c r="Y766" i="29"/>
  <c r="V766" i="29" s="1"/>
  <c r="K458" i="29"/>
  <c r="K459" i="29" s="1"/>
  <c r="K460" i="29" s="1"/>
  <c r="K461" i="29" s="1"/>
  <c r="K462" i="29" s="1"/>
  <c r="K463" i="29" s="1"/>
  <c r="K464" i="29" s="1"/>
  <c r="Y458" i="29"/>
  <c r="V458" i="29" s="1"/>
  <c r="E458" i="29"/>
  <c r="E459" i="29" s="1"/>
  <c r="E460" i="29" s="1"/>
  <c r="E461" i="29" s="1"/>
  <c r="E462" i="29" s="1"/>
  <c r="E463" i="29" s="1"/>
  <c r="E464" i="29" s="1"/>
  <c r="Y590" i="29"/>
  <c r="V590" i="29" s="1"/>
  <c r="E590" i="29"/>
  <c r="E591" i="29" s="1"/>
  <c r="E592" i="29" s="1"/>
  <c r="E593" i="29" s="1"/>
  <c r="E594" i="29" s="1"/>
  <c r="E595" i="29" s="1"/>
  <c r="E596" i="29" s="1"/>
  <c r="K590" i="29"/>
  <c r="K591" i="29" s="1"/>
  <c r="K592" i="29" s="1"/>
  <c r="K593" i="29" s="1"/>
  <c r="K594" i="29" s="1"/>
  <c r="K595" i="29" s="1"/>
  <c r="K596" i="29" s="1"/>
  <c r="K800" i="29"/>
  <c r="K799" i="29"/>
  <c r="K798" i="29"/>
  <c r="Y591" i="29"/>
  <c r="V591" i="29" s="1"/>
  <c r="K447" i="29"/>
  <c r="K446" i="29"/>
  <c r="K448" i="29"/>
  <c r="E414" i="29"/>
  <c r="E415" i="29" s="1"/>
  <c r="E416" i="29" s="1"/>
  <c r="E417" i="29" s="1"/>
  <c r="E418" i="29" s="1"/>
  <c r="E419" i="29" s="1"/>
  <c r="E420" i="29" s="1"/>
  <c r="K414" i="29"/>
  <c r="K415" i="29" s="1"/>
  <c r="K416" i="29" s="1"/>
  <c r="K417" i="29" s="1"/>
  <c r="K418" i="29" s="1"/>
  <c r="K419" i="29" s="1"/>
  <c r="K420" i="29" s="1"/>
  <c r="Y414" i="29"/>
  <c r="V414" i="29" s="1"/>
  <c r="Y724" i="29"/>
  <c r="V724" i="29" s="1"/>
  <c r="E724" i="29"/>
  <c r="E725" i="29" s="1"/>
  <c r="E726" i="29" s="1"/>
  <c r="E727" i="29" s="1"/>
  <c r="E728" i="29" s="1"/>
  <c r="K546" i="29"/>
  <c r="K547" i="29" s="1"/>
  <c r="K548" i="29" s="1"/>
  <c r="K549" i="29" s="1"/>
  <c r="K550" i="29" s="1"/>
  <c r="K551" i="29" s="1"/>
  <c r="K552" i="29" s="1"/>
  <c r="Y546" i="29"/>
  <c r="V546" i="29" s="1"/>
  <c r="E546" i="29"/>
  <c r="E547" i="29" s="1"/>
  <c r="E548" i="29" s="1"/>
  <c r="E549" i="29" s="1"/>
  <c r="E550" i="29" s="1"/>
  <c r="E551" i="29" s="1"/>
  <c r="E552" i="29" s="1"/>
  <c r="K842" i="29"/>
  <c r="K844" i="29"/>
  <c r="K843" i="29"/>
  <c r="E810" i="29"/>
  <c r="E811" i="29" s="1"/>
  <c r="E812" i="29" s="1"/>
  <c r="E813" i="29" s="1"/>
  <c r="E814" i="29" s="1"/>
  <c r="E815" i="29" s="1"/>
  <c r="E816" i="29" s="1"/>
  <c r="Y810" i="29"/>
  <c r="V810" i="29" s="1"/>
  <c r="K810" i="29"/>
  <c r="K811" i="29" s="1"/>
  <c r="K812" i="29" s="1"/>
  <c r="K813" i="29" s="1"/>
  <c r="K814" i="29" s="1"/>
  <c r="K815" i="29" s="1"/>
  <c r="K816" i="29" s="1"/>
  <c r="K668" i="29"/>
  <c r="K667" i="29"/>
  <c r="K666" i="29"/>
  <c r="Y854" i="29"/>
  <c r="V854" i="29" s="1"/>
  <c r="E854" i="29"/>
  <c r="E855" i="29" s="1"/>
  <c r="E856" i="29" s="1"/>
  <c r="E857" i="29" s="1"/>
  <c r="E858" i="29" s="1"/>
  <c r="E859" i="29" s="1"/>
  <c r="E860" i="29" s="1"/>
  <c r="K854" i="29"/>
  <c r="K855" i="29" s="1"/>
  <c r="K856" i="29" s="1"/>
  <c r="K857" i="29" s="1"/>
  <c r="K858" i="29" s="1"/>
  <c r="K859" i="29" s="1"/>
  <c r="K860" i="29" s="1"/>
  <c r="K756" i="29"/>
  <c r="K754" i="29"/>
  <c r="K755" i="29"/>
  <c r="K711" i="29"/>
  <c r="K710" i="29"/>
  <c r="K712" i="29"/>
  <c r="K678" i="29"/>
  <c r="K679" i="29" s="1"/>
  <c r="K680" i="29" s="1"/>
  <c r="K681" i="29" s="1"/>
  <c r="K682" i="29" s="1"/>
  <c r="K683" i="29" s="1"/>
  <c r="K684" i="29" s="1"/>
  <c r="Y678" i="29"/>
  <c r="V678" i="29" s="1"/>
  <c r="E678" i="29"/>
  <c r="E679" i="29" s="1"/>
  <c r="E680" i="29" s="1"/>
  <c r="E681" i="29" s="1"/>
  <c r="E682" i="29" s="1"/>
  <c r="E683" i="29" s="1"/>
  <c r="E684" i="29" s="1"/>
  <c r="E634" i="29"/>
  <c r="E635" i="29" s="1"/>
  <c r="E636" i="29" s="1"/>
  <c r="E637" i="29" s="1"/>
  <c r="E638" i="29" s="1"/>
  <c r="E639" i="29" s="1"/>
  <c r="E640" i="29" s="1"/>
  <c r="Y634" i="29"/>
  <c r="V634" i="29" s="1"/>
  <c r="K634" i="29"/>
  <c r="K635" i="29" s="1"/>
  <c r="K636" i="29" s="1"/>
  <c r="K637" i="29" s="1"/>
  <c r="K638" i="29" s="1"/>
  <c r="K639" i="29" s="1"/>
  <c r="K640" i="29" s="1"/>
  <c r="D65" i="18"/>
  <c r="H128" i="7"/>
  <c r="K128" i="7"/>
  <c r="H126" i="7"/>
  <c r="K126" i="7"/>
  <c r="F125" i="7"/>
  <c r="K125" i="7"/>
  <c r="F129" i="7"/>
  <c r="K129" i="7"/>
  <c r="H130" i="7"/>
  <c r="K130" i="7"/>
  <c r="K132" i="7"/>
  <c r="F133" i="7"/>
  <c r="K133" i="7"/>
  <c r="F131" i="7"/>
  <c r="K131" i="7"/>
  <c r="F127" i="7"/>
  <c r="H124" i="7"/>
  <c r="K124" i="7"/>
  <c r="H56" i="7"/>
  <c r="Z56" i="7" s="1"/>
  <c r="S150" i="31"/>
  <c r="J54" i="7"/>
  <c r="AB54" i="7" s="1"/>
  <c r="I56" i="7"/>
  <c r="AA56" i="7" s="1"/>
  <c r="K56" i="7"/>
  <c r="AC56" i="7" s="1"/>
  <c r="G56" i="7"/>
  <c r="Y56" i="7" s="1"/>
  <c r="J56" i="7"/>
  <c r="AB56" i="7" s="1"/>
  <c r="K54" i="7"/>
  <c r="AC54" i="7" s="1"/>
  <c r="I54" i="7"/>
  <c r="AA54" i="7" s="1"/>
  <c r="G54" i="7"/>
  <c r="Y54" i="7" s="1"/>
  <c r="H54" i="7"/>
  <c r="Z54" i="7" s="1"/>
  <c r="F121" i="30"/>
  <c r="I121" i="30"/>
  <c r="T121" i="30" s="1"/>
  <c r="F129" i="30"/>
  <c r="F123" i="30"/>
  <c r="F125" i="30"/>
  <c r="I125" i="30"/>
  <c r="T125" i="30" s="1"/>
  <c r="F128" i="30"/>
  <c r="I128" i="30"/>
  <c r="F124" i="30"/>
  <c r="I124" i="30"/>
  <c r="U124" i="30" s="1"/>
  <c r="F127" i="30"/>
  <c r="F126" i="30"/>
  <c r="I126" i="30"/>
  <c r="T126" i="30" s="1"/>
  <c r="E108" i="31"/>
  <c r="AG6" i="18"/>
  <c r="AG38" i="18" s="1"/>
  <c r="T24" i="20"/>
  <c r="F130" i="30"/>
  <c r="D64" i="18"/>
  <c r="I55" i="7"/>
  <c r="AA55" i="7" s="1"/>
  <c r="G55" i="7"/>
  <c r="Y55" i="7" s="1"/>
  <c r="J55" i="7"/>
  <c r="AB55" i="7" s="1"/>
  <c r="K55" i="7"/>
  <c r="AC55" i="7" s="1"/>
  <c r="H55" i="7"/>
  <c r="Z55" i="7" s="1"/>
  <c r="H59" i="7"/>
  <c r="Z59" i="7" s="1"/>
  <c r="I59" i="7"/>
  <c r="AA59" i="7" s="1"/>
  <c r="G59" i="7"/>
  <c r="Y59" i="7" s="1"/>
  <c r="J59" i="7"/>
  <c r="AB59" i="7" s="1"/>
  <c r="K59" i="7"/>
  <c r="AC59" i="7" s="1"/>
  <c r="H62" i="7"/>
  <c r="Z62" i="7" s="1"/>
  <c r="J62" i="7"/>
  <c r="AB62" i="7" s="1"/>
  <c r="K62" i="7"/>
  <c r="AC62" i="7" s="1"/>
  <c r="I62" i="7"/>
  <c r="AA62" i="7" s="1"/>
  <c r="G62" i="7"/>
  <c r="Y62" i="7" s="1"/>
  <c r="I58" i="7"/>
  <c r="AA58" i="7" s="1"/>
  <c r="K58" i="7"/>
  <c r="AC58" i="7" s="1"/>
  <c r="J58" i="7"/>
  <c r="AB58" i="7" s="1"/>
  <c r="H58" i="7"/>
  <c r="Z58" i="7" s="1"/>
  <c r="G58" i="7"/>
  <c r="Y58" i="7" s="1"/>
  <c r="J61" i="7"/>
  <c r="AB61" i="7" s="1"/>
  <c r="K61" i="7"/>
  <c r="AC61" i="7" s="1"/>
  <c r="I61" i="7"/>
  <c r="AA61" i="7" s="1"/>
  <c r="H61" i="7"/>
  <c r="Z61" i="7" s="1"/>
  <c r="G61" i="7"/>
  <c r="Y61" i="7" s="1"/>
  <c r="J60" i="7"/>
  <c r="AB60" i="7" s="1"/>
  <c r="G60" i="7"/>
  <c r="Y60" i="7" s="1"/>
  <c r="I60" i="7"/>
  <c r="AA60" i="7" s="1"/>
  <c r="K60" i="7"/>
  <c r="AC60" i="7" s="1"/>
  <c r="H60" i="7"/>
  <c r="Z60" i="7" s="1"/>
  <c r="D67" i="18"/>
  <c r="F128" i="7"/>
  <c r="H125" i="7"/>
  <c r="J125" i="7"/>
  <c r="D66" i="18"/>
  <c r="H129" i="7"/>
  <c r="F120" i="30"/>
  <c r="I120" i="30"/>
  <c r="AD38" i="18"/>
  <c r="AA6" i="18"/>
  <c r="AA70" i="18" s="1"/>
  <c r="BN70" i="18" s="1"/>
  <c r="F122" i="30"/>
  <c r="I122" i="30"/>
  <c r="T35" i="20"/>
  <c r="T32" i="20"/>
  <c r="T33" i="20" s="1"/>
  <c r="T28" i="20"/>
  <c r="AF6" i="18"/>
  <c r="AF70" i="18" s="1"/>
  <c r="BS70" i="18" s="1"/>
  <c r="D63" i="18"/>
  <c r="AC6" i="18"/>
  <c r="AC38" i="18" s="1"/>
  <c r="AB6" i="18"/>
  <c r="AB38" i="18" s="1"/>
  <c r="J129" i="7"/>
  <c r="D96" i="18"/>
  <c r="AE6" i="18"/>
  <c r="AE38" i="18" s="1"/>
  <c r="F124" i="7"/>
  <c r="J124" i="7"/>
  <c r="J128" i="7"/>
  <c r="D61" i="18"/>
  <c r="D62" i="18"/>
  <c r="D60" i="18"/>
  <c r="D100" i="18"/>
  <c r="Z6" i="18"/>
  <c r="Z70" i="18" s="1"/>
  <c r="BM70" i="18" s="1"/>
  <c r="D68" i="18"/>
  <c r="AH38" i="18"/>
  <c r="F134" i="7"/>
  <c r="F130" i="7"/>
  <c r="J130" i="7"/>
  <c r="J126" i="7"/>
  <c r="J132" i="7"/>
  <c r="F126" i="7"/>
  <c r="H132" i="7"/>
  <c r="F132" i="7"/>
  <c r="BL17" i="9"/>
  <c r="S28" i="20"/>
  <c r="S35" i="20"/>
  <c r="S33" i="20"/>
  <c r="AG70" i="18" l="1"/>
  <c r="BT70" i="18" s="1"/>
  <c r="E150" i="31"/>
  <c r="T128" i="30"/>
  <c r="U128" i="30"/>
  <c r="U121" i="30"/>
  <c r="U125" i="30"/>
  <c r="T124" i="30"/>
  <c r="U126" i="30"/>
  <c r="T25" i="20"/>
  <c r="T26" i="20" s="1"/>
  <c r="AB70" i="18"/>
  <c r="BO70" i="18" s="1"/>
  <c r="AF38" i="18"/>
  <c r="AA38" i="18"/>
  <c r="AC70" i="18"/>
  <c r="BP70" i="18" s="1"/>
  <c r="T122" i="30"/>
  <c r="U122" i="30"/>
  <c r="U120" i="30"/>
  <c r="T120" i="30"/>
  <c r="T39" i="20"/>
  <c r="T40" i="20" s="1"/>
  <c r="T36" i="20"/>
  <c r="Z38" i="18"/>
  <c r="AE70" i="18"/>
  <c r="BR70" i="18" s="1"/>
  <c r="BO17" i="9"/>
  <c r="BN17" i="9"/>
  <c r="BM17" i="9"/>
  <c r="K64" i="20"/>
  <c r="L11" i="7" s="1"/>
  <c r="G21" i="33" s="1"/>
  <c r="I64" i="20"/>
  <c r="L10" i="7" s="1"/>
  <c r="G20" i="33" s="1"/>
  <c r="D34" i="19"/>
  <c r="B28" i="4"/>
  <c r="B27" i="4"/>
  <c r="B26" i="4"/>
  <c r="B25" i="4"/>
  <c r="B24" i="4"/>
  <c r="B23" i="4"/>
  <c r="B22" i="4"/>
  <c r="B21" i="4"/>
  <c r="B20" i="4"/>
  <c r="B19" i="4"/>
  <c r="B18" i="4"/>
  <c r="B17" i="4"/>
  <c r="S26" i="20"/>
  <c r="S32" i="20"/>
  <c r="E33" i="20"/>
  <c r="S36" i="20"/>
  <c r="D28" i="20"/>
  <c r="D23" i="20"/>
  <c r="S24" i="20"/>
  <c r="S40" i="20"/>
  <c r="C3" i="4" l="1"/>
  <c r="H60" i="20" s="1"/>
  <c r="D32" i="20"/>
  <c r="E24" i="20"/>
  <c r="D35" i="20"/>
  <c r="E40" i="20"/>
  <c r="E26" i="20"/>
  <c r="S25" i="20"/>
  <c r="S39" i="20"/>
  <c r="E36" i="20"/>
  <c r="D38" i="20"/>
  <c r="T16" i="20" l="1"/>
  <c r="S2" i="31"/>
  <c r="G106" i="3"/>
  <c r="G104" i="3"/>
  <c r="G103" i="3"/>
  <c r="G102" i="3"/>
  <c r="G101" i="3"/>
  <c r="G98" i="3"/>
  <c r="G97" i="3"/>
  <c r="G93" i="3"/>
  <c r="G92" i="3"/>
  <c r="G91" i="3"/>
  <c r="G89" i="3"/>
  <c r="G90" i="3"/>
  <c r="S61" i="10"/>
  <c r="S16" i="20"/>
  <c r="E25" i="20"/>
  <c r="E39" i="20"/>
  <c r="AG26" i="10" l="1"/>
  <c r="AG9" i="10"/>
  <c r="AG20" i="10"/>
  <c r="AI71" i="10"/>
  <c r="AI70" i="10"/>
  <c r="AI69" i="10"/>
  <c r="AH112" i="10"/>
  <c r="AH116" i="10"/>
  <c r="AI86" i="10"/>
  <c r="AI90" i="10"/>
  <c r="AH110" i="10"/>
  <c r="AG110" i="10" s="1"/>
  <c r="AH118" i="10"/>
  <c r="AG118" i="10" s="1"/>
  <c r="AI84" i="10"/>
  <c r="AH111" i="10"/>
  <c r="AH119" i="10"/>
  <c r="AI85" i="10"/>
  <c r="AI83" i="10"/>
  <c r="AH109" i="10"/>
  <c r="AG109" i="10" s="1"/>
  <c r="AH113" i="10"/>
  <c r="AH117" i="10"/>
  <c r="AI87" i="10"/>
  <c r="AI91" i="10"/>
  <c r="AI88" i="10"/>
  <c r="AI92" i="10"/>
  <c r="AH115" i="10"/>
  <c r="AI89" i="10"/>
  <c r="BG100" i="28"/>
  <c r="BG103" i="28"/>
  <c r="BG106" i="28"/>
  <c r="BG54" i="28"/>
  <c r="BG56" i="28"/>
  <c r="BG58" i="28"/>
  <c r="BG60" i="28"/>
  <c r="BG62" i="28"/>
  <c r="BG64" i="28"/>
  <c r="BG66" i="28"/>
  <c r="BG68" i="28"/>
  <c r="BG70" i="28"/>
  <c r="BG72" i="28"/>
  <c r="BG74" i="28"/>
  <c r="BG76" i="28"/>
  <c r="BG78" i="28"/>
  <c r="BG80" i="28"/>
  <c r="BG82" i="28"/>
  <c r="BG84" i="28"/>
  <c r="BG104" i="28"/>
  <c r="BG107" i="28"/>
  <c r="BG53" i="28"/>
  <c r="BG57" i="28"/>
  <c r="BG61" i="28"/>
  <c r="BG65" i="28"/>
  <c r="BG69" i="28"/>
  <c r="BG73" i="28"/>
  <c r="BG75" i="28"/>
  <c r="BG77" i="28"/>
  <c r="BG79" i="28"/>
  <c r="BG81" i="28"/>
  <c r="BG83" i="28"/>
  <c r="BG85" i="28"/>
  <c r="BG109" i="28"/>
  <c r="BG87" i="28"/>
  <c r="BG89" i="28"/>
  <c r="BG91" i="28"/>
  <c r="BG93" i="28"/>
  <c r="BG95" i="28"/>
  <c r="BG97" i="28"/>
  <c r="BG40" i="28"/>
  <c r="Q244" i="28" s="1"/>
  <c r="BG42" i="28"/>
  <c r="BG44" i="28"/>
  <c r="BG46" i="28"/>
  <c r="BG48" i="28"/>
  <c r="BG99" i="28"/>
  <c r="BG102" i="28"/>
  <c r="BG105" i="28"/>
  <c r="BG108" i="28"/>
  <c r="BG86" i="28"/>
  <c r="BG88" i="28"/>
  <c r="BG90" i="28"/>
  <c r="BG92" i="28"/>
  <c r="BG94" i="28"/>
  <c r="BG96" i="28"/>
  <c r="BG98" i="28"/>
  <c r="BG41" i="28"/>
  <c r="BG43" i="28"/>
  <c r="BG45" i="28"/>
  <c r="BG47" i="28"/>
  <c r="BG49" i="28"/>
  <c r="BG51" i="28"/>
  <c r="BG11" i="28"/>
  <c r="BG101" i="28"/>
  <c r="BG55" i="28"/>
  <c r="BG59" i="28"/>
  <c r="BG63" i="28"/>
  <c r="BG67" i="28"/>
  <c r="BG71" i="28"/>
  <c r="BG52" i="28"/>
  <c r="BG50" i="28"/>
  <c r="T29" i="20"/>
  <c r="T30" i="20" s="1"/>
  <c r="T17" i="20"/>
  <c r="BG13" i="28"/>
  <c r="Q217" i="28" s="1"/>
  <c r="BG17" i="28"/>
  <c r="Q221" i="28" s="1"/>
  <c r="BG21" i="28"/>
  <c r="Q225" i="28" s="1"/>
  <c r="BG25" i="28"/>
  <c r="Q229" i="28" s="1"/>
  <c r="BG29" i="28"/>
  <c r="Q233" i="28" s="1"/>
  <c r="BG33" i="28"/>
  <c r="Q237" i="28" s="1"/>
  <c r="BG37" i="28"/>
  <c r="Q241" i="28" s="1"/>
  <c r="BG14" i="28"/>
  <c r="BG18" i="28"/>
  <c r="Q222" i="28" s="1"/>
  <c r="BG22" i="28"/>
  <c r="Q226" i="28" s="1"/>
  <c r="BG26" i="28"/>
  <c r="Q230" i="28" s="1"/>
  <c r="BG30" i="28"/>
  <c r="Q234" i="28" s="1"/>
  <c r="BG34" i="28"/>
  <c r="Q238" i="28" s="1"/>
  <c r="BG38" i="28"/>
  <c r="Q242" i="28" s="1"/>
  <c r="BG15" i="28"/>
  <c r="Q219" i="28" s="1"/>
  <c r="BG19" i="28"/>
  <c r="Q223" i="28" s="1"/>
  <c r="BG23" i="28"/>
  <c r="Q227" i="28" s="1"/>
  <c r="BG27" i="28"/>
  <c r="Q231" i="28" s="1"/>
  <c r="BG31" i="28"/>
  <c r="Q235" i="28" s="1"/>
  <c r="BG35" i="28"/>
  <c r="Q239" i="28" s="1"/>
  <c r="BG39" i="28"/>
  <c r="Q243" i="28" s="1"/>
  <c r="BG12" i="28"/>
  <c r="BG16" i="28"/>
  <c r="Q220" i="28" s="1"/>
  <c r="BG20" i="28"/>
  <c r="Q224" i="28" s="1"/>
  <c r="BG24" i="28"/>
  <c r="Q228" i="28" s="1"/>
  <c r="BG28" i="28"/>
  <c r="Q232" i="28" s="1"/>
  <c r="BG32" i="28"/>
  <c r="Q236" i="28" s="1"/>
  <c r="BG36" i="28"/>
  <c r="Q240" i="28" s="1"/>
  <c r="BW18" i="9"/>
  <c r="BW22" i="9"/>
  <c r="BW50" i="9"/>
  <c r="BW54" i="9"/>
  <c r="BW58" i="9"/>
  <c r="BW62" i="9"/>
  <c r="BW66" i="9"/>
  <c r="BW70" i="9"/>
  <c r="BW74" i="9"/>
  <c r="BW78" i="9"/>
  <c r="BW82" i="9"/>
  <c r="BW86" i="9"/>
  <c r="BW90" i="9"/>
  <c r="BW20" i="9"/>
  <c r="BW48" i="9"/>
  <c r="BW52" i="9"/>
  <c r="BW56" i="9"/>
  <c r="BW60" i="9"/>
  <c r="BW64" i="9"/>
  <c r="BW68" i="9"/>
  <c r="BW72" i="9"/>
  <c r="BW76" i="9"/>
  <c r="BW80" i="9"/>
  <c r="BW84" i="9"/>
  <c r="BW88" i="9"/>
  <c r="BW17" i="9"/>
  <c r="BW21" i="9"/>
  <c r="BW49" i="9"/>
  <c r="BW57" i="9"/>
  <c r="BW65" i="9"/>
  <c r="BW73" i="9"/>
  <c r="BW81" i="9"/>
  <c r="BW89" i="9"/>
  <c r="BW19" i="9"/>
  <c r="BW23" i="9"/>
  <c r="BW47" i="9"/>
  <c r="BW51" i="9"/>
  <c r="BW55" i="9"/>
  <c r="BW59" i="9"/>
  <c r="BW63" i="9"/>
  <c r="BW67" i="9"/>
  <c r="BW71" i="9"/>
  <c r="BW75" i="9"/>
  <c r="BW79" i="9"/>
  <c r="BW83" i="9"/>
  <c r="BW87" i="9"/>
  <c r="BW91" i="9"/>
  <c r="BW53" i="9"/>
  <c r="BW61" i="9"/>
  <c r="BW69" i="9"/>
  <c r="BW77" i="9"/>
  <c r="BW85" i="9"/>
  <c r="S132" i="3"/>
  <c r="R132" i="3"/>
  <c r="Q132" i="3"/>
  <c r="P132" i="3"/>
  <c r="O132" i="3"/>
  <c r="N132" i="3"/>
  <c r="M132" i="3"/>
  <c r="L132" i="3"/>
  <c r="K132" i="3"/>
  <c r="J132" i="3"/>
  <c r="I132" i="3"/>
  <c r="H132" i="3"/>
  <c r="G132" i="3"/>
  <c r="F132" i="3"/>
  <c r="E132" i="3"/>
  <c r="D132" i="3"/>
  <c r="C132" i="3"/>
  <c r="B132" i="3"/>
  <c r="D16" i="20"/>
  <c r="S17" i="20"/>
  <c r="S30" i="20"/>
  <c r="L256" i="28" l="1"/>
  <c r="AC256" i="28"/>
  <c r="AK256" i="28"/>
  <c r="AT256" i="28"/>
  <c r="N256" i="28"/>
  <c r="AD256" i="28"/>
  <c r="AL256" i="28"/>
  <c r="AU256" i="28"/>
  <c r="F256" i="28"/>
  <c r="O256" i="28"/>
  <c r="AE256" i="28"/>
  <c r="AM256" i="28"/>
  <c r="AV256" i="28"/>
  <c r="G256" i="28"/>
  <c r="P256" i="28"/>
  <c r="AF256" i="28"/>
  <c r="AN256" i="28"/>
  <c r="AW256" i="28"/>
  <c r="H256" i="28"/>
  <c r="Q256" i="28"/>
  <c r="AG256" i="28"/>
  <c r="AO256" i="28"/>
  <c r="AX256" i="28"/>
  <c r="I256" i="28"/>
  <c r="AH256" i="28"/>
  <c r="AP256" i="28"/>
  <c r="AY256" i="28"/>
  <c r="J256" i="28"/>
  <c r="AI256" i="28"/>
  <c r="AR256" i="28"/>
  <c r="AZ256" i="28"/>
  <c r="AB256" i="28"/>
  <c r="AJ256" i="28"/>
  <c r="AS256" i="28"/>
  <c r="BA256" i="28"/>
  <c r="K256" i="28"/>
  <c r="J255" i="28"/>
  <c r="AI255" i="28"/>
  <c r="AR255" i="28"/>
  <c r="AZ255" i="28"/>
  <c r="K255" i="28"/>
  <c r="AB255" i="28"/>
  <c r="AJ255" i="28"/>
  <c r="AS255" i="28"/>
  <c r="BA255" i="28"/>
  <c r="L255" i="28"/>
  <c r="AC255" i="28"/>
  <c r="AK255" i="28"/>
  <c r="AT255" i="28"/>
  <c r="N255" i="28"/>
  <c r="AD255" i="28"/>
  <c r="AL255" i="28"/>
  <c r="AU255" i="28"/>
  <c r="F255" i="28"/>
  <c r="O255" i="28"/>
  <c r="AE255" i="28"/>
  <c r="AM255" i="28"/>
  <c r="AV255" i="28"/>
  <c r="G255" i="28"/>
  <c r="P255" i="28"/>
  <c r="AF255" i="28"/>
  <c r="AN255" i="28"/>
  <c r="AW255" i="28"/>
  <c r="H255" i="28"/>
  <c r="Q255" i="28"/>
  <c r="AG255" i="28"/>
  <c r="AO255" i="28"/>
  <c r="AX255" i="28"/>
  <c r="I255" i="28"/>
  <c r="AH255" i="28"/>
  <c r="AP255" i="28"/>
  <c r="AY255" i="28"/>
  <c r="K298" i="28"/>
  <c r="AB298" i="28"/>
  <c r="AJ298" i="28"/>
  <c r="AS298" i="28"/>
  <c r="BA298" i="28"/>
  <c r="L298" i="28"/>
  <c r="AC298" i="28"/>
  <c r="AK298" i="28"/>
  <c r="AT298" i="28"/>
  <c r="N298" i="28"/>
  <c r="AD298" i="28"/>
  <c r="AL298" i="28"/>
  <c r="AU298" i="28"/>
  <c r="F298" i="28"/>
  <c r="O298" i="28"/>
  <c r="AE298" i="28"/>
  <c r="AM298" i="28"/>
  <c r="AV298" i="28"/>
  <c r="G298" i="28"/>
  <c r="P298" i="28"/>
  <c r="AF298" i="28"/>
  <c r="AN298" i="28"/>
  <c r="AW298" i="28"/>
  <c r="H298" i="28"/>
  <c r="Q298" i="28"/>
  <c r="AG298" i="28"/>
  <c r="AO298" i="28"/>
  <c r="AX298" i="28"/>
  <c r="I298" i="28"/>
  <c r="AH298" i="28"/>
  <c r="AP298" i="28"/>
  <c r="AY298" i="28"/>
  <c r="J298" i="28"/>
  <c r="AI298" i="28"/>
  <c r="AR298" i="28"/>
  <c r="AZ298" i="28"/>
  <c r="K303" i="28"/>
  <c r="AB303" i="28"/>
  <c r="AJ303" i="28"/>
  <c r="AS303" i="28"/>
  <c r="BA303" i="28"/>
  <c r="L303" i="28"/>
  <c r="AC303" i="28"/>
  <c r="AK303" i="28"/>
  <c r="AT303" i="28"/>
  <c r="N303" i="28"/>
  <c r="AD303" i="28"/>
  <c r="AL303" i="28"/>
  <c r="AU303" i="28"/>
  <c r="F303" i="28"/>
  <c r="O303" i="28"/>
  <c r="AE303" i="28"/>
  <c r="AM303" i="28"/>
  <c r="AV303" i="28"/>
  <c r="G303" i="28"/>
  <c r="P303" i="28"/>
  <c r="AF303" i="28"/>
  <c r="AN303" i="28"/>
  <c r="AW303" i="28"/>
  <c r="H303" i="28"/>
  <c r="Q303" i="28"/>
  <c r="AG303" i="28"/>
  <c r="AO303" i="28"/>
  <c r="AX303" i="28"/>
  <c r="I303" i="28"/>
  <c r="AH303" i="28"/>
  <c r="AP303" i="28"/>
  <c r="AY303" i="28"/>
  <c r="J303" i="28"/>
  <c r="AI303" i="28"/>
  <c r="AR303" i="28"/>
  <c r="AZ303" i="28"/>
  <c r="I297" i="28"/>
  <c r="AH297" i="28"/>
  <c r="AP297" i="28"/>
  <c r="AY297" i="28"/>
  <c r="J297" i="28"/>
  <c r="AI297" i="28"/>
  <c r="AR297" i="28"/>
  <c r="AZ297" i="28"/>
  <c r="K297" i="28"/>
  <c r="AB297" i="28"/>
  <c r="AJ297" i="28"/>
  <c r="AS297" i="28"/>
  <c r="BA297" i="28"/>
  <c r="L297" i="28"/>
  <c r="AC297" i="28"/>
  <c r="AK297" i="28"/>
  <c r="AT297" i="28"/>
  <c r="N297" i="28"/>
  <c r="AD297" i="28"/>
  <c r="AL297" i="28"/>
  <c r="AU297" i="28"/>
  <c r="F297" i="28"/>
  <c r="O297" i="28"/>
  <c r="AE297" i="28"/>
  <c r="AM297" i="28"/>
  <c r="AV297" i="28"/>
  <c r="G297" i="28"/>
  <c r="P297" i="28"/>
  <c r="AF297" i="28"/>
  <c r="AN297" i="28"/>
  <c r="AW297" i="28"/>
  <c r="H297" i="28"/>
  <c r="Q297" i="28"/>
  <c r="AG297" i="28"/>
  <c r="AO297" i="28"/>
  <c r="AX297" i="28"/>
  <c r="N283" i="28"/>
  <c r="AD283" i="28"/>
  <c r="AL283" i="28"/>
  <c r="AU283" i="28"/>
  <c r="F283" i="28"/>
  <c r="O283" i="28"/>
  <c r="AE283" i="28"/>
  <c r="AM283" i="28"/>
  <c r="AV283" i="28"/>
  <c r="G283" i="28"/>
  <c r="P283" i="28"/>
  <c r="AF283" i="28"/>
  <c r="AN283" i="28"/>
  <c r="AW283" i="28"/>
  <c r="H283" i="28"/>
  <c r="Q283" i="28"/>
  <c r="AG283" i="28"/>
  <c r="AO283" i="28"/>
  <c r="AX283" i="28"/>
  <c r="I283" i="28"/>
  <c r="AH283" i="28"/>
  <c r="AP283" i="28"/>
  <c r="AY283" i="28"/>
  <c r="J283" i="28"/>
  <c r="AI283" i="28"/>
  <c r="AR283" i="28"/>
  <c r="AZ283" i="28"/>
  <c r="K283" i="28"/>
  <c r="AB283" i="28"/>
  <c r="AJ283" i="28"/>
  <c r="AS283" i="28"/>
  <c r="BA283" i="28"/>
  <c r="L283" i="28"/>
  <c r="AC283" i="28"/>
  <c r="AK283" i="28"/>
  <c r="AT283" i="28"/>
  <c r="F257" i="28"/>
  <c r="O257" i="28"/>
  <c r="AE257" i="28"/>
  <c r="AM257" i="28"/>
  <c r="AV257" i="28"/>
  <c r="G257" i="28"/>
  <c r="P257" i="28"/>
  <c r="AF257" i="28"/>
  <c r="AN257" i="28"/>
  <c r="AW257" i="28"/>
  <c r="H257" i="28"/>
  <c r="Q257" i="28"/>
  <c r="AG257" i="28"/>
  <c r="AO257" i="28"/>
  <c r="AX257" i="28"/>
  <c r="I257" i="28"/>
  <c r="AH257" i="28"/>
  <c r="AP257" i="28"/>
  <c r="AY257" i="28"/>
  <c r="J257" i="28"/>
  <c r="AI257" i="28"/>
  <c r="AR257" i="28"/>
  <c r="AZ257" i="28"/>
  <c r="K257" i="28"/>
  <c r="AB257" i="28"/>
  <c r="AJ257" i="28"/>
  <c r="AS257" i="28"/>
  <c r="BA257" i="28"/>
  <c r="L257" i="28"/>
  <c r="AC257" i="28"/>
  <c r="AK257" i="28"/>
  <c r="AT257" i="28"/>
  <c r="AL257" i="28"/>
  <c r="AU257" i="28"/>
  <c r="N257" i="28"/>
  <c r="AD257" i="28"/>
  <c r="K278" i="28"/>
  <c r="AB278" i="28"/>
  <c r="AJ278" i="28"/>
  <c r="AS278" i="28"/>
  <c r="BA278" i="28"/>
  <c r="L278" i="28"/>
  <c r="AC278" i="28"/>
  <c r="AK278" i="28"/>
  <c r="AT278" i="28"/>
  <c r="N278" i="28"/>
  <c r="AD278" i="28"/>
  <c r="AL278" i="28"/>
  <c r="AU278" i="28"/>
  <c r="F278" i="28"/>
  <c r="O278" i="28"/>
  <c r="AE278" i="28"/>
  <c r="AM278" i="28"/>
  <c r="AV278" i="28"/>
  <c r="G278" i="28"/>
  <c r="P278" i="28"/>
  <c r="AF278" i="28"/>
  <c r="AN278" i="28"/>
  <c r="AW278" i="28"/>
  <c r="H278" i="28"/>
  <c r="Q278" i="28"/>
  <c r="AG278" i="28"/>
  <c r="AO278" i="28"/>
  <c r="AX278" i="28"/>
  <c r="I278" i="28"/>
  <c r="AH278" i="28"/>
  <c r="AP278" i="28"/>
  <c r="AY278" i="28"/>
  <c r="AZ278" i="28"/>
  <c r="J278" i="28"/>
  <c r="AI278" i="28"/>
  <c r="AR278" i="28"/>
  <c r="K262" i="28"/>
  <c r="AB262" i="28"/>
  <c r="AJ262" i="28"/>
  <c r="AS262" i="28"/>
  <c r="BA262" i="28"/>
  <c r="L262" i="28"/>
  <c r="AC262" i="28"/>
  <c r="AK262" i="28"/>
  <c r="AT262" i="28"/>
  <c r="N262" i="28"/>
  <c r="AD262" i="28"/>
  <c r="AL262" i="28"/>
  <c r="AU262" i="28"/>
  <c r="F262" i="28"/>
  <c r="O262" i="28"/>
  <c r="AE262" i="28"/>
  <c r="AM262" i="28"/>
  <c r="AV262" i="28"/>
  <c r="G262" i="28"/>
  <c r="P262" i="28"/>
  <c r="AF262" i="28"/>
  <c r="AN262" i="28"/>
  <c r="AW262" i="28"/>
  <c r="H262" i="28"/>
  <c r="Q262" i="28"/>
  <c r="AG262" i="28"/>
  <c r="AO262" i="28"/>
  <c r="AX262" i="28"/>
  <c r="I262" i="28"/>
  <c r="AH262" i="28"/>
  <c r="AP262" i="28"/>
  <c r="AY262" i="28"/>
  <c r="AI262" i="28"/>
  <c r="AR262" i="28"/>
  <c r="AZ262" i="28"/>
  <c r="J262" i="28"/>
  <c r="N275" i="28"/>
  <c r="AD275" i="28"/>
  <c r="AL275" i="28"/>
  <c r="AU275" i="28"/>
  <c r="F275" i="28"/>
  <c r="O275" i="28"/>
  <c r="AE275" i="28"/>
  <c r="AM275" i="28"/>
  <c r="AV275" i="28"/>
  <c r="G275" i="28"/>
  <c r="P275" i="28"/>
  <c r="AF275" i="28"/>
  <c r="AN275" i="28"/>
  <c r="AW275" i="28"/>
  <c r="H275" i="28"/>
  <c r="Q275" i="28"/>
  <c r="AG275" i="28"/>
  <c r="AO275" i="28"/>
  <c r="AX275" i="28"/>
  <c r="I275" i="28"/>
  <c r="AH275" i="28"/>
  <c r="AP275" i="28"/>
  <c r="AY275" i="28"/>
  <c r="J275" i="28"/>
  <c r="AI275" i="28"/>
  <c r="AR275" i="28"/>
  <c r="AZ275" i="28"/>
  <c r="K275" i="28"/>
  <c r="AB275" i="28"/>
  <c r="AJ275" i="28"/>
  <c r="AS275" i="28"/>
  <c r="BA275" i="28"/>
  <c r="L275" i="28"/>
  <c r="AC275" i="28"/>
  <c r="AK275" i="28"/>
  <c r="AT275" i="28"/>
  <c r="F253" i="28"/>
  <c r="O253" i="28"/>
  <c r="AE253" i="28"/>
  <c r="AM253" i="28"/>
  <c r="AV253" i="28"/>
  <c r="G253" i="28"/>
  <c r="P253" i="28"/>
  <c r="AF253" i="28"/>
  <c r="AN253" i="28"/>
  <c r="AW253" i="28"/>
  <c r="H253" i="28"/>
  <c r="Q253" i="28"/>
  <c r="AG253" i="28"/>
  <c r="AO253" i="28"/>
  <c r="AX253" i="28"/>
  <c r="I253" i="28"/>
  <c r="AH253" i="28"/>
  <c r="AP253" i="28"/>
  <c r="AY253" i="28"/>
  <c r="J253" i="28"/>
  <c r="AI253" i="28"/>
  <c r="AR253" i="28"/>
  <c r="AZ253" i="28"/>
  <c r="K253" i="28"/>
  <c r="AB253" i="28"/>
  <c r="AJ253" i="28"/>
  <c r="AS253" i="28"/>
  <c r="BA253" i="28"/>
  <c r="L253" i="28"/>
  <c r="AC253" i="28"/>
  <c r="AK253" i="28"/>
  <c r="AT253" i="28"/>
  <c r="AD253" i="28"/>
  <c r="AL253" i="28"/>
  <c r="AU253" i="28"/>
  <c r="N253" i="28"/>
  <c r="G296" i="28"/>
  <c r="P296" i="28"/>
  <c r="AF296" i="28"/>
  <c r="AN296" i="28"/>
  <c r="AW296" i="28"/>
  <c r="H296" i="28"/>
  <c r="Q296" i="28"/>
  <c r="AG296" i="28"/>
  <c r="AO296" i="28"/>
  <c r="AX296" i="28"/>
  <c r="I296" i="28"/>
  <c r="AH296" i="28"/>
  <c r="AP296" i="28"/>
  <c r="AY296" i="28"/>
  <c r="J296" i="28"/>
  <c r="AI296" i="28"/>
  <c r="AR296" i="28"/>
  <c r="AZ296" i="28"/>
  <c r="K296" i="28"/>
  <c r="AB296" i="28"/>
  <c r="AJ296" i="28"/>
  <c r="AS296" i="28"/>
  <c r="BA296" i="28"/>
  <c r="L296" i="28"/>
  <c r="AC296" i="28"/>
  <c r="AK296" i="28"/>
  <c r="AT296" i="28"/>
  <c r="N296" i="28"/>
  <c r="AD296" i="28"/>
  <c r="AL296" i="28"/>
  <c r="AU296" i="28"/>
  <c r="F296" i="28"/>
  <c r="O296" i="28"/>
  <c r="AE296" i="28"/>
  <c r="AM296" i="28"/>
  <c r="AV296" i="28"/>
  <c r="L252" i="28"/>
  <c r="AC252" i="28"/>
  <c r="AK252" i="28"/>
  <c r="AT252" i="28"/>
  <c r="N252" i="28"/>
  <c r="AD252" i="28"/>
  <c r="AL252" i="28"/>
  <c r="AU252" i="28"/>
  <c r="F252" i="28"/>
  <c r="O252" i="28"/>
  <c r="AE252" i="28"/>
  <c r="AM252" i="28"/>
  <c r="AV252" i="28"/>
  <c r="G252" i="28"/>
  <c r="P252" i="28"/>
  <c r="AF252" i="28"/>
  <c r="AN252" i="28"/>
  <c r="AW252" i="28"/>
  <c r="H252" i="28"/>
  <c r="Q252" i="28"/>
  <c r="AG252" i="28"/>
  <c r="AO252" i="28"/>
  <c r="AX252" i="28"/>
  <c r="I252" i="28"/>
  <c r="AH252" i="28"/>
  <c r="AP252" i="28"/>
  <c r="AY252" i="28"/>
  <c r="J252" i="28"/>
  <c r="AI252" i="28"/>
  <c r="AR252" i="28"/>
  <c r="AZ252" i="28"/>
  <c r="K252" i="28"/>
  <c r="AB252" i="28"/>
  <c r="AJ252" i="28"/>
  <c r="AS252" i="28"/>
  <c r="BA252" i="28"/>
  <c r="N295" i="28"/>
  <c r="AD295" i="28"/>
  <c r="AL295" i="28"/>
  <c r="AU295" i="28"/>
  <c r="F295" i="28"/>
  <c r="O295" i="28"/>
  <c r="AE295" i="28"/>
  <c r="AM295" i="28"/>
  <c r="AV295" i="28"/>
  <c r="G295" i="28"/>
  <c r="P295" i="28"/>
  <c r="AF295" i="28"/>
  <c r="AN295" i="28"/>
  <c r="AW295" i="28"/>
  <c r="H295" i="28"/>
  <c r="Q295" i="28"/>
  <c r="AG295" i="28"/>
  <c r="AO295" i="28"/>
  <c r="AX295" i="28"/>
  <c r="I295" i="28"/>
  <c r="AH295" i="28"/>
  <c r="AP295" i="28"/>
  <c r="AY295" i="28"/>
  <c r="J295" i="28"/>
  <c r="AI295" i="28"/>
  <c r="AR295" i="28"/>
  <c r="AZ295" i="28"/>
  <c r="K295" i="28"/>
  <c r="AB295" i="28"/>
  <c r="AJ295" i="28"/>
  <c r="AS295" i="28"/>
  <c r="BA295" i="28"/>
  <c r="L295" i="28"/>
  <c r="AC295" i="28"/>
  <c r="AK295" i="28"/>
  <c r="AT295" i="28"/>
  <c r="I281" i="28"/>
  <c r="AH281" i="28"/>
  <c r="AP281" i="28"/>
  <c r="AY281" i="28"/>
  <c r="J281" i="28"/>
  <c r="AI281" i="28"/>
  <c r="AR281" i="28"/>
  <c r="AZ281" i="28"/>
  <c r="K281" i="28"/>
  <c r="AB281" i="28"/>
  <c r="AJ281" i="28"/>
  <c r="AS281" i="28"/>
  <c r="BA281" i="28"/>
  <c r="L281" i="28"/>
  <c r="AC281" i="28"/>
  <c r="AK281" i="28"/>
  <c r="AT281" i="28"/>
  <c r="N281" i="28"/>
  <c r="AD281" i="28"/>
  <c r="AL281" i="28"/>
  <c r="AU281" i="28"/>
  <c r="F281" i="28"/>
  <c r="O281" i="28"/>
  <c r="AE281" i="28"/>
  <c r="AM281" i="28"/>
  <c r="AV281" i="28"/>
  <c r="G281" i="28"/>
  <c r="P281" i="28"/>
  <c r="AF281" i="28"/>
  <c r="AN281" i="28"/>
  <c r="AW281" i="28"/>
  <c r="AO281" i="28"/>
  <c r="AX281" i="28"/>
  <c r="H281" i="28"/>
  <c r="Q281" i="28"/>
  <c r="AG281" i="28"/>
  <c r="K311" i="28"/>
  <c r="AB311" i="28"/>
  <c r="AJ311" i="28"/>
  <c r="AS311" i="28"/>
  <c r="BA311" i="28"/>
  <c r="L311" i="28"/>
  <c r="AC311" i="28"/>
  <c r="AK311" i="28"/>
  <c r="AT311" i="28"/>
  <c r="N311" i="28"/>
  <c r="AD311" i="28"/>
  <c r="AL311" i="28"/>
  <c r="AU311" i="28"/>
  <c r="F311" i="28"/>
  <c r="O311" i="28"/>
  <c r="AE311" i="28"/>
  <c r="AM311" i="28"/>
  <c r="AV311" i="28"/>
  <c r="G311" i="28"/>
  <c r="P311" i="28"/>
  <c r="AF311" i="28"/>
  <c r="AN311" i="28"/>
  <c r="AW311" i="28"/>
  <c r="H311" i="28"/>
  <c r="Q311" i="28"/>
  <c r="AG311" i="28"/>
  <c r="AO311" i="28"/>
  <c r="AX311" i="28"/>
  <c r="I311" i="28"/>
  <c r="AH311" i="28"/>
  <c r="AP311" i="28"/>
  <c r="AY311" i="28"/>
  <c r="J311" i="28"/>
  <c r="AI311" i="28"/>
  <c r="AR311" i="28"/>
  <c r="AZ311" i="28"/>
  <c r="G276" i="28"/>
  <c r="P276" i="28"/>
  <c r="AF276" i="28"/>
  <c r="AN276" i="28"/>
  <c r="AW276" i="28"/>
  <c r="H276" i="28"/>
  <c r="Q276" i="28"/>
  <c r="AG276" i="28"/>
  <c r="AO276" i="28"/>
  <c r="AX276" i="28"/>
  <c r="I276" i="28"/>
  <c r="AH276" i="28"/>
  <c r="AP276" i="28"/>
  <c r="AY276" i="28"/>
  <c r="J276" i="28"/>
  <c r="AI276" i="28"/>
  <c r="AR276" i="28"/>
  <c r="AZ276" i="28"/>
  <c r="K276" i="28"/>
  <c r="AB276" i="28"/>
  <c r="AJ276" i="28"/>
  <c r="AS276" i="28"/>
  <c r="BA276" i="28"/>
  <c r="L276" i="28"/>
  <c r="AC276" i="28"/>
  <c r="AK276" i="28"/>
  <c r="AT276" i="28"/>
  <c r="N276" i="28"/>
  <c r="AD276" i="28"/>
  <c r="AL276" i="28"/>
  <c r="AU276" i="28"/>
  <c r="O276" i="28"/>
  <c r="AE276" i="28"/>
  <c r="AM276" i="28"/>
  <c r="AV276" i="28"/>
  <c r="F276" i="28"/>
  <c r="G260" i="28"/>
  <c r="P260" i="28"/>
  <c r="AF260" i="28"/>
  <c r="AN260" i="28"/>
  <c r="AW260" i="28"/>
  <c r="H260" i="28"/>
  <c r="Q260" i="28"/>
  <c r="AG260" i="28"/>
  <c r="AO260" i="28"/>
  <c r="AX260" i="28"/>
  <c r="I260" i="28"/>
  <c r="AH260" i="28"/>
  <c r="AP260" i="28"/>
  <c r="AY260" i="28"/>
  <c r="J260" i="28"/>
  <c r="AI260" i="28"/>
  <c r="AR260" i="28"/>
  <c r="AZ260" i="28"/>
  <c r="K260" i="28"/>
  <c r="AB260" i="28"/>
  <c r="AJ260" i="28"/>
  <c r="AS260" i="28"/>
  <c r="BA260" i="28"/>
  <c r="L260" i="28"/>
  <c r="AC260" i="28"/>
  <c r="AK260" i="28"/>
  <c r="AT260" i="28"/>
  <c r="N260" i="28"/>
  <c r="AD260" i="28"/>
  <c r="AL260" i="28"/>
  <c r="AU260" i="28"/>
  <c r="AV260" i="28"/>
  <c r="F260" i="28"/>
  <c r="O260" i="28"/>
  <c r="AE260" i="28"/>
  <c r="AM260" i="28"/>
  <c r="N271" i="28"/>
  <c r="AD271" i="28"/>
  <c r="AL271" i="28"/>
  <c r="AU271" i="28"/>
  <c r="F271" i="28"/>
  <c r="O271" i="28"/>
  <c r="AE271" i="28"/>
  <c r="AM271" i="28"/>
  <c r="AV271" i="28"/>
  <c r="G271" i="28"/>
  <c r="P271" i="28"/>
  <c r="AF271" i="28"/>
  <c r="AN271" i="28"/>
  <c r="AW271" i="28"/>
  <c r="H271" i="28"/>
  <c r="Q271" i="28"/>
  <c r="AG271" i="28"/>
  <c r="AO271" i="28"/>
  <c r="AX271" i="28"/>
  <c r="I271" i="28"/>
  <c r="AH271" i="28"/>
  <c r="AP271" i="28"/>
  <c r="AY271" i="28"/>
  <c r="J271" i="28"/>
  <c r="AI271" i="28"/>
  <c r="AR271" i="28"/>
  <c r="AZ271" i="28"/>
  <c r="K271" i="28"/>
  <c r="AB271" i="28"/>
  <c r="AJ271" i="28"/>
  <c r="AS271" i="28"/>
  <c r="BA271" i="28"/>
  <c r="L271" i="28"/>
  <c r="AC271" i="28"/>
  <c r="AK271" i="28"/>
  <c r="AT271" i="28"/>
  <c r="J251" i="28"/>
  <c r="AI251" i="28"/>
  <c r="AR251" i="28"/>
  <c r="AZ251" i="28"/>
  <c r="K251" i="28"/>
  <c r="AB251" i="28"/>
  <c r="AJ251" i="28"/>
  <c r="AS251" i="28"/>
  <c r="BA251" i="28"/>
  <c r="L251" i="28"/>
  <c r="AC251" i="28"/>
  <c r="AK251" i="28"/>
  <c r="AT251" i="28"/>
  <c r="N251" i="28"/>
  <c r="AD251" i="28"/>
  <c r="AL251" i="28"/>
  <c r="AU251" i="28"/>
  <c r="F251" i="28"/>
  <c r="O251" i="28"/>
  <c r="AE251" i="28"/>
  <c r="AM251" i="28"/>
  <c r="AV251" i="28"/>
  <c r="G251" i="28"/>
  <c r="P251" i="28"/>
  <c r="AF251" i="28"/>
  <c r="AN251" i="28"/>
  <c r="AW251" i="28"/>
  <c r="H251" i="28"/>
  <c r="Q251" i="28"/>
  <c r="AG251" i="28"/>
  <c r="AO251" i="28"/>
  <c r="AX251" i="28"/>
  <c r="I251" i="28"/>
  <c r="AH251" i="28"/>
  <c r="AP251" i="28"/>
  <c r="AY251" i="28"/>
  <c r="K294" i="28"/>
  <c r="AB294" i="28"/>
  <c r="AJ294" i="28"/>
  <c r="AS294" i="28"/>
  <c r="BA294" i="28"/>
  <c r="L294" i="28"/>
  <c r="AC294" i="28"/>
  <c r="AK294" i="28"/>
  <c r="AT294" i="28"/>
  <c r="N294" i="28"/>
  <c r="AD294" i="28"/>
  <c r="AL294" i="28"/>
  <c r="AU294" i="28"/>
  <c r="F294" i="28"/>
  <c r="O294" i="28"/>
  <c r="AE294" i="28"/>
  <c r="AM294" i="28"/>
  <c r="AV294" i="28"/>
  <c r="G294" i="28"/>
  <c r="P294" i="28"/>
  <c r="AF294" i="28"/>
  <c r="AN294" i="28"/>
  <c r="AW294" i="28"/>
  <c r="H294" i="28"/>
  <c r="Q294" i="28"/>
  <c r="AG294" i="28"/>
  <c r="AO294" i="28"/>
  <c r="AX294" i="28"/>
  <c r="I294" i="28"/>
  <c r="AH294" i="28"/>
  <c r="AP294" i="28"/>
  <c r="AY294" i="28"/>
  <c r="J294" i="28"/>
  <c r="AI294" i="28"/>
  <c r="AR294" i="28"/>
  <c r="AZ294" i="28"/>
  <c r="H250" i="28"/>
  <c r="Q250" i="28"/>
  <c r="AG250" i="28"/>
  <c r="AO250" i="28"/>
  <c r="AX250" i="28"/>
  <c r="I250" i="28"/>
  <c r="AH250" i="28"/>
  <c r="AP250" i="28"/>
  <c r="AY250" i="28"/>
  <c r="J250" i="28"/>
  <c r="AI250" i="28"/>
  <c r="AR250" i="28"/>
  <c r="AZ250" i="28"/>
  <c r="K250" i="28"/>
  <c r="AB250" i="28"/>
  <c r="AJ250" i="28"/>
  <c r="AS250" i="28"/>
  <c r="BA250" i="28"/>
  <c r="L250" i="28"/>
  <c r="AC250" i="28"/>
  <c r="AK250" i="28"/>
  <c r="AT250" i="28"/>
  <c r="N250" i="28"/>
  <c r="AD250" i="28"/>
  <c r="AL250" i="28"/>
  <c r="AU250" i="28"/>
  <c r="F250" i="28"/>
  <c r="O250" i="28"/>
  <c r="AE250" i="28"/>
  <c r="AM250" i="28"/>
  <c r="AV250" i="28"/>
  <c r="AN250" i="28"/>
  <c r="AW250" i="28"/>
  <c r="G250" i="28"/>
  <c r="P250" i="28"/>
  <c r="AF250" i="28"/>
  <c r="I293" i="28"/>
  <c r="AH293" i="28"/>
  <c r="AP293" i="28"/>
  <c r="AY293" i="28"/>
  <c r="J293" i="28"/>
  <c r="AI293" i="28"/>
  <c r="AR293" i="28"/>
  <c r="AZ293" i="28"/>
  <c r="K293" i="28"/>
  <c r="AB293" i="28"/>
  <c r="AJ293" i="28"/>
  <c r="AS293" i="28"/>
  <c r="BA293" i="28"/>
  <c r="L293" i="28"/>
  <c r="AC293" i="28"/>
  <c r="AK293" i="28"/>
  <c r="AT293" i="28"/>
  <c r="N293" i="28"/>
  <c r="AD293" i="28"/>
  <c r="AL293" i="28"/>
  <c r="AU293" i="28"/>
  <c r="F293" i="28"/>
  <c r="O293" i="28"/>
  <c r="AE293" i="28"/>
  <c r="AM293" i="28"/>
  <c r="AV293" i="28"/>
  <c r="G293" i="28"/>
  <c r="P293" i="28"/>
  <c r="AF293" i="28"/>
  <c r="AN293" i="28"/>
  <c r="AW293" i="28"/>
  <c r="H293" i="28"/>
  <c r="Q293" i="28"/>
  <c r="AG293" i="28"/>
  <c r="AO293" i="28"/>
  <c r="AX293" i="28"/>
  <c r="N279" i="28"/>
  <c r="AD279" i="28"/>
  <c r="AL279" i="28"/>
  <c r="AU279" i="28"/>
  <c r="F279" i="28"/>
  <c r="O279" i="28"/>
  <c r="AE279" i="28"/>
  <c r="AM279" i="28"/>
  <c r="AV279" i="28"/>
  <c r="G279" i="28"/>
  <c r="P279" i="28"/>
  <c r="AF279" i="28"/>
  <c r="AN279" i="28"/>
  <c r="AW279" i="28"/>
  <c r="H279" i="28"/>
  <c r="Q279" i="28"/>
  <c r="AG279" i="28"/>
  <c r="AO279" i="28"/>
  <c r="AX279" i="28"/>
  <c r="I279" i="28"/>
  <c r="AH279" i="28"/>
  <c r="AP279" i="28"/>
  <c r="AY279" i="28"/>
  <c r="J279" i="28"/>
  <c r="AI279" i="28"/>
  <c r="AR279" i="28"/>
  <c r="AZ279" i="28"/>
  <c r="K279" i="28"/>
  <c r="AB279" i="28"/>
  <c r="AJ279" i="28"/>
  <c r="AS279" i="28"/>
  <c r="BA279" i="28"/>
  <c r="L279" i="28"/>
  <c r="AC279" i="28"/>
  <c r="AK279" i="28"/>
  <c r="AT279" i="28"/>
  <c r="N308" i="28"/>
  <c r="AD308" i="28"/>
  <c r="AL308" i="28"/>
  <c r="AU308" i="28"/>
  <c r="F308" i="28"/>
  <c r="O308" i="28"/>
  <c r="AE308" i="28"/>
  <c r="AM308" i="28"/>
  <c r="AV308" i="28"/>
  <c r="G308" i="28"/>
  <c r="P308" i="28"/>
  <c r="AF308" i="28"/>
  <c r="AN308" i="28"/>
  <c r="AW308" i="28"/>
  <c r="H308" i="28"/>
  <c r="Q308" i="28"/>
  <c r="AG308" i="28"/>
  <c r="AO308" i="28"/>
  <c r="AX308" i="28"/>
  <c r="I308" i="28"/>
  <c r="AH308" i="28"/>
  <c r="AP308" i="28"/>
  <c r="AY308" i="28"/>
  <c r="J308" i="28"/>
  <c r="AI308" i="28"/>
  <c r="AR308" i="28"/>
  <c r="AZ308" i="28"/>
  <c r="K308" i="28"/>
  <c r="AB308" i="28"/>
  <c r="AJ308" i="28"/>
  <c r="AS308" i="28"/>
  <c r="BA308" i="28"/>
  <c r="L308" i="28"/>
  <c r="AC308" i="28"/>
  <c r="AK308" i="28"/>
  <c r="AT308" i="28"/>
  <c r="K274" i="28"/>
  <c r="AB274" i="28"/>
  <c r="AJ274" i="28"/>
  <c r="AS274" i="28"/>
  <c r="BA274" i="28"/>
  <c r="L274" i="28"/>
  <c r="AC274" i="28"/>
  <c r="AK274" i="28"/>
  <c r="AT274" i="28"/>
  <c r="N274" i="28"/>
  <c r="AD274" i="28"/>
  <c r="AL274" i="28"/>
  <c r="AU274" i="28"/>
  <c r="F274" i="28"/>
  <c r="O274" i="28"/>
  <c r="AE274" i="28"/>
  <c r="AM274" i="28"/>
  <c r="AV274" i="28"/>
  <c r="G274" i="28"/>
  <c r="P274" i="28"/>
  <c r="AF274" i="28"/>
  <c r="AN274" i="28"/>
  <c r="AW274" i="28"/>
  <c r="H274" i="28"/>
  <c r="Q274" i="28"/>
  <c r="AG274" i="28"/>
  <c r="AO274" i="28"/>
  <c r="AX274" i="28"/>
  <c r="I274" i="28"/>
  <c r="AH274" i="28"/>
  <c r="AP274" i="28"/>
  <c r="AY274" i="28"/>
  <c r="AR274" i="28"/>
  <c r="AZ274" i="28"/>
  <c r="J274" i="28"/>
  <c r="AI274" i="28"/>
  <c r="H258" i="28"/>
  <c r="Q258" i="28"/>
  <c r="AG258" i="28"/>
  <c r="AO258" i="28"/>
  <c r="AX258" i="28"/>
  <c r="I258" i="28"/>
  <c r="AH258" i="28"/>
  <c r="AP258" i="28"/>
  <c r="AY258" i="28"/>
  <c r="J258" i="28"/>
  <c r="AI258" i="28"/>
  <c r="AR258" i="28"/>
  <c r="AZ258" i="28"/>
  <c r="K258" i="28"/>
  <c r="AB258" i="28"/>
  <c r="AJ258" i="28"/>
  <c r="AS258" i="28"/>
  <c r="BA258" i="28"/>
  <c r="L258" i="28"/>
  <c r="AC258" i="28"/>
  <c r="AK258" i="28"/>
  <c r="AT258" i="28"/>
  <c r="N258" i="28"/>
  <c r="AD258" i="28"/>
  <c r="AL258" i="28"/>
  <c r="AU258" i="28"/>
  <c r="F258" i="28"/>
  <c r="O258" i="28"/>
  <c r="AE258" i="28"/>
  <c r="AM258" i="28"/>
  <c r="AV258" i="28"/>
  <c r="G258" i="28"/>
  <c r="P258" i="28"/>
  <c r="AF258" i="28"/>
  <c r="AN258" i="28"/>
  <c r="AW258" i="28"/>
  <c r="N267" i="28"/>
  <c r="AD267" i="28"/>
  <c r="AL267" i="28"/>
  <c r="AU267" i="28"/>
  <c r="F267" i="28"/>
  <c r="O267" i="28"/>
  <c r="AE267" i="28"/>
  <c r="AM267" i="28"/>
  <c r="AV267" i="28"/>
  <c r="G267" i="28"/>
  <c r="P267" i="28"/>
  <c r="AF267" i="28"/>
  <c r="AN267" i="28"/>
  <c r="AW267" i="28"/>
  <c r="H267" i="28"/>
  <c r="Q267" i="28"/>
  <c r="AG267" i="28"/>
  <c r="AO267" i="28"/>
  <c r="AX267" i="28"/>
  <c r="I267" i="28"/>
  <c r="AH267" i="28"/>
  <c r="AP267" i="28"/>
  <c r="AY267" i="28"/>
  <c r="J267" i="28"/>
  <c r="AI267" i="28"/>
  <c r="AR267" i="28"/>
  <c r="AZ267" i="28"/>
  <c r="K267" i="28"/>
  <c r="AB267" i="28"/>
  <c r="AJ267" i="28"/>
  <c r="AS267" i="28"/>
  <c r="BA267" i="28"/>
  <c r="AT267" i="28"/>
  <c r="L267" i="28"/>
  <c r="AC267" i="28"/>
  <c r="AK267" i="28"/>
  <c r="F249" i="28"/>
  <c r="O249" i="28"/>
  <c r="AE249" i="28"/>
  <c r="AM249" i="28"/>
  <c r="AV249" i="28"/>
  <c r="G249" i="28"/>
  <c r="P249" i="28"/>
  <c r="AF249" i="28"/>
  <c r="AN249" i="28"/>
  <c r="AW249" i="28"/>
  <c r="H249" i="28"/>
  <c r="Q249" i="28"/>
  <c r="AG249" i="28"/>
  <c r="AO249" i="28"/>
  <c r="AX249" i="28"/>
  <c r="I249" i="28"/>
  <c r="AH249" i="28"/>
  <c r="AP249" i="28"/>
  <c r="AY249" i="28"/>
  <c r="J249" i="28"/>
  <c r="AI249" i="28"/>
  <c r="AR249" i="28"/>
  <c r="AZ249" i="28"/>
  <c r="K249" i="28"/>
  <c r="AB249" i="28"/>
  <c r="AJ249" i="28"/>
  <c r="AS249" i="28"/>
  <c r="BA249" i="28"/>
  <c r="L249" i="28"/>
  <c r="AC249" i="28"/>
  <c r="AK249" i="28"/>
  <c r="AT249" i="28"/>
  <c r="AD249" i="28"/>
  <c r="AL249" i="28"/>
  <c r="AU249" i="28"/>
  <c r="N249" i="28"/>
  <c r="G292" i="28"/>
  <c r="P292" i="28"/>
  <c r="AF292" i="28"/>
  <c r="AN292" i="28"/>
  <c r="AW292" i="28"/>
  <c r="H292" i="28"/>
  <c r="Q292" i="28"/>
  <c r="AG292" i="28"/>
  <c r="AO292" i="28"/>
  <c r="AX292" i="28"/>
  <c r="I292" i="28"/>
  <c r="AH292" i="28"/>
  <c r="AP292" i="28"/>
  <c r="AY292" i="28"/>
  <c r="J292" i="28"/>
  <c r="AI292" i="28"/>
  <c r="AR292" i="28"/>
  <c r="AZ292" i="28"/>
  <c r="K292" i="28"/>
  <c r="AB292" i="28"/>
  <c r="AJ292" i="28"/>
  <c r="AS292" i="28"/>
  <c r="BA292" i="28"/>
  <c r="L292" i="28"/>
  <c r="AC292" i="28"/>
  <c r="AK292" i="28"/>
  <c r="AT292" i="28"/>
  <c r="N292" i="28"/>
  <c r="AD292" i="28"/>
  <c r="AL292" i="28"/>
  <c r="AU292" i="28"/>
  <c r="F292" i="28"/>
  <c r="O292" i="28"/>
  <c r="AE292" i="28"/>
  <c r="AM292" i="28"/>
  <c r="AV292" i="28"/>
  <c r="L248" i="28"/>
  <c r="AC248" i="28"/>
  <c r="AK248" i="28"/>
  <c r="AT248" i="28"/>
  <c r="N248" i="28"/>
  <c r="AD248" i="28"/>
  <c r="AL248" i="28"/>
  <c r="AU248" i="28"/>
  <c r="F248" i="28"/>
  <c r="O248" i="28"/>
  <c r="AE248" i="28"/>
  <c r="AM248" i="28"/>
  <c r="AV248" i="28"/>
  <c r="G248" i="28"/>
  <c r="P248" i="28"/>
  <c r="AF248" i="28"/>
  <c r="AN248" i="28"/>
  <c r="AW248" i="28"/>
  <c r="H248" i="28"/>
  <c r="Q248" i="28"/>
  <c r="AG248" i="28"/>
  <c r="AO248" i="28"/>
  <c r="AX248" i="28"/>
  <c r="I248" i="28"/>
  <c r="AH248" i="28"/>
  <c r="AP248" i="28"/>
  <c r="AY248" i="28"/>
  <c r="J248" i="28"/>
  <c r="AI248" i="28"/>
  <c r="AR248" i="28"/>
  <c r="AZ248" i="28"/>
  <c r="K248" i="28"/>
  <c r="AB248" i="28"/>
  <c r="AJ248" i="28"/>
  <c r="AS248" i="28"/>
  <c r="BA248" i="28"/>
  <c r="N291" i="28"/>
  <c r="AD291" i="28"/>
  <c r="AL291" i="28"/>
  <c r="AU291" i="28"/>
  <c r="F291" i="28"/>
  <c r="O291" i="28"/>
  <c r="AE291" i="28"/>
  <c r="AM291" i="28"/>
  <c r="AV291" i="28"/>
  <c r="G291" i="28"/>
  <c r="P291" i="28"/>
  <c r="AF291" i="28"/>
  <c r="AN291" i="28"/>
  <c r="AW291" i="28"/>
  <c r="H291" i="28"/>
  <c r="Q291" i="28"/>
  <c r="AG291" i="28"/>
  <c r="AO291" i="28"/>
  <c r="AX291" i="28"/>
  <c r="I291" i="28"/>
  <c r="AH291" i="28"/>
  <c r="AP291" i="28"/>
  <c r="AY291" i="28"/>
  <c r="J291" i="28"/>
  <c r="AI291" i="28"/>
  <c r="AR291" i="28"/>
  <c r="AZ291" i="28"/>
  <c r="K291" i="28"/>
  <c r="AB291" i="28"/>
  <c r="AJ291" i="28"/>
  <c r="AS291" i="28"/>
  <c r="BA291" i="28"/>
  <c r="L291" i="28"/>
  <c r="AC291" i="28"/>
  <c r="AK291" i="28"/>
  <c r="AT291" i="28"/>
  <c r="I277" i="28"/>
  <c r="AH277" i="28"/>
  <c r="AP277" i="28"/>
  <c r="AY277" i="28"/>
  <c r="J277" i="28"/>
  <c r="AI277" i="28"/>
  <c r="AR277" i="28"/>
  <c r="AZ277" i="28"/>
  <c r="K277" i="28"/>
  <c r="AB277" i="28"/>
  <c r="AJ277" i="28"/>
  <c r="AS277" i="28"/>
  <c r="BA277" i="28"/>
  <c r="L277" i="28"/>
  <c r="AC277" i="28"/>
  <c r="AK277" i="28"/>
  <c r="AT277" i="28"/>
  <c r="N277" i="28"/>
  <c r="AD277" i="28"/>
  <c r="AL277" i="28"/>
  <c r="AU277" i="28"/>
  <c r="F277" i="28"/>
  <c r="O277" i="28"/>
  <c r="AE277" i="28"/>
  <c r="AM277" i="28"/>
  <c r="AV277" i="28"/>
  <c r="G277" i="28"/>
  <c r="P277" i="28"/>
  <c r="AF277" i="28"/>
  <c r="AN277" i="28"/>
  <c r="AW277" i="28"/>
  <c r="AG277" i="28"/>
  <c r="AO277" i="28"/>
  <c r="AX277" i="28"/>
  <c r="H277" i="28"/>
  <c r="Q277" i="28"/>
  <c r="G288" i="28"/>
  <c r="P288" i="28"/>
  <c r="AF288" i="28"/>
  <c r="AN288" i="28"/>
  <c r="AW288" i="28"/>
  <c r="H288" i="28"/>
  <c r="Q288" i="28"/>
  <c r="AG288" i="28"/>
  <c r="AO288" i="28"/>
  <c r="AX288" i="28"/>
  <c r="I288" i="28"/>
  <c r="AH288" i="28"/>
  <c r="AP288" i="28"/>
  <c r="AY288" i="28"/>
  <c r="J288" i="28"/>
  <c r="AI288" i="28"/>
  <c r="AR288" i="28"/>
  <c r="AZ288" i="28"/>
  <c r="K288" i="28"/>
  <c r="AB288" i="28"/>
  <c r="AJ288" i="28"/>
  <c r="AS288" i="28"/>
  <c r="BA288" i="28"/>
  <c r="L288" i="28"/>
  <c r="AC288" i="28"/>
  <c r="AK288" i="28"/>
  <c r="AT288" i="28"/>
  <c r="N288" i="28"/>
  <c r="AD288" i="28"/>
  <c r="AL288" i="28"/>
  <c r="AU288" i="28"/>
  <c r="F288" i="28"/>
  <c r="O288" i="28"/>
  <c r="AE288" i="28"/>
  <c r="AM288" i="28"/>
  <c r="AV288" i="28"/>
  <c r="G272" i="28"/>
  <c r="P272" i="28"/>
  <c r="AF272" i="28"/>
  <c r="AN272" i="28"/>
  <c r="AW272" i="28"/>
  <c r="H272" i="28"/>
  <c r="Q272" i="28"/>
  <c r="AG272" i="28"/>
  <c r="AO272" i="28"/>
  <c r="AX272" i="28"/>
  <c r="I272" i="28"/>
  <c r="AH272" i="28"/>
  <c r="AP272" i="28"/>
  <c r="AY272" i="28"/>
  <c r="J272" i="28"/>
  <c r="AI272" i="28"/>
  <c r="AR272" i="28"/>
  <c r="AZ272" i="28"/>
  <c r="K272" i="28"/>
  <c r="AB272" i="28"/>
  <c r="AJ272" i="28"/>
  <c r="AS272" i="28"/>
  <c r="BA272" i="28"/>
  <c r="L272" i="28"/>
  <c r="AC272" i="28"/>
  <c r="AK272" i="28"/>
  <c r="AT272" i="28"/>
  <c r="N272" i="28"/>
  <c r="AD272" i="28"/>
  <c r="AL272" i="28"/>
  <c r="AU272" i="28"/>
  <c r="F272" i="28"/>
  <c r="O272" i="28"/>
  <c r="AE272" i="28"/>
  <c r="AM272" i="28"/>
  <c r="AV272" i="28"/>
  <c r="I310" i="28"/>
  <c r="AH310" i="28"/>
  <c r="AP310" i="28"/>
  <c r="AY310" i="28"/>
  <c r="J310" i="28"/>
  <c r="AI310" i="28"/>
  <c r="AR310" i="28"/>
  <c r="AZ310" i="28"/>
  <c r="K310" i="28"/>
  <c r="AB310" i="28"/>
  <c r="AJ310" i="28"/>
  <c r="AS310" i="28"/>
  <c r="BA310" i="28"/>
  <c r="L310" i="28"/>
  <c r="AC310" i="28"/>
  <c r="AK310" i="28"/>
  <c r="AT310" i="28"/>
  <c r="N310" i="28"/>
  <c r="AD310" i="28"/>
  <c r="AL310" i="28"/>
  <c r="AU310" i="28"/>
  <c r="F310" i="28"/>
  <c r="O310" i="28"/>
  <c r="AE310" i="28"/>
  <c r="AM310" i="28"/>
  <c r="AV310" i="28"/>
  <c r="G310" i="28"/>
  <c r="P310" i="28"/>
  <c r="AF310" i="28"/>
  <c r="AN310" i="28"/>
  <c r="AW310" i="28"/>
  <c r="H310" i="28"/>
  <c r="Q310" i="28"/>
  <c r="AG310" i="28"/>
  <c r="AO310" i="28"/>
  <c r="AX310" i="28"/>
  <c r="N263" i="28"/>
  <c r="AD263" i="28"/>
  <c r="AL263" i="28"/>
  <c r="AU263" i="28"/>
  <c r="F263" i="28"/>
  <c r="O263" i="28"/>
  <c r="AE263" i="28"/>
  <c r="AM263" i="28"/>
  <c r="AV263" i="28"/>
  <c r="G263" i="28"/>
  <c r="P263" i="28"/>
  <c r="AF263" i="28"/>
  <c r="AN263" i="28"/>
  <c r="AW263" i="28"/>
  <c r="H263" i="28"/>
  <c r="Q263" i="28"/>
  <c r="AG263" i="28"/>
  <c r="AO263" i="28"/>
  <c r="AX263" i="28"/>
  <c r="I263" i="28"/>
  <c r="AH263" i="28"/>
  <c r="AP263" i="28"/>
  <c r="AY263" i="28"/>
  <c r="J263" i="28"/>
  <c r="AI263" i="28"/>
  <c r="AR263" i="28"/>
  <c r="AZ263" i="28"/>
  <c r="K263" i="28"/>
  <c r="AB263" i="28"/>
  <c r="AJ263" i="28"/>
  <c r="AS263" i="28"/>
  <c r="BA263" i="28"/>
  <c r="AK263" i="28"/>
  <c r="AT263" i="28"/>
  <c r="L263" i="28"/>
  <c r="AC263" i="28"/>
  <c r="J247" i="28"/>
  <c r="AI247" i="28"/>
  <c r="AR247" i="28"/>
  <c r="AZ247" i="28"/>
  <c r="K247" i="28"/>
  <c r="AB247" i="28"/>
  <c r="AJ247" i="28"/>
  <c r="AS247" i="28"/>
  <c r="BA247" i="28"/>
  <c r="L247" i="28"/>
  <c r="AC247" i="28"/>
  <c r="AK247" i="28"/>
  <c r="AT247" i="28"/>
  <c r="N247" i="28"/>
  <c r="AD247" i="28"/>
  <c r="AL247" i="28"/>
  <c r="AU247" i="28"/>
  <c r="F247" i="28"/>
  <c r="O247" i="28"/>
  <c r="AE247" i="28"/>
  <c r="AM247" i="28"/>
  <c r="AV247" i="28"/>
  <c r="G247" i="28"/>
  <c r="P247" i="28"/>
  <c r="AF247" i="28"/>
  <c r="AN247" i="28"/>
  <c r="AW247" i="28"/>
  <c r="H247" i="28"/>
  <c r="Q247" i="28"/>
  <c r="AG247" i="28"/>
  <c r="AO247" i="28"/>
  <c r="AX247" i="28"/>
  <c r="AY247" i="28"/>
  <c r="I247" i="28"/>
  <c r="AH247" i="28"/>
  <c r="AP247" i="28"/>
  <c r="K290" i="28"/>
  <c r="AB290" i="28"/>
  <c r="AJ290" i="28"/>
  <c r="AS290" i="28"/>
  <c r="BA290" i="28"/>
  <c r="L290" i="28"/>
  <c r="AC290" i="28"/>
  <c r="AK290" i="28"/>
  <c r="AT290" i="28"/>
  <c r="N290" i="28"/>
  <c r="AD290" i="28"/>
  <c r="AL290" i="28"/>
  <c r="AU290" i="28"/>
  <c r="F290" i="28"/>
  <c r="O290" i="28"/>
  <c r="AE290" i="28"/>
  <c r="AM290" i="28"/>
  <c r="AV290" i="28"/>
  <c r="G290" i="28"/>
  <c r="P290" i="28"/>
  <c r="AF290" i="28"/>
  <c r="AN290" i="28"/>
  <c r="AW290" i="28"/>
  <c r="H290" i="28"/>
  <c r="Q290" i="28"/>
  <c r="AG290" i="28"/>
  <c r="AO290" i="28"/>
  <c r="AX290" i="28"/>
  <c r="I290" i="28"/>
  <c r="AH290" i="28"/>
  <c r="AP290" i="28"/>
  <c r="AY290" i="28"/>
  <c r="J290" i="28"/>
  <c r="AI290" i="28"/>
  <c r="AR290" i="28"/>
  <c r="AZ290" i="28"/>
  <c r="H246" i="28"/>
  <c r="Q246" i="28"/>
  <c r="AG246" i="28"/>
  <c r="AO246" i="28"/>
  <c r="AX246" i="28"/>
  <c r="I246" i="28"/>
  <c r="AH246" i="28"/>
  <c r="AP246" i="28"/>
  <c r="AY246" i="28"/>
  <c r="J246" i="28"/>
  <c r="AI246" i="28"/>
  <c r="AR246" i="28"/>
  <c r="AZ246" i="28"/>
  <c r="K246" i="28"/>
  <c r="AB246" i="28"/>
  <c r="AJ246" i="28"/>
  <c r="AS246" i="28"/>
  <c r="BA246" i="28"/>
  <c r="L246" i="28"/>
  <c r="AC246" i="28"/>
  <c r="AK246" i="28"/>
  <c r="AT246" i="28"/>
  <c r="N246" i="28"/>
  <c r="AD246" i="28"/>
  <c r="AL246" i="28"/>
  <c r="AU246" i="28"/>
  <c r="F246" i="28"/>
  <c r="O246" i="28"/>
  <c r="AE246" i="28"/>
  <c r="AM246" i="28"/>
  <c r="AV246" i="28"/>
  <c r="AF246" i="28"/>
  <c r="AN246" i="28"/>
  <c r="AW246" i="28"/>
  <c r="G246" i="28"/>
  <c r="P246" i="28"/>
  <c r="G313" i="28"/>
  <c r="P313" i="28"/>
  <c r="AF313" i="28"/>
  <c r="AN313" i="28"/>
  <c r="AW313" i="28"/>
  <c r="H313" i="28"/>
  <c r="Q313" i="28"/>
  <c r="AG313" i="28"/>
  <c r="AO313" i="28"/>
  <c r="AX313" i="28"/>
  <c r="I313" i="28"/>
  <c r="AH313" i="28"/>
  <c r="AP313" i="28"/>
  <c r="AY313" i="28"/>
  <c r="J313" i="28"/>
  <c r="AI313" i="28"/>
  <c r="AR313" i="28"/>
  <c r="AZ313" i="28"/>
  <c r="K313" i="28"/>
  <c r="AB313" i="28"/>
  <c r="AJ313" i="28"/>
  <c r="AS313" i="28"/>
  <c r="BA313" i="28"/>
  <c r="L313" i="28"/>
  <c r="AC313" i="28"/>
  <c r="AK313" i="28"/>
  <c r="AT313" i="28"/>
  <c r="N313" i="28"/>
  <c r="AD313" i="28"/>
  <c r="AL313" i="28"/>
  <c r="AU313" i="28"/>
  <c r="F313" i="28"/>
  <c r="O313" i="28"/>
  <c r="AE313" i="28"/>
  <c r="AM313" i="28"/>
  <c r="AV313" i="28"/>
  <c r="I273" i="28"/>
  <c r="AH273" i="28"/>
  <c r="AP273" i="28"/>
  <c r="AY273" i="28"/>
  <c r="J273" i="28"/>
  <c r="AI273" i="28"/>
  <c r="AR273" i="28"/>
  <c r="AZ273" i="28"/>
  <c r="K273" i="28"/>
  <c r="AB273" i="28"/>
  <c r="AJ273" i="28"/>
  <c r="AS273" i="28"/>
  <c r="BA273" i="28"/>
  <c r="L273" i="28"/>
  <c r="AC273" i="28"/>
  <c r="AK273" i="28"/>
  <c r="AT273" i="28"/>
  <c r="N273" i="28"/>
  <c r="AD273" i="28"/>
  <c r="AL273" i="28"/>
  <c r="AU273" i="28"/>
  <c r="F273" i="28"/>
  <c r="O273" i="28"/>
  <c r="AE273" i="28"/>
  <c r="AM273" i="28"/>
  <c r="AV273" i="28"/>
  <c r="G273" i="28"/>
  <c r="P273" i="28"/>
  <c r="AF273" i="28"/>
  <c r="AN273" i="28"/>
  <c r="AW273" i="28"/>
  <c r="AG273" i="28"/>
  <c r="AO273" i="28"/>
  <c r="AX273" i="28"/>
  <c r="H273" i="28"/>
  <c r="Q273" i="28"/>
  <c r="K286" i="28"/>
  <c r="AB286" i="28"/>
  <c r="AJ286" i="28"/>
  <c r="AS286" i="28"/>
  <c r="BA286" i="28"/>
  <c r="L286" i="28"/>
  <c r="AC286" i="28"/>
  <c r="AK286" i="28"/>
  <c r="AT286" i="28"/>
  <c r="N286" i="28"/>
  <c r="AD286" i="28"/>
  <c r="AL286" i="28"/>
  <c r="AU286" i="28"/>
  <c r="F286" i="28"/>
  <c r="O286" i="28"/>
  <c r="AE286" i="28"/>
  <c r="AM286" i="28"/>
  <c r="AV286" i="28"/>
  <c r="G286" i="28"/>
  <c r="P286" i="28"/>
  <c r="AF286" i="28"/>
  <c r="AN286" i="28"/>
  <c r="AW286" i="28"/>
  <c r="H286" i="28"/>
  <c r="Q286" i="28"/>
  <c r="AG286" i="28"/>
  <c r="AO286" i="28"/>
  <c r="AX286" i="28"/>
  <c r="I286" i="28"/>
  <c r="AH286" i="28"/>
  <c r="AP286" i="28"/>
  <c r="AY286" i="28"/>
  <c r="J286" i="28"/>
  <c r="AI286" i="28"/>
  <c r="AR286" i="28"/>
  <c r="AZ286" i="28"/>
  <c r="K270" i="28"/>
  <c r="AB270" i="28"/>
  <c r="AJ270" i="28"/>
  <c r="AS270" i="28"/>
  <c r="BA270" i="28"/>
  <c r="L270" i="28"/>
  <c r="AC270" i="28"/>
  <c r="AK270" i="28"/>
  <c r="AT270" i="28"/>
  <c r="N270" i="28"/>
  <c r="AD270" i="28"/>
  <c r="AL270" i="28"/>
  <c r="AU270" i="28"/>
  <c r="F270" i="28"/>
  <c r="O270" i="28"/>
  <c r="AE270" i="28"/>
  <c r="AM270" i="28"/>
  <c r="AV270" i="28"/>
  <c r="G270" i="28"/>
  <c r="P270" i="28"/>
  <c r="AF270" i="28"/>
  <c r="AN270" i="28"/>
  <c r="AW270" i="28"/>
  <c r="H270" i="28"/>
  <c r="Q270" i="28"/>
  <c r="AG270" i="28"/>
  <c r="AO270" i="28"/>
  <c r="AX270" i="28"/>
  <c r="I270" i="28"/>
  <c r="AH270" i="28"/>
  <c r="AP270" i="28"/>
  <c r="AY270" i="28"/>
  <c r="AI270" i="28"/>
  <c r="AR270" i="28"/>
  <c r="AZ270" i="28"/>
  <c r="J270" i="28"/>
  <c r="K307" i="28"/>
  <c r="AB307" i="28"/>
  <c r="AJ307" i="28"/>
  <c r="AS307" i="28"/>
  <c r="BA307" i="28"/>
  <c r="L307" i="28"/>
  <c r="AC307" i="28"/>
  <c r="AK307" i="28"/>
  <c r="AT307" i="28"/>
  <c r="N307" i="28"/>
  <c r="AD307" i="28"/>
  <c r="AL307" i="28"/>
  <c r="AU307" i="28"/>
  <c r="F307" i="28"/>
  <c r="O307" i="28"/>
  <c r="AE307" i="28"/>
  <c r="AM307" i="28"/>
  <c r="AV307" i="28"/>
  <c r="G307" i="28"/>
  <c r="P307" i="28"/>
  <c r="AF307" i="28"/>
  <c r="AN307" i="28"/>
  <c r="AW307" i="28"/>
  <c r="H307" i="28"/>
  <c r="Q307" i="28"/>
  <c r="AG307" i="28"/>
  <c r="AO307" i="28"/>
  <c r="AX307" i="28"/>
  <c r="I307" i="28"/>
  <c r="AH307" i="28"/>
  <c r="AP307" i="28"/>
  <c r="AY307" i="28"/>
  <c r="J307" i="28"/>
  <c r="AI307" i="28"/>
  <c r="AR307" i="28"/>
  <c r="AZ307" i="28"/>
  <c r="J259" i="28"/>
  <c r="AI259" i="28"/>
  <c r="K259" i="28"/>
  <c r="AB259" i="28"/>
  <c r="AJ259" i="28"/>
  <c r="L259" i="28"/>
  <c r="AC259" i="28"/>
  <c r="AK259" i="28"/>
  <c r="N259" i="28"/>
  <c r="AD259" i="28"/>
  <c r="AL259" i="28"/>
  <c r="F259" i="28"/>
  <c r="O259" i="28"/>
  <c r="AE259" i="28"/>
  <c r="AM259" i="28"/>
  <c r="G259" i="28"/>
  <c r="P259" i="28"/>
  <c r="AF259" i="28"/>
  <c r="AN259" i="28"/>
  <c r="H259" i="28"/>
  <c r="Q259" i="28"/>
  <c r="AG259" i="28"/>
  <c r="AO259" i="28"/>
  <c r="I259" i="28"/>
  <c r="AU259" i="28"/>
  <c r="AV259" i="28"/>
  <c r="AW259" i="28"/>
  <c r="AH259" i="28"/>
  <c r="AX259" i="28"/>
  <c r="AP259" i="28"/>
  <c r="AY259" i="28"/>
  <c r="AR259" i="28"/>
  <c r="AZ259" i="28"/>
  <c r="AS259" i="28"/>
  <c r="BA259" i="28"/>
  <c r="AT259" i="28"/>
  <c r="F245" i="28"/>
  <c r="O245" i="28"/>
  <c r="AE245" i="28"/>
  <c r="AM245" i="28"/>
  <c r="AV245" i="28"/>
  <c r="G245" i="28"/>
  <c r="P245" i="28"/>
  <c r="AF245" i="28"/>
  <c r="AN245" i="28"/>
  <c r="AW245" i="28"/>
  <c r="H245" i="28"/>
  <c r="Q245" i="28"/>
  <c r="AG245" i="28"/>
  <c r="AO245" i="28"/>
  <c r="AX245" i="28"/>
  <c r="I245" i="28"/>
  <c r="AH245" i="28"/>
  <c r="AP245" i="28"/>
  <c r="AY245" i="28"/>
  <c r="J245" i="28"/>
  <c r="AI245" i="28"/>
  <c r="AR245" i="28"/>
  <c r="AZ245" i="28"/>
  <c r="K245" i="28"/>
  <c r="AB245" i="28"/>
  <c r="AJ245" i="28"/>
  <c r="AS245" i="28"/>
  <c r="BA245" i="28"/>
  <c r="L245" i="28"/>
  <c r="AC245" i="28"/>
  <c r="AK245" i="28"/>
  <c r="AT245" i="28"/>
  <c r="N245" i="28"/>
  <c r="AD245" i="28"/>
  <c r="AL245" i="28"/>
  <c r="AU245" i="28"/>
  <c r="N312" i="28"/>
  <c r="AD312" i="28"/>
  <c r="AL312" i="28"/>
  <c r="AU312" i="28"/>
  <c r="F312" i="28"/>
  <c r="O312" i="28"/>
  <c r="AE312" i="28"/>
  <c r="AM312" i="28"/>
  <c r="AV312" i="28"/>
  <c r="G312" i="28"/>
  <c r="P312" i="28"/>
  <c r="AF312" i="28"/>
  <c r="AN312" i="28"/>
  <c r="AW312" i="28"/>
  <c r="H312" i="28"/>
  <c r="Q312" i="28"/>
  <c r="AG312" i="28"/>
  <c r="AO312" i="28"/>
  <c r="AX312" i="28"/>
  <c r="I312" i="28"/>
  <c r="AH312" i="28"/>
  <c r="AP312" i="28"/>
  <c r="AY312" i="28"/>
  <c r="J312" i="28"/>
  <c r="AI312" i="28"/>
  <c r="AR312" i="28"/>
  <c r="AZ312" i="28"/>
  <c r="K312" i="28"/>
  <c r="AB312" i="28"/>
  <c r="AJ312" i="28"/>
  <c r="AS312" i="28"/>
  <c r="BA312" i="28"/>
  <c r="L312" i="28"/>
  <c r="AC312" i="28"/>
  <c r="AK312" i="28"/>
  <c r="AT312" i="28"/>
  <c r="I289" i="28"/>
  <c r="AH289" i="28"/>
  <c r="AP289" i="28"/>
  <c r="AY289" i="28"/>
  <c r="J289" i="28"/>
  <c r="AI289" i="28"/>
  <c r="AR289" i="28"/>
  <c r="AZ289" i="28"/>
  <c r="K289" i="28"/>
  <c r="AB289" i="28"/>
  <c r="AJ289" i="28"/>
  <c r="AS289" i="28"/>
  <c r="BA289" i="28"/>
  <c r="L289" i="28"/>
  <c r="AC289" i="28"/>
  <c r="AK289" i="28"/>
  <c r="AT289" i="28"/>
  <c r="N289" i="28"/>
  <c r="AD289" i="28"/>
  <c r="AL289" i="28"/>
  <c r="AU289" i="28"/>
  <c r="F289" i="28"/>
  <c r="O289" i="28"/>
  <c r="AE289" i="28"/>
  <c r="AM289" i="28"/>
  <c r="AV289" i="28"/>
  <c r="G289" i="28"/>
  <c r="P289" i="28"/>
  <c r="AF289" i="28"/>
  <c r="AN289" i="28"/>
  <c r="AW289" i="28"/>
  <c r="H289" i="28"/>
  <c r="Q289" i="28"/>
  <c r="AG289" i="28"/>
  <c r="AO289" i="28"/>
  <c r="AX289" i="28"/>
  <c r="I269" i="28"/>
  <c r="AH269" i="28"/>
  <c r="AP269" i="28"/>
  <c r="AY269" i="28"/>
  <c r="J269" i="28"/>
  <c r="AI269" i="28"/>
  <c r="AR269" i="28"/>
  <c r="AZ269" i="28"/>
  <c r="K269" i="28"/>
  <c r="AB269" i="28"/>
  <c r="AJ269" i="28"/>
  <c r="AS269" i="28"/>
  <c r="BA269" i="28"/>
  <c r="L269" i="28"/>
  <c r="AC269" i="28"/>
  <c r="AK269" i="28"/>
  <c r="AT269" i="28"/>
  <c r="N269" i="28"/>
  <c r="AD269" i="28"/>
  <c r="AL269" i="28"/>
  <c r="AU269" i="28"/>
  <c r="F269" i="28"/>
  <c r="O269" i="28"/>
  <c r="AE269" i="28"/>
  <c r="AM269" i="28"/>
  <c r="AV269" i="28"/>
  <c r="G269" i="28"/>
  <c r="P269" i="28"/>
  <c r="AF269" i="28"/>
  <c r="AN269" i="28"/>
  <c r="AW269" i="28"/>
  <c r="Q269" i="28"/>
  <c r="AG269" i="28"/>
  <c r="AO269" i="28"/>
  <c r="AX269" i="28"/>
  <c r="H269" i="28"/>
  <c r="G284" i="28"/>
  <c r="P284" i="28"/>
  <c r="AF284" i="28"/>
  <c r="AN284" i="28"/>
  <c r="AW284" i="28"/>
  <c r="H284" i="28"/>
  <c r="Q284" i="28"/>
  <c r="AG284" i="28"/>
  <c r="AO284" i="28"/>
  <c r="AX284" i="28"/>
  <c r="I284" i="28"/>
  <c r="AH284" i="28"/>
  <c r="AP284" i="28"/>
  <c r="AY284" i="28"/>
  <c r="J284" i="28"/>
  <c r="AI284" i="28"/>
  <c r="AR284" i="28"/>
  <c r="AZ284" i="28"/>
  <c r="K284" i="28"/>
  <c r="AB284" i="28"/>
  <c r="AJ284" i="28"/>
  <c r="AS284" i="28"/>
  <c r="BA284" i="28"/>
  <c r="L284" i="28"/>
  <c r="AC284" i="28"/>
  <c r="AK284" i="28"/>
  <c r="AT284" i="28"/>
  <c r="N284" i="28"/>
  <c r="AD284" i="28"/>
  <c r="AL284" i="28"/>
  <c r="AU284" i="28"/>
  <c r="AE284" i="28"/>
  <c r="AM284" i="28"/>
  <c r="AV284" i="28"/>
  <c r="F284" i="28"/>
  <c r="O284" i="28"/>
  <c r="G268" i="28"/>
  <c r="P268" i="28"/>
  <c r="AF268" i="28"/>
  <c r="AN268" i="28"/>
  <c r="AW268" i="28"/>
  <c r="H268" i="28"/>
  <c r="Q268" i="28"/>
  <c r="AG268" i="28"/>
  <c r="AO268" i="28"/>
  <c r="AX268" i="28"/>
  <c r="I268" i="28"/>
  <c r="AH268" i="28"/>
  <c r="AP268" i="28"/>
  <c r="AY268" i="28"/>
  <c r="J268" i="28"/>
  <c r="AI268" i="28"/>
  <c r="AR268" i="28"/>
  <c r="AZ268" i="28"/>
  <c r="K268" i="28"/>
  <c r="AB268" i="28"/>
  <c r="AJ268" i="28"/>
  <c r="AS268" i="28"/>
  <c r="BA268" i="28"/>
  <c r="L268" i="28"/>
  <c r="AC268" i="28"/>
  <c r="AK268" i="28"/>
  <c r="AT268" i="28"/>
  <c r="N268" i="28"/>
  <c r="AD268" i="28"/>
  <c r="AL268" i="28"/>
  <c r="AU268" i="28"/>
  <c r="F268" i="28"/>
  <c r="O268" i="28"/>
  <c r="AE268" i="28"/>
  <c r="AM268" i="28"/>
  <c r="AV268" i="28"/>
  <c r="N304" i="28"/>
  <c r="AD304" i="28"/>
  <c r="AL304" i="28"/>
  <c r="AU304" i="28"/>
  <c r="F304" i="28"/>
  <c r="O304" i="28"/>
  <c r="AE304" i="28"/>
  <c r="AM304" i="28"/>
  <c r="AV304" i="28"/>
  <c r="G304" i="28"/>
  <c r="P304" i="28"/>
  <c r="AF304" i="28"/>
  <c r="AN304" i="28"/>
  <c r="AW304" i="28"/>
  <c r="H304" i="28"/>
  <c r="Q304" i="28"/>
  <c r="AG304" i="28"/>
  <c r="AO304" i="28"/>
  <c r="AX304" i="28"/>
  <c r="I304" i="28"/>
  <c r="AH304" i="28"/>
  <c r="AP304" i="28"/>
  <c r="AY304" i="28"/>
  <c r="J304" i="28"/>
  <c r="AI304" i="28"/>
  <c r="AR304" i="28"/>
  <c r="AZ304" i="28"/>
  <c r="K304" i="28"/>
  <c r="AB304" i="28"/>
  <c r="AJ304" i="28"/>
  <c r="AS304" i="28"/>
  <c r="BA304" i="28"/>
  <c r="L304" i="28"/>
  <c r="AC304" i="28"/>
  <c r="AK304" i="28"/>
  <c r="AT304" i="28"/>
  <c r="G305" i="28"/>
  <c r="P305" i="28"/>
  <c r="AF305" i="28"/>
  <c r="AN305" i="28"/>
  <c r="AW305" i="28"/>
  <c r="H305" i="28"/>
  <c r="Q305" i="28"/>
  <c r="AG305" i="28"/>
  <c r="AO305" i="28"/>
  <c r="AX305" i="28"/>
  <c r="I305" i="28"/>
  <c r="AH305" i="28"/>
  <c r="AP305" i="28"/>
  <c r="AY305" i="28"/>
  <c r="J305" i="28"/>
  <c r="AI305" i="28"/>
  <c r="AR305" i="28"/>
  <c r="AZ305" i="28"/>
  <c r="K305" i="28"/>
  <c r="AB305" i="28"/>
  <c r="AJ305" i="28"/>
  <c r="AS305" i="28"/>
  <c r="BA305" i="28"/>
  <c r="L305" i="28"/>
  <c r="AC305" i="28"/>
  <c r="AK305" i="28"/>
  <c r="AT305" i="28"/>
  <c r="N305" i="28"/>
  <c r="AD305" i="28"/>
  <c r="AL305" i="28"/>
  <c r="AU305" i="28"/>
  <c r="F305" i="28"/>
  <c r="O305" i="28"/>
  <c r="AE305" i="28"/>
  <c r="AM305" i="28"/>
  <c r="AV305" i="28"/>
  <c r="I302" i="28"/>
  <c r="AH302" i="28"/>
  <c r="AP302" i="28"/>
  <c r="AY302" i="28"/>
  <c r="J302" i="28"/>
  <c r="AI302" i="28"/>
  <c r="AR302" i="28"/>
  <c r="AZ302" i="28"/>
  <c r="K302" i="28"/>
  <c r="AB302" i="28"/>
  <c r="AJ302" i="28"/>
  <c r="AS302" i="28"/>
  <c r="BA302" i="28"/>
  <c r="L302" i="28"/>
  <c r="AC302" i="28"/>
  <c r="AK302" i="28"/>
  <c r="AT302" i="28"/>
  <c r="N302" i="28"/>
  <c r="AD302" i="28"/>
  <c r="AL302" i="28"/>
  <c r="AU302" i="28"/>
  <c r="F302" i="28"/>
  <c r="O302" i="28"/>
  <c r="AE302" i="28"/>
  <c r="AM302" i="28"/>
  <c r="AV302" i="28"/>
  <c r="G302" i="28"/>
  <c r="P302" i="28"/>
  <c r="AF302" i="28"/>
  <c r="AN302" i="28"/>
  <c r="AW302" i="28"/>
  <c r="H302" i="28"/>
  <c r="Q302" i="28"/>
  <c r="AG302" i="28"/>
  <c r="AO302" i="28"/>
  <c r="AX302" i="28"/>
  <c r="G309" i="28"/>
  <c r="P309" i="28"/>
  <c r="AF309" i="28"/>
  <c r="AN309" i="28"/>
  <c r="AW309" i="28"/>
  <c r="H309" i="28"/>
  <c r="Q309" i="28"/>
  <c r="AG309" i="28"/>
  <c r="AO309" i="28"/>
  <c r="AX309" i="28"/>
  <c r="I309" i="28"/>
  <c r="AH309" i="28"/>
  <c r="AP309" i="28"/>
  <c r="AY309" i="28"/>
  <c r="J309" i="28"/>
  <c r="AI309" i="28"/>
  <c r="AR309" i="28"/>
  <c r="AZ309" i="28"/>
  <c r="K309" i="28"/>
  <c r="AB309" i="28"/>
  <c r="AJ309" i="28"/>
  <c r="AS309" i="28"/>
  <c r="BA309" i="28"/>
  <c r="L309" i="28"/>
  <c r="AC309" i="28"/>
  <c r="AK309" i="28"/>
  <c r="AT309" i="28"/>
  <c r="N309" i="28"/>
  <c r="AD309" i="28"/>
  <c r="AL309" i="28"/>
  <c r="AU309" i="28"/>
  <c r="F309" i="28"/>
  <c r="O309" i="28"/>
  <c r="AE309" i="28"/>
  <c r="AM309" i="28"/>
  <c r="AV309" i="28"/>
  <c r="G301" i="28"/>
  <c r="P301" i="28"/>
  <c r="AF301" i="28"/>
  <c r="AN301" i="28"/>
  <c r="AW301" i="28"/>
  <c r="H301" i="28"/>
  <c r="Q301" i="28"/>
  <c r="AG301" i="28"/>
  <c r="AO301" i="28"/>
  <c r="AX301" i="28"/>
  <c r="I301" i="28"/>
  <c r="AH301" i="28"/>
  <c r="AP301" i="28"/>
  <c r="AY301" i="28"/>
  <c r="J301" i="28"/>
  <c r="AI301" i="28"/>
  <c r="AR301" i="28"/>
  <c r="AZ301" i="28"/>
  <c r="K301" i="28"/>
  <c r="AB301" i="28"/>
  <c r="AJ301" i="28"/>
  <c r="AS301" i="28"/>
  <c r="BA301" i="28"/>
  <c r="L301" i="28"/>
  <c r="AC301" i="28"/>
  <c r="AK301" i="28"/>
  <c r="AT301" i="28"/>
  <c r="N301" i="28"/>
  <c r="AD301" i="28"/>
  <c r="AL301" i="28"/>
  <c r="AU301" i="28"/>
  <c r="F301" i="28"/>
  <c r="O301" i="28"/>
  <c r="AE301" i="28"/>
  <c r="AM301" i="28"/>
  <c r="AV301" i="28"/>
  <c r="N287" i="28"/>
  <c r="F287" i="28"/>
  <c r="O287" i="28"/>
  <c r="G287" i="28"/>
  <c r="P287" i="28"/>
  <c r="H287" i="28"/>
  <c r="Q287" i="28"/>
  <c r="I287" i="28"/>
  <c r="J287" i="28"/>
  <c r="K287" i="28"/>
  <c r="AB287" i="28"/>
  <c r="AD287" i="28"/>
  <c r="AL287" i="28"/>
  <c r="AU287" i="28"/>
  <c r="AE287" i="28"/>
  <c r="AM287" i="28"/>
  <c r="AV287" i="28"/>
  <c r="AF287" i="28"/>
  <c r="AN287" i="28"/>
  <c r="AW287" i="28"/>
  <c r="AG287" i="28"/>
  <c r="AO287" i="28"/>
  <c r="AX287" i="28"/>
  <c r="AH287" i="28"/>
  <c r="AP287" i="28"/>
  <c r="AY287" i="28"/>
  <c r="AI287" i="28"/>
  <c r="AR287" i="28"/>
  <c r="AZ287" i="28"/>
  <c r="AJ287" i="28"/>
  <c r="AS287" i="28"/>
  <c r="BA287" i="28"/>
  <c r="L287" i="28"/>
  <c r="AC287" i="28"/>
  <c r="AK287" i="28"/>
  <c r="AT287" i="28"/>
  <c r="I265" i="28"/>
  <c r="AH265" i="28"/>
  <c r="AP265" i="28"/>
  <c r="AY265" i="28"/>
  <c r="J265" i="28"/>
  <c r="AI265" i="28"/>
  <c r="AR265" i="28"/>
  <c r="AZ265" i="28"/>
  <c r="K265" i="28"/>
  <c r="AB265" i="28"/>
  <c r="AJ265" i="28"/>
  <c r="AS265" i="28"/>
  <c r="BA265" i="28"/>
  <c r="L265" i="28"/>
  <c r="AC265" i="28"/>
  <c r="AK265" i="28"/>
  <c r="AT265" i="28"/>
  <c r="N265" i="28"/>
  <c r="AD265" i="28"/>
  <c r="AL265" i="28"/>
  <c r="AU265" i="28"/>
  <c r="F265" i="28"/>
  <c r="O265" i="28"/>
  <c r="AE265" i="28"/>
  <c r="AM265" i="28"/>
  <c r="AV265" i="28"/>
  <c r="G265" i="28"/>
  <c r="P265" i="28"/>
  <c r="AF265" i="28"/>
  <c r="AN265" i="28"/>
  <c r="AW265" i="28"/>
  <c r="H265" i="28"/>
  <c r="Q265" i="28"/>
  <c r="AG265" i="28"/>
  <c r="AO265" i="28"/>
  <c r="AX265" i="28"/>
  <c r="K282" i="28"/>
  <c r="AB282" i="28"/>
  <c r="AJ282" i="28"/>
  <c r="AS282" i="28"/>
  <c r="BA282" i="28"/>
  <c r="L282" i="28"/>
  <c r="AC282" i="28"/>
  <c r="AK282" i="28"/>
  <c r="AT282" i="28"/>
  <c r="N282" i="28"/>
  <c r="AD282" i="28"/>
  <c r="AL282" i="28"/>
  <c r="AU282" i="28"/>
  <c r="F282" i="28"/>
  <c r="O282" i="28"/>
  <c r="AE282" i="28"/>
  <c r="AM282" i="28"/>
  <c r="AV282" i="28"/>
  <c r="G282" i="28"/>
  <c r="P282" i="28"/>
  <c r="AF282" i="28"/>
  <c r="AN282" i="28"/>
  <c r="AW282" i="28"/>
  <c r="H282" i="28"/>
  <c r="Q282" i="28"/>
  <c r="AG282" i="28"/>
  <c r="AO282" i="28"/>
  <c r="AX282" i="28"/>
  <c r="I282" i="28"/>
  <c r="AH282" i="28"/>
  <c r="AP282" i="28"/>
  <c r="AY282" i="28"/>
  <c r="J282" i="28"/>
  <c r="AI282" i="28"/>
  <c r="AR282" i="28"/>
  <c r="AZ282" i="28"/>
  <c r="K266" i="28"/>
  <c r="AB266" i="28"/>
  <c r="AJ266" i="28"/>
  <c r="AS266" i="28"/>
  <c r="BA266" i="28"/>
  <c r="L266" i="28"/>
  <c r="AC266" i="28"/>
  <c r="AK266" i="28"/>
  <c r="AT266" i="28"/>
  <c r="N266" i="28"/>
  <c r="AD266" i="28"/>
  <c r="AL266" i="28"/>
  <c r="AU266" i="28"/>
  <c r="F266" i="28"/>
  <c r="O266" i="28"/>
  <c r="AE266" i="28"/>
  <c r="AM266" i="28"/>
  <c r="AV266" i="28"/>
  <c r="G266" i="28"/>
  <c r="P266" i="28"/>
  <c r="AF266" i="28"/>
  <c r="AN266" i="28"/>
  <c r="AW266" i="28"/>
  <c r="H266" i="28"/>
  <c r="Q266" i="28"/>
  <c r="AG266" i="28"/>
  <c r="AO266" i="28"/>
  <c r="AX266" i="28"/>
  <c r="I266" i="28"/>
  <c r="AH266" i="28"/>
  <c r="AP266" i="28"/>
  <c r="AY266" i="28"/>
  <c r="AI266" i="28"/>
  <c r="AR266" i="28"/>
  <c r="AZ266" i="28"/>
  <c r="J266" i="28"/>
  <c r="H254" i="28"/>
  <c r="Q254" i="28"/>
  <c r="AG254" i="28"/>
  <c r="AO254" i="28"/>
  <c r="AX254" i="28"/>
  <c r="I254" i="28"/>
  <c r="AH254" i="28"/>
  <c r="AP254" i="28"/>
  <c r="AY254" i="28"/>
  <c r="J254" i="28"/>
  <c r="AI254" i="28"/>
  <c r="AR254" i="28"/>
  <c r="AZ254" i="28"/>
  <c r="K254" i="28"/>
  <c r="AB254" i="28"/>
  <c r="AJ254" i="28"/>
  <c r="AS254" i="28"/>
  <c r="BA254" i="28"/>
  <c r="L254" i="28"/>
  <c r="AC254" i="28"/>
  <c r="AK254" i="28"/>
  <c r="AT254" i="28"/>
  <c r="N254" i="28"/>
  <c r="AD254" i="28"/>
  <c r="AL254" i="28"/>
  <c r="AU254" i="28"/>
  <c r="F254" i="28"/>
  <c r="O254" i="28"/>
  <c r="AE254" i="28"/>
  <c r="AM254" i="28"/>
  <c r="AV254" i="28"/>
  <c r="AW254" i="28"/>
  <c r="G254" i="28"/>
  <c r="P254" i="28"/>
  <c r="AF254" i="28"/>
  <c r="AN254" i="28"/>
  <c r="G300" i="28"/>
  <c r="H300" i="28"/>
  <c r="I300" i="28"/>
  <c r="J300" i="28"/>
  <c r="K300" i="28"/>
  <c r="L300" i="28"/>
  <c r="N300" i="28"/>
  <c r="F300" i="28"/>
  <c r="AD300" i="28"/>
  <c r="AL300" i="28"/>
  <c r="AU300" i="28"/>
  <c r="O300" i="28"/>
  <c r="AE300" i="28"/>
  <c r="AM300" i="28"/>
  <c r="AV300" i="28"/>
  <c r="P300" i="28"/>
  <c r="AF300" i="28"/>
  <c r="AN300" i="28"/>
  <c r="AW300" i="28"/>
  <c r="Q300" i="28"/>
  <c r="AG300" i="28"/>
  <c r="AO300" i="28"/>
  <c r="AX300" i="28"/>
  <c r="AH300" i="28"/>
  <c r="AP300" i="28"/>
  <c r="AY300" i="28"/>
  <c r="AI300" i="28"/>
  <c r="AR300" i="28"/>
  <c r="AZ300" i="28"/>
  <c r="AB300" i="28"/>
  <c r="AJ300" i="28"/>
  <c r="AS300" i="28"/>
  <c r="BA300" i="28"/>
  <c r="AC300" i="28"/>
  <c r="AK300" i="28"/>
  <c r="AT300" i="28"/>
  <c r="I306" i="28"/>
  <c r="AH306" i="28"/>
  <c r="AP306" i="28"/>
  <c r="AY306" i="28"/>
  <c r="J306" i="28"/>
  <c r="AI306" i="28"/>
  <c r="AR306" i="28"/>
  <c r="AZ306" i="28"/>
  <c r="K306" i="28"/>
  <c r="AB306" i="28"/>
  <c r="AJ306" i="28"/>
  <c r="AS306" i="28"/>
  <c r="BA306" i="28"/>
  <c r="L306" i="28"/>
  <c r="AC306" i="28"/>
  <c r="AK306" i="28"/>
  <c r="AT306" i="28"/>
  <c r="N306" i="28"/>
  <c r="AD306" i="28"/>
  <c r="AL306" i="28"/>
  <c r="AU306" i="28"/>
  <c r="F306" i="28"/>
  <c r="O306" i="28"/>
  <c r="AE306" i="28"/>
  <c r="AM306" i="28"/>
  <c r="AV306" i="28"/>
  <c r="G306" i="28"/>
  <c r="P306" i="28"/>
  <c r="AF306" i="28"/>
  <c r="AN306" i="28"/>
  <c r="AW306" i="28"/>
  <c r="H306" i="28"/>
  <c r="Q306" i="28"/>
  <c r="AG306" i="28"/>
  <c r="AO306" i="28"/>
  <c r="AX306" i="28"/>
  <c r="N299" i="28"/>
  <c r="AD299" i="28"/>
  <c r="AL299" i="28"/>
  <c r="AU299" i="28"/>
  <c r="F299" i="28"/>
  <c r="O299" i="28"/>
  <c r="AE299" i="28"/>
  <c r="AM299" i="28"/>
  <c r="AV299" i="28"/>
  <c r="G299" i="28"/>
  <c r="P299" i="28"/>
  <c r="AF299" i="28"/>
  <c r="AN299" i="28"/>
  <c r="AW299" i="28"/>
  <c r="H299" i="28"/>
  <c r="Q299" i="28"/>
  <c r="AG299" i="28"/>
  <c r="AO299" i="28"/>
  <c r="AX299" i="28"/>
  <c r="I299" i="28"/>
  <c r="AH299" i="28"/>
  <c r="AP299" i="28"/>
  <c r="AY299" i="28"/>
  <c r="J299" i="28"/>
  <c r="AI299" i="28"/>
  <c r="AR299" i="28"/>
  <c r="AZ299" i="28"/>
  <c r="K299" i="28"/>
  <c r="AB299" i="28"/>
  <c r="AJ299" i="28"/>
  <c r="AS299" i="28"/>
  <c r="BA299" i="28"/>
  <c r="L299" i="28"/>
  <c r="AC299" i="28"/>
  <c r="AK299" i="28"/>
  <c r="AT299" i="28"/>
  <c r="I285" i="28"/>
  <c r="AH285" i="28"/>
  <c r="AP285" i="28"/>
  <c r="AY285" i="28"/>
  <c r="J285" i="28"/>
  <c r="AI285" i="28"/>
  <c r="AR285" i="28"/>
  <c r="AZ285" i="28"/>
  <c r="K285" i="28"/>
  <c r="AB285" i="28"/>
  <c r="AJ285" i="28"/>
  <c r="AS285" i="28"/>
  <c r="BA285" i="28"/>
  <c r="L285" i="28"/>
  <c r="AC285" i="28"/>
  <c r="AK285" i="28"/>
  <c r="AT285" i="28"/>
  <c r="N285" i="28"/>
  <c r="AD285" i="28"/>
  <c r="AL285" i="28"/>
  <c r="AU285" i="28"/>
  <c r="F285" i="28"/>
  <c r="O285" i="28"/>
  <c r="AE285" i="28"/>
  <c r="AM285" i="28"/>
  <c r="AV285" i="28"/>
  <c r="G285" i="28"/>
  <c r="P285" i="28"/>
  <c r="AF285" i="28"/>
  <c r="AN285" i="28"/>
  <c r="AW285" i="28"/>
  <c r="AX285" i="28"/>
  <c r="H285" i="28"/>
  <c r="Q285" i="28"/>
  <c r="AG285" i="28"/>
  <c r="AO285" i="28"/>
  <c r="I261" i="28"/>
  <c r="AH261" i="28"/>
  <c r="AP261" i="28"/>
  <c r="AY261" i="28"/>
  <c r="J261" i="28"/>
  <c r="AI261" i="28"/>
  <c r="AR261" i="28"/>
  <c r="AZ261" i="28"/>
  <c r="K261" i="28"/>
  <c r="AB261" i="28"/>
  <c r="AJ261" i="28"/>
  <c r="AS261" i="28"/>
  <c r="BA261" i="28"/>
  <c r="L261" i="28"/>
  <c r="AC261" i="28"/>
  <c r="AK261" i="28"/>
  <c r="AT261" i="28"/>
  <c r="N261" i="28"/>
  <c r="AD261" i="28"/>
  <c r="AL261" i="28"/>
  <c r="AU261" i="28"/>
  <c r="F261" i="28"/>
  <c r="O261" i="28"/>
  <c r="AE261" i="28"/>
  <c r="AM261" i="28"/>
  <c r="AV261" i="28"/>
  <c r="G261" i="28"/>
  <c r="P261" i="28"/>
  <c r="AF261" i="28"/>
  <c r="AN261" i="28"/>
  <c r="AW261" i="28"/>
  <c r="H261" i="28"/>
  <c r="Q261" i="28"/>
  <c r="AG261" i="28"/>
  <c r="AO261" i="28"/>
  <c r="AX261" i="28"/>
  <c r="G280" i="28"/>
  <c r="P280" i="28"/>
  <c r="AF280" i="28"/>
  <c r="AN280" i="28"/>
  <c r="AW280" i="28"/>
  <c r="H280" i="28"/>
  <c r="Q280" i="28"/>
  <c r="AG280" i="28"/>
  <c r="AO280" i="28"/>
  <c r="AX280" i="28"/>
  <c r="I280" i="28"/>
  <c r="AH280" i="28"/>
  <c r="AP280" i="28"/>
  <c r="AY280" i="28"/>
  <c r="J280" i="28"/>
  <c r="AI280" i="28"/>
  <c r="AR280" i="28"/>
  <c r="AZ280" i="28"/>
  <c r="K280" i="28"/>
  <c r="AB280" i="28"/>
  <c r="AJ280" i="28"/>
  <c r="AS280" i="28"/>
  <c r="BA280" i="28"/>
  <c r="L280" i="28"/>
  <c r="AC280" i="28"/>
  <c r="AK280" i="28"/>
  <c r="AT280" i="28"/>
  <c r="N280" i="28"/>
  <c r="AD280" i="28"/>
  <c r="AL280" i="28"/>
  <c r="AU280" i="28"/>
  <c r="AE280" i="28"/>
  <c r="AM280" i="28"/>
  <c r="AV280" i="28"/>
  <c r="F280" i="28"/>
  <c r="O280" i="28"/>
  <c r="G264" i="28"/>
  <c r="P264" i="28"/>
  <c r="AF264" i="28"/>
  <c r="AN264" i="28"/>
  <c r="AW264" i="28"/>
  <c r="H264" i="28"/>
  <c r="Q264" i="28"/>
  <c r="AG264" i="28"/>
  <c r="AO264" i="28"/>
  <c r="AX264" i="28"/>
  <c r="I264" i="28"/>
  <c r="AH264" i="28"/>
  <c r="AP264" i="28"/>
  <c r="AY264" i="28"/>
  <c r="J264" i="28"/>
  <c r="AI264" i="28"/>
  <c r="AR264" i="28"/>
  <c r="AZ264" i="28"/>
  <c r="K264" i="28"/>
  <c r="AB264" i="28"/>
  <c r="AJ264" i="28"/>
  <c r="AS264" i="28"/>
  <c r="BA264" i="28"/>
  <c r="L264" i="28"/>
  <c r="AC264" i="28"/>
  <c r="AK264" i="28"/>
  <c r="AT264" i="28"/>
  <c r="N264" i="28"/>
  <c r="AD264" i="28"/>
  <c r="AL264" i="28"/>
  <c r="AU264" i="28"/>
  <c r="F264" i="28"/>
  <c r="O264" i="28"/>
  <c r="AE264" i="28"/>
  <c r="AM264" i="28"/>
  <c r="AV264" i="28"/>
  <c r="O220" i="28"/>
  <c r="N220" i="28"/>
  <c r="O232" i="28"/>
  <c r="N232" i="28"/>
  <c r="O242" i="28"/>
  <c r="N242" i="28"/>
  <c r="N237" i="28"/>
  <c r="O237" i="28"/>
  <c r="N221" i="28"/>
  <c r="O221" i="28"/>
  <c r="N228" i="28"/>
  <c r="O228" i="28"/>
  <c r="N243" i="28"/>
  <c r="O243" i="28"/>
  <c r="N227" i="28"/>
  <c r="O227" i="28"/>
  <c r="O238" i="28"/>
  <c r="N238" i="28"/>
  <c r="O222" i="28"/>
  <c r="N222" i="28"/>
  <c r="N233" i="28"/>
  <c r="O233" i="28"/>
  <c r="N217" i="28"/>
  <c r="O217" i="28"/>
  <c r="N236" i="28"/>
  <c r="O236" i="28"/>
  <c r="N235" i="28"/>
  <c r="O235" i="28"/>
  <c r="N219" i="28"/>
  <c r="O219" i="28"/>
  <c r="O230" i="28"/>
  <c r="N230" i="28"/>
  <c r="N241" i="28"/>
  <c r="O241" i="28"/>
  <c r="N225" i="28"/>
  <c r="O225" i="28"/>
  <c r="N231" i="28"/>
  <c r="O231" i="28"/>
  <c r="O226" i="28"/>
  <c r="N226" i="28"/>
  <c r="O240" i="28"/>
  <c r="N240" i="28"/>
  <c r="O224" i="28"/>
  <c r="N224" i="28"/>
  <c r="N239" i="28"/>
  <c r="O239" i="28"/>
  <c r="N223" i="28"/>
  <c r="O223" i="28"/>
  <c r="N234" i="28"/>
  <c r="O234" i="28"/>
  <c r="N229" i="28"/>
  <c r="O229" i="28"/>
  <c r="L244" i="28"/>
  <c r="O244" i="28"/>
  <c r="N244" i="28"/>
  <c r="AT228" i="28"/>
  <c r="AU228" i="28"/>
  <c r="AT238" i="28"/>
  <c r="AU238" i="28"/>
  <c r="AT240" i="28"/>
  <c r="AU240" i="28"/>
  <c r="AT224" i="28"/>
  <c r="AU224" i="28"/>
  <c r="AT239" i="28"/>
  <c r="AU239" i="28"/>
  <c r="AT223" i="28"/>
  <c r="AU223" i="28"/>
  <c r="AT234" i="28"/>
  <c r="AU234" i="28"/>
  <c r="AT218" i="28"/>
  <c r="AU218" i="28"/>
  <c r="AU229" i="28"/>
  <c r="AT229" i="28"/>
  <c r="AT215" i="28"/>
  <c r="AU215" i="28"/>
  <c r="AT244" i="28"/>
  <c r="AU244" i="28"/>
  <c r="AW244" i="28"/>
  <c r="AV244" i="28"/>
  <c r="AT227" i="28"/>
  <c r="AU227" i="28"/>
  <c r="AT222" i="28"/>
  <c r="AU222" i="28"/>
  <c r="AU233" i="28"/>
  <c r="AT233" i="28"/>
  <c r="AU217" i="28"/>
  <c r="AT217" i="28"/>
  <c r="AT236" i="28"/>
  <c r="AU236" i="28"/>
  <c r="AT220" i="28"/>
  <c r="AU220" i="28"/>
  <c r="AT235" i="28"/>
  <c r="AU235" i="28"/>
  <c r="AT219" i="28"/>
  <c r="AU219" i="28"/>
  <c r="AT230" i="28"/>
  <c r="AU230" i="28"/>
  <c r="AU241" i="28"/>
  <c r="AT241" i="28"/>
  <c r="AU225" i="28"/>
  <c r="AT225" i="28"/>
  <c r="AT216" i="28"/>
  <c r="AU216" i="28"/>
  <c r="AT242" i="28"/>
  <c r="AU242" i="28"/>
  <c r="AU221" i="28"/>
  <c r="AT221" i="28"/>
  <c r="AT232" i="28"/>
  <c r="AU232" i="28"/>
  <c r="AT231" i="28"/>
  <c r="AU231" i="28"/>
  <c r="AT226" i="28"/>
  <c r="AU226" i="28"/>
  <c r="AU237" i="28"/>
  <c r="AT237" i="28"/>
  <c r="AT243" i="28"/>
  <c r="AU243" i="28"/>
  <c r="AR244" i="28"/>
  <c r="AL244" i="28"/>
  <c r="AH244" i="28"/>
  <c r="AD244" i="28"/>
  <c r="H244" i="28"/>
  <c r="AY244" i="28"/>
  <c r="AO244" i="28"/>
  <c r="AJ244" i="28"/>
  <c r="AF244" i="28"/>
  <c r="AB244" i="28"/>
  <c r="F244" i="28"/>
  <c r="AP244" i="28"/>
  <c r="AK244" i="28"/>
  <c r="AG244" i="28"/>
  <c r="AC244" i="28"/>
  <c r="G244" i="28"/>
  <c r="AM244" i="28"/>
  <c r="AI244" i="28"/>
  <c r="AE244" i="28"/>
  <c r="AX244" i="28"/>
  <c r="P244" i="28"/>
  <c r="AZ244" i="28"/>
  <c r="J244" i="28"/>
  <c r="K244" i="28"/>
  <c r="I244" i="28"/>
  <c r="AS244" i="28"/>
  <c r="BA244" i="28"/>
  <c r="AN244" i="28"/>
  <c r="AX215" i="28"/>
  <c r="AL215" i="28"/>
  <c r="AP215" i="28"/>
  <c r="H215" i="28"/>
  <c r="AM215" i="28"/>
  <c r="F215" i="28"/>
  <c r="AR215" i="28"/>
  <c r="G215" i="28"/>
  <c r="C730" i="3"/>
  <c r="C729" i="3"/>
  <c r="C733" i="3"/>
  <c r="C732" i="3"/>
  <c r="C731" i="3"/>
  <c r="O730" i="3"/>
  <c r="O731" i="3"/>
  <c r="O729" i="3"/>
  <c r="O733" i="3"/>
  <c r="O732" i="3"/>
  <c r="H731" i="3"/>
  <c r="H729" i="3"/>
  <c r="H730" i="3"/>
  <c r="H733" i="3"/>
  <c r="H732" i="3"/>
  <c r="E732" i="3"/>
  <c r="E730" i="3"/>
  <c r="E731" i="3"/>
  <c r="E729" i="3"/>
  <c r="E733" i="3"/>
  <c r="I732" i="3"/>
  <c r="I730" i="3"/>
  <c r="I733" i="3"/>
  <c r="I731" i="3"/>
  <c r="I729" i="3"/>
  <c r="Q732" i="3"/>
  <c r="Q730" i="3"/>
  <c r="Q733" i="3"/>
  <c r="Q731" i="3"/>
  <c r="Q729" i="3"/>
  <c r="G730" i="3"/>
  <c r="G729" i="3"/>
  <c r="G733" i="3"/>
  <c r="G732" i="3"/>
  <c r="G731" i="3"/>
  <c r="K730" i="3"/>
  <c r="K729" i="3"/>
  <c r="K733" i="3"/>
  <c r="K732" i="3"/>
  <c r="K731" i="3"/>
  <c r="S730" i="3"/>
  <c r="S729" i="3"/>
  <c r="S733" i="3"/>
  <c r="S732" i="3"/>
  <c r="S731" i="3"/>
  <c r="D731" i="3"/>
  <c r="D729" i="3"/>
  <c r="D730" i="3"/>
  <c r="D733" i="3"/>
  <c r="D732" i="3"/>
  <c r="L731" i="3"/>
  <c r="L729" i="3"/>
  <c r="L730" i="3"/>
  <c r="L733" i="3"/>
  <c r="L732" i="3"/>
  <c r="P731" i="3"/>
  <c r="P729" i="3"/>
  <c r="P732" i="3"/>
  <c r="P730" i="3"/>
  <c r="P733" i="3"/>
  <c r="M732" i="3"/>
  <c r="M730" i="3"/>
  <c r="M731" i="3"/>
  <c r="M729" i="3"/>
  <c r="M733" i="3"/>
  <c r="B729" i="3"/>
  <c r="B733" i="3"/>
  <c r="B731" i="3"/>
  <c r="B732" i="3"/>
  <c r="B730" i="3"/>
  <c r="F729" i="3"/>
  <c r="F733" i="3"/>
  <c r="F731" i="3"/>
  <c r="F732" i="3"/>
  <c r="F730" i="3"/>
  <c r="J729" i="3"/>
  <c r="J733" i="3"/>
  <c r="J732" i="3"/>
  <c r="J731" i="3"/>
  <c r="J730" i="3"/>
  <c r="N729" i="3"/>
  <c r="N733" i="3"/>
  <c r="N732" i="3"/>
  <c r="N731" i="3"/>
  <c r="N730" i="3"/>
  <c r="R729" i="3"/>
  <c r="R733" i="3"/>
  <c r="R732" i="3"/>
  <c r="R731" i="3"/>
  <c r="R730" i="3"/>
  <c r="AX216" i="28"/>
  <c r="AM216" i="28"/>
  <c r="H216" i="28"/>
  <c r="AR216" i="28"/>
  <c r="AL216" i="28"/>
  <c r="F216" i="28"/>
  <c r="AP216" i="28"/>
  <c r="G216" i="28"/>
  <c r="AY216" i="28"/>
  <c r="AS216" i="28"/>
  <c r="AP221" i="28"/>
  <c r="H221" i="28"/>
  <c r="F221" i="28"/>
  <c r="AX221" i="28"/>
  <c r="AM221" i="28"/>
  <c r="AR221" i="28"/>
  <c r="AL221" i="28"/>
  <c r="G221" i="28"/>
  <c r="AS221" i="28"/>
  <c r="AY221" i="28"/>
  <c r="AP228" i="28"/>
  <c r="H228" i="28"/>
  <c r="F228" i="28"/>
  <c r="AX228" i="28"/>
  <c r="AM228" i="28"/>
  <c r="AR228" i="28"/>
  <c r="AL228" i="28"/>
  <c r="G228" i="28"/>
  <c r="AY228" i="28"/>
  <c r="AS228" i="28"/>
  <c r="AP243" i="28"/>
  <c r="H243" i="28"/>
  <c r="F243" i="28"/>
  <c r="AX243" i="28"/>
  <c r="AM243" i="28"/>
  <c r="AR243" i="28"/>
  <c r="AL243" i="28"/>
  <c r="G243" i="28"/>
  <c r="AY243" i="28"/>
  <c r="AS243" i="28"/>
  <c r="AP227" i="28"/>
  <c r="H227" i="28"/>
  <c r="F227" i="28"/>
  <c r="AX227" i="28"/>
  <c r="AM227" i="28"/>
  <c r="AR227" i="28"/>
  <c r="AL227" i="28"/>
  <c r="G227" i="28"/>
  <c r="AY227" i="28"/>
  <c r="AS227" i="28"/>
  <c r="AP238" i="28"/>
  <c r="H238" i="28"/>
  <c r="F238" i="28"/>
  <c r="AX238" i="28"/>
  <c r="AM238" i="28"/>
  <c r="AR238" i="28"/>
  <c r="AL238" i="28"/>
  <c r="G238" i="28"/>
  <c r="AS238" i="28"/>
  <c r="AY238" i="28"/>
  <c r="AP222" i="28"/>
  <c r="H222" i="28"/>
  <c r="F222" i="28"/>
  <c r="AX222" i="28"/>
  <c r="AM222" i="28"/>
  <c r="AR222" i="28"/>
  <c r="AL222" i="28"/>
  <c r="G222" i="28"/>
  <c r="AS222" i="28"/>
  <c r="AY222" i="28"/>
  <c r="AP233" i="28"/>
  <c r="H233" i="28"/>
  <c r="F233" i="28"/>
  <c r="AX233" i="28"/>
  <c r="AM233" i="28"/>
  <c r="AR233" i="28"/>
  <c r="AL233" i="28"/>
  <c r="G233" i="28"/>
  <c r="AS233" i="28"/>
  <c r="AY233" i="28"/>
  <c r="AP217" i="28"/>
  <c r="H217" i="28"/>
  <c r="F217" i="28"/>
  <c r="AX217" i="28"/>
  <c r="AM217" i="28"/>
  <c r="AL217" i="28"/>
  <c r="AR217" i="28"/>
  <c r="G217" i="28"/>
  <c r="AS217" i="28"/>
  <c r="AY217" i="28"/>
  <c r="AP242" i="28"/>
  <c r="H242" i="28"/>
  <c r="F242" i="28"/>
  <c r="AX242" i="28"/>
  <c r="AM242" i="28"/>
  <c r="AR242" i="28"/>
  <c r="AL242" i="28"/>
  <c r="G242" i="28"/>
  <c r="AY242" i="28"/>
  <c r="AS242" i="28"/>
  <c r="AP226" i="28"/>
  <c r="H226" i="28"/>
  <c r="F226" i="28"/>
  <c r="AX226" i="28"/>
  <c r="AM226" i="28"/>
  <c r="AR226" i="28"/>
  <c r="AL226" i="28"/>
  <c r="G226" i="28"/>
  <c r="AS226" i="28"/>
  <c r="AY226" i="28"/>
  <c r="AP240" i="28"/>
  <c r="H240" i="28"/>
  <c r="F240" i="28"/>
  <c r="AX240" i="28"/>
  <c r="AM240" i="28"/>
  <c r="AR240" i="28"/>
  <c r="AL240" i="28"/>
  <c r="G240" i="28"/>
  <c r="AY240" i="28"/>
  <c r="AS240" i="28"/>
  <c r="AP224" i="28"/>
  <c r="H224" i="28"/>
  <c r="F224" i="28"/>
  <c r="AX224" i="28"/>
  <c r="AM224" i="28"/>
  <c r="AR224" i="28"/>
  <c r="AL224" i="28"/>
  <c r="G224" i="28"/>
  <c r="AS224" i="28"/>
  <c r="AY224" i="28"/>
  <c r="AP239" i="28"/>
  <c r="H239" i="28"/>
  <c r="F239" i="28"/>
  <c r="AX239" i="28"/>
  <c r="AM239" i="28"/>
  <c r="AR239" i="28"/>
  <c r="AL239" i="28"/>
  <c r="G239" i="28"/>
  <c r="AY239" i="28"/>
  <c r="AS239" i="28"/>
  <c r="AP223" i="28"/>
  <c r="H223" i="28"/>
  <c r="F223" i="28"/>
  <c r="AX223" i="28"/>
  <c r="AM223" i="28"/>
  <c r="AR223" i="28"/>
  <c r="AL223" i="28"/>
  <c r="G223" i="28"/>
  <c r="AS223" i="28"/>
  <c r="AY223" i="28"/>
  <c r="AP234" i="28"/>
  <c r="H234" i="28"/>
  <c r="F234" i="28"/>
  <c r="AX234" i="28"/>
  <c r="AM234" i="28"/>
  <c r="AR234" i="28"/>
  <c r="AL234" i="28"/>
  <c r="G234" i="28"/>
  <c r="AY234" i="28"/>
  <c r="AS234" i="28"/>
  <c r="AP218" i="28"/>
  <c r="H218" i="28"/>
  <c r="F218" i="28"/>
  <c r="AM218" i="28"/>
  <c r="AL218" i="28"/>
  <c r="G218" i="28"/>
  <c r="AP229" i="28"/>
  <c r="H229" i="28"/>
  <c r="F229" i="28"/>
  <c r="AX229" i="28"/>
  <c r="AM229" i="28"/>
  <c r="AR229" i="28"/>
  <c r="AL229" i="28"/>
  <c r="G229" i="28"/>
  <c r="AY229" i="28"/>
  <c r="AS229" i="28"/>
  <c r="AP232" i="28"/>
  <c r="H232" i="28"/>
  <c r="F232" i="28"/>
  <c r="AX232" i="28"/>
  <c r="AM232" i="28"/>
  <c r="AR232" i="28"/>
  <c r="AL232" i="28"/>
  <c r="G232" i="28"/>
  <c r="AY232" i="28"/>
  <c r="AS232" i="28"/>
  <c r="AP231" i="28"/>
  <c r="H231" i="28"/>
  <c r="F231" i="28"/>
  <c r="AX231" i="28"/>
  <c r="AM231" i="28"/>
  <c r="AR231" i="28"/>
  <c r="AL231" i="28"/>
  <c r="G231" i="28"/>
  <c r="AS231" i="28"/>
  <c r="AY231" i="28"/>
  <c r="AP237" i="28"/>
  <c r="H237" i="28"/>
  <c r="F237" i="28"/>
  <c r="AX237" i="28"/>
  <c r="AM237" i="28"/>
  <c r="AR237" i="28"/>
  <c r="AL237" i="28"/>
  <c r="G237" i="28"/>
  <c r="AS237" i="28"/>
  <c r="AY237" i="28"/>
  <c r="AP236" i="28"/>
  <c r="H236" i="28"/>
  <c r="F236" i="28"/>
  <c r="AX236" i="28"/>
  <c r="AM236" i="28"/>
  <c r="AR236" i="28"/>
  <c r="AL236" i="28"/>
  <c r="G236" i="28"/>
  <c r="AS236" i="28"/>
  <c r="AY236" i="28"/>
  <c r="AP220" i="28"/>
  <c r="H220" i="28"/>
  <c r="F220" i="28"/>
  <c r="AX220" i="28"/>
  <c r="AM220" i="28"/>
  <c r="AR220" i="28"/>
  <c r="AL220" i="28"/>
  <c r="G220" i="28"/>
  <c r="AS220" i="28"/>
  <c r="AY220" i="28"/>
  <c r="AP235" i="28"/>
  <c r="H235" i="28"/>
  <c r="F235" i="28"/>
  <c r="AX235" i="28"/>
  <c r="AM235" i="28"/>
  <c r="AR235" i="28"/>
  <c r="AL235" i="28"/>
  <c r="G235" i="28"/>
  <c r="AS235" i="28"/>
  <c r="AY235" i="28"/>
  <c r="AP219" i="28"/>
  <c r="H219" i="28"/>
  <c r="F219" i="28"/>
  <c r="AX219" i="28"/>
  <c r="AM219" i="28"/>
  <c r="AR219" i="28"/>
  <c r="AL219" i="28"/>
  <c r="G219" i="28"/>
  <c r="AS219" i="28"/>
  <c r="AY219" i="28"/>
  <c r="AP230" i="28"/>
  <c r="H230" i="28"/>
  <c r="F230" i="28"/>
  <c r="AX230" i="28"/>
  <c r="AM230" i="28"/>
  <c r="AR230" i="28"/>
  <c r="AL230" i="28"/>
  <c r="G230" i="28"/>
  <c r="AY230" i="28"/>
  <c r="AS230" i="28"/>
  <c r="AP241" i="28"/>
  <c r="H241" i="28"/>
  <c r="F241" i="28"/>
  <c r="AX241" i="28"/>
  <c r="AM241" i="28"/>
  <c r="AL241" i="28"/>
  <c r="AR241" i="28"/>
  <c r="G241" i="28"/>
  <c r="AY241" i="28"/>
  <c r="AS241" i="28"/>
  <c r="AP225" i="28"/>
  <c r="H225" i="28"/>
  <c r="F225" i="28"/>
  <c r="AX225" i="28"/>
  <c r="AM225" i="28"/>
  <c r="AR225" i="28"/>
  <c r="AL225" i="28"/>
  <c r="G225" i="28"/>
  <c r="AY225" i="28"/>
  <c r="AS225" i="28"/>
  <c r="D130" i="3"/>
  <c r="D726" i="3"/>
  <c r="D722" i="3"/>
  <c r="D718" i="3"/>
  <c r="D727" i="3"/>
  <c r="D723" i="3"/>
  <c r="D719" i="3"/>
  <c r="D715" i="3"/>
  <c r="D728" i="3"/>
  <c r="D724" i="3"/>
  <c r="D720" i="3"/>
  <c r="D716" i="3"/>
  <c r="D712" i="3"/>
  <c r="D725" i="3"/>
  <c r="D711" i="3"/>
  <c r="D707" i="3"/>
  <c r="D703" i="3"/>
  <c r="D708" i="3"/>
  <c r="D704" i="3"/>
  <c r="D717" i="3"/>
  <c r="D714" i="3"/>
  <c r="D709" i="3"/>
  <c r="D705" i="3"/>
  <c r="D721" i="3"/>
  <c r="D713" i="3"/>
  <c r="D710" i="3"/>
  <c r="D706" i="3"/>
  <c r="D702" i="3"/>
  <c r="D698" i="3"/>
  <c r="D694" i="3"/>
  <c r="D690" i="3"/>
  <c r="D686" i="3"/>
  <c r="D682" i="3"/>
  <c r="D701" i="3"/>
  <c r="D699" i="3"/>
  <c r="D695" i="3"/>
  <c r="D691" i="3"/>
  <c r="D687" i="3"/>
  <c r="D683" i="3"/>
  <c r="D700" i="3"/>
  <c r="D696" i="3"/>
  <c r="D692" i="3"/>
  <c r="D688" i="3"/>
  <c r="D697" i="3"/>
  <c r="D693" i="3"/>
  <c r="D689" i="3"/>
  <c r="D685" i="3"/>
  <c r="D679" i="3"/>
  <c r="D675" i="3"/>
  <c r="D671" i="3"/>
  <c r="D667" i="3"/>
  <c r="D663" i="3"/>
  <c r="D680" i="3"/>
  <c r="D676" i="3"/>
  <c r="D672" i="3"/>
  <c r="D668" i="3"/>
  <c r="D664" i="3"/>
  <c r="D660" i="3"/>
  <c r="D684" i="3"/>
  <c r="D677" i="3"/>
  <c r="D673" i="3"/>
  <c r="D669" i="3"/>
  <c r="D681" i="3"/>
  <c r="D678" i="3"/>
  <c r="D674" i="3"/>
  <c r="D670" i="3"/>
  <c r="D666" i="3"/>
  <c r="D662" i="3"/>
  <c r="D658" i="3"/>
  <c r="D665" i="3"/>
  <c r="D657" i="3"/>
  <c r="D655" i="3"/>
  <c r="D651" i="3"/>
  <c r="D647" i="3"/>
  <c r="D643" i="3"/>
  <c r="D639" i="3"/>
  <c r="D635" i="3"/>
  <c r="D631" i="3"/>
  <c r="D627" i="3"/>
  <c r="D656" i="3"/>
  <c r="D652" i="3"/>
  <c r="D648" i="3"/>
  <c r="D644" i="3"/>
  <c r="D640" i="3"/>
  <c r="D636" i="3"/>
  <c r="D632" i="3"/>
  <c r="D661" i="3"/>
  <c r="D653" i="3"/>
  <c r="D649" i="3"/>
  <c r="D645" i="3"/>
  <c r="D641" i="3"/>
  <c r="D637" i="3"/>
  <c r="D633" i="3"/>
  <c r="D659" i="3"/>
  <c r="D654" i="3"/>
  <c r="D650" i="3"/>
  <c r="D646" i="3"/>
  <c r="D642" i="3"/>
  <c r="D638" i="3"/>
  <c r="D634" i="3"/>
  <c r="D630" i="3"/>
  <c r="D626" i="3"/>
  <c r="D625" i="3"/>
  <c r="D622" i="3"/>
  <c r="D618" i="3"/>
  <c r="D614" i="3"/>
  <c r="D610" i="3"/>
  <c r="D606" i="3"/>
  <c r="D602" i="3"/>
  <c r="D598" i="3"/>
  <c r="D594" i="3"/>
  <c r="D590" i="3"/>
  <c r="D623" i="3"/>
  <c r="D619" i="3"/>
  <c r="D615" i="3"/>
  <c r="D611" i="3"/>
  <c r="D607" i="3"/>
  <c r="D603" i="3"/>
  <c r="D599" i="3"/>
  <c r="D595" i="3"/>
  <c r="D629" i="3"/>
  <c r="D624" i="3"/>
  <c r="D620" i="3"/>
  <c r="D616" i="3"/>
  <c r="D612" i="3"/>
  <c r="D608" i="3"/>
  <c r="D604" i="3"/>
  <c r="D628" i="3"/>
  <c r="D621" i="3"/>
  <c r="D617" i="3"/>
  <c r="D613" i="3"/>
  <c r="D609" i="3"/>
  <c r="D605" i="3"/>
  <c r="D601" i="3"/>
  <c r="D597" i="3"/>
  <c r="D592" i="3"/>
  <c r="D589" i="3"/>
  <c r="D585" i="3"/>
  <c r="D581" i="3"/>
  <c r="D577" i="3"/>
  <c r="D573" i="3"/>
  <c r="D569" i="3"/>
  <c r="D565" i="3"/>
  <c r="D561" i="3"/>
  <c r="D596" i="3"/>
  <c r="D593" i="3"/>
  <c r="D586" i="3"/>
  <c r="D582" i="3"/>
  <c r="D578" i="3"/>
  <c r="D574" i="3"/>
  <c r="D570" i="3"/>
  <c r="D566" i="3"/>
  <c r="D600" i="3"/>
  <c r="D591" i="3"/>
  <c r="D587" i="3"/>
  <c r="D583" i="3"/>
  <c r="D579" i="3"/>
  <c r="D575" i="3"/>
  <c r="D571" i="3"/>
  <c r="D567" i="3"/>
  <c r="D588" i="3"/>
  <c r="D584" i="3"/>
  <c r="D580" i="3"/>
  <c r="D576" i="3"/>
  <c r="D572" i="3"/>
  <c r="D568" i="3"/>
  <c r="D564" i="3"/>
  <c r="D560" i="3"/>
  <c r="D556" i="3"/>
  <c r="D552" i="3"/>
  <c r="D548" i="3"/>
  <c r="D544" i="3"/>
  <c r="D540" i="3"/>
  <c r="D536" i="3"/>
  <c r="D532" i="3"/>
  <c r="D528" i="3"/>
  <c r="D524" i="3"/>
  <c r="D520" i="3"/>
  <c r="D563" i="3"/>
  <c r="D557" i="3"/>
  <c r="D553" i="3"/>
  <c r="D549" i="3"/>
  <c r="D545" i="3"/>
  <c r="D541" i="3"/>
  <c r="D537" i="3"/>
  <c r="D533" i="3"/>
  <c r="D529" i="3"/>
  <c r="D562" i="3"/>
  <c r="D558" i="3"/>
  <c r="D554" i="3"/>
  <c r="D550" i="3"/>
  <c r="D546" i="3"/>
  <c r="D542" i="3"/>
  <c r="D538" i="3"/>
  <c r="D534" i="3"/>
  <c r="D530" i="3"/>
  <c r="D526" i="3"/>
  <c r="D559" i="3"/>
  <c r="D555" i="3"/>
  <c r="D551" i="3"/>
  <c r="D547" i="3"/>
  <c r="D543" i="3"/>
  <c r="D539" i="3"/>
  <c r="D535" i="3"/>
  <c r="D531" i="3"/>
  <c r="D527" i="3"/>
  <c r="D523" i="3"/>
  <c r="D525" i="3"/>
  <c r="D517" i="3"/>
  <c r="D513" i="3"/>
  <c r="D509" i="3"/>
  <c r="D505" i="3"/>
  <c r="D501" i="3"/>
  <c r="D497" i="3"/>
  <c r="D493" i="3"/>
  <c r="D489" i="3"/>
  <c r="D485" i="3"/>
  <c r="D481" i="3"/>
  <c r="D477" i="3"/>
  <c r="D473" i="3"/>
  <c r="D469" i="3"/>
  <c r="D465" i="3"/>
  <c r="D461" i="3"/>
  <c r="D457" i="3"/>
  <c r="D453" i="3"/>
  <c r="D522" i="3"/>
  <c r="D518" i="3"/>
  <c r="D514" i="3"/>
  <c r="D510" i="3"/>
  <c r="D506" i="3"/>
  <c r="D502" i="3"/>
  <c r="D498" i="3"/>
  <c r="D494" i="3"/>
  <c r="D490" i="3"/>
  <c r="D486" i="3"/>
  <c r="D482" i="3"/>
  <c r="D478" i="3"/>
  <c r="D474" i="3"/>
  <c r="D470" i="3"/>
  <c r="D466" i="3"/>
  <c r="D462" i="3"/>
  <c r="D521" i="3"/>
  <c r="D519" i="3"/>
  <c r="D515" i="3"/>
  <c r="D511" i="3"/>
  <c r="D507" i="3"/>
  <c r="D503" i="3"/>
  <c r="D499" i="3"/>
  <c r="D495" i="3"/>
  <c r="D491" i="3"/>
  <c r="D487" i="3"/>
  <c r="D483" i="3"/>
  <c r="D479" i="3"/>
  <c r="D475" i="3"/>
  <c r="D471" i="3"/>
  <c r="D467" i="3"/>
  <c r="D463" i="3"/>
  <c r="D516" i="3"/>
  <c r="D512" i="3"/>
  <c r="D508" i="3"/>
  <c r="D504" i="3"/>
  <c r="D500" i="3"/>
  <c r="D496" i="3"/>
  <c r="D492" i="3"/>
  <c r="D488" i="3"/>
  <c r="D484" i="3"/>
  <c r="D480" i="3"/>
  <c r="D476" i="3"/>
  <c r="D472" i="3"/>
  <c r="D468" i="3"/>
  <c r="D464" i="3"/>
  <c r="D460" i="3"/>
  <c r="D456" i="3"/>
  <c r="D452" i="3"/>
  <c r="D458" i="3"/>
  <c r="D449" i="3"/>
  <c r="D445" i="3"/>
  <c r="D441" i="3"/>
  <c r="D437" i="3"/>
  <c r="D433" i="3"/>
  <c r="D429" i="3"/>
  <c r="D425" i="3"/>
  <c r="D421" i="3"/>
  <c r="D417" i="3"/>
  <c r="D413" i="3"/>
  <c r="D409" i="3"/>
  <c r="D405" i="3"/>
  <c r="D401" i="3"/>
  <c r="D397" i="3"/>
  <c r="D393" i="3"/>
  <c r="D389" i="3"/>
  <c r="D385" i="3"/>
  <c r="D455" i="3"/>
  <c r="D450" i="3"/>
  <c r="D446" i="3"/>
  <c r="D442" i="3"/>
  <c r="D438" i="3"/>
  <c r="D434" i="3"/>
  <c r="D430" i="3"/>
  <c r="D426" i="3"/>
  <c r="D422" i="3"/>
  <c r="D418" i="3"/>
  <c r="D414" i="3"/>
  <c r="D410" i="3"/>
  <c r="D406" i="3"/>
  <c r="D402" i="3"/>
  <c r="D398" i="3"/>
  <c r="D454" i="3"/>
  <c r="D447" i="3"/>
  <c r="D443" i="3"/>
  <c r="D439" i="3"/>
  <c r="D435" i="3"/>
  <c r="D431" i="3"/>
  <c r="D427" i="3"/>
  <c r="D423" i="3"/>
  <c r="D419" i="3"/>
  <c r="D415" i="3"/>
  <c r="D411" i="3"/>
  <c r="D407" i="3"/>
  <c r="D403" i="3"/>
  <c r="D399" i="3"/>
  <c r="D395" i="3"/>
  <c r="D459" i="3"/>
  <c r="D451" i="3"/>
  <c r="D448" i="3"/>
  <c r="D444" i="3"/>
  <c r="D440" i="3"/>
  <c r="D436" i="3"/>
  <c r="D432" i="3"/>
  <c r="D428" i="3"/>
  <c r="D424" i="3"/>
  <c r="D420" i="3"/>
  <c r="D416" i="3"/>
  <c r="D412" i="3"/>
  <c r="D408" i="3"/>
  <c r="D404" i="3"/>
  <c r="D400" i="3"/>
  <c r="D396" i="3"/>
  <c r="D392" i="3"/>
  <c r="D388" i="3"/>
  <c r="D384" i="3"/>
  <c r="D387" i="3"/>
  <c r="D380" i="3"/>
  <c r="D376" i="3"/>
  <c r="D372" i="3"/>
  <c r="D368" i="3"/>
  <c r="D364" i="3"/>
  <c r="D360" i="3"/>
  <c r="D356" i="3"/>
  <c r="D352" i="3"/>
  <c r="D348" i="3"/>
  <c r="D344" i="3"/>
  <c r="D340" i="3"/>
  <c r="D336" i="3"/>
  <c r="D332" i="3"/>
  <c r="D328" i="3"/>
  <c r="D324" i="3"/>
  <c r="D320" i="3"/>
  <c r="D316" i="3"/>
  <c r="D312" i="3"/>
  <c r="D386" i="3"/>
  <c r="D381" i="3"/>
  <c r="D377" i="3"/>
  <c r="D373" i="3"/>
  <c r="D369" i="3"/>
  <c r="D365" i="3"/>
  <c r="D361" i="3"/>
  <c r="D357" i="3"/>
  <c r="D353" i="3"/>
  <c r="D349" i="3"/>
  <c r="D345" i="3"/>
  <c r="D341" i="3"/>
  <c r="D337" i="3"/>
  <c r="D333" i="3"/>
  <c r="D329" i="3"/>
  <c r="D325" i="3"/>
  <c r="D321" i="3"/>
  <c r="D391" i="3"/>
  <c r="D382" i="3"/>
  <c r="D378" i="3"/>
  <c r="D374" i="3"/>
  <c r="D370" i="3"/>
  <c r="D366" i="3"/>
  <c r="D362" i="3"/>
  <c r="D358" i="3"/>
  <c r="D354" i="3"/>
  <c r="D350" i="3"/>
  <c r="D346" i="3"/>
  <c r="D342" i="3"/>
  <c r="D338" i="3"/>
  <c r="D334" i="3"/>
  <c r="D330" i="3"/>
  <c r="D394" i="3"/>
  <c r="D390" i="3"/>
  <c r="D383" i="3"/>
  <c r="D379" i="3"/>
  <c r="D375" i="3"/>
  <c r="D371" i="3"/>
  <c r="D367" i="3"/>
  <c r="D363" i="3"/>
  <c r="D359" i="3"/>
  <c r="D355" i="3"/>
  <c r="D351" i="3"/>
  <c r="D347" i="3"/>
  <c r="D343" i="3"/>
  <c r="D339" i="3"/>
  <c r="D335" i="3"/>
  <c r="D331" i="3"/>
  <c r="D327" i="3"/>
  <c r="D323" i="3"/>
  <c r="D319" i="3"/>
  <c r="D315" i="3"/>
  <c r="D314" i="3"/>
  <c r="D307" i="3"/>
  <c r="D303" i="3"/>
  <c r="D299" i="3"/>
  <c r="D295" i="3"/>
  <c r="D291" i="3"/>
  <c r="D287" i="3"/>
  <c r="D283" i="3"/>
  <c r="D279" i="3"/>
  <c r="D275" i="3"/>
  <c r="D271" i="3"/>
  <c r="D267" i="3"/>
  <c r="D263" i="3"/>
  <c r="D259" i="3"/>
  <c r="D255" i="3"/>
  <c r="D251" i="3"/>
  <c r="D247" i="3"/>
  <c r="D243" i="3"/>
  <c r="D239" i="3"/>
  <c r="D235" i="3"/>
  <c r="D231" i="3"/>
  <c r="D227" i="3"/>
  <c r="D223" i="3"/>
  <c r="D219" i="3"/>
  <c r="D318" i="3"/>
  <c r="D313" i="3"/>
  <c r="D311" i="3"/>
  <c r="D308" i="3"/>
  <c r="D304" i="3"/>
  <c r="D300" i="3"/>
  <c r="D296" i="3"/>
  <c r="D292" i="3"/>
  <c r="D288" i="3"/>
  <c r="D284" i="3"/>
  <c r="D280" i="3"/>
  <c r="D276" i="3"/>
  <c r="D272" i="3"/>
  <c r="D268" i="3"/>
  <c r="D264" i="3"/>
  <c r="D260" i="3"/>
  <c r="D256" i="3"/>
  <c r="D252" i="3"/>
  <c r="D248" i="3"/>
  <c r="D244" i="3"/>
  <c r="D240" i="3"/>
  <c r="D236" i="3"/>
  <c r="D232" i="3"/>
  <c r="D228" i="3"/>
  <c r="D224" i="3"/>
  <c r="D322" i="3"/>
  <c r="D309" i="3"/>
  <c r="D305" i="3"/>
  <c r="D301" i="3"/>
  <c r="D297" i="3"/>
  <c r="D293" i="3"/>
  <c r="D289" i="3"/>
  <c r="D285" i="3"/>
  <c r="D281" i="3"/>
  <c r="D277" i="3"/>
  <c r="D273" i="3"/>
  <c r="D269" i="3"/>
  <c r="D265" i="3"/>
  <c r="D261" i="3"/>
  <c r="D257" i="3"/>
  <c r="D253" i="3"/>
  <c r="D249" i="3"/>
  <c r="D245" i="3"/>
  <c r="D326" i="3"/>
  <c r="D317" i="3"/>
  <c r="D310" i="3"/>
  <c r="D306" i="3"/>
  <c r="D302" i="3"/>
  <c r="D298" i="3"/>
  <c r="D294" i="3"/>
  <c r="D290" i="3"/>
  <c r="D286" i="3"/>
  <c r="D282" i="3"/>
  <c r="D278" i="3"/>
  <c r="D274" i="3"/>
  <c r="D270" i="3"/>
  <c r="D266" i="3"/>
  <c r="D262" i="3"/>
  <c r="D258" i="3"/>
  <c r="D254" i="3"/>
  <c r="D250" i="3"/>
  <c r="D246" i="3"/>
  <c r="D242" i="3"/>
  <c r="D238" i="3"/>
  <c r="D234" i="3"/>
  <c r="D233" i="3"/>
  <c r="D230" i="3"/>
  <c r="D221" i="3"/>
  <c r="D216" i="3"/>
  <c r="D212" i="3"/>
  <c r="D208" i="3"/>
  <c r="D204" i="3"/>
  <c r="D200" i="3"/>
  <c r="D196" i="3"/>
  <c r="D192" i="3"/>
  <c r="D188" i="3"/>
  <c r="D184" i="3"/>
  <c r="D180" i="3"/>
  <c r="D176" i="3"/>
  <c r="D172" i="3"/>
  <c r="D168" i="3"/>
  <c r="D164" i="3"/>
  <c r="D160" i="3"/>
  <c r="D156" i="3"/>
  <c r="D152" i="3"/>
  <c r="D148" i="3"/>
  <c r="D144" i="3"/>
  <c r="D140" i="3"/>
  <c r="D136" i="3"/>
  <c r="D237" i="3"/>
  <c r="D229" i="3"/>
  <c r="D217" i="3"/>
  <c r="D213" i="3"/>
  <c r="D209" i="3"/>
  <c r="D205" i="3"/>
  <c r="D201" i="3"/>
  <c r="D197" i="3"/>
  <c r="D193" i="3"/>
  <c r="D189" i="3"/>
  <c r="D185" i="3"/>
  <c r="D181" i="3"/>
  <c r="D177" i="3"/>
  <c r="D173" i="3"/>
  <c r="D169" i="3"/>
  <c r="D165" i="3"/>
  <c r="D161" i="3"/>
  <c r="D157" i="3"/>
  <c r="D153" i="3"/>
  <c r="D149" i="3"/>
  <c r="D145" i="3"/>
  <c r="D141" i="3"/>
  <c r="D137" i="3"/>
  <c r="D241" i="3"/>
  <c r="D226" i="3"/>
  <c r="D222" i="3"/>
  <c r="D220" i="3"/>
  <c r="D214" i="3"/>
  <c r="D210" i="3"/>
  <c r="D206" i="3"/>
  <c r="D202" i="3"/>
  <c r="D198" i="3"/>
  <c r="D194" i="3"/>
  <c r="D190" i="3"/>
  <c r="D186" i="3"/>
  <c r="D182" i="3"/>
  <c r="D178" i="3"/>
  <c r="D174" i="3"/>
  <c r="D170" i="3"/>
  <c r="D166" i="3"/>
  <c r="D162" i="3"/>
  <c r="D158" i="3"/>
  <c r="D154" i="3"/>
  <c r="D150" i="3"/>
  <c r="D146" i="3"/>
  <c r="D142" i="3"/>
  <c r="D138" i="3"/>
  <c r="D134" i="3"/>
  <c r="D225" i="3"/>
  <c r="D218" i="3"/>
  <c r="D215" i="3"/>
  <c r="D211" i="3"/>
  <c r="D207" i="3"/>
  <c r="D203" i="3"/>
  <c r="D199" i="3"/>
  <c r="D195" i="3"/>
  <c r="D191" i="3"/>
  <c r="D187" i="3"/>
  <c r="D183" i="3"/>
  <c r="D179" i="3"/>
  <c r="D175" i="3"/>
  <c r="D171" i="3"/>
  <c r="D167" i="3"/>
  <c r="D163" i="3"/>
  <c r="D159" i="3"/>
  <c r="D155" i="3"/>
  <c r="D151" i="3"/>
  <c r="D147" i="3"/>
  <c r="D143" i="3"/>
  <c r="D139" i="3"/>
  <c r="D135" i="3"/>
  <c r="L130" i="3"/>
  <c r="L726" i="3"/>
  <c r="L722" i="3"/>
  <c r="L718" i="3"/>
  <c r="L727" i="3"/>
  <c r="L723" i="3"/>
  <c r="L719" i="3"/>
  <c r="L715" i="3"/>
  <c r="L728" i="3"/>
  <c r="L724" i="3"/>
  <c r="L720" i="3"/>
  <c r="L716" i="3"/>
  <c r="L712" i="3"/>
  <c r="L717" i="3"/>
  <c r="L711" i="3"/>
  <c r="L707" i="3"/>
  <c r="L703" i="3"/>
  <c r="L699" i="3"/>
  <c r="L721" i="3"/>
  <c r="L713" i="3"/>
  <c r="L708" i="3"/>
  <c r="L704" i="3"/>
  <c r="L700" i="3"/>
  <c r="L725" i="3"/>
  <c r="L714" i="3"/>
  <c r="L709" i="3"/>
  <c r="L705" i="3"/>
  <c r="L701" i="3"/>
  <c r="L710" i="3"/>
  <c r="L706" i="3"/>
  <c r="L702" i="3"/>
  <c r="L698" i="3"/>
  <c r="L694" i="3"/>
  <c r="L690" i="3"/>
  <c r="L686" i="3"/>
  <c r="L682" i="3"/>
  <c r="L695" i="3"/>
  <c r="L691" i="3"/>
  <c r="L687" i="3"/>
  <c r="L683" i="3"/>
  <c r="L696" i="3"/>
  <c r="L692" i="3"/>
  <c r="L688" i="3"/>
  <c r="L697" i="3"/>
  <c r="L693" i="3"/>
  <c r="L689" i="3"/>
  <c r="L685" i="3"/>
  <c r="L684" i="3"/>
  <c r="L679" i="3"/>
  <c r="L675" i="3"/>
  <c r="L671" i="3"/>
  <c r="L667" i="3"/>
  <c r="L663" i="3"/>
  <c r="L681" i="3"/>
  <c r="L680" i="3"/>
  <c r="L676" i="3"/>
  <c r="L672" i="3"/>
  <c r="L668" i="3"/>
  <c r="L664" i="3"/>
  <c r="L660" i="3"/>
  <c r="L677" i="3"/>
  <c r="L673" i="3"/>
  <c r="L669" i="3"/>
  <c r="L665" i="3"/>
  <c r="L678" i="3"/>
  <c r="L674" i="3"/>
  <c r="L670" i="3"/>
  <c r="L666" i="3"/>
  <c r="L662" i="3"/>
  <c r="L658" i="3"/>
  <c r="L655" i="3"/>
  <c r="L651" i="3"/>
  <c r="L647" i="3"/>
  <c r="L643" i="3"/>
  <c r="L639" i="3"/>
  <c r="L635" i="3"/>
  <c r="L631" i="3"/>
  <c r="L627" i="3"/>
  <c r="L659" i="3"/>
  <c r="L656" i="3"/>
  <c r="L652" i="3"/>
  <c r="L648" i="3"/>
  <c r="L644" i="3"/>
  <c r="L640" i="3"/>
  <c r="L636" i="3"/>
  <c r="L632" i="3"/>
  <c r="L661" i="3"/>
  <c r="L657" i="3"/>
  <c r="L653" i="3"/>
  <c r="L649" i="3"/>
  <c r="L645" i="3"/>
  <c r="L641" i="3"/>
  <c r="L637" i="3"/>
  <c r="L633" i="3"/>
  <c r="L654" i="3"/>
  <c r="L650" i="3"/>
  <c r="L646" i="3"/>
  <c r="L642" i="3"/>
  <c r="L638" i="3"/>
  <c r="L634" i="3"/>
  <c r="L630" i="3"/>
  <c r="L626" i="3"/>
  <c r="L625" i="3"/>
  <c r="L622" i="3"/>
  <c r="L618" i="3"/>
  <c r="L614" i="3"/>
  <c r="L610" i="3"/>
  <c r="L606" i="3"/>
  <c r="L602" i="3"/>
  <c r="L598" i="3"/>
  <c r="L594" i="3"/>
  <c r="L590" i="3"/>
  <c r="L623" i="3"/>
  <c r="L619" i="3"/>
  <c r="L615" i="3"/>
  <c r="L611" i="3"/>
  <c r="L607" i="3"/>
  <c r="L603" i="3"/>
  <c r="L599" i="3"/>
  <c r="L595" i="3"/>
  <c r="L629" i="3"/>
  <c r="L624" i="3"/>
  <c r="L620" i="3"/>
  <c r="L616" i="3"/>
  <c r="L612" i="3"/>
  <c r="L608" i="3"/>
  <c r="L604" i="3"/>
  <c r="L628" i="3"/>
  <c r="L621" i="3"/>
  <c r="L617" i="3"/>
  <c r="L613" i="3"/>
  <c r="L609" i="3"/>
  <c r="L605" i="3"/>
  <c r="L601" i="3"/>
  <c r="L597" i="3"/>
  <c r="L600" i="3"/>
  <c r="L591" i="3"/>
  <c r="L585" i="3"/>
  <c r="L581" i="3"/>
  <c r="L577" i="3"/>
  <c r="L573" i="3"/>
  <c r="L569" i="3"/>
  <c r="L565" i="3"/>
  <c r="L561" i="3"/>
  <c r="L593" i="3"/>
  <c r="L589" i="3"/>
  <c r="L586" i="3"/>
  <c r="L582" i="3"/>
  <c r="L578" i="3"/>
  <c r="L574" i="3"/>
  <c r="L570" i="3"/>
  <c r="L566" i="3"/>
  <c r="L592" i="3"/>
  <c r="L587" i="3"/>
  <c r="L583" i="3"/>
  <c r="L579" i="3"/>
  <c r="L575" i="3"/>
  <c r="L571" i="3"/>
  <c r="L567" i="3"/>
  <c r="L596" i="3"/>
  <c r="L588" i="3"/>
  <c r="L584" i="3"/>
  <c r="L580" i="3"/>
  <c r="L576" i="3"/>
  <c r="L572" i="3"/>
  <c r="L568" i="3"/>
  <c r="L564" i="3"/>
  <c r="L560" i="3"/>
  <c r="L556" i="3"/>
  <c r="L552" i="3"/>
  <c r="L548" i="3"/>
  <c r="L544" i="3"/>
  <c r="L540" i="3"/>
  <c r="L536" i="3"/>
  <c r="L532" i="3"/>
  <c r="L528" i="3"/>
  <c r="L524" i="3"/>
  <c r="L520" i="3"/>
  <c r="L563" i="3"/>
  <c r="L557" i="3"/>
  <c r="L553" i="3"/>
  <c r="L549" i="3"/>
  <c r="L545" i="3"/>
  <c r="L541" i="3"/>
  <c r="L537" i="3"/>
  <c r="L533" i="3"/>
  <c r="L529" i="3"/>
  <c r="L562" i="3"/>
  <c r="L558" i="3"/>
  <c r="L554" i="3"/>
  <c r="L550" i="3"/>
  <c r="L546" i="3"/>
  <c r="L542" i="3"/>
  <c r="L538" i="3"/>
  <c r="L534" i="3"/>
  <c r="L530" i="3"/>
  <c r="L526" i="3"/>
  <c r="L559" i="3"/>
  <c r="L555" i="3"/>
  <c r="L551" i="3"/>
  <c r="L547" i="3"/>
  <c r="L543" i="3"/>
  <c r="L539" i="3"/>
  <c r="L535" i="3"/>
  <c r="L531" i="3"/>
  <c r="L527" i="3"/>
  <c r="L523" i="3"/>
  <c r="L519" i="3"/>
  <c r="L525" i="3"/>
  <c r="L517" i="3"/>
  <c r="L513" i="3"/>
  <c r="L509" i="3"/>
  <c r="L505" i="3"/>
  <c r="L501" i="3"/>
  <c r="L497" i="3"/>
  <c r="L493" i="3"/>
  <c r="L489" i="3"/>
  <c r="L485" i="3"/>
  <c r="L481" i="3"/>
  <c r="L477" i="3"/>
  <c r="L473" i="3"/>
  <c r="L469" i="3"/>
  <c r="L465" i="3"/>
  <c r="L461" i="3"/>
  <c r="L457" i="3"/>
  <c r="L453" i="3"/>
  <c r="L522" i="3"/>
  <c r="L518" i="3"/>
  <c r="L514" i="3"/>
  <c r="L510" i="3"/>
  <c r="L506" i="3"/>
  <c r="L502" i="3"/>
  <c r="L498" i="3"/>
  <c r="L494" i="3"/>
  <c r="L490" i="3"/>
  <c r="L486" i="3"/>
  <c r="L482" i="3"/>
  <c r="L478" i="3"/>
  <c r="L474" i="3"/>
  <c r="L470" i="3"/>
  <c r="L466" i="3"/>
  <c r="L462" i="3"/>
  <c r="L521" i="3"/>
  <c r="L515" i="3"/>
  <c r="L511" i="3"/>
  <c r="L507" i="3"/>
  <c r="L503" i="3"/>
  <c r="L499" i="3"/>
  <c r="L495" i="3"/>
  <c r="L491" i="3"/>
  <c r="L487" i="3"/>
  <c r="L483" i="3"/>
  <c r="L479" i="3"/>
  <c r="L475" i="3"/>
  <c r="L471" i="3"/>
  <c r="L467" i="3"/>
  <c r="L463" i="3"/>
  <c r="L516" i="3"/>
  <c r="L512" i="3"/>
  <c r="L508" i="3"/>
  <c r="L504" i="3"/>
  <c r="L500" i="3"/>
  <c r="L496" i="3"/>
  <c r="L492" i="3"/>
  <c r="L488" i="3"/>
  <c r="L484" i="3"/>
  <c r="L480" i="3"/>
  <c r="L476" i="3"/>
  <c r="L472" i="3"/>
  <c r="L468" i="3"/>
  <c r="L464" i="3"/>
  <c r="L460" i="3"/>
  <c r="L456" i="3"/>
  <c r="L452" i="3"/>
  <c r="L458" i="3"/>
  <c r="L449" i="3"/>
  <c r="L445" i="3"/>
  <c r="L441" i="3"/>
  <c r="L437" i="3"/>
  <c r="L433" i="3"/>
  <c r="L429" i="3"/>
  <c r="L425" i="3"/>
  <c r="L421" i="3"/>
  <c r="L417" i="3"/>
  <c r="L413" i="3"/>
  <c r="L409" i="3"/>
  <c r="L405" i="3"/>
  <c r="L401" i="3"/>
  <c r="L397" i="3"/>
  <c r="L393" i="3"/>
  <c r="L389" i="3"/>
  <c r="L385" i="3"/>
  <c r="L459" i="3"/>
  <c r="L455" i="3"/>
  <c r="L450" i="3"/>
  <c r="L446" i="3"/>
  <c r="L442" i="3"/>
  <c r="L438" i="3"/>
  <c r="L434" i="3"/>
  <c r="L430" i="3"/>
  <c r="L426" i="3"/>
  <c r="L422" i="3"/>
  <c r="L418" i="3"/>
  <c r="L414" i="3"/>
  <c r="L410" i="3"/>
  <c r="L406" i="3"/>
  <c r="L402" i="3"/>
  <c r="L398" i="3"/>
  <c r="L454" i="3"/>
  <c r="L447" i="3"/>
  <c r="L443" i="3"/>
  <c r="L439" i="3"/>
  <c r="L435" i="3"/>
  <c r="L431" i="3"/>
  <c r="L427" i="3"/>
  <c r="L423" i="3"/>
  <c r="L419" i="3"/>
  <c r="L415" i="3"/>
  <c r="L411" i="3"/>
  <c r="L407" i="3"/>
  <c r="L403" i="3"/>
  <c r="L399" i="3"/>
  <c r="L395" i="3"/>
  <c r="L451" i="3"/>
  <c r="L448" i="3"/>
  <c r="L444" i="3"/>
  <c r="L440" i="3"/>
  <c r="L436" i="3"/>
  <c r="L432" i="3"/>
  <c r="L428" i="3"/>
  <c r="L424" i="3"/>
  <c r="L420" i="3"/>
  <c r="L416" i="3"/>
  <c r="L412" i="3"/>
  <c r="L408" i="3"/>
  <c r="L404" i="3"/>
  <c r="L400" i="3"/>
  <c r="L396" i="3"/>
  <c r="L392" i="3"/>
  <c r="L388" i="3"/>
  <c r="L384" i="3"/>
  <c r="L387" i="3"/>
  <c r="L380" i="3"/>
  <c r="L376" i="3"/>
  <c r="L372" i="3"/>
  <c r="L368" i="3"/>
  <c r="L364" i="3"/>
  <c r="L360" i="3"/>
  <c r="L356" i="3"/>
  <c r="L352" i="3"/>
  <c r="L348" i="3"/>
  <c r="L344" i="3"/>
  <c r="L340" i="3"/>
  <c r="L336" i="3"/>
  <c r="L332" i="3"/>
  <c r="L328" i="3"/>
  <c r="L324" i="3"/>
  <c r="L320" i="3"/>
  <c r="L316" i="3"/>
  <c r="L312" i="3"/>
  <c r="L394" i="3"/>
  <c r="L386" i="3"/>
  <c r="L381" i="3"/>
  <c r="L377" i="3"/>
  <c r="L373" i="3"/>
  <c r="L369" i="3"/>
  <c r="L365" i="3"/>
  <c r="L361" i="3"/>
  <c r="L357" i="3"/>
  <c r="L353" i="3"/>
  <c r="L349" i="3"/>
  <c r="L345" i="3"/>
  <c r="L341" i="3"/>
  <c r="L337" i="3"/>
  <c r="L333" i="3"/>
  <c r="L329" i="3"/>
  <c r="L325" i="3"/>
  <c r="L321" i="3"/>
  <c r="L317" i="3"/>
  <c r="L391" i="3"/>
  <c r="L382" i="3"/>
  <c r="L378" i="3"/>
  <c r="L374" i="3"/>
  <c r="L370" i="3"/>
  <c r="L366" i="3"/>
  <c r="L362" i="3"/>
  <c r="L358" i="3"/>
  <c r="L354" i="3"/>
  <c r="L350" i="3"/>
  <c r="L346" i="3"/>
  <c r="L342" i="3"/>
  <c r="L338" i="3"/>
  <c r="L334" i="3"/>
  <c r="L330" i="3"/>
  <c r="L390" i="3"/>
  <c r="L383" i="3"/>
  <c r="L379" i="3"/>
  <c r="L375" i="3"/>
  <c r="L371" i="3"/>
  <c r="L367" i="3"/>
  <c r="L363" i="3"/>
  <c r="L359" i="3"/>
  <c r="L355" i="3"/>
  <c r="L351" i="3"/>
  <c r="L347" i="3"/>
  <c r="L343" i="3"/>
  <c r="L339" i="3"/>
  <c r="L335" i="3"/>
  <c r="L331" i="3"/>
  <c r="L327" i="3"/>
  <c r="L323" i="3"/>
  <c r="L319" i="3"/>
  <c r="L315" i="3"/>
  <c r="L311" i="3"/>
  <c r="L322" i="3"/>
  <c r="L314" i="3"/>
  <c r="L307" i="3"/>
  <c r="L303" i="3"/>
  <c r="L299" i="3"/>
  <c r="L295" i="3"/>
  <c r="L291" i="3"/>
  <c r="L287" i="3"/>
  <c r="L283" i="3"/>
  <c r="L279" i="3"/>
  <c r="L275" i="3"/>
  <c r="L271" i="3"/>
  <c r="L267" i="3"/>
  <c r="L263" i="3"/>
  <c r="L259" i="3"/>
  <c r="L255" i="3"/>
  <c r="L251" i="3"/>
  <c r="L247" i="3"/>
  <c r="L243" i="3"/>
  <c r="L239" i="3"/>
  <c r="L235" i="3"/>
  <c r="L231" i="3"/>
  <c r="L227" i="3"/>
  <c r="L223" i="3"/>
  <c r="L219" i="3"/>
  <c r="L326" i="3"/>
  <c r="L313" i="3"/>
  <c r="L308" i="3"/>
  <c r="L304" i="3"/>
  <c r="L300" i="3"/>
  <c r="L296" i="3"/>
  <c r="L292" i="3"/>
  <c r="L288" i="3"/>
  <c r="L284" i="3"/>
  <c r="L280" i="3"/>
  <c r="L276" i="3"/>
  <c r="L272" i="3"/>
  <c r="L268" i="3"/>
  <c r="L264" i="3"/>
  <c r="L260" i="3"/>
  <c r="L256" i="3"/>
  <c r="L252" i="3"/>
  <c r="L248" i="3"/>
  <c r="L244" i="3"/>
  <c r="L240" i="3"/>
  <c r="L236" i="3"/>
  <c r="L232" i="3"/>
  <c r="L228" i="3"/>
  <c r="L224" i="3"/>
  <c r="L309" i="3"/>
  <c r="L305" i="3"/>
  <c r="L301" i="3"/>
  <c r="L297" i="3"/>
  <c r="L293" i="3"/>
  <c r="L289" i="3"/>
  <c r="L285" i="3"/>
  <c r="L281" i="3"/>
  <c r="L277" i="3"/>
  <c r="L273" i="3"/>
  <c r="L269" i="3"/>
  <c r="L265" i="3"/>
  <c r="L261" i="3"/>
  <c r="L257" i="3"/>
  <c r="L253" i="3"/>
  <c r="L249" i="3"/>
  <c r="L245" i="3"/>
  <c r="L318" i="3"/>
  <c r="L310" i="3"/>
  <c r="L306" i="3"/>
  <c r="L302" i="3"/>
  <c r="L298" i="3"/>
  <c r="L294" i="3"/>
  <c r="L290" i="3"/>
  <c r="L286" i="3"/>
  <c r="L282" i="3"/>
  <c r="L278" i="3"/>
  <c r="L274" i="3"/>
  <c r="L270" i="3"/>
  <c r="L266" i="3"/>
  <c r="L262" i="3"/>
  <c r="L258" i="3"/>
  <c r="L254" i="3"/>
  <c r="L250" i="3"/>
  <c r="L246" i="3"/>
  <c r="L242" i="3"/>
  <c r="L238" i="3"/>
  <c r="L234" i="3"/>
  <c r="L230" i="3"/>
  <c r="L241" i="3"/>
  <c r="L222" i="3"/>
  <c r="L220" i="3"/>
  <c r="L216" i="3"/>
  <c r="L212" i="3"/>
  <c r="L208" i="3"/>
  <c r="L204" i="3"/>
  <c r="L200" i="3"/>
  <c r="L196" i="3"/>
  <c r="L192" i="3"/>
  <c r="L188" i="3"/>
  <c r="L184" i="3"/>
  <c r="L180" i="3"/>
  <c r="L176" i="3"/>
  <c r="L172" i="3"/>
  <c r="L168" i="3"/>
  <c r="L164" i="3"/>
  <c r="L160" i="3"/>
  <c r="L156" i="3"/>
  <c r="L152" i="3"/>
  <c r="L148" i="3"/>
  <c r="L144" i="3"/>
  <c r="L140" i="3"/>
  <c r="L136" i="3"/>
  <c r="L229" i="3"/>
  <c r="L218" i="3"/>
  <c r="L217" i="3"/>
  <c r="L213" i="3"/>
  <c r="L209" i="3"/>
  <c r="L205" i="3"/>
  <c r="L201" i="3"/>
  <c r="L197" i="3"/>
  <c r="L193" i="3"/>
  <c r="L189" i="3"/>
  <c r="L185" i="3"/>
  <c r="L181" i="3"/>
  <c r="L177" i="3"/>
  <c r="L173" i="3"/>
  <c r="L169" i="3"/>
  <c r="L165" i="3"/>
  <c r="L161" i="3"/>
  <c r="L157" i="3"/>
  <c r="L153" i="3"/>
  <c r="L149" i="3"/>
  <c r="L145" i="3"/>
  <c r="L141" i="3"/>
  <c r="L137" i="3"/>
  <c r="L233" i="3"/>
  <c r="L226" i="3"/>
  <c r="L221" i="3"/>
  <c r="L214" i="3"/>
  <c r="L210" i="3"/>
  <c r="L206" i="3"/>
  <c r="L202" i="3"/>
  <c r="L198" i="3"/>
  <c r="L194" i="3"/>
  <c r="L190" i="3"/>
  <c r="L186" i="3"/>
  <c r="L182" i="3"/>
  <c r="L178" i="3"/>
  <c r="L174" i="3"/>
  <c r="L170" i="3"/>
  <c r="L166" i="3"/>
  <c r="L162" i="3"/>
  <c r="L158" i="3"/>
  <c r="L154" i="3"/>
  <c r="L150" i="3"/>
  <c r="L146" i="3"/>
  <c r="L142" i="3"/>
  <c r="L138" i="3"/>
  <c r="L134" i="3"/>
  <c r="L237" i="3"/>
  <c r="L225" i="3"/>
  <c r="L215" i="3"/>
  <c r="L211" i="3"/>
  <c r="L207" i="3"/>
  <c r="L203" i="3"/>
  <c r="L199" i="3"/>
  <c r="L195" i="3"/>
  <c r="L191" i="3"/>
  <c r="L187" i="3"/>
  <c r="L183" i="3"/>
  <c r="L179" i="3"/>
  <c r="L175" i="3"/>
  <c r="L171" i="3"/>
  <c r="L167" i="3"/>
  <c r="L163" i="3"/>
  <c r="L159" i="3"/>
  <c r="L155" i="3"/>
  <c r="L151" i="3"/>
  <c r="L147" i="3"/>
  <c r="L143" i="3"/>
  <c r="L139" i="3"/>
  <c r="L135" i="3"/>
  <c r="P130" i="3"/>
  <c r="P726" i="3"/>
  <c r="P722" i="3"/>
  <c r="P718" i="3"/>
  <c r="P727" i="3"/>
  <c r="P723" i="3"/>
  <c r="P719" i="3"/>
  <c r="P715" i="3"/>
  <c r="P728" i="3"/>
  <c r="P724" i="3"/>
  <c r="P720" i="3"/>
  <c r="P716" i="3"/>
  <c r="P712" i="3"/>
  <c r="P721" i="3"/>
  <c r="P714" i="3"/>
  <c r="P711" i="3"/>
  <c r="P707" i="3"/>
  <c r="P703" i="3"/>
  <c r="P699" i="3"/>
  <c r="P725" i="3"/>
  <c r="P708" i="3"/>
  <c r="P704" i="3"/>
  <c r="P700" i="3"/>
  <c r="P713" i="3"/>
  <c r="P709" i="3"/>
  <c r="P705" i="3"/>
  <c r="P701" i="3"/>
  <c r="P717" i="3"/>
  <c r="P710" i="3"/>
  <c r="P706" i="3"/>
  <c r="P702" i="3"/>
  <c r="P698" i="3"/>
  <c r="P694" i="3"/>
  <c r="P690" i="3"/>
  <c r="P686" i="3"/>
  <c r="P682" i="3"/>
  <c r="P695" i="3"/>
  <c r="P691" i="3"/>
  <c r="P687" i="3"/>
  <c r="P683" i="3"/>
  <c r="P696" i="3"/>
  <c r="P692" i="3"/>
  <c r="P688" i="3"/>
  <c r="P697" i="3"/>
  <c r="P693" i="3"/>
  <c r="P689" i="3"/>
  <c r="P685" i="3"/>
  <c r="P679" i="3"/>
  <c r="P675" i="3"/>
  <c r="P671" i="3"/>
  <c r="P667" i="3"/>
  <c r="P663" i="3"/>
  <c r="P680" i="3"/>
  <c r="P676" i="3"/>
  <c r="P672" i="3"/>
  <c r="P668" i="3"/>
  <c r="P664" i="3"/>
  <c r="P660" i="3"/>
  <c r="P681" i="3"/>
  <c r="P677" i="3"/>
  <c r="P673" i="3"/>
  <c r="P669" i="3"/>
  <c r="P665" i="3"/>
  <c r="P684" i="3"/>
  <c r="P678" i="3"/>
  <c r="P674" i="3"/>
  <c r="P670" i="3"/>
  <c r="P666" i="3"/>
  <c r="P662" i="3"/>
  <c r="P658" i="3"/>
  <c r="P661" i="3"/>
  <c r="P655" i="3"/>
  <c r="P651" i="3"/>
  <c r="P647" i="3"/>
  <c r="P643" i="3"/>
  <c r="P639" i="3"/>
  <c r="P635" i="3"/>
  <c r="P631" i="3"/>
  <c r="P627" i="3"/>
  <c r="P656" i="3"/>
  <c r="P652" i="3"/>
  <c r="P648" i="3"/>
  <c r="P644" i="3"/>
  <c r="P640" i="3"/>
  <c r="P636" i="3"/>
  <c r="P632" i="3"/>
  <c r="P653" i="3"/>
  <c r="P649" i="3"/>
  <c r="P645" i="3"/>
  <c r="P641" i="3"/>
  <c r="P637" i="3"/>
  <c r="P633" i="3"/>
  <c r="P659" i="3"/>
  <c r="P657" i="3"/>
  <c r="P654" i="3"/>
  <c r="P650" i="3"/>
  <c r="P646" i="3"/>
  <c r="P642" i="3"/>
  <c r="P638" i="3"/>
  <c r="P634" i="3"/>
  <c r="P630" i="3"/>
  <c r="P626" i="3"/>
  <c r="P629" i="3"/>
  <c r="P622" i="3"/>
  <c r="P618" i="3"/>
  <c r="P614" i="3"/>
  <c r="P610" i="3"/>
  <c r="P606" i="3"/>
  <c r="P602" i="3"/>
  <c r="P598" i="3"/>
  <c r="P594" i="3"/>
  <c r="P590" i="3"/>
  <c r="P628" i="3"/>
  <c r="P623" i="3"/>
  <c r="P619" i="3"/>
  <c r="P615" i="3"/>
  <c r="P611" i="3"/>
  <c r="P607" i="3"/>
  <c r="P603" i="3"/>
  <c r="P599" i="3"/>
  <c r="P595" i="3"/>
  <c r="P625" i="3"/>
  <c r="P624" i="3"/>
  <c r="P620" i="3"/>
  <c r="P616" i="3"/>
  <c r="P612" i="3"/>
  <c r="P608" i="3"/>
  <c r="P604" i="3"/>
  <c r="P621" i="3"/>
  <c r="P617" i="3"/>
  <c r="P613" i="3"/>
  <c r="P609" i="3"/>
  <c r="P605" i="3"/>
  <c r="P601" i="3"/>
  <c r="P597" i="3"/>
  <c r="P592" i="3"/>
  <c r="P585" i="3"/>
  <c r="P581" i="3"/>
  <c r="P577" i="3"/>
  <c r="P573" i="3"/>
  <c r="P569" i="3"/>
  <c r="P565" i="3"/>
  <c r="P561" i="3"/>
  <c r="P591" i="3"/>
  <c r="P586" i="3"/>
  <c r="P582" i="3"/>
  <c r="P578" i="3"/>
  <c r="P574" i="3"/>
  <c r="P570" i="3"/>
  <c r="P566" i="3"/>
  <c r="P596" i="3"/>
  <c r="P589" i="3"/>
  <c r="P587" i="3"/>
  <c r="P583" i="3"/>
  <c r="P579" i="3"/>
  <c r="P575" i="3"/>
  <c r="P571" i="3"/>
  <c r="P567" i="3"/>
  <c r="P600" i="3"/>
  <c r="P593" i="3"/>
  <c r="P588" i="3"/>
  <c r="P584" i="3"/>
  <c r="P580" i="3"/>
  <c r="P576" i="3"/>
  <c r="P572" i="3"/>
  <c r="P568" i="3"/>
  <c r="P564" i="3"/>
  <c r="P560" i="3"/>
  <c r="P563" i="3"/>
  <c r="P562" i="3"/>
  <c r="P556" i="3"/>
  <c r="P552" i="3"/>
  <c r="P548" i="3"/>
  <c r="P544" i="3"/>
  <c r="P540" i="3"/>
  <c r="P536" i="3"/>
  <c r="P532" i="3"/>
  <c r="P528" i="3"/>
  <c r="P524" i="3"/>
  <c r="P520" i="3"/>
  <c r="P559" i="3"/>
  <c r="P557" i="3"/>
  <c r="P553" i="3"/>
  <c r="P549" i="3"/>
  <c r="P545" i="3"/>
  <c r="P541" i="3"/>
  <c r="P537" i="3"/>
  <c r="P533" i="3"/>
  <c r="P529" i="3"/>
  <c r="P558" i="3"/>
  <c r="P554" i="3"/>
  <c r="P550" i="3"/>
  <c r="P546" i="3"/>
  <c r="P542" i="3"/>
  <c r="P538" i="3"/>
  <c r="P534" i="3"/>
  <c r="P530" i="3"/>
  <c r="P526" i="3"/>
  <c r="P555" i="3"/>
  <c r="P551" i="3"/>
  <c r="P547" i="3"/>
  <c r="P543" i="3"/>
  <c r="P539" i="3"/>
  <c r="P535" i="3"/>
  <c r="P531" i="3"/>
  <c r="P527" i="3"/>
  <c r="P523" i="3"/>
  <c r="P519" i="3"/>
  <c r="P521" i="3"/>
  <c r="P517" i="3"/>
  <c r="P513" i="3"/>
  <c r="P509" i="3"/>
  <c r="P505" i="3"/>
  <c r="P501" i="3"/>
  <c r="P497" i="3"/>
  <c r="P493" i="3"/>
  <c r="P489" i="3"/>
  <c r="P485" i="3"/>
  <c r="P481" i="3"/>
  <c r="P477" i="3"/>
  <c r="P473" i="3"/>
  <c r="P469" i="3"/>
  <c r="P465" i="3"/>
  <c r="P461" i="3"/>
  <c r="P457" i="3"/>
  <c r="P453" i="3"/>
  <c r="P518" i="3"/>
  <c r="P514" i="3"/>
  <c r="P510" i="3"/>
  <c r="P506" i="3"/>
  <c r="P502" i="3"/>
  <c r="P498" i="3"/>
  <c r="P494" i="3"/>
  <c r="P490" i="3"/>
  <c r="P486" i="3"/>
  <c r="P482" i="3"/>
  <c r="P478" i="3"/>
  <c r="P474" i="3"/>
  <c r="P470" i="3"/>
  <c r="P466" i="3"/>
  <c r="P462" i="3"/>
  <c r="P515" i="3"/>
  <c r="P511" i="3"/>
  <c r="P507" i="3"/>
  <c r="P503" i="3"/>
  <c r="P499" i="3"/>
  <c r="P495" i="3"/>
  <c r="P491" i="3"/>
  <c r="P487" i="3"/>
  <c r="P483" i="3"/>
  <c r="P479" i="3"/>
  <c r="P475" i="3"/>
  <c r="P471" i="3"/>
  <c r="P467" i="3"/>
  <c r="P463" i="3"/>
  <c r="P525" i="3"/>
  <c r="P522" i="3"/>
  <c r="P516" i="3"/>
  <c r="P512" i="3"/>
  <c r="P508" i="3"/>
  <c r="P504" i="3"/>
  <c r="P500" i="3"/>
  <c r="P496" i="3"/>
  <c r="P492" i="3"/>
  <c r="P488" i="3"/>
  <c r="P484" i="3"/>
  <c r="P480" i="3"/>
  <c r="P476" i="3"/>
  <c r="P472" i="3"/>
  <c r="P468" i="3"/>
  <c r="P464" i="3"/>
  <c r="P460" i="3"/>
  <c r="P456" i="3"/>
  <c r="P452" i="3"/>
  <c r="P459" i="3"/>
  <c r="P454" i="3"/>
  <c r="P449" i="3"/>
  <c r="P445" i="3"/>
  <c r="P441" i="3"/>
  <c r="P437" i="3"/>
  <c r="P433" i="3"/>
  <c r="P429" i="3"/>
  <c r="P425" i="3"/>
  <c r="P421" i="3"/>
  <c r="P417" i="3"/>
  <c r="P413" i="3"/>
  <c r="P409" i="3"/>
  <c r="P405" i="3"/>
  <c r="P401" i="3"/>
  <c r="P397" i="3"/>
  <c r="P393" i="3"/>
  <c r="P389" i="3"/>
  <c r="P385" i="3"/>
  <c r="P451" i="3"/>
  <c r="P450" i="3"/>
  <c r="P446" i="3"/>
  <c r="P442" i="3"/>
  <c r="P438" i="3"/>
  <c r="P434" i="3"/>
  <c r="P430" i="3"/>
  <c r="P426" i="3"/>
  <c r="P422" i="3"/>
  <c r="P418" i="3"/>
  <c r="P414" i="3"/>
  <c r="P410" i="3"/>
  <c r="P406" i="3"/>
  <c r="P402" i="3"/>
  <c r="P398" i="3"/>
  <c r="P458" i="3"/>
  <c r="P447" i="3"/>
  <c r="P443" i="3"/>
  <c r="P439" i="3"/>
  <c r="P435" i="3"/>
  <c r="P431" i="3"/>
  <c r="P427" i="3"/>
  <c r="P423" i="3"/>
  <c r="P419" i="3"/>
  <c r="P415" i="3"/>
  <c r="P411" i="3"/>
  <c r="P407" i="3"/>
  <c r="P403" i="3"/>
  <c r="P399" i="3"/>
  <c r="P395" i="3"/>
  <c r="P455" i="3"/>
  <c r="P448" i="3"/>
  <c r="P444" i="3"/>
  <c r="P440" i="3"/>
  <c r="P436" i="3"/>
  <c r="P432" i="3"/>
  <c r="P428" i="3"/>
  <c r="P424" i="3"/>
  <c r="P420" i="3"/>
  <c r="P416" i="3"/>
  <c r="P412" i="3"/>
  <c r="P408" i="3"/>
  <c r="P404" i="3"/>
  <c r="P400" i="3"/>
  <c r="P396" i="3"/>
  <c r="P392" i="3"/>
  <c r="P388" i="3"/>
  <c r="P384" i="3"/>
  <c r="P394" i="3"/>
  <c r="P391" i="3"/>
  <c r="P380" i="3"/>
  <c r="P376" i="3"/>
  <c r="P372" i="3"/>
  <c r="P368" i="3"/>
  <c r="P364" i="3"/>
  <c r="P360" i="3"/>
  <c r="P356" i="3"/>
  <c r="P352" i="3"/>
  <c r="P348" i="3"/>
  <c r="P344" i="3"/>
  <c r="P340" i="3"/>
  <c r="P336" i="3"/>
  <c r="P332" i="3"/>
  <c r="P328" i="3"/>
  <c r="P324" i="3"/>
  <c r="P320" i="3"/>
  <c r="P316" i="3"/>
  <c r="P312" i="3"/>
  <c r="P390" i="3"/>
  <c r="P381" i="3"/>
  <c r="P377" i="3"/>
  <c r="P373" i="3"/>
  <c r="P369" i="3"/>
  <c r="P365" i="3"/>
  <c r="P361" i="3"/>
  <c r="P357" i="3"/>
  <c r="P353" i="3"/>
  <c r="P349" i="3"/>
  <c r="P345" i="3"/>
  <c r="P341" i="3"/>
  <c r="P337" i="3"/>
  <c r="P333" i="3"/>
  <c r="P329" i="3"/>
  <c r="P325" i="3"/>
  <c r="P321" i="3"/>
  <c r="P317" i="3"/>
  <c r="P387" i="3"/>
  <c r="P382" i="3"/>
  <c r="P378" i="3"/>
  <c r="P374" i="3"/>
  <c r="P370" i="3"/>
  <c r="P366" i="3"/>
  <c r="P362" i="3"/>
  <c r="P358" i="3"/>
  <c r="P354" i="3"/>
  <c r="P350" i="3"/>
  <c r="P346" i="3"/>
  <c r="P342" i="3"/>
  <c r="P338" i="3"/>
  <c r="P334" i="3"/>
  <c r="P330" i="3"/>
  <c r="P386" i="3"/>
  <c r="P383" i="3"/>
  <c r="P379" i="3"/>
  <c r="P375" i="3"/>
  <c r="P371" i="3"/>
  <c r="P367" i="3"/>
  <c r="P363" i="3"/>
  <c r="P359" i="3"/>
  <c r="P355" i="3"/>
  <c r="P351" i="3"/>
  <c r="P347" i="3"/>
  <c r="P343" i="3"/>
  <c r="P339" i="3"/>
  <c r="P335" i="3"/>
  <c r="P331" i="3"/>
  <c r="P327" i="3"/>
  <c r="P323" i="3"/>
  <c r="P319" i="3"/>
  <c r="P315" i="3"/>
  <c r="P311" i="3"/>
  <c r="P326" i="3"/>
  <c r="P307" i="3"/>
  <c r="P303" i="3"/>
  <c r="P299" i="3"/>
  <c r="P295" i="3"/>
  <c r="P291" i="3"/>
  <c r="P287" i="3"/>
  <c r="P283" i="3"/>
  <c r="P279" i="3"/>
  <c r="P275" i="3"/>
  <c r="P271" i="3"/>
  <c r="P267" i="3"/>
  <c r="P263" i="3"/>
  <c r="P259" i="3"/>
  <c r="P255" i="3"/>
  <c r="P251" i="3"/>
  <c r="P247" i="3"/>
  <c r="P243" i="3"/>
  <c r="P239" i="3"/>
  <c r="P235" i="3"/>
  <c r="P231" i="3"/>
  <c r="P227" i="3"/>
  <c r="P223" i="3"/>
  <c r="P219" i="3"/>
  <c r="P308" i="3"/>
  <c r="P304" i="3"/>
  <c r="P300" i="3"/>
  <c r="P296" i="3"/>
  <c r="P292" i="3"/>
  <c r="P288" i="3"/>
  <c r="P284" i="3"/>
  <c r="P280" i="3"/>
  <c r="P276" i="3"/>
  <c r="P272" i="3"/>
  <c r="P268" i="3"/>
  <c r="P264" i="3"/>
  <c r="P260" i="3"/>
  <c r="P256" i="3"/>
  <c r="P252" i="3"/>
  <c r="P248" i="3"/>
  <c r="P244" i="3"/>
  <c r="P240" i="3"/>
  <c r="P236" i="3"/>
  <c r="P232" i="3"/>
  <c r="P228" i="3"/>
  <c r="P224" i="3"/>
  <c r="P318" i="3"/>
  <c r="P314" i="3"/>
  <c r="P309" i="3"/>
  <c r="P305" i="3"/>
  <c r="P301" i="3"/>
  <c r="P297" i="3"/>
  <c r="P293" i="3"/>
  <c r="P289" i="3"/>
  <c r="P285" i="3"/>
  <c r="P281" i="3"/>
  <c r="P277" i="3"/>
  <c r="P273" i="3"/>
  <c r="P269" i="3"/>
  <c r="P265" i="3"/>
  <c r="P261" i="3"/>
  <c r="P257" i="3"/>
  <c r="P253" i="3"/>
  <c r="P249" i="3"/>
  <c r="P245" i="3"/>
  <c r="P322" i="3"/>
  <c r="P313" i="3"/>
  <c r="P310" i="3"/>
  <c r="P306" i="3"/>
  <c r="P302" i="3"/>
  <c r="P298" i="3"/>
  <c r="P294" i="3"/>
  <c r="P290" i="3"/>
  <c r="P286" i="3"/>
  <c r="P282" i="3"/>
  <c r="P278" i="3"/>
  <c r="P274" i="3"/>
  <c r="P270" i="3"/>
  <c r="P266" i="3"/>
  <c r="P262" i="3"/>
  <c r="P258" i="3"/>
  <c r="P254" i="3"/>
  <c r="P250" i="3"/>
  <c r="P246" i="3"/>
  <c r="P242" i="3"/>
  <c r="P238" i="3"/>
  <c r="P234" i="3"/>
  <c r="P230" i="3"/>
  <c r="P226" i="3"/>
  <c r="P216" i="3"/>
  <c r="P212" i="3"/>
  <c r="P208" i="3"/>
  <c r="P204" i="3"/>
  <c r="P200" i="3"/>
  <c r="P196" i="3"/>
  <c r="P192" i="3"/>
  <c r="P188" i="3"/>
  <c r="P184" i="3"/>
  <c r="P180" i="3"/>
  <c r="P176" i="3"/>
  <c r="P172" i="3"/>
  <c r="P168" i="3"/>
  <c r="P164" i="3"/>
  <c r="P160" i="3"/>
  <c r="P156" i="3"/>
  <c r="P152" i="3"/>
  <c r="P148" i="3"/>
  <c r="P144" i="3"/>
  <c r="P140" i="3"/>
  <c r="P136" i="3"/>
  <c r="P233" i="3"/>
  <c r="P225" i="3"/>
  <c r="P220" i="3"/>
  <c r="P217" i="3"/>
  <c r="P213" i="3"/>
  <c r="P209" i="3"/>
  <c r="P205" i="3"/>
  <c r="P201" i="3"/>
  <c r="P197" i="3"/>
  <c r="P193" i="3"/>
  <c r="P189" i="3"/>
  <c r="P185" i="3"/>
  <c r="P181" i="3"/>
  <c r="P177" i="3"/>
  <c r="P173" i="3"/>
  <c r="P169" i="3"/>
  <c r="P165" i="3"/>
  <c r="P161" i="3"/>
  <c r="P157" i="3"/>
  <c r="P153" i="3"/>
  <c r="P149" i="3"/>
  <c r="P145" i="3"/>
  <c r="P141" i="3"/>
  <c r="P137" i="3"/>
  <c r="P237" i="3"/>
  <c r="P222" i="3"/>
  <c r="P218" i="3"/>
  <c r="P214" i="3"/>
  <c r="P210" i="3"/>
  <c r="P206" i="3"/>
  <c r="P202" i="3"/>
  <c r="P198" i="3"/>
  <c r="P194" i="3"/>
  <c r="P190" i="3"/>
  <c r="P186" i="3"/>
  <c r="P182" i="3"/>
  <c r="P178" i="3"/>
  <c r="P174" i="3"/>
  <c r="P170" i="3"/>
  <c r="P166" i="3"/>
  <c r="P162" i="3"/>
  <c r="P158" i="3"/>
  <c r="P154" i="3"/>
  <c r="P150" i="3"/>
  <c r="P146" i="3"/>
  <c r="P142" i="3"/>
  <c r="P138" i="3"/>
  <c r="P134" i="3"/>
  <c r="P241" i="3"/>
  <c r="P229" i="3"/>
  <c r="P221" i="3"/>
  <c r="P215" i="3"/>
  <c r="P211" i="3"/>
  <c r="P207" i="3"/>
  <c r="P203" i="3"/>
  <c r="P199" i="3"/>
  <c r="P195" i="3"/>
  <c r="P191" i="3"/>
  <c r="P187" i="3"/>
  <c r="P183" i="3"/>
  <c r="P179" i="3"/>
  <c r="P175" i="3"/>
  <c r="P171" i="3"/>
  <c r="P167" i="3"/>
  <c r="P163" i="3"/>
  <c r="P159" i="3"/>
  <c r="P155" i="3"/>
  <c r="P151" i="3"/>
  <c r="P147" i="3"/>
  <c r="P143" i="3"/>
  <c r="P139" i="3"/>
  <c r="P135" i="3"/>
  <c r="H130" i="3"/>
  <c r="H726" i="3"/>
  <c r="H722" i="3"/>
  <c r="H718" i="3"/>
  <c r="H727" i="3"/>
  <c r="H723" i="3"/>
  <c r="H719" i="3"/>
  <c r="H715" i="3"/>
  <c r="H728" i="3"/>
  <c r="H724" i="3"/>
  <c r="H720" i="3"/>
  <c r="H716" i="3"/>
  <c r="H712" i="3"/>
  <c r="H714" i="3"/>
  <c r="H713" i="3"/>
  <c r="H711" i="3"/>
  <c r="H707" i="3"/>
  <c r="H703" i="3"/>
  <c r="H717" i="3"/>
  <c r="H708" i="3"/>
  <c r="H704" i="3"/>
  <c r="H700" i="3"/>
  <c r="H721" i="3"/>
  <c r="H709" i="3"/>
  <c r="H705" i="3"/>
  <c r="H725" i="3"/>
  <c r="H710" i="3"/>
  <c r="H706" i="3"/>
  <c r="H702" i="3"/>
  <c r="H701" i="3"/>
  <c r="H698" i="3"/>
  <c r="H694" i="3"/>
  <c r="H690" i="3"/>
  <c r="H686" i="3"/>
  <c r="H682" i="3"/>
  <c r="H695" i="3"/>
  <c r="H691" i="3"/>
  <c r="H687" i="3"/>
  <c r="H683" i="3"/>
  <c r="H699" i="3"/>
  <c r="H696" i="3"/>
  <c r="H692" i="3"/>
  <c r="H688" i="3"/>
  <c r="H697" i="3"/>
  <c r="H693" i="3"/>
  <c r="H689" i="3"/>
  <c r="H685" i="3"/>
  <c r="H681" i="3"/>
  <c r="H679" i="3"/>
  <c r="H675" i="3"/>
  <c r="H671" i="3"/>
  <c r="H667" i="3"/>
  <c r="H663" i="3"/>
  <c r="H684" i="3"/>
  <c r="H680" i="3"/>
  <c r="H676" i="3"/>
  <c r="H672" i="3"/>
  <c r="H668" i="3"/>
  <c r="H664" i="3"/>
  <c r="H660" i="3"/>
  <c r="H677" i="3"/>
  <c r="H673" i="3"/>
  <c r="H669" i="3"/>
  <c r="H665" i="3"/>
  <c r="H678" i="3"/>
  <c r="H674" i="3"/>
  <c r="H670" i="3"/>
  <c r="H666" i="3"/>
  <c r="H662" i="3"/>
  <c r="H658" i="3"/>
  <c r="H661" i="3"/>
  <c r="H659" i="3"/>
  <c r="H655" i="3"/>
  <c r="H651" i="3"/>
  <c r="H647" i="3"/>
  <c r="H643" i="3"/>
  <c r="H639" i="3"/>
  <c r="H635" i="3"/>
  <c r="H631" i="3"/>
  <c r="H627" i="3"/>
  <c r="H657" i="3"/>
  <c r="H656" i="3"/>
  <c r="H652" i="3"/>
  <c r="H648" i="3"/>
  <c r="H644" i="3"/>
  <c r="H640" i="3"/>
  <c r="H636" i="3"/>
  <c r="H632" i="3"/>
  <c r="H653" i="3"/>
  <c r="H649" i="3"/>
  <c r="H645" i="3"/>
  <c r="H641" i="3"/>
  <c r="H637" i="3"/>
  <c r="H633" i="3"/>
  <c r="H654" i="3"/>
  <c r="H650" i="3"/>
  <c r="H646" i="3"/>
  <c r="H642" i="3"/>
  <c r="H638" i="3"/>
  <c r="H634" i="3"/>
  <c r="H630" i="3"/>
  <c r="H626" i="3"/>
  <c r="H629" i="3"/>
  <c r="H622" i="3"/>
  <c r="H618" i="3"/>
  <c r="H614" i="3"/>
  <c r="H610" i="3"/>
  <c r="H606" i="3"/>
  <c r="H602" i="3"/>
  <c r="H598" i="3"/>
  <c r="H594" i="3"/>
  <c r="H590" i="3"/>
  <c r="H628" i="3"/>
  <c r="H623" i="3"/>
  <c r="H619" i="3"/>
  <c r="H615" i="3"/>
  <c r="H611" i="3"/>
  <c r="H607" i="3"/>
  <c r="H603" i="3"/>
  <c r="H599" i="3"/>
  <c r="H595" i="3"/>
  <c r="H625" i="3"/>
  <c r="H624" i="3"/>
  <c r="H620" i="3"/>
  <c r="H616" i="3"/>
  <c r="H612" i="3"/>
  <c r="H608" i="3"/>
  <c r="H604" i="3"/>
  <c r="H621" i="3"/>
  <c r="H617" i="3"/>
  <c r="H613" i="3"/>
  <c r="H609" i="3"/>
  <c r="H605" i="3"/>
  <c r="H601" i="3"/>
  <c r="H597" i="3"/>
  <c r="H596" i="3"/>
  <c r="H589" i="3"/>
  <c r="H585" i="3"/>
  <c r="H581" i="3"/>
  <c r="H577" i="3"/>
  <c r="H573" i="3"/>
  <c r="H569" i="3"/>
  <c r="H565" i="3"/>
  <c r="H561" i="3"/>
  <c r="H600" i="3"/>
  <c r="H592" i="3"/>
  <c r="H586" i="3"/>
  <c r="H582" i="3"/>
  <c r="H578" i="3"/>
  <c r="H574" i="3"/>
  <c r="H570" i="3"/>
  <c r="H566" i="3"/>
  <c r="H587" i="3"/>
  <c r="H583" i="3"/>
  <c r="H579" i="3"/>
  <c r="H575" i="3"/>
  <c r="H571" i="3"/>
  <c r="H567" i="3"/>
  <c r="H593" i="3"/>
  <c r="H591" i="3"/>
  <c r="H588" i="3"/>
  <c r="H584" i="3"/>
  <c r="H580" i="3"/>
  <c r="H576" i="3"/>
  <c r="H572" i="3"/>
  <c r="H568" i="3"/>
  <c r="H564" i="3"/>
  <c r="H560" i="3"/>
  <c r="H562" i="3"/>
  <c r="H556" i="3"/>
  <c r="H552" i="3"/>
  <c r="H548" i="3"/>
  <c r="H544" i="3"/>
  <c r="H540" i="3"/>
  <c r="H536" i="3"/>
  <c r="H532" i="3"/>
  <c r="H528" i="3"/>
  <c r="H524" i="3"/>
  <c r="H520" i="3"/>
  <c r="H559" i="3"/>
  <c r="H557" i="3"/>
  <c r="H553" i="3"/>
  <c r="H549" i="3"/>
  <c r="H545" i="3"/>
  <c r="H541" i="3"/>
  <c r="H537" i="3"/>
  <c r="H533" i="3"/>
  <c r="H529" i="3"/>
  <c r="H558" i="3"/>
  <c r="H554" i="3"/>
  <c r="H550" i="3"/>
  <c r="H546" i="3"/>
  <c r="H542" i="3"/>
  <c r="H538" i="3"/>
  <c r="H534" i="3"/>
  <c r="H530" i="3"/>
  <c r="H526" i="3"/>
  <c r="H563" i="3"/>
  <c r="H555" i="3"/>
  <c r="H551" i="3"/>
  <c r="H547" i="3"/>
  <c r="H543" i="3"/>
  <c r="H539" i="3"/>
  <c r="H535" i="3"/>
  <c r="H531" i="3"/>
  <c r="H527" i="3"/>
  <c r="H523" i="3"/>
  <c r="H521" i="3"/>
  <c r="H517" i="3"/>
  <c r="H513" i="3"/>
  <c r="H509" i="3"/>
  <c r="H505" i="3"/>
  <c r="H501" i="3"/>
  <c r="H497" i="3"/>
  <c r="H493" i="3"/>
  <c r="H489" i="3"/>
  <c r="H485" i="3"/>
  <c r="H481" i="3"/>
  <c r="H477" i="3"/>
  <c r="H473" i="3"/>
  <c r="H469" i="3"/>
  <c r="H465" i="3"/>
  <c r="H461" i="3"/>
  <c r="H457" i="3"/>
  <c r="H453" i="3"/>
  <c r="H518" i="3"/>
  <c r="H514" i="3"/>
  <c r="H510" i="3"/>
  <c r="H506" i="3"/>
  <c r="H502" i="3"/>
  <c r="H498" i="3"/>
  <c r="H494" i="3"/>
  <c r="H490" i="3"/>
  <c r="H486" i="3"/>
  <c r="H482" i="3"/>
  <c r="H478" i="3"/>
  <c r="H474" i="3"/>
  <c r="H470" i="3"/>
  <c r="H466" i="3"/>
  <c r="H462" i="3"/>
  <c r="H525" i="3"/>
  <c r="H519" i="3"/>
  <c r="H515" i="3"/>
  <c r="H511" i="3"/>
  <c r="H507" i="3"/>
  <c r="H503" i="3"/>
  <c r="H499" i="3"/>
  <c r="H495" i="3"/>
  <c r="H491" i="3"/>
  <c r="H487" i="3"/>
  <c r="H483" i="3"/>
  <c r="H479" i="3"/>
  <c r="H475" i="3"/>
  <c r="H471" i="3"/>
  <c r="H467" i="3"/>
  <c r="H463" i="3"/>
  <c r="H522" i="3"/>
  <c r="H516" i="3"/>
  <c r="H512" i="3"/>
  <c r="H508" i="3"/>
  <c r="H504" i="3"/>
  <c r="H500" i="3"/>
  <c r="H496" i="3"/>
  <c r="H492" i="3"/>
  <c r="H488" i="3"/>
  <c r="H484" i="3"/>
  <c r="H480" i="3"/>
  <c r="H476" i="3"/>
  <c r="H472" i="3"/>
  <c r="H468" i="3"/>
  <c r="H464" i="3"/>
  <c r="H460" i="3"/>
  <c r="H456" i="3"/>
  <c r="H452" i="3"/>
  <c r="H454" i="3"/>
  <c r="H449" i="3"/>
  <c r="H445" i="3"/>
  <c r="H441" i="3"/>
  <c r="H437" i="3"/>
  <c r="H433" i="3"/>
  <c r="H429" i="3"/>
  <c r="H425" i="3"/>
  <c r="H421" i="3"/>
  <c r="H417" i="3"/>
  <c r="H413" i="3"/>
  <c r="H409" i="3"/>
  <c r="H405" i="3"/>
  <c r="H401" i="3"/>
  <c r="H397" i="3"/>
  <c r="H393" i="3"/>
  <c r="H389" i="3"/>
  <c r="H385" i="3"/>
  <c r="H451" i="3"/>
  <c r="H450" i="3"/>
  <c r="H446" i="3"/>
  <c r="H442" i="3"/>
  <c r="H438" i="3"/>
  <c r="H434" i="3"/>
  <c r="H430" i="3"/>
  <c r="H426" i="3"/>
  <c r="H422" i="3"/>
  <c r="H418" i="3"/>
  <c r="H414" i="3"/>
  <c r="H410" i="3"/>
  <c r="H406" i="3"/>
  <c r="H402" i="3"/>
  <c r="H398" i="3"/>
  <c r="H459" i="3"/>
  <c r="H458" i="3"/>
  <c r="H447" i="3"/>
  <c r="H443" i="3"/>
  <c r="H439" i="3"/>
  <c r="H435" i="3"/>
  <c r="H431" i="3"/>
  <c r="H427" i="3"/>
  <c r="H423" i="3"/>
  <c r="H419" i="3"/>
  <c r="H415" i="3"/>
  <c r="H411" i="3"/>
  <c r="H407" i="3"/>
  <c r="H403" i="3"/>
  <c r="H399" i="3"/>
  <c r="H395" i="3"/>
  <c r="H455" i="3"/>
  <c r="H448" i="3"/>
  <c r="H444" i="3"/>
  <c r="H440" i="3"/>
  <c r="H436" i="3"/>
  <c r="H432" i="3"/>
  <c r="H428" i="3"/>
  <c r="H424" i="3"/>
  <c r="H420" i="3"/>
  <c r="H416" i="3"/>
  <c r="H412" i="3"/>
  <c r="H408" i="3"/>
  <c r="H404" i="3"/>
  <c r="H400" i="3"/>
  <c r="H396" i="3"/>
  <c r="H392" i="3"/>
  <c r="H388" i="3"/>
  <c r="H384" i="3"/>
  <c r="H391" i="3"/>
  <c r="H380" i="3"/>
  <c r="H376" i="3"/>
  <c r="H372" i="3"/>
  <c r="H368" i="3"/>
  <c r="H364" i="3"/>
  <c r="H360" i="3"/>
  <c r="H356" i="3"/>
  <c r="H352" i="3"/>
  <c r="H348" i="3"/>
  <c r="H344" i="3"/>
  <c r="H340" i="3"/>
  <c r="H336" i="3"/>
  <c r="H332" i="3"/>
  <c r="H328" i="3"/>
  <c r="H324" i="3"/>
  <c r="H320" i="3"/>
  <c r="H316" i="3"/>
  <c r="H312" i="3"/>
  <c r="H390" i="3"/>
  <c r="H381" i="3"/>
  <c r="H377" i="3"/>
  <c r="H373" i="3"/>
  <c r="H369" i="3"/>
  <c r="H365" i="3"/>
  <c r="H361" i="3"/>
  <c r="H357" i="3"/>
  <c r="H353" i="3"/>
  <c r="H349" i="3"/>
  <c r="H345" i="3"/>
  <c r="H341" i="3"/>
  <c r="H337" i="3"/>
  <c r="H333" i="3"/>
  <c r="H329" i="3"/>
  <c r="H325" i="3"/>
  <c r="H321" i="3"/>
  <c r="H394" i="3"/>
  <c r="H387" i="3"/>
  <c r="H382" i="3"/>
  <c r="H378" i="3"/>
  <c r="H374" i="3"/>
  <c r="H370" i="3"/>
  <c r="H366" i="3"/>
  <c r="H362" i="3"/>
  <c r="H358" i="3"/>
  <c r="H354" i="3"/>
  <c r="H350" i="3"/>
  <c r="H346" i="3"/>
  <c r="H342" i="3"/>
  <c r="H338" i="3"/>
  <c r="H334" i="3"/>
  <c r="H330" i="3"/>
  <c r="H386" i="3"/>
  <c r="H383" i="3"/>
  <c r="H379" i="3"/>
  <c r="H375" i="3"/>
  <c r="H371" i="3"/>
  <c r="H367" i="3"/>
  <c r="H363" i="3"/>
  <c r="H359" i="3"/>
  <c r="H355" i="3"/>
  <c r="H351" i="3"/>
  <c r="H347" i="3"/>
  <c r="H343" i="3"/>
  <c r="H339" i="3"/>
  <c r="H335" i="3"/>
  <c r="H331" i="3"/>
  <c r="H327" i="3"/>
  <c r="H323" i="3"/>
  <c r="H319" i="3"/>
  <c r="H315" i="3"/>
  <c r="H311" i="3"/>
  <c r="H318" i="3"/>
  <c r="H307" i="3"/>
  <c r="H303" i="3"/>
  <c r="H299" i="3"/>
  <c r="H295" i="3"/>
  <c r="H291" i="3"/>
  <c r="H287" i="3"/>
  <c r="H283" i="3"/>
  <c r="H279" i="3"/>
  <c r="H275" i="3"/>
  <c r="H271" i="3"/>
  <c r="H267" i="3"/>
  <c r="H263" i="3"/>
  <c r="H259" i="3"/>
  <c r="H255" i="3"/>
  <c r="H251" i="3"/>
  <c r="H247" i="3"/>
  <c r="H243" i="3"/>
  <c r="H239" i="3"/>
  <c r="H235" i="3"/>
  <c r="H231" i="3"/>
  <c r="H227" i="3"/>
  <c r="H223" i="3"/>
  <c r="H219" i="3"/>
  <c r="H322" i="3"/>
  <c r="H317" i="3"/>
  <c r="H308" i="3"/>
  <c r="H304" i="3"/>
  <c r="H300" i="3"/>
  <c r="H296" i="3"/>
  <c r="H292" i="3"/>
  <c r="H288" i="3"/>
  <c r="H284" i="3"/>
  <c r="H280" i="3"/>
  <c r="H276" i="3"/>
  <c r="H272" i="3"/>
  <c r="H268" i="3"/>
  <c r="H264" i="3"/>
  <c r="H260" i="3"/>
  <c r="H256" i="3"/>
  <c r="H252" i="3"/>
  <c r="H248" i="3"/>
  <c r="H244" i="3"/>
  <c r="H240" i="3"/>
  <c r="H236" i="3"/>
  <c r="H232" i="3"/>
  <c r="H228" i="3"/>
  <c r="H224" i="3"/>
  <c r="H326" i="3"/>
  <c r="H314" i="3"/>
  <c r="H309" i="3"/>
  <c r="H305" i="3"/>
  <c r="H301" i="3"/>
  <c r="H297" i="3"/>
  <c r="H293" i="3"/>
  <c r="H289" i="3"/>
  <c r="H285" i="3"/>
  <c r="H281" i="3"/>
  <c r="H277" i="3"/>
  <c r="H273" i="3"/>
  <c r="H269" i="3"/>
  <c r="H265" i="3"/>
  <c r="H261" i="3"/>
  <c r="H257" i="3"/>
  <c r="H253" i="3"/>
  <c r="H249" i="3"/>
  <c r="H245" i="3"/>
  <c r="H313" i="3"/>
  <c r="H310" i="3"/>
  <c r="H306" i="3"/>
  <c r="H302" i="3"/>
  <c r="H298" i="3"/>
  <c r="H294" i="3"/>
  <c r="H290" i="3"/>
  <c r="H286" i="3"/>
  <c r="H282" i="3"/>
  <c r="H278" i="3"/>
  <c r="H274" i="3"/>
  <c r="H270" i="3"/>
  <c r="H266" i="3"/>
  <c r="H262" i="3"/>
  <c r="H258" i="3"/>
  <c r="H254" i="3"/>
  <c r="H250" i="3"/>
  <c r="H246" i="3"/>
  <c r="H242" i="3"/>
  <c r="H238" i="3"/>
  <c r="H234" i="3"/>
  <c r="H237" i="3"/>
  <c r="H226" i="3"/>
  <c r="H218" i="3"/>
  <c r="H216" i="3"/>
  <c r="H212" i="3"/>
  <c r="H208" i="3"/>
  <c r="H204" i="3"/>
  <c r="H200" i="3"/>
  <c r="H196" i="3"/>
  <c r="H192" i="3"/>
  <c r="H188" i="3"/>
  <c r="H184" i="3"/>
  <c r="H180" i="3"/>
  <c r="H176" i="3"/>
  <c r="H172" i="3"/>
  <c r="H168" i="3"/>
  <c r="H164" i="3"/>
  <c r="H160" i="3"/>
  <c r="H156" i="3"/>
  <c r="H152" i="3"/>
  <c r="H148" i="3"/>
  <c r="H144" i="3"/>
  <c r="H140" i="3"/>
  <c r="H136" i="3"/>
  <c r="H241" i="3"/>
  <c r="H225" i="3"/>
  <c r="H221" i="3"/>
  <c r="H217" i="3"/>
  <c r="H213" i="3"/>
  <c r="H209" i="3"/>
  <c r="H205" i="3"/>
  <c r="H201" i="3"/>
  <c r="H197" i="3"/>
  <c r="H193" i="3"/>
  <c r="H189" i="3"/>
  <c r="H185" i="3"/>
  <c r="H181" i="3"/>
  <c r="H177" i="3"/>
  <c r="H173" i="3"/>
  <c r="H169" i="3"/>
  <c r="H165" i="3"/>
  <c r="H161" i="3"/>
  <c r="H157" i="3"/>
  <c r="H153" i="3"/>
  <c r="H149" i="3"/>
  <c r="H145" i="3"/>
  <c r="H141" i="3"/>
  <c r="H137" i="3"/>
  <c r="H230" i="3"/>
  <c r="H214" i="3"/>
  <c r="H210" i="3"/>
  <c r="H206" i="3"/>
  <c r="H202" i="3"/>
  <c r="H198" i="3"/>
  <c r="H194" i="3"/>
  <c r="H190" i="3"/>
  <c r="H186" i="3"/>
  <c r="H182" i="3"/>
  <c r="H178" i="3"/>
  <c r="H174" i="3"/>
  <c r="H170" i="3"/>
  <c r="H166" i="3"/>
  <c r="H162" i="3"/>
  <c r="H158" i="3"/>
  <c r="H154" i="3"/>
  <c r="H150" i="3"/>
  <c r="H146" i="3"/>
  <c r="H142" i="3"/>
  <c r="H138" i="3"/>
  <c r="H134" i="3"/>
  <c r="H233" i="3"/>
  <c r="H229" i="3"/>
  <c r="H222" i="3"/>
  <c r="H220" i="3"/>
  <c r="H215" i="3"/>
  <c r="H211" i="3"/>
  <c r="H207" i="3"/>
  <c r="H203" i="3"/>
  <c r="H199" i="3"/>
  <c r="H195" i="3"/>
  <c r="H191" i="3"/>
  <c r="H187" i="3"/>
  <c r="H183" i="3"/>
  <c r="H179" i="3"/>
  <c r="H175" i="3"/>
  <c r="H171" i="3"/>
  <c r="H167" i="3"/>
  <c r="H163" i="3"/>
  <c r="H159" i="3"/>
  <c r="H155" i="3"/>
  <c r="H151" i="3"/>
  <c r="H147" i="3"/>
  <c r="H143" i="3"/>
  <c r="H139" i="3"/>
  <c r="H135" i="3"/>
  <c r="E727" i="3"/>
  <c r="E723" i="3"/>
  <c r="E719" i="3"/>
  <c r="E728" i="3"/>
  <c r="E724" i="3"/>
  <c r="E720" i="3"/>
  <c r="E716" i="3"/>
  <c r="E130" i="3"/>
  <c r="E725" i="3"/>
  <c r="E721" i="3"/>
  <c r="E717" i="3"/>
  <c r="E713" i="3"/>
  <c r="E715" i="3"/>
  <c r="E708" i="3"/>
  <c r="E704" i="3"/>
  <c r="E700" i="3"/>
  <c r="E718" i="3"/>
  <c r="E714" i="3"/>
  <c r="E712" i="3"/>
  <c r="E709" i="3"/>
  <c r="E705" i="3"/>
  <c r="E701" i="3"/>
  <c r="E722" i="3"/>
  <c r="E710" i="3"/>
  <c r="E706" i="3"/>
  <c r="E702" i="3"/>
  <c r="E726" i="3"/>
  <c r="E711" i="3"/>
  <c r="E707" i="3"/>
  <c r="E703" i="3"/>
  <c r="E699" i="3"/>
  <c r="E695" i="3"/>
  <c r="E691" i="3"/>
  <c r="E687" i="3"/>
  <c r="E683" i="3"/>
  <c r="E696" i="3"/>
  <c r="E692" i="3"/>
  <c r="E688" i="3"/>
  <c r="E684" i="3"/>
  <c r="E697" i="3"/>
  <c r="E693" i="3"/>
  <c r="E689" i="3"/>
  <c r="E698" i="3"/>
  <c r="E694" i="3"/>
  <c r="E690" i="3"/>
  <c r="E686" i="3"/>
  <c r="E682" i="3"/>
  <c r="E680" i="3"/>
  <c r="E676" i="3"/>
  <c r="E672" i="3"/>
  <c r="E668" i="3"/>
  <c r="E664" i="3"/>
  <c r="E685" i="3"/>
  <c r="E677" i="3"/>
  <c r="E673" i="3"/>
  <c r="E669" i="3"/>
  <c r="E665" i="3"/>
  <c r="E661" i="3"/>
  <c r="E681" i="3"/>
  <c r="E678" i="3"/>
  <c r="E674" i="3"/>
  <c r="E670" i="3"/>
  <c r="E666" i="3"/>
  <c r="E679" i="3"/>
  <c r="E675" i="3"/>
  <c r="E671" i="3"/>
  <c r="E667" i="3"/>
  <c r="E663" i="3"/>
  <c r="E659" i="3"/>
  <c r="E656" i="3"/>
  <c r="E652" i="3"/>
  <c r="E648" i="3"/>
  <c r="E644" i="3"/>
  <c r="E640" i="3"/>
  <c r="E636" i="3"/>
  <c r="E632" i="3"/>
  <c r="E628" i="3"/>
  <c r="E658" i="3"/>
  <c r="E653" i="3"/>
  <c r="E649" i="3"/>
  <c r="E645" i="3"/>
  <c r="E641" i="3"/>
  <c r="E637" i="3"/>
  <c r="E633" i="3"/>
  <c r="E662" i="3"/>
  <c r="E654" i="3"/>
  <c r="E650" i="3"/>
  <c r="E646" i="3"/>
  <c r="E642" i="3"/>
  <c r="E638" i="3"/>
  <c r="E634" i="3"/>
  <c r="E660" i="3"/>
  <c r="E657" i="3"/>
  <c r="E655" i="3"/>
  <c r="E651" i="3"/>
  <c r="E647" i="3"/>
  <c r="E643" i="3"/>
  <c r="E639" i="3"/>
  <c r="E635" i="3"/>
  <c r="E631" i="3"/>
  <c r="E627" i="3"/>
  <c r="E630" i="3"/>
  <c r="E623" i="3"/>
  <c r="E619" i="3"/>
  <c r="E615" i="3"/>
  <c r="E611" i="3"/>
  <c r="E607" i="3"/>
  <c r="E603" i="3"/>
  <c r="E599" i="3"/>
  <c r="E595" i="3"/>
  <c r="E591" i="3"/>
  <c r="E629" i="3"/>
  <c r="E624" i="3"/>
  <c r="E620" i="3"/>
  <c r="E616" i="3"/>
  <c r="E612" i="3"/>
  <c r="E608" i="3"/>
  <c r="E604" i="3"/>
  <c r="E600" i="3"/>
  <c r="E596" i="3"/>
  <c r="E626" i="3"/>
  <c r="E621" i="3"/>
  <c r="E617" i="3"/>
  <c r="E613" i="3"/>
  <c r="E609" i="3"/>
  <c r="E605" i="3"/>
  <c r="E625" i="3"/>
  <c r="E622" i="3"/>
  <c r="E618" i="3"/>
  <c r="E614" i="3"/>
  <c r="E610" i="3"/>
  <c r="E606" i="3"/>
  <c r="E602" i="3"/>
  <c r="E598" i="3"/>
  <c r="E597" i="3"/>
  <c r="E593" i="3"/>
  <c r="E590" i="3"/>
  <c r="E586" i="3"/>
  <c r="E582" i="3"/>
  <c r="E578" i="3"/>
  <c r="E574" i="3"/>
  <c r="E570" i="3"/>
  <c r="E566" i="3"/>
  <c r="E562" i="3"/>
  <c r="E601" i="3"/>
  <c r="E587" i="3"/>
  <c r="E583" i="3"/>
  <c r="E579" i="3"/>
  <c r="E575" i="3"/>
  <c r="E571" i="3"/>
  <c r="E567" i="3"/>
  <c r="E588" i="3"/>
  <c r="E584" i="3"/>
  <c r="E580" i="3"/>
  <c r="E576" i="3"/>
  <c r="E572" i="3"/>
  <c r="E568" i="3"/>
  <c r="E594" i="3"/>
  <c r="E592" i="3"/>
  <c r="E589" i="3"/>
  <c r="E585" i="3"/>
  <c r="E581" i="3"/>
  <c r="E577" i="3"/>
  <c r="E573" i="3"/>
  <c r="E569" i="3"/>
  <c r="E565" i="3"/>
  <c r="E561" i="3"/>
  <c r="E563" i="3"/>
  <c r="E557" i="3"/>
  <c r="E553" i="3"/>
  <c r="E549" i="3"/>
  <c r="E545" i="3"/>
  <c r="E541" i="3"/>
  <c r="E537" i="3"/>
  <c r="E533" i="3"/>
  <c r="E529" i="3"/>
  <c r="E525" i="3"/>
  <c r="E521" i="3"/>
  <c r="E560" i="3"/>
  <c r="E558" i="3"/>
  <c r="E554" i="3"/>
  <c r="E550" i="3"/>
  <c r="E546" i="3"/>
  <c r="E542" i="3"/>
  <c r="E538" i="3"/>
  <c r="E534" i="3"/>
  <c r="E530" i="3"/>
  <c r="E564" i="3"/>
  <c r="E559" i="3"/>
  <c r="E555" i="3"/>
  <c r="E551" i="3"/>
  <c r="E547" i="3"/>
  <c r="E543" i="3"/>
  <c r="E539" i="3"/>
  <c r="E535" i="3"/>
  <c r="E531" i="3"/>
  <c r="E527" i="3"/>
  <c r="E556" i="3"/>
  <c r="E552" i="3"/>
  <c r="E548" i="3"/>
  <c r="E544" i="3"/>
  <c r="E540" i="3"/>
  <c r="E536" i="3"/>
  <c r="E532" i="3"/>
  <c r="E528" i="3"/>
  <c r="E524" i="3"/>
  <c r="E520" i="3"/>
  <c r="E522" i="3"/>
  <c r="E518" i="3"/>
  <c r="E514" i="3"/>
  <c r="E510" i="3"/>
  <c r="E506" i="3"/>
  <c r="E502" i="3"/>
  <c r="E498" i="3"/>
  <c r="E494" i="3"/>
  <c r="E490" i="3"/>
  <c r="E486" i="3"/>
  <c r="E482" i="3"/>
  <c r="E478" i="3"/>
  <c r="E474" i="3"/>
  <c r="E470" i="3"/>
  <c r="E466" i="3"/>
  <c r="E462" i="3"/>
  <c r="E458" i="3"/>
  <c r="E454" i="3"/>
  <c r="E526" i="3"/>
  <c r="E519" i="3"/>
  <c r="E515" i="3"/>
  <c r="E511" i="3"/>
  <c r="E507" i="3"/>
  <c r="E503" i="3"/>
  <c r="E499" i="3"/>
  <c r="E495" i="3"/>
  <c r="E491" i="3"/>
  <c r="E487" i="3"/>
  <c r="E483" i="3"/>
  <c r="E479" i="3"/>
  <c r="E475" i="3"/>
  <c r="E471" i="3"/>
  <c r="E467" i="3"/>
  <c r="E463" i="3"/>
  <c r="E459" i="3"/>
  <c r="E516" i="3"/>
  <c r="E512" i="3"/>
  <c r="E508" i="3"/>
  <c r="E504" i="3"/>
  <c r="E500" i="3"/>
  <c r="E496" i="3"/>
  <c r="E492" i="3"/>
  <c r="E488" i="3"/>
  <c r="E484" i="3"/>
  <c r="E480" i="3"/>
  <c r="E476" i="3"/>
  <c r="E472" i="3"/>
  <c r="E468" i="3"/>
  <c r="E464" i="3"/>
  <c r="E523" i="3"/>
  <c r="E517" i="3"/>
  <c r="E513" i="3"/>
  <c r="E509" i="3"/>
  <c r="E505" i="3"/>
  <c r="E501" i="3"/>
  <c r="E497" i="3"/>
  <c r="E493" i="3"/>
  <c r="E489" i="3"/>
  <c r="E485" i="3"/>
  <c r="E481" i="3"/>
  <c r="E477" i="3"/>
  <c r="E473" i="3"/>
  <c r="E469" i="3"/>
  <c r="E465" i="3"/>
  <c r="E461" i="3"/>
  <c r="E457" i="3"/>
  <c r="E453" i="3"/>
  <c r="E455" i="3"/>
  <c r="E450" i="3"/>
  <c r="E446" i="3"/>
  <c r="E442" i="3"/>
  <c r="E438" i="3"/>
  <c r="E434" i="3"/>
  <c r="E430" i="3"/>
  <c r="E426" i="3"/>
  <c r="E422" i="3"/>
  <c r="E418" i="3"/>
  <c r="E414" i="3"/>
  <c r="E410" i="3"/>
  <c r="E406" i="3"/>
  <c r="E402" i="3"/>
  <c r="E398" i="3"/>
  <c r="E394" i="3"/>
  <c r="E390" i="3"/>
  <c r="E386" i="3"/>
  <c r="E452" i="3"/>
  <c r="E447" i="3"/>
  <c r="E443" i="3"/>
  <c r="E439" i="3"/>
  <c r="E435" i="3"/>
  <c r="E431" i="3"/>
  <c r="E427" i="3"/>
  <c r="E423" i="3"/>
  <c r="E419" i="3"/>
  <c r="E415" i="3"/>
  <c r="E411" i="3"/>
  <c r="E407" i="3"/>
  <c r="E403" i="3"/>
  <c r="E399" i="3"/>
  <c r="E395" i="3"/>
  <c r="E460" i="3"/>
  <c r="E451" i="3"/>
  <c r="E448" i="3"/>
  <c r="E444" i="3"/>
  <c r="E440" i="3"/>
  <c r="E436" i="3"/>
  <c r="E432" i="3"/>
  <c r="E428" i="3"/>
  <c r="E424" i="3"/>
  <c r="E420" i="3"/>
  <c r="E416" i="3"/>
  <c r="E412" i="3"/>
  <c r="E408" i="3"/>
  <c r="E404" i="3"/>
  <c r="E400" i="3"/>
  <c r="E396" i="3"/>
  <c r="E456" i="3"/>
  <c r="E449" i="3"/>
  <c r="E445" i="3"/>
  <c r="E441" i="3"/>
  <c r="E437" i="3"/>
  <c r="E433" i="3"/>
  <c r="E429" i="3"/>
  <c r="E425" i="3"/>
  <c r="E421" i="3"/>
  <c r="E417" i="3"/>
  <c r="E413" i="3"/>
  <c r="E409" i="3"/>
  <c r="E405" i="3"/>
  <c r="E401" i="3"/>
  <c r="E397" i="3"/>
  <c r="E393" i="3"/>
  <c r="E389" i="3"/>
  <c r="E385" i="3"/>
  <c r="E392" i="3"/>
  <c r="E384" i="3"/>
  <c r="E381" i="3"/>
  <c r="E377" i="3"/>
  <c r="E373" i="3"/>
  <c r="E369" i="3"/>
  <c r="E365" i="3"/>
  <c r="E361" i="3"/>
  <c r="E357" i="3"/>
  <c r="E353" i="3"/>
  <c r="E349" i="3"/>
  <c r="E345" i="3"/>
  <c r="E341" i="3"/>
  <c r="E337" i="3"/>
  <c r="E333" i="3"/>
  <c r="E329" i="3"/>
  <c r="E325" i="3"/>
  <c r="E321" i="3"/>
  <c r="E317" i="3"/>
  <c r="E313" i="3"/>
  <c r="E391" i="3"/>
  <c r="E382" i="3"/>
  <c r="E378" i="3"/>
  <c r="E374" i="3"/>
  <c r="E370" i="3"/>
  <c r="E366" i="3"/>
  <c r="E362" i="3"/>
  <c r="E358" i="3"/>
  <c r="E354" i="3"/>
  <c r="E350" i="3"/>
  <c r="E346" i="3"/>
  <c r="E342" i="3"/>
  <c r="E338" i="3"/>
  <c r="E334" i="3"/>
  <c r="E330" i="3"/>
  <c r="E326" i="3"/>
  <c r="E322" i="3"/>
  <c r="E318" i="3"/>
  <c r="E388" i="3"/>
  <c r="E383" i="3"/>
  <c r="E379" i="3"/>
  <c r="E375" i="3"/>
  <c r="E371" i="3"/>
  <c r="E367" i="3"/>
  <c r="E363" i="3"/>
  <c r="E359" i="3"/>
  <c r="E355" i="3"/>
  <c r="E351" i="3"/>
  <c r="E347" i="3"/>
  <c r="E343" i="3"/>
  <c r="E339" i="3"/>
  <c r="E335" i="3"/>
  <c r="E331" i="3"/>
  <c r="E387" i="3"/>
  <c r="E380" i="3"/>
  <c r="E376" i="3"/>
  <c r="E372" i="3"/>
  <c r="E368" i="3"/>
  <c r="E364" i="3"/>
  <c r="E360" i="3"/>
  <c r="E356" i="3"/>
  <c r="E352" i="3"/>
  <c r="E348" i="3"/>
  <c r="E344" i="3"/>
  <c r="E340" i="3"/>
  <c r="E336" i="3"/>
  <c r="E332" i="3"/>
  <c r="E328" i="3"/>
  <c r="E324" i="3"/>
  <c r="E320" i="3"/>
  <c r="E316" i="3"/>
  <c r="E312" i="3"/>
  <c r="E319" i="3"/>
  <c r="E311" i="3"/>
  <c r="E308" i="3"/>
  <c r="E304" i="3"/>
  <c r="E300" i="3"/>
  <c r="E296" i="3"/>
  <c r="E292" i="3"/>
  <c r="E288" i="3"/>
  <c r="E284" i="3"/>
  <c r="E280" i="3"/>
  <c r="E276" i="3"/>
  <c r="E272" i="3"/>
  <c r="E268" i="3"/>
  <c r="E264" i="3"/>
  <c r="E260" i="3"/>
  <c r="E256" i="3"/>
  <c r="E252" i="3"/>
  <c r="E248" i="3"/>
  <c r="E244" i="3"/>
  <c r="E240" i="3"/>
  <c r="E236" i="3"/>
  <c r="E232" i="3"/>
  <c r="E228" i="3"/>
  <c r="E224" i="3"/>
  <c r="E220" i="3"/>
  <c r="E323" i="3"/>
  <c r="E309" i="3"/>
  <c r="E305" i="3"/>
  <c r="E301" i="3"/>
  <c r="E297" i="3"/>
  <c r="E293" i="3"/>
  <c r="E289" i="3"/>
  <c r="E285" i="3"/>
  <c r="E281" i="3"/>
  <c r="E277" i="3"/>
  <c r="E273" i="3"/>
  <c r="E269" i="3"/>
  <c r="E265" i="3"/>
  <c r="E261" i="3"/>
  <c r="E257" i="3"/>
  <c r="E253" i="3"/>
  <c r="E249" i="3"/>
  <c r="E245" i="3"/>
  <c r="E241" i="3"/>
  <c r="E237" i="3"/>
  <c r="E233" i="3"/>
  <c r="E229" i="3"/>
  <c r="E225" i="3"/>
  <c r="E327" i="3"/>
  <c r="E315" i="3"/>
  <c r="E310" i="3"/>
  <c r="E306" i="3"/>
  <c r="E302" i="3"/>
  <c r="E298" i="3"/>
  <c r="E294" i="3"/>
  <c r="E290" i="3"/>
  <c r="E286" i="3"/>
  <c r="E282" i="3"/>
  <c r="E278" i="3"/>
  <c r="E274" i="3"/>
  <c r="E270" i="3"/>
  <c r="E266" i="3"/>
  <c r="E262" i="3"/>
  <c r="E258" i="3"/>
  <c r="E254" i="3"/>
  <c r="E250" i="3"/>
  <c r="E246" i="3"/>
  <c r="E314" i="3"/>
  <c r="E307" i="3"/>
  <c r="E303" i="3"/>
  <c r="E299" i="3"/>
  <c r="E295" i="3"/>
  <c r="E291" i="3"/>
  <c r="E287" i="3"/>
  <c r="E283" i="3"/>
  <c r="E279" i="3"/>
  <c r="E275" i="3"/>
  <c r="E271" i="3"/>
  <c r="E267" i="3"/>
  <c r="E263" i="3"/>
  <c r="E259" i="3"/>
  <c r="E255" i="3"/>
  <c r="E251" i="3"/>
  <c r="E247" i="3"/>
  <c r="E243" i="3"/>
  <c r="E239" i="3"/>
  <c r="E235" i="3"/>
  <c r="E231" i="3"/>
  <c r="E238" i="3"/>
  <c r="E227" i="3"/>
  <c r="E219" i="3"/>
  <c r="E217" i="3"/>
  <c r="E213" i="3"/>
  <c r="E209" i="3"/>
  <c r="E205" i="3"/>
  <c r="E201" i="3"/>
  <c r="E197" i="3"/>
  <c r="E193" i="3"/>
  <c r="E189" i="3"/>
  <c r="E185" i="3"/>
  <c r="E181" i="3"/>
  <c r="E177" i="3"/>
  <c r="E173" i="3"/>
  <c r="E169" i="3"/>
  <c r="E165" i="3"/>
  <c r="E161" i="3"/>
  <c r="E157" i="3"/>
  <c r="E153" i="3"/>
  <c r="E149" i="3"/>
  <c r="E145" i="3"/>
  <c r="E141" i="3"/>
  <c r="E137" i="3"/>
  <c r="E242" i="3"/>
  <c r="E226" i="3"/>
  <c r="E222" i="3"/>
  <c r="E214" i="3"/>
  <c r="E210" i="3"/>
  <c r="E206" i="3"/>
  <c r="E202" i="3"/>
  <c r="E198" i="3"/>
  <c r="E194" i="3"/>
  <c r="E190" i="3"/>
  <c r="E186" i="3"/>
  <c r="E182" i="3"/>
  <c r="E178" i="3"/>
  <c r="E174" i="3"/>
  <c r="E170" i="3"/>
  <c r="E166" i="3"/>
  <c r="E162" i="3"/>
  <c r="E158" i="3"/>
  <c r="E154" i="3"/>
  <c r="E150" i="3"/>
  <c r="E146" i="3"/>
  <c r="E142" i="3"/>
  <c r="E138" i="3"/>
  <c r="E134" i="3"/>
  <c r="E223" i="3"/>
  <c r="E218" i="3"/>
  <c r="E215" i="3"/>
  <c r="E211" i="3"/>
  <c r="E207" i="3"/>
  <c r="E203" i="3"/>
  <c r="E199" i="3"/>
  <c r="E195" i="3"/>
  <c r="E191" i="3"/>
  <c r="E187" i="3"/>
  <c r="E183" i="3"/>
  <c r="E179" i="3"/>
  <c r="E175" i="3"/>
  <c r="E171" i="3"/>
  <c r="E167" i="3"/>
  <c r="E163" i="3"/>
  <c r="E159" i="3"/>
  <c r="E155" i="3"/>
  <c r="E151" i="3"/>
  <c r="E147" i="3"/>
  <c r="E143" i="3"/>
  <c r="E139" i="3"/>
  <c r="E135" i="3"/>
  <c r="E234" i="3"/>
  <c r="E230" i="3"/>
  <c r="E221" i="3"/>
  <c r="E216" i="3"/>
  <c r="E212" i="3"/>
  <c r="E208" i="3"/>
  <c r="E204" i="3"/>
  <c r="E200" i="3"/>
  <c r="E196" i="3"/>
  <c r="E192" i="3"/>
  <c r="E188" i="3"/>
  <c r="E184" i="3"/>
  <c r="E180" i="3"/>
  <c r="E176" i="3"/>
  <c r="E172" i="3"/>
  <c r="E168" i="3"/>
  <c r="E164" i="3"/>
  <c r="E160" i="3"/>
  <c r="E156" i="3"/>
  <c r="E152" i="3"/>
  <c r="E148" i="3"/>
  <c r="E144" i="3"/>
  <c r="E140" i="3"/>
  <c r="E136" i="3"/>
  <c r="I727" i="3"/>
  <c r="I723" i="3"/>
  <c r="I719" i="3"/>
  <c r="I728" i="3"/>
  <c r="I724" i="3"/>
  <c r="I720" i="3"/>
  <c r="I716" i="3"/>
  <c r="I130" i="3"/>
  <c r="I725" i="3"/>
  <c r="I721" i="3"/>
  <c r="I717" i="3"/>
  <c r="I713" i="3"/>
  <c r="I718" i="3"/>
  <c r="I708" i="3"/>
  <c r="I704" i="3"/>
  <c r="I700" i="3"/>
  <c r="I722" i="3"/>
  <c r="I709" i="3"/>
  <c r="I705" i="3"/>
  <c r="I701" i="3"/>
  <c r="I726" i="3"/>
  <c r="I715" i="3"/>
  <c r="I712" i="3"/>
  <c r="I710" i="3"/>
  <c r="I706" i="3"/>
  <c r="I702" i="3"/>
  <c r="I714" i="3"/>
  <c r="I711" i="3"/>
  <c r="I707" i="3"/>
  <c r="I703" i="3"/>
  <c r="I699" i="3"/>
  <c r="I695" i="3"/>
  <c r="I691" i="3"/>
  <c r="I687" i="3"/>
  <c r="I683" i="3"/>
  <c r="I696" i="3"/>
  <c r="I692" i="3"/>
  <c r="I688" i="3"/>
  <c r="I684" i="3"/>
  <c r="I697" i="3"/>
  <c r="I693" i="3"/>
  <c r="I689" i="3"/>
  <c r="I698" i="3"/>
  <c r="I694" i="3"/>
  <c r="I690" i="3"/>
  <c r="I686" i="3"/>
  <c r="I685" i="3"/>
  <c r="I680" i="3"/>
  <c r="I676" i="3"/>
  <c r="I672" i="3"/>
  <c r="I668" i="3"/>
  <c r="I664" i="3"/>
  <c r="I677" i="3"/>
  <c r="I673" i="3"/>
  <c r="I669" i="3"/>
  <c r="I665" i="3"/>
  <c r="I661" i="3"/>
  <c r="I682" i="3"/>
  <c r="I678" i="3"/>
  <c r="I674" i="3"/>
  <c r="I670" i="3"/>
  <c r="I666" i="3"/>
  <c r="I681" i="3"/>
  <c r="I679" i="3"/>
  <c r="I675" i="3"/>
  <c r="I671" i="3"/>
  <c r="I667" i="3"/>
  <c r="I663" i="3"/>
  <c r="I659" i="3"/>
  <c r="I657" i="3"/>
  <c r="I656" i="3"/>
  <c r="I652" i="3"/>
  <c r="I648" i="3"/>
  <c r="I644" i="3"/>
  <c r="I640" i="3"/>
  <c r="I636" i="3"/>
  <c r="I632" i="3"/>
  <c r="I628" i="3"/>
  <c r="I662" i="3"/>
  <c r="I660" i="3"/>
  <c r="I653" i="3"/>
  <c r="I649" i="3"/>
  <c r="I645" i="3"/>
  <c r="I641" i="3"/>
  <c r="I637" i="3"/>
  <c r="I633" i="3"/>
  <c r="I658" i="3"/>
  <c r="I654" i="3"/>
  <c r="I650" i="3"/>
  <c r="I646" i="3"/>
  <c r="I642" i="3"/>
  <c r="I638" i="3"/>
  <c r="I634" i="3"/>
  <c r="I655" i="3"/>
  <c r="I651" i="3"/>
  <c r="I647" i="3"/>
  <c r="I643" i="3"/>
  <c r="I639" i="3"/>
  <c r="I635" i="3"/>
  <c r="I631" i="3"/>
  <c r="I627" i="3"/>
  <c r="I626" i="3"/>
  <c r="I623" i="3"/>
  <c r="I619" i="3"/>
  <c r="I615" i="3"/>
  <c r="I611" i="3"/>
  <c r="I607" i="3"/>
  <c r="I603" i="3"/>
  <c r="I599" i="3"/>
  <c r="I595" i="3"/>
  <c r="I591" i="3"/>
  <c r="I625" i="3"/>
  <c r="I624" i="3"/>
  <c r="I620" i="3"/>
  <c r="I616" i="3"/>
  <c r="I612" i="3"/>
  <c r="I608" i="3"/>
  <c r="I604" i="3"/>
  <c r="I600" i="3"/>
  <c r="I596" i="3"/>
  <c r="I630" i="3"/>
  <c r="I621" i="3"/>
  <c r="I617" i="3"/>
  <c r="I613" i="3"/>
  <c r="I609" i="3"/>
  <c r="I605" i="3"/>
  <c r="I629" i="3"/>
  <c r="I622" i="3"/>
  <c r="I618" i="3"/>
  <c r="I614" i="3"/>
  <c r="I610" i="3"/>
  <c r="I606" i="3"/>
  <c r="I602" i="3"/>
  <c r="I598" i="3"/>
  <c r="I601" i="3"/>
  <c r="I592" i="3"/>
  <c r="I586" i="3"/>
  <c r="I582" i="3"/>
  <c r="I578" i="3"/>
  <c r="I574" i="3"/>
  <c r="I570" i="3"/>
  <c r="I566" i="3"/>
  <c r="I562" i="3"/>
  <c r="I594" i="3"/>
  <c r="I590" i="3"/>
  <c r="I587" i="3"/>
  <c r="I583" i="3"/>
  <c r="I579" i="3"/>
  <c r="I575" i="3"/>
  <c r="I571" i="3"/>
  <c r="I567" i="3"/>
  <c r="I593" i="3"/>
  <c r="I588" i="3"/>
  <c r="I584" i="3"/>
  <c r="I580" i="3"/>
  <c r="I576" i="3"/>
  <c r="I572" i="3"/>
  <c r="I568" i="3"/>
  <c r="I597" i="3"/>
  <c r="I589" i="3"/>
  <c r="I585" i="3"/>
  <c r="I581" i="3"/>
  <c r="I577" i="3"/>
  <c r="I573" i="3"/>
  <c r="I569" i="3"/>
  <c r="I565" i="3"/>
  <c r="I561" i="3"/>
  <c r="I559" i="3"/>
  <c r="I557" i="3"/>
  <c r="I553" i="3"/>
  <c r="I549" i="3"/>
  <c r="I545" i="3"/>
  <c r="I541" i="3"/>
  <c r="I537" i="3"/>
  <c r="I533" i="3"/>
  <c r="I529" i="3"/>
  <c r="I525" i="3"/>
  <c r="I521" i="3"/>
  <c r="I564" i="3"/>
  <c r="I558" i="3"/>
  <c r="I554" i="3"/>
  <c r="I550" i="3"/>
  <c r="I546" i="3"/>
  <c r="I542" i="3"/>
  <c r="I538" i="3"/>
  <c r="I534" i="3"/>
  <c r="I530" i="3"/>
  <c r="I563" i="3"/>
  <c r="I555" i="3"/>
  <c r="I551" i="3"/>
  <c r="I547" i="3"/>
  <c r="I543" i="3"/>
  <c r="I539" i="3"/>
  <c r="I535" i="3"/>
  <c r="I531" i="3"/>
  <c r="I527" i="3"/>
  <c r="I560" i="3"/>
  <c r="I556" i="3"/>
  <c r="I552" i="3"/>
  <c r="I548" i="3"/>
  <c r="I544" i="3"/>
  <c r="I540" i="3"/>
  <c r="I536" i="3"/>
  <c r="I532" i="3"/>
  <c r="I528" i="3"/>
  <c r="I524" i="3"/>
  <c r="I520" i="3"/>
  <c r="I526" i="3"/>
  <c r="I518" i="3"/>
  <c r="I514" i="3"/>
  <c r="I510" i="3"/>
  <c r="I506" i="3"/>
  <c r="I502" i="3"/>
  <c r="I498" i="3"/>
  <c r="I494" i="3"/>
  <c r="I490" i="3"/>
  <c r="I486" i="3"/>
  <c r="I482" i="3"/>
  <c r="I478" i="3"/>
  <c r="I474" i="3"/>
  <c r="I470" i="3"/>
  <c r="I466" i="3"/>
  <c r="I462" i="3"/>
  <c r="I458" i="3"/>
  <c r="I454" i="3"/>
  <c r="I523" i="3"/>
  <c r="I519" i="3"/>
  <c r="I515" i="3"/>
  <c r="I511" i="3"/>
  <c r="I507" i="3"/>
  <c r="I503" i="3"/>
  <c r="I499" i="3"/>
  <c r="I495" i="3"/>
  <c r="I491" i="3"/>
  <c r="I487" i="3"/>
  <c r="I483" i="3"/>
  <c r="I479" i="3"/>
  <c r="I475" i="3"/>
  <c r="I471" i="3"/>
  <c r="I467" i="3"/>
  <c r="I463" i="3"/>
  <c r="I459" i="3"/>
  <c r="I522" i="3"/>
  <c r="I516" i="3"/>
  <c r="I512" i="3"/>
  <c r="I508" i="3"/>
  <c r="I504" i="3"/>
  <c r="I500" i="3"/>
  <c r="I496" i="3"/>
  <c r="I492" i="3"/>
  <c r="I488" i="3"/>
  <c r="I484" i="3"/>
  <c r="I480" i="3"/>
  <c r="I476" i="3"/>
  <c r="I472" i="3"/>
  <c r="I468" i="3"/>
  <c r="I464" i="3"/>
  <c r="I517" i="3"/>
  <c r="I513" i="3"/>
  <c r="I509" i="3"/>
  <c r="I505" i="3"/>
  <c r="I501" i="3"/>
  <c r="I497" i="3"/>
  <c r="I493" i="3"/>
  <c r="I489" i="3"/>
  <c r="I485" i="3"/>
  <c r="I481" i="3"/>
  <c r="I477" i="3"/>
  <c r="I473" i="3"/>
  <c r="I469" i="3"/>
  <c r="I465" i="3"/>
  <c r="I461" i="3"/>
  <c r="I457" i="3"/>
  <c r="I453" i="3"/>
  <c r="I451" i="3"/>
  <c r="I450" i="3"/>
  <c r="I446" i="3"/>
  <c r="I442" i="3"/>
  <c r="I438" i="3"/>
  <c r="I434" i="3"/>
  <c r="I430" i="3"/>
  <c r="I426" i="3"/>
  <c r="I422" i="3"/>
  <c r="I418" i="3"/>
  <c r="I414" i="3"/>
  <c r="I410" i="3"/>
  <c r="I406" i="3"/>
  <c r="I402" i="3"/>
  <c r="I398" i="3"/>
  <c r="I394" i="3"/>
  <c r="I390" i="3"/>
  <c r="I386" i="3"/>
  <c r="I460" i="3"/>
  <c r="I456" i="3"/>
  <c r="I447" i="3"/>
  <c r="I443" i="3"/>
  <c r="I439" i="3"/>
  <c r="I435" i="3"/>
  <c r="I431" i="3"/>
  <c r="I427" i="3"/>
  <c r="I423" i="3"/>
  <c r="I419" i="3"/>
  <c r="I415" i="3"/>
  <c r="I411" i="3"/>
  <c r="I407" i="3"/>
  <c r="I403" i="3"/>
  <c r="I399" i="3"/>
  <c r="I395" i="3"/>
  <c r="I455" i="3"/>
  <c r="I448" i="3"/>
  <c r="I444" i="3"/>
  <c r="I440" i="3"/>
  <c r="I436" i="3"/>
  <c r="I432" i="3"/>
  <c r="I428" i="3"/>
  <c r="I424" i="3"/>
  <c r="I420" i="3"/>
  <c r="I416" i="3"/>
  <c r="I412" i="3"/>
  <c r="I408" i="3"/>
  <c r="I404" i="3"/>
  <c r="I400" i="3"/>
  <c r="I396" i="3"/>
  <c r="I452" i="3"/>
  <c r="I449" i="3"/>
  <c r="I445" i="3"/>
  <c r="I441" i="3"/>
  <c r="I437" i="3"/>
  <c r="I433" i="3"/>
  <c r="I429" i="3"/>
  <c r="I425" i="3"/>
  <c r="I421" i="3"/>
  <c r="I417" i="3"/>
  <c r="I413" i="3"/>
  <c r="I409" i="3"/>
  <c r="I405" i="3"/>
  <c r="I401" i="3"/>
  <c r="I397" i="3"/>
  <c r="I393" i="3"/>
  <c r="I389" i="3"/>
  <c r="I385" i="3"/>
  <c r="I388" i="3"/>
  <c r="I381" i="3"/>
  <c r="I377" i="3"/>
  <c r="I373" i="3"/>
  <c r="I369" i="3"/>
  <c r="I365" i="3"/>
  <c r="I361" i="3"/>
  <c r="I357" i="3"/>
  <c r="I353" i="3"/>
  <c r="I349" i="3"/>
  <c r="I345" i="3"/>
  <c r="I341" i="3"/>
  <c r="I337" i="3"/>
  <c r="I333" i="3"/>
  <c r="I329" i="3"/>
  <c r="I325" i="3"/>
  <c r="I321" i="3"/>
  <c r="I317" i="3"/>
  <c r="I313" i="3"/>
  <c r="I387" i="3"/>
  <c r="I382" i="3"/>
  <c r="I378" i="3"/>
  <c r="I374" i="3"/>
  <c r="I370" i="3"/>
  <c r="I366" i="3"/>
  <c r="I362" i="3"/>
  <c r="I358" i="3"/>
  <c r="I354" i="3"/>
  <c r="I350" i="3"/>
  <c r="I346" i="3"/>
  <c r="I342" i="3"/>
  <c r="I338" i="3"/>
  <c r="I334" i="3"/>
  <c r="I330" i="3"/>
  <c r="I326" i="3"/>
  <c r="I322" i="3"/>
  <c r="I318" i="3"/>
  <c r="I392" i="3"/>
  <c r="I384" i="3"/>
  <c r="I383" i="3"/>
  <c r="I379" i="3"/>
  <c r="I375" i="3"/>
  <c r="I371" i="3"/>
  <c r="I367" i="3"/>
  <c r="I363" i="3"/>
  <c r="I359" i="3"/>
  <c r="I355" i="3"/>
  <c r="I351" i="3"/>
  <c r="I347" i="3"/>
  <c r="I343" i="3"/>
  <c r="I339" i="3"/>
  <c r="I335" i="3"/>
  <c r="I331" i="3"/>
  <c r="I391" i="3"/>
  <c r="I380" i="3"/>
  <c r="I376" i="3"/>
  <c r="I372" i="3"/>
  <c r="I368" i="3"/>
  <c r="I364" i="3"/>
  <c r="I360" i="3"/>
  <c r="I356" i="3"/>
  <c r="I352" i="3"/>
  <c r="I348" i="3"/>
  <c r="I344" i="3"/>
  <c r="I340" i="3"/>
  <c r="I336" i="3"/>
  <c r="I332" i="3"/>
  <c r="I328" i="3"/>
  <c r="I324" i="3"/>
  <c r="I320" i="3"/>
  <c r="I316" i="3"/>
  <c r="I312" i="3"/>
  <c r="I323" i="3"/>
  <c r="I315" i="3"/>
  <c r="I308" i="3"/>
  <c r="I304" i="3"/>
  <c r="I300" i="3"/>
  <c r="I296" i="3"/>
  <c r="I292" i="3"/>
  <c r="I288" i="3"/>
  <c r="I284" i="3"/>
  <c r="I280" i="3"/>
  <c r="I276" i="3"/>
  <c r="I272" i="3"/>
  <c r="I268" i="3"/>
  <c r="I264" i="3"/>
  <c r="I260" i="3"/>
  <c r="I256" i="3"/>
  <c r="I252" i="3"/>
  <c r="I248" i="3"/>
  <c r="I244" i="3"/>
  <c r="I240" i="3"/>
  <c r="I236" i="3"/>
  <c r="I232" i="3"/>
  <c r="I228" i="3"/>
  <c r="I224" i="3"/>
  <c r="I220" i="3"/>
  <c r="I327" i="3"/>
  <c r="I314" i="3"/>
  <c r="I309" i="3"/>
  <c r="I305" i="3"/>
  <c r="I301" i="3"/>
  <c r="I297" i="3"/>
  <c r="I293" i="3"/>
  <c r="I289" i="3"/>
  <c r="I285" i="3"/>
  <c r="I281" i="3"/>
  <c r="I277" i="3"/>
  <c r="I273" i="3"/>
  <c r="I269" i="3"/>
  <c r="I265" i="3"/>
  <c r="I261" i="3"/>
  <c r="I257" i="3"/>
  <c r="I253" i="3"/>
  <c r="I249" i="3"/>
  <c r="I245" i="3"/>
  <c r="I241" i="3"/>
  <c r="I237" i="3"/>
  <c r="I233" i="3"/>
  <c r="I229" i="3"/>
  <c r="I225" i="3"/>
  <c r="I311" i="3"/>
  <c r="I310" i="3"/>
  <c r="I306" i="3"/>
  <c r="I302" i="3"/>
  <c r="I298" i="3"/>
  <c r="I294" i="3"/>
  <c r="I290" i="3"/>
  <c r="I286" i="3"/>
  <c r="I282" i="3"/>
  <c r="I278" i="3"/>
  <c r="I274" i="3"/>
  <c r="I270" i="3"/>
  <c r="I266" i="3"/>
  <c r="I262" i="3"/>
  <c r="I258" i="3"/>
  <c r="I254" i="3"/>
  <c r="I250" i="3"/>
  <c r="I246" i="3"/>
  <c r="I319" i="3"/>
  <c r="I307" i="3"/>
  <c r="I303" i="3"/>
  <c r="I299" i="3"/>
  <c r="I295" i="3"/>
  <c r="I291" i="3"/>
  <c r="I287" i="3"/>
  <c r="I283" i="3"/>
  <c r="I279" i="3"/>
  <c r="I275" i="3"/>
  <c r="I271" i="3"/>
  <c r="I267" i="3"/>
  <c r="I263" i="3"/>
  <c r="I259" i="3"/>
  <c r="I255" i="3"/>
  <c r="I251" i="3"/>
  <c r="I247" i="3"/>
  <c r="I243" i="3"/>
  <c r="I239" i="3"/>
  <c r="I235" i="3"/>
  <c r="I231" i="3"/>
  <c r="I242" i="3"/>
  <c r="I223" i="3"/>
  <c r="I221" i="3"/>
  <c r="I217" i="3"/>
  <c r="I213" i="3"/>
  <c r="I209" i="3"/>
  <c r="I205" i="3"/>
  <c r="I201" i="3"/>
  <c r="I197" i="3"/>
  <c r="I193" i="3"/>
  <c r="I189" i="3"/>
  <c r="I185" i="3"/>
  <c r="I181" i="3"/>
  <c r="I177" i="3"/>
  <c r="I173" i="3"/>
  <c r="I169" i="3"/>
  <c r="I165" i="3"/>
  <c r="I161" i="3"/>
  <c r="I157" i="3"/>
  <c r="I153" i="3"/>
  <c r="I149" i="3"/>
  <c r="I145" i="3"/>
  <c r="I141" i="3"/>
  <c r="I137" i="3"/>
  <c r="I230" i="3"/>
  <c r="I219" i="3"/>
  <c r="I214" i="3"/>
  <c r="I210" i="3"/>
  <c r="I206" i="3"/>
  <c r="I202" i="3"/>
  <c r="I198" i="3"/>
  <c r="I194" i="3"/>
  <c r="I190" i="3"/>
  <c r="I186" i="3"/>
  <c r="I182" i="3"/>
  <c r="I178" i="3"/>
  <c r="I174" i="3"/>
  <c r="I170" i="3"/>
  <c r="I166" i="3"/>
  <c r="I162" i="3"/>
  <c r="I158" i="3"/>
  <c r="I154" i="3"/>
  <c r="I150" i="3"/>
  <c r="I146" i="3"/>
  <c r="I142" i="3"/>
  <c r="I138" i="3"/>
  <c r="I134" i="3"/>
  <c r="I234" i="3"/>
  <c r="I227" i="3"/>
  <c r="I222" i="3"/>
  <c r="I215" i="3"/>
  <c r="I211" i="3"/>
  <c r="I207" i="3"/>
  <c r="I203" i="3"/>
  <c r="I199" i="3"/>
  <c r="I195" i="3"/>
  <c r="I191" i="3"/>
  <c r="I187" i="3"/>
  <c r="I183" i="3"/>
  <c r="I179" i="3"/>
  <c r="I175" i="3"/>
  <c r="I171" i="3"/>
  <c r="I167" i="3"/>
  <c r="I163" i="3"/>
  <c r="I159" i="3"/>
  <c r="I155" i="3"/>
  <c r="I151" i="3"/>
  <c r="I147" i="3"/>
  <c r="I143" i="3"/>
  <c r="I139" i="3"/>
  <c r="I135" i="3"/>
  <c r="I238" i="3"/>
  <c r="I226" i="3"/>
  <c r="I218" i="3"/>
  <c r="I216" i="3"/>
  <c r="I212" i="3"/>
  <c r="I208" i="3"/>
  <c r="I204" i="3"/>
  <c r="I200" i="3"/>
  <c r="I196" i="3"/>
  <c r="I192" i="3"/>
  <c r="I188" i="3"/>
  <c r="I184" i="3"/>
  <c r="I180" i="3"/>
  <c r="I176" i="3"/>
  <c r="I172" i="3"/>
  <c r="I168" i="3"/>
  <c r="I164" i="3"/>
  <c r="I160" i="3"/>
  <c r="I156" i="3"/>
  <c r="I152" i="3"/>
  <c r="I148" i="3"/>
  <c r="I144" i="3"/>
  <c r="I140" i="3"/>
  <c r="I136" i="3"/>
  <c r="M727" i="3"/>
  <c r="M723" i="3"/>
  <c r="M719" i="3"/>
  <c r="M728" i="3"/>
  <c r="M724" i="3"/>
  <c r="M720" i="3"/>
  <c r="M716" i="3"/>
  <c r="M130" i="3"/>
  <c r="M725" i="3"/>
  <c r="M721" i="3"/>
  <c r="M717" i="3"/>
  <c r="M713" i="3"/>
  <c r="M722" i="3"/>
  <c r="M715" i="3"/>
  <c r="M708" i="3"/>
  <c r="M704" i="3"/>
  <c r="M700" i="3"/>
  <c r="M726" i="3"/>
  <c r="M714" i="3"/>
  <c r="M709" i="3"/>
  <c r="M705" i="3"/>
  <c r="M701" i="3"/>
  <c r="M710" i="3"/>
  <c r="M706" i="3"/>
  <c r="M702" i="3"/>
  <c r="M718" i="3"/>
  <c r="M712" i="3"/>
  <c r="M711" i="3"/>
  <c r="M707" i="3"/>
  <c r="M703" i="3"/>
  <c r="M699" i="3"/>
  <c r="M695" i="3"/>
  <c r="M691" i="3"/>
  <c r="M687" i="3"/>
  <c r="M683" i="3"/>
  <c r="M696" i="3"/>
  <c r="M692" i="3"/>
  <c r="M688" i="3"/>
  <c r="M684" i="3"/>
  <c r="M697" i="3"/>
  <c r="M693" i="3"/>
  <c r="M689" i="3"/>
  <c r="M698" i="3"/>
  <c r="M694" i="3"/>
  <c r="M690" i="3"/>
  <c r="M686" i="3"/>
  <c r="M682" i="3"/>
  <c r="M681" i="3"/>
  <c r="M680" i="3"/>
  <c r="M676" i="3"/>
  <c r="M672" i="3"/>
  <c r="M668" i="3"/>
  <c r="M664" i="3"/>
  <c r="M677" i="3"/>
  <c r="M673" i="3"/>
  <c r="M669" i="3"/>
  <c r="M665" i="3"/>
  <c r="M661" i="3"/>
  <c r="M678" i="3"/>
  <c r="M674" i="3"/>
  <c r="M670" i="3"/>
  <c r="M666" i="3"/>
  <c r="M685" i="3"/>
  <c r="M679" i="3"/>
  <c r="M675" i="3"/>
  <c r="M671" i="3"/>
  <c r="M667" i="3"/>
  <c r="M663" i="3"/>
  <c r="M659" i="3"/>
  <c r="M662" i="3"/>
  <c r="M656" i="3"/>
  <c r="M652" i="3"/>
  <c r="M648" i="3"/>
  <c r="M644" i="3"/>
  <c r="M640" i="3"/>
  <c r="M636" i="3"/>
  <c r="M632" i="3"/>
  <c r="M628" i="3"/>
  <c r="M657" i="3"/>
  <c r="M653" i="3"/>
  <c r="M649" i="3"/>
  <c r="M645" i="3"/>
  <c r="M641" i="3"/>
  <c r="M637" i="3"/>
  <c r="M633" i="3"/>
  <c r="M654" i="3"/>
  <c r="M650" i="3"/>
  <c r="M646" i="3"/>
  <c r="M642" i="3"/>
  <c r="M638" i="3"/>
  <c r="M634" i="3"/>
  <c r="M660" i="3"/>
  <c r="M658" i="3"/>
  <c r="M655" i="3"/>
  <c r="M651" i="3"/>
  <c r="M647" i="3"/>
  <c r="M643" i="3"/>
  <c r="M639" i="3"/>
  <c r="M635" i="3"/>
  <c r="M631" i="3"/>
  <c r="M627" i="3"/>
  <c r="M630" i="3"/>
  <c r="M623" i="3"/>
  <c r="M619" i="3"/>
  <c r="M615" i="3"/>
  <c r="M611" i="3"/>
  <c r="M607" i="3"/>
  <c r="M603" i="3"/>
  <c r="M599" i="3"/>
  <c r="M595" i="3"/>
  <c r="M591" i="3"/>
  <c r="M629" i="3"/>
  <c r="M624" i="3"/>
  <c r="M620" i="3"/>
  <c r="M616" i="3"/>
  <c r="M612" i="3"/>
  <c r="M608" i="3"/>
  <c r="M604" i="3"/>
  <c r="M600" i="3"/>
  <c r="M596" i="3"/>
  <c r="M592" i="3"/>
  <c r="M626" i="3"/>
  <c r="M621" i="3"/>
  <c r="M617" i="3"/>
  <c r="M613" i="3"/>
  <c r="M609" i="3"/>
  <c r="M605" i="3"/>
  <c r="M601" i="3"/>
  <c r="M625" i="3"/>
  <c r="M622" i="3"/>
  <c r="M618" i="3"/>
  <c r="M614" i="3"/>
  <c r="M610" i="3"/>
  <c r="M606" i="3"/>
  <c r="M602" i="3"/>
  <c r="M598" i="3"/>
  <c r="M593" i="3"/>
  <c r="M589" i="3"/>
  <c r="M586" i="3"/>
  <c r="M582" i="3"/>
  <c r="M578" i="3"/>
  <c r="M574" i="3"/>
  <c r="M570" i="3"/>
  <c r="M566" i="3"/>
  <c r="M562" i="3"/>
  <c r="M587" i="3"/>
  <c r="M583" i="3"/>
  <c r="M579" i="3"/>
  <c r="M575" i="3"/>
  <c r="M571" i="3"/>
  <c r="M567" i="3"/>
  <c r="M563" i="3"/>
  <c r="M597" i="3"/>
  <c r="M590" i="3"/>
  <c r="M588" i="3"/>
  <c r="M584" i="3"/>
  <c r="M580" i="3"/>
  <c r="M576" i="3"/>
  <c r="M572" i="3"/>
  <c r="M568" i="3"/>
  <c r="M594" i="3"/>
  <c r="M585" i="3"/>
  <c r="M581" i="3"/>
  <c r="M577" i="3"/>
  <c r="M573" i="3"/>
  <c r="M569" i="3"/>
  <c r="M565" i="3"/>
  <c r="M561" i="3"/>
  <c r="M564" i="3"/>
  <c r="M557" i="3"/>
  <c r="M553" i="3"/>
  <c r="M549" i="3"/>
  <c r="M545" i="3"/>
  <c r="M541" i="3"/>
  <c r="M537" i="3"/>
  <c r="M533" i="3"/>
  <c r="M529" i="3"/>
  <c r="M525" i="3"/>
  <c r="M521" i="3"/>
  <c r="M560" i="3"/>
  <c r="M558" i="3"/>
  <c r="M554" i="3"/>
  <c r="M550" i="3"/>
  <c r="M546" i="3"/>
  <c r="M542" i="3"/>
  <c r="M538" i="3"/>
  <c r="M534" i="3"/>
  <c r="M530" i="3"/>
  <c r="M526" i="3"/>
  <c r="M559" i="3"/>
  <c r="M555" i="3"/>
  <c r="M551" i="3"/>
  <c r="M547" i="3"/>
  <c r="M543" i="3"/>
  <c r="M539" i="3"/>
  <c r="M535" i="3"/>
  <c r="M531" i="3"/>
  <c r="M527" i="3"/>
  <c r="M556" i="3"/>
  <c r="M552" i="3"/>
  <c r="M548" i="3"/>
  <c r="M544" i="3"/>
  <c r="M540" i="3"/>
  <c r="M536" i="3"/>
  <c r="M532" i="3"/>
  <c r="M528" i="3"/>
  <c r="M524" i="3"/>
  <c r="M520" i="3"/>
  <c r="M522" i="3"/>
  <c r="M518" i="3"/>
  <c r="M514" i="3"/>
  <c r="M510" i="3"/>
  <c r="M506" i="3"/>
  <c r="M502" i="3"/>
  <c r="M498" i="3"/>
  <c r="M494" i="3"/>
  <c r="M490" i="3"/>
  <c r="M486" i="3"/>
  <c r="M482" i="3"/>
  <c r="M478" i="3"/>
  <c r="M474" i="3"/>
  <c r="M470" i="3"/>
  <c r="M466" i="3"/>
  <c r="M462" i="3"/>
  <c r="M458" i="3"/>
  <c r="M454" i="3"/>
  <c r="M515" i="3"/>
  <c r="M511" i="3"/>
  <c r="M507" i="3"/>
  <c r="M503" i="3"/>
  <c r="M499" i="3"/>
  <c r="M495" i="3"/>
  <c r="M491" i="3"/>
  <c r="M487" i="3"/>
  <c r="M483" i="3"/>
  <c r="M479" i="3"/>
  <c r="M475" i="3"/>
  <c r="M471" i="3"/>
  <c r="M467" i="3"/>
  <c r="M463" i="3"/>
  <c r="M459" i="3"/>
  <c r="M519" i="3"/>
  <c r="M516" i="3"/>
  <c r="M512" i="3"/>
  <c r="M508" i="3"/>
  <c r="M504" i="3"/>
  <c r="M500" i="3"/>
  <c r="M496" i="3"/>
  <c r="M492" i="3"/>
  <c r="M488" i="3"/>
  <c r="M484" i="3"/>
  <c r="M480" i="3"/>
  <c r="M476" i="3"/>
  <c r="M472" i="3"/>
  <c r="M468" i="3"/>
  <c r="M464" i="3"/>
  <c r="M523" i="3"/>
  <c r="M517" i="3"/>
  <c r="M513" i="3"/>
  <c r="M509" i="3"/>
  <c r="M505" i="3"/>
  <c r="M501" i="3"/>
  <c r="M497" i="3"/>
  <c r="M493" i="3"/>
  <c r="M489" i="3"/>
  <c r="M485" i="3"/>
  <c r="M481" i="3"/>
  <c r="M477" i="3"/>
  <c r="M473" i="3"/>
  <c r="M469" i="3"/>
  <c r="M465" i="3"/>
  <c r="M461" i="3"/>
  <c r="M457" i="3"/>
  <c r="M453" i="3"/>
  <c r="M460" i="3"/>
  <c r="M455" i="3"/>
  <c r="M450" i="3"/>
  <c r="M446" i="3"/>
  <c r="M442" i="3"/>
  <c r="M438" i="3"/>
  <c r="M434" i="3"/>
  <c r="M430" i="3"/>
  <c r="M426" i="3"/>
  <c r="M422" i="3"/>
  <c r="M418" i="3"/>
  <c r="M414" i="3"/>
  <c r="M410" i="3"/>
  <c r="M406" i="3"/>
  <c r="M402" i="3"/>
  <c r="M398" i="3"/>
  <c r="M394" i="3"/>
  <c r="M390" i="3"/>
  <c r="M386" i="3"/>
  <c r="M452" i="3"/>
  <c r="M447" i="3"/>
  <c r="M443" i="3"/>
  <c r="M439" i="3"/>
  <c r="M435" i="3"/>
  <c r="M431" i="3"/>
  <c r="M427" i="3"/>
  <c r="M423" i="3"/>
  <c r="M419" i="3"/>
  <c r="M415" i="3"/>
  <c r="M411" i="3"/>
  <c r="M407" i="3"/>
  <c r="M403" i="3"/>
  <c r="M399" i="3"/>
  <c r="M395" i="3"/>
  <c r="M451" i="3"/>
  <c r="M448" i="3"/>
  <c r="M444" i="3"/>
  <c r="M440" i="3"/>
  <c r="M436" i="3"/>
  <c r="M432" i="3"/>
  <c r="M428" i="3"/>
  <c r="M424" i="3"/>
  <c r="M420" i="3"/>
  <c r="M416" i="3"/>
  <c r="M412" i="3"/>
  <c r="M408" i="3"/>
  <c r="M404" i="3"/>
  <c r="M400" i="3"/>
  <c r="M396" i="3"/>
  <c r="M456" i="3"/>
  <c r="M449" i="3"/>
  <c r="M445" i="3"/>
  <c r="M441" i="3"/>
  <c r="M437" i="3"/>
  <c r="M433" i="3"/>
  <c r="M429" i="3"/>
  <c r="M425" i="3"/>
  <c r="M421" i="3"/>
  <c r="M417" i="3"/>
  <c r="M413" i="3"/>
  <c r="M409" i="3"/>
  <c r="M405" i="3"/>
  <c r="M401" i="3"/>
  <c r="M397" i="3"/>
  <c r="M393" i="3"/>
  <c r="M389" i="3"/>
  <c r="M385" i="3"/>
  <c r="M392" i="3"/>
  <c r="M384" i="3"/>
  <c r="M381" i="3"/>
  <c r="M377" i="3"/>
  <c r="M373" i="3"/>
  <c r="M369" i="3"/>
  <c r="M365" i="3"/>
  <c r="M361" i="3"/>
  <c r="M357" i="3"/>
  <c r="M353" i="3"/>
  <c r="M349" i="3"/>
  <c r="M345" i="3"/>
  <c r="M341" i="3"/>
  <c r="M337" i="3"/>
  <c r="M333" i="3"/>
  <c r="M329" i="3"/>
  <c r="M325" i="3"/>
  <c r="M321" i="3"/>
  <c r="M317" i="3"/>
  <c r="M313" i="3"/>
  <c r="M391" i="3"/>
  <c r="M382" i="3"/>
  <c r="M378" i="3"/>
  <c r="M374" i="3"/>
  <c r="M370" i="3"/>
  <c r="M366" i="3"/>
  <c r="M362" i="3"/>
  <c r="M358" i="3"/>
  <c r="M354" i="3"/>
  <c r="M350" i="3"/>
  <c r="M346" i="3"/>
  <c r="M342" i="3"/>
  <c r="M338" i="3"/>
  <c r="M334" i="3"/>
  <c r="M330" i="3"/>
  <c r="M326" i="3"/>
  <c r="M322" i="3"/>
  <c r="M318" i="3"/>
  <c r="M388" i="3"/>
  <c r="M383" i="3"/>
  <c r="M379" i="3"/>
  <c r="M375" i="3"/>
  <c r="M371" i="3"/>
  <c r="M367" i="3"/>
  <c r="M363" i="3"/>
  <c r="M359" i="3"/>
  <c r="M355" i="3"/>
  <c r="M351" i="3"/>
  <c r="M347" i="3"/>
  <c r="M343" i="3"/>
  <c r="M339" i="3"/>
  <c r="M335" i="3"/>
  <c r="M331" i="3"/>
  <c r="M387" i="3"/>
  <c r="M380" i="3"/>
  <c r="M376" i="3"/>
  <c r="M372" i="3"/>
  <c r="M368" i="3"/>
  <c r="M364" i="3"/>
  <c r="M360" i="3"/>
  <c r="M356" i="3"/>
  <c r="M352" i="3"/>
  <c r="M348" i="3"/>
  <c r="M344" i="3"/>
  <c r="M340" i="3"/>
  <c r="M336" i="3"/>
  <c r="M332" i="3"/>
  <c r="M328" i="3"/>
  <c r="M324" i="3"/>
  <c r="M320" i="3"/>
  <c r="M316" i="3"/>
  <c r="M312" i="3"/>
  <c r="M327" i="3"/>
  <c r="M311" i="3"/>
  <c r="M308" i="3"/>
  <c r="M304" i="3"/>
  <c r="M300" i="3"/>
  <c r="M296" i="3"/>
  <c r="M292" i="3"/>
  <c r="M288" i="3"/>
  <c r="M284" i="3"/>
  <c r="M280" i="3"/>
  <c r="M276" i="3"/>
  <c r="M272" i="3"/>
  <c r="M268" i="3"/>
  <c r="M264" i="3"/>
  <c r="M260" i="3"/>
  <c r="M256" i="3"/>
  <c r="M252" i="3"/>
  <c r="M248" i="3"/>
  <c r="M244" i="3"/>
  <c r="M240" i="3"/>
  <c r="M236" i="3"/>
  <c r="M232" i="3"/>
  <c r="M228" i="3"/>
  <c r="M224" i="3"/>
  <c r="M220" i="3"/>
  <c r="M309" i="3"/>
  <c r="M305" i="3"/>
  <c r="M301" i="3"/>
  <c r="M297" i="3"/>
  <c r="M293" i="3"/>
  <c r="M289" i="3"/>
  <c r="M285" i="3"/>
  <c r="M281" i="3"/>
  <c r="M277" i="3"/>
  <c r="M273" i="3"/>
  <c r="M269" i="3"/>
  <c r="M265" i="3"/>
  <c r="M261" i="3"/>
  <c r="M257" i="3"/>
  <c r="M253" i="3"/>
  <c r="M249" i="3"/>
  <c r="M245" i="3"/>
  <c r="M241" i="3"/>
  <c r="M237" i="3"/>
  <c r="M233" i="3"/>
  <c r="M229" i="3"/>
  <c r="M225" i="3"/>
  <c r="M319" i="3"/>
  <c r="M315" i="3"/>
  <c r="M310" i="3"/>
  <c r="M306" i="3"/>
  <c r="M302" i="3"/>
  <c r="M298" i="3"/>
  <c r="M294" i="3"/>
  <c r="M290" i="3"/>
  <c r="M286" i="3"/>
  <c r="M282" i="3"/>
  <c r="M278" i="3"/>
  <c r="M274" i="3"/>
  <c r="M270" i="3"/>
  <c r="M266" i="3"/>
  <c r="M262" i="3"/>
  <c r="M258" i="3"/>
  <c r="M254" i="3"/>
  <c r="M250" i="3"/>
  <c r="M246" i="3"/>
  <c r="M323" i="3"/>
  <c r="M314" i="3"/>
  <c r="M307" i="3"/>
  <c r="M303" i="3"/>
  <c r="M299" i="3"/>
  <c r="M295" i="3"/>
  <c r="M291" i="3"/>
  <c r="M287" i="3"/>
  <c r="M283" i="3"/>
  <c r="M279" i="3"/>
  <c r="M275" i="3"/>
  <c r="M271" i="3"/>
  <c r="M267" i="3"/>
  <c r="M263" i="3"/>
  <c r="M259" i="3"/>
  <c r="M255" i="3"/>
  <c r="M251" i="3"/>
  <c r="M247" i="3"/>
  <c r="M243" i="3"/>
  <c r="M239" i="3"/>
  <c r="M235" i="3"/>
  <c r="M231" i="3"/>
  <c r="M230" i="3"/>
  <c r="M227" i="3"/>
  <c r="M218" i="3"/>
  <c r="M217" i="3"/>
  <c r="M213" i="3"/>
  <c r="M209" i="3"/>
  <c r="M205" i="3"/>
  <c r="M201" i="3"/>
  <c r="M197" i="3"/>
  <c r="M193" i="3"/>
  <c r="M189" i="3"/>
  <c r="M185" i="3"/>
  <c r="M181" i="3"/>
  <c r="M177" i="3"/>
  <c r="M173" i="3"/>
  <c r="M169" i="3"/>
  <c r="M165" i="3"/>
  <c r="M161" i="3"/>
  <c r="M157" i="3"/>
  <c r="M153" i="3"/>
  <c r="M149" i="3"/>
  <c r="M145" i="3"/>
  <c r="M141" i="3"/>
  <c r="M137" i="3"/>
  <c r="M234" i="3"/>
  <c r="M226" i="3"/>
  <c r="M221" i="3"/>
  <c r="M214" i="3"/>
  <c r="M210" i="3"/>
  <c r="M206" i="3"/>
  <c r="M202" i="3"/>
  <c r="M198" i="3"/>
  <c r="M194" i="3"/>
  <c r="M190" i="3"/>
  <c r="M186" i="3"/>
  <c r="M182" i="3"/>
  <c r="M178" i="3"/>
  <c r="M174" i="3"/>
  <c r="M170" i="3"/>
  <c r="M166" i="3"/>
  <c r="M162" i="3"/>
  <c r="M158" i="3"/>
  <c r="M154" i="3"/>
  <c r="M150" i="3"/>
  <c r="M146" i="3"/>
  <c r="M142" i="3"/>
  <c r="M138" i="3"/>
  <c r="M134" i="3"/>
  <c r="M238" i="3"/>
  <c r="M223" i="3"/>
  <c r="M219" i="3"/>
  <c r="M215" i="3"/>
  <c r="M211" i="3"/>
  <c r="M207" i="3"/>
  <c r="M203" i="3"/>
  <c r="M199" i="3"/>
  <c r="M195" i="3"/>
  <c r="M191" i="3"/>
  <c r="M187" i="3"/>
  <c r="M183" i="3"/>
  <c r="M179" i="3"/>
  <c r="M175" i="3"/>
  <c r="M171" i="3"/>
  <c r="M167" i="3"/>
  <c r="M163" i="3"/>
  <c r="M159" i="3"/>
  <c r="M155" i="3"/>
  <c r="M151" i="3"/>
  <c r="M147" i="3"/>
  <c r="M143" i="3"/>
  <c r="M139" i="3"/>
  <c r="M135" i="3"/>
  <c r="M242" i="3"/>
  <c r="M222" i="3"/>
  <c r="M216" i="3"/>
  <c r="M212" i="3"/>
  <c r="M208" i="3"/>
  <c r="M204" i="3"/>
  <c r="M200" i="3"/>
  <c r="M196" i="3"/>
  <c r="M192" i="3"/>
  <c r="M188" i="3"/>
  <c r="M184" i="3"/>
  <c r="M180" i="3"/>
  <c r="M176" i="3"/>
  <c r="M172" i="3"/>
  <c r="M168" i="3"/>
  <c r="M164" i="3"/>
  <c r="M160" i="3"/>
  <c r="M156" i="3"/>
  <c r="M152" i="3"/>
  <c r="M148" i="3"/>
  <c r="M144" i="3"/>
  <c r="M140" i="3"/>
  <c r="M136" i="3"/>
  <c r="Q727" i="3"/>
  <c r="Q723" i="3"/>
  <c r="Q719" i="3"/>
  <c r="Q728" i="3"/>
  <c r="Q724" i="3"/>
  <c r="Q720" i="3"/>
  <c r="Q716" i="3"/>
  <c r="Q130" i="3"/>
  <c r="Q725" i="3"/>
  <c r="Q721" i="3"/>
  <c r="Q717" i="3"/>
  <c r="Q713" i="3"/>
  <c r="Q726" i="3"/>
  <c r="Q712" i="3"/>
  <c r="Q708" i="3"/>
  <c r="Q704" i="3"/>
  <c r="Q700" i="3"/>
  <c r="Q709" i="3"/>
  <c r="Q705" i="3"/>
  <c r="Q701" i="3"/>
  <c r="Q718" i="3"/>
  <c r="Q715" i="3"/>
  <c r="Q710" i="3"/>
  <c r="Q706" i="3"/>
  <c r="Q702" i="3"/>
  <c r="Q722" i="3"/>
  <c r="Q714" i="3"/>
  <c r="Q711" i="3"/>
  <c r="Q707" i="3"/>
  <c r="Q703" i="3"/>
  <c r="Q699" i="3"/>
  <c r="Q695" i="3"/>
  <c r="Q691" i="3"/>
  <c r="Q687" i="3"/>
  <c r="Q683" i="3"/>
  <c r="Q696" i="3"/>
  <c r="Q692" i="3"/>
  <c r="Q688" i="3"/>
  <c r="Q684" i="3"/>
  <c r="Q697" i="3"/>
  <c r="Q693" i="3"/>
  <c r="Q689" i="3"/>
  <c r="Q698" i="3"/>
  <c r="Q694" i="3"/>
  <c r="Q690" i="3"/>
  <c r="Q686" i="3"/>
  <c r="Q680" i="3"/>
  <c r="Q676" i="3"/>
  <c r="Q672" i="3"/>
  <c r="Q668" i="3"/>
  <c r="Q664" i="3"/>
  <c r="Q681" i="3"/>
  <c r="Q677" i="3"/>
  <c r="Q673" i="3"/>
  <c r="Q669" i="3"/>
  <c r="Q665" i="3"/>
  <c r="Q661" i="3"/>
  <c r="Q685" i="3"/>
  <c r="Q682" i="3"/>
  <c r="Q678" i="3"/>
  <c r="Q674" i="3"/>
  <c r="Q670" i="3"/>
  <c r="Q666" i="3"/>
  <c r="Q679" i="3"/>
  <c r="Q675" i="3"/>
  <c r="Q671" i="3"/>
  <c r="Q667" i="3"/>
  <c r="Q663" i="3"/>
  <c r="Q659" i="3"/>
  <c r="Q658" i="3"/>
  <c r="Q656" i="3"/>
  <c r="Q652" i="3"/>
  <c r="Q648" i="3"/>
  <c r="Q644" i="3"/>
  <c r="Q640" i="3"/>
  <c r="Q636" i="3"/>
  <c r="Q632" i="3"/>
  <c r="Q628" i="3"/>
  <c r="Q660" i="3"/>
  <c r="Q653" i="3"/>
  <c r="Q649" i="3"/>
  <c r="Q645" i="3"/>
  <c r="Q641" i="3"/>
  <c r="Q637" i="3"/>
  <c r="Q633" i="3"/>
  <c r="Q657" i="3"/>
  <c r="Q654" i="3"/>
  <c r="Q650" i="3"/>
  <c r="Q646" i="3"/>
  <c r="Q642" i="3"/>
  <c r="Q638" i="3"/>
  <c r="Q634" i="3"/>
  <c r="Q662" i="3"/>
  <c r="Q655" i="3"/>
  <c r="Q651" i="3"/>
  <c r="Q647" i="3"/>
  <c r="Q643" i="3"/>
  <c r="Q639" i="3"/>
  <c r="Q635" i="3"/>
  <c r="Q631" i="3"/>
  <c r="Q627" i="3"/>
  <c r="Q626" i="3"/>
  <c r="Q623" i="3"/>
  <c r="Q619" i="3"/>
  <c r="Q615" i="3"/>
  <c r="Q611" i="3"/>
  <c r="Q607" i="3"/>
  <c r="Q603" i="3"/>
  <c r="Q599" i="3"/>
  <c r="Q595" i="3"/>
  <c r="Q591" i="3"/>
  <c r="Q625" i="3"/>
  <c r="Q624" i="3"/>
  <c r="Q620" i="3"/>
  <c r="Q616" i="3"/>
  <c r="Q612" i="3"/>
  <c r="Q608" i="3"/>
  <c r="Q604" i="3"/>
  <c r="Q600" i="3"/>
  <c r="Q596" i="3"/>
  <c r="Q592" i="3"/>
  <c r="Q630" i="3"/>
  <c r="Q621" i="3"/>
  <c r="Q617" i="3"/>
  <c r="Q613" i="3"/>
  <c r="Q609" i="3"/>
  <c r="Q605" i="3"/>
  <c r="Q601" i="3"/>
  <c r="Q629" i="3"/>
  <c r="Q622" i="3"/>
  <c r="Q618" i="3"/>
  <c r="Q614" i="3"/>
  <c r="Q610" i="3"/>
  <c r="Q606" i="3"/>
  <c r="Q602" i="3"/>
  <c r="Q598" i="3"/>
  <c r="Q586" i="3"/>
  <c r="Q582" i="3"/>
  <c r="Q578" i="3"/>
  <c r="Q574" i="3"/>
  <c r="Q570" i="3"/>
  <c r="Q566" i="3"/>
  <c r="Q562" i="3"/>
  <c r="Q558" i="3"/>
  <c r="Q597" i="3"/>
  <c r="Q594" i="3"/>
  <c r="Q589" i="3"/>
  <c r="Q587" i="3"/>
  <c r="Q583" i="3"/>
  <c r="Q579" i="3"/>
  <c r="Q575" i="3"/>
  <c r="Q571" i="3"/>
  <c r="Q567" i="3"/>
  <c r="Q563" i="3"/>
  <c r="Q593" i="3"/>
  <c r="Q588" i="3"/>
  <c r="Q584" i="3"/>
  <c r="Q580" i="3"/>
  <c r="Q576" i="3"/>
  <c r="Q572" i="3"/>
  <c r="Q568" i="3"/>
  <c r="Q564" i="3"/>
  <c r="Q590" i="3"/>
  <c r="Q585" i="3"/>
  <c r="Q581" i="3"/>
  <c r="Q577" i="3"/>
  <c r="Q573" i="3"/>
  <c r="Q569" i="3"/>
  <c r="Q565" i="3"/>
  <c r="Q561" i="3"/>
  <c r="Q559" i="3"/>
  <c r="Q557" i="3"/>
  <c r="Q553" i="3"/>
  <c r="Q549" i="3"/>
  <c r="Q545" i="3"/>
  <c r="Q541" i="3"/>
  <c r="Q537" i="3"/>
  <c r="Q533" i="3"/>
  <c r="Q529" i="3"/>
  <c r="Q525" i="3"/>
  <c r="Q521" i="3"/>
  <c r="Q554" i="3"/>
  <c r="Q550" i="3"/>
  <c r="Q546" i="3"/>
  <c r="Q542" i="3"/>
  <c r="Q538" i="3"/>
  <c r="Q534" i="3"/>
  <c r="Q530" i="3"/>
  <c r="Q526" i="3"/>
  <c r="Q555" i="3"/>
  <c r="Q551" i="3"/>
  <c r="Q547" i="3"/>
  <c r="Q543" i="3"/>
  <c r="Q539" i="3"/>
  <c r="Q535" i="3"/>
  <c r="Q531" i="3"/>
  <c r="Q527" i="3"/>
  <c r="Q560" i="3"/>
  <c r="Q556" i="3"/>
  <c r="Q552" i="3"/>
  <c r="Q548" i="3"/>
  <c r="Q544" i="3"/>
  <c r="Q540" i="3"/>
  <c r="Q536" i="3"/>
  <c r="Q532" i="3"/>
  <c r="Q528" i="3"/>
  <c r="Q524" i="3"/>
  <c r="Q520" i="3"/>
  <c r="Q518" i="3"/>
  <c r="Q514" i="3"/>
  <c r="Q510" i="3"/>
  <c r="Q506" i="3"/>
  <c r="Q502" i="3"/>
  <c r="Q498" i="3"/>
  <c r="Q494" i="3"/>
  <c r="Q490" i="3"/>
  <c r="Q486" i="3"/>
  <c r="Q482" i="3"/>
  <c r="Q478" i="3"/>
  <c r="Q474" i="3"/>
  <c r="Q470" i="3"/>
  <c r="Q466" i="3"/>
  <c r="Q462" i="3"/>
  <c r="Q458" i="3"/>
  <c r="Q454" i="3"/>
  <c r="Q523" i="3"/>
  <c r="Q515" i="3"/>
  <c r="Q511" i="3"/>
  <c r="Q507" i="3"/>
  <c r="Q503" i="3"/>
  <c r="Q499" i="3"/>
  <c r="Q495" i="3"/>
  <c r="Q491" i="3"/>
  <c r="Q487" i="3"/>
  <c r="Q483" i="3"/>
  <c r="Q479" i="3"/>
  <c r="Q475" i="3"/>
  <c r="Q471" i="3"/>
  <c r="Q467" i="3"/>
  <c r="Q463" i="3"/>
  <c r="Q459" i="3"/>
  <c r="Q522" i="3"/>
  <c r="Q516" i="3"/>
  <c r="Q512" i="3"/>
  <c r="Q508" i="3"/>
  <c r="Q504" i="3"/>
  <c r="Q500" i="3"/>
  <c r="Q496" i="3"/>
  <c r="Q492" i="3"/>
  <c r="Q488" i="3"/>
  <c r="Q484" i="3"/>
  <c r="Q480" i="3"/>
  <c r="Q476" i="3"/>
  <c r="Q472" i="3"/>
  <c r="Q468" i="3"/>
  <c r="Q464" i="3"/>
  <c r="Q519" i="3"/>
  <c r="Q517" i="3"/>
  <c r="Q513" i="3"/>
  <c r="Q509" i="3"/>
  <c r="Q505" i="3"/>
  <c r="Q501" i="3"/>
  <c r="Q497" i="3"/>
  <c r="Q493" i="3"/>
  <c r="Q489" i="3"/>
  <c r="Q485" i="3"/>
  <c r="Q481" i="3"/>
  <c r="Q477" i="3"/>
  <c r="Q473" i="3"/>
  <c r="Q469" i="3"/>
  <c r="Q465" i="3"/>
  <c r="Q461" i="3"/>
  <c r="Q457" i="3"/>
  <c r="Q453" i="3"/>
  <c r="Q451" i="3"/>
  <c r="Q450" i="3"/>
  <c r="Q446" i="3"/>
  <c r="Q442" i="3"/>
  <c r="Q438" i="3"/>
  <c r="Q434" i="3"/>
  <c r="Q430" i="3"/>
  <c r="Q426" i="3"/>
  <c r="Q422" i="3"/>
  <c r="Q418" i="3"/>
  <c r="Q414" i="3"/>
  <c r="Q410" i="3"/>
  <c r="Q406" i="3"/>
  <c r="Q402" i="3"/>
  <c r="Q398" i="3"/>
  <c r="Q394" i="3"/>
  <c r="Q390" i="3"/>
  <c r="Q386" i="3"/>
  <c r="Q456" i="3"/>
  <c r="Q447" i="3"/>
  <c r="Q443" i="3"/>
  <c r="Q439" i="3"/>
  <c r="Q435" i="3"/>
  <c r="Q431" i="3"/>
  <c r="Q427" i="3"/>
  <c r="Q423" i="3"/>
  <c r="Q419" i="3"/>
  <c r="Q415" i="3"/>
  <c r="Q411" i="3"/>
  <c r="Q407" i="3"/>
  <c r="Q403" i="3"/>
  <c r="Q399" i="3"/>
  <c r="Q395" i="3"/>
  <c r="Q455" i="3"/>
  <c r="Q448" i="3"/>
  <c r="Q444" i="3"/>
  <c r="Q440" i="3"/>
  <c r="Q436" i="3"/>
  <c r="Q432" i="3"/>
  <c r="Q428" i="3"/>
  <c r="Q424" i="3"/>
  <c r="Q420" i="3"/>
  <c r="Q416" i="3"/>
  <c r="Q412" i="3"/>
  <c r="Q408" i="3"/>
  <c r="Q404" i="3"/>
  <c r="Q400" i="3"/>
  <c r="Q396" i="3"/>
  <c r="Q460" i="3"/>
  <c r="Q452" i="3"/>
  <c r="Q449" i="3"/>
  <c r="Q445" i="3"/>
  <c r="Q441" i="3"/>
  <c r="Q437" i="3"/>
  <c r="Q433" i="3"/>
  <c r="Q429" i="3"/>
  <c r="Q425" i="3"/>
  <c r="Q421" i="3"/>
  <c r="Q417" i="3"/>
  <c r="Q413" i="3"/>
  <c r="Q409" i="3"/>
  <c r="Q405" i="3"/>
  <c r="Q401" i="3"/>
  <c r="Q397" i="3"/>
  <c r="Q393" i="3"/>
  <c r="Q389" i="3"/>
  <c r="Q385" i="3"/>
  <c r="Q388" i="3"/>
  <c r="Q381" i="3"/>
  <c r="Q377" i="3"/>
  <c r="Q373" i="3"/>
  <c r="Q369" i="3"/>
  <c r="Q365" i="3"/>
  <c r="Q361" i="3"/>
  <c r="Q357" i="3"/>
  <c r="Q353" i="3"/>
  <c r="Q349" i="3"/>
  <c r="Q345" i="3"/>
  <c r="Q341" i="3"/>
  <c r="Q337" i="3"/>
  <c r="Q333" i="3"/>
  <c r="Q329" i="3"/>
  <c r="Q325" i="3"/>
  <c r="Q321" i="3"/>
  <c r="Q317" i="3"/>
  <c r="Q313" i="3"/>
  <c r="Q387" i="3"/>
  <c r="Q382" i="3"/>
  <c r="Q378" i="3"/>
  <c r="Q374" i="3"/>
  <c r="Q370" i="3"/>
  <c r="Q366" i="3"/>
  <c r="Q362" i="3"/>
  <c r="Q358" i="3"/>
  <c r="Q354" i="3"/>
  <c r="Q350" i="3"/>
  <c r="Q346" i="3"/>
  <c r="Q342" i="3"/>
  <c r="Q338" i="3"/>
  <c r="Q334" i="3"/>
  <c r="Q330" i="3"/>
  <c r="Q326" i="3"/>
  <c r="Q322" i="3"/>
  <c r="Q318" i="3"/>
  <c r="Q392" i="3"/>
  <c r="Q384" i="3"/>
  <c r="Q383" i="3"/>
  <c r="Q379" i="3"/>
  <c r="Q375" i="3"/>
  <c r="Q371" i="3"/>
  <c r="Q367" i="3"/>
  <c r="Q363" i="3"/>
  <c r="Q359" i="3"/>
  <c r="Q355" i="3"/>
  <c r="Q351" i="3"/>
  <c r="Q347" i="3"/>
  <c r="Q343" i="3"/>
  <c r="Q339" i="3"/>
  <c r="Q335" i="3"/>
  <c r="Q331" i="3"/>
  <c r="Q327" i="3"/>
  <c r="Q391" i="3"/>
  <c r="Q380" i="3"/>
  <c r="Q376" i="3"/>
  <c r="Q372" i="3"/>
  <c r="Q368" i="3"/>
  <c r="Q364" i="3"/>
  <c r="Q360" i="3"/>
  <c r="Q356" i="3"/>
  <c r="Q352" i="3"/>
  <c r="Q348" i="3"/>
  <c r="Q344" i="3"/>
  <c r="Q340" i="3"/>
  <c r="Q336" i="3"/>
  <c r="Q332" i="3"/>
  <c r="Q328" i="3"/>
  <c r="Q324" i="3"/>
  <c r="Q320" i="3"/>
  <c r="Q316" i="3"/>
  <c r="Q312" i="3"/>
  <c r="Q315" i="3"/>
  <c r="Q308" i="3"/>
  <c r="Q304" i="3"/>
  <c r="Q300" i="3"/>
  <c r="Q296" i="3"/>
  <c r="Q292" i="3"/>
  <c r="Q288" i="3"/>
  <c r="Q284" i="3"/>
  <c r="Q280" i="3"/>
  <c r="Q276" i="3"/>
  <c r="Q272" i="3"/>
  <c r="Q268" i="3"/>
  <c r="Q264" i="3"/>
  <c r="Q260" i="3"/>
  <c r="Q256" i="3"/>
  <c r="Q252" i="3"/>
  <c r="Q248" i="3"/>
  <c r="Q244" i="3"/>
  <c r="Q240" i="3"/>
  <c r="Q236" i="3"/>
  <c r="Q232" i="3"/>
  <c r="Q228" i="3"/>
  <c r="Q224" i="3"/>
  <c r="Q220" i="3"/>
  <c r="Q319" i="3"/>
  <c r="Q314" i="3"/>
  <c r="Q309" i="3"/>
  <c r="Q305" i="3"/>
  <c r="Q301" i="3"/>
  <c r="Q297" i="3"/>
  <c r="Q293" i="3"/>
  <c r="Q289" i="3"/>
  <c r="Q285" i="3"/>
  <c r="Q281" i="3"/>
  <c r="Q277" i="3"/>
  <c r="Q273" i="3"/>
  <c r="Q269" i="3"/>
  <c r="Q265" i="3"/>
  <c r="Q261" i="3"/>
  <c r="Q257" i="3"/>
  <c r="Q253" i="3"/>
  <c r="Q249" i="3"/>
  <c r="Q245" i="3"/>
  <c r="Q241" i="3"/>
  <c r="Q237" i="3"/>
  <c r="Q233" i="3"/>
  <c r="Q229" i="3"/>
  <c r="Q225" i="3"/>
  <c r="Q323" i="3"/>
  <c r="Q311" i="3"/>
  <c r="Q310" i="3"/>
  <c r="Q306" i="3"/>
  <c r="Q302" i="3"/>
  <c r="Q298" i="3"/>
  <c r="Q294" i="3"/>
  <c r="Q290" i="3"/>
  <c r="Q286" i="3"/>
  <c r="Q282" i="3"/>
  <c r="Q278" i="3"/>
  <c r="Q274" i="3"/>
  <c r="Q270" i="3"/>
  <c r="Q266" i="3"/>
  <c r="Q262" i="3"/>
  <c r="Q258" i="3"/>
  <c r="Q254" i="3"/>
  <c r="Q250" i="3"/>
  <c r="Q246" i="3"/>
  <c r="Q307" i="3"/>
  <c r="Q303" i="3"/>
  <c r="Q299" i="3"/>
  <c r="Q295" i="3"/>
  <c r="Q291" i="3"/>
  <c r="Q287" i="3"/>
  <c r="Q283" i="3"/>
  <c r="Q279" i="3"/>
  <c r="Q275" i="3"/>
  <c r="Q271" i="3"/>
  <c r="Q267" i="3"/>
  <c r="Q263" i="3"/>
  <c r="Q259" i="3"/>
  <c r="Q255" i="3"/>
  <c r="Q251" i="3"/>
  <c r="Q247" i="3"/>
  <c r="Q243" i="3"/>
  <c r="Q239" i="3"/>
  <c r="Q235" i="3"/>
  <c r="Q231" i="3"/>
  <c r="Q234" i="3"/>
  <c r="Q223" i="3"/>
  <c r="Q217" i="3"/>
  <c r="Q213" i="3"/>
  <c r="Q209" i="3"/>
  <c r="Q205" i="3"/>
  <c r="Q201" i="3"/>
  <c r="Q197" i="3"/>
  <c r="Q193" i="3"/>
  <c r="Q189" i="3"/>
  <c r="Q185" i="3"/>
  <c r="Q181" i="3"/>
  <c r="Q177" i="3"/>
  <c r="Q173" i="3"/>
  <c r="Q169" i="3"/>
  <c r="Q165" i="3"/>
  <c r="Q161" i="3"/>
  <c r="Q157" i="3"/>
  <c r="Q153" i="3"/>
  <c r="Q149" i="3"/>
  <c r="Q145" i="3"/>
  <c r="Q141" i="3"/>
  <c r="Q137" i="3"/>
  <c r="Q238" i="3"/>
  <c r="Q222" i="3"/>
  <c r="Q218" i="3"/>
  <c r="Q214" i="3"/>
  <c r="Q210" i="3"/>
  <c r="Q206" i="3"/>
  <c r="Q202" i="3"/>
  <c r="Q198" i="3"/>
  <c r="Q194" i="3"/>
  <c r="Q190" i="3"/>
  <c r="Q186" i="3"/>
  <c r="Q182" i="3"/>
  <c r="Q178" i="3"/>
  <c r="Q174" i="3"/>
  <c r="Q170" i="3"/>
  <c r="Q166" i="3"/>
  <c r="Q162" i="3"/>
  <c r="Q158" i="3"/>
  <c r="Q154" i="3"/>
  <c r="Q150" i="3"/>
  <c r="Q146" i="3"/>
  <c r="Q142" i="3"/>
  <c r="Q138" i="3"/>
  <c r="Q134" i="3"/>
  <c r="Q242" i="3"/>
  <c r="Q227" i="3"/>
  <c r="Q221" i="3"/>
  <c r="Q215" i="3"/>
  <c r="Q211" i="3"/>
  <c r="Q207" i="3"/>
  <c r="Q203" i="3"/>
  <c r="Q199" i="3"/>
  <c r="Q195" i="3"/>
  <c r="Q191" i="3"/>
  <c r="Q187" i="3"/>
  <c r="Q183" i="3"/>
  <c r="Q179" i="3"/>
  <c r="Q175" i="3"/>
  <c r="Q171" i="3"/>
  <c r="Q167" i="3"/>
  <c r="Q163" i="3"/>
  <c r="Q159" i="3"/>
  <c r="Q155" i="3"/>
  <c r="Q151" i="3"/>
  <c r="Q147" i="3"/>
  <c r="Q143" i="3"/>
  <c r="Q139" i="3"/>
  <c r="Q135" i="3"/>
  <c r="Q230" i="3"/>
  <c r="Q226" i="3"/>
  <c r="Q219" i="3"/>
  <c r="Q216" i="3"/>
  <c r="Q212" i="3"/>
  <c r="Q208" i="3"/>
  <c r="Q204" i="3"/>
  <c r="Q200" i="3"/>
  <c r="Q196" i="3"/>
  <c r="Q192" i="3"/>
  <c r="Q188" i="3"/>
  <c r="Q184" i="3"/>
  <c r="Q180" i="3"/>
  <c r="Q176" i="3"/>
  <c r="Q172" i="3"/>
  <c r="Q168" i="3"/>
  <c r="Q164" i="3"/>
  <c r="Q160" i="3"/>
  <c r="Q156" i="3"/>
  <c r="Q152" i="3"/>
  <c r="Q148" i="3"/>
  <c r="Q144" i="3"/>
  <c r="Q140" i="3"/>
  <c r="Q136" i="3"/>
  <c r="B727" i="3"/>
  <c r="B728" i="3"/>
  <c r="B724" i="3"/>
  <c r="B720" i="3"/>
  <c r="B130" i="3"/>
  <c r="B725" i="3"/>
  <c r="B721" i="3"/>
  <c r="B717" i="3"/>
  <c r="B726" i="3"/>
  <c r="B722" i="3"/>
  <c r="B718" i="3"/>
  <c r="B714" i="3"/>
  <c r="B716" i="3"/>
  <c r="B709" i="3"/>
  <c r="B705" i="3"/>
  <c r="B701" i="3"/>
  <c r="B719" i="3"/>
  <c r="B715" i="3"/>
  <c r="B713" i="3"/>
  <c r="B710" i="3"/>
  <c r="B706" i="3"/>
  <c r="B702" i="3"/>
  <c r="B723" i="3"/>
  <c r="B711" i="3"/>
  <c r="B707" i="3"/>
  <c r="B703" i="3"/>
  <c r="B712" i="3"/>
  <c r="B708" i="3"/>
  <c r="B704" i="3"/>
  <c r="B700" i="3"/>
  <c r="B696" i="3"/>
  <c r="B692" i="3"/>
  <c r="B688" i="3"/>
  <c r="B684" i="3"/>
  <c r="B697" i="3"/>
  <c r="B693" i="3"/>
  <c r="B689" i="3"/>
  <c r="B685" i="3"/>
  <c r="B698" i="3"/>
  <c r="B694" i="3"/>
  <c r="B690" i="3"/>
  <c r="B699" i="3"/>
  <c r="B695" i="3"/>
  <c r="B691" i="3"/>
  <c r="B687" i="3"/>
  <c r="B683" i="3"/>
  <c r="B681" i="3"/>
  <c r="B677" i="3"/>
  <c r="B673" i="3"/>
  <c r="B669" i="3"/>
  <c r="B665" i="3"/>
  <c r="B686" i="3"/>
  <c r="B678" i="3"/>
  <c r="B674" i="3"/>
  <c r="B670" i="3"/>
  <c r="B666" i="3"/>
  <c r="B662" i="3"/>
  <c r="B682" i="3"/>
  <c r="B679" i="3"/>
  <c r="B675" i="3"/>
  <c r="B671" i="3"/>
  <c r="B667" i="3"/>
  <c r="B680" i="3"/>
  <c r="B676" i="3"/>
  <c r="B672" i="3"/>
  <c r="B668" i="3"/>
  <c r="B664" i="3"/>
  <c r="B660" i="3"/>
  <c r="B653" i="3"/>
  <c r="B649" i="3"/>
  <c r="B645" i="3"/>
  <c r="B641" i="3"/>
  <c r="B637" i="3"/>
  <c r="B633" i="3"/>
  <c r="B629" i="3"/>
  <c r="B659" i="3"/>
  <c r="B657" i="3"/>
  <c r="B654" i="3"/>
  <c r="B650" i="3"/>
  <c r="B646" i="3"/>
  <c r="B642" i="3"/>
  <c r="B638" i="3"/>
  <c r="B634" i="3"/>
  <c r="B663" i="3"/>
  <c r="B655" i="3"/>
  <c r="B651" i="3"/>
  <c r="B647" i="3"/>
  <c r="B643" i="3"/>
  <c r="B639" i="3"/>
  <c r="B635" i="3"/>
  <c r="B661" i="3"/>
  <c r="B658" i="3"/>
  <c r="B656" i="3"/>
  <c r="B652" i="3"/>
  <c r="B648" i="3"/>
  <c r="B644" i="3"/>
  <c r="B640" i="3"/>
  <c r="B636" i="3"/>
  <c r="B632" i="3"/>
  <c r="B628" i="3"/>
  <c r="B631" i="3"/>
  <c r="B624" i="3"/>
  <c r="B620" i="3"/>
  <c r="B616" i="3"/>
  <c r="B612" i="3"/>
  <c r="B608" i="3"/>
  <c r="B604" i="3"/>
  <c r="B600" i="3"/>
  <c r="B596" i="3"/>
  <c r="B592" i="3"/>
  <c r="B630" i="3"/>
  <c r="B625" i="3"/>
  <c r="B621" i="3"/>
  <c r="B617" i="3"/>
  <c r="B613" i="3"/>
  <c r="B609" i="3"/>
  <c r="B605" i="3"/>
  <c r="B601" i="3"/>
  <c r="B597" i="3"/>
  <c r="B593" i="3"/>
  <c r="B627" i="3"/>
  <c r="B622" i="3"/>
  <c r="B618" i="3"/>
  <c r="B614" i="3"/>
  <c r="B610" i="3"/>
  <c r="B606" i="3"/>
  <c r="B602" i="3"/>
  <c r="B626" i="3"/>
  <c r="B623" i="3"/>
  <c r="B619" i="3"/>
  <c r="B615" i="3"/>
  <c r="B611" i="3"/>
  <c r="B607" i="3"/>
  <c r="B603" i="3"/>
  <c r="B599" i="3"/>
  <c r="B598" i="3"/>
  <c r="B594" i="3"/>
  <c r="B591" i="3"/>
  <c r="B587" i="3"/>
  <c r="B583" i="3"/>
  <c r="B579" i="3"/>
  <c r="B575" i="3"/>
  <c r="B571" i="3"/>
  <c r="B567" i="3"/>
  <c r="B563" i="3"/>
  <c r="B559" i="3"/>
  <c r="B588" i="3"/>
  <c r="B584" i="3"/>
  <c r="B580" i="3"/>
  <c r="B576" i="3"/>
  <c r="B572" i="3"/>
  <c r="B568" i="3"/>
  <c r="B564" i="3"/>
  <c r="B590" i="3"/>
  <c r="B589" i="3"/>
  <c r="B585" i="3"/>
  <c r="B581" i="3"/>
  <c r="B577" i="3"/>
  <c r="B573" i="3"/>
  <c r="B569" i="3"/>
  <c r="B565" i="3"/>
  <c r="B595" i="3"/>
  <c r="B586" i="3"/>
  <c r="B582" i="3"/>
  <c r="B578" i="3"/>
  <c r="B574" i="3"/>
  <c r="B570" i="3"/>
  <c r="B566" i="3"/>
  <c r="B562" i="3"/>
  <c r="B558" i="3"/>
  <c r="B554" i="3"/>
  <c r="B550" i="3"/>
  <c r="B546" i="3"/>
  <c r="B542" i="3"/>
  <c r="B538" i="3"/>
  <c r="B534" i="3"/>
  <c r="B530" i="3"/>
  <c r="B526" i="3"/>
  <c r="B522" i="3"/>
  <c r="B561" i="3"/>
  <c r="B555" i="3"/>
  <c r="B551" i="3"/>
  <c r="B547" i="3"/>
  <c r="B543" i="3"/>
  <c r="B539" i="3"/>
  <c r="B535" i="3"/>
  <c r="B531" i="3"/>
  <c r="B527" i="3"/>
  <c r="B560" i="3"/>
  <c r="B556" i="3"/>
  <c r="B552" i="3"/>
  <c r="B548" i="3"/>
  <c r="B544" i="3"/>
  <c r="B540" i="3"/>
  <c r="B536" i="3"/>
  <c r="B532" i="3"/>
  <c r="B528" i="3"/>
  <c r="B557" i="3"/>
  <c r="B553" i="3"/>
  <c r="B549" i="3"/>
  <c r="B545" i="3"/>
  <c r="B541" i="3"/>
  <c r="B537" i="3"/>
  <c r="B533" i="3"/>
  <c r="B529" i="3"/>
  <c r="B525" i="3"/>
  <c r="B521" i="3"/>
  <c r="B523" i="3"/>
  <c r="B519" i="3"/>
  <c r="B515" i="3"/>
  <c r="B511" i="3"/>
  <c r="B507" i="3"/>
  <c r="B503" i="3"/>
  <c r="B499" i="3"/>
  <c r="B495" i="3"/>
  <c r="B491" i="3"/>
  <c r="B487" i="3"/>
  <c r="B483" i="3"/>
  <c r="B479" i="3"/>
  <c r="B475" i="3"/>
  <c r="B471" i="3"/>
  <c r="B467" i="3"/>
  <c r="B463" i="3"/>
  <c r="B459" i="3"/>
  <c r="B455" i="3"/>
  <c r="B520" i="3"/>
  <c r="B516" i="3"/>
  <c r="B512" i="3"/>
  <c r="B508" i="3"/>
  <c r="B504" i="3"/>
  <c r="B500" i="3"/>
  <c r="B496" i="3"/>
  <c r="B492" i="3"/>
  <c r="B488" i="3"/>
  <c r="B484" i="3"/>
  <c r="B480" i="3"/>
  <c r="B476" i="3"/>
  <c r="B472" i="3"/>
  <c r="B468" i="3"/>
  <c r="B464" i="3"/>
  <c r="B460" i="3"/>
  <c r="B517" i="3"/>
  <c r="B513" i="3"/>
  <c r="B509" i="3"/>
  <c r="B505" i="3"/>
  <c r="B501" i="3"/>
  <c r="B497" i="3"/>
  <c r="B493" i="3"/>
  <c r="B489" i="3"/>
  <c r="B485" i="3"/>
  <c r="B481" i="3"/>
  <c r="B477" i="3"/>
  <c r="B473" i="3"/>
  <c r="B469" i="3"/>
  <c r="B465" i="3"/>
  <c r="B524" i="3"/>
  <c r="B518" i="3"/>
  <c r="B514" i="3"/>
  <c r="B510" i="3"/>
  <c r="B506" i="3"/>
  <c r="B502" i="3"/>
  <c r="B498" i="3"/>
  <c r="B494" i="3"/>
  <c r="B490" i="3"/>
  <c r="B486" i="3"/>
  <c r="B482" i="3"/>
  <c r="B478" i="3"/>
  <c r="B474" i="3"/>
  <c r="B470" i="3"/>
  <c r="B466" i="3"/>
  <c r="B462" i="3"/>
  <c r="B458" i="3"/>
  <c r="B454" i="3"/>
  <c r="B456" i="3"/>
  <c r="B451" i="3"/>
  <c r="B447" i="3"/>
  <c r="B443" i="3"/>
  <c r="B439" i="3"/>
  <c r="B435" i="3"/>
  <c r="B431" i="3"/>
  <c r="B427" i="3"/>
  <c r="B423" i="3"/>
  <c r="B419" i="3"/>
  <c r="B415" i="3"/>
  <c r="B411" i="3"/>
  <c r="B407" i="3"/>
  <c r="B403" i="3"/>
  <c r="B399" i="3"/>
  <c r="B395" i="3"/>
  <c r="B391" i="3"/>
  <c r="B387" i="3"/>
  <c r="B453" i="3"/>
  <c r="B448" i="3"/>
  <c r="B444" i="3"/>
  <c r="B440" i="3"/>
  <c r="B436" i="3"/>
  <c r="B432" i="3"/>
  <c r="B428" i="3"/>
  <c r="B424" i="3"/>
  <c r="B420" i="3"/>
  <c r="B416" i="3"/>
  <c r="B412" i="3"/>
  <c r="B408" i="3"/>
  <c r="B404" i="3"/>
  <c r="B400" i="3"/>
  <c r="B396" i="3"/>
  <c r="B461" i="3"/>
  <c r="B452" i="3"/>
  <c r="B449" i="3"/>
  <c r="B445" i="3"/>
  <c r="B441" i="3"/>
  <c r="B437" i="3"/>
  <c r="B433" i="3"/>
  <c r="B429" i="3"/>
  <c r="B425" i="3"/>
  <c r="B421" i="3"/>
  <c r="B417" i="3"/>
  <c r="B413" i="3"/>
  <c r="B409" i="3"/>
  <c r="B405" i="3"/>
  <c r="B401" i="3"/>
  <c r="B397" i="3"/>
  <c r="B457" i="3"/>
  <c r="B450" i="3"/>
  <c r="B446" i="3"/>
  <c r="B442" i="3"/>
  <c r="B438" i="3"/>
  <c r="B434" i="3"/>
  <c r="B430" i="3"/>
  <c r="B426" i="3"/>
  <c r="B422" i="3"/>
  <c r="B418" i="3"/>
  <c r="B414" i="3"/>
  <c r="B410" i="3"/>
  <c r="B406" i="3"/>
  <c r="B402" i="3"/>
  <c r="B398" i="3"/>
  <c r="B394" i="3"/>
  <c r="B390" i="3"/>
  <c r="B386" i="3"/>
  <c r="B393" i="3"/>
  <c r="B385" i="3"/>
  <c r="B382" i="3"/>
  <c r="B378" i="3"/>
  <c r="B374" i="3"/>
  <c r="B370" i="3"/>
  <c r="B366" i="3"/>
  <c r="B362" i="3"/>
  <c r="B358" i="3"/>
  <c r="B354" i="3"/>
  <c r="B350" i="3"/>
  <c r="B346" i="3"/>
  <c r="B342" i="3"/>
  <c r="B338" i="3"/>
  <c r="B334" i="3"/>
  <c r="B330" i="3"/>
  <c r="B326" i="3"/>
  <c r="B322" i="3"/>
  <c r="B318" i="3"/>
  <c r="B314" i="3"/>
  <c r="B392" i="3"/>
  <c r="B383" i="3"/>
  <c r="B379" i="3"/>
  <c r="B375" i="3"/>
  <c r="B371" i="3"/>
  <c r="B367" i="3"/>
  <c r="B363" i="3"/>
  <c r="B359" i="3"/>
  <c r="B355" i="3"/>
  <c r="B351" i="3"/>
  <c r="B347" i="3"/>
  <c r="B343" i="3"/>
  <c r="B339" i="3"/>
  <c r="B335" i="3"/>
  <c r="B331" i="3"/>
  <c r="B327" i="3"/>
  <c r="B323" i="3"/>
  <c r="B319" i="3"/>
  <c r="B389" i="3"/>
  <c r="B384" i="3"/>
  <c r="B380" i="3"/>
  <c r="B376" i="3"/>
  <c r="B372" i="3"/>
  <c r="B368" i="3"/>
  <c r="B364" i="3"/>
  <c r="B360" i="3"/>
  <c r="B356" i="3"/>
  <c r="B352" i="3"/>
  <c r="B348" i="3"/>
  <c r="B344" i="3"/>
  <c r="B340" i="3"/>
  <c r="B336" i="3"/>
  <c r="B332" i="3"/>
  <c r="B328" i="3"/>
  <c r="B388" i="3"/>
  <c r="B381" i="3"/>
  <c r="B377" i="3"/>
  <c r="B373" i="3"/>
  <c r="B369" i="3"/>
  <c r="B365" i="3"/>
  <c r="B361" i="3"/>
  <c r="B357" i="3"/>
  <c r="B353" i="3"/>
  <c r="B349" i="3"/>
  <c r="B345" i="3"/>
  <c r="B341" i="3"/>
  <c r="B337" i="3"/>
  <c r="B333" i="3"/>
  <c r="B329" i="3"/>
  <c r="B325" i="3"/>
  <c r="B321" i="3"/>
  <c r="B317" i="3"/>
  <c r="B313" i="3"/>
  <c r="B320" i="3"/>
  <c r="B312" i="3"/>
  <c r="B309" i="3"/>
  <c r="B305" i="3"/>
  <c r="B301" i="3"/>
  <c r="B297" i="3"/>
  <c r="B293" i="3"/>
  <c r="B289" i="3"/>
  <c r="B285" i="3"/>
  <c r="B281" i="3"/>
  <c r="B277" i="3"/>
  <c r="B273" i="3"/>
  <c r="B269" i="3"/>
  <c r="B265" i="3"/>
  <c r="B261" i="3"/>
  <c r="B257" i="3"/>
  <c r="B253" i="3"/>
  <c r="B249" i="3"/>
  <c r="B245" i="3"/>
  <c r="B241" i="3"/>
  <c r="B237" i="3"/>
  <c r="B233" i="3"/>
  <c r="B229" i="3"/>
  <c r="B225" i="3"/>
  <c r="B221" i="3"/>
  <c r="B324" i="3"/>
  <c r="B310" i="3"/>
  <c r="B306" i="3"/>
  <c r="B302" i="3"/>
  <c r="B298" i="3"/>
  <c r="B294" i="3"/>
  <c r="B290" i="3"/>
  <c r="B286" i="3"/>
  <c r="B282" i="3"/>
  <c r="B278" i="3"/>
  <c r="B274" i="3"/>
  <c r="B270" i="3"/>
  <c r="B266" i="3"/>
  <c r="B262" i="3"/>
  <c r="B258" i="3"/>
  <c r="B254" i="3"/>
  <c r="B250" i="3"/>
  <c r="B246" i="3"/>
  <c r="B242" i="3"/>
  <c r="B238" i="3"/>
  <c r="B234" i="3"/>
  <c r="B230" i="3"/>
  <c r="B226" i="3"/>
  <c r="B316" i="3"/>
  <c r="B311" i="3"/>
  <c r="B307" i="3"/>
  <c r="B303" i="3"/>
  <c r="B299" i="3"/>
  <c r="B295" i="3"/>
  <c r="B291" i="3"/>
  <c r="B287" i="3"/>
  <c r="B283" i="3"/>
  <c r="B279" i="3"/>
  <c r="B275" i="3"/>
  <c r="B271" i="3"/>
  <c r="B267" i="3"/>
  <c r="B263" i="3"/>
  <c r="B259" i="3"/>
  <c r="B255" i="3"/>
  <c r="B251" i="3"/>
  <c r="B247" i="3"/>
  <c r="B315" i="3"/>
  <c r="B308" i="3"/>
  <c r="B304" i="3"/>
  <c r="B300" i="3"/>
  <c r="B296" i="3"/>
  <c r="B292" i="3"/>
  <c r="B288" i="3"/>
  <c r="B284" i="3"/>
  <c r="B280" i="3"/>
  <c r="B276" i="3"/>
  <c r="B272" i="3"/>
  <c r="B268" i="3"/>
  <c r="B264" i="3"/>
  <c r="B260" i="3"/>
  <c r="B256" i="3"/>
  <c r="B252" i="3"/>
  <c r="B248" i="3"/>
  <c r="B244" i="3"/>
  <c r="B240" i="3"/>
  <c r="B236" i="3"/>
  <c r="B232" i="3"/>
  <c r="B239" i="3"/>
  <c r="B228" i="3"/>
  <c r="B220" i="3"/>
  <c r="B218" i="3"/>
  <c r="B214" i="3"/>
  <c r="B210" i="3"/>
  <c r="B206" i="3"/>
  <c r="B202" i="3"/>
  <c r="B198" i="3"/>
  <c r="B194" i="3"/>
  <c r="B190" i="3"/>
  <c r="B186" i="3"/>
  <c r="B182" i="3"/>
  <c r="B178" i="3"/>
  <c r="B174" i="3"/>
  <c r="B170" i="3"/>
  <c r="B166" i="3"/>
  <c r="B162" i="3"/>
  <c r="B158" i="3"/>
  <c r="B154" i="3"/>
  <c r="B150" i="3"/>
  <c r="B146" i="3"/>
  <c r="B142" i="3"/>
  <c r="B138" i="3"/>
  <c r="B134" i="3"/>
  <c r="B243" i="3"/>
  <c r="B227" i="3"/>
  <c r="B215" i="3"/>
  <c r="B211" i="3"/>
  <c r="B207" i="3"/>
  <c r="B203" i="3"/>
  <c r="B199" i="3"/>
  <c r="B195" i="3"/>
  <c r="B191" i="3"/>
  <c r="B187" i="3"/>
  <c r="B183" i="3"/>
  <c r="B179" i="3"/>
  <c r="B175" i="3"/>
  <c r="B171" i="3"/>
  <c r="B167" i="3"/>
  <c r="B163" i="3"/>
  <c r="B159" i="3"/>
  <c r="B155" i="3"/>
  <c r="B151" i="3"/>
  <c r="B147" i="3"/>
  <c r="B143" i="3"/>
  <c r="B139" i="3"/>
  <c r="B135" i="3"/>
  <c r="B231" i="3"/>
  <c r="B224" i="3"/>
  <c r="B219" i="3"/>
  <c r="B216" i="3"/>
  <c r="B212" i="3"/>
  <c r="B208" i="3"/>
  <c r="B204" i="3"/>
  <c r="B200" i="3"/>
  <c r="B196" i="3"/>
  <c r="B192" i="3"/>
  <c r="B188" i="3"/>
  <c r="B184" i="3"/>
  <c r="B180" i="3"/>
  <c r="B176" i="3"/>
  <c r="B172" i="3"/>
  <c r="B168" i="3"/>
  <c r="B164" i="3"/>
  <c r="B160" i="3"/>
  <c r="B156" i="3"/>
  <c r="B152" i="3"/>
  <c r="B148" i="3"/>
  <c r="B144" i="3"/>
  <c r="B140" i="3"/>
  <c r="B136" i="3"/>
  <c r="B235" i="3"/>
  <c r="B223" i="3"/>
  <c r="B222" i="3"/>
  <c r="B217" i="3"/>
  <c r="B213" i="3"/>
  <c r="B209" i="3"/>
  <c r="B205" i="3"/>
  <c r="B201" i="3"/>
  <c r="B197" i="3"/>
  <c r="B193" i="3"/>
  <c r="B189" i="3"/>
  <c r="B185" i="3"/>
  <c r="B181" i="3"/>
  <c r="B177" i="3"/>
  <c r="B173" i="3"/>
  <c r="B169" i="3"/>
  <c r="B165" i="3"/>
  <c r="B161" i="3"/>
  <c r="B157" i="3"/>
  <c r="B153" i="3"/>
  <c r="B149" i="3"/>
  <c r="B145" i="3"/>
  <c r="B141" i="3"/>
  <c r="B137" i="3"/>
  <c r="F727" i="3"/>
  <c r="F728" i="3"/>
  <c r="F724" i="3"/>
  <c r="F720" i="3"/>
  <c r="F716" i="3"/>
  <c r="F130" i="3"/>
  <c r="F725" i="3"/>
  <c r="F721" i="3"/>
  <c r="F717" i="3"/>
  <c r="F726" i="3"/>
  <c r="F722" i="3"/>
  <c r="F718" i="3"/>
  <c r="F714" i="3"/>
  <c r="F719" i="3"/>
  <c r="F712" i="3"/>
  <c r="F709" i="3"/>
  <c r="F705" i="3"/>
  <c r="F701" i="3"/>
  <c r="F723" i="3"/>
  <c r="F710" i="3"/>
  <c r="F706" i="3"/>
  <c r="F702" i="3"/>
  <c r="F713" i="3"/>
  <c r="F711" i="3"/>
  <c r="F707" i="3"/>
  <c r="F703" i="3"/>
  <c r="F715" i="3"/>
  <c r="F708" i="3"/>
  <c r="F704" i="3"/>
  <c r="F700" i="3"/>
  <c r="F699" i="3"/>
  <c r="F696" i="3"/>
  <c r="F692" i="3"/>
  <c r="F688" i="3"/>
  <c r="F684" i="3"/>
  <c r="F697" i="3"/>
  <c r="F693" i="3"/>
  <c r="F689" i="3"/>
  <c r="F685" i="3"/>
  <c r="F698" i="3"/>
  <c r="F694" i="3"/>
  <c r="F690" i="3"/>
  <c r="F695" i="3"/>
  <c r="F691" i="3"/>
  <c r="F687" i="3"/>
  <c r="F683" i="3"/>
  <c r="F686" i="3"/>
  <c r="F677" i="3"/>
  <c r="F673" i="3"/>
  <c r="F669" i="3"/>
  <c r="F665" i="3"/>
  <c r="F681" i="3"/>
  <c r="F678" i="3"/>
  <c r="F674" i="3"/>
  <c r="F670" i="3"/>
  <c r="F666" i="3"/>
  <c r="F662" i="3"/>
  <c r="F679" i="3"/>
  <c r="F675" i="3"/>
  <c r="F671" i="3"/>
  <c r="F667" i="3"/>
  <c r="F682" i="3"/>
  <c r="F680" i="3"/>
  <c r="F676" i="3"/>
  <c r="F672" i="3"/>
  <c r="F668" i="3"/>
  <c r="F664" i="3"/>
  <c r="F660" i="3"/>
  <c r="F658" i="3"/>
  <c r="F653" i="3"/>
  <c r="F649" i="3"/>
  <c r="F645" i="3"/>
  <c r="F641" i="3"/>
  <c r="F637" i="3"/>
  <c r="F633" i="3"/>
  <c r="F629" i="3"/>
  <c r="F625" i="3"/>
  <c r="F663" i="3"/>
  <c r="F661" i="3"/>
  <c r="F654" i="3"/>
  <c r="F650" i="3"/>
  <c r="F646" i="3"/>
  <c r="F642" i="3"/>
  <c r="F638" i="3"/>
  <c r="F634" i="3"/>
  <c r="F659" i="3"/>
  <c r="F657" i="3"/>
  <c r="F655" i="3"/>
  <c r="F651" i="3"/>
  <c r="F647" i="3"/>
  <c r="F643" i="3"/>
  <c r="F639" i="3"/>
  <c r="F635" i="3"/>
  <c r="F656" i="3"/>
  <c r="F652" i="3"/>
  <c r="F648" i="3"/>
  <c r="F644" i="3"/>
  <c r="F640" i="3"/>
  <c r="F636" i="3"/>
  <c r="F632" i="3"/>
  <c r="F628" i="3"/>
  <c r="F627" i="3"/>
  <c r="F624" i="3"/>
  <c r="F620" i="3"/>
  <c r="F616" i="3"/>
  <c r="F612" i="3"/>
  <c r="F608" i="3"/>
  <c r="F604" i="3"/>
  <c r="F600" i="3"/>
  <c r="F596" i="3"/>
  <c r="F592" i="3"/>
  <c r="F626" i="3"/>
  <c r="F621" i="3"/>
  <c r="F617" i="3"/>
  <c r="F613" i="3"/>
  <c r="F609" i="3"/>
  <c r="F605" i="3"/>
  <c r="F601" i="3"/>
  <c r="F597" i="3"/>
  <c r="F593" i="3"/>
  <c r="F631" i="3"/>
  <c r="F622" i="3"/>
  <c r="F618" i="3"/>
  <c r="F614" i="3"/>
  <c r="F610" i="3"/>
  <c r="F606" i="3"/>
  <c r="F602" i="3"/>
  <c r="F630" i="3"/>
  <c r="F623" i="3"/>
  <c r="F619" i="3"/>
  <c r="F615" i="3"/>
  <c r="F611" i="3"/>
  <c r="F607" i="3"/>
  <c r="F603" i="3"/>
  <c r="F599" i="3"/>
  <c r="F595" i="3"/>
  <c r="F587" i="3"/>
  <c r="F583" i="3"/>
  <c r="F579" i="3"/>
  <c r="F575" i="3"/>
  <c r="F571" i="3"/>
  <c r="F567" i="3"/>
  <c r="F563" i="3"/>
  <c r="F559" i="3"/>
  <c r="F591" i="3"/>
  <c r="F588" i="3"/>
  <c r="F584" i="3"/>
  <c r="F580" i="3"/>
  <c r="F576" i="3"/>
  <c r="F572" i="3"/>
  <c r="F568" i="3"/>
  <c r="F564" i="3"/>
  <c r="F594" i="3"/>
  <c r="F589" i="3"/>
  <c r="F585" i="3"/>
  <c r="F581" i="3"/>
  <c r="F577" i="3"/>
  <c r="F573" i="3"/>
  <c r="F569" i="3"/>
  <c r="F565" i="3"/>
  <c r="F598" i="3"/>
  <c r="F590" i="3"/>
  <c r="F586" i="3"/>
  <c r="F582" i="3"/>
  <c r="F578" i="3"/>
  <c r="F574" i="3"/>
  <c r="F570" i="3"/>
  <c r="F566" i="3"/>
  <c r="F562" i="3"/>
  <c r="F560" i="3"/>
  <c r="F558" i="3"/>
  <c r="F554" i="3"/>
  <c r="F550" i="3"/>
  <c r="F546" i="3"/>
  <c r="F542" i="3"/>
  <c r="F538" i="3"/>
  <c r="F534" i="3"/>
  <c r="F530" i="3"/>
  <c r="F526" i="3"/>
  <c r="F522" i="3"/>
  <c r="F555" i="3"/>
  <c r="F551" i="3"/>
  <c r="F547" i="3"/>
  <c r="F543" i="3"/>
  <c r="F539" i="3"/>
  <c r="F535" i="3"/>
  <c r="F531" i="3"/>
  <c r="F527" i="3"/>
  <c r="F556" i="3"/>
  <c r="F552" i="3"/>
  <c r="F548" i="3"/>
  <c r="F544" i="3"/>
  <c r="F540" i="3"/>
  <c r="F536" i="3"/>
  <c r="F532" i="3"/>
  <c r="F528" i="3"/>
  <c r="F561" i="3"/>
  <c r="F557" i="3"/>
  <c r="F553" i="3"/>
  <c r="F549" i="3"/>
  <c r="F545" i="3"/>
  <c r="F541" i="3"/>
  <c r="F537" i="3"/>
  <c r="F533" i="3"/>
  <c r="F529" i="3"/>
  <c r="F525" i="3"/>
  <c r="F521" i="3"/>
  <c r="F519" i="3"/>
  <c r="F515" i="3"/>
  <c r="F511" i="3"/>
  <c r="F507" i="3"/>
  <c r="F503" i="3"/>
  <c r="F499" i="3"/>
  <c r="F495" i="3"/>
  <c r="F491" i="3"/>
  <c r="F487" i="3"/>
  <c r="F483" i="3"/>
  <c r="F479" i="3"/>
  <c r="F475" i="3"/>
  <c r="F471" i="3"/>
  <c r="F467" i="3"/>
  <c r="F463" i="3"/>
  <c r="F459" i="3"/>
  <c r="F455" i="3"/>
  <c r="F451" i="3"/>
  <c r="F524" i="3"/>
  <c r="F516" i="3"/>
  <c r="F512" i="3"/>
  <c r="F508" i="3"/>
  <c r="F504" i="3"/>
  <c r="F500" i="3"/>
  <c r="F496" i="3"/>
  <c r="F492" i="3"/>
  <c r="F488" i="3"/>
  <c r="F484" i="3"/>
  <c r="F480" i="3"/>
  <c r="F476" i="3"/>
  <c r="F472" i="3"/>
  <c r="F468" i="3"/>
  <c r="F464" i="3"/>
  <c r="F460" i="3"/>
  <c r="F523" i="3"/>
  <c r="F517" i="3"/>
  <c r="F513" i="3"/>
  <c r="F509" i="3"/>
  <c r="F505" i="3"/>
  <c r="F501" i="3"/>
  <c r="F497" i="3"/>
  <c r="F493" i="3"/>
  <c r="F489" i="3"/>
  <c r="F485" i="3"/>
  <c r="F481" i="3"/>
  <c r="F477" i="3"/>
  <c r="F473" i="3"/>
  <c r="F469" i="3"/>
  <c r="F465" i="3"/>
  <c r="F520" i="3"/>
  <c r="F518" i="3"/>
  <c r="F514" i="3"/>
  <c r="F510" i="3"/>
  <c r="F506" i="3"/>
  <c r="F502" i="3"/>
  <c r="F498" i="3"/>
  <c r="F494" i="3"/>
  <c r="F490" i="3"/>
  <c r="F486" i="3"/>
  <c r="F482" i="3"/>
  <c r="F478" i="3"/>
  <c r="F474" i="3"/>
  <c r="F470" i="3"/>
  <c r="F466" i="3"/>
  <c r="F462" i="3"/>
  <c r="F458" i="3"/>
  <c r="F454" i="3"/>
  <c r="F452" i="3"/>
  <c r="F447" i="3"/>
  <c r="F443" i="3"/>
  <c r="F439" i="3"/>
  <c r="F435" i="3"/>
  <c r="F431" i="3"/>
  <c r="F427" i="3"/>
  <c r="F423" i="3"/>
  <c r="F419" i="3"/>
  <c r="F415" i="3"/>
  <c r="F411" i="3"/>
  <c r="F407" i="3"/>
  <c r="F403" i="3"/>
  <c r="F399" i="3"/>
  <c r="F395" i="3"/>
  <c r="F391" i="3"/>
  <c r="F387" i="3"/>
  <c r="F461" i="3"/>
  <c r="F457" i="3"/>
  <c r="F448" i="3"/>
  <c r="F444" i="3"/>
  <c r="F440" i="3"/>
  <c r="F436" i="3"/>
  <c r="F432" i="3"/>
  <c r="F428" i="3"/>
  <c r="F424" i="3"/>
  <c r="F420" i="3"/>
  <c r="F416" i="3"/>
  <c r="F412" i="3"/>
  <c r="F408" i="3"/>
  <c r="F404" i="3"/>
  <c r="F400" i="3"/>
  <c r="F396" i="3"/>
  <c r="F456" i="3"/>
  <c r="F449" i="3"/>
  <c r="F445" i="3"/>
  <c r="F441" i="3"/>
  <c r="F437" i="3"/>
  <c r="F433" i="3"/>
  <c r="F429" i="3"/>
  <c r="F425" i="3"/>
  <c r="F421" i="3"/>
  <c r="F417" i="3"/>
  <c r="F413" i="3"/>
  <c r="F409" i="3"/>
  <c r="F405" i="3"/>
  <c r="F401" i="3"/>
  <c r="F397" i="3"/>
  <c r="F453" i="3"/>
  <c r="F450" i="3"/>
  <c r="F446" i="3"/>
  <c r="F442" i="3"/>
  <c r="F438" i="3"/>
  <c r="F434" i="3"/>
  <c r="F430" i="3"/>
  <c r="F426" i="3"/>
  <c r="F422" i="3"/>
  <c r="F418" i="3"/>
  <c r="F414" i="3"/>
  <c r="F410" i="3"/>
  <c r="F406" i="3"/>
  <c r="F402" i="3"/>
  <c r="F398" i="3"/>
  <c r="F394" i="3"/>
  <c r="F390" i="3"/>
  <c r="F386" i="3"/>
  <c r="F389" i="3"/>
  <c r="F382" i="3"/>
  <c r="F378" i="3"/>
  <c r="F374" i="3"/>
  <c r="F370" i="3"/>
  <c r="F366" i="3"/>
  <c r="F362" i="3"/>
  <c r="F358" i="3"/>
  <c r="F354" i="3"/>
  <c r="F350" i="3"/>
  <c r="F346" i="3"/>
  <c r="F342" i="3"/>
  <c r="F338" i="3"/>
  <c r="F334" i="3"/>
  <c r="F330" i="3"/>
  <c r="F326" i="3"/>
  <c r="F322" i="3"/>
  <c r="F318" i="3"/>
  <c r="F314" i="3"/>
  <c r="F388" i="3"/>
  <c r="F383" i="3"/>
  <c r="F379" i="3"/>
  <c r="F375" i="3"/>
  <c r="F371" i="3"/>
  <c r="F367" i="3"/>
  <c r="F363" i="3"/>
  <c r="F359" i="3"/>
  <c r="F355" i="3"/>
  <c r="F351" i="3"/>
  <c r="F347" i="3"/>
  <c r="F343" i="3"/>
  <c r="F339" i="3"/>
  <c r="F335" i="3"/>
  <c r="F331" i="3"/>
  <c r="F327" i="3"/>
  <c r="F323" i="3"/>
  <c r="F319" i="3"/>
  <c r="F393" i="3"/>
  <c r="F385" i="3"/>
  <c r="F380" i="3"/>
  <c r="F376" i="3"/>
  <c r="F372" i="3"/>
  <c r="F368" i="3"/>
  <c r="F364" i="3"/>
  <c r="F360" i="3"/>
  <c r="F356" i="3"/>
  <c r="F352" i="3"/>
  <c r="F348" i="3"/>
  <c r="F344" i="3"/>
  <c r="F340" i="3"/>
  <c r="F336" i="3"/>
  <c r="F332" i="3"/>
  <c r="F328" i="3"/>
  <c r="F392" i="3"/>
  <c r="F384" i="3"/>
  <c r="F381" i="3"/>
  <c r="F377" i="3"/>
  <c r="F373" i="3"/>
  <c r="F369" i="3"/>
  <c r="F365" i="3"/>
  <c r="F361" i="3"/>
  <c r="F357" i="3"/>
  <c r="F353" i="3"/>
  <c r="F349" i="3"/>
  <c r="F345" i="3"/>
  <c r="F341" i="3"/>
  <c r="F337" i="3"/>
  <c r="F333" i="3"/>
  <c r="F329" i="3"/>
  <c r="F325" i="3"/>
  <c r="F321" i="3"/>
  <c r="F317" i="3"/>
  <c r="F313" i="3"/>
  <c r="F324" i="3"/>
  <c r="F316" i="3"/>
  <c r="F309" i="3"/>
  <c r="F305" i="3"/>
  <c r="F301" i="3"/>
  <c r="F297" i="3"/>
  <c r="F293" i="3"/>
  <c r="F289" i="3"/>
  <c r="F285" i="3"/>
  <c r="F281" i="3"/>
  <c r="F277" i="3"/>
  <c r="F273" i="3"/>
  <c r="F269" i="3"/>
  <c r="F265" i="3"/>
  <c r="F261" i="3"/>
  <c r="F257" i="3"/>
  <c r="F253" i="3"/>
  <c r="F249" i="3"/>
  <c r="F245" i="3"/>
  <c r="F241" i="3"/>
  <c r="F237" i="3"/>
  <c r="F233" i="3"/>
  <c r="F229" i="3"/>
  <c r="F225" i="3"/>
  <c r="F221" i="3"/>
  <c r="F315" i="3"/>
  <c r="F310" i="3"/>
  <c r="F306" i="3"/>
  <c r="F302" i="3"/>
  <c r="F298" i="3"/>
  <c r="F294" i="3"/>
  <c r="F290" i="3"/>
  <c r="F286" i="3"/>
  <c r="F282" i="3"/>
  <c r="F278" i="3"/>
  <c r="F274" i="3"/>
  <c r="F270" i="3"/>
  <c r="F266" i="3"/>
  <c r="F262" i="3"/>
  <c r="F258" i="3"/>
  <c r="F254" i="3"/>
  <c r="F250" i="3"/>
  <c r="F246" i="3"/>
  <c r="F242" i="3"/>
  <c r="F238" i="3"/>
  <c r="F234" i="3"/>
  <c r="F230" i="3"/>
  <c r="F226" i="3"/>
  <c r="F312" i="3"/>
  <c r="F307" i="3"/>
  <c r="F303" i="3"/>
  <c r="F299" i="3"/>
  <c r="F295" i="3"/>
  <c r="F291" i="3"/>
  <c r="F287" i="3"/>
  <c r="F283" i="3"/>
  <c r="F279" i="3"/>
  <c r="F275" i="3"/>
  <c r="F271" i="3"/>
  <c r="F267" i="3"/>
  <c r="F263" i="3"/>
  <c r="F259" i="3"/>
  <c r="F255" i="3"/>
  <c r="F251" i="3"/>
  <c r="F247" i="3"/>
  <c r="F320" i="3"/>
  <c r="F311" i="3"/>
  <c r="F308" i="3"/>
  <c r="F304" i="3"/>
  <c r="F300" i="3"/>
  <c r="F296" i="3"/>
  <c r="F292" i="3"/>
  <c r="F288" i="3"/>
  <c r="F284" i="3"/>
  <c r="F280" i="3"/>
  <c r="F276" i="3"/>
  <c r="F272" i="3"/>
  <c r="F268" i="3"/>
  <c r="F264" i="3"/>
  <c r="F260" i="3"/>
  <c r="F256" i="3"/>
  <c r="F252" i="3"/>
  <c r="F248" i="3"/>
  <c r="F244" i="3"/>
  <c r="F240" i="3"/>
  <c r="F236" i="3"/>
  <c r="F232" i="3"/>
  <c r="F243" i="3"/>
  <c r="F224" i="3"/>
  <c r="F222" i="3"/>
  <c r="F214" i="3"/>
  <c r="F210" i="3"/>
  <c r="F206" i="3"/>
  <c r="F202" i="3"/>
  <c r="F198" i="3"/>
  <c r="F194" i="3"/>
  <c r="F190" i="3"/>
  <c r="F186" i="3"/>
  <c r="F182" i="3"/>
  <c r="F178" i="3"/>
  <c r="F174" i="3"/>
  <c r="F170" i="3"/>
  <c r="F166" i="3"/>
  <c r="F162" i="3"/>
  <c r="F158" i="3"/>
  <c r="F154" i="3"/>
  <c r="F150" i="3"/>
  <c r="F146" i="3"/>
  <c r="F142" i="3"/>
  <c r="F138" i="3"/>
  <c r="F134" i="3"/>
  <c r="F231" i="3"/>
  <c r="F223" i="3"/>
  <c r="F220" i="3"/>
  <c r="F218" i="3"/>
  <c r="F215" i="3"/>
  <c r="F211" i="3"/>
  <c r="F207" i="3"/>
  <c r="F203" i="3"/>
  <c r="F199" i="3"/>
  <c r="F195" i="3"/>
  <c r="F191" i="3"/>
  <c r="F187" i="3"/>
  <c r="F183" i="3"/>
  <c r="F179" i="3"/>
  <c r="F175" i="3"/>
  <c r="F171" i="3"/>
  <c r="F167" i="3"/>
  <c r="F163" i="3"/>
  <c r="F159" i="3"/>
  <c r="F155" i="3"/>
  <c r="F151" i="3"/>
  <c r="F147" i="3"/>
  <c r="F143" i="3"/>
  <c r="F139" i="3"/>
  <c r="F135" i="3"/>
  <c r="F235" i="3"/>
  <c r="F228" i="3"/>
  <c r="F216" i="3"/>
  <c r="F212" i="3"/>
  <c r="F208" i="3"/>
  <c r="F204" i="3"/>
  <c r="F200" i="3"/>
  <c r="F196" i="3"/>
  <c r="F192" i="3"/>
  <c r="F188" i="3"/>
  <c r="F184" i="3"/>
  <c r="F180" i="3"/>
  <c r="F176" i="3"/>
  <c r="F172" i="3"/>
  <c r="F168" i="3"/>
  <c r="F164" i="3"/>
  <c r="F160" i="3"/>
  <c r="F156" i="3"/>
  <c r="F152" i="3"/>
  <c r="F148" i="3"/>
  <c r="F144" i="3"/>
  <c r="F140" i="3"/>
  <c r="F136" i="3"/>
  <c r="F239" i="3"/>
  <c r="F227" i="3"/>
  <c r="F219" i="3"/>
  <c r="F217" i="3"/>
  <c r="F213" i="3"/>
  <c r="F209" i="3"/>
  <c r="F205" i="3"/>
  <c r="F201" i="3"/>
  <c r="F197" i="3"/>
  <c r="F193" i="3"/>
  <c r="F189" i="3"/>
  <c r="F185" i="3"/>
  <c r="F181" i="3"/>
  <c r="F177" i="3"/>
  <c r="F173" i="3"/>
  <c r="F169" i="3"/>
  <c r="F165" i="3"/>
  <c r="F161" i="3"/>
  <c r="F157" i="3"/>
  <c r="F153" i="3"/>
  <c r="F149" i="3"/>
  <c r="F145" i="3"/>
  <c r="F141" i="3"/>
  <c r="F137" i="3"/>
  <c r="J727" i="3"/>
  <c r="J728" i="3"/>
  <c r="J724" i="3"/>
  <c r="J720" i="3"/>
  <c r="J716" i="3"/>
  <c r="J130" i="3"/>
  <c r="J725" i="3"/>
  <c r="J721" i="3"/>
  <c r="J717" i="3"/>
  <c r="J726" i="3"/>
  <c r="J722" i="3"/>
  <c r="J718" i="3"/>
  <c r="J714" i="3"/>
  <c r="J723" i="3"/>
  <c r="J709" i="3"/>
  <c r="J705" i="3"/>
  <c r="J701" i="3"/>
  <c r="J715" i="3"/>
  <c r="J712" i="3"/>
  <c r="J710" i="3"/>
  <c r="J706" i="3"/>
  <c r="J702" i="3"/>
  <c r="J711" i="3"/>
  <c r="J707" i="3"/>
  <c r="J703" i="3"/>
  <c r="J719" i="3"/>
  <c r="J713" i="3"/>
  <c r="J708" i="3"/>
  <c r="J704" i="3"/>
  <c r="J700" i="3"/>
  <c r="J696" i="3"/>
  <c r="J692" i="3"/>
  <c r="J688" i="3"/>
  <c r="J684" i="3"/>
  <c r="J699" i="3"/>
  <c r="J697" i="3"/>
  <c r="J693" i="3"/>
  <c r="J689" i="3"/>
  <c r="J685" i="3"/>
  <c r="J698" i="3"/>
  <c r="J694" i="3"/>
  <c r="J690" i="3"/>
  <c r="J686" i="3"/>
  <c r="J695" i="3"/>
  <c r="J691" i="3"/>
  <c r="J687" i="3"/>
  <c r="J683" i="3"/>
  <c r="J677" i="3"/>
  <c r="J673" i="3"/>
  <c r="J669" i="3"/>
  <c r="J665" i="3"/>
  <c r="J682" i="3"/>
  <c r="J678" i="3"/>
  <c r="J674" i="3"/>
  <c r="J670" i="3"/>
  <c r="J666" i="3"/>
  <c r="J662" i="3"/>
  <c r="J681" i="3"/>
  <c r="J679" i="3"/>
  <c r="J675" i="3"/>
  <c r="J671" i="3"/>
  <c r="J667" i="3"/>
  <c r="J680" i="3"/>
  <c r="J676" i="3"/>
  <c r="J672" i="3"/>
  <c r="J668" i="3"/>
  <c r="J664" i="3"/>
  <c r="J660" i="3"/>
  <c r="J663" i="3"/>
  <c r="J653" i="3"/>
  <c r="J649" i="3"/>
  <c r="J645" i="3"/>
  <c r="J641" i="3"/>
  <c r="J637" i="3"/>
  <c r="J633" i="3"/>
  <c r="J629" i="3"/>
  <c r="J625" i="3"/>
  <c r="J658" i="3"/>
  <c r="J654" i="3"/>
  <c r="J650" i="3"/>
  <c r="J646" i="3"/>
  <c r="J642" i="3"/>
  <c r="J638" i="3"/>
  <c r="J634" i="3"/>
  <c r="J655" i="3"/>
  <c r="J651" i="3"/>
  <c r="J647" i="3"/>
  <c r="J643" i="3"/>
  <c r="J639" i="3"/>
  <c r="J635" i="3"/>
  <c r="J661" i="3"/>
  <c r="J659" i="3"/>
  <c r="J657" i="3"/>
  <c r="J656" i="3"/>
  <c r="J652" i="3"/>
  <c r="J648" i="3"/>
  <c r="J644" i="3"/>
  <c r="J640" i="3"/>
  <c r="J636" i="3"/>
  <c r="J632" i="3"/>
  <c r="J628" i="3"/>
  <c r="J624" i="3"/>
  <c r="J620" i="3"/>
  <c r="J616" i="3"/>
  <c r="J612" i="3"/>
  <c r="J608" i="3"/>
  <c r="J604" i="3"/>
  <c r="J600" i="3"/>
  <c r="J596" i="3"/>
  <c r="J592" i="3"/>
  <c r="J631" i="3"/>
  <c r="J630" i="3"/>
  <c r="J621" i="3"/>
  <c r="J617" i="3"/>
  <c r="J613" i="3"/>
  <c r="J609" i="3"/>
  <c r="J605" i="3"/>
  <c r="J601" i="3"/>
  <c r="J597" i="3"/>
  <c r="J593" i="3"/>
  <c r="J627" i="3"/>
  <c r="J622" i="3"/>
  <c r="J618" i="3"/>
  <c r="J614" i="3"/>
  <c r="J610" i="3"/>
  <c r="J606" i="3"/>
  <c r="J602" i="3"/>
  <c r="J626" i="3"/>
  <c r="J623" i="3"/>
  <c r="J619" i="3"/>
  <c r="J615" i="3"/>
  <c r="J611" i="3"/>
  <c r="J607" i="3"/>
  <c r="J603" i="3"/>
  <c r="J599" i="3"/>
  <c r="J595" i="3"/>
  <c r="J594" i="3"/>
  <c r="J590" i="3"/>
  <c r="J587" i="3"/>
  <c r="J583" i="3"/>
  <c r="J579" i="3"/>
  <c r="J575" i="3"/>
  <c r="J571" i="3"/>
  <c r="J567" i="3"/>
  <c r="J563" i="3"/>
  <c r="J559" i="3"/>
  <c r="J588" i="3"/>
  <c r="J584" i="3"/>
  <c r="J580" i="3"/>
  <c r="J576" i="3"/>
  <c r="J572" i="3"/>
  <c r="J568" i="3"/>
  <c r="J564" i="3"/>
  <c r="J598" i="3"/>
  <c r="J591" i="3"/>
  <c r="J589" i="3"/>
  <c r="J585" i="3"/>
  <c r="J581" i="3"/>
  <c r="J577" i="3"/>
  <c r="J573" i="3"/>
  <c r="J569" i="3"/>
  <c r="J565" i="3"/>
  <c r="J586" i="3"/>
  <c r="J582" i="3"/>
  <c r="J578" i="3"/>
  <c r="J574" i="3"/>
  <c r="J570" i="3"/>
  <c r="J566" i="3"/>
  <c r="J562" i="3"/>
  <c r="J558" i="3"/>
  <c r="J554" i="3"/>
  <c r="J550" i="3"/>
  <c r="J546" i="3"/>
  <c r="J542" i="3"/>
  <c r="J538" i="3"/>
  <c r="J534" i="3"/>
  <c r="J530" i="3"/>
  <c r="J526" i="3"/>
  <c r="J522" i="3"/>
  <c r="J561" i="3"/>
  <c r="J555" i="3"/>
  <c r="J551" i="3"/>
  <c r="J547" i="3"/>
  <c r="J543" i="3"/>
  <c r="J539" i="3"/>
  <c r="J535" i="3"/>
  <c r="J531" i="3"/>
  <c r="J527" i="3"/>
  <c r="J560" i="3"/>
  <c r="J556" i="3"/>
  <c r="J552" i="3"/>
  <c r="J548" i="3"/>
  <c r="J544" i="3"/>
  <c r="J540" i="3"/>
  <c r="J536" i="3"/>
  <c r="J532" i="3"/>
  <c r="J528" i="3"/>
  <c r="J557" i="3"/>
  <c r="J553" i="3"/>
  <c r="J549" i="3"/>
  <c r="J545" i="3"/>
  <c r="J541" i="3"/>
  <c r="J537" i="3"/>
  <c r="J533" i="3"/>
  <c r="J529" i="3"/>
  <c r="J525" i="3"/>
  <c r="J521" i="3"/>
  <c r="J523" i="3"/>
  <c r="J519" i="3"/>
  <c r="J515" i="3"/>
  <c r="J511" i="3"/>
  <c r="J507" i="3"/>
  <c r="J503" i="3"/>
  <c r="J499" i="3"/>
  <c r="J495" i="3"/>
  <c r="J491" i="3"/>
  <c r="J487" i="3"/>
  <c r="J483" i="3"/>
  <c r="J479" i="3"/>
  <c r="J475" i="3"/>
  <c r="J471" i="3"/>
  <c r="J467" i="3"/>
  <c r="J463" i="3"/>
  <c r="J459" i="3"/>
  <c r="J455" i="3"/>
  <c r="J451" i="3"/>
  <c r="J520" i="3"/>
  <c r="J516" i="3"/>
  <c r="J512" i="3"/>
  <c r="J508" i="3"/>
  <c r="J504" i="3"/>
  <c r="J500" i="3"/>
  <c r="J496" i="3"/>
  <c r="J492" i="3"/>
  <c r="J488" i="3"/>
  <c r="J484" i="3"/>
  <c r="J480" i="3"/>
  <c r="J476" i="3"/>
  <c r="J472" i="3"/>
  <c r="J468" i="3"/>
  <c r="J464" i="3"/>
  <c r="J460" i="3"/>
  <c r="J517" i="3"/>
  <c r="J513" i="3"/>
  <c r="J509" i="3"/>
  <c r="J505" i="3"/>
  <c r="J501" i="3"/>
  <c r="J497" i="3"/>
  <c r="J493" i="3"/>
  <c r="J489" i="3"/>
  <c r="J485" i="3"/>
  <c r="J481" i="3"/>
  <c r="J477" i="3"/>
  <c r="J473" i="3"/>
  <c r="J469" i="3"/>
  <c r="J465" i="3"/>
  <c r="J524" i="3"/>
  <c r="J518" i="3"/>
  <c r="J514" i="3"/>
  <c r="J510" i="3"/>
  <c r="J506" i="3"/>
  <c r="J502" i="3"/>
  <c r="J498" i="3"/>
  <c r="J494" i="3"/>
  <c r="J490" i="3"/>
  <c r="J486" i="3"/>
  <c r="J482" i="3"/>
  <c r="J478" i="3"/>
  <c r="J474" i="3"/>
  <c r="J470" i="3"/>
  <c r="J466" i="3"/>
  <c r="J462" i="3"/>
  <c r="J458" i="3"/>
  <c r="J454" i="3"/>
  <c r="J461" i="3"/>
  <c r="J456" i="3"/>
  <c r="J447" i="3"/>
  <c r="J443" i="3"/>
  <c r="J439" i="3"/>
  <c r="J435" i="3"/>
  <c r="J431" i="3"/>
  <c r="J427" i="3"/>
  <c r="J423" i="3"/>
  <c r="J419" i="3"/>
  <c r="J415" i="3"/>
  <c r="J411" i="3"/>
  <c r="J407" i="3"/>
  <c r="J403" i="3"/>
  <c r="J399" i="3"/>
  <c r="J395" i="3"/>
  <c r="J391" i="3"/>
  <c r="J387" i="3"/>
  <c r="J453" i="3"/>
  <c r="J448" i="3"/>
  <c r="J444" i="3"/>
  <c r="J440" i="3"/>
  <c r="J436" i="3"/>
  <c r="J432" i="3"/>
  <c r="J428" i="3"/>
  <c r="J424" i="3"/>
  <c r="J420" i="3"/>
  <c r="J416" i="3"/>
  <c r="J412" i="3"/>
  <c r="J408" i="3"/>
  <c r="J404" i="3"/>
  <c r="J400" i="3"/>
  <c r="J396" i="3"/>
  <c r="J452" i="3"/>
  <c r="J449" i="3"/>
  <c r="J445" i="3"/>
  <c r="J441" i="3"/>
  <c r="J437" i="3"/>
  <c r="J433" i="3"/>
  <c r="J429" i="3"/>
  <c r="J425" i="3"/>
  <c r="J421" i="3"/>
  <c r="J417" i="3"/>
  <c r="J413" i="3"/>
  <c r="J409" i="3"/>
  <c r="J405" i="3"/>
  <c r="J401" i="3"/>
  <c r="J397" i="3"/>
  <c r="J457" i="3"/>
  <c r="J450" i="3"/>
  <c r="J446" i="3"/>
  <c r="J442" i="3"/>
  <c r="J438" i="3"/>
  <c r="J434" i="3"/>
  <c r="J430" i="3"/>
  <c r="J426" i="3"/>
  <c r="J422" i="3"/>
  <c r="J418" i="3"/>
  <c r="J414" i="3"/>
  <c r="J410" i="3"/>
  <c r="J406" i="3"/>
  <c r="J402" i="3"/>
  <c r="J398" i="3"/>
  <c r="J394" i="3"/>
  <c r="J390" i="3"/>
  <c r="J386" i="3"/>
  <c r="J393" i="3"/>
  <c r="J385" i="3"/>
  <c r="J382" i="3"/>
  <c r="J378" i="3"/>
  <c r="J374" i="3"/>
  <c r="J370" i="3"/>
  <c r="J366" i="3"/>
  <c r="J362" i="3"/>
  <c r="J358" i="3"/>
  <c r="J354" i="3"/>
  <c r="J350" i="3"/>
  <c r="J346" i="3"/>
  <c r="J342" i="3"/>
  <c r="J338" i="3"/>
  <c r="J334" i="3"/>
  <c r="J330" i="3"/>
  <c r="J326" i="3"/>
  <c r="J322" i="3"/>
  <c r="J318" i="3"/>
  <c r="J314" i="3"/>
  <c r="J392" i="3"/>
  <c r="J384" i="3"/>
  <c r="J383" i="3"/>
  <c r="J379" i="3"/>
  <c r="J375" i="3"/>
  <c r="J371" i="3"/>
  <c r="J367" i="3"/>
  <c r="J363" i="3"/>
  <c r="J359" i="3"/>
  <c r="J355" i="3"/>
  <c r="J351" i="3"/>
  <c r="J347" i="3"/>
  <c r="J343" i="3"/>
  <c r="J339" i="3"/>
  <c r="J335" i="3"/>
  <c r="J331" i="3"/>
  <c r="J327" i="3"/>
  <c r="J323" i="3"/>
  <c r="J319" i="3"/>
  <c r="J389" i="3"/>
  <c r="J380" i="3"/>
  <c r="J376" i="3"/>
  <c r="J372" i="3"/>
  <c r="J368" i="3"/>
  <c r="J364" i="3"/>
  <c r="J360" i="3"/>
  <c r="J356" i="3"/>
  <c r="J352" i="3"/>
  <c r="J348" i="3"/>
  <c r="J344" i="3"/>
  <c r="J340" i="3"/>
  <c r="J336" i="3"/>
  <c r="J332" i="3"/>
  <c r="J328" i="3"/>
  <c r="J388" i="3"/>
  <c r="J381" i="3"/>
  <c r="J377" i="3"/>
  <c r="J373" i="3"/>
  <c r="J369" i="3"/>
  <c r="J365" i="3"/>
  <c r="J361" i="3"/>
  <c r="J357" i="3"/>
  <c r="J353" i="3"/>
  <c r="J349" i="3"/>
  <c r="J345" i="3"/>
  <c r="J341" i="3"/>
  <c r="J337" i="3"/>
  <c r="J333" i="3"/>
  <c r="J329" i="3"/>
  <c r="J325" i="3"/>
  <c r="J321" i="3"/>
  <c r="J317" i="3"/>
  <c r="J313" i="3"/>
  <c r="J312" i="3"/>
  <c r="J309" i="3"/>
  <c r="J305" i="3"/>
  <c r="J301" i="3"/>
  <c r="J297" i="3"/>
  <c r="J293" i="3"/>
  <c r="J289" i="3"/>
  <c r="J285" i="3"/>
  <c r="J281" i="3"/>
  <c r="J277" i="3"/>
  <c r="J273" i="3"/>
  <c r="J269" i="3"/>
  <c r="J265" i="3"/>
  <c r="J261" i="3"/>
  <c r="J257" i="3"/>
  <c r="J253" i="3"/>
  <c r="J249" i="3"/>
  <c r="J245" i="3"/>
  <c r="J241" i="3"/>
  <c r="J237" i="3"/>
  <c r="J233" i="3"/>
  <c r="J229" i="3"/>
  <c r="J225" i="3"/>
  <c r="J221" i="3"/>
  <c r="J311" i="3"/>
  <c r="J310" i="3"/>
  <c r="J306" i="3"/>
  <c r="J302" i="3"/>
  <c r="J298" i="3"/>
  <c r="J294" i="3"/>
  <c r="J290" i="3"/>
  <c r="J286" i="3"/>
  <c r="J282" i="3"/>
  <c r="J278" i="3"/>
  <c r="J274" i="3"/>
  <c r="J270" i="3"/>
  <c r="J266" i="3"/>
  <c r="J262" i="3"/>
  <c r="J258" i="3"/>
  <c r="J254" i="3"/>
  <c r="J250" i="3"/>
  <c r="J246" i="3"/>
  <c r="J242" i="3"/>
  <c r="J238" i="3"/>
  <c r="J234" i="3"/>
  <c r="J230" i="3"/>
  <c r="J226" i="3"/>
  <c r="J320" i="3"/>
  <c r="J316" i="3"/>
  <c r="J307" i="3"/>
  <c r="J303" i="3"/>
  <c r="J299" i="3"/>
  <c r="J295" i="3"/>
  <c r="J291" i="3"/>
  <c r="J287" i="3"/>
  <c r="J283" i="3"/>
  <c r="J279" i="3"/>
  <c r="J275" i="3"/>
  <c r="J271" i="3"/>
  <c r="J267" i="3"/>
  <c r="J263" i="3"/>
  <c r="J259" i="3"/>
  <c r="J255" i="3"/>
  <c r="J251" i="3"/>
  <c r="J247" i="3"/>
  <c r="J324" i="3"/>
  <c r="J315" i="3"/>
  <c r="J308" i="3"/>
  <c r="J304" i="3"/>
  <c r="J300" i="3"/>
  <c r="J296" i="3"/>
  <c r="J292" i="3"/>
  <c r="J288" i="3"/>
  <c r="J284" i="3"/>
  <c r="J280" i="3"/>
  <c r="J276" i="3"/>
  <c r="J272" i="3"/>
  <c r="J268" i="3"/>
  <c r="J264" i="3"/>
  <c r="J260" i="3"/>
  <c r="J256" i="3"/>
  <c r="J252" i="3"/>
  <c r="J248" i="3"/>
  <c r="J244" i="3"/>
  <c r="J240" i="3"/>
  <c r="J236" i="3"/>
  <c r="J232" i="3"/>
  <c r="J231" i="3"/>
  <c r="J228" i="3"/>
  <c r="J219" i="3"/>
  <c r="J214" i="3"/>
  <c r="J210" i="3"/>
  <c r="J206" i="3"/>
  <c r="J202" i="3"/>
  <c r="J198" i="3"/>
  <c r="J194" i="3"/>
  <c r="J190" i="3"/>
  <c r="J186" i="3"/>
  <c r="J182" i="3"/>
  <c r="J178" i="3"/>
  <c r="J174" i="3"/>
  <c r="J170" i="3"/>
  <c r="J166" i="3"/>
  <c r="J162" i="3"/>
  <c r="J158" i="3"/>
  <c r="J154" i="3"/>
  <c r="J150" i="3"/>
  <c r="J146" i="3"/>
  <c r="J142" i="3"/>
  <c r="J138" i="3"/>
  <c r="J134" i="3"/>
  <c r="J235" i="3"/>
  <c r="J227" i="3"/>
  <c r="J222" i="3"/>
  <c r="J215" i="3"/>
  <c r="J211" i="3"/>
  <c r="J207" i="3"/>
  <c r="J203" i="3"/>
  <c r="J199" i="3"/>
  <c r="J195" i="3"/>
  <c r="J191" i="3"/>
  <c r="J187" i="3"/>
  <c r="J183" i="3"/>
  <c r="J179" i="3"/>
  <c r="J175" i="3"/>
  <c r="J171" i="3"/>
  <c r="J167" i="3"/>
  <c r="J163" i="3"/>
  <c r="J159" i="3"/>
  <c r="J155" i="3"/>
  <c r="J151" i="3"/>
  <c r="J147" i="3"/>
  <c r="J143" i="3"/>
  <c r="J139" i="3"/>
  <c r="J135" i="3"/>
  <c r="J239" i="3"/>
  <c r="J224" i="3"/>
  <c r="J220" i="3"/>
  <c r="J218" i="3"/>
  <c r="J216" i="3"/>
  <c r="J212" i="3"/>
  <c r="J208" i="3"/>
  <c r="J204" i="3"/>
  <c r="J200" i="3"/>
  <c r="J196" i="3"/>
  <c r="J192" i="3"/>
  <c r="J188" i="3"/>
  <c r="J184" i="3"/>
  <c r="J180" i="3"/>
  <c r="J176" i="3"/>
  <c r="J172" i="3"/>
  <c r="J168" i="3"/>
  <c r="J164" i="3"/>
  <c r="J160" i="3"/>
  <c r="J156" i="3"/>
  <c r="J152" i="3"/>
  <c r="J148" i="3"/>
  <c r="J144" i="3"/>
  <c r="J140" i="3"/>
  <c r="J136" i="3"/>
  <c r="J243" i="3"/>
  <c r="J223" i="3"/>
  <c r="J217" i="3"/>
  <c r="J213" i="3"/>
  <c r="J209" i="3"/>
  <c r="J205" i="3"/>
  <c r="J201" i="3"/>
  <c r="J197" i="3"/>
  <c r="J193" i="3"/>
  <c r="J189" i="3"/>
  <c r="J185" i="3"/>
  <c r="J181" i="3"/>
  <c r="J177" i="3"/>
  <c r="J173" i="3"/>
  <c r="J169" i="3"/>
  <c r="J165" i="3"/>
  <c r="J161" i="3"/>
  <c r="J157" i="3"/>
  <c r="J153" i="3"/>
  <c r="J149" i="3"/>
  <c r="J145" i="3"/>
  <c r="J141" i="3"/>
  <c r="J137" i="3"/>
  <c r="N727" i="3"/>
  <c r="N728" i="3"/>
  <c r="N724" i="3"/>
  <c r="N720" i="3"/>
  <c r="N716" i="3"/>
  <c r="N130" i="3"/>
  <c r="N725" i="3"/>
  <c r="N721" i="3"/>
  <c r="N717" i="3"/>
  <c r="N726" i="3"/>
  <c r="N722" i="3"/>
  <c r="N718" i="3"/>
  <c r="N714" i="3"/>
  <c r="N713" i="3"/>
  <c r="N709" i="3"/>
  <c r="N705" i="3"/>
  <c r="N701" i="3"/>
  <c r="N710" i="3"/>
  <c r="N706" i="3"/>
  <c r="N702" i="3"/>
  <c r="N719" i="3"/>
  <c r="N712" i="3"/>
  <c r="N711" i="3"/>
  <c r="N707" i="3"/>
  <c r="N703" i="3"/>
  <c r="N723" i="3"/>
  <c r="N715" i="3"/>
  <c r="N708" i="3"/>
  <c r="N704" i="3"/>
  <c r="N700" i="3"/>
  <c r="N696" i="3"/>
  <c r="N692" i="3"/>
  <c r="N688" i="3"/>
  <c r="N684" i="3"/>
  <c r="N697" i="3"/>
  <c r="N693" i="3"/>
  <c r="N689" i="3"/>
  <c r="N685" i="3"/>
  <c r="N698" i="3"/>
  <c r="N694" i="3"/>
  <c r="N690" i="3"/>
  <c r="N686" i="3"/>
  <c r="N699" i="3"/>
  <c r="N695" i="3"/>
  <c r="N691" i="3"/>
  <c r="N687" i="3"/>
  <c r="N683" i="3"/>
  <c r="N677" i="3"/>
  <c r="N673" i="3"/>
  <c r="N669" i="3"/>
  <c r="N665" i="3"/>
  <c r="N678" i="3"/>
  <c r="N674" i="3"/>
  <c r="N670" i="3"/>
  <c r="N666" i="3"/>
  <c r="N662" i="3"/>
  <c r="N679" i="3"/>
  <c r="N675" i="3"/>
  <c r="N671" i="3"/>
  <c r="N667" i="3"/>
  <c r="N682" i="3"/>
  <c r="N681" i="3"/>
  <c r="N680" i="3"/>
  <c r="N676" i="3"/>
  <c r="N672" i="3"/>
  <c r="N668" i="3"/>
  <c r="N664" i="3"/>
  <c r="N660" i="3"/>
  <c r="N659" i="3"/>
  <c r="N657" i="3"/>
  <c r="N653" i="3"/>
  <c r="N649" i="3"/>
  <c r="N645" i="3"/>
  <c r="N641" i="3"/>
  <c r="N637" i="3"/>
  <c r="N633" i="3"/>
  <c r="N629" i="3"/>
  <c r="N625" i="3"/>
  <c r="N661" i="3"/>
  <c r="N654" i="3"/>
  <c r="N650" i="3"/>
  <c r="N646" i="3"/>
  <c r="N642" i="3"/>
  <c r="N638" i="3"/>
  <c r="N634" i="3"/>
  <c r="N658" i="3"/>
  <c r="N655" i="3"/>
  <c r="N651" i="3"/>
  <c r="N647" i="3"/>
  <c r="N643" i="3"/>
  <c r="N639" i="3"/>
  <c r="N635" i="3"/>
  <c r="N663" i="3"/>
  <c r="N656" i="3"/>
  <c r="N652" i="3"/>
  <c r="N648" i="3"/>
  <c r="N644" i="3"/>
  <c r="N640" i="3"/>
  <c r="N636" i="3"/>
  <c r="N632" i="3"/>
  <c r="N628" i="3"/>
  <c r="N631" i="3"/>
  <c r="N627" i="3"/>
  <c r="N624" i="3"/>
  <c r="N620" i="3"/>
  <c r="N616" i="3"/>
  <c r="N612" i="3"/>
  <c r="N608" i="3"/>
  <c r="N604" i="3"/>
  <c r="N600" i="3"/>
  <c r="N596" i="3"/>
  <c r="N592" i="3"/>
  <c r="N626" i="3"/>
  <c r="N621" i="3"/>
  <c r="N617" i="3"/>
  <c r="N613" i="3"/>
  <c r="N609" i="3"/>
  <c r="N605" i="3"/>
  <c r="N601" i="3"/>
  <c r="N597" i="3"/>
  <c r="N593" i="3"/>
  <c r="N622" i="3"/>
  <c r="N618" i="3"/>
  <c r="N614" i="3"/>
  <c r="N610" i="3"/>
  <c r="N606" i="3"/>
  <c r="N602" i="3"/>
  <c r="N630" i="3"/>
  <c r="N623" i="3"/>
  <c r="N619" i="3"/>
  <c r="N615" i="3"/>
  <c r="N611" i="3"/>
  <c r="N607" i="3"/>
  <c r="N603" i="3"/>
  <c r="N599" i="3"/>
  <c r="N595" i="3"/>
  <c r="N587" i="3"/>
  <c r="N583" i="3"/>
  <c r="N579" i="3"/>
  <c r="N575" i="3"/>
  <c r="N571" i="3"/>
  <c r="N567" i="3"/>
  <c r="N563" i="3"/>
  <c r="N559" i="3"/>
  <c r="N598" i="3"/>
  <c r="N590" i="3"/>
  <c r="N588" i="3"/>
  <c r="N584" i="3"/>
  <c r="N580" i="3"/>
  <c r="N576" i="3"/>
  <c r="N572" i="3"/>
  <c r="N568" i="3"/>
  <c r="N564" i="3"/>
  <c r="N594" i="3"/>
  <c r="N585" i="3"/>
  <c r="N581" i="3"/>
  <c r="N577" i="3"/>
  <c r="N573" i="3"/>
  <c r="N569" i="3"/>
  <c r="N565" i="3"/>
  <c r="N591" i="3"/>
  <c r="N589" i="3"/>
  <c r="N586" i="3"/>
  <c r="N582" i="3"/>
  <c r="N578" i="3"/>
  <c r="N574" i="3"/>
  <c r="N570" i="3"/>
  <c r="N566" i="3"/>
  <c r="N562" i="3"/>
  <c r="N560" i="3"/>
  <c r="N558" i="3"/>
  <c r="N554" i="3"/>
  <c r="N550" i="3"/>
  <c r="N546" i="3"/>
  <c r="N542" i="3"/>
  <c r="N538" i="3"/>
  <c r="N534" i="3"/>
  <c r="N530" i="3"/>
  <c r="N526" i="3"/>
  <c r="N522" i="3"/>
  <c r="N555" i="3"/>
  <c r="N551" i="3"/>
  <c r="N547" i="3"/>
  <c r="N543" i="3"/>
  <c r="N539" i="3"/>
  <c r="N535" i="3"/>
  <c r="N531" i="3"/>
  <c r="N527" i="3"/>
  <c r="N556" i="3"/>
  <c r="N552" i="3"/>
  <c r="N548" i="3"/>
  <c r="N544" i="3"/>
  <c r="N540" i="3"/>
  <c r="N536" i="3"/>
  <c r="N532" i="3"/>
  <c r="N528" i="3"/>
  <c r="N561" i="3"/>
  <c r="N557" i="3"/>
  <c r="N553" i="3"/>
  <c r="N549" i="3"/>
  <c r="N545" i="3"/>
  <c r="N541" i="3"/>
  <c r="N537" i="3"/>
  <c r="N533" i="3"/>
  <c r="N529" i="3"/>
  <c r="N525" i="3"/>
  <c r="N521" i="3"/>
  <c r="N515" i="3"/>
  <c r="N511" i="3"/>
  <c r="N507" i="3"/>
  <c r="N503" i="3"/>
  <c r="N499" i="3"/>
  <c r="N495" i="3"/>
  <c r="N491" i="3"/>
  <c r="N487" i="3"/>
  <c r="N483" i="3"/>
  <c r="N479" i="3"/>
  <c r="N475" i="3"/>
  <c r="N471" i="3"/>
  <c r="N467" i="3"/>
  <c r="N463" i="3"/>
  <c r="N459" i="3"/>
  <c r="N455" i="3"/>
  <c r="N451" i="3"/>
  <c r="N524" i="3"/>
  <c r="N519" i="3"/>
  <c r="N516" i="3"/>
  <c r="N512" i="3"/>
  <c r="N508" i="3"/>
  <c r="N504" i="3"/>
  <c r="N500" i="3"/>
  <c r="N496" i="3"/>
  <c r="N492" i="3"/>
  <c r="N488" i="3"/>
  <c r="N484" i="3"/>
  <c r="N480" i="3"/>
  <c r="N476" i="3"/>
  <c r="N472" i="3"/>
  <c r="N468" i="3"/>
  <c r="N464" i="3"/>
  <c r="N460" i="3"/>
  <c r="N523" i="3"/>
  <c r="N517" i="3"/>
  <c r="N513" i="3"/>
  <c r="N509" i="3"/>
  <c r="N505" i="3"/>
  <c r="N501" i="3"/>
  <c r="N497" i="3"/>
  <c r="N493" i="3"/>
  <c r="N489" i="3"/>
  <c r="N485" i="3"/>
  <c r="N481" i="3"/>
  <c r="N477" i="3"/>
  <c r="N473" i="3"/>
  <c r="N469" i="3"/>
  <c r="N465" i="3"/>
  <c r="N520" i="3"/>
  <c r="N518" i="3"/>
  <c r="N514" i="3"/>
  <c r="N510" i="3"/>
  <c r="N506" i="3"/>
  <c r="N502" i="3"/>
  <c r="N498" i="3"/>
  <c r="N494" i="3"/>
  <c r="N490" i="3"/>
  <c r="N486" i="3"/>
  <c r="N482" i="3"/>
  <c r="N478" i="3"/>
  <c r="N474" i="3"/>
  <c r="N470" i="3"/>
  <c r="N466" i="3"/>
  <c r="N462" i="3"/>
  <c r="N458" i="3"/>
  <c r="N454" i="3"/>
  <c r="N452" i="3"/>
  <c r="N447" i="3"/>
  <c r="N443" i="3"/>
  <c r="N439" i="3"/>
  <c r="N435" i="3"/>
  <c r="N431" i="3"/>
  <c r="N427" i="3"/>
  <c r="N423" i="3"/>
  <c r="N419" i="3"/>
  <c r="N415" i="3"/>
  <c r="N411" i="3"/>
  <c r="N407" i="3"/>
  <c r="N403" i="3"/>
  <c r="N399" i="3"/>
  <c r="N395" i="3"/>
  <c r="N391" i="3"/>
  <c r="N387" i="3"/>
  <c r="N457" i="3"/>
  <c r="N448" i="3"/>
  <c r="N444" i="3"/>
  <c r="N440" i="3"/>
  <c r="N436" i="3"/>
  <c r="N432" i="3"/>
  <c r="N428" i="3"/>
  <c r="N424" i="3"/>
  <c r="N420" i="3"/>
  <c r="N416" i="3"/>
  <c r="N412" i="3"/>
  <c r="N408" i="3"/>
  <c r="N404" i="3"/>
  <c r="N400" i="3"/>
  <c r="N396" i="3"/>
  <c r="N456" i="3"/>
  <c r="N449" i="3"/>
  <c r="N445" i="3"/>
  <c r="N441" i="3"/>
  <c r="N437" i="3"/>
  <c r="N433" i="3"/>
  <c r="N429" i="3"/>
  <c r="N425" i="3"/>
  <c r="N421" i="3"/>
  <c r="N417" i="3"/>
  <c r="N413" i="3"/>
  <c r="N409" i="3"/>
  <c r="N405" i="3"/>
  <c r="N401" i="3"/>
  <c r="N397" i="3"/>
  <c r="N461" i="3"/>
  <c r="N453" i="3"/>
  <c r="N450" i="3"/>
  <c r="N446" i="3"/>
  <c r="N442" i="3"/>
  <c r="N438" i="3"/>
  <c r="N434" i="3"/>
  <c r="N430" i="3"/>
  <c r="N426" i="3"/>
  <c r="N422" i="3"/>
  <c r="N418" i="3"/>
  <c r="N414" i="3"/>
  <c r="N410" i="3"/>
  <c r="N406" i="3"/>
  <c r="N402" i="3"/>
  <c r="N398" i="3"/>
  <c r="N394" i="3"/>
  <c r="N390" i="3"/>
  <c r="N386" i="3"/>
  <c r="N389" i="3"/>
  <c r="N382" i="3"/>
  <c r="N378" i="3"/>
  <c r="N374" i="3"/>
  <c r="N370" i="3"/>
  <c r="N366" i="3"/>
  <c r="N362" i="3"/>
  <c r="N358" i="3"/>
  <c r="N354" i="3"/>
  <c r="N350" i="3"/>
  <c r="N346" i="3"/>
  <c r="N342" i="3"/>
  <c r="N338" i="3"/>
  <c r="N334" i="3"/>
  <c r="N330" i="3"/>
  <c r="N326" i="3"/>
  <c r="N322" i="3"/>
  <c r="N318" i="3"/>
  <c r="N314" i="3"/>
  <c r="N388" i="3"/>
  <c r="N383" i="3"/>
  <c r="N379" i="3"/>
  <c r="N375" i="3"/>
  <c r="N371" i="3"/>
  <c r="N367" i="3"/>
  <c r="N363" i="3"/>
  <c r="N359" i="3"/>
  <c r="N355" i="3"/>
  <c r="N351" i="3"/>
  <c r="N347" i="3"/>
  <c r="N343" i="3"/>
  <c r="N339" i="3"/>
  <c r="N335" i="3"/>
  <c r="N331" i="3"/>
  <c r="N327" i="3"/>
  <c r="N323" i="3"/>
  <c r="N319" i="3"/>
  <c r="N393" i="3"/>
  <c r="N385" i="3"/>
  <c r="N380" i="3"/>
  <c r="N376" i="3"/>
  <c r="N372" i="3"/>
  <c r="N368" i="3"/>
  <c r="N364" i="3"/>
  <c r="N360" i="3"/>
  <c r="N356" i="3"/>
  <c r="N352" i="3"/>
  <c r="N348" i="3"/>
  <c r="N344" i="3"/>
  <c r="N340" i="3"/>
  <c r="N336" i="3"/>
  <c r="N332" i="3"/>
  <c r="N328" i="3"/>
  <c r="N392" i="3"/>
  <c r="N384" i="3"/>
  <c r="N381" i="3"/>
  <c r="N377" i="3"/>
  <c r="N373" i="3"/>
  <c r="N369" i="3"/>
  <c r="N365" i="3"/>
  <c r="N361" i="3"/>
  <c r="N357" i="3"/>
  <c r="N353" i="3"/>
  <c r="N349" i="3"/>
  <c r="N345" i="3"/>
  <c r="N341" i="3"/>
  <c r="N337" i="3"/>
  <c r="N333" i="3"/>
  <c r="N329" i="3"/>
  <c r="N325" i="3"/>
  <c r="N321" i="3"/>
  <c r="N317" i="3"/>
  <c r="N313" i="3"/>
  <c r="N316" i="3"/>
  <c r="N309" i="3"/>
  <c r="N305" i="3"/>
  <c r="N301" i="3"/>
  <c r="N297" i="3"/>
  <c r="N293" i="3"/>
  <c r="N289" i="3"/>
  <c r="N285" i="3"/>
  <c r="N281" i="3"/>
  <c r="N277" i="3"/>
  <c r="N273" i="3"/>
  <c r="N269" i="3"/>
  <c r="N265" i="3"/>
  <c r="N261" i="3"/>
  <c r="N257" i="3"/>
  <c r="N253" i="3"/>
  <c r="N249" i="3"/>
  <c r="N245" i="3"/>
  <c r="N241" i="3"/>
  <c r="N237" i="3"/>
  <c r="N233" i="3"/>
  <c r="N229" i="3"/>
  <c r="N225" i="3"/>
  <c r="N221" i="3"/>
  <c r="N320" i="3"/>
  <c r="N315" i="3"/>
  <c r="N310" i="3"/>
  <c r="N306" i="3"/>
  <c r="N302" i="3"/>
  <c r="N298" i="3"/>
  <c r="N294" i="3"/>
  <c r="N290" i="3"/>
  <c r="N286" i="3"/>
  <c r="N282" i="3"/>
  <c r="N278" i="3"/>
  <c r="N274" i="3"/>
  <c r="N270" i="3"/>
  <c r="N266" i="3"/>
  <c r="N262" i="3"/>
  <c r="N258" i="3"/>
  <c r="N254" i="3"/>
  <c r="N250" i="3"/>
  <c r="N246" i="3"/>
  <c r="N242" i="3"/>
  <c r="N238" i="3"/>
  <c r="N234" i="3"/>
  <c r="N230" i="3"/>
  <c r="N226" i="3"/>
  <c r="N222" i="3"/>
  <c r="N324" i="3"/>
  <c r="N312" i="3"/>
  <c r="N307" i="3"/>
  <c r="N303" i="3"/>
  <c r="N299" i="3"/>
  <c r="N295" i="3"/>
  <c r="N291" i="3"/>
  <c r="N287" i="3"/>
  <c r="N283" i="3"/>
  <c r="N279" i="3"/>
  <c r="N275" i="3"/>
  <c r="N271" i="3"/>
  <c r="N267" i="3"/>
  <c r="N263" i="3"/>
  <c r="N259" i="3"/>
  <c r="N255" i="3"/>
  <c r="N251" i="3"/>
  <c r="N247" i="3"/>
  <c r="N311" i="3"/>
  <c r="N308" i="3"/>
  <c r="N304" i="3"/>
  <c r="N300" i="3"/>
  <c r="N296" i="3"/>
  <c r="N292" i="3"/>
  <c r="N288" i="3"/>
  <c r="N284" i="3"/>
  <c r="N280" i="3"/>
  <c r="N276" i="3"/>
  <c r="N272" i="3"/>
  <c r="N268" i="3"/>
  <c r="N264" i="3"/>
  <c r="N260" i="3"/>
  <c r="N256" i="3"/>
  <c r="N252" i="3"/>
  <c r="N248" i="3"/>
  <c r="N244" i="3"/>
  <c r="N240" i="3"/>
  <c r="N236" i="3"/>
  <c r="N232" i="3"/>
  <c r="N235" i="3"/>
  <c r="N224" i="3"/>
  <c r="N214" i="3"/>
  <c r="N210" i="3"/>
  <c r="N206" i="3"/>
  <c r="N202" i="3"/>
  <c r="N198" i="3"/>
  <c r="N194" i="3"/>
  <c r="N190" i="3"/>
  <c r="N186" i="3"/>
  <c r="N182" i="3"/>
  <c r="N178" i="3"/>
  <c r="N174" i="3"/>
  <c r="N170" i="3"/>
  <c r="N166" i="3"/>
  <c r="N162" i="3"/>
  <c r="N158" i="3"/>
  <c r="N154" i="3"/>
  <c r="N150" i="3"/>
  <c r="N146" i="3"/>
  <c r="N142" i="3"/>
  <c r="N138" i="3"/>
  <c r="N134" i="3"/>
  <c r="N239" i="3"/>
  <c r="N223" i="3"/>
  <c r="N219" i="3"/>
  <c r="N215" i="3"/>
  <c r="N211" i="3"/>
  <c r="N207" i="3"/>
  <c r="N203" i="3"/>
  <c r="N199" i="3"/>
  <c r="N195" i="3"/>
  <c r="N191" i="3"/>
  <c r="N187" i="3"/>
  <c r="N183" i="3"/>
  <c r="N179" i="3"/>
  <c r="N175" i="3"/>
  <c r="N171" i="3"/>
  <c r="N167" i="3"/>
  <c r="N163" i="3"/>
  <c r="N159" i="3"/>
  <c r="N155" i="3"/>
  <c r="N151" i="3"/>
  <c r="N147" i="3"/>
  <c r="N143" i="3"/>
  <c r="N139" i="3"/>
  <c r="N135" i="3"/>
  <c r="N243" i="3"/>
  <c r="N228" i="3"/>
  <c r="N216" i="3"/>
  <c r="N212" i="3"/>
  <c r="N208" i="3"/>
  <c r="N204" i="3"/>
  <c r="N200" i="3"/>
  <c r="N196" i="3"/>
  <c r="N192" i="3"/>
  <c r="N188" i="3"/>
  <c r="N184" i="3"/>
  <c r="N180" i="3"/>
  <c r="N176" i="3"/>
  <c r="N172" i="3"/>
  <c r="N168" i="3"/>
  <c r="N164" i="3"/>
  <c r="N160" i="3"/>
  <c r="N156" i="3"/>
  <c r="N152" i="3"/>
  <c r="N148" i="3"/>
  <c r="N144" i="3"/>
  <c r="N140" i="3"/>
  <c r="N136" i="3"/>
  <c r="N231" i="3"/>
  <c r="N227" i="3"/>
  <c r="N220" i="3"/>
  <c r="N218" i="3"/>
  <c r="N217" i="3"/>
  <c r="N213" i="3"/>
  <c r="N209" i="3"/>
  <c r="N205" i="3"/>
  <c r="N201" i="3"/>
  <c r="N197" i="3"/>
  <c r="N193" i="3"/>
  <c r="N189" i="3"/>
  <c r="N185" i="3"/>
  <c r="N181" i="3"/>
  <c r="N177" i="3"/>
  <c r="N173" i="3"/>
  <c r="N169" i="3"/>
  <c r="N165" i="3"/>
  <c r="N161" i="3"/>
  <c r="N157" i="3"/>
  <c r="N153" i="3"/>
  <c r="N149" i="3"/>
  <c r="N145" i="3"/>
  <c r="N141" i="3"/>
  <c r="N137" i="3"/>
  <c r="R727" i="3"/>
  <c r="R728" i="3"/>
  <c r="R724" i="3"/>
  <c r="R720" i="3"/>
  <c r="R716" i="3"/>
  <c r="R130" i="3"/>
  <c r="R725" i="3"/>
  <c r="R721" i="3"/>
  <c r="R717" i="3"/>
  <c r="R726" i="3"/>
  <c r="R722" i="3"/>
  <c r="R718" i="3"/>
  <c r="R714" i="3"/>
  <c r="R709" i="3"/>
  <c r="R705" i="3"/>
  <c r="R701" i="3"/>
  <c r="R719" i="3"/>
  <c r="R715" i="3"/>
  <c r="R713" i="3"/>
  <c r="R710" i="3"/>
  <c r="R706" i="3"/>
  <c r="R702" i="3"/>
  <c r="R723" i="3"/>
  <c r="R711" i="3"/>
  <c r="R707" i="3"/>
  <c r="R703" i="3"/>
  <c r="R712" i="3"/>
  <c r="R708" i="3"/>
  <c r="R704" i="3"/>
  <c r="R700" i="3"/>
  <c r="R696" i="3"/>
  <c r="R692" i="3"/>
  <c r="R688" i="3"/>
  <c r="R684" i="3"/>
  <c r="R699" i="3"/>
  <c r="R697" i="3"/>
  <c r="R693" i="3"/>
  <c r="R689" i="3"/>
  <c r="R685" i="3"/>
  <c r="R698" i="3"/>
  <c r="R694" i="3"/>
  <c r="R690" i="3"/>
  <c r="R686" i="3"/>
  <c r="R695" i="3"/>
  <c r="R691" i="3"/>
  <c r="R687" i="3"/>
  <c r="R683" i="3"/>
  <c r="R681" i="3"/>
  <c r="R677" i="3"/>
  <c r="R673" i="3"/>
  <c r="R669" i="3"/>
  <c r="R665" i="3"/>
  <c r="R661" i="3"/>
  <c r="R682" i="3"/>
  <c r="R678" i="3"/>
  <c r="R674" i="3"/>
  <c r="R670" i="3"/>
  <c r="R666" i="3"/>
  <c r="R662" i="3"/>
  <c r="R679" i="3"/>
  <c r="R675" i="3"/>
  <c r="R671" i="3"/>
  <c r="R667" i="3"/>
  <c r="R680" i="3"/>
  <c r="R676" i="3"/>
  <c r="R672" i="3"/>
  <c r="R668" i="3"/>
  <c r="R664" i="3"/>
  <c r="R660" i="3"/>
  <c r="R656" i="3"/>
  <c r="R653" i="3"/>
  <c r="R649" i="3"/>
  <c r="R645" i="3"/>
  <c r="R641" i="3"/>
  <c r="R637" i="3"/>
  <c r="R633" i="3"/>
  <c r="R629" i="3"/>
  <c r="R625" i="3"/>
  <c r="R657" i="3"/>
  <c r="R654" i="3"/>
  <c r="R650" i="3"/>
  <c r="R646" i="3"/>
  <c r="R642" i="3"/>
  <c r="R638" i="3"/>
  <c r="R634" i="3"/>
  <c r="R663" i="3"/>
  <c r="R659" i="3"/>
  <c r="R655" i="3"/>
  <c r="R651" i="3"/>
  <c r="R647" i="3"/>
  <c r="R643" i="3"/>
  <c r="R639" i="3"/>
  <c r="R635" i="3"/>
  <c r="R631" i="3"/>
  <c r="R658" i="3"/>
  <c r="R652" i="3"/>
  <c r="R648" i="3"/>
  <c r="R644" i="3"/>
  <c r="R640" i="3"/>
  <c r="R636" i="3"/>
  <c r="R632" i="3"/>
  <c r="R628" i="3"/>
  <c r="R624" i="3"/>
  <c r="R620" i="3"/>
  <c r="R616" i="3"/>
  <c r="R612" i="3"/>
  <c r="R608" i="3"/>
  <c r="R604" i="3"/>
  <c r="R600" i="3"/>
  <c r="R596" i="3"/>
  <c r="R592" i="3"/>
  <c r="R630" i="3"/>
  <c r="R621" i="3"/>
  <c r="R617" i="3"/>
  <c r="R613" i="3"/>
  <c r="R609" i="3"/>
  <c r="R605" i="3"/>
  <c r="R601" i="3"/>
  <c r="R597" i="3"/>
  <c r="R593" i="3"/>
  <c r="R627" i="3"/>
  <c r="R622" i="3"/>
  <c r="R618" i="3"/>
  <c r="R614" i="3"/>
  <c r="R610" i="3"/>
  <c r="R606" i="3"/>
  <c r="R602" i="3"/>
  <c r="R626" i="3"/>
  <c r="R623" i="3"/>
  <c r="R619" i="3"/>
  <c r="R615" i="3"/>
  <c r="R611" i="3"/>
  <c r="R607" i="3"/>
  <c r="R603" i="3"/>
  <c r="R599" i="3"/>
  <c r="R595" i="3"/>
  <c r="R598" i="3"/>
  <c r="R594" i="3"/>
  <c r="R591" i="3"/>
  <c r="R589" i="3"/>
  <c r="R587" i="3"/>
  <c r="R583" i="3"/>
  <c r="R579" i="3"/>
  <c r="R575" i="3"/>
  <c r="R571" i="3"/>
  <c r="R567" i="3"/>
  <c r="R563" i="3"/>
  <c r="R559" i="3"/>
  <c r="R588" i="3"/>
  <c r="R584" i="3"/>
  <c r="R580" i="3"/>
  <c r="R576" i="3"/>
  <c r="R572" i="3"/>
  <c r="R568" i="3"/>
  <c r="R564" i="3"/>
  <c r="R590" i="3"/>
  <c r="R585" i="3"/>
  <c r="R581" i="3"/>
  <c r="R577" i="3"/>
  <c r="R573" i="3"/>
  <c r="R569" i="3"/>
  <c r="R565" i="3"/>
  <c r="R586" i="3"/>
  <c r="R582" i="3"/>
  <c r="R578" i="3"/>
  <c r="R574" i="3"/>
  <c r="R570" i="3"/>
  <c r="R566" i="3"/>
  <c r="R562" i="3"/>
  <c r="R558" i="3"/>
  <c r="R554" i="3"/>
  <c r="R550" i="3"/>
  <c r="R546" i="3"/>
  <c r="R542" i="3"/>
  <c r="R538" i="3"/>
  <c r="R534" i="3"/>
  <c r="R530" i="3"/>
  <c r="R526" i="3"/>
  <c r="R522" i="3"/>
  <c r="R561" i="3"/>
  <c r="R555" i="3"/>
  <c r="R551" i="3"/>
  <c r="R547" i="3"/>
  <c r="R543" i="3"/>
  <c r="R539" i="3"/>
  <c r="R535" i="3"/>
  <c r="R531" i="3"/>
  <c r="R527" i="3"/>
  <c r="R560" i="3"/>
  <c r="R556" i="3"/>
  <c r="R552" i="3"/>
  <c r="R548" i="3"/>
  <c r="R544" i="3"/>
  <c r="R540" i="3"/>
  <c r="R536" i="3"/>
  <c r="R532" i="3"/>
  <c r="R528" i="3"/>
  <c r="R557" i="3"/>
  <c r="R553" i="3"/>
  <c r="R549" i="3"/>
  <c r="R545" i="3"/>
  <c r="R541" i="3"/>
  <c r="R537" i="3"/>
  <c r="R533" i="3"/>
  <c r="R529" i="3"/>
  <c r="R525" i="3"/>
  <c r="R521" i="3"/>
  <c r="R523" i="3"/>
  <c r="R515" i="3"/>
  <c r="R511" i="3"/>
  <c r="R507" i="3"/>
  <c r="R503" i="3"/>
  <c r="R499" i="3"/>
  <c r="R495" i="3"/>
  <c r="R491" i="3"/>
  <c r="R487" i="3"/>
  <c r="R483" i="3"/>
  <c r="R479" i="3"/>
  <c r="R475" i="3"/>
  <c r="R471" i="3"/>
  <c r="R467" i="3"/>
  <c r="R463" i="3"/>
  <c r="R459" i="3"/>
  <c r="R455" i="3"/>
  <c r="R451" i="3"/>
  <c r="R520" i="3"/>
  <c r="R516" i="3"/>
  <c r="R512" i="3"/>
  <c r="R508" i="3"/>
  <c r="R504" i="3"/>
  <c r="R500" i="3"/>
  <c r="R496" i="3"/>
  <c r="R492" i="3"/>
  <c r="R488" i="3"/>
  <c r="R484" i="3"/>
  <c r="R480" i="3"/>
  <c r="R476" i="3"/>
  <c r="R472" i="3"/>
  <c r="R468" i="3"/>
  <c r="R464" i="3"/>
  <c r="R460" i="3"/>
  <c r="R519" i="3"/>
  <c r="R517" i="3"/>
  <c r="R513" i="3"/>
  <c r="R509" i="3"/>
  <c r="R505" i="3"/>
  <c r="R501" i="3"/>
  <c r="R497" i="3"/>
  <c r="R493" i="3"/>
  <c r="R489" i="3"/>
  <c r="R485" i="3"/>
  <c r="R481" i="3"/>
  <c r="R477" i="3"/>
  <c r="R473" i="3"/>
  <c r="R469" i="3"/>
  <c r="R465" i="3"/>
  <c r="R524" i="3"/>
  <c r="R518" i="3"/>
  <c r="R514" i="3"/>
  <c r="R510" i="3"/>
  <c r="R506" i="3"/>
  <c r="R502" i="3"/>
  <c r="R498" i="3"/>
  <c r="R494" i="3"/>
  <c r="R490" i="3"/>
  <c r="R486" i="3"/>
  <c r="R482" i="3"/>
  <c r="R478" i="3"/>
  <c r="R474" i="3"/>
  <c r="R470" i="3"/>
  <c r="R466" i="3"/>
  <c r="R462" i="3"/>
  <c r="R458" i="3"/>
  <c r="R454" i="3"/>
  <c r="R456" i="3"/>
  <c r="R447" i="3"/>
  <c r="R443" i="3"/>
  <c r="R439" i="3"/>
  <c r="R435" i="3"/>
  <c r="R431" i="3"/>
  <c r="R427" i="3"/>
  <c r="R423" i="3"/>
  <c r="R419" i="3"/>
  <c r="R415" i="3"/>
  <c r="R411" i="3"/>
  <c r="R407" i="3"/>
  <c r="R403" i="3"/>
  <c r="R399" i="3"/>
  <c r="R395" i="3"/>
  <c r="R391" i="3"/>
  <c r="R387" i="3"/>
  <c r="R453" i="3"/>
  <c r="R448" i="3"/>
  <c r="R444" i="3"/>
  <c r="R440" i="3"/>
  <c r="R436" i="3"/>
  <c r="R432" i="3"/>
  <c r="R428" i="3"/>
  <c r="R424" i="3"/>
  <c r="R420" i="3"/>
  <c r="R416" i="3"/>
  <c r="R412" i="3"/>
  <c r="R408" i="3"/>
  <c r="R404" i="3"/>
  <c r="R400" i="3"/>
  <c r="R396" i="3"/>
  <c r="R461" i="3"/>
  <c r="R452" i="3"/>
  <c r="R449" i="3"/>
  <c r="R445" i="3"/>
  <c r="R441" i="3"/>
  <c r="R437" i="3"/>
  <c r="R433" i="3"/>
  <c r="R429" i="3"/>
  <c r="R425" i="3"/>
  <c r="R421" i="3"/>
  <c r="R417" i="3"/>
  <c r="R413" i="3"/>
  <c r="R409" i="3"/>
  <c r="R405" i="3"/>
  <c r="R401" i="3"/>
  <c r="R397" i="3"/>
  <c r="R393" i="3"/>
  <c r="R457" i="3"/>
  <c r="R450" i="3"/>
  <c r="R446" i="3"/>
  <c r="R442" i="3"/>
  <c r="R438" i="3"/>
  <c r="R434" i="3"/>
  <c r="R430" i="3"/>
  <c r="R426" i="3"/>
  <c r="R422" i="3"/>
  <c r="R418" i="3"/>
  <c r="R414" i="3"/>
  <c r="R410" i="3"/>
  <c r="R406" i="3"/>
  <c r="R402" i="3"/>
  <c r="R398" i="3"/>
  <c r="R394" i="3"/>
  <c r="R390" i="3"/>
  <c r="R386" i="3"/>
  <c r="R385" i="3"/>
  <c r="R382" i="3"/>
  <c r="R378" i="3"/>
  <c r="R374" i="3"/>
  <c r="R370" i="3"/>
  <c r="R366" i="3"/>
  <c r="R362" i="3"/>
  <c r="R358" i="3"/>
  <c r="R354" i="3"/>
  <c r="R350" i="3"/>
  <c r="R346" i="3"/>
  <c r="R342" i="3"/>
  <c r="R338" i="3"/>
  <c r="R334" i="3"/>
  <c r="R330" i="3"/>
  <c r="R326" i="3"/>
  <c r="R322" i="3"/>
  <c r="R318" i="3"/>
  <c r="R314" i="3"/>
  <c r="R392" i="3"/>
  <c r="R384" i="3"/>
  <c r="R383" i="3"/>
  <c r="R379" i="3"/>
  <c r="R375" i="3"/>
  <c r="R371" i="3"/>
  <c r="R367" i="3"/>
  <c r="R363" i="3"/>
  <c r="R359" i="3"/>
  <c r="R355" i="3"/>
  <c r="R351" i="3"/>
  <c r="R347" i="3"/>
  <c r="R343" i="3"/>
  <c r="R339" i="3"/>
  <c r="R335" i="3"/>
  <c r="R331" i="3"/>
  <c r="R327" i="3"/>
  <c r="R323" i="3"/>
  <c r="R319" i="3"/>
  <c r="R389" i="3"/>
  <c r="R380" i="3"/>
  <c r="R376" i="3"/>
  <c r="R372" i="3"/>
  <c r="R368" i="3"/>
  <c r="R364" i="3"/>
  <c r="R360" i="3"/>
  <c r="R356" i="3"/>
  <c r="R352" i="3"/>
  <c r="R348" i="3"/>
  <c r="R344" i="3"/>
  <c r="R340" i="3"/>
  <c r="R336" i="3"/>
  <c r="R332" i="3"/>
  <c r="R328" i="3"/>
  <c r="R388" i="3"/>
  <c r="R381" i="3"/>
  <c r="R377" i="3"/>
  <c r="R373" i="3"/>
  <c r="R369" i="3"/>
  <c r="R365" i="3"/>
  <c r="R361" i="3"/>
  <c r="R357" i="3"/>
  <c r="R353" i="3"/>
  <c r="R349" i="3"/>
  <c r="R345" i="3"/>
  <c r="R341" i="3"/>
  <c r="R337" i="3"/>
  <c r="R333" i="3"/>
  <c r="R329" i="3"/>
  <c r="R325" i="3"/>
  <c r="R321" i="3"/>
  <c r="R317" i="3"/>
  <c r="R313" i="3"/>
  <c r="R320" i="3"/>
  <c r="R312" i="3"/>
  <c r="R309" i="3"/>
  <c r="R305" i="3"/>
  <c r="R301" i="3"/>
  <c r="R297" i="3"/>
  <c r="R293" i="3"/>
  <c r="R289" i="3"/>
  <c r="R285" i="3"/>
  <c r="R281" i="3"/>
  <c r="R277" i="3"/>
  <c r="R273" i="3"/>
  <c r="R269" i="3"/>
  <c r="R265" i="3"/>
  <c r="R261" i="3"/>
  <c r="R257" i="3"/>
  <c r="R253" i="3"/>
  <c r="R249" i="3"/>
  <c r="R245" i="3"/>
  <c r="R241" i="3"/>
  <c r="R237" i="3"/>
  <c r="R233" i="3"/>
  <c r="R229" i="3"/>
  <c r="R225" i="3"/>
  <c r="R221" i="3"/>
  <c r="R324" i="3"/>
  <c r="R311" i="3"/>
  <c r="R310" i="3"/>
  <c r="R306" i="3"/>
  <c r="R302" i="3"/>
  <c r="R298" i="3"/>
  <c r="R294" i="3"/>
  <c r="R290" i="3"/>
  <c r="R286" i="3"/>
  <c r="R282" i="3"/>
  <c r="R278" i="3"/>
  <c r="R274" i="3"/>
  <c r="R270" i="3"/>
  <c r="R266" i="3"/>
  <c r="R262" i="3"/>
  <c r="R258" i="3"/>
  <c r="R254" i="3"/>
  <c r="R250" i="3"/>
  <c r="R246" i="3"/>
  <c r="R242" i="3"/>
  <c r="R238" i="3"/>
  <c r="R234" i="3"/>
  <c r="R230" i="3"/>
  <c r="R226" i="3"/>
  <c r="R222" i="3"/>
  <c r="R316" i="3"/>
  <c r="R307" i="3"/>
  <c r="R303" i="3"/>
  <c r="R299" i="3"/>
  <c r="R295" i="3"/>
  <c r="R291" i="3"/>
  <c r="R287" i="3"/>
  <c r="R283" i="3"/>
  <c r="R279" i="3"/>
  <c r="R275" i="3"/>
  <c r="R271" i="3"/>
  <c r="R267" i="3"/>
  <c r="R263" i="3"/>
  <c r="R259" i="3"/>
  <c r="R255" i="3"/>
  <c r="R251" i="3"/>
  <c r="R247" i="3"/>
  <c r="R315" i="3"/>
  <c r="R308" i="3"/>
  <c r="R304" i="3"/>
  <c r="R300" i="3"/>
  <c r="R296" i="3"/>
  <c r="R292" i="3"/>
  <c r="R288" i="3"/>
  <c r="R284" i="3"/>
  <c r="R280" i="3"/>
  <c r="R276" i="3"/>
  <c r="R272" i="3"/>
  <c r="R268" i="3"/>
  <c r="R264" i="3"/>
  <c r="R260" i="3"/>
  <c r="R256" i="3"/>
  <c r="R252" i="3"/>
  <c r="R248" i="3"/>
  <c r="R244" i="3"/>
  <c r="R240" i="3"/>
  <c r="R236" i="3"/>
  <c r="R232" i="3"/>
  <c r="R239" i="3"/>
  <c r="R228" i="3"/>
  <c r="R220" i="3"/>
  <c r="R218" i="3"/>
  <c r="R214" i="3"/>
  <c r="R210" i="3"/>
  <c r="R206" i="3"/>
  <c r="R202" i="3"/>
  <c r="R198" i="3"/>
  <c r="R194" i="3"/>
  <c r="R190" i="3"/>
  <c r="R186" i="3"/>
  <c r="R182" i="3"/>
  <c r="R178" i="3"/>
  <c r="R174" i="3"/>
  <c r="R170" i="3"/>
  <c r="R166" i="3"/>
  <c r="R162" i="3"/>
  <c r="R158" i="3"/>
  <c r="R154" i="3"/>
  <c r="R150" i="3"/>
  <c r="R146" i="3"/>
  <c r="R142" i="3"/>
  <c r="R138" i="3"/>
  <c r="R134" i="3"/>
  <c r="R243" i="3"/>
  <c r="R227" i="3"/>
  <c r="R215" i="3"/>
  <c r="R211" i="3"/>
  <c r="R207" i="3"/>
  <c r="R203" i="3"/>
  <c r="R199" i="3"/>
  <c r="R195" i="3"/>
  <c r="R191" i="3"/>
  <c r="R187" i="3"/>
  <c r="R183" i="3"/>
  <c r="R179" i="3"/>
  <c r="R175" i="3"/>
  <c r="R171" i="3"/>
  <c r="R167" i="3"/>
  <c r="R163" i="3"/>
  <c r="R159" i="3"/>
  <c r="R155" i="3"/>
  <c r="R151" i="3"/>
  <c r="R147" i="3"/>
  <c r="R143" i="3"/>
  <c r="R139" i="3"/>
  <c r="R135" i="3"/>
  <c r="R231" i="3"/>
  <c r="R224" i="3"/>
  <c r="R219" i="3"/>
  <c r="R216" i="3"/>
  <c r="R212" i="3"/>
  <c r="R208" i="3"/>
  <c r="R204" i="3"/>
  <c r="R200" i="3"/>
  <c r="R196" i="3"/>
  <c r="R192" i="3"/>
  <c r="R188" i="3"/>
  <c r="R184" i="3"/>
  <c r="R180" i="3"/>
  <c r="R176" i="3"/>
  <c r="R172" i="3"/>
  <c r="R168" i="3"/>
  <c r="R164" i="3"/>
  <c r="R160" i="3"/>
  <c r="R156" i="3"/>
  <c r="R152" i="3"/>
  <c r="R148" i="3"/>
  <c r="R144" i="3"/>
  <c r="R140" i="3"/>
  <c r="R136" i="3"/>
  <c r="R235" i="3"/>
  <c r="R223" i="3"/>
  <c r="R217" i="3"/>
  <c r="R213" i="3"/>
  <c r="R209" i="3"/>
  <c r="R205" i="3"/>
  <c r="R201" i="3"/>
  <c r="R197" i="3"/>
  <c r="R193" i="3"/>
  <c r="R189" i="3"/>
  <c r="R185" i="3"/>
  <c r="R181" i="3"/>
  <c r="R177" i="3"/>
  <c r="R173" i="3"/>
  <c r="R169" i="3"/>
  <c r="R165" i="3"/>
  <c r="R161" i="3"/>
  <c r="R157" i="3"/>
  <c r="R153" i="3"/>
  <c r="R149" i="3"/>
  <c r="R145" i="3"/>
  <c r="R141" i="3"/>
  <c r="R137" i="3"/>
  <c r="C728" i="3"/>
  <c r="C130" i="3"/>
  <c r="C725" i="3"/>
  <c r="C721" i="3"/>
  <c r="C717" i="3"/>
  <c r="C726" i="3"/>
  <c r="C722" i="3"/>
  <c r="C718" i="3"/>
  <c r="C714" i="3"/>
  <c r="C727" i="3"/>
  <c r="C723" i="3"/>
  <c r="C719" i="3"/>
  <c r="C715" i="3"/>
  <c r="C720" i="3"/>
  <c r="C713" i="3"/>
  <c r="C710" i="3"/>
  <c r="C706" i="3"/>
  <c r="C702" i="3"/>
  <c r="C724" i="3"/>
  <c r="C711" i="3"/>
  <c r="C707" i="3"/>
  <c r="C703" i="3"/>
  <c r="C712" i="3"/>
  <c r="C708" i="3"/>
  <c r="C704" i="3"/>
  <c r="C716" i="3"/>
  <c r="C709" i="3"/>
  <c r="C705" i="3"/>
  <c r="C701" i="3"/>
  <c r="C697" i="3"/>
  <c r="C693" i="3"/>
  <c r="C689" i="3"/>
  <c r="C685" i="3"/>
  <c r="C681" i="3"/>
  <c r="C698" i="3"/>
  <c r="C694" i="3"/>
  <c r="C690" i="3"/>
  <c r="C686" i="3"/>
  <c r="C699" i="3"/>
  <c r="C695" i="3"/>
  <c r="C691" i="3"/>
  <c r="C687" i="3"/>
  <c r="C700" i="3"/>
  <c r="C696" i="3"/>
  <c r="C692" i="3"/>
  <c r="C688" i="3"/>
  <c r="C684" i="3"/>
  <c r="C678" i="3"/>
  <c r="C674" i="3"/>
  <c r="C670" i="3"/>
  <c r="C666" i="3"/>
  <c r="C662" i="3"/>
  <c r="C682" i="3"/>
  <c r="C679" i="3"/>
  <c r="C675" i="3"/>
  <c r="C671" i="3"/>
  <c r="C667" i="3"/>
  <c r="C663" i="3"/>
  <c r="C680" i="3"/>
  <c r="C676" i="3"/>
  <c r="C672" i="3"/>
  <c r="C668" i="3"/>
  <c r="C683" i="3"/>
  <c r="C677" i="3"/>
  <c r="C673" i="3"/>
  <c r="C669" i="3"/>
  <c r="C665" i="3"/>
  <c r="C661" i="3"/>
  <c r="C657" i="3"/>
  <c r="C660" i="3"/>
  <c r="C659" i="3"/>
  <c r="C654" i="3"/>
  <c r="C650" i="3"/>
  <c r="C646" i="3"/>
  <c r="C642" i="3"/>
  <c r="C638" i="3"/>
  <c r="C634" i="3"/>
  <c r="C630" i="3"/>
  <c r="C626" i="3"/>
  <c r="C664" i="3"/>
  <c r="C655" i="3"/>
  <c r="C651" i="3"/>
  <c r="C647" i="3"/>
  <c r="C643" i="3"/>
  <c r="C639" i="3"/>
  <c r="C635" i="3"/>
  <c r="C658" i="3"/>
  <c r="C656" i="3"/>
  <c r="C652" i="3"/>
  <c r="C648" i="3"/>
  <c r="C644" i="3"/>
  <c r="C640" i="3"/>
  <c r="C636" i="3"/>
  <c r="C632" i="3"/>
  <c r="C653" i="3"/>
  <c r="C649" i="3"/>
  <c r="C645" i="3"/>
  <c r="C641" i="3"/>
  <c r="C637" i="3"/>
  <c r="C633" i="3"/>
  <c r="C629" i="3"/>
  <c r="C625" i="3"/>
  <c r="C628" i="3"/>
  <c r="C621" i="3"/>
  <c r="C617" i="3"/>
  <c r="C613" i="3"/>
  <c r="C609" i="3"/>
  <c r="C605" i="3"/>
  <c r="C601" i="3"/>
  <c r="C597" i="3"/>
  <c r="C593" i="3"/>
  <c r="C627" i="3"/>
  <c r="C622" i="3"/>
  <c r="C618" i="3"/>
  <c r="C614" i="3"/>
  <c r="C610" i="3"/>
  <c r="C606" i="3"/>
  <c r="C602" i="3"/>
  <c r="C598" i="3"/>
  <c r="C594" i="3"/>
  <c r="C623" i="3"/>
  <c r="C619" i="3"/>
  <c r="C615" i="3"/>
  <c r="C611" i="3"/>
  <c r="C607" i="3"/>
  <c r="C603" i="3"/>
  <c r="C631" i="3"/>
  <c r="C624" i="3"/>
  <c r="C620" i="3"/>
  <c r="C616" i="3"/>
  <c r="C612" i="3"/>
  <c r="C608" i="3"/>
  <c r="C604" i="3"/>
  <c r="C600" i="3"/>
  <c r="C596" i="3"/>
  <c r="C588" i="3"/>
  <c r="C584" i="3"/>
  <c r="C580" i="3"/>
  <c r="C576" i="3"/>
  <c r="C572" i="3"/>
  <c r="C568" i="3"/>
  <c r="C564" i="3"/>
  <c r="C560" i="3"/>
  <c r="C592" i="3"/>
  <c r="C590" i="3"/>
  <c r="C589" i="3"/>
  <c r="C585" i="3"/>
  <c r="C581" i="3"/>
  <c r="C577" i="3"/>
  <c r="C573" i="3"/>
  <c r="C569" i="3"/>
  <c r="C565" i="3"/>
  <c r="C595" i="3"/>
  <c r="C586" i="3"/>
  <c r="C582" i="3"/>
  <c r="C578" i="3"/>
  <c r="C574" i="3"/>
  <c r="C570" i="3"/>
  <c r="C566" i="3"/>
  <c r="C599" i="3"/>
  <c r="C591" i="3"/>
  <c r="C587" i="3"/>
  <c r="C583" i="3"/>
  <c r="C579" i="3"/>
  <c r="C575" i="3"/>
  <c r="C571" i="3"/>
  <c r="C567" i="3"/>
  <c r="C563" i="3"/>
  <c r="C559" i="3"/>
  <c r="C561" i="3"/>
  <c r="C555" i="3"/>
  <c r="C551" i="3"/>
  <c r="C547" i="3"/>
  <c r="C543" i="3"/>
  <c r="C539" i="3"/>
  <c r="C535" i="3"/>
  <c r="C531" i="3"/>
  <c r="C527" i="3"/>
  <c r="C523" i="3"/>
  <c r="C556" i="3"/>
  <c r="C552" i="3"/>
  <c r="C548" i="3"/>
  <c r="C544" i="3"/>
  <c r="C540" i="3"/>
  <c r="C536" i="3"/>
  <c r="C532" i="3"/>
  <c r="C528" i="3"/>
  <c r="C557" i="3"/>
  <c r="C553" i="3"/>
  <c r="C549" i="3"/>
  <c r="C545" i="3"/>
  <c r="C541" i="3"/>
  <c r="C537" i="3"/>
  <c r="C533" i="3"/>
  <c r="C529" i="3"/>
  <c r="C562" i="3"/>
  <c r="C558" i="3"/>
  <c r="C554" i="3"/>
  <c r="C550" i="3"/>
  <c r="C546" i="3"/>
  <c r="C542" i="3"/>
  <c r="C538" i="3"/>
  <c r="C534" i="3"/>
  <c r="C530" i="3"/>
  <c r="C526" i="3"/>
  <c r="C522" i="3"/>
  <c r="C520" i="3"/>
  <c r="C516" i="3"/>
  <c r="C512" i="3"/>
  <c r="C508" i="3"/>
  <c r="C504" i="3"/>
  <c r="C500" i="3"/>
  <c r="C496" i="3"/>
  <c r="C492" i="3"/>
  <c r="C488" i="3"/>
  <c r="C484" i="3"/>
  <c r="C480" i="3"/>
  <c r="C476" i="3"/>
  <c r="C472" i="3"/>
  <c r="C468" i="3"/>
  <c r="C464" i="3"/>
  <c r="C460" i="3"/>
  <c r="C456" i="3"/>
  <c r="C452" i="3"/>
  <c r="C525" i="3"/>
  <c r="C517" i="3"/>
  <c r="C513" i="3"/>
  <c r="C509" i="3"/>
  <c r="C505" i="3"/>
  <c r="C501" i="3"/>
  <c r="C497" i="3"/>
  <c r="C493" i="3"/>
  <c r="C489" i="3"/>
  <c r="C485" i="3"/>
  <c r="C481" i="3"/>
  <c r="C477" i="3"/>
  <c r="C473" i="3"/>
  <c r="C469" i="3"/>
  <c r="C465" i="3"/>
  <c r="C461" i="3"/>
  <c r="C524" i="3"/>
  <c r="C518" i="3"/>
  <c r="C514" i="3"/>
  <c r="C510" i="3"/>
  <c r="C506" i="3"/>
  <c r="C502" i="3"/>
  <c r="C498" i="3"/>
  <c r="C494" i="3"/>
  <c r="C490" i="3"/>
  <c r="C486" i="3"/>
  <c r="C482" i="3"/>
  <c r="C478" i="3"/>
  <c r="C474" i="3"/>
  <c r="C470" i="3"/>
  <c r="C466" i="3"/>
  <c r="C521" i="3"/>
  <c r="C519" i="3"/>
  <c r="C515" i="3"/>
  <c r="C511" i="3"/>
  <c r="C507" i="3"/>
  <c r="C503" i="3"/>
  <c r="C499" i="3"/>
  <c r="C495" i="3"/>
  <c r="C491" i="3"/>
  <c r="C487" i="3"/>
  <c r="C483" i="3"/>
  <c r="C479" i="3"/>
  <c r="C475" i="3"/>
  <c r="C471" i="3"/>
  <c r="C467" i="3"/>
  <c r="C463" i="3"/>
  <c r="C459" i="3"/>
  <c r="C455" i="3"/>
  <c r="C451" i="3"/>
  <c r="C453" i="3"/>
  <c r="C448" i="3"/>
  <c r="C444" i="3"/>
  <c r="C440" i="3"/>
  <c r="C436" i="3"/>
  <c r="C432" i="3"/>
  <c r="C428" i="3"/>
  <c r="C424" i="3"/>
  <c r="C420" i="3"/>
  <c r="C416" i="3"/>
  <c r="C412" i="3"/>
  <c r="C408" i="3"/>
  <c r="C404" i="3"/>
  <c r="C400" i="3"/>
  <c r="C396" i="3"/>
  <c r="C392" i="3"/>
  <c r="C388" i="3"/>
  <c r="C462" i="3"/>
  <c r="C458" i="3"/>
  <c r="C449" i="3"/>
  <c r="C445" i="3"/>
  <c r="C441" i="3"/>
  <c r="C437" i="3"/>
  <c r="C433" i="3"/>
  <c r="C429" i="3"/>
  <c r="C425" i="3"/>
  <c r="C421" i="3"/>
  <c r="C417" i="3"/>
  <c r="C413" i="3"/>
  <c r="C409" i="3"/>
  <c r="C405" i="3"/>
  <c r="C401" i="3"/>
  <c r="C397" i="3"/>
  <c r="C457" i="3"/>
  <c r="C450" i="3"/>
  <c r="C446" i="3"/>
  <c r="C442" i="3"/>
  <c r="C438" i="3"/>
  <c r="C434" i="3"/>
  <c r="C430" i="3"/>
  <c r="C426" i="3"/>
  <c r="C422" i="3"/>
  <c r="C418" i="3"/>
  <c r="C414" i="3"/>
  <c r="C410" i="3"/>
  <c r="C406" i="3"/>
  <c r="C402" i="3"/>
  <c r="C398" i="3"/>
  <c r="C394" i="3"/>
  <c r="C454" i="3"/>
  <c r="C447" i="3"/>
  <c r="C443" i="3"/>
  <c r="C439" i="3"/>
  <c r="C435" i="3"/>
  <c r="C431" i="3"/>
  <c r="C427" i="3"/>
  <c r="C423" i="3"/>
  <c r="C419" i="3"/>
  <c r="C415" i="3"/>
  <c r="C411" i="3"/>
  <c r="C407" i="3"/>
  <c r="C403" i="3"/>
  <c r="C399" i="3"/>
  <c r="C395" i="3"/>
  <c r="C391" i="3"/>
  <c r="C387" i="3"/>
  <c r="C390" i="3"/>
  <c r="C383" i="3"/>
  <c r="C379" i="3"/>
  <c r="C375" i="3"/>
  <c r="C371" i="3"/>
  <c r="C367" i="3"/>
  <c r="C363" i="3"/>
  <c r="C359" i="3"/>
  <c r="C355" i="3"/>
  <c r="C351" i="3"/>
  <c r="C347" i="3"/>
  <c r="C343" i="3"/>
  <c r="C339" i="3"/>
  <c r="C335" i="3"/>
  <c r="C331" i="3"/>
  <c r="C327" i="3"/>
  <c r="C323" i="3"/>
  <c r="C319" i="3"/>
  <c r="C315" i="3"/>
  <c r="C311" i="3"/>
  <c r="C389" i="3"/>
  <c r="C384" i="3"/>
  <c r="C380" i="3"/>
  <c r="C376" i="3"/>
  <c r="C372" i="3"/>
  <c r="C368" i="3"/>
  <c r="C364" i="3"/>
  <c r="C360" i="3"/>
  <c r="C356" i="3"/>
  <c r="C352" i="3"/>
  <c r="C348" i="3"/>
  <c r="C344" i="3"/>
  <c r="C340" i="3"/>
  <c r="C336" i="3"/>
  <c r="C332" i="3"/>
  <c r="C328" i="3"/>
  <c r="C324" i="3"/>
  <c r="C320" i="3"/>
  <c r="C386" i="3"/>
  <c r="C381" i="3"/>
  <c r="C377" i="3"/>
  <c r="C373" i="3"/>
  <c r="C369" i="3"/>
  <c r="C365" i="3"/>
  <c r="C361" i="3"/>
  <c r="C357" i="3"/>
  <c r="C353" i="3"/>
  <c r="C349" i="3"/>
  <c r="C345" i="3"/>
  <c r="C341" i="3"/>
  <c r="C337" i="3"/>
  <c r="C333" i="3"/>
  <c r="C329" i="3"/>
  <c r="C393" i="3"/>
  <c r="C385" i="3"/>
  <c r="C382" i="3"/>
  <c r="C378" i="3"/>
  <c r="C374" i="3"/>
  <c r="C370" i="3"/>
  <c r="C366" i="3"/>
  <c r="C362" i="3"/>
  <c r="C358" i="3"/>
  <c r="C354" i="3"/>
  <c r="C350" i="3"/>
  <c r="C346" i="3"/>
  <c r="C342" i="3"/>
  <c r="C338" i="3"/>
  <c r="C334" i="3"/>
  <c r="C330" i="3"/>
  <c r="C326" i="3"/>
  <c r="C322" i="3"/>
  <c r="C318" i="3"/>
  <c r="C314" i="3"/>
  <c r="C325" i="3"/>
  <c r="C317" i="3"/>
  <c r="C310" i="3"/>
  <c r="C306" i="3"/>
  <c r="C302" i="3"/>
  <c r="C298" i="3"/>
  <c r="C294" i="3"/>
  <c r="C290" i="3"/>
  <c r="C286" i="3"/>
  <c r="C282" i="3"/>
  <c r="C278" i="3"/>
  <c r="C274" i="3"/>
  <c r="C270" i="3"/>
  <c r="C266" i="3"/>
  <c r="C262" i="3"/>
  <c r="C258" i="3"/>
  <c r="C254" i="3"/>
  <c r="C250" i="3"/>
  <c r="C246" i="3"/>
  <c r="C242" i="3"/>
  <c r="C238" i="3"/>
  <c r="C234" i="3"/>
  <c r="C230" i="3"/>
  <c r="C226" i="3"/>
  <c r="C222" i="3"/>
  <c r="C218" i="3"/>
  <c r="C316" i="3"/>
  <c r="C307" i="3"/>
  <c r="C303" i="3"/>
  <c r="C299" i="3"/>
  <c r="C295" i="3"/>
  <c r="C291" i="3"/>
  <c r="C287" i="3"/>
  <c r="C283" i="3"/>
  <c r="C279" i="3"/>
  <c r="C275" i="3"/>
  <c r="C271" i="3"/>
  <c r="C267" i="3"/>
  <c r="C263" i="3"/>
  <c r="C259" i="3"/>
  <c r="C255" i="3"/>
  <c r="C251" i="3"/>
  <c r="C247" i="3"/>
  <c r="C243" i="3"/>
  <c r="C239" i="3"/>
  <c r="C235" i="3"/>
  <c r="C231" i="3"/>
  <c r="C227" i="3"/>
  <c r="C223" i="3"/>
  <c r="C313" i="3"/>
  <c r="C308" i="3"/>
  <c r="C304" i="3"/>
  <c r="C300" i="3"/>
  <c r="C296" i="3"/>
  <c r="C292" i="3"/>
  <c r="C288" i="3"/>
  <c r="C284" i="3"/>
  <c r="C280" i="3"/>
  <c r="C276" i="3"/>
  <c r="C272" i="3"/>
  <c r="C268" i="3"/>
  <c r="C264" i="3"/>
  <c r="C260" i="3"/>
  <c r="C256" i="3"/>
  <c r="C252" i="3"/>
  <c r="C248" i="3"/>
  <c r="C321" i="3"/>
  <c r="C312" i="3"/>
  <c r="C309" i="3"/>
  <c r="C305" i="3"/>
  <c r="C301" i="3"/>
  <c r="C297" i="3"/>
  <c r="C293" i="3"/>
  <c r="C289" i="3"/>
  <c r="C285" i="3"/>
  <c r="C281" i="3"/>
  <c r="C277" i="3"/>
  <c r="C273" i="3"/>
  <c r="C269" i="3"/>
  <c r="C265" i="3"/>
  <c r="C261" i="3"/>
  <c r="C257" i="3"/>
  <c r="C253" i="3"/>
  <c r="C249" i="3"/>
  <c r="C245" i="3"/>
  <c r="C241" i="3"/>
  <c r="C237" i="3"/>
  <c r="C233" i="3"/>
  <c r="C244" i="3"/>
  <c r="C225" i="3"/>
  <c r="C215" i="3"/>
  <c r="C211" i="3"/>
  <c r="C207" i="3"/>
  <c r="C203" i="3"/>
  <c r="C199" i="3"/>
  <c r="C195" i="3"/>
  <c r="C191" i="3"/>
  <c r="C187" i="3"/>
  <c r="C183" i="3"/>
  <c r="C179" i="3"/>
  <c r="C175" i="3"/>
  <c r="C171" i="3"/>
  <c r="C167" i="3"/>
  <c r="C163" i="3"/>
  <c r="C159" i="3"/>
  <c r="C155" i="3"/>
  <c r="C151" i="3"/>
  <c r="C147" i="3"/>
  <c r="C143" i="3"/>
  <c r="C139" i="3"/>
  <c r="C135" i="3"/>
  <c r="C232" i="3"/>
  <c r="C224" i="3"/>
  <c r="C221" i="3"/>
  <c r="C219" i="3"/>
  <c r="C216" i="3"/>
  <c r="C212" i="3"/>
  <c r="C208" i="3"/>
  <c r="C204" i="3"/>
  <c r="C200" i="3"/>
  <c r="C196" i="3"/>
  <c r="C192" i="3"/>
  <c r="C188" i="3"/>
  <c r="C184" i="3"/>
  <c r="C180" i="3"/>
  <c r="C176" i="3"/>
  <c r="C172" i="3"/>
  <c r="C168" i="3"/>
  <c r="C164" i="3"/>
  <c r="C160" i="3"/>
  <c r="C156" i="3"/>
  <c r="C152" i="3"/>
  <c r="C148" i="3"/>
  <c r="C144" i="3"/>
  <c r="C140" i="3"/>
  <c r="C136" i="3"/>
  <c r="C236" i="3"/>
  <c r="C229" i="3"/>
  <c r="C217" i="3"/>
  <c r="C213" i="3"/>
  <c r="C209" i="3"/>
  <c r="C205" i="3"/>
  <c r="C201" i="3"/>
  <c r="C197" i="3"/>
  <c r="C193" i="3"/>
  <c r="C189" i="3"/>
  <c r="C185" i="3"/>
  <c r="C181" i="3"/>
  <c r="C177" i="3"/>
  <c r="C173" i="3"/>
  <c r="C169" i="3"/>
  <c r="C165" i="3"/>
  <c r="C161" i="3"/>
  <c r="C157" i="3"/>
  <c r="C153" i="3"/>
  <c r="C149" i="3"/>
  <c r="C145" i="3"/>
  <c r="C141" i="3"/>
  <c r="C137" i="3"/>
  <c r="C240" i="3"/>
  <c r="C228" i="3"/>
  <c r="C220" i="3"/>
  <c r="C214" i="3"/>
  <c r="C210" i="3"/>
  <c r="C206" i="3"/>
  <c r="C202" i="3"/>
  <c r="C198" i="3"/>
  <c r="C194" i="3"/>
  <c r="C190" i="3"/>
  <c r="C186" i="3"/>
  <c r="C182" i="3"/>
  <c r="C178" i="3"/>
  <c r="C174" i="3"/>
  <c r="C170" i="3"/>
  <c r="C166" i="3"/>
  <c r="C162" i="3"/>
  <c r="C158" i="3"/>
  <c r="C154" i="3"/>
  <c r="C150" i="3"/>
  <c r="C146" i="3"/>
  <c r="C142" i="3"/>
  <c r="C138" i="3"/>
  <c r="C134" i="3"/>
  <c r="G728" i="3"/>
  <c r="G130" i="3"/>
  <c r="G725" i="3"/>
  <c r="G721" i="3"/>
  <c r="G717" i="3"/>
  <c r="G726" i="3"/>
  <c r="G722" i="3"/>
  <c r="G718" i="3"/>
  <c r="G714" i="3"/>
  <c r="G727" i="3"/>
  <c r="G723" i="3"/>
  <c r="G719" i="3"/>
  <c r="G715" i="3"/>
  <c r="G724" i="3"/>
  <c r="G710" i="3"/>
  <c r="G706" i="3"/>
  <c r="G702" i="3"/>
  <c r="G713" i="3"/>
  <c r="G711" i="3"/>
  <c r="G707" i="3"/>
  <c r="G703" i="3"/>
  <c r="G716" i="3"/>
  <c r="G708" i="3"/>
  <c r="G704" i="3"/>
  <c r="G720" i="3"/>
  <c r="G712" i="3"/>
  <c r="G709" i="3"/>
  <c r="G705" i="3"/>
  <c r="G701" i="3"/>
  <c r="G697" i="3"/>
  <c r="G693" i="3"/>
  <c r="G689" i="3"/>
  <c r="G685" i="3"/>
  <c r="G681" i="3"/>
  <c r="G700" i="3"/>
  <c r="G698" i="3"/>
  <c r="G694" i="3"/>
  <c r="G690" i="3"/>
  <c r="G686" i="3"/>
  <c r="G682" i="3"/>
  <c r="G695" i="3"/>
  <c r="G691" i="3"/>
  <c r="G687" i="3"/>
  <c r="G699" i="3"/>
  <c r="G696" i="3"/>
  <c r="G692" i="3"/>
  <c r="G688" i="3"/>
  <c r="G684" i="3"/>
  <c r="G678" i="3"/>
  <c r="G674" i="3"/>
  <c r="G670" i="3"/>
  <c r="G666" i="3"/>
  <c r="G662" i="3"/>
  <c r="G679" i="3"/>
  <c r="G675" i="3"/>
  <c r="G671" i="3"/>
  <c r="G667" i="3"/>
  <c r="G663" i="3"/>
  <c r="G683" i="3"/>
  <c r="G680" i="3"/>
  <c r="G676" i="3"/>
  <c r="G672" i="3"/>
  <c r="G668" i="3"/>
  <c r="G677" i="3"/>
  <c r="G673" i="3"/>
  <c r="G669" i="3"/>
  <c r="G665" i="3"/>
  <c r="G661" i="3"/>
  <c r="G657" i="3"/>
  <c r="G664" i="3"/>
  <c r="G654" i="3"/>
  <c r="G650" i="3"/>
  <c r="G646" i="3"/>
  <c r="G642" i="3"/>
  <c r="G638" i="3"/>
  <c r="G634" i="3"/>
  <c r="G630" i="3"/>
  <c r="G626" i="3"/>
  <c r="G659" i="3"/>
  <c r="G655" i="3"/>
  <c r="G651" i="3"/>
  <c r="G647" i="3"/>
  <c r="G643" i="3"/>
  <c r="G639" i="3"/>
  <c r="G635" i="3"/>
  <c r="G631" i="3"/>
  <c r="G660" i="3"/>
  <c r="G656" i="3"/>
  <c r="G652" i="3"/>
  <c r="G648" i="3"/>
  <c r="G644" i="3"/>
  <c r="G640" i="3"/>
  <c r="G636" i="3"/>
  <c r="G632" i="3"/>
  <c r="G658" i="3"/>
  <c r="G653" i="3"/>
  <c r="G649" i="3"/>
  <c r="G645" i="3"/>
  <c r="G641" i="3"/>
  <c r="G637" i="3"/>
  <c r="G633" i="3"/>
  <c r="G629" i="3"/>
  <c r="G625" i="3"/>
  <c r="G621" i="3"/>
  <c r="G617" i="3"/>
  <c r="G613" i="3"/>
  <c r="G609" i="3"/>
  <c r="G605" i="3"/>
  <c r="G601" i="3"/>
  <c r="G597" i="3"/>
  <c r="G593" i="3"/>
  <c r="G622" i="3"/>
  <c r="G618" i="3"/>
  <c r="G614" i="3"/>
  <c r="G610" i="3"/>
  <c r="G606" i="3"/>
  <c r="G602" i="3"/>
  <c r="G598" i="3"/>
  <c r="G594" i="3"/>
  <c r="G628" i="3"/>
  <c r="G623" i="3"/>
  <c r="G619" i="3"/>
  <c r="G615" i="3"/>
  <c r="G611" i="3"/>
  <c r="G607" i="3"/>
  <c r="G603" i="3"/>
  <c r="G627" i="3"/>
  <c r="G624" i="3"/>
  <c r="G620" i="3"/>
  <c r="G616" i="3"/>
  <c r="G612" i="3"/>
  <c r="G608" i="3"/>
  <c r="G604" i="3"/>
  <c r="G600" i="3"/>
  <c r="G596" i="3"/>
  <c r="G591" i="3"/>
  <c r="G588" i="3"/>
  <c r="G584" i="3"/>
  <c r="G580" i="3"/>
  <c r="G576" i="3"/>
  <c r="G572" i="3"/>
  <c r="G568" i="3"/>
  <c r="G564" i="3"/>
  <c r="G560" i="3"/>
  <c r="G595" i="3"/>
  <c r="G589" i="3"/>
  <c r="G585" i="3"/>
  <c r="G581" i="3"/>
  <c r="G577" i="3"/>
  <c r="G573" i="3"/>
  <c r="G569" i="3"/>
  <c r="G565" i="3"/>
  <c r="G599" i="3"/>
  <c r="G592" i="3"/>
  <c r="G590" i="3"/>
  <c r="G586" i="3"/>
  <c r="G582" i="3"/>
  <c r="G578" i="3"/>
  <c r="G574" i="3"/>
  <c r="G570" i="3"/>
  <c r="G566" i="3"/>
  <c r="G587" i="3"/>
  <c r="G583" i="3"/>
  <c r="G579" i="3"/>
  <c r="G575" i="3"/>
  <c r="G571" i="3"/>
  <c r="G567" i="3"/>
  <c r="G563" i="3"/>
  <c r="G559" i="3"/>
  <c r="G555" i="3"/>
  <c r="G551" i="3"/>
  <c r="G547" i="3"/>
  <c r="G543" i="3"/>
  <c r="G539" i="3"/>
  <c r="G535" i="3"/>
  <c r="G531" i="3"/>
  <c r="G527" i="3"/>
  <c r="G523" i="3"/>
  <c r="G562" i="3"/>
  <c r="G556" i="3"/>
  <c r="G552" i="3"/>
  <c r="G548" i="3"/>
  <c r="G544" i="3"/>
  <c r="G540" i="3"/>
  <c r="G536" i="3"/>
  <c r="G532" i="3"/>
  <c r="G528" i="3"/>
  <c r="G561" i="3"/>
  <c r="G557" i="3"/>
  <c r="G553" i="3"/>
  <c r="G549" i="3"/>
  <c r="G545" i="3"/>
  <c r="G541" i="3"/>
  <c r="G537" i="3"/>
  <c r="G533" i="3"/>
  <c r="G529" i="3"/>
  <c r="G558" i="3"/>
  <c r="G554" i="3"/>
  <c r="G550" i="3"/>
  <c r="G546" i="3"/>
  <c r="G542" i="3"/>
  <c r="G538" i="3"/>
  <c r="G534" i="3"/>
  <c r="G530" i="3"/>
  <c r="G526" i="3"/>
  <c r="G522" i="3"/>
  <c r="G524" i="3"/>
  <c r="G516" i="3"/>
  <c r="G512" i="3"/>
  <c r="G508" i="3"/>
  <c r="G504" i="3"/>
  <c r="G500" i="3"/>
  <c r="G496" i="3"/>
  <c r="G492" i="3"/>
  <c r="G488" i="3"/>
  <c r="G484" i="3"/>
  <c r="G480" i="3"/>
  <c r="G476" i="3"/>
  <c r="G472" i="3"/>
  <c r="G468" i="3"/>
  <c r="G464" i="3"/>
  <c r="G460" i="3"/>
  <c r="G456" i="3"/>
  <c r="G452" i="3"/>
  <c r="G521" i="3"/>
  <c r="G517" i="3"/>
  <c r="G513" i="3"/>
  <c r="G509" i="3"/>
  <c r="G505" i="3"/>
  <c r="G501" i="3"/>
  <c r="G497" i="3"/>
  <c r="G493" i="3"/>
  <c r="G489" i="3"/>
  <c r="G485" i="3"/>
  <c r="G481" i="3"/>
  <c r="G477" i="3"/>
  <c r="G473" i="3"/>
  <c r="G469" i="3"/>
  <c r="G465" i="3"/>
  <c r="G461" i="3"/>
  <c r="G520" i="3"/>
  <c r="G518" i="3"/>
  <c r="G514" i="3"/>
  <c r="G510" i="3"/>
  <c r="G506" i="3"/>
  <c r="G502" i="3"/>
  <c r="G498" i="3"/>
  <c r="G494" i="3"/>
  <c r="G490" i="3"/>
  <c r="G486" i="3"/>
  <c r="G482" i="3"/>
  <c r="G478" i="3"/>
  <c r="G474" i="3"/>
  <c r="G470" i="3"/>
  <c r="G466" i="3"/>
  <c r="G525" i="3"/>
  <c r="G519" i="3"/>
  <c r="G515" i="3"/>
  <c r="G511" i="3"/>
  <c r="G507" i="3"/>
  <c r="G503" i="3"/>
  <c r="G499" i="3"/>
  <c r="G495" i="3"/>
  <c r="G491" i="3"/>
  <c r="G487" i="3"/>
  <c r="G483" i="3"/>
  <c r="G479" i="3"/>
  <c r="G475" i="3"/>
  <c r="G471" i="3"/>
  <c r="G467" i="3"/>
  <c r="G463" i="3"/>
  <c r="G459" i="3"/>
  <c r="G455" i="3"/>
  <c r="G451" i="3"/>
  <c r="G462" i="3"/>
  <c r="G457" i="3"/>
  <c r="G448" i="3"/>
  <c r="G444" i="3"/>
  <c r="G440" i="3"/>
  <c r="G436" i="3"/>
  <c r="G432" i="3"/>
  <c r="G428" i="3"/>
  <c r="G424" i="3"/>
  <c r="G420" i="3"/>
  <c r="G416" i="3"/>
  <c r="G412" i="3"/>
  <c r="G408" i="3"/>
  <c r="G404" i="3"/>
  <c r="G400" i="3"/>
  <c r="G396" i="3"/>
  <c r="G392" i="3"/>
  <c r="G388" i="3"/>
  <c r="G384" i="3"/>
  <c r="G454" i="3"/>
  <c r="G449" i="3"/>
  <c r="G445" i="3"/>
  <c r="G441" i="3"/>
  <c r="G437" i="3"/>
  <c r="G433" i="3"/>
  <c r="G429" i="3"/>
  <c r="G425" i="3"/>
  <c r="G421" i="3"/>
  <c r="G417" i="3"/>
  <c r="G413" i="3"/>
  <c r="G409" i="3"/>
  <c r="G405" i="3"/>
  <c r="G401" i="3"/>
  <c r="G397" i="3"/>
  <c r="G453" i="3"/>
  <c r="G450" i="3"/>
  <c r="G446" i="3"/>
  <c r="G442" i="3"/>
  <c r="G438" i="3"/>
  <c r="G434" i="3"/>
  <c r="G430" i="3"/>
  <c r="G426" i="3"/>
  <c r="G422" i="3"/>
  <c r="G418" i="3"/>
  <c r="G414" i="3"/>
  <c r="G410" i="3"/>
  <c r="G406" i="3"/>
  <c r="G402" i="3"/>
  <c r="G398" i="3"/>
  <c r="G394" i="3"/>
  <c r="G458" i="3"/>
  <c r="G447" i="3"/>
  <c r="G443" i="3"/>
  <c r="G439" i="3"/>
  <c r="G435" i="3"/>
  <c r="G431" i="3"/>
  <c r="G427" i="3"/>
  <c r="G423" i="3"/>
  <c r="G419" i="3"/>
  <c r="G415" i="3"/>
  <c r="G411" i="3"/>
  <c r="G407" i="3"/>
  <c r="G403" i="3"/>
  <c r="G399" i="3"/>
  <c r="G395" i="3"/>
  <c r="G391" i="3"/>
  <c r="G387" i="3"/>
  <c r="G386" i="3"/>
  <c r="G383" i="3"/>
  <c r="G379" i="3"/>
  <c r="G375" i="3"/>
  <c r="G371" i="3"/>
  <c r="G367" i="3"/>
  <c r="G363" i="3"/>
  <c r="G359" i="3"/>
  <c r="G355" i="3"/>
  <c r="G351" i="3"/>
  <c r="G347" i="3"/>
  <c r="G343" i="3"/>
  <c r="G339" i="3"/>
  <c r="G335" i="3"/>
  <c r="G331" i="3"/>
  <c r="G327" i="3"/>
  <c r="G323" i="3"/>
  <c r="G319" i="3"/>
  <c r="G315" i="3"/>
  <c r="G311" i="3"/>
  <c r="G393" i="3"/>
  <c r="G385" i="3"/>
  <c r="G380" i="3"/>
  <c r="G376" i="3"/>
  <c r="G372" i="3"/>
  <c r="G368" i="3"/>
  <c r="G364" i="3"/>
  <c r="G360" i="3"/>
  <c r="G356" i="3"/>
  <c r="G352" i="3"/>
  <c r="G348" i="3"/>
  <c r="G344" i="3"/>
  <c r="G340" i="3"/>
  <c r="G336" i="3"/>
  <c r="G332" i="3"/>
  <c r="G328" i="3"/>
  <c r="G324" i="3"/>
  <c r="G320" i="3"/>
  <c r="G390" i="3"/>
  <c r="G381" i="3"/>
  <c r="G377" i="3"/>
  <c r="G373" i="3"/>
  <c r="G369" i="3"/>
  <c r="G365" i="3"/>
  <c r="G361" i="3"/>
  <c r="G357" i="3"/>
  <c r="G353" i="3"/>
  <c r="G349" i="3"/>
  <c r="G345" i="3"/>
  <c r="G341" i="3"/>
  <c r="G337" i="3"/>
  <c r="G333" i="3"/>
  <c r="G329" i="3"/>
  <c r="G389" i="3"/>
  <c r="G382" i="3"/>
  <c r="G378" i="3"/>
  <c r="G374" i="3"/>
  <c r="G370" i="3"/>
  <c r="G366" i="3"/>
  <c r="G362" i="3"/>
  <c r="G358" i="3"/>
  <c r="G354" i="3"/>
  <c r="G350" i="3"/>
  <c r="G346" i="3"/>
  <c r="G342" i="3"/>
  <c r="G338" i="3"/>
  <c r="G334" i="3"/>
  <c r="G330" i="3"/>
  <c r="G326" i="3"/>
  <c r="G322" i="3"/>
  <c r="G318" i="3"/>
  <c r="G314" i="3"/>
  <c r="G313" i="3"/>
  <c r="G310" i="3"/>
  <c r="G306" i="3"/>
  <c r="G302" i="3"/>
  <c r="G298" i="3"/>
  <c r="G294" i="3"/>
  <c r="G290" i="3"/>
  <c r="G286" i="3"/>
  <c r="G282" i="3"/>
  <c r="G278" i="3"/>
  <c r="G274" i="3"/>
  <c r="G270" i="3"/>
  <c r="G266" i="3"/>
  <c r="G262" i="3"/>
  <c r="G258" i="3"/>
  <c r="G254" i="3"/>
  <c r="G250" i="3"/>
  <c r="G246" i="3"/>
  <c r="G242" i="3"/>
  <c r="G238" i="3"/>
  <c r="G234" i="3"/>
  <c r="G230" i="3"/>
  <c r="G226" i="3"/>
  <c r="G222" i="3"/>
  <c r="G218" i="3"/>
  <c r="G312" i="3"/>
  <c r="G307" i="3"/>
  <c r="G303" i="3"/>
  <c r="G299" i="3"/>
  <c r="G295" i="3"/>
  <c r="G291" i="3"/>
  <c r="G287" i="3"/>
  <c r="G283" i="3"/>
  <c r="G279" i="3"/>
  <c r="G275" i="3"/>
  <c r="G271" i="3"/>
  <c r="G267" i="3"/>
  <c r="G263" i="3"/>
  <c r="G259" i="3"/>
  <c r="G255" i="3"/>
  <c r="G251" i="3"/>
  <c r="G247" i="3"/>
  <c r="G243" i="3"/>
  <c r="G239" i="3"/>
  <c r="G235" i="3"/>
  <c r="G231" i="3"/>
  <c r="G227" i="3"/>
  <c r="G223" i="3"/>
  <c r="G321" i="3"/>
  <c r="G317" i="3"/>
  <c r="G308" i="3"/>
  <c r="G304" i="3"/>
  <c r="G300" i="3"/>
  <c r="G296" i="3"/>
  <c r="G292" i="3"/>
  <c r="G288" i="3"/>
  <c r="G284" i="3"/>
  <c r="G280" i="3"/>
  <c r="G276" i="3"/>
  <c r="G272" i="3"/>
  <c r="G268" i="3"/>
  <c r="G264" i="3"/>
  <c r="G260" i="3"/>
  <c r="G256" i="3"/>
  <c r="G252" i="3"/>
  <c r="G248" i="3"/>
  <c r="G325" i="3"/>
  <c r="G316" i="3"/>
  <c r="G309" i="3"/>
  <c r="G305" i="3"/>
  <c r="G301" i="3"/>
  <c r="G297" i="3"/>
  <c r="G293" i="3"/>
  <c r="G289" i="3"/>
  <c r="G285" i="3"/>
  <c r="G281" i="3"/>
  <c r="G277" i="3"/>
  <c r="G273" i="3"/>
  <c r="G269" i="3"/>
  <c r="G265" i="3"/>
  <c r="G261" i="3"/>
  <c r="G257" i="3"/>
  <c r="G253" i="3"/>
  <c r="G249" i="3"/>
  <c r="G245" i="3"/>
  <c r="G241" i="3"/>
  <c r="G237" i="3"/>
  <c r="G233" i="3"/>
  <c r="G232" i="3"/>
  <c r="G229" i="3"/>
  <c r="G220" i="3"/>
  <c r="G215" i="3"/>
  <c r="G211" i="3"/>
  <c r="G207" i="3"/>
  <c r="G203" i="3"/>
  <c r="G199" i="3"/>
  <c r="G195" i="3"/>
  <c r="G191" i="3"/>
  <c r="G187" i="3"/>
  <c r="G183" i="3"/>
  <c r="G179" i="3"/>
  <c r="G175" i="3"/>
  <c r="G171" i="3"/>
  <c r="G167" i="3"/>
  <c r="G163" i="3"/>
  <c r="G159" i="3"/>
  <c r="G155" i="3"/>
  <c r="G151" i="3"/>
  <c r="G147" i="3"/>
  <c r="G143" i="3"/>
  <c r="G139" i="3"/>
  <c r="G135" i="3"/>
  <c r="G236" i="3"/>
  <c r="G228" i="3"/>
  <c r="G216" i="3"/>
  <c r="G212" i="3"/>
  <c r="G208" i="3"/>
  <c r="G204" i="3"/>
  <c r="G200" i="3"/>
  <c r="G196" i="3"/>
  <c r="G192" i="3"/>
  <c r="G188" i="3"/>
  <c r="G184" i="3"/>
  <c r="G180" i="3"/>
  <c r="G176" i="3"/>
  <c r="G172" i="3"/>
  <c r="G168" i="3"/>
  <c r="G164" i="3"/>
  <c r="G160" i="3"/>
  <c r="G156" i="3"/>
  <c r="G152" i="3"/>
  <c r="G148" i="3"/>
  <c r="G144" i="3"/>
  <c r="G140" i="3"/>
  <c r="G136" i="3"/>
  <c r="G240" i="3"/>
  <c r="G225" i="3"/>
  <c r="G221" i="3"/>
  <c r="G219" i="3"/>
  <c r="G217" i="3"/>
  <c r="G213" i="3"/>
  <c r="G209" i="3"/>
  <c r="G205" i="3"/>
  <c r="G201" i="3"/>
  <c r="G197" i="3"/>
  <c r="G193" i="3"/>
  <c r="G189" i="3"/>
  <c r="G185" i="3"/>
  <c r="G181" i="3"/>
  <c r="G177" i="3"/>
  <c r="G173" i="3"/>
  <c r="G169" i="3"/>
  <c r="G165" i="3"/>
  <c r="G161" i="3"/>
  <c r="G157" i="3"/>
  <c r="G153" i="3"/>
  <c r="G149" i="3"/>
  <c r="G145" i="3"/>
  <c r="G141" i="3"/>
  <c r="G137" i="3"/>
  <c r="G244" i="3"/>
  <c r="G224" i="3"/>
  <c r="G214" i="3"/>
  <c r="G210" i="3"/>
  <c r="G206" i="3"/>
  <c r="G202" i="3"/>
  <c r="G198" i="3"/>
  <c r="G194" i="3"/>
  <c r="G190" i="3"/>
  <c r="G186" i="3"/>
  <c r="G182" i="3"/>
  <c r="G178" i="3"/>
  <c r="G174" i="3"/>
  <c r="G170" i="3"/>
  <c r="G166" i="3"/>
  <c r="G162" i="3"/>
  <c r="G158" i="3"/>
  <c r="G154" i="3"/>
  <c r="G150" i="3"/>
  <c r="G146" i="3"/>
  <c r="G142" i="3"/>
  <c r="G138" i="3"/>
  <c r="G134" i="3"/>
  <c r="K728" i="3"/>
  <c r="K130" i="3"/>
  <c r="K725" i="3"/>
  <c r="K721" i="3"/>
  <c r="K717" i="3"/>
  <c r="K726" i="3"/>
  <c r="K722" i="3"/>
  <c r="K718" i="3"/>
  <c r="K714" i="3"/>
  <c r="K727" i="3"/>
  <c r="K723" i="3"/>
  <c r="K719" i="3"/>
  <c r="K715" i="3"/>
  <c r="K712" i="3"/>
  <c r="K710" i="3"/>
  <c r="K706" i="3"/>
  <c r="K702" i="3"/>
  <c r="K716" i="3"/>
  <c r="K711" i="3"/>
  <c r="K707" i="3"/>
  <c r="K703" i="3"/>
  <c r="K720" i="3"/>
  <c r="K713" i="3"/>
  <c r="K708" i="3"/>
  <c r="K704" i="3"/>
  <c r="K724" i="3"/>
  <c r="K709" i="3"/>
  <c r="K705" i="3"/>
  <c r="K701" i="3"/>
  <c r="K700" i="3"/>
  <c r="K699" i="3"/>
  <c r="K697" i="3"/>
  <c r="K693" i="3"/>
  <c r="K689" i="3"/>
  <c r="K685" i="3"/>
  <c r="K681" i="3"/>
  <c r="K698" i="3"/>
  <c r="K694" i="3"/>
  <c r="K690" i="3"/>
  <c r="K686" i="3"/>
  <c r="K682" i="3"/>
  <c r="K695" i="3"/>
  <c r="K691" i="3"/>
  <c r="K687" i="3"/>
  <c r="K696" i="3"/>
  <c r="K692" i="3"/>
  <c r="K688" i="3"/>
  <c r="K684" i="3"/>
  <c r="K678" i="3"/>
  <c r="K674" i="3"/>
  <c r="K670" i="3"/>
  <c r="K666" i="3"/>
  <c r="K662" i="3"/>
  <c r="K683" i="3"/>
  <c r="K679" i="3"/>
  <c r="K675" i="3"/>
  <c r="K671" i="3"/>
  <c r="K667" i="3"/>
  <c r="K663" i="3"/>
  <c r="K680" i="3"/>
  <c r="K676" i="3"/>
  <c r="K672" i="3"/>
  <c r="K668" i="3"/>
  <c r="K677" i="3"/>
  <c r="K673" i="3"/>
  <c r="K669" i="3"/>
  <c r="K665" i="3"/>
  <c r="K661" i="3"/>
  <c r="K657" i="3"/>
  <c r="K660" i="3"/>
  <c r="K658" i="3"/>
  <c r="K654" i="3"/>
  <c r="K650" i="3"/>
  <c r="K646" i="3"/>
  <c r="K642" i="3"/>
  <c r="K638" i="3"/>
  <c r="K634" i="3"/>
  <c r="K630" i="3"/>
  <c r="K626" i="3"/>
  <c r="K655" i="3"/>
  <c r="K651" i="3"/>
  <c r="K647" i="3"/>
  <c r="K643" i="3"/>
  <c r="K639" i="3"/>
  <c r="K635" i="3"/>
  <c r="K631" i="3"/>
  <c r="K659" i="3"/>
  <c r="K656" i="3"/>
  <c r="K652" i="3"/>
  <c r="K648" i="3"/>
  <c r="K644" i="3"/>
  <c r="K640" i="3"/>
  <c r="K636" i="3"/>
  <c r="K632" i="3"/>
  <c r="K664" i="3"/>
  <c r="K653" i="3"/>
  <c r="K649" i="3"/>
  <c r="K645" i="3"/>
  <c r="K641" i="3"/>
  <c r="K637" i="3"/>
  <c r="K633" i="3"/>
  <c r="K629" i="3"/>
  <c r="K625" i="3"/>
  <c r="K628" i="3"/>
  <c r="K621" i="3"/>
  <c r="K617" i="3"/>
  <c r="K613" i="3"/>
  <c r="K609" i="3"/>
  <c r="K605" i="3"/>
  <c r="K601" i="3"/>
  <c r="K597" i="3"/>
  <c r="K593" i="3"/>
  <c r="K589" i="3"/>
  <c r="K627" i="3"/>
  <c r="K622" i="3"/>
  <c r="K618" i="3"/>
  <c r="K614" i="3"/>
  <c r="K610" i="3"/>
  <c r="K606" i="3"/>
  <c r="K602" i="3"/>
  <c r="K598" i="3"/>
  <c r="K594" i="3"/>
  <c r="K623" i="3"/>
  <c r="K619" i="3"/>
  <c r="K615" i="3"/>
  <c r="K611" i="3"/>
  <c r="K607" i="3"/>
  <c r="K603" i="3"/>
  <c r="K624" i="3"/>
  <c r="K620" i="3"/>
  <c r="K616" i="3"/>
  <c r="K612" i="3"/>
  <c r="K608" i="3"/>
  <c r="K604" i="3"/>
  <c r="K600" i="3"/>
  <c r="K596" i="3"/>
  <c r="K595" i="3"/>
  <c r="K588" i="3"/>
  <c r="K584" i="3"/>
  <c r="K580" i="3"/>
  <c r="K576" i="3"/>
  <c r="K572" i="3"/>
  <c r="K568" i="3"/>
  <c r="K564" i="3"/>
  <c r="K560" i="3"/>
  <c r="K599" i="3"/>
  <c r="K591" i="3"/>
  <c r="K585" i="3"/>
  <c r="K581" i="3"/>
  <c r="K577" i="3"/>
  <c r="K573" i="3"/>
  <c r="K569" i="3"/>
  <c r="K565" i="3"/>
  <c r="K586" i="3"/>
  <c r="K582" i="3"/>
  <c r="K578" i="3"/>
  <c r="K574" i="3"/>
  <c r="K570" i="3"/>
  <c r="K566" i="3"/>
  <c r="K592" i="3"/>
  <c r="K590" i="3"/>
  <c r="K587" i="3"/>
  <c r="K583" i="3"/>
  <c r="K579" i="3"/>
  <c r="K575" i="3"/>
  <c r="K571" i="3"/>
  <c r="K567" i="3"/>
  <c r="K563" i="3"/>
  <c r="K559" i="3"/>
  <c r="K561" i="3"/>
  <c r="K555" i="3"/>
  <c r="K551" i="3"/>
  <c r="K547" i="3"/>
  <c r="K543" i="3"/>
  <c r="K539" i="3"/>
  <c r="K535" i="3"/>
  <c r="K531" i="3"/>
  <c r="K527" i="3"/>
  <c r="K523" i="3"/>
  <c r="K556" i="3"/>
  <c r="K552" i="3"/>
  <c r="K548" i="3"/>
  <c r="K544" i="3"/>
  <c r="K540" i="3"/>
  <c r="K536" i="3"/>
  <c r="K532" i="3"/>
  <c r="K528" i="3"/>
  <c r="K557" i="3"/>
  <c r="K553" i="3"/>
  <c r="K549" i="3"/>
  <c r="K545" i="3"/>
  <c r="K541" i="3"/>
  <c r="K537" i="3"/>
  <c r="K533" i="3"/>
  <c r="K529" i="3"/>
  <c r="K562" i="3"/>
  <c r="K558" i="3"/>
  <c r="K554" i="3"/>
  <c r="K550" i="3"/>
  <c r="K546" i="3"/>
  <c r="K542" i="3"/>
  <c r="K538" i="3"/>
  <c r="K534" i="3"/>
  <c r="K530" i="3"/>
  <c r="K526" i="3"/>
  <c r="K522" i="3"/>
  <c r="K520" i="3"/>
  <c r="K516" i="3"/>
  <c r="K512" i="3"/>
  <c r="K508" i="3"/>
  <c r="K504" i="3"/>
  <c r="K500" i="3"/>
  <c r="K496" i="3"/>
  <c r="K492" i="3"/>
  <c r="K488" i="3"/>
  <c r="K484" i="3"/>
  <c r="K480" i="3"/>
  <c r="K476" i="3"/>
  <c r="K472" i="3"/>
  <c r="K468" i="3"/>
  <c r="K464" i="3"/>
  <c r="K460" i="3"/>
  <c r="K456" i="3"/>
  <c r="K452" i="3"/>
  <c r="K525" i="3"/>
  <c r="K517" i="3"/>
  <c r="K513" i="3"/>
  <c r="K509" i="3"/>
  <c r="K505" i="3"/>
  <c r="K501" i="3"/>
  <c r="K497" i="3"/>
  <c r="K493" i="3"/>
  <c r="K489" i="3"/>
  <c r="K485" i="3"/>
  <c r="K481" i="3"/>
  <c r="K477" i="3"/>
  <c r="K473" i="3"/>
  <c r="K469" i="3"/>
  <c r="K465" i="3"/>
  <c r="K461" i="3"/>
  <c r="K524" i="3"/>
  <c r="K518" i="3"/>
  <c r="K514" i="3"/>
  <c r="K510" i="3"/>
  <c r="K506" i="3"/>
  <c r="K502" i="3"/>
  <c r="K498" i="3"/>
  <c r="K494" i="3"/>
  <c r="K490" i="3"/>
  <c r="K486" i="3"/>
  <c r="K482" i="3"/>
  <c r="K478" i="3"/>
  <c r="K474" i="3"/>
  <c r="K470" i="3"/>
  <c r="K466" i="3"/>
  <c r="K462" i="3"/>
  <c r="K521" i="3"/>
  <c r="K519" i="3"/>
  <c r="K515" i="3"/>
  <c r="K511" i="3"/>
  <c r="K507" i="3"/>
  <c r="K503" i="3"/>
  <c r="K499" i="3"/>
  <c r="K495" i="3"/>
  <c r="K491" i="3"/>
  <c r="K487" i="3"/>
  <c r="K483" i="3"/>
  <c r="K479" i="3"/>
  <c r="K475" i="3"/>
  <c r="K471" i="3"/>
  <c r="K467" i="3"/>
  <c r="K463" i="3"/>
  <c r="K459" i="3"/>
  <c r="K455" i="3"/>
  <c r="K451" i="3"/>
  <c r="K453" i="3"/>
  <c r="K448" i="3"/>
  <c r="K444" i="3"/>
  <c r="K440" i="3"/>
  <c r="K436" i="3"/>
  <c r="K432" i="3"/>
  <c r="K428" i="3"/>
  <c r="K424" i="3"/>
  <c r="K420" i="3"/>
  <c r="K416" i="3"/>
  <c r="K412" i="3"/>
  <c r="K408" i="3"/>
  <c r="K404" i="3"/>
  <c r="K400" i="3"/>
  <c r="K396" i="3"/>
  <c r="K392" i="3"/>
  <c r="K388" i="3"/>
  <c r="K384" i="3"/>
  <c r="K458" i="3"/>
  <c r="K449" i="3"/>
  <c r="K445" i="3"/>
  <c r="K441" i="3"/>
  <c r="K437" i="3"/>
  <c r="K433" i="3"/>
  <c r="K429" i="3"/>
  <c r="K425" i="3"/>
  <c r="K421" i="3"/>
  <c r="K417" i="3"/>
  <c r="K413" i="3"/>
  <c r="K409" i="3"/>
  <c r="K405" i="3"/>
  <c r="K401" i="3"/>
  <c r="K397" i="3"/>
  <c r="K457" i="3"/>
  <c r="K450" i="3"/>
  <c r="K446" i="3"/>
  <c r="K442" i="3"/>
  <c r="K438" i="3"/>
  <c r="K434" i="3"/>
  <c r="K430" i="3"/>
  <c r="K426" i="3"/>
  <c r="K422" i="3"/>
  <c r="K418" i="3"/>
  <c r="K414" i="3"/>
  <c r="K410" i="3"/>
  <c r="K406" i="3"/>
  <c r="K402" i="3"/>
  <c r="K398" i="3"/>
  <c r="K394" i="3"/>
  <c r="K454" i="3"/>
  <c r="K447" i="3"/>
  <c r="K443" i="3"/>
  <c r="K439" i="3"/>
  <c r="K435" i="3"/>
  <c r="K431" i="3"/>
  <c r="K427" i="3"/>
  <c r="K423" i="3"/>
  <c r="K419" i="3"/>
  <c r="K415" i="3"/>
  <c r="K411" i="3"/>
  <c r="K407" i="3"/>
  <c r="K403" i="3"/>
  <c r="K399" i="3"/>
  <c r="K395" i="3"/>
  <c r="K391" i="3"/>
  <c r="K387" i="3"/>
  <c r="K390" i="3"/>
  <c r="K383" i="3"/>
  <c r="K379" i="3"/>
  <c r="K375" i="3"/>
  <c r="K371" i="3"/>
  <c r="K367" i="3"/>
  <c r="K363" i="3"/>
  <c r="K359" i="3"/>
  <c r="K355" i="3"/>
  <c r="K351" i="3"/>
  <c r="K347" i="3"/>
  <c r="K343" i="3"/>
  <c r="K339" i="3"/>
  <c r="K335" i="3"/>
  <c r="K331" i="3"/>
  <c r="K327" i="3"/>
  <c r="K323" i="3"/>
  <c r="K319" i="3"/>
  <c r="K315" i="3"/>
  <c r="K311" i="3"/>
  <c r="K389" i="3"/>
  <c r="K380" i="3"/>
  <c r="K376" i="3"/>
  <c r="K372" i="3"/>
  <c r="K368" i="3"/>
  <c r="K364" i="3"/>
  <c r="K360" i="3"/>
  <c r="K356" i="3"/>
  <c r="K352" i="3"/>
  <c r="K348" i="3"/>
  <c r="K344" i="3"/>
  <c r="K340" i="3"/>
  <c r="K336" i="3"/>
  <c r="K332" i="3"/>
  <c r="K328" i="3"/>
  <c r="K324" i="3"/>
  <c r="K320" i="3"/>
  <c r="K386" i="3"/>
  <c r="K381" i="3"/>
  <c r="K377" i="3"/>
  <c r="K373" i="3"/>
  <c r="K369" i="3"/>
  <c r="K365" i="3"/>
  <c r="K361" i="3"/>
  <c r="K357" i="3"/>
  <c r="K353" i="3"/>
  <c r="K349" i="3"/>
  <c r="K345" i="3"/>
  <c r="K341" i="3"/>
  <c r="K337" i="3"/>
  <c r="K333" i="3"/>
  <c r="K329" i="3"/>
  <c r="K393" i="3"/>
  <c r="K385" i="3"/>
  <c r="K382" i="3"/>
  <c r="K378" i="3"/>
  <c r="K374" i="3"/>
  <c r="K370" i="3"/>
  <c r="K366" i="3"/>
  <c r="K362" i="3"/>
  <c r="K358" i="3"/>
  <c r="K354" i="3"/>
  <c r="K350" i="3"/>
  <c r="K346" i="3"/>
  <c r="K342" i="3"/>
  <c r="K338" i="3"/>
  <c r="K334" i="3"/>
  <c r="K330" i="3"/>
  <c r="K326" i="3"/>
  <c r="K322" i="3"/>
  <c r="K318" i="3"/>
  <c r="K314" i="3"/>
  <c r="K317" i="3"/>
  <c r="K310" i="3"/>
  <c r="K306" i="3"/>
  <c r="K302" i="3"/>
  <c r="K298" i="3"/>
  <c r="K294" i="3"/>
  <c r="K290" i="3"/>
  <c r="K286" i="3"/>
  <c r="K282" i="3"/>
  <c r="K278" i="3"/>
  <c r="K274" i="3"/>
  <c r="K270" i="3"/>
  <c r="K266" i="3"/>
  <c r="K262" i="3"/>
  <c r="K258" i="3"/>
  <c r="K254" i="3"/>
  <c r="K250" i="3"/>
  <c r="K246" i="3"/>
  <c r="K242" i="3"/>
  <c r="K238" i="3"/>
  <c r="K234" i="3"/>
  <c r="K230" i="3"/>
  <c r="K226" i="3"/>
  <c r="K222" i="3"/>
  <c r="K218" i="3"/>
  <c r="K321" i="3"/>
  <c r="K316" i="3"/>
  <c r="K307" i="3"/>
  <c r="K303" i="3"/>
  <c r="K299" i="3"/>
  <c r="K295" i="3"/>
  <c r="K291" i="3"/>
  <c r="K287" i="3"/>
  <c r="K283" i="3"/>
  <c r="K279" i="3"/>
  <c r="K275" i="3"/>
  <c r="K271" i="3"/>
  <c r="K267" i="3"/>
  <c r="K263" i="3"/>
  <c r="K259" i="3"/>
  <c r="K255" i="3"/>
  <c r="K251" i="3"/>
  <c r="K247" i="3"/>
  <c r="K243" i="3"/>
  <c r="K239" i="3"/>
  <c r="K235" i="3"/>
  <c r="K231" i="3"/>
  <c r="K227" i="3"/>
  <c r="K223" i="3"/>
  <c r="K325" i="3"/>
  <c r="K313" i="3"/>
  <c r="K308" i="3"/>
  <c r="K304" i="3"/>
  <c r="K300" i="3"/>
  <c r="K296" i="3"/>
  <c r="K292" i="3"/>
  <c r="K288" i="3"/>
  <c r="K284" i="3"/>
  <c r="K280" i="3"/>
  <c r="K276" i="3"/>
  <c r="K272" i="3"/>
  <c r="K268" i="3"/>
  <c r="K264" i="3"/>
  <c r="K260" i="3"/>
  <c r="K256" i="3"/>
  <c r="K252" i="3"/>
  <c r="K248" i="3"/>
  <c r="K312" i="3"/>
  <c r="K309" i="3"/>
  <c r="K305" i="3"/>
  <c r="K301" i="3"/>
  <c r="K297" i="3"/>
  <c r="K293" i="3"/>
  <c r="K289" i="3"/>
  <c r="K285" i="3"/>
  <c r="K281" i="3"/>
  <c r="K277" i="3"/>
  <c r="K273" i="3"/>
  <c r="K269" i="3"/>
  <c r="K265" i="3"/>
  <c r="K261" i="3"/>
  <c r="K257" i="3"/>
  <c r="K253" i="3"/>
  <c r="K249" i="3"/>
  <c r="K245" i="3"/>
  <c r="K241" i="3"/>
  <c r="K237" i="3"/>
  <c r="K233" i="3"/>
  <c r="K236" i="3"/>
  <c r="K225" i="3"/>
  <c r="K215" i="3"/>
  <c r="K211" i="3"/>
  <c r="K207" i="3"/>
  <c r="K203" i="3"/>
  <c r="K199" i="3"/>
  <c r="K195" i="3"/>
  <c r="K191" i="3"/>
  <c r="K187" i="3"/>
  <c r="K183" i="3"/>
  <c r="K179" i="3"/>
  <c r="K175" i="3"/>
  <c r="K171" i="3"/>
  <c r="K167" i="3"/>
  <c r="K163" i="3"/>
  <c r="K159" i="3"/>
  <c r="K155" i="3"/>
  <c r="K151" i="3"/>
  <c r="K147" i="3"/>
  <c r="K143" i="3"/>
  <c r="K139" i="3"/>
  <c r="K135" i="3"/>
  <c r="K240" i="3"/>
  <c r="K224" i="3"/>
  <c r="K220" i="3"/>
  <c r="K216" i="3"/>
  <c r="K212" i="3"/>
  <c r="K208" i="3"/>
  <c r="K204" i="3"/>
  <c r="K200" i="3"/>
  <c r="K196" i="3"/>
  <c r="K192" i="3"/>
  <c r="K188" i="3"/>
  <c r="K184" i="3"/>
  <c r="K180" i="3"/>
  <c r="K176" i="3"/>
  <c r="K172" i="3"/>
  <c r="K168" i="3"/>
  <c r="K164" i="3"/>
  <c r="K160" i="3"/>
  <c r="K156" i="3"/>
  <c r="K152" i="3"/>
  <c r="K148" i="3"/>
  <c r="K144" i="3"/>
  <c r="K140" i="3"/>
  <c r="K136" i="3"/>
  <c r="K244" i="3"/>
  <c r="K229" i="3"/>
  <c r="K217" i="3"/>
  <c r="K213" i="3"/>
  <c r="K209" i="3"/>
  <c r="K205" i="3"/>
  <c r="K201" i="3"/>
  <c r="K197" i="3"/>
  <c r="K193" i="3"/>
  <c r="K189" i="3"/>
  <c r="K185" i="3"/>
  <c r="K181" i="3"/>
  <c r="K177" i="3"/>
  <c r="K173" i="3"/>
  <c r="K169" i="3"/>
  <c r="K165" i="3"/>
  <c r="K161" i="3"/>
  <c r="K157" i="3"/>
  <c r="K153" i="3"/>
  <c r="K149" i="3"/>
  <c r="K145" i="3"/>
  <c r="K141" i="3"/>
  <c r="K137" i="3"/>
  <c r="K232" i="3"/>
  <c r="K228" i="3"/>
  <c r="K221" i="3"/>
  <c r="K219" i="3"/>
  <c r="K214" i="3"/>
  <c r="K210" i="3"/>
  <c r="K206" i="3"/>
  <c r="K202" i="3"/>
  <c r="K198" i="3"/>
  <c r="K194" i="3"/>
  <c r="K190" i="3"/>
  <c r="K186" i="3"/>
  <c r="K182" i="3"/>
  <c r="K178" i="3"/>
  <c r="K174" i="3"/>
  <c r="K170" i="3"/>
  <c r="K166" i="3"/>
  <c r="K162" i="3"/>
  <c r="K158" i="3"/>
  <c r="K154" i="3"/>
  <c r="K150" i="3"/>
  <c r="K146" i="3"/>
  <c r="K142" i="3"/>
  <c r="K138" i="3"/>
  <c r="K134" i="3"/>
  <c r="O728" i="3"/>
  <c r="O130" i="3"/>
  <c r="O725" i="3"/>
  <c r="O721" i="3"/>
  <c r="O717" i="3"/>
  <c r="O726" i="3"/>
  <c r="O722" i="3"/>
  <c r="O718" i="3"/>
  <c r="O714" i="3"/>
  <c r="O727" i="3"/>
  <c r="O723" i="3"/>
  <c r="O719" i="3"/>
  <c r="O715" i="3"/>
  <c r="O716" i="3"/>
  <c r="O710" i="3"/>
  <c r="O706" i="3"/>
  <c r="O702" i="3"/>
  <c r="O720" i="3"/>
  <c r="O712" i="3"/>
  <c r="O711" i="3"/>
  <c r="O707" i="3"/>
  <c r="O703" i="3"/>
  <c r="O724" i="3"/>
  <c r="O708" i="3"/>
  <c r="O704" i="3"/>
  <c r="O713" i="3"/>
  <c r="O709" i="3"/>
  <c r="O705" i="3"/>
  <c r="O701" i="3"/>
  <c r="O697" i="3"/>
  <c r="O693" i="3"/>
  <c r="O689" i="3"/>
  <c r="O685" i="3"/>
  <c r="O681" i="3"/>
  <c r="O698" i="3"/>
  <c r="O694" i="3"/>
  <c r="O690" i="3"/>
  <c r="O686" i="3"/>
  <c r="O682" i="3"/>
  <c r="O699" i="3"/>
  <c r="O695" i="3"/>
  <c r="O691" i="3"/>
  <c r="O687" i="3"/>
  <c r="O700" i="3"/>
  <c r="O696" i="3"/>
  <c r="O692" i="3"/>
  <c r="O688" i="3"/>
  <c r="O684" i="3"/>
  <c r="O683" i="3"/>
  <c r="O678" i="3"/>
  <c r="O674" i="3"/>
  <c r="O670" i="3"/>
  <c r="O666" i="3"/>
  <c r="O662" i="3"/>
  <c r="O679" i="3"/>
  <c r="O675" i="3"/>
  <c r="O671" i="3"/>
  <c r="O667" i="3"/>
  <c r="O663" i="3"/>
  <c r="O659" i="3"/>
  <c r="O680" i="3"/>
  <c r="O676" i="3"/>
  <c r="O672" i="3"/>
  <c r="O668" i="3"/>
  <c r="O677" i="3"/>
  <c r="O673" i="3"/>
  <c r="O669" i="3"/>
  <c r="O665" i="3"/>
  <c r="O661" i="3"/>
  <c r="O657" i="3"/>
  <c r="O654" i="3"/>
  <c r="O650" i="3"/>
  <c r="O646" i="3"/>
  <c r="O642" i="3"/>
  <c r="O638" i="3"/>
  <c r="O634" i="3"/>
  <c r="O630" i="3"/>
  <c r="O626" i="3"/>
  <c r="O658" i="3"/>
  <c r="O655" i="3"/>
  <c r="O651" i="3"/>
  <c r="O647" i="3"/>
  <c r="O643" i="3"/>
  <c r="O639" i="3"/>
  <c r="O635" i="3"/>
  <c r="O631" i="3"/>
  <c r="O664" i="3"/>
  <c r="O660" i="3"/>
  <c r="O656" i="3"/>
  <c r="O652" i="3"/>
  <c r="O648" i="3"/>
  <c r="O644" i="3"/>
  <c r="O640" i="3"/>
  <c r="O636" i="3"/>
  <c r="O632" i="3"/>
  <c r="O653" i="3"/>
  <c r="O649" i="3"/>
  <c r="O645" i="3"/>
  <c r="O641" i="3"/>
  <c r="O637" i="3"/>
  <c r="O633" i="3"/>
  <c r="O629" i="3"/>
  <c r="O625" i="3"/>
  <c r="O621" i="3"/>
  <c r="O617" i="3"/>
  <c r="O613" i="3"/>
  <c r="O609" i="3"/>
  <c r="O605" i="3"/>
  <c r="O601" i="3"/>
  <c r="O597" i="3"/>
  <c r="O593" i="3"/>
  <c r="O589" i="3"/>
  <c r="O622" i="3"/>
  <c r="O618" i="3"/>
  <c r="O614" i="3"/>
  <c r="O610" i="3"/>
  <c r="O606" i="3"/>
  <c r="O602" i="3"/>
  <c r="O598" i="3"/>
  <c r="O594" i="3"/>
  <c r="O628" i="3"/>
  <c r="O623" i="3"/>
  <c r="O619" i="3"/>
  <c r="O615" i="3"/>
  <c r="O611" i="3"/>
  <c r="O607" i="3"/>
  <c r="O603" i="3"/>
  <c r="O627" i="3"/>
  <c r="O624" i="3"/>
  <c r="O620" i="3"/>
  <c r="O616" i="3"/>
  <c r="O612" i="3"/>
  <c r="O608" i="3"/>
  <c r="O604" i="3"/>
  <c r="O600" i="3"/>
  <c r="O596" i="3"/>
  <c r="O599" i="3"/>
  <c r="O590" i="3"/>
  <c r="O588" i="3"/>
  <c r="O584" i="3"/>
  <c r="O580" i="3"/>
  <c r="O576" i="3"/>
  <c r="O572" i="3"/>
  <c r="O568" i="3"/>
  <c r="O564" i="3"/>
  <c r="O560" i="3"/>
  <c r="O592" i="3"/>
  <c r="O585" i="3"/>
  <c r="O581" i="3"/>
  <c r="O577" i="3"/>
  <c r="O573" i="3"/>
  <c r="O569" i="3"/>
  <c r="O565" i="3"/>
  <c r="O591" i="3"/>
  <c r="O586" i="3"/>
  <c r="O582" i="3"/>
  <c r="O578" i="3"/>
  <c r="O574" i="3"/>
  <c r="O570" i="3"/>
  <c r="O566" i="3"/>
  <c r="O595" i="3"/>
  <c r="O587" i="3"/>
  <c r="O583" i="3"/>
  <c r="O579" i="3"/>
  <c r="O575" i="3"/>
  <c r="O571" i="3"/>
  <c r="O567" i="3"/>
  <c r="O563" i="3"/>
  <c r="O559" i="3"/>
  <c r="O555" i="3"/>
  <c r="O551" i="3"/>
  <c r="O547" i="3"/>
  <c r="O543" i="3"/>
  <c r="O539" i="3"/>
  <c r="O535" i="3"/>
  <c r="O531" i="3"/>
  <c r="O527" i="3"/>
  <c r="O523" i="3"/>
  <c r="O562" i="3"/>
  <c r="O556" i="3"/>
  <c r="O552" i="3"/>
  <c r="O548" i="3"/>
  <c r="O544" i="3"/>
  <c r="O540" i="3"/>
  <c r="O536" i="3"/>
  <c r="O532" i="3"/>
  <c r="O528" i="3"/>
  <c r="O561" i="3"/>
  <c r="O557" i="3"/>
  <c r="O553" i="3"/>
  <c r="O549" i="3"/>
  <c r="O545" i="3"/>
  <c r="O541" i="3"/>
  <c r="O537" i="3"/>
  <c r="O533" i="3"/>
  <c r="O529" i="3"/>
  <c r="O525" i="3"/>
  <c r="O558" i="3"/>
  <c r="O554" i="3"/>
  <c r="O550" i="3"/>
  <c r="O546" i="3"/>
  <c r="O542" i="3"/>
  <c r="O538" i="3"/>
  <c r="O534" i="3"/>
  <c r="O530" i="3"/>
  <c r="O526" i="3"/>
  <c r="O522" i="3"/>
  <c r="O524" i="3"/>
  <c r="O519" i="3"/>
  <c r="O516" i="3"/>
  <c r="O512" i="3"/>
  <c r="O508" i="3"/>
  <c r="O504" i="3"/>
  <c r="O500" i="3"/>
  <c r="O496" i="3"/>
  <c r="O492" i="3"/>
  <c r="O488" i="3"/>
  <c r="O484" i="3"/>
  <c r="O480" i="3"/>
  <c r="O476" i="3"/>
  <c r="O472" i="3"/>
  <c r="O468" i="3"/>
  <c r="O464" i="3"/>
  <c r="O460" i="3"/>
  <c r="O456" i="3"/>
  <c r="O452" i="3"/>
  <c r="O521" i="3"/>
  <c r="O517" i="3"/>
  <c r="O513" i="3"/>
  <c r="O509" i="3"/>
  <c r="O505" i="3"/>
  <c r="O501" i="3"/>
  <c r="O497" i="3"/>
  <c r="O493" i="3"/>
  <c r="O489" i="3"/>
  <c r="O485" i="3"/>
  <c r="O481" i="3"/>
  <c r="O477" i="3"/>
  <c r="O473" i="3"/>
  <c r="O469" i="3"/>
  <c r="O465" i="3"/>
  <c r="O461" i="3"/>
  <c r="O520" i="3"/>
  <c r="O518" i="3"/>
  <c r="O514" i="3"/>
  <c r="O510" i="3"/>
  <c r="O506" i="3"/>
  <c r="O502" i="3"/>
  <c r="O498" i="3"/>
  <c r="O494" i="3"/>
  <c r="O490" i="3"/>
  <c r="O486" i="3"/>
  <c r="O482" i="3"/>
  <c r="O478" i="3"/>
  <c r="O474" i="3"/>
  <c r="O470" i="3"/>
  <c r="O466" i="3"/>
  <c r="O462" i="3"/>
  <c r="O515" i="3"/>
  <c r="O511" i="3"/>
  <c r="O507" i="3"/>
  <c r="O503" i="3"/>
  <c r="O499" i="3"/>
  <c r="O495" i="3"/>
  <c r="O491" i="3"/>
  <c r="O487" i="3"/>
  <c r="O483" i="3"/>
  <c r="O479" i="3"/>
  <c r="O475" i="3"/>
  <c r="O471" i="3"/>
  <c r="O467" i="3"/>
  <c r="O463" i="3"/>
  <c r="O459" i="3"/>
  <c r="O455" i="3"/>
  <c r="O451" i="3"/>
  <c r="O457" i="3"/>
  <c r="O448" i="3"/>
  <c r="O444" i="3"/>
  <c r="O440" i="3"/>
  <c r="O436" i="3"/>
  <c r="O432" i="3"/>
  <c r="O428" i="3"/>
  <c r="O424" i="3"/>
  <c r="O420" i="3"/>
  <c r="O416" i="3"/>
  <c r="O412" i="3"/>
  <c r="O408" i="3"/>
  <c r="O404" i="3"/>
  <c r="O400" i="3"/>
  <c r="O396" i="3"/>
  <c r="O392" i="3"/>
  <c r="O388" i="3"/>
  <c r="O384" i="3"/>
  <c r="O454" i="3"/>
  <c r="O449" i="3"/>
  <c r="O445" i="3"/>
  <c r="O441" i="3"/>
  <c r="O437" i="3"/>
  <c r="O433" i="3"/>
  <c r="O429" i="3"/>
  <c r="O425" i="3"/>
  <c r="O421" i="3"/>
  <c r="O417" i="3"/>
  <c r="O413" i="3"/>
  <c r="O409" i="3"/>
  <c r="O405" i="3"/>
  <c r="O401" i="3"/>
  <c r="O397" i="3"/>
  <c r="O453" i="3"/>
  <c r="O450" i="3"/>
  <c r="O446" i="3"/>
  <c r="O442" i="3"/>
  <c r="O438" i="3"/>
  <c r="O434" i="3"/>
  <c r="O430" i="3"/>
  <c r="O426" i="3"/>
  <c r="O422" i="3"/>
  <c r="O418" i="3"/>
  <c r="O414" i="3"/>
  <c r="O410" i="3"/>
  <c r="O406" i="3"/>
  <c r="O402" i="3"/>
  <c r="O398" i="3"/>
  <c r="O394" i="3"/>
  <c r="O458" i="3"/>
  <c r="O447" i="3"/>
  <c r="O443" i="3"/>
  <c r="O439" i="3"/>
  <c r="O435" i="3"/>
  <c r="O431" i="3"/>
  <c r="O427" i="3"/>
  <c r="O423" i="3"/>
  <c r="O419" i="3"/>
  <c r="O415" i="3"/>
  <c r="O411" i="3"/>
  <c r="O407" i="3"/>
  <c r="O403" i="3"/>
  <c r="O399" i="3"/>
  <c r="O395" i="3"/>
  <c r="O391" i="3"/>
  <c r="O387" i="3"/>
  <c r="O386" i="3"/>
  <c r="O383" i="3"/>
  <c r="O379" i="3"/>
  <c r="O375" i="3"/>
  <c r="O371" i="3"/>
  <c r="O367" i="3"/>
  <c r="O363" i="3"/>
  <c r="O359" i="3"/>
  <c r="O355" i="3"/>
  <c r="O351" i="3"/>
  <c r="O347" i="3"/>
  <c r="O343" i="3"/>
  <c r="O339" i="3"/>
  <c r="O335" i="3"/>
  <c r="O331" i="3"/>
  <c r="O327" i="3"/>
  <c r="O323" i="3"/>
  <c r="O319" i="3"/>
  <c r="O315" i="3"/>
  <c r="O311" i="3"/>
  <c r="O393" i="3"/>
  <c r="O385" i="3"/>
  <c r="O380" i="3"/>
  <c r="O376" i="3"/>
  <c r="O372" i="3"/>
  <c r="O368" i="3"/>
  <c r="O364" i="3"/>
  <c r="O360" i="3"/>
  <c r="O356" i="3"/>
  <c r="O352" i="3"/>
  <c r="O348" i="3"/>
  <c r="O344" i="3"/>
  <c r="O340" i="3"/>
  <c r="O336" i="3"/>
  <c r="O332" i="3"/>
  <c r="O328" i="3"/>
  <c r="O324" i="3"/>
  <c r="O320" i="3"/>
  <c r="O390" i="3"/>
  <c r="O381" i="3"/>
  <c r="O377" i="3"/>
  <c r="O373" i="3"/>
  <c r="O369" i="3"/>
  <c r="O365" i="3"/>
  <c r="O361" i="3"/>
  <c r="O357" i="3"/>
  <c r="O353" i="3"/>
  <c r="O349" i="3"/>
  <c r="O345" i="3"/>
  <c r="O341" i="3"/>
  <c r="O337" i="3"/>
  <c r="O333" i="3"/>
  <c r="O329" i="3"/>
  <c r="O389" i="3"/>
  <c r="O382" i="3"/>
  <c r="O378" i="3"/>
  <c r="O374" i="3"/>
  <c r="O370" i="3"/>
  <c r="O366" i="3"/>
  <c r="O362" i="3"/>
  <c r="O358" i="3"/>
  <c r="O354" i="3"/>
  <c r="O350" i="3"/>
  <c r="O346" i="3"/>
  <c r="O342" i="3"/>
  <c r="O338" i="3"/>
  <c r="O334" i="3"/>
  <c r="O330" i="3"/>
  <c r="O326" i="3"/>
  <c r="O322" i="3"/>
  <c r="O318" i="3"/>
  <c r="O314" i="3"/>
  <c r="O321" i="3"/>
  <c r="O313" i="3"/>
  <c r="O310" i="3"/>
  <c r="O306" i="3"/>
  <c r="O302" i="3"/>
  <c r="O298" i="3"/>
  <c r="O294" i="3"/>
  <c r="O290" i="3"/>
  <c r="O286" i="3"/>
  <c r="O282" i="3"/>
  <c r="O278" i="3"/>
  <c r="O274" i="3"/>
  <c r="O270" i="3"/>
  <c r="O266" i="3"/>
  <c r="O262" i="3"/>
  <c r="O258" i="3"/>
  <c r="O254" i="3"/>
  <c r="O250" i="3"/>
  <c r="O246" i="3"/>
  <c r="O242" i="3"/>
  <c r="O238" i="3"/>
  <c r="O234" i="3"/>
  <c r="O230" i="3"/>
  <c r="O226" i="3"/>
  <c r="O222" i="3"/>
  <c r="O218" i="3"/>
  <c r="O325" i="3"/>
  <c r="O312" i="3"/>
  <c r="O307" i="3"/>
  <c r="O303" i="3"/>
  <c r="O299" i="3"/>
  <c r="O295" i="3"/>
  <c r="O291" i="3"/>
  <c r="O287" i="3"/>
  <c r="O283" i="3"/>
  <c r="O279" i="3"/>
  <c r="O275" i="3"/>
  <c r="O271" i="3"/>
  <c r="O267" i="3"/>
  <c r="O263" i="3"/>
  <c r="O259" i="3"/>
  <c r="O255" i="3"/>
  <c r="O251" i="3"/>
  <c r="O247" i="3"/>
  <c r="O243" i="3"/>
  <c r="O239" i="3"/>
  <c r="O235" i="3"/>
  <c r="O231" i="3"/>
  <c r="O227" i="3"/>
  <c r="O223" i="3"/>
  <c r="O308" i="3"/>
  <c r="O304" i="3"/>
  <c r="O300" i="3"/>
  <c r="O296" i="3"/>
  <c r="O292" i="3"/>
  <c r="O288" i="3"/>
  <c r="O284" i="3"/>
  <c r="O280" i="3"/>
  <c r="O276" i="3"/>
  <c r="O272" i="3"/>
  <c r="O268" i="3"/>
  <c r="O264" i="3"/>
  <c r="O260" i="3"/>
  <c r="O256" i="3"/>
  <c r="O252" i="3"/>
  <c r="O248" i="3"/>
  <c r="O317" i="3"/>
  <c r="O316" i="3"/>
  <c r="O309" i="3"/>
  <c r="O305" i="3"/>
  <c r="O301" i="3"/>
  <c r="O297" i="3"/>
  <c r="O293" i="3"/>
  <c r="O289" i="3"/>
  <c r="O285" i="3"/>
  <c r="O281" i="3"/>
  <c r="O277" i="3"/>
  <c r="O273" i="3"/>
  <c r="O269" i="3"/>
  <c r="O265" i="3"/>
  <c r="O261" i="3"/>
  <c r="O257" i="3"/>
  <c r="O253" i="3"/>
  <c r="O249" i="3"/>
  <c r="O245" i="3"/>
  <c r="O241" i="3"/>
  <c r="O237" i="3"/>
  <c r="O233" i="3"/>
  <c r="O240" i="3"/>
  <c r="O229" i="3"/>
  <c r="O221" i="3"/>
  <c r="O219" i="3"/>
  <c r="O215" i="3"/>
  <c r="O211" i="3"/>
  <c r="O207" i="3"/>
  <c r="O203" i="3"/>
  <c r="O199" i="3"/>
  <c r="O195" i="3"/>
  <c r="O191" i="3"/>
  <c r="O187" i="3"/>
  <c r="O183" i="3"/>
  <c r="O179" i="3"/>
  <c r="O175" i="3"/>
  <c r="O171" i="3"/>
  <c r="O167" i="3"/>
  <c r="O163" i="3"/>
  <c r="O159" i="3"/>
  <c r="O155" i="3"/>
  <c r="O151" i="3"/>
  <c r="O147" i="3"/>
  <c r="O143" i="3"/>
  <c r="O139" i="3"/>
  <c r="O135" i="3"/>
  <c r="O244" i="3"/>
  <c r="O228" i="3"/>
  <c r="O216" i="3"/>
  <c r="O212" i="3"/>
  <c r="O208" i="3"/>
  <c r="O204" i="3"/>
  <c r="O200" i="3"/>
  <c r="O196" i="3"/>
  <c r="O192" i="3"/>
  <c r="O188" i="3"/>
  <c r="O184" i="3"/>
  <c r="O180" i="3"/>
  <c r="O176" i="3"/>
  <c r="O172" i="3"/>
  <c r="O168" i="3"/>
  <c r="O164" i="3"/>
  <c r="O160" i="3"/>
  <c r="O156" i="3"/>
  <c r="O152" i="3"/>
  <c r="O148" i="3"/>
  <c r="O144" i="3"/>
  <c r="O140" i="3"/>
  <c r="O136" i="3"/>
  <c r="O232" i="3"/>
  <c r="O225" i="3"/>
  <c r="O220" i="3"/>
  <c r="O217" i="3"/>
  <c r="O213" i="3"/>
  <c r="O209" i="3"/>
  <c r="O205" i="3"/>
  <c r="O201" i="3"/>
  <c r="O197" i="3"/>
  <c r="O193" i="3"/>
  <c r="O189" i="3"/>
  <c r="O185" i="3"/>
  <c r="O181" i="3"/>
  <c r="O177" i="3"/>
  <c r="O173" i="3"/>
  <c r="O169" i="3"/>
  <c r="O165" i="3"/>
  <c r="O161" i="3"/>
  <c r="O157" i="3"/>
  <c r="O153" i="3"/>
  <c r="O149" i="3"/>
  <c r="O145" i="3"/>
  <c r="O141" i="3"/>
  <c r="O137" i="3"/>
  <c r="O236" i="3"/>
  <c r="O224" i="3"/>
  <c r="O214" i="3"/>
  <c r="O210" i="3"/>
  <c r="O206" i="3"/>
  <c r="O202" i="3"/>
  <c r="O198" i="3"/>
  <c r="O194" i="3"/>
  <c r="O190" i="3"/>
  <c r="O186" i="3"/>
  <c r="O182" i="3"/>
  <c r="O178" i="3"/>
  <c r="O174" i="3"/>
  <c r="O170" i="3"/>
  <c r="O166" i="3"/>
  <c r="O162" i="3"/>
  <c r="O158" i="3"/>
  <c r="O154" i="3"/>
  <c r="O150" i="3"/>
  <c r="O146" i="3"/>
  <c r="O142" i="3"/>
  <c r="O138" i="3"/>
  <c r="O134" i="3"/>
  <c r="S728" i="3"/>
  <c r="S130" i="3"/>
  <c r="S725" i="3"/>
  <c r="S721" i="3"/>
  <c r="S717" i="3"/>
  <c r="S726" i="3"/>
  <c r="S722" i="3"/>
  <c r="S718" i="3"/>
  <c r="S714" i="3"/>
  <c r="S727" i="3"/>
  <c r="S723" i="3"/>
  <c r="S719" i="3"/>
  <c r="S715" i="3"/>
  <c r="S720" i="3"/>
  <c r="S713" i="3"/>
  <c r="S710" i="3"/>
  <c r="S706" i="3"/>
  <c r="S702" i="3"/>
  <c r="S724" i="3"/>
  <c r="S711" i="3"/>
  <c r="S707" i="3"/>
  <c r="S703" i="3"/>
  <c r="S712" i="3"/>
  <c r="S708" i="3"/>
  <c r="S704" i="3"/>
  <c r="S716" i="3"/>
  <c r="S709" i="3"/>
  <c r="S705" i="3"/>
  <c r="S701" i="3"/>
  <c r="S699" i="3"/>
  <c r="S697" i="3"/>
  <c r="S693" i="3"/>
  <c r="S689" i="3"/>
  <c r="S685" i="3"/>
  <c r="S681" i="3"/>
  <c r="S698" i="3"/>
  <c r="S694" i="3"/>
  <c r="S690" i="3"/>
  <c r="S686" i="3"/>
  <c r="S682" i="3"/>
  <c r="S700" i="3"/>
  <c r="S695" i="3"/>
  <c r="S691" i="3"/>
  <c r="S687" i="3"/>
  <c r="S696" i="3"/>
  <c r="S692" i="3"/>
  <c r="S688" i="3"/>
  <c r="S684" i="3"/>
  <c r="S678" i="3"/>
  <c r="S674" i="3"/>
  <c r="S670" i="3"/>
  <c r="S666" i="3"/>
  <c r="S662" i="3"/>
  <c r="S679" i="3"/>
  <c r="S675" i="3"/>
  <c r="S671" i="3"/>
  <c r="S667" i="3"/>
  <c r="S663" i="3"/>
  <c r="S659" i="3"/>
  <c r="S680" i="3"/>
  <c r="S676" i="3"/>
  <c r="S672" i="3"/>
  <c r="S668" i="3"/>
  <c r="S683" i="3"/>
  <c r="S677" i="3"/>
  <c r="S673" i="3"/>
  <c r="S669" i="3"/>
  <c r="S665" i="3"/>
  <c r="S661" i="3"/>
  <c r="S657" i="3"/>
  <c r="S660" i="3"/>
  <c r="S654" i="3"/>
  <c r="S650" i="3"/>
  <c r="S646" i="3"/>
  <c r="S642" i="3"/>
  <c r="S638" i="3"/>
  <c r="S634" i="3"/>
  <c r="S630" i="3"/>
  <c r="S626" i="3"/>
  <c r="S664" i="3"/>
  <c r="S655" i="3"/>
  <c r="S651" i="3"/>
  <c r="S647" i="3"/>
  <c r="S643" i="3"/>
  <c r="S639" i="3"/>
  <c r="S635" i="3"/>
  <c r="S631" i="3"/>
  <c r="S658" i="3"/>
  <c r="S652" i="3"/>
  <c r="S648" i="3"/>
  <c r="S644" i="3"/>
  <c r="S640" i="3"/>
  <c r="S636" i="3"/>
  <c r="S632" i="3"/>
  <c r="S656" i="3"/>
  <c r="S653" i="3"/>
  <c r="S649" i="3"/>
  <c r="S645" i="3"/>
  <c r="S641" i="3"/>
  <c r="S637" i="3"/>
  <c r="S633" i="3"/>
  <c r="S629" i="3"/>
  <c r="S625" i="3"/>
  <c r="S628" i="3"/>
  <c r="S621" i="3"/>
  <c r="S617" i="3"/>
  <c r="S613" i="3"/>
  <c r="S609" i="3"/>
  <c r="S605" i="3"/>
  <c r="S601" i="3"/>
  <c r="S597" i="3"/>
  <c r="S593" i="3"/>
  <c r="S589" i="3"/>
  <c r="S627" i="3"/>
  <c r="S622" i="3"/>
  <c r="S618" i="3"/>
  <c r="S614" i="3"/>
  <c r="S610" i="3"/>
  <c r="S606" i="3"/>
  <c r="S602" i="3"/>
  <c r="S598" i="3"/>
  <c r="S594" i="3"/>
  <c r="S623" i="3"/>
  <c r="S619" i="3"/>
  <c r="S615" i="3"/>
  <c r="S611" i="3"/>
  <c r="S607" i="3"/>
  <c r="S603" i="3"/>
  <c r="S624" i="3"/>
  <c r="S620" i="3"/>
  <c r="S616" i="3"/>
  <c r="S612" i="3"/>
  <c r="S608" i="3"/>
  <c r="S604" i="3"/>
  <c r="S600" i="3"/>
  <c r="S596" i="3"/>
  <c r="S588" i="3"/>
  <c r="S584" i="3"/>
  <c r="S580" i="3"/>
  <c r="S576" i="3"/>
  <c r="S572" i="3"/>
  <c r="S568" i="3"/>
  <c r="S564" i="3"/>
  <c r="S560" i="3"/>
  <c r="S590" i="3"/>
  <c r="S585" i="3"/>
  <c r="S581" i="3"/>
  <c r="S577" i="3"/>
  <c r="S573" i="3"/>
  <c r="S569" i="3"/>
  <c r="S565" i="3"/>
  <c r="S595" i="3"/>
  <c r="S586" i="3"/>
  <c r="S582" i="3"/>
  <c r="S578" i="3"/>
  <c r="S574" i="3"/>
  <c r="S570" i="3"/>
  <c r="S566" i="3"/>
  <c r="S599" i="3"/>
  <c r="S592" i="3"/>
  <c r="S591" i="3"/>
  <c r="S587" i="3"/>
  <c r="S583" i="3"/>
  <c r="S579" i="3"/>
  <c r="S575" i="3"/>
  <c r="S571" i="3"/>
  <c r="S567" i="3"/>
  <c r="S563" i="3"/>
  <c r="S559" i="3"/>
  <c r="S561" i="3"/>
  <c r="S555" i="3"/>
  <c r="S551" i="3"/>
  <c r="S547" i="3"/>
  <c r="S543" i="3"/>
  <c r="S539" i="3"/>
  <c r="S535" i="3"/>
  <c r="S531" i="3"/>
  <c r="S527" i="3"/>
  <c r="S523" i="3"/>
  <c r="S519" i="3"/>
  <c r="S558" i="3"/>
  <c r="S556" i="3"/>
  <c r="S552" i="3"/>
  <c r="S548" i="3"/>
  <c r="S544" i="3"/>
  <c r="S540" i="3"/>
  <c r="S536" i="3"/>
  <c r="S532" i="3"/>
  <c r="S528" i="3"/>
  <c r="S557" i="3"/>
  <c r="S553" i="3"/>
  <c r="S549" i="3"/>
  <c r="S545" i="3"/>
  <c r="S541" i="3"/>
  <c r="S537" i="3"/>
  <c r="S533" i="3"/>
  <c r="S529" i="3"/>
  <c r="S525" i="3"/>
  <c r="S562" i="3"/>
  <c r="S554" i="3"/>
  <c r="S550" i="3"/>
  <c r="S546" i="3"/>
  <c r="S542" i="3"/>
  <c r="S538" i="3"/>
  <c r="S534" i="3"/>
  <c r="S530" i="3"/>
  <c r="S526" i="3"/>
  <c r="S522" i="3"/>
  <c r="S520" i="3"/>
  <c r="S516" i="3"/>
  <c r="S512" i="3"/>
  <c r="S508" i="3"/>
  <c r="S504" i="3"/>
  <c r="S500" i="3"/>
  <c r="S496" i="3"/>
  <c r="S492" i="3"/>
  <c r="S488" i="3"/>
  <c r="S484" i="3"/>
  <c r="S480" i="3"/>
  <c r="S476" i="3"/>
  <c r="S472" i="3"/>
  <c r="S468" i="3"/>
  <c r="S464" i="3"/>
  <c r="S460" i="3"/>
  <c r="S456" i="3"/>
  <c r="S452" i="3"/>
  <c r="S517" i="3"/>
  <c r="S513" i="3"/>
  <c r="S509" i="3"/>
  <c r="S505" i="3"/>
  <c r="S501" i="3"/>
  <c r="S497" i="3"/>
  <c r="S493" i="3"/>
  <c r="S489" i="3"/>
  <c r="S485" i="3"/>
  <c r="S481" i="3"/>
  <c r="S477" i="3"/>
  <c r="S473" i="3"/>
  <c r="S469" i="3"/>
  <c r="S465" i="3"/>
  <c r="S461" i="3"/>
  <c r="S524" i="3"/>
  <c r="S518" i="3"/>
  <c r="S514" i="3"/>
  <c r="S510" i="3"/>
  <c r="S506" i="3"/>
  <c r="S502" i="3"/>
  <c r="S498" i="3"/>
  <c r="S494" i="3"/>
  <c r="S490" i="3"/>
  <c r="S486" i="3"/>
  <c r="S482" i="3"/>
  <c r="S478" i="3"/>
  <c r="S474" i="3"/>
  <c r="S470" i="3"/>
  <c r="S466" i="3"/>
  <c r="S462" i="3"/>
  <c r="S521" i="3"/>
  <c r="S515" i="3"/>
  <c r="S511" i="3"/>
  <c r="S507" i="3"/>
  <c r="S503" i="3"/>
  <c r="S499" i="3"/>
  <c r="S495" i="3"/>
  <c r="S491" i="3"/>
  <c r="S487" i="3"/>
  <c r="S483" i="3"/>
  <c r="S479" i="3"/>
  <c r="S475" i="3"/>
  <c r="S471" i="3"/>
  <c r="S467" i="3"/>
  <c r="S463" i="3"/>
  <c r="S459" i="3"/>
  <c r="S455" i="3"/>
  <c r="S451" i="3"/>
  <c r="S453" i="3"/>
  <c r="S448" i="3"/>
  <c r="S444" i="3"/>
  <c r="S440" i="3"/>
  <c r="S436" i="3"/>
  <c r="S432" i="3"/>
  <c r="S428" i="3"/>
  <c r="S424" i="3"/>
  <c r="S420" i="3"/>
  <c r="S416" i="3"/>
  <c r="S412" i="3"/>
  <c r="S408" i="3"/>
  <c r="S404" i="3"/>
  <c r="S400" i="3"/>
  <c r="S396" i="3"/>
  <c r="S392" i="3"/>
  <c r="S388" i="3"/>
  <c r="S384" i="3"/>
  <c r="S458" i="3"/>
  <c r="S449" i="3"/>
  <c r="S445" i="3"/>
  <c r="S441" i="3"/>
  <c r="S437" i="3"/>
  <c r="S433" i="3"/>
  <c r="S429" i="3"/>
  <c r="S425" i="3"/>
  <c r="S421" i="3"/>
  <c r="S417" i="3"/>
  <c r="S413" i="3"/>
  <c r="S409" i="3"/>
  <c r="S405" i="3"/>
  <c r="S401" i="3"/>
  <c r="S397" i="3"/>
  <c r="S457" i="3"/>
  <c r="S450" i="3"/>
  <c r="S446" i="3"/>
  <c r="S442" i="3"/>
  <c r="S438" i="3"/>
  <c r="S434" i="3"/>
  <c r="S430" i="3"/>
  <c r="S426" i="3"/>
  <c r="S422" i="3"/>
  <c r="S418" i="3"/>
  <c r="S414" i="3"/>
  <c r="S410" i="3"/>
  <c r="S406" i="3"/>
  <c r="S402" i="3"/>
  <c r="S398" i="3"/>
  <c r="S394" i="3"/>
  <c r="S454" i="3"/>
  <c r="S447" i="3"/>
  <c r="S443" i="3"/>
  <c r="S439" i="3"/>
  <c r="S435" i="3"/>
  <c r="S431" i="3"/>
  <c r="S427" i="3"/>
  <c r="S423" i="3"/>
  <c r="S419" i="3"/>
  <c r="S415" i="3"/>
  <c r="S411" i="3"/>
  <c r="S407" i="3"/>
  <c r="S403" i="3"/>
  <c r="S399" i="3"/>
  <c r="S395" i="3"/>
  <c r="S391" i="3"/>
  <c r="S387" i="3"/>
  <c r="S393" i="3"/>
  <c r="S390" i="3"/>
  <c r="S383" i="3"/>
  <c r="S379" i="3"/>
  <c r="S375" i="3"/>
  <c r="S371" i="3"/>
  <c r="S367" i="3"/>
  <c r="S363" i="3"/>
  <c r="S359" i="3"/>
  <c r="S355" i="3"/>
  <c r="S351" i="3"/>
  <c r="S347" i="3"/>
  <c r="S343" i="3"/>
  <c r="S339" i="3"/>
  <c r="S335" i="3"/>
  <c r="S331" i="3"/>
  <c r="S327" i="3"/>
  <c r="S323" i="3"/>
  <c r="S319" i="3"/>
  <c r="S315" i="3"/>
  <c r="S311" i="3"/>
  <c r="S389" i="3"/>
  <c r="S380" i="3"/>
  <c r="S376" i="3"/>
  <c r="S372" i="3"/>
  <c r="S368" i="3"/>
  <c r="S364" i="3"/>
  <c r="S360" i="3"/>
  <c r="S356" i="3"/>
  <c r="S352" i="3"/>
  <c r="S348" i="3"/>
  <c r="S344" i="3"/>
  <c r="S340" i="3"/>
  <c r="S336" i="3"/>
  <c r="S332" i="3"/>
  <c r="S328" i="3"/>
  <c r="S324" i="3"/>
  <c r="S320" i="3"/>
  <c r="S386" i="3"/>
  <c r="S381" i="3"/>
  <c r="S377" i="3"/>
  <c r="S373" i="3"/>
  <c r="S369" i="3"/>
  <c r="S365" i="3"/>
  <c r="S361" i="3"/>
  <c r="S357" i="3"/>
  <c r="S353" i="3"/>
  <c r="S349" i="3"/>
  <c r="S345" i="3"/>
  <c r="S341" i="3"/>
  <c r="S337" i="3"/>
  <c r="S333" i="3"/>
  <c r="S329" i="3"/>
  <c r="S385" i="3"/>
  <c r="S382" i="3"/>
  <c r="S378" i="3"/>
  <c r="S374" i="3"/>
  <c r="S370" i="3"/>
  <c r="S366" i="3"/>
  <c r="S362" i="3"/>
  <c r="S358" i="3"/>
  <c r="S354" i="3"/>
  <c r="S350" i="3"/>
  <c r="S346" i="3"/>
  <c r="S342" i="3"/>
  <c r="S338" i="3"/>
  <c r="S334" i="3"/>
  <c r="S330" i="3"/>
  <c r="S326" i="3"/>
  <c r="S322" i="3"/>
  <c r="S318" i="3"/>
  <c r="S314" i="3"/>
  <c r="S325" i="3"/>
  <c r="S310" i="3"/>
  <c r="S306" i="3"/>
  <c r="S302" i="3"/>
  <c r="S298" i="3"/>
  <c r="S294" i="3"/>
  <c r="S290" i="3"/>
  <c r="S286" i="3"/>
  <c r="S282" i="3"/>
  <c r="S278" i="3"/>
  <c r="S274" i="3"/>
  <c r="S270" i="3"/>
  <c r="S266" i="3"/>
  <c r="S262" i="3"/>
  <c r="S258" i="3"/>
  <c r="S254" i="3"/>
  <c r="S250" i="3"/>
  <c r="S246" i="3"/>
  <c r="S242" i="3"/>
  <c r="S238" i="3"/>
  <c r="S234" i="3"/>
  <c r="S230" i="3"/>
  <c r="S226" i="3"/>
  <c r="S222" i="3"/>
  <c r="S218" i="3"/>
  <c r="S316" i="3"/>
  <c r="S307" i="3"/>
  <c r="S303" i="3"/>
  <c r="S299" i="3"/>
  <c r="S295" i="3"/>
  <c r="S291" i="3"/>
  <c r="S287" i="3"/>
  <c r="S283" i="3"/>
  <c r="S279" i="3"/>
  <c r="S275" i="3"/>
  <c r="S271" i="3"/>
  <c r="S267" i="3"/>
  <c r="S263" i="3"/>
  <c r="S259" i="3"/>
  <c r="S255" i="3"/>
  <c r="S251" i="3"/>
  <c r="S247" i="3"/>
  <c r="S243" i="3"/>
  <c r="S239" i="3"/>
  <c r="S235" i="3"/>
  <c r="S231" i="3"/>
  <c r="S227" i="3"/>
  <c r="S223" i="3"/>
  <c r="S317" i="3"/>
  <c r="S313" i="3"/>
  <c r="S308" i="3"/>
  <c r="S304" i="3"/>
  <c r="S300" i="3"/>
  <c r="S296" i="3"/>
  <c r="S292" i="3"/>
  <c r="S288" i="3"/>
  <c r="S284" i="3"/>
  <c r="S280" i="3"/>
  <c r="S276" i="3"/>
  <c r="S272" i="3"/>
  <c r="S268" i="3"/>
  <c r="S264" i="3"/>
  <c r="S260" i="3"/>
  <c r="S256" i="3"/>
  <c r="S252" i="3"/>
  <c r="S248" i="3"/>
  <c r="S321" i="3"/>
  <c r="S312" i="3"/>
  <c r="S309" i="3"/>
  <c r="S305" i="3"/>
  <c r="S301" i="3"/>
  <c r="S297" i="3"/>
  <c r="S293" i="3"/>
  <c r="S289" i="3"/>
  <c r="S285" i="3"/>
  <c r="S281" i="3"/>
  <c r="S277" i="3"/>
  <c r="S273" i="3"/>
  <c r="S269" i="3"/>
  <c r="S265" i="3"/>
  <c r="S261" i="3"/>
  <c r="S257" i="3"/>
  <c r="S253" i="3"/>
  <c r="S249" i="3"/>
  <c r="S245" i="3"/>
  <c r="S241" i="3"/>
  <c r="S237" i="3"/>
  <c r="S233" i="3"/>
  <c r="S244" i="3"/>
  <c r="S225" i="3"/>
  <c r="S215" i="3"/>
  <c r="S211" i="3"/>
  <c r="S207" i="3"/>
  <c r="S203" i="3"/>
  <c r="S199" i="3"/>
  <c r="S195" i="3"/>
  <c r="S191" i="3"/>
  <c r="S187" i="3"/>
  <c r="S183" i="3"/>
  <c r="S179" i="3"/>
  <c r="S175" i="3"/>
  <c r="S171" i="3"/>
  <c r="S167" i="3"/>
  <c r="S163" i="3"/>
  <c r="S159" i="3"/>
  <c r="S155" i="3"/>
  <c r="S151" i="3"/>
  <c r="S147" i="3"/>
  <c r="S143" i="3"/>
  <c r="S139" i="3"/>
  <c r="S135" i="3"/>
  <c r="S232" i="3"/>
  <c r="S224" i="3"/>
  <c r="S221" i="3"/>
  <c r="S219" i="3"/>
  <c r="S216" i="3"/>
  <c r="S212" i="3"/>
  <c r="S208" i="3"/>
  <c r="S204" i="3"/>
  <c r="S200" i="3"/>
  <c r="S196" i="3"/>
  <c r="S192" i="3"/>
  <c r="S188" i="3"/>
  <c r="S184" i="3"/>
  <c r="S180" i="3"/>
  <c r="S176" i="3"/>
  <c r="S172" i="3"/>
  <c r="S168" i="3"/>
  <c r="S164" i="3"/>
  <c r="S160" i="3"/>
  <c r="S156" i="3"/>
  <c r="S152" i="3"/>
  <c r="S148" i="3"/>
  <c r="S144" i="3"/>
  <c r="S140" i="3"/>
  <c r="S136" i="3"/>
  <c r="S236" i="3"/>
  <c r="S229" i="3"/>
  <c r="S217" i="3"/>
  <c r="S213" i="3"/>
  <c r="S209" i="3"/>
  <c r="S205" i="3"/>
  <c r="S201" i="3"/>
  <c r="S197" i="3"/>
  <c r="S193" i="3"/>
  <c r="S189" i="3"/>
  <c r="S185" i="3"/>
  <c r="S181" i="3"/>
  <c r="S177" i="3"/>
  <c r="S173" i="3"/>
  <c r="S169" i="3"/>
  <c r="S165" i="3"/>
  <c r="S161" i="3"/>
  <c r="S157" i="3"/>
  <c r="S153" i="3"/>
  <c r="S149" i="3"/>
  <c r="S145" i="3"/>
  <c r="S141" i="3"/>
  <c r="S137" i="3"/>
  <c r="S240" i="3"/>
  <c r="S228" i="3"/>
  <c r="S220" i="3"/>
  <c r="S214" i="3"/>
  <c r="S210" i="3"/>
  <c r="S206" i="3"/>
  <c r="S202" i="3"/>
  <c r="S198" i="3"/>
  <c r="S194" i="3"/>
  <c r="S190" i="3"/>
  <c r="S186" i="3"/>
  <c r="S182" i="3"/>
  <c r="S178" i="3"/>
  <c r="S174" i="3"/>
  <c r="S170" i="3"/>
  <c r="S166" i="3"/>
  <c r="S162" i="3"/>
  <c r="S158" i="3"/>
  <c r="S154" i="3"/>
  <c r="S150" i="3"/>
  <c r="S146" i="3"/>
  <c r="S142" i="3"/>
  <c r="S138" i="3"/>
  <c r="S134" i="3"/>
  <c r="T18" i="20"/>
  <c r="P141" i="28"/>
  <c r="AK140" i="28"/>
  <c r="AJ140" i="28"/>
  <c r="AI140" i="28"/>
  <c r="AH140" i="28"/>
  <c r="AG140" i="28"/>
  <c r="AF140" i="28"/>
  <c r="AE140" i="28"/>
  <c r="AD140" i="28"/>
  <c r="AC140" i="28"/>
  <c r="AB140" i="28"/>
  <c r="P140" i="28"/>
  <c r="AK139" i="28"/>
  <c r="AJ139" i="28"/>
  <c r="AI139" i="28"/>
  <c r="AH139" i="28"/>
  <c r="AG139" i="28"/>
  <c r="AF139" i="28"/>
  <c r="AE139" i="28"/>
  <c r="AD139" i="28"/>
  <c r="AC139" i="28"/>
  <c r="AB139" i="28"/>
  <c r="P139" i="28"/>
  <c r="AK138" i="28"/>
  <c r="AJ138" i="28"/>
  <c r="AI138" i="28"/>
  <c r="AH138" i="28"/>
  <c r="AG138" i="28"/>
  <c r="AF138" i="28"/>
  <c r="AE138" i="28"/>
  <c r="AD138" i="28"/>
  <c r="AC138" i="28"/>
  <c r="AB138" i="28"/>
  <c r="P138" i="28"/>
  <c r="AK137" i="28"/>
  <c r="AJ137" i="28"/>
  <c r="AI137" i="28"/>
  <c r="AH137" i="28"/>
  <c r="AG137" i="28"/>
  <c r="AF137" i="28"/>
  <c r="AE137" i="28"/>
  <c r="AD137" i="28"/>
  <c r="AC137" i="28"/>
  <c r="AB137" i="28"/>
  <c r="P137" i="28"/>
  <c r="AK136" i="28"/>
  <c r="AJ136" i="28"/>
  <c r="AI136" i="28"/>
  <c r="AH136" i="28"/>
  <c r="AG136" i="28"/>
  <c r="AF136" i="28"/>
  <c r="AE136" i="28"/>
  <c r="AD136" i="28"/>
  <c r="AC136" i="28"/>
  <c r="AB136" i="28"/>
  <c r="P136" i="28"/>
  <c r="AK135" i="28"/>
  <c r="AJ135" i="28"/>
  <c r="AI135" i="28"/>
  <c r="AH135" i="28"/>
  <c r="AG135" i="28"/>
  <c r="AF135" i="28"/>
  <c r="AE135" i="28"/>
  <c r="AD135" i="28"/>
  <c r="AC135" i="28"/>
  <c r="AB135" i="28"/>
  <c r="P135" i="28"/>
  <c r="AK134" i="28"/>
  <c r="AJ134" i="28"/>
  <c r="AI134" i="28"/>
  <c r="AH134" i="28"/>
  <c r="AG134" i="28"/>
  <c r="AF134" i="28"/>
  <c r="AE134" i="28"/>
  <c r="AD134" i="28"/>
  <c r="AC134" i="28"/>
  <c r="AB134" i="28"/>
  <c r="P134" i="28"/>
  <c r="AK133" i="28"/>
  <c r="AJ133" i="28"/>
  <c r="AI133" i="28"/>
  <c r="AH133" i="28"/>
  <c r="AG133" i="28"/>
  <c r="AF133" i="28"/>
  <c r="AE133" i="28"/>
  <c r="AD133" i="28"/>
  <c r="AC133" i="28"/>
  <c r="AB133" i="28"/>
  <c r="P133" i="28"/>
  <c r="AK132" i="28"/>
  <c r="AJ132" i="28"/>
  <c r="AI132" i="28"/>
  <c r="AH132" i="28"/>
  <c r="AG132" i="28"/>
  <c r="AF132" i="28"/>
  <c r="AE132" i="28"/>
  <c r="AD132" i="28"/>
  <c r="AC132" i="28"/>
  <c r="AB132" i="28"/>
  <c r="P132" i="28"/>
  <c r="AK131" i="28"/>
  <c r="AJ131" i="28"/>
  <c r="AI131" i="28"/>
  <c r="AH131" i="28"/>
  <c r="AG131" i="28"/>
  <c r="AF131" i="28"/>
  <c r="AE131" i="28"/>
  <c r="AD131" i="28"/>
  <c r="AC131" i="28"/>
  <c r="AB131" i="28"/>
  <c r="P131" i="28"/>
  <c r="AK130" i="28"/>
  <c r="AJ130" i="28"/>
  <c r="AI130" i="28"/>
  <c r="AH130" i="28"/>
  <c r="AG130" i="28"/>
  <c r="AF130" i="28"/>
  <c r="AE130" i="28"/>
  <c r="AD130" i="28"/>
  <c r="AC130" i="28"/>
  <c r="AB130" i="28"/>
  <c r="P130" i="28"/>
  <c r="AK129" i="28"/>
  <c r="AJ129" i="28"/>
  <c r="AI129" i="28"/>
  <c r="AH129" i="28"/>
  <c r="AG129" i="28"/>
  <c r="AF129" i="28"/>
  <c r="AE129" i="28"/>
  <c r="AD129" i="28"/>
  <c r="AC129" i="28"/>
  <c r="AB129" i="28"/>
  <c r="P129" i="28"/>
  <c r="AK128" i="28"/>
  <c r="AJ128" i="28"/>
  <c r="AI128" i="28"/>
  <c r="AH128" i="28"/>
  <c r="AG128" i="28"/>
  <c r="AF128" i="28"/>
  <c r="AE128" i="28"/>
  <c r="AD128" i="28"/>
  <c r="AC128" i="28"/>
  <c r="AB128" i="28"/>
  <c r="P128" i="28"/>
  <c r="AK127" i="28"/>
  <c r="AJ127" i="28"/>
  <c r="AI127" i="28"/>
  <c r="AH127" i="28"/>
  <c r="AG127" i="28"/>
  <c r="AF127" i="28"/>
  <c r="AE127" i="28"/>
  <c r="AD127" i="28"/>
  <c r="AC127" i="28"/>
  <c r="AB127" i="28"/>
  <c r="P127" i="28"/>
  <c r="AK126" i="28"/>
  <c r="AJ126" i="28"/>
  <c r="AI126" i="28"/>
  <c r="AH126" i="28"/>
  <c r="AG126" i="28"/>
  <c r="AF126" i="28"/>
  <c r="AE126" i="28"/>
  <c r="AD126" i="28"/>
  <c r="AC126" i="28"/>
  <c r="AB126" i="28"/>
  <c r="P126" i="28"/>
  <c r="AK125" i="28"/>
  <c r="AJ125" i="28"/>
  <c r="AI125" i="28"/>
  <c r="AH125" i="28"/>
  <c r="AG125" i="28"/>
  <c r="AF125" i="28"/>
  <c r="AE125" i="28"/>
  <c r="AD125" i="28"/>
  <c r="AC125" i="28"/>
  <c r="AB125" i="28"/>
  <c r="P125" i="28"/>
  <c r="AK124" i="28"/>
  <c r="AJ124" i="28"/>
  <c r="AI124" i="28"/>
  <c r="AH124" i="28"/>
  <c r="AG124" i="28"/>
  <c r="AF124" i="28"/>
  <c r="AE124" i="28"/>
  <c r="AD124" i="28"/>
  <c r="AC124" i="28"/>
  <c r="AB124" i="28"/>
  <c r="P124" i="28"/>
  <c r="AK123" i="28"/>
  <c r="AJ123" i="28"/>
  <c r="AI123" i="28"/>
  <c r="AH123" i="28"/>
  <c r="AG123" i="28"/>
  <c r="AF123" i="28"/>
  <c r="AE123" i="28"/>
  <c r="AD123" i="28"/>
  <c r="AC123" i="28"/>
  <c r="AB123" i="28"/>
  <c r="P123" i="28"/>
  <c r="AK121" i="28"/>
  <c r="AJ121" i="28"/>
  <c r="AI121" i="28"/>
  <c r="AH121" i="28"/>
  <c r="AG121" i="28"/>
  <c r="AF121" i="28"/>
  <c r="AE121" i="28"/>
  <c r="AD121" i="28"/>
  <c r="AC121" i="28"/>
  <c r="AB121" i="28"/>
  <c r="P121" i="28"/>
  <c r="AK120" i="28"/>
  <c r="AJ120" i="28"/>
  <c r="AI120" i="28"/>
  <c r="AH120" i="28"/>
  <c r="AG120" i="28"/>
  <c r="AF120" i="28"/>
  <c r="AE120" i="28"/>
  <c r="AD120" i="28"/>
  <c r="AC120" i="28"/>
  <c r="AB120" i="28"/>
  <c r="P120" i="28"/>
  <c r="AK119" i="28"/>
  <c r="AJ119" i="28"/>
  <c r="AI119" i="28"/>
  <c r="AH119" i="28"/>
  <c r="AG119" i="28"/>
  <c r="AF119" i="28"/>
  <c r="AE119" i="28"/>
  <c r="AD119" i="28"/>
  <c r="AC119" i="28"/>
  <c r="AB119" i="28"/>
  <c r="P119" i="28"/>
  <c r="AK118" i="28"/>
  <c r="AJ118" i="28"/>
  <c r="AI118" i="28"/>
  <c r="AH118" i="28"/>
  <c r="AG118" i="28"/>
  <c r="AF118" i="28"/>
  <c r="AE118" i="28"/>
  <c r="AD118" i="28"/>
  <c r="AC118" i="28"/>
  <c r="AB118" i="28"/>
  <c r="P118" i="28"/>
  <c r="AK117" i="28"/>
  <c r="AJ117" i="28"/>
  <c r="AI117" i="28"/>
  <c r="AH117" i="28"/>
  <c r="AG117" i="28"/>
  <c r="AF117" i="28"/>
  <c r="AE117" i="28"/>
  <c r="AD117" i="28"/>
  <c r="AC117" i="28"/>
  <c r="AB117" i="28"/>
  <c r="P117" i="28"/>
  <c r="J243" i="28"/>
  <c r="J242" i="28"/>
  <c r="J241" i="28"/>
  <c r="J240" i="28"/>
  <c r="J239" i="28"/>
  <c r="J238" i="28"/>
  <c r="J237" i="28"/>
  <c r="J236" i="28"/>
  <c r="J235" i="28"/>
  <c r="J234" i="28"/>
  <c r="J233" i="28"/>
  <c r="J232" i="28"/>
  <c r="J231" i="28"/>
  <c r="J230" i="28"/>
  <c r="J229" i="28"/>
  <c r="J228" i="28"/>
  <c r="J227" i="28"/>
  <c r="J226" i="28"/>
  <c r="J225" i="28"/>
  <c r="J224" i="28"/>
  <c r="J223" i="28"/>
  <c r="J222" i="28"/>
  <c r="J221" i="28"/>
  <c r="J220" i="28"/>
  <c r="J219" i="28"/>
  <c r="D124" i="7"/>
  <c r="D123" i="7"/>
  <c r="D122" i="7"/>
  <c r="D121" i="7"/>
  <c r="D120" i="7"/>
  <c r="D119" i="7"/>
  <c r="D118" i="7"/>
  <c r="D117" i="7"/>
  <c r="D116" i="7"/>
  <c r="D115" i="7"/>
  <c r="D111" i="7"/>
  <c r="D110" i="7"/>
  <c r="D109" i="7"/>
  <c r="D108" i="7"/>
  <c r="D107" i="7"/>
  <c r="D106" i="7"/>
  <c r="D105" i="7"/>
  <c r="D104" i="7"/>
  <c r="D103" i="7"/>
  <c r="D102" i="7"/>
  <c r="N48" i="18"/>
  <c r="M47" i="18"/>
  <c r="L46" i="18"/>
  <c r="K45" i="18"/>
  <c r="J44" i="18"/>
  <c r="I43" i="18"/>
  <c r="H42" i="18"/>
  <c r="G41" i="18"/>
  <c r="F40" i="18"/>
  <c r="E39" i="18"/>
  <c r="AY17" i="9"/>
  <c r="AX17" i="9"/>
  <c r="AC92" i="10"/>
  <c r="AB92" i="10"/>
  <c r="AA92" i="10"/>
  <c r="Z92" i="10"/>
  <c r="Y92" i="10"/>
  <c r="AC91" i="10"/>
  <c r="AB91" i="10"/>
  <c r="AA91" i="10"/>
  <c r="Z91" i="10"/>
  <c r="Y91" i="10"/>
  <c r="X91" i="10"/>
  <c r="AC90" i="10"/>
  <c r="AB90" i="10"/>
  <c r="AA90" i="10"/>
  <c r="Z90" i="10"/>
  <c r="Y90" i="10"/>
  <c r="AC89" i="10"/>
  <c r="AB89" i="10"/>
  <c r="AA89" i="10"/>
  <c r="Z89" i="10"/>
  <c r="Y89" i="10"/>
  <c r="AC88" i="10"/>
  <c r="AB88" i="10"/>
  <c r="AA88" i="10"/>
  <c r="Z88" i="10"/>
  <c r="Y88" i="10"/>
  <c r="AC87" i="10"/>
  <c r="AB87" i="10"/>
  <c r="Z87" i="10"/>
  <c r="Y87" i="10"/>
  <c r="AC86" i="10"/>
  <c r="AB86" i="10"/>
  <c r="AA86" i="10"/>
  <c r="Z86" i="10"/>
  <c r="AC85" i="10"/>
  <c r="AB85" i="10"/>
  <c r="AA85" i="10"/>
  <c r="Z85" i="10"/>
  <c r="Y85" i="10"/>
  <c r="AC84" i="10"/>
  <c r="AB84" i="10"/>
  <c r="AA84" i="10"/>
  <c r="Z84" i="10"/>
  <c r="AC83" i="10"/>
  <c r="AB83" i="10"/>
  <c r="AA83" i="10"/>
  <c r="AE67" i="10"/>
  <c r="AC67" i="10"/>
  <c r="AB67" i="10"/>
  <c r="AA67" i="10"/>
  <c r="Z67" i="10"/>
  <c r="Y67" i="10"/>
  <c r="X67" i="10"/>
  <c r="AE66" i="10"/>
  <c r="AC66" i="10"/>
  <c r="AB66" i="10"/>
  <c r="AA66" i="10"/>
  <c r="Z66" i="10"/>
  <c r="Y66" i="10"/>
  <c r="AE65" i="10"/>
  <c r="AC65" i="10"/>
  <c r="AB65" i="10"/>
  <c r="AA65" i="10"/>
  <c r="Z65" i="10"/>
  <c r="Y65" i="10"/>
  <c r="AE64" i="10"/>
  <c r="AA64" i="10"/>
  <c r="Z64" i="10"/>
  <c r="Y64" i="10"/>
  <c r="AE63" i="10"/>
  <c r="AC63" i="10"/>
  <c r="AB63" i="10"/>
  <c r="AE62" i="10"/>
  <c r="AB62" i="10"/>
  <c r="AA62" i="10"/>
  <c r="Z62" i="10"/>
  <c r="E30" i="20"/>
  <c r="S29" i="20"/>
  <c r="E17" i="20"/>
  <c r="S18" i="20"/>
  <c r="BI104" i="28" l="1"/>
  <c r="BI83" i="28"/>
  <c r="BI95" i="28"/>
  <c r="BI102" i="28"/>
  <c r="BI72" i="28"/>
  <c r="BI80" i="28"/>
  <c r="BI85" i="28"/>
  <c r="BI90" i="28"/>
  <c r="BI103" i="28"/>
  <c r="BI82" i="28"/>
  <c r="BI79" i="28"/>
  <c r="BI91" i="28"/>
  <c r="BI100" i="28"/>
  <c r="BI107" i="28"/>
  <c r="BI77" i="28"/>
  <c r="BI89" i="28"/>
  <c r="BI97" i="28"/>
  <c r="BI105" i="28"/>
  <c r="BI98" i="28"/>
  <c r="BI101" i="28"/>
  <c r="BI106" i="28"/>
  <c r="BI76" i="28"/>
  <c r="BI84" i="28"/>
  <c r="BI73" i="28"/>
  <c r="BI81" i="28"/>
  <c r="BI109" i="28"/>
  <c r="BI93" i="28"/>
  <c r="BI99" i="28"/>
  <c r="BI86" i="28"/>
  <c r="BI94" i="28"/>
  <c r="BI74" i="28"/>
  <c r="BI78" i="28"/>
  <c r="BI75" i="28"/>
  <c r="BI87" i="28"/>
  <c r="BI88" i="28"/>
  <c r="BI96" i="28"/>
  <c r="BI108" i="28"/>
  <c r="BI92" i="28"/>
  <c r="BI41" i="28"/>
  <c r="H94" i="10"/>
  <c r="K219" i="28"/>
  <c r="AV15" i="28"/>
  <c r="AN15" i="28"/>
  <c r="K220" i="28"/>
  <c r="AN16" i="28"/>
  <c r="AV16" i="28"/>
  <c r="K221" i="28"/>
  <c r="AV17" i="28"/>
  <c r="AN17" i="28"/>
  <c r="K222" i="28"/>
  <c r="AV18" i="28"/>
  <c r="AN18" i="28"/>
  <c r="BA222" i="28"/>
  <c r="K223" i="28"/>
  <c r="AN19" i="28"/>
  <c r="AV19" i="28"/>
  <c r="K224" i="28"/>
  <c r="AV20" i="28"/>
  <c r="AN20" i="28"/>
  <c r="K225" i="28"/>
  <c r="AV21" i="28"/>
  <c r="AN21" i="28"/>
  <c r="K226" i="28"/>
  <c r="AV22" i="28"/>
  <c r="AN22" i="28"/>
  <c r="BA226" i="28"/>
  <c r="K227" i="28"/>
  <c r="AV23" i="28"/>
  <c r="AN23" i="28"/>
  <c r="K228" i="28"/>
  <c r="AN24" i="28"/>
  <c r="AV24" i="28"/>
  <c r="K229" i="28"/>
  <c r="AV25" i="28"/>
  <c r="AN25" i="28"/>
  <c r="K230" i="28"/>
  <c r="AV26" i="28"/>
  <c r="AN26" i="28"/>
  <c r="BA230" i="28"/>
  <c r="K231" i="28"/>
  <c r="AN27" i="28"/>
  <c r="AV27" i="28"/>
  <c r="K232" i="28"/>
  <c r="AN28" i="28"/>
  <c r="AV28" i="28"/>
  <c r="K233" i="28"/>
  <c r="AV29" i="28"/>
  <c r="AN29" i="28"/>
  <c r="K234" i="28"/>
  <c r="AV30" i="28"/>
  <c r="AN30" i="28"/>
  <c r="BA234" i="28"/>
  <c r="K235" i="28"/>
  <c r="AV31" i="28"/>
  <c r="AN31" i="28"/>
  <c r="K236" i="28"/>
  <c r="AN32" i="28"/>
  <c r="AV32" i="28"/>
  <c r="K237" i="28"/>
  <c r="AV33" i="28"/>
  <c r="AN33" i="28"/>
  <c r="K238" i="28"/>
  <c r="AV34" i="28"/>
  <c r="AN34" i="28"/>
  <c r="BA238" i="28"/>
  <c r="K239" i="28"/>
  <c r="AN35" i="28"/>
  <c r="AV35" i="28"/>
  <c r="K240" i="28"/>
  <c r="AV36" i="28"/>
  <c r="AN36" i="28"/>
  <c r="K241" i="28"/>
  <c r="AV37" i="28"/>
  <c r="AN37" i="28"/>
  <c r="K242" i="28"/>
  <c r="AV38" i="28"/>
  <c r="AN38" i="28"/>
  <c r="BA242" i="28"/>
  <c r="K243" i="28"/>
  <c r="AV39" i="28"/>
  <c r="AN39" i="28"/>
  <c r="BI40" i="28"/>
  <c r="AH220" i="28"/>
  <c r="AK223" i="28"/>
  <c r="AE225" i="28"/>
  <c r="AF226" i="28"/>
  <c r="AK227" i="28"/>
  <c r="AH228" i="28"/>
  <c r="AE229" i="28"/>
  <c r="AB230" i="28"/>
  <c r="AE233" i="28"/>
  <c r="AF234" i="28"/>
  <c r="AG235" i="28"/>
  <c r="AJ238" i="28"/>
  <c r="AG239" i="28"/>
  <c r="P241" i="28"/>
  <c r="AE241" i="28"/>
  <c r="AI241" i="28"/>
  <c r="AK219" i="28"/>
  <c r="P221" i="28"/>
  <c r="AE221" i="28"/>
  <c r="AB222" i="28"/>
  <c r="P225" i="28"/>
  <c r="AI225" i="28"/>
  <c r="AB226" i="28"/>
  <c r="P229" i="28"/>
  <c r="AI229" i="28"/>
  <c r="AF230" i="28"/>
  <c r="AC231" i="28"/>
  <c r="P233" i="28"/>
  <c r="AK235" i="28"/>
  <c r="AH236" i="28"/>
  <c r="AE237" i="28"/>
  <c r="AB238" i="28"/>
  <c r="AJ242" i="28"/>
  <c r="AD219" i="28"/>
  <c r="AH219" i="28"/>
  <c r="P220" i="28"/>
  <c r="AE220" i="28"/>
  <c r="AI220" i="28"/>
  <c r="AB221" i="28"/>
  <c r="AF221" i="28"/>
  <c r="AJ221" i="28"/>
  <c r="AC222" i="28"/>
  <c r="AG222" i="28"/>
  <c r="AK222" i="28"/>
  <c r="AD223" i="28"/>
  <c r="AH223" i="28"/>
  <c r="AB225" i="28"/>
  <c r="AF225" i="28"/>
  <c r="AJ225" i="28"/>
  <c r="AC226" i="28"/>
  <c r="AG226" i="28"/>
  <c r="AK226" i="28"/>
  <c r="AD227" i="28"/>
  <c r="AH227" i="28"/>
  <c r="P228" i="28"/>
  <c r="AE228" i="28"/>
  <c r="AI228" i="28"/>
  <c r="AB229" i="28"/>
  <c r="AF229" i="28"/>
  <c r="AJ229" i="28"/>
  <c r="AC230" i="28"/>
  <c r="AG230" i="28"/>
  <c r="AK230" i="28"/>
  <c r="AD231" i="28"/>
  <c r="AH231" i="28"/>
  <c r="P232" i="28"/>
  <c r="AE232" i="28"/>
  <c r="AI232" i="28"/>
  <c r="AB233" i="28"/>
  <c r="AF233" i="28"/>
  <c r="AJ233" i="28"/>
  <c r="AC234" i="28"/>
  <c r="AG234" i="28"/>
  <c r="AK234" i="28"/>
  <c r="AD235" i="28"/>
  <c r="AH235" i="28"/>
  <c r="P236" i="28"/>
  <c r="AE236" i="28"/>
  <c r="AI236" i="28"/>
  <c r="AB237" i="28"/>
  <c r="AF237" i="28"/>
  <c r="AJ237" i="28"/>
  <c r="AC238" i="28"/>
  <c r="AG238" i="28"/>
  <c r="AK238" i="28"/>
  <c r="AD239" i="28"/>
  <c r="AH239" i="28"/>
  <c r="P240" i="28"/>
  <c r="AE240" i="28"/>
  <c r="AI240" i="28"/>
  <c r="AB241" i="28"/>
  <c r="AF241" i="28"/>
  <c r="AJ241" i="28"/>
  <c r="AC242" i="28"/>
  <c r="AG242" i="28"/>
  <c r="AK242" i="28"/>
  <c r="AG219" i="28"/>
  <c r="AD220" i="28"/>
  <c r="AJ222" i="28"/>
  <c r="AG223" i="28"/>
  <c r="AG227" i="28"/>
  <c r="AJ230" i="28"/>
  <c r="AK231" i="28"/>
  <c r="AH232" i="28"/>
  <c r="AJ234" i="28"/>
  <c r="P237" i="28"/>
  <c r="AI237" i="28"/>
  <c r="AF238" i="28"/>
  <c r="AC239" i="28"/>
  <c r="AD240" i="28"/>
  <c r="AF242" i="28"/>
  <c r="I219" i="28"/>
  <c r="I220" i="28"/>
  <c r="I221" i="28"/>
  <c r="I222" i="28"/>
  <c r="I223" i="28"/>
  <c r="I224" i="28"/>
  <c r="I225" i="28"/>
  <c r="I226" i="28"/>
  <c r="I227" i="28"/>
  <c r="I228" i="28"/>
  <c r="I229" i="28"/>
  <c r="I230" i="28"/>
  <c r="I231" i="28"/>
  <c r="I232" i="28"/>
  <c r="I233" i="28"/>
  <c r="I234" i="28"/>
  <c r="I235" i="28"/>
  <c r="I236" i="28"/>
  <c r="I237" i="28"/>
  <c r="I238" i="28"/>
  <c r="I239" i="28"/>
  <c r="I240" i="28"/>
  <c r="I241" i="28"/>
  <c r="I242" i="28"/>
  <c r="I243" i="28"/>
  <c r="P219" i="28"/>
  <c r="AE219" i="28"/>
  <c r="AI219" i="28"/>
  <c r="AB220" i="28"/>
  <c r="AF220" i="28"/>
  <c r="AJ220" i="28"/>
  <c r="AC221" i="28"/>
  <c r="AG221" i="28"/>
  <c r="AK221" i="28"/>
  <c r="AD222" i="28"/>
  <c r="AH222" i="28"/>
  <c r="P223" i="28"/>
  <c r="AE223" i="28"/>
  <c r="AI223" i="28"/>
  <c r="AC225" i="28"/>
  <c r="AG225" i="28"/>
  <c r="AK225" i="28"/>
  <c r="AD226" i="28"/>
  <c r="AH226" i="28"/>
  <c r="P227" i="28"/>
  <c r="AE227" i="28"/>
  <c r="AI227" i="28"/>
  <c r="AB228" i="28"/>
  <c r="AF228" i="28"/>
  <c r="AJ228" i="28"/>
  <c r="AC229" i="28"/>
  <c r="AG229" i="28"/>
  <c r="AK229" i="28"/>
  <c r="AD230" i="28"/>
  <c r="AH230" i="28"/>
  <c r="P231" i="28"/>
  <c r="AE231" i="28"/>
  <c r="AI231" i="28"/>
  <c r="AB232" i="28"/>
  <c r="AF232" i="28"/>
  <c r="AJ232" i="28"/>
  <c r="AC233" i="28"/>
  <c r="AG233" i="28"/>
  <c r="AK233" i="28"/>
  <c r="AD234" i="28"/>
  <c r="AH234" i="28"/>
  <c r="P235" i="28"/>
  <c r="AE235" i="28"/>
  <c r="AI235" i="28"/>
  <c r="AB236" i="28"/>
  <c r="AF236" i="28"/>
  <c r="AJ236" i="28"/>
  <c r="AC237" i="28"/>
  <c r="AG237" i="28"/>
  <c r="AK237" i="28"/>
  <c r="AD238" i="28"/>
  <c r="AH238" i="28"/>
  <c r="P239" i="28"/>
  <c r="AE239" i="28"/>
  <c r="AI239" i="28"/>
  <c r="AB240" i="28"/>
  <c r="AF240" i="28"/>
  <c r="AJ240" i="28"/>
  <c r="AC241" i="28"/>
  <c r="AG241" i="28"/>
  <c r="AK241" i="28"/>
  <c r="AD242" i="28"/>
  <c r="AH242" i="28"/>
  <c r="P243" i="28"/>
  <c r="AC219" i="28"/>
  <c r="AI221" i="28"/>
  <c r="AF222" i="28"/>
  <c r="AC223" i="28"/>
  <c r="AJ226" i="28"/>
  <c r="AC227" i="28"/>
  <c r="AD228" i="28"/>
  <c r="AG231" i="28"/>
  <c r="AD232" i="28"/>
  <c r="AI233" i="28"/>
  <c r="AB234" i="28"/>
  <c r="AC235" i="28"/>
  <c r="AD236" i="28"/>
  <c r="AK239" i="28"/>
  <c r="AH240" i="28"/>
  <c r="AB242" i="28"/>
  <c r="AB219" i="28"/>
  <c r="AF219" i="28"/>
  <c r="AJ219" i="28"/>
  <c r="AC220" i="28"/>
  <c r="AG220" i="28"/>
  <c r="AK220" i="28"/>
  <c r="AD221" i="28"/>
  <c r="AH221" i="28"/>
  <c r="P222" i="28"/>
  <c r="AE222" i="28"/>
  <c r="AI222" i="28"/>
  <c r="AB223" i="28"/>
  <c r="AF223" i="28"/>
  <c r="AJ223" i="28"/>
  <c r="AD225" i="28"/>
  <c r="AH225" i="28"/>
  <c r="P226" i="28"/>
  <c r="AE226" i="28"/>
  <c r="AI226" i="28"/>
  <c r="AB227" i="28"/>
  <c r="AF227" i="28"/>
  <c r="AJ227" i="28"/>
  <c r="AC228" i="28"/>
  <c r="AG228" i="28"/>
  <c r="AK228" i="28"/>
  <c r="AD229" i="28"/>
  <c r="AH229" i="28"/>
  <c r="P230" i="28"/>
  <c r="AE230" i="28"/>
  <c r="AI230" i="28"/>
  <c r="AB231" i="28"/>
  <c r="AF231" i="28"/>
  <c r="AJ231" i="28"/>
  <c r="AC232" i="28"/>
  <c r="AG232" i="28"/>
  <c r="AK232" i="28"/>
  <c r="AD233" i="28"/>
  <c r="AH233" i="28"/>
  <c r="P234" i="28"/>
  <c r="AE234" i="28"/>
  <c r="AI234" i="28"/>
  <c r="AB235" i="28"/>
  <c r="AF235" i="28"/>
  <c r="AJ235" i="28"/>
  <c r="AC236" i="28"/>
  <c r="AG236" i="28"/>
  <c r="AK236" i="28"/>
  <c r="AD237" i="28"/>
  <c r="AH237" i="28"/>
  <c r="P238" i="28"/>
  <c r="AE238" i="28"/>
  <c r="AI238" i="28"/>
  <c r="AB239" i="28"/>
  <c r="AF239" i="28"/>
  <c r="AJ239" i="28"/>
  <c r="AC240" i="28"/>
  <c r="AG240" i="28"/>
  <c r="AK240" i="28"/>
  <c r="AD241" i="28"/>
  <c r="AH241" i="28"/>
  <c r="P242" i="28"/>
  <c r="AE242" i="28"/>
  <c r="AI242" i="28"/>
  <c r="T19" i="20"/>
  <c r="BA219" i="28"/>
  <c r="BA223" i="28"/>
  <c r="BA227" i="28"/>
  <c r="BA231" i="28"/>
  <c r="BA235" i="28"/>
  <c r="BA239" i="28"/>
  <c r="BA243" i="28"/>
  <c r="BA220" i="28"/>
  <c r="BA224" i="28"/>
  <c r="BA228" i="28"/>
  <c r="BA232" i="28"/>
  <c r="BA236" i="28"/>
  <c r="BA240" i="28"/>
  <c r="BA221" i="28"/>
  <c r="BA225" i="28"/>
  <c r="BA229" i="28"/>
  <c r="BA233" i="28"/>
  <c r="BA237" i="28"/>
  <c r="BA241" i="28"/>
  <c r="S2" i="19"/>
  <c r="S2" i="16"/>
  <c r="AK141" i="28"/>
  <c r="AJ141" i="28"/>
  <c r="AI141" i="28"/>
  <c r="AH141" i="28"/>
  <c r="AG141" i="28"/>
  <c r="AF141" i="28"/>
  <c r="AE141" i="28"/>
  <c r="AD141" i="28"/>
  <c r="AC141" i="28"/>
  <c r="AB141" i="28"/>
  <c r="E29" i="20"/>
  <c r="E18" i="20"/>
  <c r="S19" i="20"/>
  <c r="AZ219" i="28" l="1"/>
  <c r="AZ31" i="33"/>
  <c r="AN240" i="28"/>
  <c r="AO52" i="33"/>
  <c r="AN239" i="28"/>
  <c r="AO51" i="33"/>
  <c r="AV238" i="28"/>
  <c r="AV50" i="33"/>
  <c r="AN235" i="28"/>
  <c r="AO47" i="33"/>
  <c r="AN234" i="28"/>
  <c r="AO46" i="33"/>
  <c r="AV233" i="28"/>
  <c r="AV45" i="33"/>
  <c r="AN229" i="28"/>
  <c r="AO41" i="33"/>
  <c r="AN228" i="28"/>
  <c r="AO40" i="33"/>
  <c r="AN224" i="28"/>
  <c r="AO36" i="33"/>
  <c r="AN223" i="28"/>
  <c r="AO35" i="33"/>
  <c r="AV222" i="28"/>
  <c r="AV34" i="33"/>
  <c r="AN219" i="28"/>
  <c r="AO31" i="33"/>
  <c r="AZ230" i="28"/>
  <c r="AZ42" i="33"/>
  <c r="AN241" i="28"/>
  <c r="AO53" i="33"/>
  <c r="AV240" i="28"/>
  <c r="AV52" i="33"/>
  <c r="AV236" i="28"/>
  <c r="AV48" i="33"/>
  <c r="AV235" i="28"/>
  <c r="AV47" i="33"/>
  <c r="AV234" i="28"/>
  <c r="AV46" i="33"/>
  <c r="AV231" i="28"/>
  <c r="AV43" i="33"/>
  <c r="AN230" i="28"/>
  <c r="AO42" i="33"/>
  <c r="AV229" i="28"/>
  <c r="AV41" i="33"/>
  <c r="AN225" i="28"/>
  <c r="AO37" i="33"/>
  <c r="AV224" i="28"/>
  <c r="AV36" i="33"/>
  <c r="AV220" i="28"/>
  <c r="AV32" i="33"/>
  <c r="AV219" i="28"/>
  <c r="AV31" i="33"/>
  <c r="AZ241" i="28"/>
  <c r="AZ53" i="33"/>
  <c r="AZ235" i="28"/>
  <c r="AZ47" i="33"/>
  <c r="AZ232" i="28"/>
  <c r="AZ44" i="33"/>
  <c r="AZ226" i="28"/>
  <c r="AZ38" i="33"/>
  <c r="AZ237" i="28"/>
  <c r="AZ49" i="33"/>
  <c r="AZ229" i="28"/>
  <c r="AZ41" i="33"/>
  <c r="AZ221" i="28"/>
  <c r="AZ33" i="33"/>
  <c r="AZ238" i="28"/>
  <c r="AZ50" i="33"/>
  <c r="AZ222" i="28"/>
  <c r="AZ34" i="33"/>
  <c r="AN243" i="28"/>
  <c r="AO55" i="33"/>
  <c r="AN242" i="28"/>
  <c r="AO54" i="33"/>
  <c r="AV241" i="28"/>
  <c r="AV53" i="33"/>
  <c r="AN237" i="28"/>
  <c r="AO49" i="33"/>
  <c r="AN236" i="28"/>
  <c r="AO48" i="33"/>
  <c r="AV232" i="28"/>
  <c r="AV44" i="33"/>
  <c r="AN231" i="28"/>
  <c r="AO43" i="33"/>
  <c r="AV230" i="28"/>
  <c r="AV42" i="33"/>
  <c r="AN227" i="28"/>
  <c r="AO39" i="33"/>
  <c r="AN226" i="28"/>
  <c r="AO38" i="33"/>
  <c r="AV225" i="28"/>
  <c r="AV37" i="33"/>
  <c r="AN221" i="28"/>
  <c r="AO33" i="33"/>
  <c r="AN220" i="28"/>
  <c r="AO32" i="33"/>
  <c r="AZ243" i="28"/>
  <c r="AZ55" i="33"/>
  <c r="AZ227" i="28"/>
  <c r="AZ39" i="33"/>
  <c r="AZ240" i="28"/>
  <c r="AZ52" i="33"/>
  <c r="AZ224" i="28"/>
  <c r="AZ36" i="33"/>
  <c r="AZ233" i="28"/>
  <c r="AZ45" i="33"/>
  <c r="AZ225" i="28"/>
  <c r="AZ37" i="33"/>
  <c r="AZ242" i="28"/>
  <c r="AZ54" i="33"/>
  <c r="AZ236" i="28"/>
  <c r="AZ48" i="33"/>
  <c r="AZ228" i="28"/>
  <c r="AZ40" i="33"/>
  <c r="AZ220" i="28"/>
  <c r="AZ32" i="33"/>
  <c r="AZ239" i="28"/>
  <c r="AZ51" i="33"/>
  <c r="AZ231" i="28"/>
  <c r="AZ43" i="33"/>
  <c r="AZ223" i="28"/>
  <c r="AZ35" i="33"/>
  <c r="AZ234" i="28"/>
  <c r="AZ46" i="33"/>
  <c r="AV243" i="28"/>
  <c r="AV55" i="33"/>
  <c r="AV242" i="28"/>
  <c r="AV54" i="33"/>
  <c r="AV239" i="28"/>
  <c r="AV51" i="33"/>
  <c r="AN238" i="28"/>
  <c r="AO50" i="33"/>
  <c r="AV237" i="28"/>
  <c r="AV49" i="33"/>
  <c r="AN233" i="28"/>
  <c r="AO45" i="33"/>
  <c r="AN232" i="28"/>
  <c r="AO44" i="33"/>
  <c r="AV228" i="28"/>
  <c r="AV40" i="33"/>
  <c r="AV227" i="28"/>
  <c r="AV39" i="33"/>
  <c r="AV226" i="28"/>
  <c r="AV38" i="33"/>
  <c r="AV223" i="28"/>
  <c r="AV35" i="33"/>
  <c r="AN222" i="28"/>
  <c r="AO34" i="33"/>
  <c r="AV221" i="28"/>
  <c r="AV33" i="33"/>
  <c r="BI66" i="28"/>
  <c r="BI58" i="28"/>
  <c r="BI50" i="28"/>
  <c r="BI63" i="28"/>
  <c r="BI55" i="28"/>
  <c r="BI47" i="28"/>
  <c r="BI64" i="28"/>
  <c r="BI56" i="28"/>
  <c r="BI57" i="28"/>
  <c r="BI70" i="28"/>
  <c r="BI62" i="28"/>
  <c r="BI54" i="28"/>
  <c r="BI67" i="28"/>
  <c r="BI59" i="28"/>
  <c r="BI51" i="28"/>
  <c r="BI65" i="28"/>
  <c r="BI68" i="28"/>
  <c r="BI60" i="28"/>
  <c r="BI61" i="28"/>
  <c r="BI53" i="28"/>
  <c r="BI69" i="28"/>
  <c r="BI48" i="28"/>
  <c r="BI49" i="28"/>
  <c r="AD243" i="28"/>
  <c r="AE243" i="28"/>
  <c r="AI243" i="28"/>
  <c r="AC243" i="28"/>
  <c r="AB243" i="28"/>
  <c r="AF243" i="28"/>
  <c r="AJ243" i="28"/>
  <c r="AG243" i="28"/>
  <c r="AK243" i="28"/>
  <c r="AH243" i="28"/>
  <c r="T20" i="20"/>
  <c r="E19" i="20"/>
  <c r="S20" i="20"/>
  <c r="BI71" i="28" l="1"/>
  <c r="T21" i="20"/>
  <c r="W92" i="10"/>
  <c r="X92" i="10" s="1"/>
  <c r="W91" i="10"/>
  <c r="W90" i="10"/>
  <c r="X90" i="10" s="1"/>
  <c r="W89" i="10"/>
  <c r="X89" i="10" s="1"/>
  <c r="N89" i="10" s="1"/>
  <c r="AG89" i="10" s="1"/>
  <c r="W88" i="10"/>
  <c r="W87" i="10"/>
  <c r="W86" i="10"/>
  <c r="W85" i="10"/>
  <c r="X85" i="10" s="1"/>
  <c r="N85" i="10" s="1"/>
  <c r="AG85" i="10" s="1"/>
  <c r="W84" i="10"/>
  <c r="W83" i="10"/>
  <c r="W67" i="10"/>
  <c r="W66" i="10"/>
  <c r="X66" i="10" s="1"/>
  <c r="W65" i="10"/>
  <c r="X65" i="10" s="1"/>
  <c r="W64" i="10"/>
  <c r="W63" i="10"/>
  <c r="W62" i="10"/>
  <c r="S14" i="20"/>
  <c r="S21" i="20"/>
  <c r="E20" i="20"/>
  <c r="X87" i="10" l="1"/>
  <c r="X64" i="10"/>
  <c r="AB64" i="10"/>
  <c r="AC64" i="10"/>
  <c r="X62" i="10"/>
  <c r="Y62" i="10"/>
  <c r="AC62" i="10"/>
  <c r="Z63" i="10"/>
  <c r="AA63" i="10"/>
  <c r="T12" i="20"/>
  <c r="Y83" i="10"/>
  <c r="Z83" i="10"/>
  <c r="Y63" i="10"/>
  <c r="X63" i="10"/>
  <c r="AG94" i="10"/>
  <c r="BC5" i="18"/>
  <c r="BB5" i="18"/>
  <c r="BA5" i="18"/>
  <c r="AZ5" i="18"/>
  <c r="AY5" i="18"/>
  <c r="AX5" i="18"/>
  <c r="AW5" i="18"/>
  <c r="AV5" i="18"/>
  <c r="AU5" i="18"/>
  <c r="AT5" i="18"/>
  <c r="AS5" i="18"/>
  <c r="AR5" i="18"/>
  <c r="R14" i="29"/>
  <c r="S37" i="29"/>
  <c r="S36" i="29"/>
  <c r="S35" i="29"/>
  <c r="S34" i="29"/>
  <c r="S33" i="29"/>
  <c r="S32" i="29"/>
  <c r="S31" i="29"/>
  <c r="S30" i="29"/>
  <c r="S29" i="29"/>
  <c r="S28" i="29"/>
  <c r="T110" i="10"/>
  <c r="G366" i="29" s="1"/>
  <c r="S110" i="10"/>
  <c r="L366" i="29" s="1"/>
  <c r="T109" i="10"/>
  <c r="G322" i="29" s="1"/>
  <c r="S109" i="10"/>
  <c r="L322" i="29" s="1"/>
  <c r="T108" i="10"/>
  <c r="G278" i="29" s="1"/>
  <c r="S108" i="10"/>
  <c r="L278" i="29" s="1"/>
  <c r="T107" i="10"/>
  <c r="G234" i="29" s="1"/>
  <c r="S107" i="10"/>
  <c r="L234" i="29" s="1"/>
  <c r="T106" i="10"/>
  <c r="G190" i="29" s="1"/>
  <c r="S106" i="10"/>
  <c r="L190" i="29" s="1"/>
  <c r="T105" i="10"/>
  <c r="G146" i="29" s="1"/>
  <c r="S105" i="10"/>
  <c r="L146" i="29" s="1"/>
  <c r="T104" i="10"/>
  <c r="G102" i="29" s="1"/>
  <c r="S104" i="10"/>
  <c r="L102" i="29" s="1"/>
  <c r="T103" i="10"/>
  <c r="G58" i="29" s="1"/>
  <c r="S103" i="10"/>
  <c r="L58" i="29" s="1"/>
  <c r="T102" i="10"/>
  <c r="S102" i="10"/>
  <c r="T92" i="10"/>
  <c r="T91" i="10"/>
  <c r="T90" i="10"/>
  <c r="T89" i="10"/>
  <c r="T88" i="10"/>
  <c r="T87" i="10"/>
  <c r="T86" i="10"/>
  <c r="T85" i="10"/>
  <c r="T84" i="10"/>
  <c r="T83" i="10"/>
  <c r="G17" i="16"/>
  <c r="G15" i="16"/>
  <c r="BA122" i="9"/>
  <c r="BA121" i="9"/>
  <c r="BA120" i="9"/>
  <c r="BA119" i="9"/>
  <c r="BA118" i="9"/>
  <c r="BA117" i="9"/>
  <c r="BA116" i="9"/>
  <c r="BA115" i="9"/>
  <c r="BA114" i="9"/>
  <c r="BA113" i="9"/>
  <c r="D14" i="20"/>
  <c r="S12" i="20"/>
  <c r="S10" i="20"/>
  <c r="E21" i="20"/>
  <c r="K225" i="29" l="1"/>
  <c r="H197" i="29"/>
  <c r="Y197" i="29" s="1"/>
  <c r="V197" i="29" s="1"/>
  <c r="H199" i="29"/>
  <c r="Y199" i="29" s="1"/>
  <c r="V199" i="29" s="1"/>
  <c r="H198" i="29"/>
  <c r="Y198" i="29" s="1"/>
  <c r="V198" i="29" s="1"/>
  <c r="H200" i="29"/>
  <c r="Y200" i="29" s="1"/>
  <c r="V200" i="29" s="1"/>
  <c r="H195" i="29"/>
  <c r="Y195" i="29" s="1"/>
  <c r="V195" i="29" s="1"/>
  <c r="K193" i="29"/>
  <c r="K201" i="29" s="1"/>
  <c r="K214" i="29" s="1"/>
  <c r="K215" i="29" s="1"/>
  <c r="H193" i="29"/>
  <c r="Y193" i="29" s="1"/>
  <c r="V193" i="29" s="1"/>
  <c r="H196" i="29"/>
  <c r="Y196" i="29" s="1"/>
  <c r="V196" i="29" s="1"/>
  <c r="H194" i="29"/>
  <c r="H372" i="29"/>
  <c r="K369" i="29"/>
  <c r="K377" i="29" s="1"/>
  <c r="K390" i="29" s="1"/>
  <c r="K391" i="29" s="1"/>
  <c r="H373" i="29"/>
  <c r="Y373" i="29" s="1"/>
  <c r="V373" i="29" s="1"/>
  <c r="H375" i="29"/>
  <c r="Y375" i="29" s="1"/>
  <c r="V375" i="29" s="1"/>
  <c r="H369" i="29"/>
  <c r="Y369" i="29" s="1"/>
  <c r="V369" i="29" s="1"/>
  <c r="H371" i="29"/>
  <c r="H370" i="29"/>
  <c r="H374" i="29"/>
  <c r="Y374" i="29" s="1"/>
  <c r="V374" i="29" s="1"/>
  <c r="K401" i="29"/>
  <c r="H376" i="29"/>
  <c r="Y376" i="29" s="1"/>
  <c r="V376" i="29" s="1"/>
  <c r="E515" i="29"/>
  <c r="E823" i="29"/>
  <c r="E779" i="29"/>
  <c r="E735" i="29"/>
  <c r="E251" i="29"/>
  <c r="K251" i="29" s="1"/>
  <c r="E383" i="29"/>
  <c r="K383" i="29" s="1"/>
  <c r="E207" i="29"/>
  <c r="K207" i="29" s="1"/>
  <c r="E691" i="29"/>
  <c r="E295" i="29"/>
  <c r="K295" i="29" s="1"/>
  <c r="E647" i="29"/>
  <c r="E603" i="29"/>
  <c r="E471" i="29"/>
  <c r="E559" i="29"/>
  <c r="E163" i="29"/>
  <c r="K163" i="29" s="1"/>
  <c r="E867" i="29"/>
  <c r="E339" i="29"/>
  <c r="K339" i="29" s="1"/>
  <c r="E119" i="29"/>
  <c r="K119" i="29" s="1"/>
  <c r="E427" i="29"/>
  <c r="E475" i="29"/>
  <c r="E871" i="29"/>
  <c r="E211" i="29"/>
  <c r="K211" i="29" s="1"/>
  <c r="E651" i="29"/>
  <c r="E607" i="29"/>
  <c r="E255" i="29"/>
  <c r="K255" i="29" s="1"/>
  <c r="E563" i="29"/>
  <c r="E123" i="29"/>
  <c r="K123" i="29" s="1"/>
  <c r="E343" i="29"/>
  <c r="K343" i="29" s="1"/>
  <c r="E519" i="29"/>
  <c r="E299" i="29"/>
  <c r="K299" i="29" s="1"/>
  <c r="E827" i="29"/>
  <c r="E431" i="29"/>
  <c r="E387" i="29"/>
  <c r="K387" i="29" s="1"/>
  <c r="E783" i="29"/>
  <c r="E167" i="29"/>
  <c r="K167" i="29" s="1"/>
  <c r="E695" i="29"/>
  <c r="E739" i="29"/>
  <c r="U137" i="29"/>
  <c r="T122" i="29"/>
  <c r="Z116" i="29"/>
  <c r="V142" i="29"/>
  <c r="Z125" i="29"/>
  <c r="L127" i="29"/>
  <c r="U138" i="29"/>
  <c r="T124" i="29"/>
  <c r="T120" i="29"/>
  <c r="T113" i="29"/>
  <c r="V137" i="29"/>
  <c r="V139" i="29"/>
  <c r="V138" i="29"/>
  <c r="T123" i="29"/>
  <c r="Z117" i="29"/>
  <c r="R113" i="29"/>
  <c r="Z123" i="29"/>
  <c r="Z102" i="29"/>
  <c r="Z121" i="29"/>
  <c r="Z119" i="29"/>
  <c r="V126" i="29"/>
  <c r="T138" i="29"/>
  <c r="S140" i="29"/>
  <c r="J130" i="29"/>
  <c r="Z120" i="29"/>
  <c r="U139" i="29"/>
  <c r="T119" i="29"/>
  <c r="T125" i="29"/>
  <c r="T117" i="29"/>
  <c r="S137" i="29"/>
  <c r="Z122" i="29"/>
  <c r="Z118" i="29"/>
  <c r="E105" i="29"/>
  <c r="R137" i="29"/>
  <c r="Z124" i="29"/>
  <c r="L113" i="29"/>
  <c r="T121" i="29"/>
  <c r="V127" i="29"/>
  <c r="T140" i="29"/>
  <c r="R138" i="29"/>
  <c r="T118" i="29"/>
  <c r="T137" i="29"/>
  <c r="R139" i="29"/>
  <c r="T116" i="29"/>
  <c r="U226" i="29"/>
  <c r="T212" i="29"/>
  <c r="T225" i="29"/>
  <c r="Z206" i="29"/>
  <c r="E193" i="29"/>
  <c r="V225" i="29"/>
  <c r="Z209" i="29"/>
  <c r="V226" i="29"/>
  <c r="Z212" i="29"/>
  <c r="Z190" i="29"/>
  <c r="T207" i="29"/>
  <c r="S225" i="29"/>
  <c r="Z210" i="29"/>
  <c r="Z213" i="29"/>
  <c r="S228" i="29"/>
  <c r="Z211" i="29"/>
  <c r="L201" i="29"/>
  <c r="R225" i="29"/>
  <c r="T205" i="29"/>
  <c r="V230" i="29"/>
  <c r="Z205" i="29"/>
  <c r="V215" i="29"/>
  <c r="T204" i="29"/>
  <c r="U227" i="29"/>
  <c r="T206" i="29"/>
  <c r="T228" i="29"/>
  <c r="J218" i="29"/>
  <c r="Z207" i="29"/>
  <c r="R201" i="29"/>
  <c r="U225" i="29"/>
  <c r="R226" i="29"/>
  <c r="R227" i="29"/>
  <c r="T201" i="29"/>
  <c r="V227" i="29"/>
  <c r="L215" i="29"/>
  <c r="V214" i="29"/>
  <c r="T226" i="29"/>
  <c r="T213" i="29"/>
  <c r="Z208" i="29"/>
  <c r="T208" i="29"/>
  <c r="T210" i="29"/>
  <c r="R207" i="29"/>
  <c r="T211" i="29"/>
  <c r="Z204" i="29"/>
  <c r="T209" i="29"/>
  <c r="V315" i="29"/>
  <c r="Z300" i="29"/>
  <c r="L289" i="29"/>
  <c r="V314" i="29"/>
  <c r="T299" i="29"/>
  <c r="Z293" i="29"/>
  <c r="S313" i="29"/>
  <c r="Z298" i="29"/>
  <c r="R299" i="29"/>
  <c r="L303" i="29"/>
  <c r="T297" i="29"/>
  <c r="T314" i="29"/>
  <c r="R314" i="29"/>
  <c r="T294" i="29"/>
  <c r="Z278" i="29"/>
  <c r="T313" i="29"/>
  <c r="Z297" i="29"/>
  <c r="V303" i="29"/>
  <c r="T292" i="29"/>
  <c r="T293" i="29"/>
  <c r="T301" i="29"/>
  <c r="Z295" i="29"/>
  <c r="U313" i="29"/>
  <c r="T298" i="29"/>
  <c r="Z292" i="29"/>
  <c r="V318" i="29"/>
  <c r="Z301" i="29"/>
  <c r="R315" i="29"/>
  <c r="V302" i="29"/>
  <c r="T296" i="29"/>
  <c r="T289" i="29"/>
  <c r="T316" i="29"/>
  <c r="Z299" i="29"/>
  <c r="V299" i="29" s="1"/>
  <c r="R289" i="29"/>
  <c r="S316" i="29"/>
  <c r="J306" i="29"/>
  <c r="Z296" i="29"/>
  <c r="U315" i="29"/>
  <c r="T295" i="29"/>
  <c r="U314" i="29"/>
  <c r="Z294" i="29"/>
  <c r="E281" i="29"/>
  <c r="R313" i="29"/>
  <c r="T300" i="29"/>
  <c r="V313" i="29"/>
  <c r="V391" i="29"/>
  <c r="T380" i="29"/>
  <c r="T402" i="29"/>
  <c r="T389" i="29"/>
  <c r="T385" i="29"/>
  <c r="R377" i="29"/>
  <c r="V402" i="29"/>
  <c r="T387" i="29"/>
  <c r="Z366" i="29"/>
  <c r="L377" i="29"/>
  <c r="J394" i="29"/>
  <c r="R403" i="29"/>
  <c r="V390" i="29"/>
  <c r="T384" i="29"/>
  <c r="T377" i="29"/>
  <c r="V401" i="29"/>
  <c r="Z387" i="29"/>
  <c r="Z383" i="29"/>
  <c r="V383" i="29" s="1"/>
  <c r="Z385" i="29"/>
  <c r="U401" i="29"/>
  <c r="T386" i="29"/>
  <c r="U403" i="29"/>
  <c r="V403" i="29"/>
  <c r="Z388" i="29"/>
  <c r="U402" i="29"/>
  <c r="T388" i="29"/>
  <c r="Z382" i="29"/>
  <c r="E369" i="29"/>
  <c r="R401" i="29"/>
  <c r="R383" i="29"/>
  <c r="Z381" i="29"/>
  <c r="T383" i="29"/>
  <c r="Z389" i="29"/>
  <c r="R402" i="29"/>
  <c r="S404" i="29"/>
  <c r="T381" i="29"/>
  <c r="T404" i="29"/>
  <c r="V406" i="29"/>
  <c r="Z380" i="29"/>
  <c r="S401" i="29"/>
  <c r="L391" i="29"/>
  <c r="T401" i="29"/>
  <c r="Z386" i="29"/>
  <c r="T382" i="29"/>
  <c r="Z384" i="29"/>
  <c r="H110" i="29"/>
  <c r="Y110" i="29" s="1"/>
  <c r="V110" i="29" s="1"/>
  <c r="H105" i="29"/>
  <c r="Y105" i="29" s="1"/>
  <c r="V105" i="29" s="1"/>
  <c r="H108" i="29"/>
  <c r="Y108" i="29" s="1"/>
  <c r="V108" i="29" s="1"/>
  <c r="K105" i="29"/>
  <c r="K113" i="29" s="1"/>
  <c r="K126" i="29" s="1"/>
  <c r="K127" i="29" s="1"/>
  <c r="K137" i="29"/>
  <c r="H112" i="29"/>
  <c r="Y112" i="29" s="1"/>
  <c r="V112" i="29" s="1"/>
  <c r="H106" i="29"/>
  <c r="H111" i="29"/>
  <c r="Y111" i="29" s="1"/>
  <c r="V111" i="29" s="1"/>
  <c r="H107" i="29"/>
  <c r="Y107" i="29" s="1"/>
  <c r="V107" i="29" s="1"/>
  <c r="H109" i="29"/>
  <c r="Y109" i="29" s="1"/>
  <c r="V109" i="29" s="1"/>
  <c r="H286" i="29"/>
  <c r="Y286" i="29" s="1"/>
  <c r="V286" i="29" s="1"/>
  <c r="H281" i="29"/>
  <c r="Y281" i="29" s="1"/>
  <c r="V281" i="29" s="1"/>
  <c r="H287" i="29"/>
  <c r="Y287" i="29" s="1"/>
  <c r="V287" i="29" s="1"/>
  <c r="H282" i="29"/>
  <c r="H288" i="29"/>
  <c r="Y288" i="29" s="1"/>
  <c r="V288" i="29" s="1"/>
  <c r="K281" i="29"/>
  <c r="K289" i="29" s="1"/>
  <c r="K302" i="29" s="1"/>
  <c r="K303" i="29" s="1"/>
  <c r="H284" i="29"/>
  <c r="Y284" i="29" s="1"/>
  <c r="V284" i="29" s="1"/>
  <c r="H283" i="29"/>
  <c r="Y283" i="29" s="1"/>
  <c r="V283" i="29" s="1"/>
  <c r="K313" i="29"/>
  <c r="H285" i="29"/>
  <c r="Y285" i="29" s="1"/>
  <c r="V285" i="29" s="1"/>
  <c r="E688" i="29"/>
  <c r="E292" i="29"/>
  <c r="K292" i="29" s="1"/>
  <c r="E336" i="29"/>
  <c r="K336" i="29" s="1"/>
  <c r="E556" i="29"/>
  <c r="E468" i="29"/>
  <c r="E732" i="29"/>
  <c r="E116" i="29"/>
  <c r="K116" i="29" s="1"/>
  <c r="E820" i="29"/>
  <c r="E204" i="29"/>
  <c r="K204" i="29" s="1"/>
  <c r="E380" i="29"/>
  <c r="K380" i="29" s="1"/>
  <c r="E424" i="29"/>
  <c r="E600" i="29"/>
  <c r="E160" i="29"/>
  <c r="K160" i="29" s="1"/>
  <c r="E776" i="29"/>
  <c r="E248" i="29"/>
  <c r="K248" i="29" s="1"/>
  <c r="E864" i="29"/>
  <c r="E644" i="29"/>
  <c r="E512" i="29"/>
  <c r="E208" i="29"/>
  <c r="K208" i="29" s="1"/>
  <c r="E340" i="29"/>
  <c r="K340" i="29" s="1"/>
  <c r="E868" i="29"/>
  <c r="E780" i="29"/>
  <c r="E428" i="29"/>
  <c r="E384" i="29"/>
  <c r="K384" i="29" s="1"/>
  <c r="E736" i="29"/>
  <c r="E472" i="29"/>
  <c r="E560" i="29"/>
  <c r="E516" i="29"/>
  <c r="E164" i="29"/>
  <c r="K164" i="29" s="1"/>
  <c r="E648" i="29"/>
  <c r="E252" i="29"/>
  <c r="K252" i="29" s="1"/>
  <c r="E296" i="29"/>
  <c r="K296" i="29" s="1"/>
  <c r="E692" i="29"/>
  <c r="E824" i="29"/>
  <c r="E604" i="29"/>
  <c r="E120" i="29"/>
  <c r="K120" i="29" s="1"/>
  <c r="E344" i="29"/>
  <c r="K344" i="29" s="1"/>
  <c r="E740" i="29"/>
  <c r="E212" i="29"/>
  <c r="K212" i="29" s="1"/>
  <c r="E388" i="29"/>
  <c r="K388" i="29" s="1"/>
  <c r="E696" i="29"/>
  <c r="E520" i="29"/>
  <c r="E872" i="29"/>
  <c r="E124" i="29"/>
  <c r="K124" i="29" s="1"/>
  <c r="E828" i="29"/>
  <c r="E432" i="29"/>
  <c r="E608" i="29"/>
  <c r="E300" i="29"/>
  <c r="K300" i="29" s="1"/>
  <c r="E652" i="29"/>
  <c r="E564" i="29"/>
  <c r="E256" i="29"/>
  <c r="K256" i="29" s="1"/>
  <c r="E168" i="29"/>
  <c r="K168" i="29" s="1"/>
  <c r="E476" i="29"/>
  <c r="E784" i="29"/>
  <c r="K181" i="29"/>
  <c r="H153" i="29"/>
  <c r="Y153" i="29" s="1"/>
  <c r="V153" i="29" s="1"/>
  <c r="H152" i="29"/>
  <c r="Y152" i="29" s="1"/>
  <c r="V152" i="29" s="1"/>
  <c r="H154" i="29"/>
  <c r="Y154" i="29" s="1"/>
  <c r="V154" i="29" s="1"/>
  <c r="H149" i="29"/>
  <c r="Y149" i="29" s="1"/>
  <c r="V149" i="29" s="1"/>
  <c r="H151" i="29"/>
  <c r="Y151" i="29" s="1"/>
  <c r="V151" i="29" s="1"/>
  <c r="K149" i="29"/>
  <c r="K157" i="29" s="1"/>
  <c r="K170" i="29" s="1"/>
  <c r="K171" i="29" s="1"/>
  <c r="H155" i="29"/>
  <c r="Y155" i="29" s="1"/>
  <c r="V155" i="29" s="1"/>
  <c r="H156" i="29"/>
  <c r="Y156" i="29" s="1"/>
  <c r="V156" i="29" s="1"/>
  <c r="H150" i="29"/>
  <c r="K269" i="29"/>
  <c r="H243" i="29"/>
  <c r="Y243" i="29" s="1"/>
  <c r="V243" i="29" s="1"/>
  <c r="H242" i="29"/>
  <c r="Y242" i="29" s="1"/>
  <c r="V242" i="29" s="1"/>
  <c r="H239" i="29"/>
  <c r="Y239" i="29" s="1"/>
  <c r="V239" i="29" s="1"/>
  <c r="H244" i="29"/>
  <c r="Y244" i="29" s="1"/>
  <c r="V244" i="29" s="1"/>
  <c r="H238" i="29"/>
  <c r="H241" i="29"/>
  <c r="Y241" i="29" s="1"/>
  <c r="V241" i="29" s="1"/>
  <c r="H240" i="29"/>
  <c r="Y240" i="29" s="1"/>
  <c r="V240" i="29" s="1"/>
  <c r="K237" i="29"/>
  <c r="K245" i="29" s="1"/>
  <c r="K258" i="29" s="1"/>
  <c r="K259" i="29" s="1"/>
  <c r="H237" i="29"/>
  <c r="Y237" i="29" s="1"/>
  <c r="V237" i="29" s="1"/>
  <c r="K325" i="29"/>
  <c r="K333" i="29" s="1"/>
  <c r="K346" i="29" s="1"/>
  <c r="K347" i="29" s="1"/>
  <c r="H328" i="29"/>
  <c r="Y328" i="29" s="1"/>
  <c r="V328" i="29" s="1"/>
  <c r="K357" i="29"/>
  <c r="H329" i="29"/>
  <c r="Y329" i="29" s="1"/>
  <c r="V329" i="29" s="1"/>
  <c r="H327" i="29"/>
  <c r="Y327" i="29" s="1"/>
  <c r="V327" i="29" s="1"/>
  <c r="H330" i="29"/>
  <c r="Y330" i="29" s="1"/>
  <c r="V330" i="29" s="1"/>
  <c r="H325" i="29"/>
  <c r="Y325" i="29" s="1"/>
  <c r="V325" i="29" s="1"/>
  <c r="H331" i="29"/>
  <c r="Y331" i="29" s="1"/>
  <c r="V331" i="29" s="1"/>
  <c r="H326" i="29"/>
  <c r="H332" i="29"/>
  <c r="Y332" i="29" s="1"/>
  <c r="V332" i="29" s="1"/>
  <c r="E558" i="29"/>
  <c r="E162" i="29"/>
  <c r="K162" i="29" s="1"/>
  <c r="E646" i="29"/>
  <c r="E514" i="29"/>
  <c r="E382" i="29"/>
  <c r="K382" i="29" s="1"/>
  <c r="E206" i="29"/>
  <c r="K206" i="29" s="1"/>
  <c r="E426" i="29"/>
  <c r="E690" i="29"/>
  <c r="E602" i="29"/>
  <c r="E470" i="29"/>
  <c r="E118" i="29"/>
  <c r="K118" i="29" s="1"/>
  <c r="E250" i="29"/>
  <c r="K250" i="29" s="1"/>
  <c r="E866" i="29"/>
  <c r="E778" i="29"/>
  <c r="E734" i="29"/>
  <c r="E338" i="29"/>
  <c r="K338" i="29" s="1"/>
  <c r="E294" i="29"/>
  <c r="K294" i="29" s="1"/>
  <c r="E822" i="29"/>
  <c r="E518" i="29"/>
  <c r="E430" i="29"/>
  <c r="E606" i="29"/>
  <c r="E738" i="29"/>
  <c r="E386" i="29"/>
  <c r="K386" i="29" s="1"/>
  <c r="E122" i="29"/>
  <c r="K122" i="29" s="1"/>
  <c r="E826" i="29"/>
  <c r="E870" i="29"/>
  <c r="E650" i="29"/>
  <c r="E782" i="29"/>
  <c r="E342" i="29"/>
  <c r="K342" i="29" s="1"/>
  <c r="E210" i="29"/>
  <c r="K210" i="29" s="1"/>
  <c r="E166" i="29"/>
  <c r="K166" i="29" s="1"/>
  <c r="E298" i="29"/>
  <c r="K298" i="29" s="1"/>
  <c r="E694" i="29"/>
  <c r="E474" i="29"/>
  <c r="E562" i="29"/>
  <c r="E254" i="29"/>
  <c r="K254" i="29" s="1"/>
  <c r="E425" i="29"/>
  <c r="E161" i="29"/>
  <c r="K161" i="29" s="1"/>
  <c r="E513" i="29"/>
  <c r="E821" i="29"/>
  <c r="E733" i="29"/>
  <c r="E777" i="29"/>
  <c r="E557" i="29"/>
  <c r="E249" i="29"/>
  <c r="R249" i="29" s="1"/>
  <c r="E689" i="29"/>
  <c r="E865" i="29"/>
  <c r="E469" i="29"/>
  <c r="E337" i="29"/>
  <c r="R337" i="29" s="1"/>
  <c r="E645" i="29"/>
  <c r="E293" i="29"/>
  <c r="K293" i="29" s="1"/>
  <c r="E117" i="29"/>
  <c r="K117" i="29" s="1"/>
  <c r="E205" i="29"/>
  <c r="K205" i="29" s="1"/>
  <c r="E381" i="29"/>
  <c r="K381" i="29" s="1"/>
  <c r="E601" i="29"/>
  <c r="E209" i="29"/>
  <c r="K209" i="29" s="1"/>
  <c r="E825" i="29"/>
  <c r="E649" i="29"/>
  <c r="E297" i="29"/>
  <c r="K297" i="29" s="1"/>
  <c r="E517" i="29"/>
  <c r="E385" i="29"/>
  <c r="K385" i="29" s="1"/>
  <c r="E341" i="29"/>
  <c r="K341" i="29" s="1"/>
  <c r="E781" i="29"/>
  <c r="E473" i="29"/>
  <c r="E605" i="29"/>
  <c r="E561" i="29"/>
  <c r="E121" i="29"/>
  <c r="K121" i="29" s="1"/>
  <c r="E737" i="29"/>
  <c r="E693" i="29"/>
  <c r="E165" i="29"/>
  <c r="K165" i="29" s="1"/>
  <c r="E429" i="29"/>
  <c r="E253" i="29"/>
  <c r="K253" i="29" s="1"/>
  <c r="E869" i="29"/>
  <c r="E697" i="29"/>
  <c r="E609" i="29"/>
  <c r="E829" i="29"/>
  <c r="E257" i="29"/>
  <c r="K257" i="29" s="1"/>
  <c r="E565" i="29"/>
  <c r="E653" i="29"/>
  <c r="E389" i="29"/>
  <c r="K389" i="29" s="1"/>
  <c r="E345" i="29"/>
  <c r="K345" i="29" s="1"/>
  <c r="E213" i="29"/>
  <c r="K213" i="29" s="1"/>
  <c r="E301" i="29"/>
  <c r="K301" i="29" s="1"/>
  <c r="E125" i="29"/>
  <c r="K125" i="29" s="1"/>
  <c r="E873" i="29"/>
  <c r="E521" i="29"/>
  <c r="E785" i="29"/>
  <c r="E169" i="29"/>
  <c r="K169" i="29" s="1"/>
  <c r="E433" i="29"/>
  <c r="E741" i="29"/>
  <c r="E477" i="29"/>
  <c r="R182" i="29"/>
  <c r="R168" i="29"/>
  <c r="T162" i="29"/>
  <c r="Z146" i="29"/>
  <c r="U183" i="29"/>
  <c r="T163" i="29"/>
  <c r="T169" i="29"/>
  <c r="R163" i="29"/>
  <c r="S181" i="29"/>
  <c r="Z166" i="29"/>
  <c r="T184" i="29"/>
  <c r="R157" i="29"/>
  <c r="U181" i="29"/>
  <c r="T166" i="29"/>
  <c r="Z160" i="29"/>
  <c r="V181" i="29"/>
  <c r="V182" i="29"/>
  <c r="T167" i="29"/>
  <c r="Z161" i="29"/>
  <c r="T161" i="29"/>
  <c r="V171" i="29"/>
  <c r="T160" i="29"/>
  <c r="T182" i="29"/>
  <c r="V183" i="29"/>
  <c r="V186" i="29"/>
  <c r="Z163" i="29"/>
  <c r="V163" i="29" s="1"/>
  <c r="T168" i="29"/>
  <c r="E149" i="29"/>
  <c r="J174" i="29"/>
  <c r="T181" i="29"/>
  <c r="R183" i="29"/>
  <c r="T164" i="29"/>
  <c r="R181" i="29"/>
  <c r="Z168" i="29"/>
  <c r="L157" i="29"/>
  <c r="Z169" i="29"/>
  <c r="U182" i="29"/>
  <c r="Z162" i="29"/>
  <c r="Z167" i="29"/>
  <c r="S184" i="29"/>
  <c r="Z164" i="29"/>
  <c r="L171" i="29"/>
  <c r="Z165" i="29"/>
  <c r="T165" i="29"/>
  <c r="V170" i="29"/>
  <c r="T157" i="29"/>
  <c r="R271" i="29"/>
  <c r="V258" i="29"/>
  <c r="T252" i="29"/>
  <c r="T245" i="29"/>
  <c r="R269" i="29"/>
  <c r="T249" i="29"/>
  <c r="U269" i="29"/>
  <c r="T254" i="29"/>
  <c r="T250" i="29"/>
  <c r="Z234" i="29"/>
  <c r="E237" i="29"/>
  <c r="Z257" i="29"/>
  <c r="T251" i="29"/>
  <c r="U270" i="29"/>
  <c r="T256" i="29"/>
  <c r="Z250" i="29"/>
  <c r="T272" i="29"/>
  <c r="L259" i="29"/>
  <c r="T253" i="29"/>
  <c r="S272" i="29"/>
  <c r="J262" i="29"/>
  <c r="Z252" i="29"/>
  <c r="Z248" i="29"/>
  <c r="V270" i="29"/>
  <c r="V274" i="29"/>
  <c r="Z249" i="29"/>
  <c r="S269" i="29"/>
  <c r="V259" i="29"/>
  <c r="T248" i="29"/>
  <c r="Z255" i="29"/>
  <c r="R270" i="29"/>
  <c r="Z253" i="29"/>
  <c r="Z254" i="29"/>
  <c r="T270" i="29"/>
  <c r="Z251" i="29"/>
  <c r="V251" i="29" s="1"/>
  <c r="Z256" i="29"/>
  <c r="U271" i="29"/>
  <c r="V269" i="29"/>
  <c r="R251" i="29"/>
  <c r="L245" i="29"/>
  <c r="T269" i="29"/>
  <c r="T257" i="29"/>
  <c r="V271" i="29"/>
  <c r="T255" i="29"/>
  <c r="R245" i="29"/>
  <c r="R358" i="29"/>
  <c r="V358" i="29"/>
  <c r="T343" i="29"/>
  <c r="T360" i="29"/>
  <c r="J350" i="29"/>
  <c r="Z340" i="29"/>
  <c r="T345" i="29"/>
  <c r="Z338" i="29"/>
  <c r="V338" i="29" s="1"/>
  <c r="E325" i="29"/>
  <c r="T337" i="29"/>
  <c r="R333" i="29"/>
  <c r="U357" i="29"/>
  <c r="T357" i="29"/>
  <c r="Z341" i="29"/>
  <c r="R359" i="29"/>
  <c r="Z342" i="29"/>
  <c r="L333" i="29"/>
  <c r="T340" i="29"/>
  <c r="V357" i="29"/>
  <c r="Z344" i="29"/>
  <c r="V344" i="29" s="1"/>
  <c r="L347" i="29"/>
  <c r="U358" i="29"/>
  <c r="S360" i="29"/>
  <c r="V362" i="29"/>
  <c r="Z345" i="29"/>
  <c r="T358" i="29"/>
  <c r="T338" i="29"/>
  <c r="Z322" i="29"/>
  <c r="Z339" i="29"/>
  <c r="V339" i="29" s="1"/>
  <c r="V347" i="29"/>
  <c r="T336" i="29"/>
  <c r="T344" i="29"/>
  <c r="S357" i="29"/>
  <c r="V359" i="29"/>
  <c r="R357" i="29"/>
  <c r="Z337" i="29"/>
  <c r="Z343" i="29"/>
  <c r="U359" i="29"/>
  <c r="T341" i="29"/>
  <c r="V346" i="29"/>
  <c r="R340" i="29"/>
  <c r="R345" i="29"/>
  <c r="Z336" i="29"/>
  <c r="T342" i="29"/>
  <c r="T339" i="29"/>
  <c r="T333" i="29"/>
  <c r="V95" i="29"/>
  <c r="R69" i="29"/>
  <c r="S93" i="29"/>
  <c r="T74" i="29"/>
  <c r="T73" i="29"/>
  <c r="T69" i="29"/>
  <c r="T96" i="29" s="1"/>
  <c r="S96" i="29"/>
  <c r="V93" i="29"/>
  <c r="T72" i="29"/>
  <c r="T79" i="29"/>
  <c r="T80" i="29"/>
  <c r="U95" i="29"/>
  <c r="V94" i="29"/>
  <c r="J86" i="29"/>
  <c r="T76" i="29"/>
  <c r="T81" i="29"/>
  <c r="R94" i="29"/>
  <c r="R95" i="29"/>
  <c r="T75" i="29"/>
  <c r="V98" i="29"/>
  <c r="L69" i="29"/>
  <c r="E61" i="29"/>
  <c r="T78" i="29"/>
  <c r="U94" i="29"/>
  <c r="T77" i="29"/>
  <c r="R93" i="29"/>
  <c r="U93" i="29"/>
  <c r="V83" i="29"/>
  <c r="L83" i="29"/>
  <c r="Z58" i="29"/>
  <c r="V82" i="29"/>
  <c r="E78" i="29"/>
  <c r="Z78" i="29" s="1"/>
  <c r="V78" i="29" s="1"/>
  <c r="E79" i="29"/>
  <c r="K79" i="29" s="1"/>
  <c r="E72" i="29"/>
  <c r="E80" i="29"/>
  <c r="K80" i="29" s="1"/>
  <c r="E73" i="29"/>
  <c r="Z73" i="29" s="1"/>
  <c r="V73" i="29" s="1"/>
  <c r="E74" i="29"/>
  <c r="R74" i="29" s="1"/>
  <c r="E77" i="29"/>
  <c r="R77" i="29" s="1"/>
  <c r="E75" i="29"/>
  <c r="R75" i="29" s="1"/>
  <c r="E76" i="29"/>
  <c r="Z76" i="29" s="1"/>
  <c r="V76" i="29" s="1"/>
  <c r="H63" i="29"/>
  <c r="Y63" i="29" s="1"/>
  <c r="V63" i="29" s="1"/>
  <c r="H64" i="29"/>
  <c r="Y64" i="29" s="1"/>
  <c r="V64" i="29" s="1"/>
  <c r="H61" i="29"/>
  <c r="Y61" i="29" s="1"/>
  <c r="V61" i="29" s="1"/>
  <c r="H62" i="29"/>
  <c r="E81" i="29"/>
  <c r="M3" i="29"/>
  <c r="F57" i="7"/>
  <c r="F64" i="7"/>
  <c r="D234" i="7"/>
  <c r="D270" i="7"/>
  <c r="D306" i="7"/>
  <c r="D342" i="7"/>
  <c r="D378" i="7"/>
  <c r="D414" i="7"/>
  <c r="D450" i="7"/>
  <c r="D486" i="7"/>
  <c r="D198" i="7"/>
  <c r="E31" i="29"/>
  <c r="E32" i="29"/>
  <c r="E33" i="29"/>
  <c r="E37" i="29"/>
  <c r="E36" i="29"/>
  <c r="E30" i="29"/>
  <c r="E34" i="29"/>
  <c r="E35" i="29"/>
  <c r="E98" i="26"/>
  <c r="E229" i="26"/>
  <c r="E294" i="26"/>
  <c r="E359" i="26"/>
  <c r="E424" i="26"/>
  <c r="E489" i="26"/>
  <c r="E554" i="26"/>
  <c r="E619" i="26"/>
  <c r="E164" i="26"/>
  <c r="E99" i="26"/>
  <c r="E295" i="26"/>
  <c r="E360" i="26"/>
  <c r="E425" i="26"/>
  <c r="E490" i="26"/>
  <c r="E555" i="26"/>
  <c r="E620" i="26"/>
  <c r="E100" i="26"/>
  <c r="E165" i="26"/>
  <c r="E230" i="26"/>
  <c r="E361" i="26"/>
  <c r="E426" i="26"/>
  <c r="E491" i="26"/>
  <c r="E556" i="26"/>
  <c r="E621" i="26"/>
  <c r="E101" i="26"/>
  <c r="E166" i="26"/>
  <c r="E296" i="26"/>
  <c r="E231" i="26"/>
  <c r="E427" i="26"/>
  <c r="E492" i="26"/>
  <c r="E557" i="26"/>
  <c r="E622" i="26"/>
  <c r="E167" i="26"/>
  <c r="E102" i="26"/>
  <c r="E362" i="26"/>
  <c r="E232" i="26"/>
  <c r="E297" i="26"/>
  <c r="E493" i="26"/>
  <c r="E623" i="26"/>
  <c r="E558" i="26"/>
  <c r="E103" i="26"/>
  <c r="E168" i="26"/>
  <c r="E298" i="26"/>
  <c r="E233" i="26"/>
  <c r="E363" i="26"/>
  <c r="E428" i="26"/>
  <c r="E624" i="26"/>
  <c r="E559" i="26"/>
  <c r="E104" i="26"/>
  <c r="E169" i="26"/>
  <c r="E299" i="26"/>
  <c r="E364" i="26"/>
  <c r="E234" i="26"/>
  <c r="E429" i="26"/>
  <c r="E494" i="26"/>
  <c r="E625" i="26"/>
  <c r="E105" i="26"/>
  <c r="E170" i="26"/>
  <c r="E300" i="26"/>
  <c r="E365" i="26"/>
  <c r="E235" i="26"/>
  <c r="E430" i="26"/>
  <c r="E495" i="26"/>
  <c r="E560" i="26"/>
  <c r="E553" i="26"/>
  <c r="E293" i="26"/>
  <c r="E29" i="29"/>
  <c r="E618" i="26"/>
  <c r="E358" i="26"/>
  <c r="E488" i="26"/>
  <c r="E228" i="26"/>
  <c r="E423" i="26"/>
  <c r="E163" i="26"/>
  <c r="E617" i="26"/>
  <c r="E357" i="26"/>
  <c r="E97" i="26"/>
  <c r="E28" i="29"/>
  <c r="E422" i="26"/>
  <c r="E162" i="26"/>
  <c r="E552" i="26"/>
  <c r="E292" i="26"/>
  <c r="E487" i="26"/>
  <c r="E227" i="26"/>
  <c r="F63" i="7"/>
  <c r="I63" i="7" s="1"/>
  <c r="AA63" i="7" s="1"/>
  <c r="E101" i="30"/>
  <c r="E108" i="30"/>
  <c r="G466" i="26"/>
  <c r="T527" i="26" s="1"/>
  <c r="E47" i="7"/>
  <c r="F47" i="7" s="1"/>
  <c r="X47" i="7" s="1"/>
  <c r="G14" i="29"/>
  <c r="E105" i="30"/>
  <c r="G105" i="30" s="1"/>
  <c r="G271" i="26"/>
  <c r="T332" i="26" s="1"/>
  <c r="E104" i="30"/>
  <c r="G206" i="26"/>
  <c r="T267" i="26" s="1"/>
  <c r="E49" i="7"/>
  <c r="F49" i="7" s="1"/>
  <c r="X49" i="7" s="1"/>
  <c r="E51" i="7"/>
  <c r="F51" i="7" s="1"/>
  <c r="X51" i="7" s="1"/>
  <c r="E53" i="7"/>
  <c r="F53" i="7" s="1"/>
  <c r="X53" i="7" s="1"/>
  <c r="E109" i="30"/>
  <c r="G531" i="26"/>
  <c r="T592" i="26" s="1"/>
  <c r="G76" i="26"/>
  <c r="T137" i="26" s="1"/>
  <c r="E106" i="30"/>
  <c r="G106" i="30" s="1"/>
  <c r="G336" i="26"/>
  <c r="T397" i="26" s="1"/>
  <c r="E110" i="30"/>
  <c r="G596" i="26"/>
  <c r="T657" i="26" s="1"/>
  <c r="E48" i="7"/>
  <c r="F48" i="7" s="1"/>
  <c r="X48" i="7" s="1"/>
  <c r="E50" i="7"/>
  <c r="F50" i="7" s="1"/>
  <c r="X50" i="7" s="1"/>
  <c r="E52" i="7"/>
  <c r="F52" i="7" s="1"/>
  <c r="X52" i="7" s="1"/>
  <c r="G141" i="26"/>
  <c r="T202" i="26" s="1"/>
  <c r="E107" i="30"/>
  <c r="G107" i="30" s="1"/>
  <c r="G401" i="26"/>
  <c r="T462" i="26" s="1"/>
  <c r="E111" i="30"/>
  <c r="E45" i="7"/>
  <c r="F45" i="7" s="1"/>
  <c r="X45" i="7" s="1"/>
  <c r="E112" i="30"/>
  <c r="E46" i="7"/>
  <c r="F46" i="7" s="1"/>
  <c r="X46" i="7" s="1"/>
  <c r="E102" i="30"/>
  <c r="E103" i="30"/>
  <c r="I3" i="29"/>
  <c r="E113" i="30"/>
  <c r="E4" i="29"/>
  <c r="E115" i="30"/>
  <c r="I4" i="29"/>
  <c r="E117" i="30"/>
  <c r="E5" i="29"/>
  <c r="E119" i="30"/>
  <c r="G119" i="30" s="1"/>
  <c r="K3" i="29"/>
  <c r="E114" i="30"/>
  <c r="G4" i="29"/>
  <c r="E116" i="30"/>
  <c r="K4" i="29"/>
  <c r="E118" i="30"/>
  <c r="I4" i="26"/>
  <c r="I5" i="26"/>
  <c r="K3" i="26"/>
  <c r="K4" i="26"/>
  <c r="M3" i="26"/>
  <c r="M4" i="26"/>
  <c r="G3" i="29"/>
  <c r="G3" i="26"/>
  <c r="G4" i="26"/>
  <c r="G5" i="26"/>
  <c r="I3" i="26"/>
  <c r="E3" i="29"/>
  <c r="E118" i="7"/>
  <c r="E120" i="7"/>
  <c r="E122" i="7"/>
  <c r="D162" i="7"/>
  <c r="G11" i="26"/>
  <c r="X11" i="26" s="1"/>
  <c r="E35" i="7"/>
  <c r="E117" i="7"/>
  <c r="E119" i="7"/>
  <c r="E121" i="7"/>
  <c r="E123" i="7"/>
  <c r="K123" i="7" s="1"/>
  <c r="D19" i="18"/>
  <c r="D21" i="18"/>
  <c r="D23" i="18"/>
  <c r="D25" i="18"/>
  <c r="E116" i="7"/>
  <c r="D18" i="18"/>
  <c r="D20" i="18"/>
  <c r="D22" i="18"/>
  <c r="D24" i="18"/>
  <c r="D26" i="18"/>
  <c r="L14" i="29"/>
  <c r="D7" i="18"/>
  <c r="E33" i="7"/>
  <c r="D11" i="18"/>
  <c r="E37" i="7"/>
  <c r="D15" i="18"/>
  <c r="E41" i="7"/>
  <c r="N79" i="7" s="1"/>
  <c r="D10" i="18"/>
  <c r="E36" i="7"/>
  <c r="D14" i="18"/>
  <c r="E40" i="7"/>
  <c r="N78" i="7" s="1"/>
  <c r="D17" i="18"/>
  <c r="D81" i="18" s="1"/>
  <c r="E115" i="7"/>
  <c r="D8" i="18"/>
  <c r="E34" i="7"/>
  <c r="D12" i="18"/>
  <c r="E38" i="7"/>
  <c r="D16" i="18"/>
  <c r="D80" i="18" s="1"/>
  <c r="E42" i="7"/>
  <c r="D13" i="18"/>
  <c r="E39" i="7"/>
  <c r="D9" i="18"/>
  <c r="BA107" i="9"/>
  <c r="BA106" i="9"/>
  <c r="BA105" i="9"/>
  <c r="BA104" i="9"/>
  <c r="BA103" i="9"/>
  <c r="BA102" i="9"/>
  <c r="BA101" i="9"/>
  <c r="BA100" i="9"/>
  <c r="BA99" i="9"/>
  <c r="BA98" i="9"/>
  <c r="C6" i="3"/>
  <c r="B6" i="3"/>
  <c r="BA17" i="9"/>
  <c r="D10" i="20"/>
  <c r="D12" i="20"/>
  <c r="V167" i="29" l="1"/>
  <c r="V256" i="29"/>
  <c r="V295" i="29"/>
  <c r="V342" i="29"/>
  <c r="R165" i="29"/>
  <c r="V211" i="29"/>
  <c r="V161" i="29"/>
  <c r="V119" i="29"/>
  <c r="V254" i="29"/>
  <c r="R123" i="29"/>
  <c r="R343" i="29"/>
  <c r="V343" i="29"/>
  <c r="R167" i="29"/>
  <c r="V337" i="29"/>
  <c r="R254" i="29"/>
  <c r="V250" i="29"/>
  <c r="R338" i="29"/>
  <c r="V340" i="29"/>
  <c r="R257" i="29"/>
  <c r="V248" i="29"/>
  <c r="V252" i="29"/>
  <c r="R250" i="29"/>
  <c r="V345" i="29"/>
  <c r="V168" i="29"/>
  <c r="V249" i="29"/>
  <c r="V300" i="29"/>
  <c r="V336" i="29"/>
  <c r="V253" i="29"/>
  <c r="R339" i="29"/>
  <c r="R336" i="29"/>
  <c r="V162" i="29"/>
  <c r="R161" i="29"/>
  <c r="R162" i="29"/>
  <c r="R256" i="29"/>
  <c r="R166" i="29"/>
  <c r="R252" i="29"/>
  <c r="R248" i="29"/>
  <c r="V255" i="29"/>
  <c r="K337" i="29"/>
  <c r="K249" i="29"/>
  <c r="R384" i="29"/>
  <c r="V207" i="29"/>
  <c r="R253" i="29"/>
  <c r="V166" i="29"/>
  <c r="R389" i="29"/>
  <c r="R116" i="29"/>
  <c r="V169" i="29"/>
  <c r="R169" i="29"/>
  <c r="R295" i="29"/>
  <c r="R301" i="29"/>
  <c r="R211" i="29"/>
  <c r="V118" i="29"/>
  <c r="V123" i="29"/>
  <c r="R119" i="29"/>
  <c r="R380" i="29"/>
  <c r="V208" i="29"/>
  <c r="R208" i="29"/>
  <c r="R117" i="29"/>
  <c r="R118" i="29"/>
  <c r="V292" i="29"/>
  <c r="K565" i="29"/>
  <c r="R565" i="29"/>
  <c r="V565" i="29"/>
  <c r="R645" i="29"/>
  <c r="V645" i="29"/>
  <c r="K694" i="29"/>
  <c r="V694" i="29"/>
  <c r="R694" i="29"/>
  <c r="K606" i="29"/>
  <c r="R606" i="29"/>
  <c r="V606" i="29"/>
  <c r="K736" i="29"/>
  <c r="V736" i="29"/>
  <c r="R736" i="29"/>
  <c r="K644" i="29"/>
  <c r="K645" i="29" s="1"/>
  <c r="R644" i="29"/>
  <c r="V644" i="29"/>
  <c r="K468" i="29"/>
  <c r="R468" i="29"/>
  <c r="V468" i="29"/>
  <c r="K871" i="29"/>
  <c r="V871" i="29"/>
  <c r="R871" i="29"/>
  <c r="R341" i="29"/>
  <c r="V164" i="29"/>
  <c r="K433" i="29"/>
  <c r="R433" i="29"/>
  <c r="V433" i="29"/>
  <c r="K873" i="29"/>
  <c r="R873" i="29"/>
  <c r="V873" i="29"/>
  <c r="K869" i="29"/>
  <c r="R869" i="29"/>
  <c r="V869" i="29"/>
  <c r="K693" i="29"/>
  <c r="V693" i="29"/>
  <c r="R693" i="29"/>
  <c r="K605" i="29"/>
  <c r="R605" i="29"/>
  <c r="V605" i="29"/>
  <c r="K825" i="29"/>
  <c r="R825" i="29"/>
  <c r="V825" i="29"/>
  <c r="R821" i="29"/>
  <c r="V821" i="29"/>
  <c r="K782" i="29"/>
  <c r="R782" i="29"/>
  <c r="V782" i="29"/>
  <c r="K430" i="29"/>
  <c r="V430" i="29"/>
  <c r="R430" i="29"/>
  <c r="K690" i="29"/>
  <c r="R690" i="29"/>
  <c r="V690" i="29"/>
  <c r="K514" i="29"/>
  <c r="R514" i="29"/>
  <c r="V514" i="29"/>
  <c r="K150" i="29"/>
  <c r="K151" i="29" s="1"/>
  <c r="K152" i="29" s="1"/>
  <c r="K153" i="29" s="1"/>
  <c r="K154" i="29" s="1"/>
  <c r="K155" i="29" s="1"/>
  <c r="K156" i="29" s="1"/>
  <c r="Y150" i="29"/>
  <c r="V150" i="29" s="1"/>
  <c r="E150" i="29"/>
  <c r="E151" i="29" s="1"/>
  <c r="E152" i="29" s="1"/>
  <c r="E153" i="29" s="1"/>
  <c r="E154" i="29" s="1"/>
  <c r="E155" i="29" s="1"/>
  <c r="E156" i="29" s="1"/>
  <c r="K516" i="29"/>
  <c r="R516" i="29"/>
  <c r="V516" i="29"/>
  <c r="K864" i="29"/>
  <c r="R864" i="29"/>
  <c r="V864" i="29"/>
  <c r="K600" i="29"/>
  <c r="R600" i="29"/>
  <c r="V600" i="29"/>
  <c r="K820" i="29"/>
  <c r="K821" i="29" s="1"/>
  <c r="V820" i="29"/>
  <c r="R820" i="29"/>
  <c r="K556" i="29"/>
  <c r="R556" i="29"/>
  <c r="V556" i="29"/>
  <c r="V384" i="29"/>
  <c r="V380" i="29"/>
  <c r="V389" i="29"/>
  <c r="V381" i="29"/>
  <c r="V388" i="29"/>
  <c r="V387" i="29"/>
  <c r="V294" i="29"/>
  <c r="R297" i="29"/>
  <c r="R293" i="29"/>
  <c r="V298" i="29"/>
  <c r="V205" i="29"/>
  <c r="R209" i="29"/>
  <c r="V210" i="29"/>
  <c r="R204" i="29"/>
  <c r="R122" i="29"/>
  <c r="V124" i="29"/>
  <c r="V122" i="29"/>
  <c r="V120" i="29"/>
  <c r="V121" i="29"/>
  <c r="R120" i="29"/>
  <c r="V116" i="29"/>
  <c r="K695" i="29"/>
  <c r="R695" i="29"/>
  <c r="V695" i="29"/>
  <c r="K431" i="29"/>
  <c r="R431" i="29"/>
  <c r="V431" i="29"/>
  <c r="K607" i="29"/>
  <c r="R607" i="29"/>
  <c r="V607" i="29"/>
  <c r="K475" i="29"/>
  <c r="R475" i="29"/>
  <c r="V475" i="29"/>
  <c r="K867" i="29"/>
  <c r="R867" i="29"/>
  <c r="V867" i="29"/>
  <c r="K603" i="29"/>
  <c r="R603" i="29"/>
  <c r="V603" i="29"/>
  <c r="K779" i="29"/>
  <c r="R779" i="29"/>
  <c r="V779" i="29"/>
  <c r="K404" i="29"/>
  <c r="K403" i="29"/>
  <c r="K402" i="29"/>
  <c r="Y372" i="29"/>
  <c r="V372" i="29" s="1"/>
  <c r="K741" i="29"/>
  <c r="R741" i="29"/>
  <c r="V741" i="29"/>
  <c r="V733" i="29"/>
  <c r="R733" i="29"/>
  <c r="K272" i="29"/>
  <c r="K271" i="29"/>
  <c r="K270" i="29"/>
  <c r="K476" i="29"/>
  <c r="R476" i="29"/>
  <c r="V476" i="29"/>
  <c r="K828" i="29"/>
  <c r="R828" i="29"/>
  <c r="V828" i="29"/>
  <c r="K692" i="29"/>
  <c r="R692" i="29"/>
  <c r="V692" i="29"/>
  <c r="K868" i="29"/>
  <c r="R868" i="29"/>
  <c r="V868" i="29"/>
  <c r="K688" i="29"/>
  <c r="R688" i="29"/>
  <c r="V688" i="29"/>
  <c r="K139" i="29"/>
  <c r="K140" i="29"/>
  <c r="K138" i="29"/>
  <c r="K739" i="29"/>
  <c r="R739" i="29"/>
  <c r="V739" i="29"/>
  <c r="K519" i="29"/>
  <c r="R519" i="29"/>
  <c r="V519" i="29"/>
  <c r="K691" i="29"/>
  <c r="R691" i="29"/>
  <c r="V691" i="29"/>
  <c r="K735" i="29"/>
  <c r="R735" i="29"/>
  <c r="V735" i="29"/>
  <c r="R344" i="29"/>
  <c r="R255" i="29"/>
  <c r="V160" i="29"/>
  <c r="R164" i="29"/>
  <c r="K829" i="29"/>
  <c r="R829" i="29"/>
  <c r="V829" i="29"/>
  <c r="K737" i="29"/>
  <c r="R737" i="29"/>
  <c r="V737" i="29"/>
  <c r="K473" i="29"/>
  <c r="V473" i="29"/>
  <c r="R473" i="29"/>
  <c r="K517" i="29"/>
  <c r="R517" i="29"/>
  <c r="V517" i="29"/>
  <c r="K469" i="29"/>
  <c r="R469" i="29"/>
  <c r="V469" i="29"/>
  <c r="K557" i="29"/>
  <c r="R557" i="29"/>
  <c r="V557" i="29"/>
  <c r="R513" i="29"/>
  <c r="V513" i="29"/>
  <c r="K562" i="29"/>
  <c r="R562" i="29"/>
  <c r="V562" i="29"/>
  <c r="K650" i="29"/>
  <c r="V650" i="29"/>
  <c r="R650" i="29"/>
  <c r="K518" i="29"/>
  <c r="R518" i="29"/>
  <c r="V518" i="29"/>
  <c r="K734" i="29"/>
  <c r="R734" i="29"/>
  <c r="V734" i="29"/>
  <c r="K426" i="29"/>
  <c r="R426" i="29"/>
  <c r="V426" i="29"/>
  <c r="K646" i="29"/>
  <c r="R646" i="29"/>
  <c r="V646" i="29"/>
  <c r="Y326" i="29"/>
  <c r="V326" i="29" s="1"/>
  <c r="E326" i="29"/>
  <c r="E327" i="29" s="1"/>
  <c r="E328" i="29" s="1"/>
  <c r="E329" i="29" s="1"/>
  <c r="E330" i="29" s="1"/>
  <c r="E331" i="29" s="1"/>
  <c r="E332" i="29" s="1"/>
  <c r="K326" i="29"/>
  <c r="K327" i="29" s="1"/>
  <c r="K328" i="29" s="1"/>
  <c r="K329" i="29" s="1"/>
  <c r="K330" i="29" s="1"/>
  <c r="K331" i="29" s="1"/>
  <c r="K332" i="29" s="1"/>
  <c r="K184" i="29"/>
  <c r="K182" i="29"/>
  <c r="K183" i="29"/>
  <c r="K608" i="29"/>
  <c r="R608" i="29"/>
  <c r="V608" i="29"/>
  <c r="K872" i="29"/>
  <c r="R872" i="29"/>
  <c r="V872" i="29"/>
  <c r="K604" i="29"/>
  <c r="V604" i="29"/>
  <c r="R604" i="29"/>
  <c r="K560" i="29"/>
  <c r="R560" i="29"/>
  <c r="V560" i="29"/>
  <c r="K428" i="29"/>
  <c r="R428" i="29"/>
  <c r="V428" i="29"/>
  <c r="K424" i="29"/>
  <c r="R424" i="29"/>
  <c r="V424" i="29"/>
  <c r="K315" i="29"/>
  <c r="K314" i="29"/>
  <c r="K316" i="29"/>
  <c r="K106" i="29"/>
  <c r="K107" i="29" s="1"/>
  <c r="K108" i="29" s="1"/>
  <c r="K109" i="29" s="1"/>
  <c r="K110" i="29" s="1"/>
  <c r="K111" i="29" s="1"/>
  <c r="K112" i="29" s="1"/>
  <c r="E106" i="29"/>
  <c r="E107" i="29" s="1"/>
  <c r="E108" i="29" s="1"/>
  <c r="E109" i="29" s="1"/>
  <c r="E110" i="29" s="1"/>
  <c r="E111" i="29" s="1"/>
  <c r="E112" i="29" s="1"/>
  <c r="Y106" i="29"/>
  <c r="V106" i="29" s="1"/>
  <c r="R388" i="29"/>
  <c r="R382" i="29"/>
  <c r="R381" i="29"/>
  <c r="V382" i="29"/>
  <c r="R385" i="29"/>
  <c r="R386" i="29"/>
  <c r="R292" i="29"/>
  <c r="V301" i="29"/>
  <c r="V297" i="29"/>
  <c r="R300" i="29"/>
  <c r="R212" i="29"/>
  <c r="R205" i="29"/>
  <c r="V206" i="29"/>
  <c r="V209" i="29"/>
  <c r="R125" i="29"/>
  <c r="R124" i="29"/>
  <c r="V117" i="29"/>
  <c r="R121" i="29"/>
  <c r="K827" i="29"/>
  <c r="R827" i="29"/>
  <c r="V827" i="29"/>
  <c r="K651" i="29"/>
  <c r="R651" i="29"/>
  <c r="V651" i="29"/>
  <c r="K427" i="29"/>
  <c r="R427" i="29"/>
  <c r="V427" i="29"/>
  <c r="K647" i="29"/>
  <c r="R647" i="29"/>
  <c r="V647" i="29"/>
  <c r="K823" i="29"/>
  <c r="V823" i="29"/>
  <c r="R823" i="29"/>
  <c r="Y194" i="29"/>
  <c r="V194" i="29" s="1"/>
  <c r="K194" i="29"/>
  <c r="K195" i="29" s="1"/>
  <c r="K196" i="29" s="1"/>
  <c r="K197" i="29" s="1"/>
  <c r="K198" i="29" s="1"/>
  <c r="K199" i="29" s="1"/>
  <c r="K200" i="29" s="1"/>
  <c r="E194" i="29"/>
  <c r="E195" i="29" s="1"/>
  <c r="E196" i="29" s="1"/>
  <c r="E197" i="29" s="1"/>
  <c r="E198" i="29" s="1"/>
  <c r="E199" i="29" s="1"/>
  <c r="E200" i="29" s="1"/>
  <c r="K521" i="29"/>
  <c r="R521" i="29"/>
  <c r="V521" i="29"/>
  <c r="K697" i="29"/>
  <c r="V697" i="29"/>
  <c r="R697" i="29"/>
  <c r="K561" i="29"/>
  <c r="R561" i="29"/>
  <c r="V561" i="29"/>
  <c r="K649" i="29"/>
  <c r="R649" i="29"/>
  <c r="V649" i="29"/>
  <c r="K689" i="29"/>
  <c r="V689" i="29"/>
  <c r="R689" i="29"/>
  <c r="K425" i="29"/>
  <c r="R425" i="29"/>
  <c r="V425" i="29"/>
  <c r="K826" i="29"/>
  <c r="R826" i="29"/>
  <c r="V826" i="29"/>
  <c r="K866" i="29"/>
  <c r="V866" i="29"/>
  <c r="R866" i="29"/>
  <c r="K602" i="29"/>
  <c r="R602" i="29"/>
  <c r="V602" i="29"/>
  <c r="K558" i="29"/>
  <c r="R558" i="29"/>
  <c r="V558" i="29"/>
  <c r="K358" i="29"/>
  <c r="K359" i="29"/>
  <c r="K360" i="29"/>
  <c r="K652" i="29"/>
  <c r="V652" i="29"/>
  <c r="R652" i="29"/>
  <c r="K696" i="29"/>
  <c r="R696" i="29"/>
  <c r="V696" i="29"/>
  <c r="R294" i="29"/>
  <c r="V213" i="29"/>
  <c r="R213" i="29"/>
  <c r="K471" i="29"/>
  <c r="R471" i="29"/>
  <c r="V471" i="29"/>
  <c r="Y371" i="29"/>
  <c r="V371" i="29" s="1"/>
  <c r="R342" i="29"/>
  <c r="V341" i="29"/>
  <c r="V257" i="29"/>
  <c r="V165" i="29"/>
  <c r="R160" i="29"/>
  <c r="K477" i="29"/>
  <c r="V477" i="29"/>
  <c r="R477" i="29"/>
  <c r="K785" i="29"/>
  <c r="R785" i="29"/>
  <c r="V785" i="29"/>
  <c r="K653" i="29"/>
  <c r="R653" i="29"/>
  <c r="V653" i="29"/>
  <c r="K609" i="29"/>
  <c r="R609" i="29"/>
  <c r="V609" i="29"/>
  <c r="K429" i="29"/>
  <c r="R429" i="29"/>
  <c r="V429" i="29"/>
  <c r="K781" i="29"/>
  <c r="R781" i="29"/>
  <c r="V781" i="29"/>
  <c r="K601" i="29"/>
  <c r="R601" i="29"/>
  <c r="V601" i="29"/>
  <c r="K865" i="29"/>
  <c r="R865" i="29"/>
  <c r="V865" i="29"/>
  <c r="R777" i="29"/>
  <c r="V777" i="29"/>
  <c r="K474" i="29"/>
  <c r="R474" i="29"/>
  <c r="V474" i="29"/>
  <c r="K870" i="29"/>
  <c r="R870" i="29"/>
  <c r="V870" i="29"/>
  <c r="K738" i="29"/>
  <c r="R738" i="29"/>
  <c r="V738" i="29"/>
  <c r="K822" i="29"/>
  <c r="R822" i="29"/>
  <c r="V822" i="29"/>
  <c r="K778" i="29"/>
  <c r="R778" i="29"/>
  <c r="V778" i="29"/>
  <c r="K470" i="29"/>
  <c r="R470" i="29"/>
  <c r="V470" i="29"/>
  <c r="E238" i="29"/>
  <c r="E239" i="29" s="1"/>
  <c r="E240" i="29" s="1"/>
  <c r="E241" i="29" s="1"/>
  <c r="E242" i="29" s="1"/>
  <c r="E243" i="29" s="1"/>
  <c r="E244" i="29" s="1"/>
  <c r="Y238" i="29"/>
  <c r="V238" i="29" s="1"/>
  <c r="K238" i="29"/>
  <c r="K239" i="29" s="1"/>
  <c r="K240" i="29" s="1"/>
  <c r="K241" i="29" s="1"/>
  <c r="K242" i="29" s="1"/>
  <c r="K243" i="29" s="1"/>
  <c r="K244" i="29" s="1"/>
  <c r="K784" i="29"/>
  <c r="R784" i="29"/>
  <c r="V784" i="29"/>
  <c r="K564" i="29"/>
  <c r="R564" i="29"/>
  <c r="V564" i="29"/>
  <c r="K432" i="29"/>
  <c r="R432" i="29"/>
  <c r="V432" i="29"/>
  <c r="K520" i="29"/>
  <c r="R520" i="29"/>
  <c r="V520" i="29"/>
  <c r="K740" i="29"/>
  <c r="R740" i="29"/>
  <c r="V740" i="29"/>
  <c r="K824" i="29"/>
  <c r="R824" i="29"/>
  <c r="V824" i="29"/>
  <c r="K648" i="29"/>
  <c r="V648" i="29"/>
  <c r="R648" i="29"/>
  <c r="K472" i="29"/>
  <c r="R472" i="29"/>
  <c r="V472" i="29"/>
  <c r="K780" i="29"/>
  <c r="R780" i="29"/>
  <c r="V780" i="29"/>
  <c r="K512" i="29"/>
  <c r="K513" i="29" s="1"/>
  <c r="R512" i="29"/>
  <c r="V512" i="29"/>
  <c r="K776" i="29"/>
  <c r="K777" i="29" s="1"/>
  <c r="R776" i="29"/>
  <c r="V776" i="29"/>
  <c r="K732" i="29"/>
  <c r="K733" i="29" s="1"/>
  <c r="R732" i="29"/>
  <c r="V732" i="29"/>
  <c r="Y282" i="29"/>
  <c r="V282" i="29" s="1"/>
  <c r="E282" i="29"/>
  <c r="E283" i="29" s="1"/>
  <c r="E284" i="29" s="1"/>
  <c r="E285" i="29" s="1"/>
  <c r="E286" i="29" s="1"/>
  <c r="E287" i="29" s="1"/>
  <c r="E288" i="29" s="1"/>
  <c r="K282" i="29"/>
  <c r="K283" i="29" s="1"/>
  <c r="K284" i="29" s="1"/>
  <c r="K285" i="29" s="1"/>
  <c r="K286" i="29" s="1"/>
  <c r="K287" i="29" s="1"/>
  <c r="K288" i="29" s="1"/>
  <c r="V386" i="29"/>
  <c r="R387" i="29"/>
  <c r="V385" i="29"/>
  <c r="V296" i="29"/>
  <c r="R298" i="29"/>
  <c r="V293" i="29"/>
  <c r="R296" i="29"/>
  <c r="V204" i="29"/>
  <c r="R210" i="29"/>
  <c r="R206" i="29"/>
  <c r="V212" i="29"/>
  <c r="V125" i="29"/>
  <c r="K783" i="29"/>
  <c r="R783" i="29"/>
  <c r="V783" i="29"/>
  <c r="K563" i="29"/>
  <c r="R563" i="29"/>
  <c r="V563" i="29"/>
  <c r="K559" i="29"/>
  <c r="R559" i="29"/>
  <c r="V559" i="29"/>
  <c r="K515" i="29"/>
  <c r="R515" i="29"/>
  <c r="V515" i="29"/>
  <c r="K370" i="29"/>
  <c r="K371" i="29" s="1"/>
  <c r="K372" i="29" s="1"/>
  <c r="K373" i="29" s="1"/>
  <c r="K374" i="29" s="1"/>
  <c r="K375" i="29" s="1"/>
  <c r="K376" i="29" s="1"/>
  <c r="Y370" i="29"/>
  <c r="V370" i="29" s="1"/>
  <c r="E370" i="29"/>
  <c r="E371" i="29" s="1"/>
  <c r="E372" i="29" s="1"/>
  <c r="E373" i="29" s="1"/>
  <c r="E374" i="29" s="1"/>
  <c r="E375" i="29" s="1"/>
  <c r="E376" i="29" s="1"/>
  <c r="K227" i="29"/>
  <c r="K228" i="29"/>
  <c r="K226" i="29"/>
  <c r="R78" i="29"/>
  <c r="R73" i="29"/>
  <c r="Z79" i="29"/>
  <c r="V79" i="29" s="1"/>
  <c r="Z77" i="29"/>
  <c r="V77" i="29" s="1"/>
  <c r="Y62" i="29"/>
  <c r="V62" i="29" s="1"/>
  <c r="E62" i="29"/>
  <c r="E63" i="29" s="1"/>
  <c r="E64" i="29" s="1"/>
  <c r="T94" i="29"/>
  <c r="Z74" i="29"/>
  <c r="V74" i="29" s="1"/>
  <c r="Z14" i="29"/>
  <c r="V38" i="29"/>
  <c r="U50" i="29"/>
  <c r="U49" i="29"/>
  <c r="V54" i="29"/>
  <c r="R80" i="29"/>
  <c r="R79" i="29"/>
  <c r="Z75" i="29"/>
  <c r="V75" i="29" s="1"/>
  <c r="Z72" i="29"/>
  <c r="V72" i="29" s="1"/>
  <c r="T93" i="29"/>
  <c r="Z80" i="29"/>
  <c r="V80" i="29" s="1"/>
  <c r="R72" i="29"/>
  <c r="R76" i="29"/>
  <c r="R13" i="33"/>
  <c r="Z81" i="29"/>
  <c r="V81" i="29" s="1"/>
  <c r="K81" i="29"/>
  <c r="R81" i="29"/>
  <c r="X64" i="7"/>
  <c r="H64" i="7"/>
  <c r="Z64" i="7" s="1"/>
  <c r="J64" i="7"/>
  <c r="AB64" i="7" s="1"/>
  <c r="G64" i="7"/>
  <c r="Y64" i="7" s="1"/>
  <c r="K64" i="7"/>
  <c r="AC64" i="7" s="1"/>
  <c r="I64" i="7"/>
  <c r="AA64" i="7" s="1"/>
  <c r="X57" i="7"/>
  <c r="G57" i="7"/>
  <c r="Y57" i="7" s="1"/>
  <c r="J57" i="7"/>
  <c r="AB57" i="7" s="1"/>
  <c r="I57" i="7"/>
  <c r="AA57" i="7" s="1"/>
  <c r="K57" i="7"/>
  <c r="AC57" i="7" s="1"/>
  <c r="H57" i="7"/>
  <c r="Z57" i="7" s="1"/>
  <c r="AB489" i="7"/>
  <c r="D489" i="7"/>
  <c r="D482" i="7"/>
  <c r="D458" i="7"/>
  <c r="D469" i="7"/>
  <c r="D478" i="7"/>
  <c r="D454" i="7"/>
  <c r="D474" i="7"/>
  <c r="D480" i="7"/>
  <c r="D461" i="7"/>
  <c r="D481" i="7"/>
  <c r="D477" i="7"/>
  <c r="D466" i="7"/>
  <c r="D463" i="7"/>
  <c r="D483" i="7"/>
  <c r="D455" i="7"/>
  <c r="D471" i="7"/>
  <c r="D479" i="7"/>
  <c r="D468" i="7"/>
  <c r="D475" i="7"/>
  <c r="D460" i="7"/>
  <c r="D459" i="7"/>
  <c r="AB453" i="7"/>
  <c r="D473" i="7"/>
  <c r="D467" i="7"/>
  <c r="H452" i="7"/>
  <c r="AG450" i="7" s="1"/>
  <c r="D462" i="7"/>
  <c r="D472" i="7"/>
  <c r="D464" i="7"/>
  <c r="D465" i="7"/>
  <c r="D456" i="7"/>
  <c r="D453" i="7"/>
  <c r="D457" i="7"/>
  <c r="D476" i="7"/>
  <c r="D470" i="7"/>
  <c r="D417" i="7"/>
  <c r="AB417" i="7"/>
  <c r="AB381" i="7"/>
  <c r="D381" i="7"/>
  <c r="D345" i="7"/>
  <c r="AB345" i="7"/>
  <c r="D309" i="7"/>
  <c r="AB309" i="7"/>
  <c r="D273" i="7"/>
  <c r="AB273" i="7"/>
  <c r="AB237" i="7"/>
  <c r="D237" i="7"/>
  <c r="AB201" i="7"/>
  <c r="D201" i="7"/>
  <c r="J63" i="7"/>
  <c r="AB63" i="7" s="1"/>
  <c r="F122" i="7"/>
  <c r="K122" i="7"/>
  <c r="L25" i="29"/>
  <c r="T25" i="29" s="1"/>
  <c r="R50" i="29"/>
  <c r="U51" i="29"/>
  <c r="V51" i="29"/>
  <c r="R51" i="29"/>
  <c r="V50" i="29"/>
  <c r="H63" i="7"/>
  <c r="Z63" i="7" s="1"/>
  <c r="K63" i="7"/>
  <c r="AC63" i="7" s="1"/>
  <c r="G63" i="7"/>
  <c r="Y63" i="7" s="1"/>
  <c r="X63" i="7"/>
  <c r="T612" i="26"/>
  <c r="T72" i="26"/>
  <c r="K51" i="7"/>
  <c r="AC51" i="7" s="1"/>
  <c r="H15" i="16"/>
  <c r="H17" i="16" s="1"/>
  <c r="L17" i="16" s="1"/>
  <c r="G109" i="30"/>
  <c r="E76" i="7"/>
  <c r="R17" i="33"/>
  <c r="E75" i="7"/>
  <c r="R16" i="33"/>
  <c r="E79" i="7"/>
  <c r="O79" i="7" s="1"/>
  <c r="R20" i="33"/>
  <c r="E71" i="7"/>
  <c r="R12" i="33"/>
  <c r="E77" i="7"/>
  <c r="R18" i="33"/>
  <c r="E74" i="7"/>
  <c r="R15" i="33"/>
  <c r="E80" i="7"/>
  <c r="R21" i="33"/>
  <c r="E78" i="7"/>
  <c r="O78" i="7" s="1"/>
  <c r="R19" i="33"/>
  <c r="E73" i="7"/>
  <c r="R14" i="33"/>
  <c r="J51" i="7"/>
  <c r="AB51" i="7" s="1"/>
  <c r="E72" i="7"/>
  <c r="H47" i="7"/>
  <c r="Z47" i="7" s="1"/>
  <c r="H49" i="7"/>
  <c r="Z49" i="7" s="1"/>
  <c r="H53" i="7"/>
  <c r="Z53" i="7" s="1"/>
  <c r="I53" i="7"/>
  <c r="AA53" i="7" s="1"/>
  <c r="G49" i="7"/>
  <c r="Y49" i="7" s="1"/>
  <c r="K49" i="7"/>
  <c r="AC49" i="7" s="1"/>
  <c r="K53" i="7"/>
  <c r="AC53" i="7" s="1"/>
  <c r="G53" i="7"/>
  <c r="Y53" i="7" s="1"/>
  <c r="J49" i="7"/>
  <c r="AB49" i="7" s="1"/>
  <c r="J53" i="7"/>
  <c r="AB53" i="7" s="1"/>
  <c r="I49" i="7"/>
  <c r="AA49" i="7" s="1"/>
  <c r="H50" i="7"/>
  <c r="Z50" i="7" s="1"/>
  <c r="J52" i="7"/>
  <c r="AB52" i="7" s="1"/>
  <c r="I51" i="7"/>
  <c r="AA51" i="7" s="1"/>
  <c r="G51" i="7"/>
  <c r="Y51" i="7" s="1"/>
  <c r="H51" i="7"/>
  <c r="Z51" i="7" s="1"/>
  <c r="G50" i="7"/>
  <c r="K52" i="7"/>
  <c r="AC52" i="7" s="1"/>
  <c r="J48" i="7"/>
  <c r="AB48" i="7" s="1"/>
  <c r="H48" i="7"/>
  <c r="Z48" i="7" s="1"/>
  <c r="J50" i="7"/>
  <c r="AB50" i="7" s="1"/>
  <c r="I50" i="7"/>
  <c r="AA50" i="7" s="1"/>
  <c r="K50" i="7"/>
  <c r="AC50" i="7" s="1"/>
  <c r="R262" i="26"/>
  <c r="T253" i="26"/>
  <c r="T234" i="26"/>
  <c r="T229" i="26"/>
  <c r="T235" i="26"/>
  <c r="T227" i="26"/>
  <c r="R222" i="26"/>
  <c r="R249" i="26"/>
  <c r="X206" i="26"/>
  <c r="S261" i="26"/>
  <c r="T249" i="26"/>
  <c r="J240" i="26"/>
  <c r="R260" i="26"/>
  <c r="V222" i="26"/>
  <c r="S267" i="26"/>
  <c r="T228" i="26"/>
  <c r="S257" i="26"/>
  <c r="S249" i="26"/>
  <c r="T261" i="26"/>
  <c r="T232" i="26"/>
  <c r="T260" i="26"/>
  <c r="T230" i="26"/>
  <c r="R227" i="26"/>
  <c r="T231" i="26"/>
  <c r="T257" i="26"/>
  <c r="R257" i="26"/>
  <c r="L219" i="26"/>
  <c r="L223" i="26" s="1"/>
  <c r="R253" i="26"/>
  <c r="R219" i="26"/>
  <c r="S253" i="26"/>
  <c r="T233" i="26"/>
  <c r="R228" i="26"/>
  <c r="R229" i="26"/>
  <c r="R230" i="26"/>
  <c r="R231" i="26"/>
  <c r="R232" i="26"/>
  <c r="R233" i="26"/>
  <c r="R234" i="26"/>
  <c r="R235" i="26"/>
  <c r="I52" i="7"/>
  <c r="AA52" i="7" s="1"/>
  <c r="G48" i="7"/>
  <c r="Y48" i="7" s="1"/>
  <c r="J47" i="7"/>
  <c r="AB47" i="7" s="1"/>
  <c r="G47" i="7"/>
  <c r="Y47" i="7" s="1"/>
  <c r="S196" i="26"/>
  <c r="T184" i="26"/>
  <c r="S184" i="26"/>
  <c r="T196" i="26"/>
  <c r="T192" i="26"/>
  <c r="T195" i="26"/>
  <c r="T165" i="26"/>
  <c r="T170" i="26"/>
  <c r="T162" i="26"/>
  <c r="S192" i="26"/>
  <c r="R162" i="26"/>
  <c r="R188" i="26"/>
  <c r="T167" i="26"/>
  <c r="R154" i="26"/>
  <c r="R195" i="26"/>
  <c r="V157" i="26"/>
  <c r="L154" i="26"/>
  <c r="L158" i="26" s="1"/>
  <c r="R197" i="26"/>
  <c r="T169" i="26"/>
  <c r="S188" i="26"/>
  <c r="S202" i="26"/>
  <c r="T163" i="26"/>
  <c r="R157" i="26"/>
  <c r="R192" i="26"/>
  <c r="T168" i="26"/>
  <c r="R184" i="26"/>
  <c r="X141" i="26"/>
  <c r="T188" i="26"/>
  <c r="R163" i="26"/>
  <c r="T166" i="26"/>
  <c r="T164" i="26"/>
  <c r="J175" i="26"/>
  <c r="R164" i="26"/>
  <c r="R165" i="26"/>
  <c r="R166" i="26"/>
  <c r="R167" i="26"/>
  <c r="R168" i="26"/>
  <c r="R169" i="26"/>
  <c r="R170" i="26"/>
  <c r="T131" i="26"/>
  <c r="R123" i="26"/>
  <c r="X76" i="26"/>
  <c r="T123" i="26"/>
  <c r="T104" i="26"/>
  <c r="T127" i="26"/>
  <c r="R97" i="26"/>
  <c r="R119" i="26"/>
  <c r="T103" i="26"/>
  <c r="T99" i="26"/>
  <c r="S119" i="26"/>
  <c r="T119" i="26"/>
  <c r="R132" i="26"/>
  <c r="T98" i="26"/>
  <c r="R98" i="26"/>
  <c r="R100" i="26"/>
  <c r="V92" i="26"/>
  <c r="S123" i="26"/>
  <c r="S131" i="26"/>
  <c r="R130" i="26"/>
  <c r="R92" i="26"/>
  <c r="R89" i="26"/>
  <c r="T101" i="26"/>
  <c r="R127" i="26"/>
  <c r="T97" i="26"/>
  <c r="L89" i="26"/>
  <c r="L93" i="26" s="1"/>
  <c r="S137" i="26"/>
  <c r="T100" i="26"/>
  <c r="S127" i="26"/>
  <c r="J110" i="26"/>
  <c r="T102" i="26"/>
  <c r="T105" i="26"/>
  <c r="R99" i="26"/>
  <c r="T130" i="26"/>
  <c r="R103" i="26"/>
  <c r="R102" i="26"/>
  <c r="R101" i="26"/>
  <c r="R104" i="26"/>
  <c r="R105" i="26"/>
  <c r="T650" i="26"/>
  <c r="T620" i="26"/>
  <c r="T619" i="26"/>
  <c r="R650" i="26"/>
  <c r="V612" i="26"/>
  <c r="R617" i="26"/>
  <c r="R639" i="26"/>
  <c r="X596" i="26"/>
  <c r="R647" i="26"/>
  <c r="S643" i="26"/>
  <c r="T621" i="26"/>
  <c r="S657" i="26"/>
  <c r="T618" i="26"/>
  <c r="S647" i="26"/>
  <c r="T643" i="26"/>
  <c r="S639" i="26"/>
  <c r="J630" i="26"/>
  <c r="T639" i="26"/>
  <c r="T623" i="26"/>
  <c r="T625" i="26"/>
  <c r="T651" i="26"/>
  <c r="T622" i="26"/>
  <c r="R652" i="26"/>
  <c r="T624" i="26"/>
  <c r="L609" i="26"/>
  <c r="L613" i="26" s="1"/>
  <c r="T647" i="26"/>
  <c r="R612" i="26"/>
  <c r="S651" i="26"/>
  <c r="R643" i="26"/>
  <c r="R609" i="26"/>
  <c r="T617" i="26"/>
  <c r="R619" i="26"/>
  <c r="R618" i="26"/>
  <c r="R621" i="26"/>
  <c r="R620" i="26"/>
  <c r="R622" i="26"/>
  <c r="R624" i="26"/>
  <c r="R625" i="26"/>
  <c r="R623" i="26"/>
  <c r="R587" i="26"/>
  <c r="T578" i="26"/>
  <c r="T559" i="26"/>
  <c r="R553" i="26"/>
  <c r="R578" i="26"/>
  <c r="T557" i="26"/>
  <c r="R544" i="26"/>
  <c r="R552" i="26"/>
  <c r="S574" i="26"/>
  <c r="T586" i="26"/>
  <c r="R547" i="26"/>
  <c r="S586" i="26"/>
  <c r="T574" i="26"/>
  <c r="R574" i="26"/>
  <c r="X531" i="26"/>
  <c r="T560" i="26"/>
  <c r="T552" i="26"/>
  <c r="S582" i="26"/>
  <c r="T554" i="26"/>
  <c r="R582" i="26"/>
  <c r="T556" i="26"/>
  <c r="S592" i="26"/>
  <c r="T553" i="26"/>
  <c r="R585" i="26"/>
  <c r="V547" i="26"/>
  <c r="T582" i="26"/>
  <c r="S578" i="26"/>
  <c r="L544" i="26"/>
  <c r="L548" i="26" s="1"/>
  <c r="T558" i="26"/>
  <c r="T585" i="26"/>
  <c r="T555" i="26"/>
  <c r="J565" i="26"/>
  <c r="R555" i="26"/>
  <c r="R554" i="26"/>
  <c r="R556" i="26"/>
  <c r="R557" i="26"/>
  <c r="R558" i="26"/>
  <c r="R559" i="26"/>
  <c r="R560" i="26"/>
  <c r="G52" i="7"/>
  <c r="Y52" i="7" s="1"/>
  <c r="K48" i="7"/>
  <c r="AC48" i="7" s="1"/>
  <c r="K47" i="7"/>
  <c r="AC47" i="7" s="1"/>
  <c r="T520" i="26"/>
  <c r="T490" i="26"/>
  <c r="T492" i="26"/>
  <c r="X466" i="26"/>
  <c r="R487" i="26"/>
  <c r="S527" i="26"/>
  <c r="J500" i="26"/>
  <c r="R517" i="26"/>
  <c r="R520" i="26"/>
  <c r="T495" i="26"/>
  <c r="T487" i="26"/>
  <c r="T517" i="26"/>
  <c r="T513" i="26"/>
  <c r="T489" i="26"/>
  <c r="S513" i="26"/>
  <c r="V482" i="26"/>
  <c r="T521" i="26"/>
  <c r="T509" i="26"/>
  <c r="S509" i="26"/>
  <c r="S517" i="26"/>
  <c r="R522" i="26"/>
  <c r="T494" i="26"/>
  <c r="T488" i="26"/>
  <c r="R482" i="26"/>
  <c r="R513" i="26"/>
  <c r="T493" i="26"/>
  <c r="S521" i="26"/>
  <c r="T491" i="26"/>
  <c r="R509" i="26"/>
  <c r="R479" i="26"/>
  <c r="L479" i="26"/>
  <c r="L483" i="26" s="1"/>
  <c r="R488" i="26"/>
  <c r="R490" i="26"/>
  <c r="R489" i="26"/>
  <c r="R491" i="26"/>
  <c r="R492" i="26"/>
  <c r="R494" i="26"/>
  <c r="R493" i="26"/>
  <c r="R495" i="26"/>
  <c r="T325" i="26"/>
  <c r="T295" i="26"/>
  <c r="J305" i="26"/>
  <c r="R325" i="26"/>
  <c r="V287" i="26"/>
  <c r="S332" i="26"/>
  <c r="T293" i="26"/>
  <c r="S322" i="26"/>
  <c r="R322" i="26"/>
  <c r="S318" i="26"/>
  <c r="T296" i="26"/>
  <c r="T294" i="26"/>
  <c r="T322" i="26"/>
  <c r="R292" i="26"/>
  <c r="S326" i="26"/>
  <c r="T292" i="26"/>
  <c r="T318" i="26"/>
  <c r="R293" i="26"/>
  <c r="S314" i="26"/>
  <c r="T326" i="26"/>
  <c r="R318" i="26"/>
  <c r="R284" i="26"/>
  <c r="T314" i="26"/>
  <c r="T300" i="26"/>
  <c r="T298" i="26"/>
  <c r="R314" i="26"/>
  <c r="X271" i="26"/>
  <c r="R327" i="26"/>
  <c r="T299" i="26"/>
  <c r="R287" i="26"/>
  <c r="T297" i="26"/>
  <c r="L284" i="26"/>
  <c r="L288" i="26" s="1"/>
  <c r="R295" i="26"/>
  <c r="R294" i="26"/>
  <c r="R299" i="26"/>
  <c r="R297" i="26"/>
  <c r="R296" i="26"/>
  <c r="R298" i="26"/>
  <c r="R300" i="26"/>
  <c r="H52" i="7"/>
  <c r="Z52" i="7" s="1"/>
  <c r="I48" i="7"/>
  <c r="AA48" i="7" s="1"/>
  <c r="I47" i="7"/>
  <c r="AA47" i="7" s="1"/>
  <c r="S456" i="26"/>
  <c r="T444" i="26"/>
  <c r="S444" i="26"/>
  <c r="S452" i="26"/>
  <c r="R422" i="26"/>
  <c r="R448" i="26"/>
  <c r="T427" i="26"/>
  <c r="R414" i="26"/>
  <c r="T428" i="26"/>
  <c r="T455" i="26"/>
  <c r="T425" i="26"/>
  <c r="T430" i="26"/>
  <c r="T422" i="26"/>
  <c r="L414" i="26"/>
  <c r="L418" i="26" s="1"/>
  <c r="R444" i="26"/>
  <c r="X401" i="26"/>
  <c r="T448" i="26"/>
  <c r="R423" i="26"/>
  <c r="T426" i="26"/>
  <c r="T424" i="26"/>
  <c r="J435" i="26"/>
  <c r="R455" i="26"/>
  <c r="V417" i="26"/>
  <c r="S462" i="26"/>
  <c r="T423" i="26"/>
  <c r="R457" i="26"/>
  <c r="T429" i="26"/>
  <c r="S448" i="26"/>
  <c r="T452" i="26"/>
  <c r="R417" i="26"/>
  <c r="T456" i="26"/>
  <c r="R452" i="26"/>
  <c r="R424" i="26"/>
  <c r="R425" i="26"/>
  <c r="R426" i="26"/>
  <c r="R428" i="26"/>
  <c r="R427" i="26"/>
  <c r="R429" i="26"/>
  <c r="R430" i="26"/>
  <c r="S391" i="26"/>
  <c r="T379" i="26"/>
  <c r="S379" i="26"/>
  <c r="J370" i="26"/>
  <c r="R379" i="26"/>
  <c r="X336" i="26"/>
  <c r="T363" i="26"/>
  <c r="T390" i="26"/>
  <c r="T360" i="26"/>
  <c r="T365" i="26"/>
  <c r="T357" i="26"/>
  <c r="S397" i="26"/>
  <c r="T358" i="26"/>
  <c r="T391" i="26"/>
  <c r="T359" i="26"/>
  <c r="R352" i="26"/>
  <c r="R392" i="26"/>
  <c r="T364" i="26"/>
  <c r="S383" i="26"/>
  <c r="T362" i="26"/>
  <c r="R387" i="26"/>
  <c r="T387" i="26"/>
  <c r="T383" i="26"/>
  <c r="T361" i="26"/>
  <c r="R383" i="26"/>
  <c r="R349" i="26"/>
  <c r="R357" i="26"/>
  <c r="S387" i="26"/>
  <c r="R390" i="26"/>
  <c r="L349" i="26"/>
  <c r="L353" i="26" s="1"/>
  <c r="V352" i="26"/>
  <c r="R358" i="26"/>
  <c r="R359" i="26"/>
  <c r="R360" i="26"/>
  <c r="R363" i="26"/>
  <c r="R362" i="26"/>
  <c r="R361" i="26"/>
  <c r="R364" i="26"/>
  <c r="R365" i="26"/>
  <c r="T482" i="26"/>
  <c r="T547" i="26"/>
  <c r="T352" i="26"/>
  <c r="T417" i="26"/>
  <c r="T222" i="26"/>
  <c r="T287" i="26"/>
  <c r="T92" i="26"/>
  <c r="T157" i="26"/>
  <c r="F112" i="30"/>
  <c r="F111" i="30"/>
  <c r="R49" i="29"/>
  <c r="J45" i="7"/>
  <c r="AB45" i="7" s="1"/>
  <c r="G45" i="7"/>
  <c r="Y45" i="7" s="1"/>
  <c r="H45" i="7"/>
  <c r="Z45" i="7" s="1"/>
  <c r="I45" i="7"/>
  <c r="AA45" i="7" s="1"/>
  <c r="K45" i="7"/>
  <c r="AC45" i="7" s="1"/>
  <c r="V49" i="29"/>
  <c r="I46" i="7"/>
  <c r="AA46" i="7" s="1"/>
  <c r="K46" i="7"/>
  <c r="AC46" i="7" s="1"/>
  <c r="H46" i="7"/>
  <c r="Z46" i="7" s="1"/>
  <c r="J46" i="7"/>
  <c r="AB46" i="7" s="1"/>
  <c r="G46" i="7"/>
  <c r="Y46" i="7" s="1"/>
  <c r="R67" i="26"/>
  <c r="F118" i="30"/>
  <c r="F114" i="30"/>
  <c r="F119" i="30"/>
  <c r="F115" i="30"/>
  <c r="F118" i="7"/>
  <c r="F116" i="30"/>
  <c r="F117" i="30"/>
  <c r="F113" i="30"/>
  <c r="F117" i="7"/>
  <c r="S72" i="26"/>
  <c r="F123" i="7"/>
  <c r="F119" i="7"/>
  <c r="F120" i="7"/>
  <c r="F121" i="7"/>
  <c r="R65" i="26"/>
  <c r="T58" i="26"/>
  <c r="T62" i="26"/>
  <c r="L24" i="26"/>
  <c r="L28" i="26" s="1"/>
  <c r="D56" i="18"/>
  <c r="D88" i="18"/>
  <c r="D51" i="18"/>
  <c r="D83" i="18"/>
  <c r="D54" i="18"/>
  <c r="D86" i="18"/>
  <c r="D57" i="18"/>
  <c r="D89" i="18"/>
  <c r="D52" i="18"/>
  <c r="D84" i="18"/>
  <c r="D55" i="18"/>
  <c r="D87" i="18"/>
  <c r="D58" i="18"/>
  <c r="D90" i="18"/>
  <c r="D50" i="18"/>
  <c r="D82" i="18"/>
  <c r="D53" i="18"/>
  <c r="D85" i="18"/>
  <c r="F116" i="7"/>
  <c r="V6" i="18"/>
  <c r="W6" i="18"/>
  <c r="X6" i="18"/>
  <c r="T6" i="18"/>
  <c r="Y6" i="18"/>
  <c r="U6" i="18"/>
  <c r="Q6" i="18"/>
  <c r="R6" i="18"/>
  <c r="S6" i="18"/>
  <c r="E6" i="18"/>
  <c r="K6" i="18"/>
  <c r="J6" i="18"/>
  <c r="L6" i="18"/>
  <c r="M6" i="18"/>
  <c r="G6" i="18"/>
  <c r="O6" i="18"/>
  <c r="N6" i="18"/>
  <c r="F6" i="18"/>
  <c r="H6" i="18"/>
  <c r="I6" i="18"/>
  <c r="D78" i="18"/>
  <c r="D49" i="18"/>
  <c r="T27" i="26"/>
  <c r="F115" i="7"/>
  <c r="D79" i="18"/>
  <c r="P6" i="18"/>
  <c r="R28" i="29"/>
  <c r="Z29" i="29"/>
  <c r="V29" i="29" s="1"/>
  <c r="Z28" i="29"/>
  <c r="V28" i="29" s="1"/>
  <c r="S52" i="29"/>
  <c r="S49" i="29"/>
  <c r="T32" i="29"/>
  <c r="T35" i="29"/>
  <c r="T37" i="29"/>
  <c r="J42" i="29"/>
  <c r="T30" i="29"/>
  <c r="T29" i="29"/>
  <c r="T31" i="29"/>
  <c r="T34" i="29"/>
  <c r="T33" i="29"/>
  <c r="T28" i="29"/>
  <c r="T36" i="29"/>
  <c r="R25" i="29"/>
  <c r="R29" i="29"/>
  <c r="E17" i="29"/>
  <c r="H17" i="29"/>
  <c r="Y17" i="29" s="1"/>
  <c r="V17" i="29" s="1"/>
  <c r="BI107" i="9"/>
  <c r="BE107" i="9"/>
  <c r="BF107" i="9" s="1"/>
  <c r="BI106" i="9"/>
  <c r="BE106" i="9"/>
  <c r="BF106" i="9" s="1"/>
  <c r="BI105" i="9"/>
  <c r="BE105" i="9"/>
  <c r="BF105" i="9" s="1"/>
  <c r="BI104" i="9"/>
  <c r="BE104" i="9"/>
  <c r="BF104" i="9" s="1"/>
  <c r="BI103" i="9"/>
  <c r="BE103" i="9"/>
  <c r="BF103" i="9" s="1"/>
  <c r="BI102" i="9"/>
  <c r="BE102" i="9"/>
  <c r="BF102" i="9" s="1"/>
  <c r="BI101" i="9"/>
  <c r="BE101" i="9"/>
  <c r="BF101" i="9" s="1"/>
  <c r="BI100" i="9"/>
  <c r="BE100" i="9"/>
  <c r="BE99" i="9"/>
  <c r="BF99" i="9" s="1"/>
  <c r="BE98" i="9"/>
  <c r="AN98" i="9" s="1"/>
  <c r="E39" i="28"/>
  <c r="M39" i="28" s="1"/>
  <c r="M55" i="33" s="1"/>
  <c r="E38" i="28"/>
  <c r="M38" i="28" s="1"/>
  <c r="M54" i="33" s="1"/>
  <c r="E37" i="28"/>
  <c r="M37" i="28" s="1"/>
  <c r="M53" i="33" s="1"/>
  <c r="E36" i="28"/>
  <c r="M36" i="28" s="1"/>
  <c r="M52" i="33" s="1"/>
  <c r="E35" i="28"/>
  <c r="M35" i="28" s="1"/>
  <c r="M51" i="33" s="1"/>
  <c r="E34" i="28"/>
  <c r="M34" i="28" s="1"/>
  <c r="M50" i="33" s="1"/>
  <c r="E33" i="28"/>
  <c r="M33" i="28" s="1"/>
  <c r="M49" i="33" s="1"/>
  <c r="E32" i="28"/>
  <c r="M32" i="28" s="1"/>
  <c r="M48" i="33" s="1"/>
  <c r="E31" i="28"/>
  <c r="M31" i="28" s="1"/>
  <c r="M47" i="33" s="1"/>
  <c r="E30" i="28"/>
  <c r="M30" i="28" s="1"/>
  <c r="M46" i="33" s="1"/>
  <c r="E29" i="28"/>
  <c r="M29" i="28" s="1"/>
  <c r="M45" i="33" s="1"/>
  <c r="E28" i="28"/>
  <c r="M28" i="28" s="1"/>
  <c r="M44" i="33" s="1"/>
  <c r="E27" i="28"/>
  <c r="M27" i="28" s="1"/>
  <c r="M43" i="33" s="1"/>
  <c r="E26" i="28"/>
  <c r="M26" i="28" s="1"/>
  <c r="M42" i="33" s="1"/>
  <c r="E25" i="28"/>
  <c r="M25" i="28" s="1"/>
  <c r="M41" i="33" s="1"/>
  <c r="E24" i="28"/>
  <c r="M24" i="28" s="1"/>
  <c r="M40" i="33" s="1"/>
  <c r="E23" i="28"/>
  <c r="M23" i="28" s="1"/>
  <c r="M39" i="33" s="1"/>
  <c r="E22" i="28"/>
  <c r="M22" i="28" s="1"/>
  <c r="M38" i="33" s="1"/>
  <c r="E21" i="28"/>
  <c r="M21" i="28" s="1"/>
  <c r="M37" i="33" s="1"/>
  <c r="E20" i="28"/>
  <c r="M20" i="28" s="1"/>
  <c r="M36" i="33" s="1"/>
  <c r="E19" i="28"/>
  <c r="M19" i="28" s="1"/>
  <c r="M35" i="33" s="1"/>
  <c r="E18" i="28"/>
  <c r="M18" i="28" s="1"/>
  <c r="M34" i="33" s="1"/>
  <c r="E17" i="28"/>
  <c r="M17" i="28" s="1"/>
  <c r="M33" i="33" s="1"/>
  <c r="E16" i="28"/>
  <c r="M16" i="28" s="1"/>
  <c r="M32" i="33" s="1"/>
  <c r="E15" i="28"/>
  <c r="M15" i="28" s="1"/>
  <c r="M31" i="33" s="1"/>
  <c r="S237" i="7" l="1"/>
  <c r="R237" i="7"/>
  <c r="R381" i="7"/>
  <c r="S381" i="7"/>
  <c r="R309" i="7"/>
  <c r="S309" i="7"/>
  <c r="S489" i="7"/>
  <c r="R489" i="7"/>
  <c r="S273" i="7"/>
  <c r="R273" i="7"/>
  <c r="S345" i="7"/>
  <c r="R345" i="7"/>
  <c r="S417" i="7"/>
  <c r="R417" i="7"/>
  <c r="S453" i="7"/>
  <c r="R453" i="7"/>
  <c r="L614" i="26"/>
  <c r="X620" i="26" s="1"/>
  <c r="V620" i="26" s="1"/>
  <c r="L562" i="26"/>
  <c r="L549" i="26"/>
  <c r="X625" i="26"/>
  <c r="V625" i="26" s="1"/>
  <c r="X626" i="26"/>
  <c r="V626" i="26" s="1"/>
  <c r="X623" i="26"/>
  <c r="V623" i="26" s="1"/>
  <c r="L627" i="26"/>
  <c r="T609" i="26"/>
  <c r="T414" i="26"/>
  <c r="T479" i="26"/>
  <c r="L484" i="26"/>
  <c r="L497" i="26"/>
  <c r="T349" i="26"/>
  <c r="L367" i="26"/>
  <c r="L354" i="26"/>
  <c r="L172" i="26"/>
  <c r="L419" i="26"/>
  <c r="X425" i="26" s="1"/>
  <c r="V425" i="26" s="1"/>
  <c r="T154" i="26"/>
  <c r="BF100" i="9"/>
  <c r="AN100" i="9"/>
  <c r="AO100" i="9" s="1"/>
  <c r="AO98" i="9"/>
  <c r="AS98" i="9" s="1"/>
  <c r="AR98" i="9"/>
  <c r="BI99" i="9"/>
  <c r="AN99" i="9"/>
  <c r="AO99" i="9" s="1"/>
  <c r="X428" i="26"/>
  <c r="V428" i="26" s="1"/>
  <c r="L432" i="26"/>
  <c r="L302" i="26"/>
  <c r="L289" i="26"/>
  <c r="T284" i="26"/>
  <c r="L39" i="29"/>
  <c r="V39" i="29" s="1"/>
  <c r="T219" i="26"/>
  <c r="L224" i="26"/>
  <c r="X227" i="26" s="1"/>
  <c r="V227" i="26" s="1"/>
  <c r="L237" i="26"/>
  <c r="L159" i="26"/>
  <c r="X164" i="26" s="1"/>
  <c r="V164" i="26" s="1"/>
  <c r="F470" i="7"/>
  <c r="Q470" i="7"/>
  <c r="M470" i="7"/>
  <c r="J470" i="7"/>
  <c r="AB470" i="7"/>
  <c r="P470" i="7"/>
  <c r="L470" i="7"/>
  <c r="R470" i="7"/>
  <c r="I470" i="7"/>
  <c r="AG470" i="7"/>
  <c r="G470" i="7"/>
  <c r="S470" i="7"/>
  <c r="H470" i="7"/>
  <c r="R476" i="7"/>
  <c r="J476" i="7"/>
  <c r="F476" i="7"/>
  <c r="I476" i="7"/>
  <c r="Q476" i="7"/>
  <c r="M476" i="7"/>
  <c r="AG476" i="7"/>
  <c r="G476" i="7"/>
  <c r="AB476" i="7"/>
  <c r="P476" i="7"/>
  <c r="L476" i="7"/>
  <c r="H476" i="7"/>
  <c r="S476" i="7"/>
  <c r="J457" i="7"/>
  <c r="S457" i="7"/>
  <c r="AB457" i="7"/>
  <c r="F457" i="7"/>
  <c r="Q457" i="7"/>
  <c r="M457" i="7"/>
  <c r="I457" i="7"/>
  <c r="AG457" i="7"/>
  <c r="G457" i="7"/>
  <c r="P457" i="7"/>
  <c r="L457" i="7"/>
  <c r="H457" i="7"/>
  <c r="R457" i="7"/>
  <c r="F452" i="7"/>
  <c r="I453" i="7"/>
  <c r="P453" i="7"/>
  <c r="M453" i="7"/>
  <c r="J453" i="7"/>
  <c r="F453" i="7"/>
  <c r="L453" i="7"/>
  <c r="H456" i="7"/>
  <c r="AG456" i="7"/>
  <c r="S456" i="7"/>
  <c r="I456" i="7"/>
  <c r="AB456" i="7"/>
  <c r="R456" i="7"/>
  <c r="J456" i="7"/>
  <c r="Q456" i="7"/>
  <c r="L456" i="7"/>
  <c r="G456" i="7"/>
  <c r="M456" i="7"/>
  <c r="F456" i="7"/>
  <c r="P456" i="7"/>
  <c r="R465" i="7"/>
  <c r="J465" i="7"/>
  <c r="S465" i="7"/>
  <c r="AG465" i="7"/>
  <c r="F465" i="7"/>
  <c r="Q465" i="7"/>
  <c r="M465" i="7"/>
  <c r="I465" i="7"/>
  <c r="G465" i="7"/>
  <c r="AB465" i="7"/>
  <c r="P465" i="7"/>
  <c r="L465" i="7"/>
  <c r="H465" i="7"/>
  <c r="P464" i="7"/>
  <c r="L464" i="7"/>
  <c r="R464" i="7"/>
  <c r="AG464" i="7"/>
  <c r="H464" i="7"/>
  <c r="S464" i="7"/>
  <c r="G464" i="7"/>
  <c r="M464" i="7"/>
  <c r="J464" i="7"/>
  <c r="F464" i="7"/>
  <c r="AB464" i="7"/>
  <c r="Q464" i="7"/>
  <c r="I464" i="7"/>
  <c r="J472" i="7"/>
  <c r="F472" i="7"/>
  <c r="AG472" i="7"/>
  <c r="G472" i="7"/>
  <c r="AB472" i="7"/>
  <c r="M472" i="7"/>
  <c r="H472" i="7"/>
  <c r="R472" i="7"/>
  <c r="P472" i="7"/>
  <c r="L472" i="7"/>
  <c r="I472" i="7"/>
  <c r="S472" i="7"/>
  <c r="Q472" i="7"/>
  <c r="R462" i="7"/>
  <c r="J462" i="7"/>
  <c r="F462" i="7"/>
  <c r="S462" i="7"/>
  <c r="Q462" i="7"/>
  <c r="M462" i="7"/>
  <c r="I462" i="7"/>
  <c r="P462" i="7"/>
  <c r="AB462" i="7"/>
  <c r="H462" i="7"/>
  <c r="AG462" i="7"/>
  <c r="G462" i="7"/>
  <c r="L462" i="7"/>
  <c r="AB467" i="7"/>
  <c r="AG467" i="7"/>
  <c r="S467" i="7"/>
  <c r="H467" i="7"/>
  <c r="R467" i="7"/>
  <c r="J467" i="7"/>
  <c r="F467" i="7"/>
  <c r="L467" i="7"/>
  <c r="G467" i="7"/>
  <c r="Q467" i="7"/>
  <c r="M467" i="7"/>
  <c r="I467" i="7"/>
  <c r="P467" i="7"/>
  <c r="AB473" i="7"/>
  <c r="S473" i="7"/>
  <c r="M473" i="7"/>
  <c r="I473" i="7"/>
  <c r="AG473" i="7"/>
  <c r="F473" i="7"/>
  <c r="G473" i="7"/>
  <c r="P473" i="7"/>
  <c r="L473" i="7"/>
  <c r="H473" i="7"/>
  <c r="J473" i="7"/>
  <c r="Q473" i="7"/>
  <c r="R473" i="7"/>
  <c r="AB459" i="7"/>
  <c r="L459" i="7"/>
  <c r="M459" i="7"/>
  <c r="AG459" i="7"/>
  <c r="S459" i="7"/>
  <c r="F459" i="7"/>
  <c r="Q459" i="7"/>
  <c r="I459" i="7"/>
  <c r="P459" i="7"/>
  <c r="G459" i="7"/>
  <c r="R459" i="7"/>
  <c r="J459" i="7"/>
  <c r="H459" i="7"/>
  <c r="P460" i="7"/>
  <c r="L460" i="7"/>
  <c r="AB460" i="7"/>
  <c r="S460" i="7"/>
  <c r="G460" i="7"/>
  <c r="I460" i="7"/>
  <c r="AG460" i="7"/>
  <c r="J460" i="7"/>
  <c r="H460" i="7"/>
  <c r="R460" i="7"/>
  <c r="M460" i="7"/>
  <c r="Q460" i="7"/>
  <c r="F460" i="7"/>
  <c r="I475" i="7"/>
  <c r="L475" i="7"/>
  <c r="AG475" i="7"/>
  <c r="F475" i="7"/>
  <c r="AB475" i="7"/>
  <c r="R475" i="7"/>
  <c r="J475" i="7"/>
  <c r="H475" i="7"/>
  <c r="P475" i="7"/>
  <c r="S475" i="7"/>
  <c r="G475" i="7"/>
  <c r="Q475" i="7"/>
  <c r="M475" i="7"/>
  <c r="H468" i="7"/>
  <c r="AG468" i="7"/>
  <c r="S468" i="7"/>
  <c r="G468" i="7"/>
  <c r="R468" i="7"/>
  <c r="J468" i="7"/>
  <c r="F468" i="7"/>
  <c r="AB468" i="7"/>
  <c r="P468" i="7"/>
  <c r="L468" i="7"/>
  <c r="Q468" i="7"/>
  <c r="M468" i="7"/>
  <c r="I468" i="7"/>
  <c r="L479" i="7"/>
  <c r="AB479" i="7"/>
  <c r="H479" i="7"/>
  <c r="AG479" i="7"/>
  <c r="S479" i="7"/>
  <c r="F479" i="7"/>
  <c r="Q479" i="7"/>
  <c r="M479" i="7"/>
  <c r="I479" i="7"/>
  <c r="G479" i="7"/>
  <c r="R479" i="7"/>
  <c r="J479" i="7"/>
  <c r="P479" i="7"/>
  <c r="AG471" i="7"/>
  <c r="S471" i="7"/>
  <c r="G471" i="7"/>
  <c r="Q471" i="7"/>
  <c r="R471" i="7"/>
  <c r="J471" i="7"/>
  <c r="F471" i="7"/>
  <c r="AB471" i="7"/>
  <c r="P471" i="7"/>
  <c r="M471" i="7"/>
  <c r="I471" i="7"/>
  <c r="H471" i="7"/>
  <c r="L471" i="7"/>
  <c r="AB455" i="7"/>
  <c r="L455" i="7"/>
  <c r="P455" i="7"/>
  <c r="Q455" i="7"/>
  <c r="I455" i="7"/>
  <c r="H455" i="7"/>
  <c r="R455" i="7"/>
  <c r="F455" i="7"/>
  <c r="AG455" i="7"/>
  <c r="S455" i="7"/>
  <c r="G455" i="7"/>
  <c r="J455" i="7"/>
  <c r="M455" i="7"/>
  <c r="AG483" i="7"/>
  <c r="S483" i="7"/>
  <c r="G483" i="7"/>
  <c r="Q483" i="7"/>
  <c r="R483" i="7"/>
  <c r="J483" i="7"/>
  <c r="F483" i="7"/>
  <c r="P483" i="7"/>
  <c r="H483" i="7"/>
  <c r="M483" i="7"/>
  <c r="I483" i="7"/>
  <c r="AB483" i="7"/>
  <c r="L483" i="7"/>
  <c r="M463" i="7"/>
  <c r="G463" i="7"/>
  <c r="F463" i="7"/>
  <c r="S463" i="7"/>
  <c r="AB463" i="7"/>
  <c r="AG463" i="7"/>
  <c r="P463" i="7"/>
  <c r="Q463" i="7"/>
  <c r="H463" i="7"/>
  <c r="I463" i="7"/>
  <c r="R463" i="7"/>
  <c r="J463" i="7"/>
  <c r="L463" i="7"/>
  <c r="L466" i="7"/>
  <c r="H466" i="7"/>
  <c r="M466" i="7"/>
  <c r="F466" i="7"/>
  <c r="Q466" i="7"/>
  <c r="S466" i="7"/>
  <c r="J466" i="7"/>
  <c r="G466" i="7"/>
  <c r="AG466" i="7"/>
  <c r="I466" i="7"/>
  <c r="AB466" i="7"/>
  <c r="R466" i="7"/>
  <c r="P466" i="7"/>
  <c r="Q477" i="7"/>
  <c r="M477" i="7"/>
  <c r="R477" i="7"/>
  <c r="AB477" i="7"/>
  <c r="P477" i="7"/>
  <c r="L477" i="7"/>
  <c r="I477" i="7"/>
  <c r="J477" i="7"/>
  <c r="AG477" i="7"/>
  <c r="S477" i="7"/>
  <c r="G477" i="7"/>
  <c r="H477" i="7"/>
  <c r="F477" i="7"/>
  <c r="P481" i="7"/>
  <c r="L481" i="7"/>
  <c r="H481" i="7"/>
  <c r="AB481" i="7"/>
  <c r="S481" i="7"/>
  <c r="G481" i="7"/>
  <c r="J481" i="7"/>
  <c r="Q481" i="7"/>
  <c r="I481" i="7"/>
  <c r="F481" i="7"/>
  <c r="R481" i="7"/>
  <c r="AG481" i="7"/>
  <c r="M481" i="7"/>
  <c r="AB461" i="7"/>
  <c r="P461" i="7"/>
  <c r="M461" i="7"/>
  <c r="I461" i="7"/>
  <c r="S461" i="7"/>
  <c r="R461" i="7"/>
  <c r="L461" i="7"/>
  <c r="Q461" i="7"/>
  <c r="G461" i="7"/>
  <c r="H461" i="7"/>
  <c r="F461" i="7"/>
  <c r="AG461" i="7"/>
  <c r="J461" i="7"/>
  <c r="R480" i="7"/>
  <c r="J480" i="7"/>
  <c r="G480" i="7"/>
  <c r="AG480" i="7"/>
  <c r="L480" i="7"/>
  <c r="M480" i="7"/>
  <c r="I480" i="7"/>
  <c r="Q480" i="7"/>
  <c r="S480" i="7"/>
  <c r="AB480" i="7"/>
  <c r="P480" i="7"/>
  <c r="F480" i="7"/>
  <c r="H480" i="7"/>
  <c r="R474" i="7"/>
  <c r="J474" i="7"/>
  <c r="S474" i="7"/>
  <c r="F474" i="7"/>
  <c r="Q474" i="7"/>
  <c r="M474" i="7"/>
  <c r="I474" i="7"/>
  <c r="AG474" i="7"/>
  <c r="G474" i="7"/>
  <c r="AB474" i="7"/>
  <c r="P474" i="7"/>
  <c r="L474" i="7"/>
  <c r="H474" i="7"/>
  <c r="M454" i="7"/>
  <c r="I454" i="7"/>
  <c r="S454" i="7"/>
  <c r="AB454" i="7"/>
  <c r="R454" i="7"/>
  <c r="H454" i="7"/>
  <c r="AG454" i="7"/>
  <c r="G454" i="7"/>
  <c r="J454" i="7"/>
  <c r="L454" i="7"/>
  <c r="F454" i="7"/>
  <c r="Q454" i="7"/>
  <c r="P454" i="7"/>
  <c r="AG478" i="7"/>
  <c r="F478" i="7"/>
  <c r="G478" i="7"/>
  <c r="R478" i="7"/>
  <c r="J478" i="7"/>
  <c r="AB478" i="7"/>
  <c r="L478" i="7"/>
  <c r="H478" i="7"/>
  <c r="M478" i="7"/>
  <c r="I478" i="7"/>
  <c r="S478" i="7"/>
  <c r="Q478" i="7"/>
  <c r="P478" i="7"/>
  <c r="P469" i="7"/>
  <c r="L469" i="7"/>
  <c r="H469" i="7"/>
  <c r="M469" i="7"/>
  <c r="AG469" i="7"/>
  <c r="S469" i="7"/>
  <c r="G469" i="7"/>
  <c r="J469" i="7"/>
  <c r="Q469" i="7"/>
  <c r="R469" i="7"/>
  <c r="F469" i="7"/>
  <c r="AB469" i="7"/>
  <c r="I469" i="7"/>
  <c r="F458" i="7"/>
  <c r="Q458" i="7"/>
  <c r="R458" i="7"/>
  <c r="J458" i="7"/>
  <c r="AB458" i="7"/>
  <c r="L458" i="7"/>
  <c r="M458" i="7"/>
  <c r="H458" i="7"/>
  <c r="I458" i="7"/>
  <c r="G458" i="7"/>
  <c r="P458" i="7"/>
  <c r="S458" i="7"/>
  <c r="AG458" i="7"/>
  <c r="I482" i="7"/>
  <c r="AG482" i="7"/>
  <c r="G482" i="7"/>
  <c r="R482" i="7"/>
  <c r="P482" i="7"/>
  <c r="H482" i="7"/>
  <c r="M482" i="7"/>
  <c r="AB482" i="7"/>
  <c r="F482" i="7"/>
  <c r="Q482" i="7"/>
  <c r="L482" i="7"/>
  <c r="J482" i="7"/>
  <c r="S482" i="7"/>
  <c r="T50" i="29"/>
  <c r="T49" i="29"/>
  <c r="T52" i="29"/>
  <c r="E31" i="33"/>
  <c r="L15" i="28"/>
  <c r="E39" i="33"/>
  <c r="L23" i="28"/>
  <c r="AO23" i="28" s="1"/>
  <c r="E51" i="33"/>
  <c r="L35" i="28"/>
  <c r="AO35" i="28" s="1"/>
  <c r="AW35" i="28" s="1"/>
  <c r="E32" i="33"/>
  <c r="L16" i="28"/>
  <c r="E36" i="33"/>
  <c r="L20" i="28"/>
  <c r="AO20" i="28" s="1"/>
  <c r="AW20" i="28" s="1"/>
  <c r="E40" i="33"/>
  <c r="L24" i="28"/>
  <c r="AO24" i="28" s="1"/>
  <c r="AW24" i="28" s="1"/>
  <c r="E44" i="33"/>
  <c r="L28" i="28"/>
  <c r="E48" i="33"/>
  <c r="L32" i="28"/>
  <c r="E52" i="33"/>
  <c r="L36" i="28"/>
  <c r="AO36" i="28" s="1"/>
  <c r="AW36" i="28" s="1"/>
  <c r="E33" i="33"/>
  <c r="L17" i="28"/>
  <c r="AO17" i="28" s="1"/>
  <c r="AW17" i="28" s="1"/>
  <c r="E37" i="33"/>
  <c r="L21" i="28"/>
  <c r="E41" i="33"/>
  <c r="L25" i="28"/>
  <c r="E45" i="33"/>
  <c r="L29" i="28"/>
  <c r="AO29" i="28" s="1"/>
  <c r="E49" i="33"/>
  <c r="L33" i="28"/>
  <c r="AO33" i="28" s="1"/>
  <c r="AW33" i="28" s="1"/>
  <c r="E53" i="33"/>
  <c r="L37" i="28"/>
  <c r="E35" i="33"/>
  <c r="L19" i="28"/>
  <c r="E43" i="33"/>
  <c r="L27" i="28"/>
  <c r="AO27" i="28" s="1"/>
  <c r="AW27" i="28" s="1"/>
  <c r="E47" i="33"/>
  <c r="L31" i="28"/>
  <c r="AO31" i="28" s="1"/>
  <c r="AW31" i="28" s="1"/>
  <c r="E55" i="33"/>
  <c r="L39" i="28"/>
  <c r="E34" i="33"/>
  <c r="L18" i="28"/>
  <c r="E38" i="33"/>
  <c r="L22" i="28"/>
  <c r="AO22" i="28" s="1"/>
  <c r="AW22" i="28" s="1"/>
  <c r="E42" i="33"/>
  <c r="L26" i="28"/>
  <c r="AO26" i="28" s="1"/>
  <c r="AW26" i="28" s="1"/>
  <c r="E46" i="33"/>
  <c r="L30" i="28"/>
  <c r="E50" i="33"/>
  <c r="L34" i="28"/>
  <c r="E54" i="33"/>
  <c r="L38" i="28"/>
  <c r="AO38" i="28" s="1"/>
  <c r="AW38" i="28" s="1"/>
  <c r="X163" i="26"/>
  <c r="V163" i="26" s="1"/>
  <c r="X171" i="26"/>
  <c r="V171" i="26" s="1"/>
  <c r="BF98" i="9"/>
  <c r="X168" i="26"/>
  <c r="V168" i="26" s="1"/>
  <c r="X170" i="26"/>
  <c r="V170" i="26" s="1"/>
  <c r="X167" i="26"/>
  <c r="V167" i="26" s="1"/>
  <c r="X161" i="26"/>
  <c r="X169" i="26"/>
  <c r="V169" i="26" s="1"/>
  <c r="X558" i="26"/>
  <c r="V558" i="26" s="1"/>
  <c r="X560" i="26"/>
  <c r="V560" i="26" s="1"/>
  <c r="X553" i="26"/>
  <c r="V553" i="26" s="1"/>
  <c r="X555" i="26"/>
  <c r="V555" i="26" s="1"/>
  <c r="X554" i="26"/>
  <c r="V554" i="26" s="1"/>
  <c r="T544" i="26"/>
  <c r="X561" i="26"/>
  <c r="V561" i="26" s="1"/>
  <c r="X552" i="26"/>
  <c r="V552" i="26" s="1"/>
  <c r="X557" i="26"/>
  <c r="V557" i="26" s="1"/>
  <c r="AI122" i="28"/>
  <c r="AE122" i="28"/>
  <c r="P122" i="28"/>
  <c r="AH122" i="28"/>
  <c r="AD122" i="28"/>
  <c r="AK122" i="28"/>
  <c r="AG122" i="28"/>
  <c r="AC122" i="28"/>
  <c r="AJ122" i="28"/>
  <c r="AF122" i="28"/>
  <c r="AB122" i="28"/>
  <c r="T89" i="26"/>
  <c r="L107" i="26"/>
  <c r="L94" i="26"/>
  <c r="Z30" i="29"/>
  <c r="V30" i="29" s="1"/>
  <c r="T38" i="18"/>
  <c r="T70" i="18"/>
  <c r="BG70" i="18" s="1"/>
  <c r="Q70" i="18"/>
  <c r="BD70" i="18" s="1"/>
  <c r="Q38" i="18"/>
  <c r="R38" i="18"/>
  <c r="R70" i="18"/>
  <c r="BE70" i="18" s="1"/>
  <c r="U70" i="18"/>
  <c r="BH70" i="18" s="1"/>
  <c r="U38" i="18"/>
  <c r="W38" i="18"/>
  <c r="W70" i="18"/>
  <c r="BJ70" i="18" s="1"/>
  <c r="S38" i="18"/>
  <c r="S70" i="18"/>
  <c r="BF70" i="18" s="1"/>
  <c r="Y38" i="18"/>
  <c r="Y70" i="18"/>
  <c r="BL70" i="18" s="1"/>
  <c r="X70" i="18"/>
  <c r="BK70" i="18" s="1"/>
  <c r="X38" i="18"/>
  <c r="V70" i="18"/>
  <c r="BI70" i="18" s="1"/>
  <c r="V38" i="18"/>
  <c r="P38" i="18"/>
  <c r="P70" i="18"/>
  <c r="BC70" i="18" s="1"/>
  <c r="R30" i="29"/>
  <c r="BI98" i="9"/>
  <c r="D48" i="18"/>
  <c r="D47" i="18"/>
  <c r="D46" i="18"/>
  <c r="D45" i="18"/>
  <c r="D44" i="18"/>
  <c r="D43" i="18"/>
  <c r="D42" i="18"/>
  <c r="D41" i="18"/>
  <c r="D40" i="18"/>
  <c r="X619" i="26" l="1"/>
  <c r="V619" i="26" s="1"/>
  <c r="X618" i="26"/>
  <c r="V618" i="26" s="1"/>
  <c r="X627" i="26"/>
  <c r="V627" i="26" s="1"/>
  <c r="X624" i="26"/>
  <c r="V624" i="26" s="1"/>
  <c r="X616" i="26"/>
  <c r="X621" i="26"/>
  <c r="V621" i="26" s="1"/>
  <c r="X617" i="26"/>
  <c r="V617" i="26" s="1"/>
  <c r="X622" i="26"/>
  <c r="V622" i="26" s="1"/>
  <c r="X556" i="26"/>
  <c r="V556" i="26" s="1"/>
  <c r="X562" i="26"/>
  <c r="V562" i="26" s="1"/>
  <c r="X559" i="26"/>
  <c r="V559" i="26" s="1"/>
  <c r="X551" i="26"/>
  <c r="X421" i="26"/>
  <c r="X424" i="26"/>
  <c r="V424" i="26" s="1"/>
  <c r="X429" i="26"/>
  <c r="V429" i="26" s="1"/>
  <c r="X488" i="26"/>
  <c r="V488" i="26" s="1"/>
  <c r="X497" i="26"/>
  <c r="V497" i="26" s="1"/>
  <c r="X492" i="26"/>
  <c r="V492" i="26" s="1"/>
  <c r="X486" i="26"/>
  <c r="X487" i="26"/>
  <c r="V487" i="26" s="1"/>
  <c r="X493" i="26"/>
  <c r="V493" i="26" s="1"/>
  <c r="X489" i="26"/>
  <c r="V489" i="26" s="1"/>
  <c r="X491" i="26"/>
  <c r="V491" i="26" s="1"/>
  <c r="X494" i="26"/>
  <c r="V494" i="26" s="1"/>
  <c r="X490" i="26"/>
  <c r="V490" i="26" s="1"/>
  <c r="X496" i="26"/>
  <c r="V496" i="26" s="1"/>
  <c r="X495" i="26"/>
  <c r="V495" i="26" s="1"/>
  <c r="X423" i="26"/>
  <c r="V423" i="26" s="1"/>
  <c r="N463" i="7"/>
  <c r="X432" i="26"/>
  <c r="V432" i="26" s="1"/>
  <c r="X430" i="26"/>
  <c r="V430" i="26" s="1"/>
  <c r="X422" i="26"/>
  <c r="V422" i="26" s="1"/>
  <c r="X427" i="26"/>
  <c r="V427" i="26" s="1"/>
  <c r="X431" i="26"/>
  <c r="V431" i="26" s="1"/>
  <c r="X426" i="26"/>
  <c r="V426" i="26" s="1"/>
  <c r="X365" i="26"/>
  <c r="V365" i="26" s="1"/>
  <c r="X359" i="26"/>
  <c r="V359" i="26" s="1"/>
  <c r="X367" i="26"/>
  <c r="V367" i="26" s="1"/>
  <c r="X364" i="26"/>
  <c r="V364" i="26" s="1"/>
  <c r="X358" i="26"/>
  <c r="V358" i="26" s="1"/>
  <c r="X363" i="26"/>
  <c r="V363" i="26" s="1"/>
  <c r="X360" i="26"/>
  <c r="V360" i="26" s="1"/>
  <c r="X366" i="26"/>
  <c r="V366" i="26" s="1"/>
  <c r="X356" i="26"/>
  <c r="X362" i="26"/>
  <c r="V362" i="26" s="1"/>
  <c r="X357" i="26"/>
  <c r="V357" i="26" s="1"/>
  <c r="X361" i="26"/>
  <c r="V361" i="26" s="1"/>
  <c r="K464" i="7"/>
  <c r="AU100" i="9"/>
  <c r="X166" i="26"/>
  <c r="V166" i="26" s="1"/>
  <c r="X165" i="26"/>
  <c r="V165" i="26" s="1"/>
  <c r="X172" i="26"/>
  <c r="V172" i="26" s="1"/>
  <c r="X162" i="26"/>
  <c r="V162" i="26" s="1"/>
  <c r="X293" i="26"/>
  <c r="V293" i="26" s="1"/>
  <c r="X291" i="26"/>
  <c r="X296" i="26"/>
  <c r="V296" i="26" s="1"/>
  <c r="X300" i="26"/>
  <c r="V300" i="26" s="1"/>
  <c r="X294" i="26"/>
  <c r="V294" i="26" s="1"/>
  <c r="X295" i="26"/>
  <c r="V295" i="26" s="1"/>
  <c r="X292" i="26"/>
  <c r="V292" i="26" s="1"/>
  <c r="X302" i="26"/>
  <c r="V302" i="26" s="1"/>
  <c r="X298" i="26"/>
  <c r="V298" i="26" s="1"/>
  <c r="X301" i="26"/>
  <c r="V301" i="26" s="1"/>
  <c r="X299" i="26"/>
  <c r="V299" i="26" s="1"/>
  <c r="X297" i="26"/>
  <c r="V297" i="26" s="1"/>
  <c r="X232" i="26"/>
  <c r="V232" i="26" s="1"/>
  <c r="X233" i="26"/>
  <c r="V233" i="26" s="1"/>
  <c r="N472" i="7"/>
  <c r="N461" i="7"/>
  <c r="N482" i="7"/>
  <c r="X231" i="26"/>
  <c r="V231" i="26" s="1"/>
  <c r="X230" i="26"/>
  <c r="V230" i="26" s="1"/>
  <c r="X228" i="26"/>
  <c r="V228" i="26" s="1"/>
  <c r="X237" i="26"/>
  <c r="V237" i="26" s="1"/>
  <c r="X234" i="26"/>
  <c r="V234" i="26" s="1"/>
  <c r="X226" i="26"/>
  <c r="X229" i="26"/>
  <c r="V229" i="26" s="1"/>
  <c r="X235" i="26"/>
  <c r="V235" i="26" s="1"/>
  <c r="X236" i="26"/>
  <c r="V236" i="26" s="1"/>
  <c r="K468" i="7"/>
  <c r="K466" i="7"/>
  <c r="K460" i="7"/>
  <c r="N460" i="7"/>
  <c r="K472" i="7"/>
  <c r="N474" i="7"/>
  <c r="K467" i="7"/>
  <c r="N465" i="7"/>
  <c r="K465" i="7"/>
  <c r="N457" i="7"/>
  <c r="K457" i="7"/>
  <c r="K476" i="7"/>
  <c r="K470" i="7"/>
  <c r="N454" i="7"/>
  <c r="N476" i="7"/>
  <c r="N471" i="7"/>
  <c r="N459" i="7"/>
  <c r="N462" i="7"/>
  <c r="N468" i="7"/>
  <c r="N464" i="7"/>
  <c r="N458" i="7"/>
  <c r="K461" i="7"/>
  <c r="K459" i="7"/>
  <c r="N473" i="7"/>
  <c r="K469" i="7"/>
  <c r="N469" i="7"/>
  <c r="N478" i="7"/>
  <c r="K454" i="7"/>
  <c r="K474" i="7"/>
  <c r="N480" i="7"/>
  <c r="K481" i="7"/>
  <c r="N481" i="7"/>
  <c r="K477" i="7"/>
  <c r="J452" i="7"/>
  <c r="R452" i="7"/>
  <c r="K482" i="7"/>
  <c r="K478" i="7"/>
  <c r="N477" i="7"/>
  <c r="N466" i="7"/>
  <c r="N483" i="7"/>
  <c r="K473" i="7"/>
  <c r="N456" i="7"/>
  <c r="M452" i="7"/>
  <c r="K458" i="7"/>
  <c r="K480" i="7"/>
  <c r="K463" i="7"/>
  <c r="N455" i="7"/>
  <c r="K471" i="7"/>
  <c r="N475" i="7"/>
  <c r="K462" i="7"/>
  <c r="K456" i="7"/>
  <c r="P452" i="7"/>
  <c r="N470" i="7"/>
  <c r="K483" i="7"/>
  <c r="K455" i="7"/>
  <c r="K479" i="7"/>
  <c r="N479" i="7"/>
  <c r="K475" i="7"/>
  <c r="N467" i="7"/>
  <c r="S452" i="7"/>
  <c r="N453" i="7"/>
  <c r="L452" i="7"/>
  <c r="K453" i="7"/>
  <c r="I452" i="7"/>
  <c r="J451" i="7"/>
  <c r="G451" i="7"/>
  <c r="P451" i="7"/>
  <c r="I451" i="7"/>
  <c r="K451" i="7"/>
  <c r="AP39" i="33"/>
  <c r="AW23" i="28"/>
  <c r="AW39" i="33" s="1"/>
  <c r="AP45" i="33"/>
  <c r="AW29" i="28"/>
  <c r="AW233" i="28" s="1"/>
  <c r="AP52" i="33"/>
  <c r="AP54" i="33"/>
  <c r="AW242" i="28"/>
  <c r="AP38" i="33"/>
  <c r="AW226" i="28"/>
  <c r="AP43" i="33"/>
  <c r="AW231" i="28"/>
  <c r="AP33" i="33"/>
  <c r="AO221" i="28"/>
  <c r="AP47" i="33"/>
  <c r="AO235" i="28"/>
  <c r="AP49" i="33"/>
  <c r="AO237" i="28"/>
  <c r="AP51" i="33"/>
  <c r="AO239" i="28"/>
  <c r="AP42" i="33"/>
  <c r="AO230" i="28"/>
  <c r="AP40" i="33"/>
  <c r="AO228" i="28"/>
  <c r="L46" i="33"/>
  <c r="L234" i="28"/>
  <c r="L243" i="28"/>
  <c r="L55" i="33"/>
  <c r="L53" i="33"/>
  <c r="L241" i="28"/>
  <c r="L37" i="33"/>
  <c r="L225" i="28"/>
  <c r="L44" i="33"/>
  <c r="L232" i="28"/>
  <c r="L32" i="33"/>
  <c r="L220" i="28"/>
  <c r="AO227" i="28"/>
  <c r="L50" i="33"/>
  <c r="L238" i="28"/>
  <c r="L34" i="33"/>
  <c r="L222" i="28"/>
  <c r="L223" i="28"/>
  <c r="L35" i="33"/>
  <c r="L41" i="33"/>
  <c r="L229" i="28"/>
  <c r="L48" i="33"/>
  <c r="L236" i="28"/>
  <c r="L219" i="28"/>
  <c r="L31" i="33"/>
  <c r="L54" i="33"/>
  <c r="L242" i="28"/>
  <c r="L231" i="28"/>
  <c r="L43" i="33"/>
  <c r="AO37" i="28"/>
  <c r="AW37" i="28" s="1"/>
  <c r="L45" i="33"/>
  <c r="L233" i="28"/>
  <c r="AO21" i="28"/>
  <c r="AW21" i="28" s="1"/>
  <c r="L52" i="33"/>
  <c r="L240" i="28"/>
  <c r="AO28" i="28"/>
  <c r="AW28" i="28" s="1"/>
  <c r="L36" i="33"/>
  <c r="L224" i="28"/>
  <c r="AO16" i="28"/>
  <c r="AW16" i="28" s="1"/>
  <c r="L227" i="28"/>
  <c r="L39" i="33"/>
  <c r="AW240" i="28"/>
  <c r="AW52" i="33"/>
  <c r="AP36" i="33"/>
  <c r="AO30" i="28"/>
  <c r="AW30" i="28" s="1"/>
  <c r="L38" i="33"/>
  <c r="L226" i="28"/>
  <c r="AO39" i="28"/>
  <c r="AW39" i="28" s="1"/>
  <c r="AO233" i="28"/>
  <c r="AO242" i="28"/>
  <c r="AO240" i="28"/>
  <c r="AO226" i="28"/>
  <c r="AO231" i="28"/>
  <c r="AO34" i="28"/>
  <c r="AW34" i="28" s="1"/>
  <c r="L42" i="33"/>
  <c r="L230" i="28"/>
  <c r="AO18" i="28"/>
  <c r="AW18" i="28" s="1"/>
  <c r="L235" i="28"/>
  <c r="L47" i="33"/>
  <c r="AO19" i="28"/>
  <c r="AW19" i="28" s="1"/>
  <c r="L49" i="33"/>
  <c r="L237" i="28"/>
  <c r="AO25" i="28"/>
  <c r="AW25" i="28" s="1"/>
  <c r="L33" i="33"/>
  <c r="L221" i="28"/>
  <c r="AO32" i="28"/>
  <c r="AW32" i="28" s="1"/>
  <c r="L40" i="33"/>
  <c r="L228" i="28"/>
  <c r="L239" i="28"/>
  <c r="L51" i="33"/>
  <c r="AO15" i="28"/>
  <c r="AW15" i="28" s="1"/>
  <c r="AO224" i="28"/>
  <c r="AK224" i="28"/>
  <c r="AH224" i="28"/>
  <c r="AB224" i="28"/>
  <c r="AE224" i="28"/>
  <c r="AF224" i="28"/>
  <c r="AC224" i="28"/>
  <c r="P224" i="28"/>
  <c r="AI224" i="28"/>
  <c r="AJ224" i="28"/>
  <c r="AG224" i="28"/>
  <c r="AD224" i="28"/>
  <c r="X99" i="26"/>
  <c r="V99" i="26" s="1"/>
  <c r="X100" i="26"/>
  <c r="V100" i="26" s="1"/>
  <c r="X103" i="26"/>
  <c r="V103" i="26" s="1"/>
  <c r="X97" i="26"/>
  <c r="V97" i="26" s="1"/>
  <c r="X105" i="26"/>
  <c r="V105" i="26" s="1"/>
  <c r="X98" i="26"/>
  <c r="V98" i="26" s="1"/>
  <c r="X96" i="26"/>
  <c r="X101" i="26"/>
  <c r="V101" i="26" s="1"/>
  <c r="X106" i="26"/>
  <c r="V106" i="26" s="1"/>
  <c r="X107" i="26"/>
  <c r="V107" i="26" s="1"/>
  <c r="X102" i="26"/>
  <c r="V102" i="26" s="1"/>
  <c r="X104" i="26"/>
  <c r="V104" i="26" s="1"/>
  <c r="Z31" i="29"/>
  <c r="V31" i="29" s="1"/>
  <c r="Z32" i="29"/>
  <c r="V32" i="29" s="1"/>
  <c r="R32" i="29"/>
  <c r="R31" i="29"/>
  <c r="E111" i="7"/>
  <c r="E110" i="7"/>
  <c r="E109" i="7"/>
  <c r="E108" i="7"/>
  <c r="E107" i="7"/>
  <c r="E106" i="7"/>
  <c r="E105" i="7"/>
  <c r="E104" i="7"/>
  <c r="E103" i="7"/>
  <c r="AU99" i="9" l="1"/>
  <c r="AW227" i="28"/>
  <c r="N452" i="7"/>
  <c r="K452" i="7"/>
  <c r="AW45" i="33"/>
  <c r="BI38" i="28"/>
  <c r="AW54" i="33"/>
  <c r="AW38" i="33"/>
  <c r="BI36" i="28"/>
  <c r="BI23" i="28"/>
  <c r="AW43" i="33"/>
  <c r="BI22" i="28"/>
  <c r="BI27" i="28"/>
  <c r="BI29" i="28"/>
  <c r="AW239" i="28"/>
  <c r="BI35" i="28" s="1"/>
  <c r="AW51" i="33"/>
  <c r="AP48" i="33"/>
  <c r="AO236" i="28"/>
  <c r="AP50" i="33"/>
  <c r="AO238" i="28"/>
  <c r="AP37" i="33"/>
  <c r="AO225" i="28"/>
  <c r="AW224" i="28"/>
  <c r="BI20" i="28" s="1"/>
  <c r="AW36" i="33"/>
  <c r="AW237" i="28"/>
  <c r="BI33" i="28" s="1"/>
  <c r="AW49" i="33"/>
  <c r="AP34" i="33"/>
  <c r="AO222" i="28"/>
  <c r="AP46" i="33"/>
  <c r="AO234" i="28"/>
  <c r="AP44" i="33"/>
  <c r="AO232" i="28"/>
  <c r="AW230" i="28"/>
  <c r="BI26" i="28" s="1"/>
  <c r="AW42" i="33"/>
  <c r="AW221" i="28"/>
  <c r="BI17" i="28" s="1"/>
  <c r="AW33" i="33"/>
  <c r="AP31" i="33"/>
  <c r="AO219" i="28"/>
  <c r="AP41" i="33"/>
  <c r="AO229" i="28"/>
  <c r="AP53" i="33"/>
  <c r="AO241" i="28"/>
  <c r="AP35" i="33"/>
  <c r="AO223" i="28"/>
  <c r="AP55" i="33"/>
  <c r="AO243" i="28"/>
  <c r="AP32" i="33"/>
  <c r="AO220" i="28"/>
  <c r="AW228" i="28"/>
  <c r="BI24" i="28" s="1"/>
  <c r="AW40" i="33"/>
  <c r="AW235" i="28"/>
  <c r="BI31" i="28" s="1"/>
  <c r="AW47" i="33"/>
  <c r="BI52" i="28"/>
  <c r="Z33" i="29"/>
  <c r="V33" i="29" s="1"/>
  <c r="Z34" i="29"/>
  <c r="V34" i="29" s="1"/>
  <c r="F109" i="7"/>
  <c r="R33" i="29"/>
  <c r="R34" i="29"/>
  <c r="F111" i="7"/>
  <c r="E102" i="7"/>
  <c r="D71" i="18"/>
  <c r="D39" i="18"/>
  <c r="X61" i="26"/>
  <c r="X57" i="26"/>
  <c r="S32" i="26"/>
  <c r="S92" i="10"/>
  <c r="S91" i="10"/>
  <c r="S90" i="10"/>
  <c r="S89" i="10"/>
  <c r="S88" i="10"/>
  <c r="S87" i="10"/>
  <c r="F106" i="7" s="1"/>
  <c r="S86" i="10"/>
  <c r="S85" i="10"/>
  <c r="S84" i="10"/>
  <c r="S83" i="10"/>
  <c r="E32" i="26" l="1"/>
  <c r="L596" i="26"/>
  <c r="V643" i="26" s="1"/>
  <c r="F110" i="30"/>
  <c r="F42" i="7"/>
  <c r="F489" i="7"/>
  <c r="F488" i="7"/>
  <c r="L466" i="26"/>
  <c r="H473" i="26" s="1"/>
  <c r="F40" i="7"/>
  <c r="F108" i="30"/>
  <c r="F417" i="7"/>
  <c r="F416" i="7"/>
  <c r="L336" i="26"/>
  <c r="V383" i="26" s="1"/>
  <c r="F106" i="30"/>
  <c r="N106" i="30" s="1"/>
  <c r="F38" i="7"/>
  <c r="F345" i="7"/>
  <c r="F344" i="7"/>
  <c r="F107" i="7"/>
  <c r="L401" i="26"/>
  <c r="V447" i="26" s="1"/>
  <c r="F107" i="30"/>
  <c r="F39" i="7"/>
  <c r="F381" i="7"/>
  <c r="F380" i="7"/>
  <c r="F108" i="7"/>
  <c r="L271" i="26"/>
  <c r="V318" i="26" s="1"/>
  <c r="F37" i="7"/>
  <c r="F105" i="30"/>
  <c r="N105" i="30" s="1"/>
  <c r="F309" i="7"/>
  <c r="F308" i="7"/>
  <c r="AU98" i="9"/>
  <c r="K25" i="16" s="1"/>
  <c r="K27" i="16" s="1"/>
  <c r="I32" i="16" s="1"/>
  <c r="AC13" i="33" s="1"/>
  <c r="F36" i="7"/>
  <c r="F104" i="30"/>
  <c r="F272" i="7"/>
  <c r="F273" i="7"/>
  <c r="F237" i="7"/>
  <c r="F236" i="7"/>
  <c r="F201" i="7"/>
  <c r="F200" i="7"/>
  <c r="AW220" i="28"/>
  <c r="BI16" i="28" s="1"/>
  <c r="AW32" i="33"/>
  <c r="AW243" i="28"/>
  <c r="BI39" i="28" s="1"/>
  <c r="AW55" i="33"/>
  <c r="AW219" i="28"/>
  <c r="BI15" i="28" s="1"/>
  <c r="AW31" i="33"/>
  <c r="AW241" i="28"/>
  <c r="BI37" i="28" s="1"/>
  <c r="AW53" i="33"/>
  <c r="AW229" i="28"/>
  <c r="BI25" i="28" s="1"/>
  <c r="AW41" i="33"/>
  <c r="AW222" i="28"/>
  <c r="BI18" i="28" s="1"/>
  <c r="AW34" i="33"/>
  <c r="AW223" i="28"/>
  <c r="BI19" i="28" s="1"/>
  <c r="AW35" i="33"/>
  <c r="AW232" i="28"/>
  <c r="BI28" i="28" s="1"/>
  <c r="AW44" i="33"/>
  <c r="AW234" i="28"/>
  <c r="BI30" i="28" s="1"/>
  <c r="AW46" i="33"/>
  <c r="AW238" i="28"/>
  <c r="BI34" i="28" s="1"/>
  <c r="AW50" i="33"/>
  <c r="AW236" i="28"/>
  <c r="BI32" i="28" s="1"/>
  <c r="AW48" i="33"/>
  <c r="AW225" i="28"/>
  <c r="BI21" i="28" s="1"/>
  <c r="AW37" i="33"/>
  <c r="L141" i="26"/>
  <c r="V191" i="26" s="1"/>
  <c r="L531" i="26"/>
  <c r="F109" i="30"/>
  <c r="F41" i="7"/>
  <c r="S20" i="33" s="1"/>
  <c r="F110" i="7"/>
  <c r="F105" i="7"/>
  <c r="L206" i="26"/>
  <c r="L76" i="26"/>
  <c r="H607" i="26"/>
  <c r="M635" i="26"/>
  <c r="X649" i="26" s="1"/>
  <c r="X650" i="26" s="1"/>
  <c r="X651" i="26" s="1"/>
  <c r="X652" i="26" s="1"/>
  <c r="V652" i="26" s="1"/>
  <c r="V646" i="26"/>
  <c r="H608" i="26"/>
  <c r="H601" i="26"/>
  <c r="K601" i="26"/>
  <c r="V462" i="26"/>
  <c r="H406" i="26"/>
  <c r="V444" i="26"/>
  <c r="F102" i="30"/>
  <c r="F103" i="30"/>
  <c r="E14" i="28"/>
  <c r="F101" i="30"/>
  <c r="M13" i="28"/>
  <c r="M29" i="33" s="1"/>
  <c r="F34" i="7"/>
  <c r="S13" i="33" s="1"/>
  <c r="F33" i="7"/>
  <c r="L11" i="26"/>
  <c r="S33" i="26"/>
  <c r="F35" i="7"/>
  <c r="E11" i="28"/>
  <c r="F103" i="7"/>
  <c r="F104" i="7"/>
  <c r="E12" i="28"/>
  <c r="E10" i="28"/>
  <c r="F102" i="7"/>
  <c r="D165" i="7"/>
  <c r="AB165" i="7"/>
  <c r="X58" i="26"/>
  <c r="X62" i="26"/>
  <c r="B126" i="3"/>
  <c r="B125" i="3"/>
  <c r="B124" i="3"/>
  <c r="B123" i="3"/>
  <c r="B122" i="3"/>
  <c r="B121" i="3"/>
  <c r="D121" i="3"/>
  <c r="E121" i="3"/>
  <c r="F121" i="3"/>
  <c r="G121" i="3"/>
  <c r="D122" i="3"/>
  <c r="E122" i="3"/>
  <c r="F122" i="3"/>
  <c r="G122" i="3"/>
  <c r="E123" i="3"/>
  <c r="F123" i="3"/>
  <c r="G123" i="3"/>
  <c r="G124" i="3"/>
  <c r="F125" i="3"/>
  <c r="G125" i="3"/>
  <c r="F126" i="3"/>
  <c r="G126" i="3"/>
  <c r="B118" i="3"/>
  <c r="B112" i="3"/>
  <c r="B110" i="3"/>
  <c r="C111" i="3"/>
  <c r="V451" i="26" l="1"/>
  <c r="V635" i="26"/>
  <c r="V657" i="26"/>
  <c r="K406" i="26"/>
  <c r="K422" i="26" s="1"/>
  <c r="K423" i="26" s="1"/>
  <c r="K424" i="26" s="1"/>
  <c r="K425" i="26" s="1"/>
  <c r="K426" i="26" s="1"/>
  <c r="K427" i="26" s="1"/>
  <c r="K428" i="26" s="1"/>
  <c r="K429" i="26" s="1"/>
  <c r="K430" i="26" s="1"/>
  <c r="K431" i="26" s="1"/>
  <c r="K432" i="26" s="1"/>
  <c r="H602" i="26"/>
  <c r="V639" i="26"/>
  <c r="E406" i="26"/>
  <c r="V406" i="26" s="1"/>
  <c r="M440" i="26"/>
  <c r="X454" i="26" s="1"/>
  <c r="X455" i="26" s="1"/>
  <c r="X456" i="26" s="1"/>
  <c r="X457" i="26" s="1"/>
  <c r="V457" i="26" s="1"/>
  <c r="H603" i="26"/>
  <c r="V396" i="26"/>
  <c r="V382" i="26"/>
  <c r="V379" i="26"/>
  <c r="S34" i="26"/>
  <c r="E34" i="26" s="1"/>
  <c r="E33" i="26"/>
  <c r="V448" i="26"/>
  <c r="E601" i="26"/>
  <c r="V601" i="26" s="1"/>
  <c r="V656" i="26"/>
  <c r="V642" i="26"/>
  <c r="V461" i="26"/>
  <c r="H606" i="26"/>
  <c r="H604" i="26"/>
  <c r="V440" i="26"/>
  <c r="H605" i="26"/>
  <c r="M505" i="26"/>
  <c r="X519" i="26" s="1"/>
  <c r="X520" i="26" s="1"/>
  <c r="X521" i="26" s="1"/>
  <c r="X522" i="26" s="1"/>
  <c r="V522" i="26" s="1"/>
  <c r="E341" i="26"/>
  <c r="V341" i="26" s="1"/>
  <c r="H341" i="26"/>
  <c r="V397" i="26"/>
  <c r="V375" i="26"/>
  <c r="H477" i="26"/>
  <c r="H476" i="26"/>
  <c r="V505" i="26"/>
  <c r="H471" i="26"/>
  <c r="E471" i="26"/>
  <c r="V471" i="26" s="1"/>
  <c r="H472" i="26"/>
  <c r="H478" i="26"/>
  <c r="V386" i="26"/>
  <c r="V513" i="26"/>
  <c r="V509" i="26"/>
  <c r="H474" i="26"/>
  <c r="H475" i="26"/>
  <c r="V516" i="26"/>
  <c r="V526" i="26"/>
  <c r="V527" i="26"/>
  <c r="V512" i="26"/>
  <c r="K471" i="26"/>
  <c r="K479" i="26" s="1"/>
  <c r="I487" i="7"/>
  <c r="K487" i="7"/>
  <c r="J487" i="7"/>
  <c r="P487" i="7"/>
  <c r="G487" i="7"/>
  <c r="S21" i="33"/>
  <c r="G42" i="7"/>
  <c r="L42" i="7"/>
  <c r="J42" i="7"/>
  <c r="F80" i="7"/>
  <c r="O80" i="7" s="1"/>
  <c r="I42" i="7"/>
  <c r="X42" i="7"/>
  <c r="K42" i="7"/>
  <c r="H42" i="7"/>
  <c r="V187" i="26"/>
  <c r="S19" i="33"/>
  <c r="F78" i="7"/>
  <c r="X40" i="7"/>
  <c r="G40" i="7"/>
  <c r="J40" i="7"/>
  <c r="L40" i="7"/>
  <c r="H40" i="7"/>
  <c r="I40" i="7"/>
  <c r="K40" i="7"/>
  <c r="P415" i="7"/>
  <c r="I415" i="7"/>
  <c r="J415" i="7"/>
  <c r="G415" i="7"/>
  <c r="K415" i="7"/>
  <c r="S17" i="33"/>
  <c r="X38" i="7"/>
  <c r="J38" i="7"/>
  <c r="G38" i="7"/>
  <c r="L38" i="7"/>
  <c r="I38" i="7"/>
  <c r="F76" i="7"/>
  <c r="H38" i="7"/>
  <c r="K38" i="7"/>
  <c r="H276" i="26"/>
  <c r="V314" i="26"/>
  <c r="V331" i="26"/>
  <c r="V332" i="26"/>
  <c r="V310" i="26"/>
  <c r="V321" i="26"/>
  <c r="E276" i="26"/>
  <c r="V276" i="26" s="1"/>
  <c r="V317" i="26"/>
  <c r="P379" i="7"/>
  <c r="J379" i="7"/>
  <c r="K379" i="7"/>
  <c r="I379" i="7"/>
  <c r="G379" i="7"/>
  <c r="S18" i="33"/>
  <c r="K39" i="7"/>
  <c r="F77" i="7"/>
  <c r="O77" i="7" s="1"/>
  <c r="J39" i="7"/>
  <c r="X39" i="7"/>
  <c r="L39" i="7"/>
  <c r="I39" i="7"/>
  <c r="G39" i="7"/>
  <c r="H39" i="7"/>
  <c r="S16" i="33"/>
  <c r="L37" i="7"/>
  <c r="I37" i="7"/>
  <c r="F75" i="7"/>
  <c r="G37" i="7"/>
  <c r="H37" i="7"/>
  <c r="J37" i="7"/>
  <c r="X37" i="7"/>
  <c r="K37" i="7"/>
  <c r="S15" i="33"/>
  <c r="F74" i="7"/>
  <c r="I36" i="7"/>
  <c r="L36" i="7"/>
  <c r="X36" i="7"/>
  <c r="G36" i="7"/>
  <c r="K36" i="7"/>
  <c r="J36" i="7"/>
  <c r="H36" i="7"/>
  <c r="V591" i="26"/>
  <c r="H149" i="26"/>
  <c r="L109" i="30"/>
  <c r="M110" i="7" s="1"/>
  <c r="M109" i="30"/>
  <c r="N110" i="7" s="1"/>
  <c r="N109" i="30"/>
  <c r="H148" i="26"/>
  <c r="E146" i="26"/>
  <c r="V146" i="26" s="1"/>
  <c r="H147" i="26"/>
  <c r="V184" i="26"/>
  <c r="V188" i="26"/>
  <c r="V202" i="26"/>
  <c r="V180" i="26"/>
  <c r="H146" i="26"/>
  <c r="V201" i="26"/>
  <c r="V574" i="26"/>
  <c r="H540" i="26"/>
  <c r="E26" i="33"/>
  <c r="Q112" i="28"/>
  <c r="V592" i="26"/>
  <c r="X35" i="7"/>
  <c r="S14" i="33"/>
  <c r="H538" i="26"/>
  <c r="E29" i="33"/>
  <c r="L13" i="28"/>
  <c r="E27" i="33"/>
  <c r="E28" i="33"/>
  <c r="H543" i="26"/>
  <c r="H541" i="26"/>
  <c r="V578" i="26"/>
  <c r="H542" i="26"/>
  <c r="E536" i="26"/>
  <c r="V536" i="26" s="1"/>
  <c r="K536" i="26"/>
  <c r="K544" i="26" s="1"/>
  <c r="M570" i="26"/>
  <c r="X584" i="26" s="1"/>
  <c r="X585" i="26" s="1"/>
  <c r="X586" i="26" s="1"/>
  <c r="X587" i="26" s="1"/>
  <c r="V587" i="26" s="1"/>
  <c r="V577" i="26"/>
  <c r="V581" i="26"/>
  <c r="H539" i="26"/>
  <c r="H537" i="26"/>
  <c r="H536" i="26"/>
  <c r="V570" i="26"/>
  <c r="F79" i="7"/>
  <c r="K41" i="7"/>
  <c r="G41" i="7"/>
  <c r="X41" i="7"/>
  <c r="J41" i="7"/>
  <c r="L41" i="7"/>
  <c r="I41" i="7"/>
  <c r="H41" i="7"/>
  <c r="V650" i="26"/>
  <c r="V651" i="26"/>
  <c r="K602" i="26"/>
  <c r="V123" i="26"/>
  <c r="V119" i="26"/>
  <c r="V137" i="26"/>
  <c r="V136" i="26"/>
  <c r="V126" i="26"/>
  <c r="H81" i="26"/>
  <c r="V115" i="26"/>
  <c r="V122" i="26"/>
  <c r="E81" i="26"/>
  <c r="K617" i="26"/>
  <c r="K618" i="26" s="1"/>
  <c r="K619" i="26" s="1"/>
  <c r="K620" i="26" s="1"/>
  <c r="K621" i="26" s="1"/>
  <c r="K622" i="26" s="1"/>
  <c r="K623" i="26" s="1"/>
  <c r="K624" i="26" s="1"/>
  <c r="K625" i="26" s="1"/>
  <c r="K626" i="26" s="1"/>
  <c r="K627" i="26" s="1"/>
  <c r="K612" i="26"/>
  <c r="K609" i="26"/>
  <c r="V267" i="26"/>
  <c r="H212" i="26"/>
  <c r="V253" i="26"/>
  <c r="H213" i="26"/>
  <c r="V266" i="26"/>
  <c r="H214" i="26"/>
  <c r="V249" i="26"/>
  <c r="H211" i="26"/>
  <c r="V245" i="26"/>
  <c r="V256" i="26"/>
  <c r="V252" i="26"/>
  <c r="E211" i="26"/>
  <c r="V211" i="26" s="1"/>
  <c r="K487" i="26"/>
  <c r="K488" i="26" s="1"/>
  <c r="K489" i="26" s="1"/>
  <c r="K490" i="26" s="1"/>
  <c r="K491" i="26" s="1"/>
  <c r="K492" i="26" s="1"/>
  <c r="K493" i="26" s="1"/>
  <c r="K494" i="26" s="1"/>
  <c r="K495" i="26" s="1"/>
  <c r="K496" i="26" s="1"/>
  <c r="K497" i="26" s="1"/>
  <c r="Z36" i="29"/>
  <c r="V36" i="29" s="1"/>
  <c r="K36" i="29"/>
  <c r="Z35" i="29"/>
  <c r="V35" i="29" s="1"/>
  <c r="F71" i="7"/>
  <c r="X33" i="7"/>
  <c r="F72" i="7"/>
  <c r="X34" i="7"/>
  <c r="L33" i="7"/>
  <c r="V72" i="26"/>
  <c r="J33" i="7"/>
  <c r="L34" i="7"/>
  <c r="G34" i="7"/>
  <c r="K34" i="7"/>
  <c r="I34" i="7"/>
  <c r="H34" i="7"/>
  <c r="J34" i="7"/>
  <c r="G33" i="7"/>
  <c r="K33" i="7"/>
  <c r="I33" i="7"/>
  <c r="H33" i="7"/>
  <c r="V54" i="26"/>
  <c r="V71" i="26"/>
  <c r="H16" i="26"/>
  <c r="F73" i="7"/>
  <c r="G35" i="7"/>
  <c r="H35" i="7"/>
  <c r="K35" i="7"/>
  <c r="J35" i="7"/>
  <c r="L35" i="7"/>
  <c r="I35" i="7"/>
  <c r="F164" i="7"/>
  <c r="F165" i="7"/>
  <c r="V58" i="26"/>
  <c r="V57" i="26"/>
  <c r="V61" i="26"/>
  <c r="V50" i="26"/>
  <c r="R36" i="29"/>
  <c r="R35" i="29"/>
  <c r="V455" i="26" l="1"/>
  <c r="V521" i="26"/>
  <c r="V456" i="26"/>
  <c r="K417" i="26"/>
  <c r="V520" i="26"/>
  <c r="K414" i="26"/>
  <c r="K603" i="26"/>
  <c r="K604" i="26" s="1"/>
  <c r="K605" i="26" s="1"/>
  <c r="K606" i="26" s="1"/>
  <c r="K607" i="26" s="1"/>
  <c r="K608" i="26" s="1"/>
  <c r="S35" i="26"/>
  <c r="E35" i="26" s="1"/>
  <c r="E602" i="26"/>
  <c r="V602" i="26" s="1"/>
  <c r="K482" i="26"/>
  <c r="K472" i="26"/>
  <c r="K473" i="26" s="1"/>
  <c r="K474" i="26" s="1"/>
  <c r="K475" i="26" s="1"/>
  <c r="K476" i="26" s="1"/>
  <c r="K477" i="26" s="1"/>
  <c r="K478" i="26" s="1"/>
  <c r="E472" i="26"/>
  <c r="V472" i="26" s="1"/>
  <c r="Z42" i="7"/>
  <c r="U21" i="33"/>
  <c r="X21" i="33"/>
  <c r="AC42" i="7"/>
  <c r="V21" i="33"/>
  <c r="AA42" i="7"/>
  <c r="AB42" i="7"/>
  <c r="W21" i="33"/>
  <c r="AD42" i="7"/>
  <c r="Y21" i="33"/>
  <c r="T21" i="33"/>
  <c r="Y42" i="7"/>
  <c r="AB40" i="7"/>
  <c r="W19" i="33"/>
  <c r="Y40" i="7"/>
  <c r="T19" i="33"/>
  <c r="AA40" i="7"/>
  <c r="V19" i="33"/>
  <c r="AC40" i="7"/>
  <c r="X19" i="33"/>
  <c r="Z40" i="7"/>
  <c r="U19" i="33"/>
  <c r="AD40" i="7"/>
  <c r="Y19" i="33"/>
  <c r="W17" i="33"/>
  <c r="AB38" i="7"/>
  <c r="Z38" i="7"/>
  <c r="U17" i="33"/>
  <c r="X17" i="33"/>
  <c r="AC38" i="7"/>
  <c r="V17" i="33"/>
  <c r="AA38" i="7"/>
  <c r="AD38" i="7"/>
  <c r="Y17" i="33"/>
  <c r="T17" i="33"/>
  <c r="T18" i="33"/>
  <c r="Y39" i="7"/>
  <c r="W18" i="33"/>
  <c r="AB39" i="7"/>
  <c r="V18" i="33"/>
  <c r="AA39" i="7"/>
  <c r="Y18" i="33"/>
  <c r="AD39" i="7"/>
  <c r="AC39" i="7"/>
  <c r="X18" i="33"/>
  <c r="U18" i="33"/>
  <c r="Z39" i="7"/>
  <c r="W16" i="33"/>
  <c r="V16" i="33"/>
  <c r="AA37" i="7"/>
  <c r="Z37" i="7"/>
  <c r="U16" i="33"/>
  <c r="AD37" i="7"/>
  <c r="Y16" i="33"/>
  <c r="AC37" i="7"/>
  <c r="X16" i="33"/>
  <c r="T16" i="33"/>
  <c r="Y37" i="7"/>
  <c r="U15" i="33"/>
  <c r="Z36" i="7"/>
  <c r="AB36" i="7"/>
  <c r="W15" i="33"/>
  <c r="AD36" i="7"/>
  <c r="Y15" i="33"/>
  <c r="AC36" i="7"/>
  <c r="X15" i="33"/>
  <c r="V15" i="33"/>
  <c r="AA36" i="7"/>
  <c r="Y36" i="7"/>
  <c r="T15" i="33"/>
  <c r="E147" i="26"/>
  <c r="V147" i="26" s="1"/>
  <c r="V585" i="26"/>
  <c r="K547" i="26"/>
  <c r="K552" i="26"/>
  <c r="K553" i="26" s="1"/>
  <c r="K554" i="26" s="1"/>
  <c r="K555" i="26" s="1"/>
  <c r="K556" i="26" s="1"/>
  <c r="K557" i="26" s="1"/>
  <c r="K558" i="26" s="1"/>
  <c r="K559" i="26" s="1"/>
  <c r="K560" i="26" s="1"/>
  <c r="K561" i="26" s="1"/>
  <c r="K562" i="26" s="1"/>
  <c r="K537" i="26"/>
  <c r="K538" i="26" s="1"/>
  <c r="K539" i="26" s="1"/>
  <c r="K540" i="26" s="1"/>
  <c r="K541" i="26" s="1"/>
  <c r="K542" i="26" s="1"/>
  <c r="K543" i="26" s="1"/>
  <c r="AB35" i="7"/>
  <c r="W14" i="33"/>
  <c r="T13" i="33"/>
  <c r="V20" i="33"/>
  <c r="AA41" i="7"/>
  <c r="T20" i="33"/>
  <c r="Y41" i="7"/>
  <c r="X14" i="33"/>
  <c r="AC35" i="7"/>
  <c r="V12" i="33"/>
  <c r="AA33" i="7"/>
  <c r="AA35" i="7"/>
  <c r="V14" i="33"/>
  <c r="U14" i="33"/>
  <c r="Z35" i="7"/>
  <c r="X12" i="33"/>
  <c r="AC33" i="7"/>
  <c r="V13" i="33"/>
  <c r="AA34" i="7"/>
  <c r="W12" i="33"/>
  <c r="AB33" i="7"/>
  <c r="E537" i="26"/>
  <c r="V537" i="26" s="1"/>
  <c r="W20" i="33"/>
  <c r="AB41" i="7"/>
  <c r="U12" i="33"/>
  <c r="Z33" i="7"/>
  <c r="W13" i="33"/>
  <c r="AB34" i="7"/>
  <c r="Y12" i="33"/>
  <c r="AD33" i="7"/>
  <c r="Q214" i="28"/>
  <c r="Z34" i="7"/>
  <c r="U13" i="33"/>
  <c r="AD34" i="7"/>
  <c r="Y13" i="33"/>
  <c r="Y20" i="33"/>
  <c r="AD41" i="7"/>
  <c r="X20" i="33"/>
  <c r="AC41" i="7"/>
  <c r="Y14" i="33"/>
  <c r="AD35" i="7"/>
  <c r="T14" i="33"/>
  <c r="Y35" i="7"/>
  <c r="X13" i="33"/>
  <c r="AC34" i="7"/>
  <c r="V586" i="26"/>
  <c r="U20" i="33"/>
  <c r="Z41" i="7"/>
  <c r="L29" i="33"/>
  <c r="L217" i="28"/>
  <c r="K37" i="29"/>
  <c r="V81" i="26"/>
  <c r="E212" i="26"/>
  <c r="V212" i="26" s="1"/>
  <c r="Z37" i="29"/>
  <c r="V37" i="29" s="1"/>
  <c r="R37" i="29"/>
  <c r="AJ93" i="18" s="1"/>
  <c r="I127" i="3"/>
  <c r="H127" i="3"/>
  <c r="I126" i="3"/>
  <c r="H126" i="3"/>
  <c r="I125" i="3"/>
  <c r="H125" i="3"/>
  <c r="I124" i="3"/>
  <c r="H124" i="3"/>
  <c r="I123" i="3"/>
  <c r="H123" i="3"/>
  <c r="I122" i="3"/>
  <c r="H122" i="3"/>
  <c r="I121" i="3"/>
  <c r="H121" i="3"/>
  <c r="I120" i="3"/>
  <c r="H120" i="3"/>
  <c r="I119" i="3"/>
  <c r="H119" i="3"/>
  <c r="I118" i="3"/>
  <c r="H118" i="3"/>
  <c r="I117" i="3"/>
  <c r="H117" i="3"/>
  <c r="I116" i="3"/>
  <c r="H116" i="3"/>
  <c r="S115" i="3"/>
  <c r="I113" i="3"/>
  <c r="H113" i="3"/>
  <c r="I112" i="3"/>
  <c r="H112" i="3"/>
  <c r="I111" i="3"/>
  <c r="H111" i="3"/>
  <c r="I110" i="3"/>
  <c r="H110" i="3"/>
  <c r="G127" i="3"/>
  <c r="F127" i="3"/>
  <c r="E127" i="3"/>
  <c r="D127" i="3"/>
  <c r="C127" i="3"/>
  <c r="B127" i="3"/>
  <c r="G118" i="3"/>
  <c r="G116" i="3"/>
  <c r="G120" i="3"/>
  <c r="F120" i="3"/>
  <c r="E120" i="3"/>
  <c r="D120" i="3"/>
  <c r="C120" i="3"/>
  <c r="B120" i="3"/>
  <c r="G119" i="3"/>
  <c r="F119" i="3"/>
  <c r="E119" i="3"/>
  <c r="D119" i="3"/>
  <c r="C119" i="3"/>
  <c r="B119" i="3"/>
  <c r="G112" i="3"/>
  <c r="F112" i="3"/>
  <c r="E112" i="3"/>
  <c r="D112" i="3"/>
  <c r="G113" i="3"/>
  <c r="F113" i="3"/>
  <c r="E113" i="3"/>
  <c r="D113" i="3"/>
  <c r="C113" i="3"/>
  <c r="B113" i="3"/>
  <c r="G111" i="3"/>
  <c r="F111" i="3"/>
  <c r="E111" i="3"/>
  <c r="D111" i="3"/>
  <c r="B111" i="3"/>
  <c r="G110" i="3"/>
  <c r="F110" i="3"/>
  <c r="E110" i="3"/>
  <c r="D110" i="3"/>
  <c r="A124" i="3"/>
  <c r="S36" i="26" l="1"/>
  <c r="E36" i="26" s="1"/>
  <c r="E603" i="26"/>
  <c r="V603" i="26" s="1"/>
  <c r="L117" i="3"/>
  <c r="E473" i="26"/>
  <c r="V473" i="26" s="1"/>
  <c r="Q113" i="28"/>
  <c r="Q114" i="28"/>
  <c r="E148" i="26"/>
  <c r="V148" i="26" s="1"/>
  <c r="S123" i="3"/>
  <c r="L123" i="3"/>
  <c r="S125" i="3"/>
  <c r="L125" i="3"/>
  <c r="L119" i="3"/>
  <c r="L111" i="3"/>
  <c r="S122" i="3"/>
  <c r="L122" i="3"/>
  <c r="S124" i="3"/>
  <c r="L124" i="3"/>
  <c r="S126" i="3"/>
  <c r="L126" i="3"/>
  <c r="S121" i="3"/>
  <c r="L121" i="3"/>
  <c r="L112" i="3"/>
  <c r="L110" i="3"/>
  <c r="S118" i="3"/>
  <c r="L118" i="3"/>
  <c r="L127" i="3"/>
  <c r="Q116" i="28" s="1"/>
  <c r="S113" i="3"/>
  <c r="L113" i="3"/>
  <c r="S120" i="3"/>
  <c r="L120" i="3"/>
  <c r="S116" i="3"/>
  <c r="L116" i="3"/>
  <c r="E538" i="26"/>
  <c r="E539" i="26" s="1"/>
  <c r="S112" i="3"/>
  <c r="S127" i="3"/>
  <c r="S119" i="3"/>
  <c r="S110" i="3"/>
  <c r="S111" i="3"/>
  <c r="S117" i="3"/>
  <c r="S114" i="3"/>
  <c r="E213" i="26"/>
  <c r="V213" i="26" s="1"/>
  <c r="Q115" i="3"/>
  <c r="Q121" i="3"/>
  <c r="Q123" i="3"/>
  <c r="Q124" i="3"/>
  <c r="AL82" i="18"/>
  <c r="Q126" i="3"/>
  <c r="Q118" i="3"/>
  <c r="AN100" i="18"/>
  <c r="AL93" i="18"/>
  <c r="AL84" i="18"/>
  <c r="AJ100" i="18"/>
  <c r="AN99" i="18"/>
  <c r="AJ85" i="18"/>
  <c r="AJ82" i="18"/>
  <c r="AN93" i="18"/>
  <c r="AN96" i="18"/>
  <c r="AL87" i="18"/>
  <c r="AJ86" i="18"/>
  <c r="AL95" i="18"/>
  <c r="AN97" i="18"/>
  <c r="AN91" i="18"/>
  <c r="AJ92" i="18"/>
  <c r="AL92" i="18"/>
  <c r="AN94" i="18"/>
  <c r="AL97" i="18"/>
  <c r="AN82" i="18"/>
  <c r="AJ94" i="18"/>
  <c r="Q114" i="3"/>
  <c r="Q122" i="3"/>
  <c r="AJ81" i="18"/>
  <c r="AL81" i="18"/>
  <c r="AN81" i="18"/>
  <c r="AL83" i="18"/>
  <c r="AJ98" i="18"/>
  <c r="AL85" i="18"/>
  <c r="AL99" i="18"/>
  <c r="AJ87" i="18"/>
  <c r="AN87" i="18"/>
  <c r="AJ99" i="18"/>
  <c r="AL89" i="18"/>
  <c r="AN86" i="18"/>
  <c r="AL100" i="18"/>
  <c r="AJ84" i="18"/>
  <c r="AL90" i="18"/>
  <c r="AN85" i="18"/>
  <c r="AL88" i="18"/>
  <c r="AL98" i="18"/>
  <c r="AJ83" i="18"/>
  <c r="AN84" i="18"/>
  <c r="AL96" i="18"/>
  <c r="AJ88" i="18"/>
  <c r="AN95" i="18"/>
  <c r="AN90" i="18"/>
  <c r="AJ89" i="18"/>
  <c r="AN83" i="18"/>
  <c r="AL86" i="18"/>
  <c r="Q127" i="3"/>
  <c r="AJ95" i="18"/>
  <c r="AJ90" i="18"/>
  <c r="AJ97" i="18"/>
  <c r="AN92" i="18"/>
  <c r="AN89" i="18"/>
  <c r="AJ91" i="18"/>
  <c r="AN98" i="18"/>
  <c r="AN88" i="18"/>
  <c r="AJ96" i="18"/>
  <c r="AL94" i="18"/>
  <c r="AL91" i="18"/>
  <c r="Q112" i="3"/>
  <c r="Q119" i="3"/>
  <c r="Q116" i="3"/>
  <c r="Q111" i="3"/>
  <c r="Q117" i="3"/>
  <c r="Q125" i="3"/>
  <c r="Q110" i="3"/>
  <c r="Q113" i="3"/>
  <c r="Q120" i="3"/>
  <c r="AE111" i="3"/>
  <c r="AA111" i="3"/>
  <c r="W111" i="3"/>
  <c r="R111" i="3"/>
  <c r="M111" i="3"/>
  <c r="AB111" i="3"/>
  <c r="T111" i="3"/>
  <c r="AD111" i="3"/>
  <c r="Z111" i="3"/>
  <c r="V111" i="3"/>
  <c r="P111" i="3"/>
  <c r="K111" i="3"/>
  <c r="X111" i="3"/>
  <c r="AC111" i="3"/>
  <c r="Y111" i="3"/>
  <c r="U111" i="3"/>
  <c r="O111" i="3"/>
  <c r="AF111" i="3"/>
  <c r="N111" i="3"/>
  <c r="AD114" i="3"/>
  <c r="Z114" i="3"/>
  <c r="V114" i="3"/>
  <c r="P114" i="3"/>
  <c r="K114" i="3"/>
  <c r="AC114" i="3"/>
  <c r="Y114" i="3"/>
  <c r="U114" i="3"/>
  <c r="O114" i="3"/>
  <c r="AF114" i="3"/>
  <c r="AB114" i="3"/>
  <c r="X114" i="3"/>
  <c r="T114" i="3"/>
  <c r="N114" i="3"/>
  <c r="W114" i="3"/>
  <c r="AA114" i="3"/>
  <c r="R114" i="3"/>
  <c r="AE114" i="3"/>
  <c r="M114" i="3"/>
  <c r="Z122" i="3"/>
  <c r="AC122" i="3"/>
  <c r="AF122" i="3"/>
  <c r="N122" i="3"/>
  <c r="AA122" i="3"/>
  <c r="V122" i="3"/>
  <c r="Y122" i="3"/>
  <c r="AB122" i="3"/>
  <c r="AE122" i="3"/>
  <c r="W122" i="3"/>
  <c r="AD122" i="3"/>
  <c r="T122" i="3"/>
  <c r="P122" i="3"/>
  <c r="U122" i="3"/>
  <c r="X122" i="3"/>
  <c r="M122" i="3"/>
  <c r="K122" i="3"/>
  <c r="O122" i="3"/>
  <c r="R122" i="3"/>
  <c r="AD125" i="3"/>
  <c r="K125" i="3"/>
  <c r="O125" i="3"/>
  <c r="T125" i="3"/>
  <c r="M125" i="3"/>
  <c r="Z125" i="3"/>
  <c r="AC125" i="3"/>
  <c r="AF125" i="3"/>
  <c r="N125" i="3"/>
  <c r="AA125" i="3"/>
  <c r="V125" i="3"/>
  <c r="Y125" i="3"/>
  <c r="AB125" i="3"/>
  <c r="R125" i="3"/>
  <c r="W125" i="3"/>
  <c r="P125" i="3"/>
  <c r="U125" i="3"/>
  <c r="X125" i="3"/>
  <c r="AE125" i="3"/>
  <c r="AC113" i="3"/>
  <c r="Y113" i="3"/>
  <c r="U113" i="3"/>
  <c r="O113" i="3"/>
  <c r="AF113" i="3"/>
  <c r="AB113" i="3"/>
  <c r="X113" i="3"/>
  <c r="T113" i="3"/>
  <c r="AE113" i="3"/>
  <c r="AA113" i="3"/>
  <c r="W113" i="3"/>
  <c r="R113" i="3"/>
  <c r="M113" i="3"/>
  <c r="Z113" i="3"/>
  <c r="K113" i="3"/>
  <c r="V113" i="3"/>
  <c r="N113" i="3"/>
  <c r="P113" i="3"/>
  <c r="AD113" i="3"/>
  <c r="AF120" i="3"/>
  <c r="AB120" i="3"/>
  <c r="X120" i="3"/>
  <c r="T120" i="3"/>
  <c r="N120" i="3"/>
  <c r="AE120" i="3"/>
  <c r="AA120" i="3"/>
  <c r="W120" i="3"/>
  <c r="R120" i="3"/>
  <c r="M120" i="3"/>
  <c r="AD120" i="3"/>
  <c r="Z120" i="3"/>
  <c r="V120" i="3"/>
  <c r="P120" i="3"/>
  <c r="K120" i="3"/>
  <c r="U120" i="3"/>
  <c r="O120" i="3"/>
  <c r="Y120" i="3"/>
  <c r="AC120" i="3"/>
  <c r="P118" i="3"/>
  <c r="U118" i="3"/>
  <c r="X118" i="3"/>
  <c r="AE118" i="3"/>
  <c r="AD118" i="3"/>
  <c r="K118" i="3"/>
  <c r="O118" i="3"/>
  <c r="T118" i="3"/>
  <c r="W118" i="3"/>
  <c r="AB118" i="3"/>
  <c r="R118" i="3"/>
  <c r="Z118" i="3"/>
  <c r="AC118" i="3"/>
  <c r="AF118" i="3"/>
  <c r="N118" i="3"/>
  <c r="M118" i="3"/>
  <c r="V118" i="3"/>
  <c r="Y118" i="3"/>
  <c r="AA118" i="3"/>
  <c r="V110" i="3"/>
  <c r="N110" i="3"/>
  <c r="AE110" i="3"/>
  <c r="AB110" i="3"/>
  <c r="R110" i="3"/>
  <c r="P110" i="3"/>
  <c r="AC110" i="3"/>
  <c r="W110" i="3"/>
  <c r="X110" i="3"/>
  <c r="AD110" i="3"/>
  <c r="K110" i="3"/>
  <c r="Y110" i="3"/>
  <c r="M110" i="3"/>
  <c r="T110" i="3"/>
  <c r="Z110" i="3"/>
  <c r="U110" i="3"/>
  <c r="O110" i="3"/>
  <c r="AF110" i="3"/>
  <c r="AA110" i="3"/>
  <c r="AC117" i="3"/>
  <c r="Y117" i="3"/>
  <c r="U117" i="3"/>
  <c r="O117" i="3"/>
  <c r="AF117" i="3"/>
  <c r="AB117" i="3"/>
  <c r="X117" i="3"/>
  <c r="T117" i="3"/>
  <c r="N117" i="3"/>
  <c r="AE117" i="3"/>
  <c r="AA117" i="3"/>
  <c r="W117" i="3"/>
  <c r="R117" i="3"/>
  <c r="M117" i="3"/>
  <c r="AD117" i="3"/>
  <c r="K117" i="3"/>
  <c r="P117" i="3"/>
  <c r="Z117" i="3"/>
  <c r="V117" i="3"/>
  <c r="AD112" i="3"/>
  <c r="N112" i="3"/>
  <c r="R112" i="3"/>
  <c r="AC112" i="3"/>
  <c r="AF112" i="3"/>
  <c r="Z112" i="3"/>
  <c r="U112" i="3"/>
  <c r="M112" i="3"/>
  <c r="V112" i="3"/>
  <c r="AB112" i="3"/>
  <c r="Y112" i="3"/>
  <c r="AE112" i="3"/>
  <c r="AA112" i="3"/>
  <c r="P112" i="3"/>
  <c r="X112" i="3"/>
  <c r="T112" i="3"/>
  <c r="W112" i="3"/>
  <c r="O112" i="3"/>
  <c r="K112" i="3"/>
  <c r="AE119" i="3"/>
  <c r="AA119" i="3"/>
  <c r="W119" i="3"/>
  <c r="R119" i="3"/>
  <c r="M119" i="3"/>
  <c r="AD119" i="3"/>
  <c r="Z119" i="3"/>
  <c r="V119" i="3"/>
  <c r="P119" i="3"/>
  <c r="K119" i="3"/>
  <c r="AC119" i="3"/>
  <c r="Y119" i="3"/>
  <c r="U119" i="3"/>
  <c r="O119" i="3"/>
  <c r="X119" i="3"/>
  <c r="AB119" i="3"/>
  <c r="T119" i="3"/>
  <c r="AF119" i="3"/>
  <c r="N119" i="3"/>
  <c r="AF116" i="3"/>
  <c r="AB116" i="3"/>
  <c r="X116" i="3"/>
  <c r="T116" i="3"/>
  <c r="N116" i="3"/>
  <c r="AE116" i="3"/>
  <c r="AA116" i="3"/>
  <c r="W116" i="3"/>
  <c r="R116" i="3"/>
  <c r="M116" i="3"/>
  <c r="AD116" i="3"/>
  <c r="Z116" i="3"/>
  <c r="V116" i="3"/>
  <c r="P116" i="3"/>
  <c r="K116" i="3"/>
  <c r="O116" i="3"/>
  <c r="AC116" i="3"/>
  <c r="Y116" i="3"/>
  <c r="U116" i="3"/>
  <c r="AF127" i="3"/>
  <c r="AB127" i="3"/>
  <c r="X127" i="3"/>
  <c r="T127" i="3"/>
  <c r="N127" i="3"/>
  <c r="AE127" i="3"/>
  <c r="AA127" i="3"/>
  <c r="W127" i="3"/>
  <c r="R127" i="3"/>
  <c r="M127" i="3"/>
  <c r="AD127" i="3"/>
  <c r="Z127" i="3"/>
  <c r="V127" i="3"/>
  <c r="P127" i="3"/>
  <c r="K127" i="3"/>
  <c r="AC127" i="3"/>
  <c r="O127" i="3"/>
  <c r="Y127" i="3"/>
  <c r="U127" i="3"/>
  <c r="AE115" i="3"/>
  <c r="AA115" i="3"/>
  <c r="W115" i="3"/>
  <c r="R115" i="3"/>
  <c r="M115" i="3"/>
  <c r="AD115" i="3"/>
  <c r="Z115" i="3"/>
  <c r="V115" i="3"/>
  <c r="P115" i="3"/>
  <c r="K115" i="3"/>
  <c r="AC115" i="3"/>
  <c r="Y115" i="3"/>
  <c r="U115" i="3"/>
  <c r="O115" i="3"/>
  <c r="T115" i="3"/>
  <c r="AF115" i="3"/>
  <c r="N115" i="3"/>
  <c r="X115" i="3"/>
  <c r="AB115" i="3"/>
  <c r="AC121" i="3"/>
  <c r="AF121" i="3"/>
  <c r="N121" i="3"/>
  <c r="R121" i="3"/>
  <c r="K121" i="3"/>
  <c r="Y121" i="3"/>
  <c r="AB121" i="3"/>
  <c r="AE121" i="3"/>
  <c r="M121" i="3"/>
  <c r="Z121" i="3"/>
  <c r="W121" i="3"/>
  <c r="U121" i="3"/>
  <c r="X121" i="3"/>
  <c r="AA121" i="3"/>
  <c r="P121" i="3"/>
  <c r="V121" i="3"/>
  <c r="O121" i="3"/>
  <c r="AD121" i="3"/>
  <c r="T121" i="3"/>
  <c r="AA123" i="3"/>
  <c r="AD123" i="3"/>
  <c r="K123" i="3"/>
  <c r="O123" i="3"/>
  <c r="X123" i="3"/>
  <c r="W123" i="3"/>
  <c r="Z123" i="3"/>
  <c r="AC123" i="3"/>
  <c r="AB123" i="3"/>
  <c r="T123" i="3"/>
  <c r="R123" i="3"/>
  <c r="V123" i="3"/>
  <c r="Y123" i="3"/>
  <c r="AF123" i="3"/>
  <c r="AE123" i="3"/>
  <c r="M123" i="3"/>
  <c r="P123" i="3"/>
  <c r="U123" i="3"/>
  <c r="N123" i="3"/>
  <c r="Y124" i="3"/>
  <c r="AB124" i="3"/>
  <c r="AE124" i="3"/>
  <c r="M124" i="3"/>
  <c r="AD124" i="3"/>
  <c r="U124" i="3"/>
  <c r="X124" i="3"/>
  <c r="AA124" i="3"/>
  <c r="V124" i="3"/>
  <c r="K124" i="3"/>
  <c r="AC124" i="3"/>
  <c r="R124" i="3"/>
  <c r="O124" i="3"/>
  <c r="T124" i="3"/>
  <c r="W124" i="3"/>
  <c r="Z124" i="3"/>
  <c r="AF124" i="3"/>
  <c r="P124" i="3"/>
  <c r="N124" i="3"/>
  <c r="W126" i="3"/>
  <c r="Z126" i="3"/>
  <c r="AC126" i="3"/>
  <c r="AF126" i="3"/>
  <c r="X126" i="3"/>
  <c r="R126" i="3"/>
  <c r="V126" i="3"/>
  <c r="Y126" i="3"/>
  <c r="N126" i="3"/>
  <c r="AD126" i="3"/>
  <c r="T126" i="3"/>
  <c r="AE126" i="3"/>
  <c r="M126" i="3"/>
  <c r="P126" i="3"/>
  <c r="U126" i="3"/>
  <c r="AB126" i="3"/>
  <c r="AA126" i="3"/>
  <c r="K126" i="3"/>
  <c r="O126" i="3"/>
  <c r="S37" i="26"/>
  <c r="E37" i="26" s="1"/>
  <c r="A111" i="3"/>
  <c r="A112" i="3"/>
  <c r="A113" i="3"/>
  <c r="A114" i="3"/>
  <c r="A115" i="3"/>
  <c r="A116" i="3"/>
  <c r="A117" i="3"/>
  <c r="A118" i="3"/>
  <c r="A119" i="3"/>
  <c r="A120" i="3"/>
  <c r="A121" i="3"/>
  <c r="A122" i="3"/>
  <c r="A123" i="3"/>
  <c r="A125" i="3"/>
  <c r="A126" i="3"/>
  <c r="A127" i="3"/>
  <c r="A110" i="3"/>
  <c r="S67" i="10"/>
  <c r="E26" i="7" s="1"/>
  <c r="S66" i="10"/>
  <c r="E25" i="7" s="1"/>
  <c r="S65" i="10"/>
  <c r="E24" i="7" s="1"/>
  <c r="S64" i="10"/>
  <c r="E23" i="7" s="1"/>
  <c r="S63" i="10"/>
  <c r="E22" i="7" s="1"/>
  <c r="S62" i="10"/>
  <c r="E21" i="7" s="1"/>
  <c r="E604" i="26" l="1"/>
  <c r="E474" i="26"/>
  <c r="V474" i="26" s="1"/>
  <c r="G117" i="30"/>
  <c r="I117" i="30" s="1"/>
  <c r="G116" i="30"/>
  <c r="I116" i="30" s="1"/>
  <c r="G115" i="30"/>
  <c r="I115" i="30" s="1"/>
  <c r="E149" i="26"/>
  <c r="V149" i="26" s="1"/>
  <c r="G113" i="30"/>
  <c r="Q216" i="28"/>
  <c r="Q218" i="28"/>
  <c r="Q215" i="28"/>
  <c r="G123" i="30"/>
  <c r="I123" i="30" s="1"/>
  <c r="G130" i="30"/>
  <c r="G127" i="30"/>
  <c r="I127" i="30" s="1"/>
  <c r="G118" i="30"/>
  <c r="I118" i="30" s="1"/>
  <c r="G114" i="30"/>
  <c r="G129" i="30"/>
  <c r="G112" i="30"/>
  <c r="G111" i="30"/>
  <c r="V538" i="26"/>
  <c r="V604" i="26"/>
  <c r="E605" i="26"/>
  <c r="X23" i="7"/>
  <c r="I14" i="33"/>
  <c r="X25" i="7"/>
  <c r="I16" i="33"/>
  <c r="X24" i="7"/>
  <c r="I15" i="33"/>
  <c r="X21" i="7"/>
  <c r="X22" i="7"/>
  <c r="X26" i="7"/>
  <c r="I17" i="33"/>
  <c r="E214" i="26"/>
  <c r="V539" i="26"/>
  <c r="E540" i="26"/>
  <c r="AD113" i="28"/>
  <c r="AJ113" i="28"/>
  <c r="AJ215" i="28" s="1"/>
  <c r="AG113" i="28"/>
  <c r="AB113" i="28"/>
  <c r="AB215" i="28" s="1"/>
  <c r="AE113" i="28"/>
  <c r="AE215" i="28" s="1"/>
  <c r="AF113" i="28"/>
  <c r="L21" i="7"/>
  <c r="H21" i="7"/>
  <c r="J21" i="7"/>
  <c r="K21" i="7"/>
  <c r="I21" i="7"/>
  <c r="G21" i="7"/>
  <c r="J22" i="7"/>
  <c r="L22" i="7"/>
  <c r="G22" i="7"/>
  <c r="H22" i="7"/>
  <c r="I22" i="7"/>
  <c r="K22" i="7"/>
  <c r="L23" i="7"/>
  <c r="G23" i="7"/>
  <c r="K23" i="7"/>
  <c r="H23" i="7"/>
  <c r="I23" i="7"/>
  <c r="J23" i="7"/>
  <c r="K24" i="7"/>
  <c r="J24" i="7"/>
  <c r="L24" i="7"/>
  <c r="G24" i="7"/>
  <c r="H24" i="7"/>
  <c r="I24" i="7"/>
  <c r="H25" i="7"/>
  <c r="G25" i="7"/>
  <c r="I25" i="7"/>
  <c r="J25" i="7"/>
  <c r="L25" i="7"/>
  <c r="K25" i="7"/>
  <c r="I26" i="7"/>
  <c r="K26" i="7"/>
  <c r="G26" i="7"/>
  <c r="H26" i="7"/>
  <c r="L26" i="7"/>
  <c r="J26" i="7"/>
  <c r="AC113" i="28"/>
  <c r="AI112" i="28"/>
  <c r="AI116" i="28"/>
  <c r="AE114" i="28"/>
  <c r="AE115" i="28"/>
  <c r="AK112" i="28"/>
  <c r="AK116" i="28"/>
  <c r="AE112" i="28"/>
  <c r="AE116" i="28"/>
  <c r="P114" i="28"/>
  <c r="P115" i="28"/>
  <c r="AF114" i="28"/>
  <c r="AF115" i="28"/>
  <c r="P112" i="28"/>
  <c r="P116" i="28"/>
  <c r="AJ114" i="28"/>
  <c r="AJ115" i="28"/>
  <c r="AF112" i="28"/>
  <c r="AF116" i="28"/>
  <c r="AC112" i="28"/>
  <c r="AC116" i="28"/>
  <c r="AG114" i="28"/>
  <c r="AG115" i="28"/>
  <c r="AH114" i="28"/>
  <c r="AH115" i="28"/>
  <c r="AB114" i="28"/>
  <c r="AB115" i="28"/>
  <c r="AJ112" i="28"/>
  <c r="AJ116" i="28"/>
  <c r="AH112" i="28"/>
  <c r="AH116" i="28"/>
  <c r="AC114" i="28"/>
  <c r="AC115" i="28"/>
  <c r="AI114" i="28"/>
  <c r="AI115" i="28"/>
  <c r="AK114" i="28"/>
  <c r="AK115" i="28"/>
  <c r="AD114" i="28"/>
  <c r="AD115" i="28"/>
  <c r="AB112" i="28"/>
  <c r="AB116" i="28"/>
  <c r="AG112" i="28"/>
  <c r="AG116" i="28"/>
  <c r="AD112" i="28"/>
  <c r="AD116" i="28"/>
  <c r="P113" i="28"/>
  <c r="AI113" i="28"/>
  <c r="AK113" i="28"/>
  <c r="AH113" i="28"/>
  <c r="S38" i="26"/>
  <c r="E38" i="26" s="1"/>
  <c r="E475" i="26" l="1"/>
  <c r="V475" i="26" s="1"/>
  <c r="T117" i="30"/>
  <c r="U117" i="30"/>
  <c r="T116" i="30"/>
  <c r="U116" i="30"/>
  <c r="T115" i="30"/>
  <c r="U115" i="30"/>
  <c r="T123" i="30"/>
  <c r="U123" i="30"/>
  <c r="T127" i="30"/>
  <c r="U127" i="30"/>
  <c r="U118" i="30"/>
  <c r="T118" i="30"/>
  <c r="E606" i="26"/>
  <c r="V605" i="26"/>
  <c r="L17" i="33"/>
  <c r="AA26" i="7"/>
  <c r="K15" i="33"/>
  <c r="Z24" i="7"/>
  <c r="N14" i="33"/>
  <c r="AC23" i="7"/>
  <c r="M13" i="33"/>
  <c r="AB22" i="7"/>
  <c r="Z26" i="7"/>
  <c r="K17" i="33"/>
  <c r="N16" i="33"/>
  <c r="AC25" i="7"/>
  <c r="J16" i="33"/>
  <c r="Y25" i="7"/>
  <c r="J15" i="33"/>
  <c r="Y24" i="7"/>
  <c r="M14" i="33"/>
  <c r="AB23" i="7"/>
  <c r="J14" i="33"/>
  <c r="Y23" i="7"/>
  <c r="K13" i="33"/>
  <c r="Z22" i="7"/>
  <c r="J12" i="33"/>
  <c r="Y21" i="7"/>
  <c r="K12" i="33"/>
  <c r="Z21" i="7"/>
  <c r="L16" i="33"/>
  <c r="AA25" i="7"/>
  <c r="N15" i="33"/>
  <c r="AC24" i="7"/>
  <c r="L13" i="33"/>
  <c r="AA22" i="7"/>
  <c r="M12" i="33"/>
  <c r="AB21" i="7"/>
  <c r="J17" i="33"/>
  <c r="Y26" i="7"/>
  <c r="AD25" i="7"/>
  <c r="O16" i="33"/>
  <c r="K16" i="33"/>
  <c r="Z25" i="7"/>
  <c r="O15" i="33"/>
  <c r="AD24" i="7"/>
  <c r="L14" i="33"/>
  <c r="AA23" i="7"/>
  <c r="O14" i="33"/>
  <c r="AD23" i="7"/>
  <c r="Y22" i="7"/>
  <c r="L12" i="33"/>
  <c r="AA21" i="7"/>
  <c r="O12" i="33"/>
  <c r="AD21" i="7"/>
  <c r="AD26" i="7"/>
  <c r="O17" i="33"/>
  <c r="AB26" i="7"/>
  <c r="M17" i="33"/>
  <c r="N17" i="33"/>
  <c r="AC26" i="7"/>
  <c r="M16" i="33"/>
  <c r="AB25" i="7"/>
  <c r="L15" i="33"/>
  <c r="AA24" i="7"/>
  <c r="M15" i="33"/>
  <c r="AB24" i="7"/>
  <c r="K14" i="33"/>
  <c r="Z23" i="7"/>
  <c r="N13" i="33"/>
  <c r="AC22" i="7"/>
  <c r="O13" i="33"/>
  <c r="AD22" i="7"/>
  <c r="N12" i="33"/>
  <c r="AC21" i="7"/>
  <c r="AD215" i="28"/>
  <c r="V214" i="26"/>
  <c r="V540" i="26"/>
  <c r="E541" i="26"/>
  <c r="AG215" i="28"/>
  <c r="AF215" i="28"/>
  <c r="AG218" i="28"/>
  <c r="AC217" i="28"/>
  <c r="AC218" i="28"/>
  <c r="AK217" i="28"/>
  <c r="AJ218" i="28"/>
  <c r="AE217" i="28"/>
  <c r="AJ214" i="28"/>
  <c r="AE216" i="28"/>
  <c r="AC215" i="28"/>
  <c r="AI214" i="28"/>
  <c r="P215" i="28"/>
  <c r="AF217" i="28"/>
  <c r="AH217" i="28"/>
  <c r="AJ217" i="28"/>
  <c r="P217" i="28"/>
  <c r="AK218" i="28"/>
  <c r="AI218" i="28"/>
  <c r="AI215" i="28"/>
  <c r="AG214" i="28"/>
  <c r="AK216" i="28"/>
  <c r="AC216" i="28"/>
  <c r="AH216" i="28"/>
  <c r="AC214" i="28"/>
  <c r="AJ216" i="28"/>
  <c r="P216" i="28"/>
  <c r="AK214" i="28"/>
  <c r="AH215" i="28"/>
  <c r="AD218" i="28"/>
  <c r="AB218" i="28"/>
  <c r="AD217" i="28"/>
  <c r="AI217" i="28"/>
  <c r="AH218" i="28"/>
  <c r="AB217" i="28"/>
  <c r="AG217" i="28"/>
  <c r="AF218" i="28"/>
  <c r="P218" i="28"/>
  <c r="AE218" i="28"/>
  <c r="AK215" i="28"/>
  <c r="AD214" i="28"/>
  <c r="AB214" i="28"/>
  <c r="AD216" i="28"/>
  <c r="AI216" i="28"/>
  <c r="AH214" i="28"/>
  <c r="AB216" i="28"/>
  <c r="AG216" i="28"/>
  <c r="AF214" i="28"/>
  <c r="P214" i="28"/>
  <c r="AF216" i="28"/>
  <c r="AE214" i="28"/>
  <c r="R62" i="26"/>
  <c r="S58" i="26"/>
  <c r="T65" i="26"/>
  <c r="R54" i="26"/>
  <c r="R58" i="26"/>
  <c r="S54" i="26"/>
  <c r="T66" i="26"/>
  <c r="S62" i="26"/>
  <c r="T37" i="26"/>
  <c r="T33" i="26"/>
  <c r="T40" i="26"/>
  <c r="T36" i="26"/>
  <c r="T32" i="26"/>
  <c r="T39" i="26"/>
  <c r="T35" i="26"/>
  <c r="T38" i="26"/>
  <c r="T34" i="26"/>
  <c r="S39" i="26"/>
  <c r="T24" i="26"/>
  <c r="V27" i="26"/>
  <c r="L29" i="26"/>
  <c r="X32" i="26" s="1"/>
  <c r="V32" i="26" s="1"/>
  <c r="R32" i="26"/>
  <c r="E16" i="26"/>
  <c r="L42" i="26"/>
  <c r="T54" i="26"/>
  <c r="R27" i="26"/>
  <c r="R24" i="26"/>
  <c r="S66" i="26"/>
  <c r="J45" i="26"/>
  <c r="R33" i="26"/>
  <c r="R34" i="26"/>
  <c r="R36" i="26"/>
  <c r="R37" i="26"/>
  <c r="R35" i="26"/>
  <c r="AE97" i="3"/>
  <c r="AM97" i="3"/>
  <c r="AL97" i="3"/>
  <c r="AK97" i="3"/>
  <c r="AJ97" i="3"/>
  <c r="AI97" i="3"/>
  <c r="AH97" i="3"/>
  <c r="AG97" i="3"/>
  <c r="AF97" i="3"/>
  <c r="AM96" i="3"/>
  <c r="AL96" i="3"/>
  <c r="AK96" i="3"/>
  <c r="AJ96" i="3"/>
  <c r="AI96" i="3"/>
  <c r="AH96" i="3"/>
  <c r="AG96" i="3"/>
  <c r="AF96" i="3"/>
  <c r="AM95" i="3"/>
  <c r="AL95" i="3"/>
  <c r="AK95" i="3"/>
  <c r="AJ95" i="3"/>
  <c r="AI95" i="3"/>
  <c r="AH95" i="3"/>
  <c r="AG95" i="3"/>
  <c r="AF95" i="3"/>
  <c r="AM94" i="3"/>
  <c r="AL94" i="3"/>
  <c r="AK94" i="3"/>
  <c r="AJ94" i="3"/>
  <c r="AI94" i="3"/>
  <c r="AM93" i="3"/>
  <c r="AL93" i="3"/>
  <c r="AK93" i="3"/>
  <c r="AJ93" i="3"/>
  <c r="AM104" i="3"/>
  <c r="AL104" i="3"/>
  <c r="AK104" i="3"/>
  <c r="AJ104" i="3"/>
  <c r="AI104" i="3"/>
  <c r="AH104" i="3"/>
  <c r="AG104" i="3"/>
  <c r="AF104" i="3"/>
  <c r="AE104" i="3"/>
  <c r="AM103" i="3"/>
  <c r="AL103" i="3"/>
  <c r="AK103" i="3"/>
  <c r="AJ103" i="3"/>
  <c r="AI103" i="3"/>
  <c r="AH103" i="3"/>
  <c r="AM102" i="3"/>
  <c r="AL102" i="3"/>
  <c r="AK102" i="3"/>
  <c r="AJ102" i="3"/>
  <c r="AI102" i="3"/>
  <c r="AH102" i="3"/>
  <c r="AG102" i="3"/>
  <c r="AF102" i="3"/>
  <c r="AM101" i="3"/>
  <c r="AL101" i="3"/>
  <c r="AK101" i="3"/>
  <c r="AJ101" i="3"/>
  <c r="AI101" i="3"/>
  <c r="AH101" i="3"/>
  <c r="AG101" i="3"/>
  <c r="AF101" i="3"/>
  <c r="AM100" i="3"/>
  <c r="AL100" i="3"/>
  <c r="AK100" i="3"/>
  <c r="AJ100" i="3"/>
  <c r="AI100" i="3"/>
  <c r="AH100" i="3"/>
  <c r="AG100" i="3"/>
  <c r="AF100" i="3"/>
  <c r="AE100" i="3"/>
  <c r="AM106" i="3"/>
  <c r="AL106" i="3"/>
  <c r="AK106" i="3"/>
  <c r="AJ106" i="3"/>
  <c r="AI106" i="3"/>
  <c r="AH106" i="3"/>
  <c r="AG106" i="3"/>
  <c r="AF106" i="3"/>
  <c r="AE106" i="3"/>
  <c r="AD106" i="3"/>
  <c r="AM105" i="3"/>
  <c r="AL105" i="3"/>
  <c r="AK105" i="3"/>
  <c r="AJ105" i="3"/>
  <c r="AI105" i="3"/>
  <c r="AH105" i="3"/>
  <c r="AG105" i="3"/>
  <c r="AF105" i="3"/>
  <c r="AE105" i="3"/>
  <c r="AD105" i="3"/>
  <c r="AM99" i="3"/>
  <c r="AL99" i="3"/>
  <c r="AK99" i="3"/>
  <c r="AJ99" i="3"/>
  <c r="AI99" i="3"/>
  <c r="AH99" i="3"/>
  <c r="AG99" i="3"/>
  <c r="AF99" i="3"/>
  <c r="AE99" i="3"/>
  <c r="AD99" i="3"/>
  <c r="AM98" i="3"/>
  <c r="AL98" i="3"/>
  <c r="AK98" i="3"/>
  <c r="AJ98" i="3"/>
  <c r="AI98" i="3"/>
  <c r="AH98" i="3"/>
  <c r="AG98" i="3"/>
  <c r="AF98" i="3"/>
  <c r="AE98" i="3"/>
  <c r="AD98" i="3"/>
  <c r="AM92" i="3"/>
  <c r="AL92" i="3"/>
  <c r="AK92" i="3"/>
  <c r="AJ92" i="3"/>
  <c r="AI92" i="3"/>
  <c r="AH92" i="3"/>
  <c r="AG92" i="3"/>
  <c r="AF92" i="3"/>
  <c r="AE92" i="3"/>
  <c r="AD92" i="3"/>
  <c r="AM91" i="3"/>
  <c r="AL91" i="3"/>
  <c r="AK91" i="3"/>
  <c r="AJ91" i="3"/>
  <c r="AI91" i="3"/>
  <c r="AH91" i="3"/>
  <c r="AG91" i="3"/>
  <c r="AF91" i="3"/>
  <c r="AE91" i="3"/>
  <c r="AD91" i="3"/>
  <c r="AM90" i="3"/>
  <c r="AL90" i="3"/>
  <c r="AK90" i="3"/>
  <c r="AJ90" i="3"/>
  <c r="AI90" i="3"/>
  <c r="AH90" i="3"/>
  <c r="AG90" i="3"/>
  <c r="AF90" i="3"/>
  <c r="AE90" i="3"/>
  <c r="AD90" i="3"/>
  <c r="AM89" i="3"/>
  <c r="AL89" i="3"/>
  <c r="AK89" i="3"/>
  <c r="AJ89" i="3"/>
  <c r="AI89" i="3"/>
  <c r="AH89" i="3"/>
  <c r="AG89" i="3"/>
  <c r="AF89" i="3"/>
  <c r="AE89" i="3"/>
  <c r="AD89" i="3"/>
  <c r="AC106" i="3"/>
  <c r="AC105" i="3"/>
  <c r="AD104" i="3" s="1"/>
  <c r="AC104" i="3"/>
  <c r="AC103" i="3"/>
  <c r="AC102" i="3"/>
  <c r="AD103" i="3" s="1"/>
  <c r="AC101" i="3"/>
  <c r="AE103" i="3" s="1"/>
  <c r="AC100" i="3"/>
  <c r="AD101" i="3" s="1"/>
  <c r="AC99" i="3"/>
  <c r="AD100" i="3" s="1"/>
  <c r="AC98" i="3"/>
  <c r="AC97" i="3"/>
  <c r="AC96" i="3"/>
  <c r="AC95" i="3"/>
  <c r="AC94" i="3"/>
  <c r="AC93" i="3"/>
  <c r="AC92" i="3"/>
  <c r="AC91" i="3"/>
  <c r="AC90" i="3"/>
  <c r="AC89" i="3"/>
  <c r="S94" i="3"/>
  <c r="AH93" i="3" s="1"/>
  <c r="R94" i="3"/>
  <c r="AE93" i="3" s="1"/>
  <c r="AD94" i="3" s="1"/>
  <c r="AD93" i="3"/>
  <c r="E476" i="26" l="1"/>
  <c r="V476" i="26" s="1"/>
  <c r="E39" i="26"/>
  <c r="R39" i="26" s="1"/>
  <c r="X86" i="10"/>
  <c r="X88" i="10"/>
  <c r="N88" i="10" s="1"/>
  <c r="AG88" i="10" s="1"/>
  <c r="Y38" i="7"/>
  <c r="L78" i="7"/>
  <c r="L79" i="7"/>
  <c r="X83" i="10"/>
  <c r="N83" i="10" s="1"/>
  <c r="AG83" i="10" s="1"/>
  <c r="Y33" i="7"/>
  <c r="V606" i="26"/>
  <c r="E607" i="26"/>
  <c r="AE101" i="3"/>
  <c r="BA105" i="3" s="1"/>
  <c r="AZ95" i="3"/>
  <c r="AZ103" i="3"/>
  <c r="AZ92" i="3"/>
  <c r="AZ100" i="3"/>
  <c r="AZ89" i="3"/>
  <c r="AZ97" i="3"/>
  <c r="AZ105" i="3"/>
  <c r="AZ94" i="3"/>
  <c r="AZ102" i="3"/>
  <c r="AZ106" i="3"/>
  <c r="AZ91" i="3"/>
  <c r="AZ99" i="3"/>
  <c r="AZ98" i="3"/>
  <c r="AZ104" i="3"/>
  <c r="AZ93" i="3"/>
  <c r="AZ101" i="3"/>
  <c r="AZ90" i="3"/>
  <c r="AZ96" i="3"/>
  <c r="AO103" i="3"/>
  <c r="AO95" i="3"/>
  <c r="AO104" i="3"/>
  <c r="AO98" i="3"/>
  <c r="AO96" i="3"/>
  <c r="AO101" i="3"/>
  <c r="AO93" i="3"/>
  <c r="AO92" i="3"/>
  <c r="AO99" i="3"/>
  <c r="AO91" i="3"/>
  <c r="AO94" i="3"/>
  <c r="AO102" i="3"/>
  <c r="AO106" i="3"/>
  <c r="AO100" i="3"/>
  <c r="AO105" i="3"/>
  <c r="AO97" i="3"/>
  <c r="AO89" i="3"/>
  <c r="AO90" i="3"/>
  <c r="AX96" i="3"/>
  <c r="AX104" i="3"/>
  <c r="AX93" i="3"/>
  <c r="AX101" i="3"/>
  <c r="AX90" i="3"/>
  <c r="AX98" i="3"/>
  <c r="AX106" i="3"/>
  <c r="AX95" i="3"/>
  <c r="AX103" i="3"/>
  <c r="AX92" i="3"/>
  <c r="AX100" i="3"/>
  <c r="AX105" i="3"/>
  <c r="AX102" i="3"/>
  <c r="AX91" i="3"/>
  <c r="AX97" i="3"/>
  <c r="AX94" i="3"/>
  <c r="AX99" i="3"/>
  <c r="AX89" i="3"/>
  <c r="BE90" i="3"/>
  <c r="BE101" i="3"/>
  <c r="BE93" i="3"/>
  <c r="BE104" i="3"/>
  <c r="BE106" i="3"/>
  <c r="BE99" i="3"/>
  <c r="BE91" i="3"/>
  <c r="BE96" i="3"/>
  <c r="BE97" i="3"/>
  <c r="BE92" i="3"/>
  <c r="BE98" i="3"/>
  <c r="BE105" i="3"/>
  <c r="BE89" i="3"/>
  <c r="BE94" i="3"/>
  <c r="BE102" i="3"/>
  <c r="BE103" i="3"/>
  <c r="BE95" i="3"/>
  <c r="BE100" i="3"/>
  <c r="BD93" i="3"/>
  <c r="BD101" i="3"/>
  <c r="BD90" i="3"/>
  <c r="BD98" i="3"/>
  <c r="BD95" i="3"/>
  <c r="BD103" i="3"/>
  <c r="BD92" i="3"/>
  <c r="BD100" i="3"/>
  <c r="BD89" i="3"/>
  <c r="BD97" i="3"/>
  <c r="BD99" i="3"/>
  <c r="BD96" i="3"/>
  <c r="BD104" i="3"/>
  <c r="BD106" i="3"/>
  <c r="BD102" i="3"/>
  <c r="BD91" i="3"/>
  <c r="BD105" i="3"/>
  <c r="BD94" i="3"/>
  <c r="AY103" i="3"/>
  <c r="AY95" i="3"/>
  <c r="AY99" i="3"/>
  <c r="AY91" i="3"/>
  <c r="AY101" i="3"/>
  <c r="AY93" i="3"/>
  <c r="AY105" i="3"/>
  <c r="AY97" i="3"/>
  <c r="AY89" i="3"/>
  <c r="AY106" i="3"/>
  <c r="AY92" i="3"/>
  <c r="AY96" i="3"/>
  <c r="AY100" i="3"/>
  <c r="AY104" i="3"/>
  <c r="AY90" i="3"/>
  <c r="AY94" i="3"/>
  <c r="AY98" i="3"/>
  <c r="AY102" i="3"/>
  <c r="AP92" i="3"/>
  <c r="AP100" i="3"/>
  <c r="AP89" i="3"/>
  <c r="AP97" i="3"/>
  <c r="AP94" i="3"/>
  <c r="AP102" i="3"/>
  <c r="AP91" i="3"/>
  <c r="AP99" i="3"/>
  <c r="AP105" i="3"/>
  <c r="AP96" i="3"/>
  <c r="AP106" i="3"/>
  <c r="AP95" i="3"/>
  <c r="AP90" i="3"/>
  <c r="AP101" i="3"/>
  <c r="AP98" i="3"/>
  <c r="AP104" i="3"/>
  <c r="AP93" i="3"/>
  <c r="AP103" i="3"/>
  <c r="AR106" i="3"/>
  <c r="AR91" i="3"/>
  <c r="AR99" i="3"/>
  <c r="AR96" i="3"/>
  <c r="AR93" i="3"/>
  <c r="AR101" i="3"/>
  <c r="AR90" i="3"/>
  <c r="AR98" i="3"/>
  <c r="AR95" i="3"/>
  <c r="AR89" i="3"/>
  <c r="AR97" i="3"/>
  <c r="AR103" i="3"/>
  <c r="AR92" i="3"/>
  <c r="AR105" i="3"/>
  <c r="AR94" i="3"/>
  <c r="AR100" i="3"/>
  <c r="AR104" i="3"/>
  <c r="AR102" i="3"/>
  <c r="BF105" i="3"/>
  <c r="BF92" i="3"/>
  <c r="BF100" i="3"/>
  <c r="BF89" i="3"/>
  <c r="BF97" i="3"/>
  <c r="BF94" i="3"/>
  <c r="BF102" i="3"/>
  <c r="BF91" i="3"/>
  <c r="BF99" i="3"/>
  <c r="BF96" i="3"/>
  <c r="BF104" i="3"/>
  <c r="BF93" i="3"/>
  <c r="BF90" i="3"/>
  <c r="BF106" i="3"/>
  <c r="BF95" i="3"/>
  <c r="BF103" i="3"/>
  <c r="BF98" i="3"/>
  <c r="BF101" i="3"/>
  <c r="AQ99" i="3"/>
  <c r="AQ91" i="3"/>
  <c r="AQ95" i="3"/>
  <c r="AQ105" i="3"/>
  <c r="AQ97" i="3"/>
  <c r="AQ89" i="3"/>
  <c r="AQ103" i="3"/>
  <c r="AQ101" i="3"/>
  <c r="AQ93" i="3"/>
  <c r="AQ90" i="3"/>
  <c r="AQ92" i="3"/>
  <c r="AQ94" i="3"/>
  <c r="AQ96" i="3"/>
  <c r="AQ98" i="3"/>
  <c r="AQ100" i="3"/>
  <c r="AQ102" i="3"/>
  <c r="AQ104" i="3"/>
  <c r="AQ106" i="3"/>
  <c r="V541" i="26"/>
  <c r="E542" i="26"/>
  <c r="BI42" i="28"/>
  <c r="BI43" i="28"/>
  <c r="BI44" i="28"/>
  <c r="BI45" i="28"/>
  <c r="BI46" i="28"/>
  <c r="X38" i="26"/>
  <c r="V38" i="26" s="1"/>
  <c r="R38" i="26"/>
  <c r="S40" i="26"/>
  <c r="X37" i="26"/>
  <c r="V37" i="26" s="1"/>
  <c r="X36" i="26"/>
  <c r="V36" i="26" s="1"/>
  <c r="X34" i="26"/>
  <c r="V34" i="26" s="1"/>
  <c r="X31" i="26"/>
  <c r="X35" i="26"/>
  <c r="V35" i="26" s="1"/>
  <c r="X33" i="26"/>
  <c r="V33" i="26" s="1"/>
  <c r="X41" i="26"/>
  <c r="V41" i="26" s="1"/>
  <c r="V16" i="26"/>
  <c r="X42" i="26"/>
  <c r="V42" i="26" s="1"/>
  <c r="X39" i="26"/>
  <c r="V39" i="26" s="1"/>
  <c r="AF103" i="3"/>
  <c r="AD102" i="3"/>
  <c r="AG94" i="3"/>
  <c r="R104" i="3"/>
  <c r="E477" i="26" l="1"/>
  <c r="V477" i="26" s="1"/>
  <c r="BA99" i="3"/>
  <c r="L74" i="7"/>
  <c r="E40" i="26"/>
  <c r="R40" i="26" s="1"/>
  <c r="I74" i="7" s="1"/>
  <c r="L77" i="7"/>
  <c r="L75" i="7"/>
  <c r="L76" i="7"/>
  <c r="L80" i="7"/>
  <c r="BA93" i="3"/>
  <c r="BA92" i="3"/>
  <c r="BA89" i="3"/>
  <c r="BA94" i="3"/>
  <c r="BA106" i="3"/>
  <c r="BA103" i="3"/>
  <c r="BA102" i="3"/>
  <c r="BA96" i="3"/>
  <c r="BA98" i="3"/>
  <c r="BA104" i="3"/>
  <c r="BA90" i="3"/>
  <c r="BA97" i="3"/>
  <c r="AG103" i="3"/>
  <c r="BC100" i="3" s="1"/>
  <c r="AE102" i="3"/>
  <c r="BB102" i="3" s="1"/>
  <c r="BA91" i="3"/>
  <c r="BA101" i="3"/>
  <c r="BA95" i="3"/>
  <c r="BA100" i="3"/>
  <c r="E608" i="26"/>
  <c r="V608" i="26" s="1"/>
  <c r="V607" i="26"/>
  <c r="BC91" i="3"/>
  <c r="BB101" i="3"/>
  <c r="V542" i="26"/>
  <c r="E543" i="26"/>
  <c r="V543" i="26" s="1"/>
  <c r="E478" i="26" l="1"/>
  <c r="V478" i="26" s="1"/>
  <c r="BC102" i="3"/>
  <c r="AB37" i="7"/>
  <c r="AA87" i="10"/>
  <c r="N87" i="10" s="1"/>
  <c r="AG87" i="10" s="1"/>
  <c r="N73" i="7"/>
  <c r="N77" i="7"/>
  <c r="N72" i="7"/>
  <c r="N76" i="7"/>
  <c r="N71" i="7"/>
  <c r="N80" i="7"/>
  <c r="N74" i="7"/>
  <c r="N75" i="7"/>
  <c r="J80" i="7"/>
  <c r="I80" i="7"/>
  <c r="H80" i="7"/>
  <c r="J78" i="7"/>
  <c r="H78" i="7"/>
  <c r="I78" i="7"/>
  <c r="J76" i="7"/>
  <c r="I76" i="7"/>
  <c r="H76" i="7"/>
  <c r="H75" i="7"/>
  <c r="I77" i="7"/>
  <c r="H77" i="7"/>
  <c r="J77" i="7"/>
  <c r="J75" i="7"/>
  <c r="I75" i="7"/>
  <c r="H74" i="7"/>
  <c r="J74" i="7"/>
  <c r="O466" i="7"/>
  <c r="AD201" i="7"/>
  <c r="AE457" i="7"/>
  <c r="O478" i="7"/>
  <c r="O479" i="7"/>
  <c r="O474" i="7"/>
  <c r="O477" i="7"/>
  <c r="AD453" i="7"/>
  <c r="O417" i="7"/>
  <c r="AE465" i="7"/>
  <c r="AE468" i="7"/>
  <c r="O481" i="7"/>
  <c r="O483" i="7"/>
  <c r="O465" i="7"/>
  <c r="AE475" i="7"/>
  <c r="AE479" i="7"/>
  <c r="O475" i="7"/>
  <c r="O476" i="7"/>
  <c r="AD489" i="7"/>
  <c r="AE478" i="7"/>
  <c r="O273" i="7"/>
  <c r="AD237" i="7"/>
  <c r="AE467" i="7"/>
  <c r="AE483" i="7"/>
  <c r="O456" i="7"/>
  <c r="O471" i="7"/>
  <c r="AE469" i="7"/>
  <c r="AE480" i="7"/>
  <c r="O454" i="7"/>
  <c r="O237" i="7"/>
  <c r="AE454" i="7"/>
  <c r="AD309" i="7"/>
  <c r="AE476" i="7"/>
  <c r="AE455" i="7"/>
  <c r="O473" i="7"/>
  <c r="O463" i="7"/>
  <c r="O468" i="7"/>
  <c r="AD273" i="7"/>
  <c r="O489" i="7"/>
  <c r="AE456" i="7"/>
  <c r="AE459" i="7"/>
  <c r="O467" i="7"/>
  <c r="O459" i="7"/>
  <c r="O381" i="7"/>
  <c r="AE464" i="7"/>
  <c r="O461" i="7"/>
  <c r="O462" i="7"/>
  <c r="AE471" i="7"/>
  <c r="O469" i="7"/>
  <c r="O482" i="7"/>
  <c r="O455" i="7"/>
  <c r="O309" i="7"/>
  <c r="O345" i="7"/>
  <c r="AE482" i="7"/>
  <c r="O453" i="7"/>
  <c r="AE473" i="7"/>
  <c r="O460" i="7"/>
  <c r="O457" i="7"/>
  <c r="AD417" i="7"/>
  <c r="AE466" i="7"/>
  <c r="AE481" i="7"/>
  <c r="O480" i="7"/>
  <c r="AD345" i="7"/>
  <c r="AE460" i="7"/>
  <c r="AE472" i="7"/>
  <c r="AE461" i="7"/>
  <c r="O458" i="7"/>
  <c r="O470" i="7"/>
  <c r="O472" i="7"/>
  <c r="AE474" i="7"/>
  <c r="AE470" i="7"/>
  <c r="AE462" i="7"/>
  <c r="AE458" i="7"/>
  <c r="O464" i="7"/>
  <c r="AD381" i="7"/>
  <c r="AE463" i="7"/>
  <c r="AE477" i="7"/>
  <c r="O201" i="7"/>
  <c r="BB92" i="3"/>
  <c r="BB95" i="3"/>
  <c r="BC105" i="3"/>
  <c r="BC97" i="3"/>
  <c r="BC106" i="3"/>
  <c r="BC89" i="3"/>
  <c r="BC104" i="3"/>
  <c r="BC103" i="3"/>
  <c r="BB99" i="3"/>
  <c r="BC90" i="3"/>
  <c r="BC94" i="3"/>
  <c r="BC95" i="3"/>
  <c r="BC92" i="3"/>
  <c r="BC96" i="3"/>
  <c r="BC98" i="3"/>
  <c r="BC93" i="3"/>
  <c r="BC99" i="3"/>
  <c r="BC101" i="3"/>
  <c r="N14" i="28"/>
  <c r="N12" i="28"/>
  <c r="BB103" i="3"/>
  <c r="BB89" i="3"/>
  <c r="BB90" i="3"/>
  <c r="BB96" i="3"/>
  <c r="BB94" i="3"/>
  <c r="BB106" i="3"/>
  <c r="BB105" i="3"/>
  <c r="BB93" i="3"/>
  <c r="BB91" i="3"/>
  <c r="BB97" i="3"/>
  <c r="BB100" i="3"/>
  <c r="BB98" i="3"/>
  <c r="BB104" i="3"/>
  <c r="N11" i="28"/>
  <c r="H72" i="7"/>
  <c r="I79" i="7"/>
  <c r="J79" i="7"/>
  <c r="H79" i="7"/>
  <c r="AN78" i="18"/>
  <c r="AJ79" i="18"/>
  <c r="AJ71" i="18"/>
  <c r="I165" i="7" s="1"/>
  <c r="AL71" i="18"/>
  <c r="AL80" i="18"/>
  <c r="AN80" i="18"/>
  <c r="AJ80" i="18"/>
  <c r="AL78" i="18"/>
  <c r="AN71" i="18"/>
  <c r="P165" i="7" s="1"/>
  <c r="AL79" i="18"/>
  <c r="AN79" i="18"/>
  <c r="AJ78" i="18"/>
  <c r="O165" i="7"/>
  <c r="N10" i="28"/>
  <c r="X40" i="26"/>
  <c r="V40" i="26" s="1"/>
  <c r="L72" i="7" s="1"/>
  <c r="L73" i="7"/>
  <c r="G110" i="30" l="1"/>
  <c r="I110" i="30" s="1"/>
  <c r="T110" i="30" s="1"/>
  <c r="G108" i="30"/>
  <c r="I108" i="30" s="1"/>
  <c r="N30" i="33"/>
  <c r="N218" i="28"/>
  <c r="G101" i="30"/>
  <c r="N28" i="33"/>
  <c r="N216" i="28"/>
  <c r="N27" i="33"/>
  <c r="N215" i="28"/>
  <c r="N214" i="28"/>
  <c r="N26" i="33"/>
  <c r="L71" i="7"/>
  <c r="F29" i="18"/>
  <c r="F61" i="18" s="1"/>
  <c r="O21" i="18"/>
  <c r="O53" i="18" s="1"/>
  <c r="O33" i="18"/>
  <c r="O65" i="18" s="1"/>
  <c r="O36" i="18"/>
  <c r="O68" i="18" s="1"/>
  <c r="O24" i="18"/>
  <c r="O56" i="18" s="1"/>
  <c r="O11" i="18"/>
  <c r="O12" i="18"/>
  <c r="O34" i="18"/>
  <c r="O66" i="18" s="1"/>
  <c r="O8" i="18"/>
  <c r="O26" i="18"/>
  <c r="O58" i="18" s="1"/>
  <c r="O17" i="18"/>
  <c r="O19" i="18"/>
  <c r="O51" i="18" s="1"/>
  <c r="O20" i="18"/>
  <c r="O52" i="18" s="1"/>
  <c r="O15" i="18"/>
  <c r="O16" i="18"/>
  <c r="O35" i="18"/>
  <c r="O67" i="18" s="1"/>
  <c r="O10" i="18"/>
  <c r="O13" i="18"/>
  <c r="O28" i="18"/>
  <c r="O60" i="18" s="1"/>
  <c r="O27" i="18"/>
  <c r="O59" i="18" s="1"/>
  <c r="O31" i="18"/>
  <c r="O63" i="18" s="1"/>
  <c r="O14" i="18"/>
  <c r="O23" i="18"/>
  <c r="O55" i="18" s="1"/>
  <c r="O32" i="18"/>
  <c r="O64" i="18" s="1"/>
  <c r="O29" i="18"/>
  <c r="O61" i="18" s="1"/>
  <c r="O9" i="18"/>
  <c r="O22" i="18"/>
  <c r="O54" i="18" s="1"/>
  <c r="O25" i="18"/>
  <c r="O57" i="18" s="1"/>
  <c r="O30" i="18"/>
  <c r="O62" i="18" s="1"/>
  <c r="O18" i="18"/>
  <c r="O50" i="18" s="1"/>
  <c r="O7" i="18"/>
  <c r="J22" i="18"/>
  <c r="J54" i="18" s="1"/>
  <c r="G19" i="18"/>
  <c r="G51" i="18" s="1"/>
  <c r="E31" i="18"/>
  <c r="E63" i="18" s="1"/>
  <c r="I27" i="18"/>
  <c r="I59" i="18" s="1"/>
  <c r="AF17" i="18"/>
  <c r="AF49" i="18" s="1"/>
  <c r="K31" i="18"/>
  <c r="K63" i="18" s="1"/>
  <c r="X36" i="18"/>
  <c r="X68" i="18" s="1"/>
  <c r="H27" i="18"/>
  <c r="H59" i="18" s="1"/>
  <c r="M26" i="18"/>
  <c r="M58" i="18" s="1"/>
  <c r="L18" i="18"/>
  <c r="L50" i="18" s="1"/>
  <c r="P30" i="18"/>
  <c r="P62" i="18" s="1"/>
  <c r="J31" i="18"/>
  <c r="J63" i="18" s="1"/>
  <c r="H25" i="18"/>
  <c r="H57" i="18" s="1"/>
  <c r="E22" i="18"/>
  <c r="E54" i="18" s="1"/>
  <c r="P20" i="18"/>
  <c r="P52" i="18" s="1"/>
  <c r="E27" i="18"/>
  <c r="E59" i="18" s="1"/>
  <c r="K24" i="18"/>
  <c r="K56" i="18" s="1"/>
  <c r="N33" i="18"/>
  <c r="N65" i="18" s="1"/>
  <c r="P25" i="18"/>
  <c r="P57" i="18" s="1"/>
  <c r="M24" i="18"/>
  <c r="M56" i="18" s="1"/>
  <c r="K36" i="18"/>
  <c r="K68" i="18" s="1"/>
  <c r="L26" i="18"/>
  <c r="L58" i="18" s="1"/>
  <c r="M18" i="18"/>
  <c r="M50" i="18" s="1"/>
  <c r="E25" i="18"/>
  <c r="E57" i="18" s="1"/>
  <c r="E30" i="18"/>
  <c r="E62" i="18" s="1"/>
  <c r="E28" i="18"/>
  <c r="E60" i="18" s="1"/>
  <c r="E29" i="18"/>
  <c r="E61" i="18" s="1"/>
  <c r="G26" i="18"/>
  <c r="G58" i="18" s="1"/>
  <c r="M25" i="18"/>
  <c r="M57" i="18" s="1"/>
  <c r="AG9" i="18"/>
  <c r="AG41" i="18" s="1"/>
  <c r="M36" i="18"/>
  <c r="M68" i="18" s="1"/>
  <c r="K20" i="18"/>
  <c r="K52" i="18" s="1"/>
  <c r="K25" i="18"/>
  <c r="K57" i="18" s="1"/>
  <c r="H33" i="18"/>
  <c r="H65" i="18" s="1"/>
  <c r="N28" i="18"/>
  <c r="N60" i="18" s="1"/>
  <c r="X7" i="18"/>
  <c r="X39" i="18" s="1"/>
  <c r="H23" i="18"/>
  <c r="H55" i="18" s="1"/>
  <c r="G30" i="18"/>
  <c r="G62" i="18" s="1"/>
  <c r="J30" i="18"/>
  <c r="J62" i="18" s="1"/>
  <c r="N30" i="18"/>
  <c r="N62" i="18" s="1"/>
  <c r="P34" i="18"/>
  <c r="P66" i="18" s="1"/>
  <c r="I24" i="18"/>
  <c r="I56" i="18" s="1"/>
  <c r="K30" i="18"/>
  <c r="K62" i="18" s="1"/>
  <c r="G33" i="18"/>
  <c r="G65" i="18" s="1"/>
  <c r="L31" i="18"/>
  <c r="L63" i="18" s="1"/>
  <c r="H32" i="18"/>
  <c r="H64" i="18" s="1"/>
  <c r="K32" i="18"/>
  <c r="K64" i="18" s="1"/>
  <c r="J23" i="18"/>
  <c r="J55" i="18" s="1"/>
  <c r="P7" i="18"/>
  <c r="P39" i="18" s="1"/>
  <c r="R9" i="18"/>
  <c r="R41" i="18" s="1"/>
  <c r="P33" i="18"/>
  <c r="P65" i="18" s="1"/>
  <c r="AA18" i="18"/>
  <c r="AA50" i="18" s="1"/>
  <c r="V17" i="18"/>
  <c r="V49" i="18" s="1"/>
  <c r="AE7" i="18"/>
  <c r="AE39" i="18" s="1"/>
  <c r="T25" i="18"/>
  <c r="T57" i="18" s="1"/>
  <c r="X35" i="18"/>
  <c r="X67" i="18" s="1"/>
  <c r="V10" i="18"/>
  <c r="V42" i="18" s="1"/>
  <c r="AE11" i="18"/>
  <c r="AE43" i="18" s="1"/>
  <c r="AB12" i="18"/>
  <c r="AB44" i="18" s="1"/>
  <c r="AE23" i="18"/>
  <c r="AE55" i="18" s="1"/>
  <c r="AD18" i="18"/>
  <c r="AD50" i="18" s="1"/>
  <c r="Q25" i="18"/>
  <c r="Q57" i="18" s="1"/>
  <c r="AH30" i="18"/>
  <c r="AH62" i="18" s="1"/>
  <c r="X25" i="18"/>
  <c r="X57" i="18" s="1"/>
  <c r="Y22" i="18"/>
  <c r="Y54" i="18" s="1"/>
  <c r="AF9" i="18"/>
  <c r="AF41" i="18" s="1"/>
  <c r="AA28" i="18"/>
  <c r="AA60" i="18" s="1"/>
  <c r="AF10" i="18"/>
  <c r="AF42" i="18" s="1"/>
  <c r="N31" i="18"/>
  <c r="N63" i="18" s="1"/>
  <c r="AE12" i="18"/>
  <c r="AE44" i="18" s="1"/>
  <c r="K21" i="18"/>
  <c r="K53" i="18" s="1"/>
  <c r="U13" i="18"/>
  <c r="U45" i="18" s="1"/>
  <c r="N29" i="18"/>
  <c r="N61" i="18" s="1"/>
  <c r="V26" i="18"/>
  <c r="V58" i="18" s="1"/>
  <c r="R15" i="18"/>
  <c r="R47" i="18" s="1"/>
  <c r="S12" i="18"/>
  <c r="S44" i="18" s="1"/>
  <c r="Z28" i="18"/>
  <c r="AE32" i="18"/>
  <c r="AE64" i="18" s="1"/>
  <c r="R18" i="18"/>
  <c r="R50" i="18" s="1"/>
  <c r="AH14" i="18"/>
  <c r="AH46" i="18" s="1"/>
  <c r="R33" i="18"/>
  <c r="R65" i="18" s="1"/>
  <c r="AC12" i="18"/>
  <c r="AC44" i="18" s="1"/>
  <c r="AH18" i="18"/>
  <c r="AH50" i="18" s="1"/>
  <c r="X34" i="18"/>
  <c r="X66" i="18" s="1"/>
  <c r="V34" i="18"/>
  <c r="V66" i="18" s="1"/>
  <c r="Q29" i="18"/>
  <c r="Q61" i="18" s="1"/>
  <c r="X12" i="18"/>
  <c r="X44" i="18" s="1"/>
  <c r="V23" i="18"/>
  <c r="V55" i="18" s="1"/>
  <c r="AG27" i="18"/>
  <c r="AG59" i="18" s="1"/>
  <c r="AB36" i="18"/>
  <c r="AB68" i="18" s="1"/>
  <c r="Q33" i="18"/>
  <c r="Q65" i="18" s="1"/>
  <c r="Z14" i="18"/>
  <c r="Z46" i="18" s="1"/>
  <c r="W13" i="18"/>
  <c r="W45" i="18" s="1"/>
  <c r="W23" i="18"/>
  <c r="W55" i="18" s="1"/>
  <c r="AG15" i="18"/>
  <c r="AG47" i="18" s="1"/>
  <c r="U26" i="18"/>
  <c r="U58" i="18" s="1"/>
  <c r="AE21" i="18"/>
  <c r="AE53" i="18" s="1"/>
  <c r="AG26" i="18"/>
  <c r="AG58" i="18" s="1"/>
  <c r="Z35" i="18"/>
  <c r="Z67" i="18" s="1"/>
  <c r="T22" i="18"/>
  <c r="AH26" i="18"/>
  <c r="AH58" i="18" s="1"/>
  <c r="L33" i="18"/>
  <c r="L65" i="18" s="1"/>
  <c r="U29" i="18"/>
  <c r="U61" i="18" s="1"/>
  <c r="I22" i="18"/>
  <c r="I54" i="18" s="1"/>
  <c r="Y10" i="18"/>
  <c r="Y42" i="18" s="1"/>
  <c r="E32" i="18"/>
  <c r="E64" i="18" s="1"/>
  <c r="W12" i="18"/>
  <c r="W44" i="18" s="1"/>
  <c r="K35" i="18"/>
  <c r="K67" i="18" s="1"/>
  <c r="L25" i="18"/>
  <c r="L57" i="18" s="1"/>
  <c r="Q14" i="18"/>
  <c r="Q46" i="18" s="1"/>
  <c r="AH28" i="18"/>
  <c r="AH60" i="18" s="1"/>
  <c r="AD7" i="18"/>
  <c r="AD39" i="18" s="1"/>
  <c r="T20" i="18"/>
  <c r="T52" i="18" s="1"/>
  <c r="AH19" i="18"/>
  <c r="AH51" i="18" s="1"/>
  <c r="U21" i="18"/>
  <c r="U53" i="18" s="1"/>
  <c r="F22" i="18"/>
  <c r="F54" i="18" s="1"/>
  <c r="T23" i="18"/>
  <c r="T55" i="18" s="1"/>
  <c r="J28" i="18"/>
  <c r="J60" i="18" s="1"/>
  <c r="E23" i="18"/>
  <c r="E55" i="18" s="1"/>
  <c r="P28" i="18"/>
  <c r="P60" i="18" s="1"/>
  <c r="N35" i="18"/>
  <c r="N67" i="18" s="1"/>
  <c r="N18" i="18"/>
  <c r="N50" i="18" s="1"/>
  <c r="I18" i="18"/>
  <c r="I50" i="18" s="1"/>
  <c r="F34" i="18"/>
  <c r="F66" i="18" s="1"/>
  <c r="H35" i="18"/>
  <c r="H67" i="18" s="1"/>
  <c r="V18" i="18"/>
  <c r="V50" i="18" s="1"/>
  <c r="G28" i="18"/>
  <c r="G60" i="18" s="1"/>
  <c r="J18" i="18"/>
  <c r="J50" i="18" s="1"/>
  <c r="L28" i="18"/>
  <c r="L60" i="18" s="1"/>
  <c r="AA11" i="18"/>
  <c r="AA43" i="18" s="1"/>
  <c r="AD13" i="18"/>
  <c r="AD45" i="18" s="1"/>
  <c r="R23" i="18"/>
  <c r="R55" i="18" s="1"/>
  <c r="S14" i="18"/>
  <c r="S46" i="18" s="1"/>
  <c r="Q13" i="18"/>
  <c r="Q45" i="18" s="1"/>
  <c r="AF26" i="18"/>
  <c r="AF58" i="18" s="1"/>
  <c r="AD29" i="18"/>
  <c r="AD61" i="18" s="1"/>
  <c r="AC22" i="18"/>
  <c r="AC54" i="18" s="1"/>
  <c r="Q19" i="18"/>
  <c r="V32" i="18"/>
  <c r="V64" i="18" s="1"/>
  <c r="W33" i="18"/>
  <c r="W65" i="18" s="1"/>
  <c r="AF16" i="18"/>
  <c r="AF48" i="18" s="1"/>
  <c r="AD28" i="18"/>
  <c r="AD60" i="18" s="1"/>
  <c r="V25" i="18"/>
  <c r="V57" i="18" s="1"/>
  <c r="U19" i="18"/>
  <c r="U51" i="18" s="1"/>
  <c r="V19" i="18"/>
  <c r="V51" i="18" s="1"/>
  <c r="AC15" i="18"/>
  <c r="AC47" i="18" s="1"/>
  <c r="Y36" i="18"/>
  <c r="Y68" i="18" s="1"/>
  <c r="Z30" i="18"/>
  <c r="Z62" i="18" s="1"/>
  <c r="AG29" i="18"/>
  <c r="AG61" i="18" s="1"/>
  <c r="V13" i="18"/>
  <c r="V45" i="18" s="1"/>
  <c r="AH10" i="18"/>
  <c r="AH42" i="18" s="1"/>
  <c r="W22" i="18"/>
  <c r="W54" i="18" s="1"/>
  <c r="AG11" i="18"/>
  <c r="AG43" i="18" s="1"/>
  <c r="AG22" i="18"/>
  <c r="AG54" i="18" s="1"/>
  <c r="W26" i="18"/>
  <c r="W58" i="18" s="1"/>
  <c r="AG16" i="18"/>
  <c r="AG48" i="18" s="1"/>
  <c r="Z27" i="18"/>
  <c r="Z59" i="18" s="1"/>
  <c r="AF32" i="18"/>
  <c r="AF64" i="18" s="1"/>
  <c r="AB28" i="18"/>
  <c r="AB60" i="18" s="1"/>
  <c r="Z25" i="18"/>
  <c r="Z57" i="18" s="1"/>
  <c r="U35" i="18"/>
  <c r="U67" i="18" s="1"/>
  <c r="X27" i="18"/>
  <c r="X59" i="18" s="1"/>
  <c r="Z11" i="18"/>
  <c r="Z43" i="18" s="1"/>
  <c r="AE9" i="18"/>
  <c r="AE41" i="18" s="1"/>
  <c r="AF22" i="18"/>
  <c r="AF54" i="18" s="1"/>
  <c r="AD9" i="18"/>
  <c r="AD41" i="18" s="1"/>
  <c r="T27" i="18"/>
  <c r="T59" i="18" s="1"/>
  <c r="AC21" i="18"/>
  <c r="AC53" i="18" s="1"/>
  <c r="T9" i="18"/>
  <c r="T41" i="18" s="1"/>
  <c r="AA12" i="18"/>
  <c r="AA44" i="18" s="1"/>
  <c r="AC35" i="18"/>
  <c r="AC67" i="18" s="1"/>
  <c r="N25" i="18"/>
  <c r="N57" i="18" s="1"/>
  <c r="F33" i="18"/>
  <c r="F65" i="18" s="1"/>
  <c r="J19" i="18"/>
  <c r="J51" i="18" s="1"/>
  <c r="S15" i="18"/>
  <c r="S47" i="18" s="1"/>
  <c r="Z15" i="18"/>
  <c r="Z47" i="18" s="1"/>
  <c r="L22" i="18"/>
  <c r="L54" i="18" s="1"/>
  <c r="J25" i="18"/>
  <c r="J57" i="18" s="1"/>
  <c r="U20" i="18"/>
  <c r="U52" i="18" s="1"/>
  <c r="E26" i="18"/>
  <c r="E58" i="18" s="1"/>
  <c r="H31" i="18"/>
  <c r="H63" i="18" s="1"/>
  <c r="H30" i="18"/>
  <c r="H62" i="18" s="1"/>
  <c r="H36" i="18"/>
  <c r="H68" i="18" s="1"/>
  <c r="P19" i="18"/>
  <c r="P51" i="18" s="1"/>
  <c r="N22" i="18"/>
  <c r="N54" i="18" s="1"/>
  <c r="V12" i="18"/>
  <c r="V44" i="18" s="1"/>
  <c r="N36" i="18"/>
  <c r="N68" i="18" s="1"/>
  <c r="M23" i="18"/>
  <c r="M55" i="18" s="1"/>
  <c r="E35" i="18"/>
  <c r="E67" i="18" s="1"/>
  <c r="M34" i="18"/>
  <c r="M66" i="18" s="1"/>
  <c r="G21" i="18"/>
  <c r="G53" i="18" s="1"/>
  <c r="AH11" i="18"/>
  <c r="AH43" i="18" s="1"/>
  <c r="AC8" i="18"/>
  <c r="AC40" i="18" s="1"/>
  <c r="Q36" i="18"/>
  <c r="Q68" i="18" s="1"/>
  <c r="Y24" i="18"/>
  <c r="Y56" i="18" s="1"/>
  <c r="AF25" i="18"/>
  <c r="AF57" i="18" s="1"/>
  <c r="AG36" i="18"/>
  <c r="AG68" i="18" s="1"/>
  <c r="AF35" i="18"/>
  <c r="AF67" i="18" s="1"/>
  <c r="Y26" i="18"/>
  <c r="Y58" i="18" s="1"/>
  <c r="W30" i="18"/>
  <c r="W62" i="18" s="1"/>
  <c r="V7" i="18"/>
  <c r="V39" i="18" s="1"/>
  <c r="Y21" i="18"/>
  <c r="Y53" i="18" s="1"/>
  <c r="AD23" i="18"/>
  <c r="AD55" i="18" s="1"/>
  <c r="AD36" i="18"/>
  <c r="AD68" i="18" s="1"/>
  <c r="Z12" i="18"/>
  <c r="Z44" i="18" s="1"/>
  <c r="AB16" i="18"/>
  <c r="AB48" i="18" s="1"/>
  <c r="V30" i="18"/>
  <c r="V62" i="18" s="1"/>
  <c r="AG12" i="18"/>
  <c r="AG44" i="18" s="1"/>
  <c r="R35" i="18"/>
  <c r="R67" i="18" s="1"/>
  <c r="AC24" i="18"/>
  <c r="AC56" i="18" s="1"/>
  <c r="AE22" i="18"/>
  <c r="AE54" i="18" s="1"/>
  <c r="R16" i="18"/>
  <c r="R48" i="18" s="1"/>
  <c r="AB14" i="18"/>
  <c r="AB46" i="18" s="1"/>
  <c r="R30" i="18"/>
  <c r="R62" i="18" s="1"/>
  <c r="Y34" i="18"/>
  <c r="Y66" i="18" s="1"/>
  <c r="AF8" i="18"/>
  <c r="AF40" i="18" s="1"/>
  <c r="W27" i="18"/>
  <c r="W59" i="18" s="1"/>
  <c r="AB35" i="18"/>
  <c r="AB67" i="18" s="1"/>
  <c r="AE31" i="18"/>
  <c r="AE63" i="18" s="1"/>
  <c r="X26" i="18"/>
  <c r="AB11" i="18"/>
  <c r="AB43" i="18" s="1"/>
  <c r="W35" i="18"/>
  <c r="W67" i="18" s="1"/>
  <c r="K19" i="18"/>
  <c r="K51" i="18" s="1"/>
  <c r="F23" i="18"/>
  <c r="F55" i="18" s="1"/>
  <c r="M28" i="18"/>
  <c r="M60" i="18" s="1"/>
  <c r="L36" i="18"/>
  <c r="L68" i="18" s="1"/>
  <c r="P22" i="18"/>
  <c r="P54" i="18" s="1"/>
  <c r="K29" i="18"/>
  <c r="K61" i="18" s="1"/>
  <c r="J21" i="18"/>
  <c r="J53" i="18" s="1"/>
  <c r="J29" i="18"/>
  <c r="J61" i="18" s="1"/>
  <c r="N24" i="18"/>
  <c r="N56" i="18" s="1"/>
  <c r="Y7" i="18"/>
  <c r="Y39" i="18" s="1"/>
  <c r="J32" i="18"/>
  <c r="J64" i="18" s="1"/>
  <c r="K18" i="18"/>
  <c r="K50" i="18" s="1"/>
  <c r="S11" i="18"/>
  <c r="S43" i="18" s="1"/>
  <c r="F19" i="18"/>
  <c r="F51" i="18" s="1"/>
  <c r="W10" i="18"/>
  <c r="W42" i="18" s="1"/>
  <c r="Z33" i="18"/>
  <c r="Z65" i="18" s="1"/>
  <c r="AC23" i="18"/>
  <c r="AC55" i="18" s="1"/>
  <c r="U27" i="18"/>
  <c r="U59" i="18" s="1"/>
  <c r="V29" i="18"/>
  <c r="V61" i="18" s="1"/>
  <c r="T8" i="18"/>
  <c r="T40" i="18" s="1"/>
  <c r="AG24" i="18"/>
  <c r="AG56" i="18" s="1"/>
  <c r="AE33" i="18"/>
  <c r="S9" i="18"/>
  <c r="S41" i="18" s="1"/>
  <c r="U9" i="18"/>
  <c r="U41" i="18" s="1"/>
  <c r="AG20" i="18"/>
  <c r="AG52" i="18" s="1"/>
  <c r="AB30" i="18"/>
  <c r="AC33" i="18"/>
  <c r="AC65" i="18" s="1"/>
  <c r="T21" i="18"/>
  <c r="T53" i="18" s="1"/>
  <c r="U24" i="18"/>
  <c r="U56" i="18" s="1"/>
  <c r="R34" i="18"/>
  <c r="R66" i="18" s="1"/>
  <c r="AF21" i="18"/>
  <c r="AF53" i="18" s="1"/>
  <c r="AE29" i="18"/>
  <c r="AE61" i="18" s="1"/>
  <c r="AE24" i="18"/>
  <c r="AE56" i="18" s="1"/>
  <c r="U30" i="18"/>
  <c r="U62" i="18" s="1"/>
  <c r="S16" i="18"/>
  <c r="S48" i="18" s="1"/>
  <c r="U33" i="18"/>
  <c r="U65" i="18" s="1"/>
  <c r="S27" i="18"/>
  <c r="S59" i="18" s="1"/>
  <c r="AH34" i="18"/>
  <c r="AH66" i="18" s="1"/>
  <c r="AB21" i="18"/>
  <c r="AB53" i="18" s="1"/>
  <c r="AA8" i="18"/>
  <c r="AA40" i="18" s="1"/>
  <c r="S24" i="18"/>
  <c r="S56" i="18" s="1"/>
  <c r="R29" i="18"/>
  <c r="R61" i="18" s="1"/>
  <c r="T12" i="18"/>
  <c r="T44" i="18" s="1"/>
  <c r="U8" i="18"/>
  <c r="U40" i="18" s="1"/>
  <c r="R24" i="18"/>
  <c r="R56" i="18" s="1"/>
  <c r="K33" i="18"/>
  <c r="K65" i="18" s="1"/>
  <c r="T10" i="18"/>
  <c r="T42" i="18" s="1"/>
  <c r="Y14" i="18"/>
  <c r="Y46" i="18" s="1"/>
  <c r="T7" i="18"/>
  <c r="T39" i="18" s="1"/>
  <c r="U23" i="18"/>
  <c r="S20" i="18"/>
  <c r="S52" i="18" s="1"/>
  <c r="AD22" i="18"/>
  <c r="AD54" i="18" s="1"/>
  <c r="AB27" i="18"/>
  <c r="AB59" i="18" s="1"/>
  <c r="AH8" i="18"/>
  <c r="AH40" i="18" s="1"/>
  <c r="Y33" i="18"/>
  <c r="Y65" i="18" s="1"/>
  <c r="W19" i="18"/>
  <c r="W51" i="18" s="1"/>
  <c r="AA36" i="18"/>
  <c r="AA68" i="18" s="1"/>
  <c r="AG21" i="18"/>
  <c r="AG53" i="18" s="1"/>
  <c r="J20" i="18"/>
  <c r="J52" i="18" s="1"/>
  <c r="AD33" i="18"/>
  <c r="AD65" i="18" s="1"/>
  <c r="AD11" i="18"/>
  <c r="AD43" i="18" s="1"/>
  <c r="AF29" i="18"/>
  <c r="AF61" i="18" s="1"/>
  <c r="H22" i="18"/>
  <c r="H54" i="18" s="1"/>
  <c r="F18" i="18"/>
  <c r="F50" i="18" s="1"/>
  <c r="M27" i="18"/>
  <c r="M59" i="18" s="1"/>
  <c r="V11" i="18"/>
  <c r="V43" i="18" s="1"/>
  <c r="AB7" i="18"/>
  <c r="AB39" i="18" s="1"/>
  <c r="AF27" i="18"/>
  <c r="AF59" i="18" s="1"/>
  <c r="AF34" i="18"/>
  <c r="AF7" i="18"/>
  <c r="AF39" i="18" s="1"/>
  <c r="W24" i="18"/>
  <c r="W56" i="18" s="1"/>
  <c r="R17" i="18"/>
  <c r="R49" i="18" s="1"/>
  <c r="Z34" i="18"/>
  <c r="Z66" i="18" s="1"/>
  <c r="AE8" i="18"/>
  <c r="AE40" i="18" s="1"/>
  <c r="I33" i="18"/>
  <c r="I65" i="18" s="1"/>
  <c r="N20" i="18"/>
  <c r="N52" i="18" s="1"/>
  <c r="R10" i="18"/>
  <c r="R42" i="18" s="1"/>
  <c r="Y16" i="18"/>
  <c r="Y48" i="18" s="1"/>
  <c r="AA23" i="18"/>
  <c r="AA55" i="18" s="1"/>
  <c r="Z29" i="18"/>
  <c r="Z61" i="18" s="1"/>
  <c r="Y25" i="18"/>
  <c r="Y57" i="18" s="1"/>
  <c r="AG13" i="18"/>
  <c r="AG45" i="18" s="1"/>
  <c r="Q24" i="18"/>
  <c r="Q56" i="18" s="1"/>
  <c r="AE18" i="18"/>
  <c r="AE50" i="18" s="1"/>
  <c r="T32" i="18"/>
  <c r="T64" i="18" s="1"/>
  <c r="AG28" i="18"/>
  <c r="AG60" i="18" s="1"/>
  <c r="AF24" i="18"/>
  <c r="AF56" i="18" s="1"/>
  <c r="AC17" i="18"/>
  <c r="AC49" i="18" s="1"/>
  <c r="Y11" i="18"/>
  <c r="Y43" i="18" s="1"/>
  <c r="L20" i="18"/>
  <c r="L52" i="18" s="1"/>
  <c r="I28" i="18"/>
  <c r="I60" i="18" s="1"/>
  <c r="X14" i="18"/>
  <c r="X46" i="18" s="1"/>
  <c r="H20" i="18"/>
  <c r="H52" i="18" s="1"/>
  <c r="K26" i="18"/>
  <c r="K58" i="18" s="1"/>
  <c r="U18" i="18"/>
  <c r="U50" i="18" s="1"/>
  <c r="AB8" i="18"/>
  <c r="AB40" i="18" s="1"/>
  <c r="X13" i="18"/>
  <c r="X45" i="18" s="1"/>
  <c r="H26" i="18"/>
  <c r="H58" i="18" s="1"/>
  <c r="T29" i="18"/>
  <c r="T61" i="18" s="1"/>
  <c r="Y23" i="18"/>
  <c r="Y55" i="18" s="1"/>
  <c r="AB13" i="18"/>
  <c r="AB45" i="18" s="1"/>
  <c r="AH31" i="18"/>
  <c r="AH63" i="18" s="1"/>
  <c r="AA22" i="18"/>
  <c r="AA54" i="18" s="1"/>
  <c r="U36" i="18"/>
  <c r="U68" i="18" s="1"/>
  <c r="R25" i="18"/>
  <c r="R57" i="18" s="1"/>
  <c r="U28" i="18"/>
  <c r="U60" i="18" s="1"/>
  <c r="Q21" i="18"/>
  <c r="Q53" i="18" s="1"/>
  <c r="Y13" i="18"/>
  <c r="Y45" i="18" s="1"/>
  <c r="AE36" i="18"/>
  <c r="AE68" i="18" s="1"/>
  <c r="Z23" i="18"/>
  <c r="Z55" i="18" s="1"/>
  <c r="Z16" i="18"/>
  <c r="Z48" i="18" s="1"/>
  <c r="U14" i="18"/>
  <c r="U46" i="18" s="1"/>
  <c r="AE25" i="18"/>
  <c r="AE57" i="18" s="1"/>
  <c r="S10" i="18"/>
  <c r="S42" i="18" s="1"/>
  <c r="AH17" i="18"/>
  <c r="AH49" i="18" s="1"/>
  <c r="AH29" i="18"/>
  <c r="AH61" i="18" s="1"/>
  <c r="AD16" i="18"/>
  <c r="AD48" i="18" s="1"/>
  <c r="U10" i="18"/>
  <c r="U42" i="18" s="1"/>
  <c r="Q12" i="18"/>
  <c r="Q44" i="18" s="1"/>
  <c r="V24" i="18"/>
  <c r="Q22" i="18"/>
  <c r="Q54" i="18" s="1"/>
  <c r="Q35" i="18"/>
  <c r="Q67" i="18" s="1"/>
  <c r="AB9" i="18"/>
  <c r="AB41" i="18" s="1"/>
  <c r="AB31" i="18"/>
  <c r="AB63" i="18" s="1"/>
  <c r="R36" i="18"/>
  <c r="R68" i="18" s="1"/>
  <c r="AE20" i="18"/>
  <c r="AE52" i="18" s="1"/>
  <c r="Q7" i="18"/>
  <c r="Q39" i="18" s="1"/>
  <c r="M20" i="18"/>
  <c r="M52" i="18" s="1"/>
  <c r="P32" i="18"/>
  <c r="P64" i="18" s="1"/>
  <c r="M19" i="18"/>
  <c r="M51" i="18" s="1"/>
  <c r="J26" i="18"/>
  <c r="J58" i="18" s="1"/>
  <c r="F35" i="18"/>
  <c r="F67" i="18" s="1"/>
  <c r="H28" i="18"/>
  <c r="H60" i="18" s="1"/>
  <c r="W14" i="18"/>
  <c r="W46" i="18" s="1"/>
  <c r="AD12" i="18"/>
  <c r="AD44" i="18" s="1"/>
  <c r="AA26" i="18"/>
  <c r="AA58" i="18" s="1"/>
  <c r="AH33" i="18"/>
  <c r="AH65" i="18" s="1"/>
  <c r="Q32" i="18"/>
  <c r="Q64" i="18" s="1"/>
  <c r="AC11" i="18"/>
  <c r="AC43" i="18" s="1"/>
  <c r="AC30" i="18"/>
  <c r="AC62" i="18" s="1"/>
  <c r="AF15" i="18"/>
  <c r="AF47" i="18" s="1"/>
  <c r="AA27" i="18"/>
  <c r="AA59" i="18" s="1"/>
  <c r="P24" i="18"/>
  <c r="P56" i="18" s="1"/>
  <c r="G23" i="18"/>
  <c r="G55" i="18" s="1"/>
  <c r="Q16" i="18"/>
  <c r="Q48" i="18" s="1"/>
  <c r="K23" i="18"/>
  <c r="K55" i="18" s="1"/>
  <c r="S34" i="18"/>
  <c r="S66" i="18" s="1"/>
  <c r="M35" i="18"/>
  <c r="M67" i="18" s="1"/>
  <c r="I30" i="18"/>
  <c r="I62" i="18" s="1"/>
  <c r="G32" i="18"/>
  <c r="G64" i="18" s="1"/>
  <c r="U15" i="18"/>
  <c r="U47" i="18" s="1"/>
  <c r="F31" i="18"/>
  <c r="F63" i="18" s="1"/>
  <c r="H34" i="18"/>
  <c r="H66" i="18" s="1"/>
  <c r="M32" i="18"/>
  <c r="M64" i="18" s="1"/>
  <c r="V14" i="18"/>
  <c r="V46" i="18" s="1"/>
  <c r="J33" i="18"/>
  <c r="J65" i="18" s="1"/>
  <c r="E34" i="18"/>
  <c r="E66" i="18" s="1"/>
  <c r="AF11" i="18"/>
  <c r="AF43" i="18" s="1"/>
  <c r="X33" i="18"/>
  <c r="X65" i="18" s="1"/>
  <c r="R21" i="18"/>
  <c r="R53" i="18" s="1"/>
  <c r="AH25" i="18"/>
  <c r="AH57" i="18" s="1"/>
  <c r="AG19" i="18"/>
  <c r="AG51" i="18" s="1"/>
  <c r="AC36" i="18"/>
  <c r="AC68" i="18" s="1"/>
  <c r="AB26" i="18"/>
  <c r="AB58" i="18" s="1"/>
  <c r="S29" i="18"/>
  <c r="S61" i="18" s="1"/>
  <c r="S22" i="18"/>
  <c r="S54" i="18" s="1"/>
  <c r="AC14" i="18"/>
  <c r="AC46" i="18" s="1"/>
  <c r="AG34" i="18"/>
  <c r="AG66" i="18" s="1"/>
  <c r="Z19" i="18"/>
  <c r="Z51" i="18" s="1"/>
  <c r="Q23" i="18"/>
  <c r="Q55" i="18" s="1"/>
  <c r="S35" i="18"/>
  <c r="S67" i="18" s="1"/>
  <c r="X22" i="18"/>
  <c r="X54" i="18" s="1"/>
  <c r="AD14" i="18"/>
  <c r="AD46" i="18" s="1"/>
  <c r="Y18" i="18"/>
  <c r="Y50" i="18" s="1"/>
  <c r="AB34" i="18"/>
  <c r="AB66" i="18" s="1"/>
  <c r="AA25" i="18"/>
  <c r="AA57" i="18" s="1"/>
  <c r="AH15" i="18"/>
  <c r="AH47" i="18" s="1"/>
  <c r="T15" i="18"/>
  <c r="T47" i="18" s="1"/>
  <c r="AD27" i="18"/>
  <c r="AD59" i="18" s="1"/>
  <c r="U25" i="18"/>
  <c r="U57" i="18" s="1"/>
  <c r="V21" i="18"/>
  <c r="V53" i="18" s="1"/>
  <c r="AC10" i="18"/>
  <c r="AC42" i="18" s="1"/>
  <c r="R28" i="18"/>
  <c r="R60" i="18" s="1"/>
  <c r="AA30" i="18"/>
  <c r="AA62" i="18" s="1"/>
  <c r="AG18" i="18"/>
  <c r="AG50" i="18" s="1"/>
  <c r="W34" i="18"/>
  <c r="W66" i="18" s="1"/>
  <c r="AE17" i="18"/>
  <c r="AE49" i="18" s="1"/>
  <c r="G35" i="18"/>
  <c r="G67" i="18" s="1"/>
  <c r="F26" i="18"/>
  <c r="F58" i="18" s="1"/>
  <c r="V20" i="18"/>
  <c r="V52" i="18" s="1"/>
  <c r="AC25" i="18"/>
  <c r="AC57" i="18" s="1"/>
  <c r="AB24" i="18"/>
  <c r="AB56" i="18" s="1"/>
  <c r="Z24" i="18"/>
  <c r="Z56" i="18" s="1"/>
  <c r="AH27" i="18"/>
  <c r="AH59" i="18" s="1"/>
  <c r="AG8" i="18"/>
  <c r="AG40" i="18" s="1"/>
  <c r="AC34" i="18"/>
  <c r="AC66" i="18" s="1"/>
  <c r="U7" i="18"/>
  <c r="U39" i="18" s="1"/>
  <c r="Q11" i="18"/>
  <c r="Q43" i="18" s="1"/>
  <c r="Y17" i="18"/>
  <c r="Y49" i="18" s="1"/>
  <c r="G29" i="18"/>
  <c r="G61" i="18" s="1"/>
  <c r="U12" i="18"/>
  <c r="U44" i="18" s="1"/>
  <c r="AH7" i="18"/>
  <c r="AH39" i="18" s="1"/>
  <c r="X21" i="18"/>
  <c r="X53" i="18" s="1"/>
  <c r="X11" i="18"/>
  <c r="X43" i="18" s="1"/>
  <c r="AD20" i="18"/>
  <c r="AD52" i="18" s="1"/>
  <c r="W29" i="18"/>
  <c r="W61" i="18" s="1"/>
  <c r="Y27" i="18"/>
  <c r="R8" i="18"/>
  <c r="R40" i="18" s="1"/>
  <c r="AG31" i="18"/>
  <c r="AG63" i="18" s="1"/>
  <c r="T34" i="18"/>
  <c r="T66" i="18" s="1"/>
  <c r="AC20" i="18"/>
  <c r="AC52" i="18" s="1"/>
  <c r="AC27" i="18"/>
  <c r="AC59" i="18" s="1"/>
  <c r="Q8" i="18"/>
  <c r="Q40" i="18" s="1"/>
  <c r="F30" i="18"/>
  <c r="F62" i="18" s="1"/>
  <c r="P36" i="18"/>
  <c r="P68" i="18" s="1"/>
  <c r="Y31" i="18"/>
  <c r="Y63" i="18" s="1"/>
  <c r="AE34" i="18"/>
  <c r="AE66" i="18" s="1"/>
  <c r="AH32" i="18"/>
  <c r="AH64" i="18" s="1"/>
  <c r="X32" i="18"/>
  <c r="X64" i="18" s="1"/>
  <c r="V22" i="18"/>
  <c r="V54" i="18" s="1"/>
  <c r="AD30" i="18"/>
  <c r="AD62" i="18" s="1"/>
  <c r="AD25" i="18"/>
  <c r="AD57" i="18" s="1"/>
  <c r="AH36" i="18"/>
  <c r="X18" i="18"/>
  <c r="X50" i="18" s="1"/>
  <c r="T36" i="18"/>
  <c r="T68" i="18" s="1"/>
  <c r="M30" i="18"/>
  <c r="M62" i="18" s="1"/>
  <c r="L23" i="18"/>
  <c r="L55" i="18" s="1"/>
  <c r="T17" i="18"/>
  <c r="T49" i="18" s="1"/>
  <c r="AA17" i="18"/>
  <c r="AA49" i="18" s="1"/>
  <c r="G27" i="18"/>
  <c r="G59" i="18" s="1"/>
  <c r="G25" i="18"/>
  <c r="G57" i="18" s="1"/>
  <c r="I31" i="18"/>
  <c r="I63" i="18" s="1"/>
  <c r="Q17" i="18"/>
  <c r="Q49" i="18" s="1"/>
  <c r="I26" i="18"/>
  <c r="I58" i="18" s="1"/>
  <c r="E33" i="18"/>
  <c r="E65" i="18" s="1"/>
  <c r="Z10" i="18"/>
  <c r="Z42" i="18" s="1"/>
  <c r="AF19" i="18"/>
  <c r="AF51" i="18" s="1"/>
  <c r="R14" i="18"/>
  <c r="R46" i="18" s="1"/>
  <c r="AF28" i="18"/>
  <c r="AF60" i="18" s="1"/>
  <c r="AC32" i="18"/>
  <c r="AC64" i="18" s="1"/>
  <c r="AB25" i="18"/>
  <c r="AB57" i="18" s="1"/>
  <c r="T13" i="18"/>
  <c r="T45" i="18" s="1"/>
  <c r="T11" i="18"/>
  <c r="T43" i="18" s="1"/>
  <c r="S33" i="18"/>
  <c r="S65" i="18" s="1"/>
  <c r="AE30" i="18"/>
  <c r="AE62" i="18" s="1"/>
  <c r="AB20" i="18"/>
  <c r="AB52" i="18" s="1"/>
  <c r="AB32" i="18"/>
  <c r="AB64" i="18" s="1"/>
  <c r="X17" i="18"/>
  <c r="X49" i="18" s="1"/>
  <c r="Q18" i="18"/>
  <c r="Q50" i="18" s="1"/>
  <c r="W36" i="18"/>
  <c r="W68" i="18" s="1"/>
  <c r="AD26" i="18"/>
  <c r="AD58" i="18" s="1"/>
  <c r="Y35" i="18"/>
  <c r="Y67" i="18" s="1"/>
  <c r="AF36" i="18"/>
  <c r="AF68" i="18" s="1"/>
  <c r="AA31" i="18"/>
  <c r="AA63" i="18" s="1"/>
  <c r="V8" i="18"/>
  <c r="V40" i="18" s="1"/>
  <c r="S19" i="18"/>
  <c r="S51" i="18" s="1"/>
  <c r="W32" i="18"/>
  <c r="W64" i="18" s="1"/>
  <c r="U11" i="18"/>
  <c r="U43" i="18" s="1"/>
  <c r="V33" i="18"/>
  <c r="V65" i="18" s="1"/>
  <c r="T30" i="18"/>
  <c r="T62" i="18" s="1"/>
  <c r="Q26" i="18"/>
  <c r="Q58" i="18" s="1"/>
  <c r="AA35" i="18"/>
  <c r="AA67" i="18" s="1"/>
  <c r="Y30" i="18"/>
  <c r="Y62" i="18" s="1"/>
  <c r="R26" i="18"/>
  <c r="R58" i="18" s="1"/>
  <c r="I32" i="18"/>
  <c r="I64" i="18" s="1"/>
  <c r="AF13" i="18"/>
  <c r="AF45" i="18" s="1"/>
  <c r="T28" i="18"/>
  <c r="T60" i="18" s="1"/>
  <c r="N26" i="18"/>
  <c r="N58" i="18" s="1"/>
  <c r="X20" i="18"/>
  <c r="X52" i="18" s="1"/>
  <c r="T16" i="18"/>
  <c r="T48" i="18" s="1"/>
  <c r="G20" i="18"/>
  <c r="G52" i="18" s="1"/>
  <c r="X28" i="18"/>
  <c r="X60" i="18" s="1"/>
  <c r="R31" i="18"/>
  <c r="R63" i="18" s="1"/>
  <c r="Q27" i="18"/>
  <c r="Q59" i="18" s="1"/>
  <c r="Z20" i="18"/>
  <c r="Z52" i="18" s="1"/>
  <c r="X31" i="18"/>
  <c r="X63" i="18" s="1"/>
  <c r="AG30" i="18"/>
  <c r="AG62" i="18" s="1"/>
  <c r="I25" i="18"/>
  <c r="I57" i="18" s="1"/>
  <c r="I34" i="18"/>
  <c r="I66" i="18" s="1"/>
  <c r="K34" i="18"/>
  <c r="K66" i="18" s="1"/>
  <c r="H24" i="18"/>
  <c r="H56" i="18" s="1"/>
  <c r="AE16" i="18"/>
  <c r="AE48" i="18" s="1"/>
  <c r="Q28" i="18"/>
  <c r="Q60" i="18" s="1"/>
  <c r="R7" i="18"/>
  <c r="R39" i="18" s="1"/>
  <c r="AB10" i="18"/>
  <c r="AB42" i="18" s="1"/>
  <c r="G24" i="18"/>
  <c r="G56" i="18" s="1"/>
  <c r="U31" i="18"/>
  <c r="U63" i="18" s="1"/>
  <c r="AC9" i="18"/>
  <c r="AC41" i="18" s="1"/>
  <c r="F32" i="18"/>
  <c r="F64" i="18" s="1"/>
  <c r="Z9" i="18"/>
  <c r="Z41" i="18" s="1"/>
  <c r="E20" i="18"/>
  <c r="E52" i="18" s="1"/>
  <c r="I21" i="18"/>
  <c r="I53" i="18" s="1"/>
  <c r="AG7" i="18"/>
  <c r="AG39" i="18" s="1"/>
  <c r="AH16" i="18"/>
  <c r="AH48" i="18" s="1"/>
  <c r="V27" i="18"/>
  <c r="V59" i="18" s="1"/>
  <c r="W16" i="18"/>
  <c r="W48" i="18" s="1"/>
  <c r="AC29" i="18"/>
  <c r="AC61" i="18" s="1"/>
  <c r="S13" i="18"/>
  <c r="S45" i="18" s="1"/>
  <c r="S36" i="18"/>
  <c r="S68" i="18" s="1"/>
  <c r="AA7" i="18"/>
  <c r="AA39" i="18" s="1"/>
  <c r="AC16" i="18"/>
  <c r="AC48" i="18" s="1"/>
  <c r="AG32" i="18"/>
  <c r="AG64" i="18" s="1"/>
  <c r="S8" i="18"/>
  <c r="S40" i="18" s="1"/>
  <c r="AG10" i="18"/>
  <c r="AG42" i="18" s="1"/>
  <c r="AG17" i="18"/>
  <c r="AG49" i="18" s="1"/>
  <c r="Q15" i="18"/>
  <c r="Q47" i="18" s="1"/>
  <c r="Y19" i="18"/>
  <c r="Y51" i="18" s="1"/>
  <c r="AH21" i="18"/>
  <c r="AH53" i="18" s="1"/>
  <c r="AD35" i="18"/>
  <c r="AD67" i="18" s="1"/>
  <c r="Y29" i="18"/>
  <c r="Y61" i="18" s="1"/>
  <c r="AB23" i="18"/>
  <c r="AB55" i="18" s="1"/>
  <c r="AE13" i="18"/>
  <c r="AE45" i="18" s="1"/>
  <c r="S28" i="18"/>
  <c r="S60" i="18" s="1"/>
  <c r="V9" i="18"/>
  <c r="V41" i="18" s="1"/>
  <c r="AD15" i="18"/>
  <c r="AD47" i="18" s="1"/>
  <c r="AF23" i="18"/>
  <c r="AF55" i="18" s="1"/>
  <c r="AF30" i="18"/>
  <c r="AF62" i="18" s="1"/>
  <c r="T31" i="18"/>
  <c r="T63" i="18" s="1"/>
  <c r="AE15" i="18"/>
  <c r="AE47" i="18" s="1"/>
  <c r="S26" i="18"/>
  <c r="S58" i="18" s="1"/>
  <c r="K27" i="18"/>
  <c r="K59" i="18" s="1"/>
  <c r="P26" i="18"/>
  <c r="P58" i="18" s="1"/>
  <c r="W8" i="18"/>
  <c r="W40" i="18" s="1"/>
  <c r="AA34" i="18"/>
  <c r="AA66" i="18" s="1"/>
  <c r="AE10" i="18"/>
  <c r="AE42" i="18" s="1"/>
  <c r="AB33" i="18"/>
  <c r="AB65" i="18" s="1"/>
  <c r="AB15" i="18"/>
  <c r="AB47" i="18" s="1"/>
  <c r="S18" i="18"/>
  <c r="S50" i="18" s="1"/>
  <c r="R32" i="18"/>
  <c r="R64" i="18" s="1"/>
  <c r="H29" i="18"/>
  <c r="H61" i="18" s="1"/>
  <c r="E24" i="18"/>
  <c r="E56" i="18" s="1"/>
  <c r="AA14" i="18"/>
  <c r="AA46" i="18" s="1"/>
  <c r="L24" i="18"/>
  <c r="L56" i="18" s="1"/>
  <c r="Y28" i="18"/>
  <c r="Y60" i="18" s="1"/>
  <c r="N21" i="18"/>
  <c r="N53" i="18" s="1"/>
  <c r="F36" i="18"/>
  <c r="F68" i="18" s="1"/>
  <c r="L19" i="18"/>
  <c r="L51" i="18" s="1"/>
  <c r="F25" i="18"/>
  <c r="F57" i="18" s="1"/>
  <c r="G31" i="18"/>
  <c r="G63" i="18" s="1"/>
  <c r="L35" i="18"/>
  <c r="L67" i="18" s="1"/>
  <c r="E19" i="18"/>
  <c r="E51" i="18" s="1"/>
  <c r="J36" i="18"/>
  <c r="J68" i="18" s="1"/>
  <c r="Y12" i="18"/>
  <c r="Y44" i="18" s="1"/>
  <c r="Y32" i="18"/>
  <c r="Y64" i="18" s="1"/>
  <c r="L27" i="18"/>
  <c r="L59" i="18" s="1"/>
  <c r="I23" i="18"/>
  <c r="I55" i="18" s="1"/>
  <c r="J24" i="18"/>
  <c r="J56" i="18" s="1"/>
  <c r="H18" i="18"/>
  <c r="H50" i="18" s="1"/>
  <c r="M22" i="18"/>
  <c r="M54" i="18" s="1"/>
  <c r="AH12" i="18"/>
  <c r="AH44" i="18" s="1"/>
  <c r="AH24" i="18"/>
  <c r="AH56" i="18" s="1"/>
  <c r="T24" i="18"/>
  <c r="T56" i="18" s="1"/>
  <c r="AA24" i="18"/>
  <c r="AA56" i="18" s="1"/>
  <c r="AD32" i="18"/>
  <c r="Z7" i="18"/>
  <c r="Z39" i="18" s="1"/>
  <c r="S17" i="18"/>
  <c r="S49" i="18" s="1"/>
  <c r="AE19" i="18"/>
  <c r="AE51" i="18" s="1"/>
  <c r="T14" i="18"/>
  <c r="T46" i="18" s="1"/>
  <c r="AG33" i="18"/>
  <c r="AG65" i="18" s="1"/>
  <c r="AD19" i="18"/>
  <c r="AD51" i="18" s="1"/>
  <c r="AA29" i="18"/>
  <c r="AH23" i="18"/>
  <c r="AH55" i="18" s="1"/>
  <c r="W9" i="18"/>
  <c r="W41" i="18" s="1"/>
  <c r="W31" i="18"/>
  <c r="W63" i="18" s="1"/>
  <c r="U34" i="18"/>
  <c r="U66" i="18" s="1"/>
  <c r="AB19" i="18"/>
  <c r="AB51" i="18" s="1"/>
  <c r="AF33" i="18"/>
  <c r="AF65" i="18" s="1"/>
  <c r="S32" i="18"/>
  <c r="S64" i="18" s="1"/>
  <c r="AF12" i="18"/>
  <c r="AF44" i="18" s="1"/>
  <c r="AA32" i="18"/>
  <c r="AA64" i="18" s="1"/>
  <c r="V28" i="18"/>
  <c r="V60" i="18" s="1"/>
  <c r="Q34" i="18"/>
  <c r="Q66" i="18" s="1"/>
  <c r="AH20" i="18"/>
  <c r="AH52" i="18" s="1"/>
  <c r="AD34" i="18"/>
  <c r="AD66" i="18" s="1"/>
  <c r="T33" i="18"/>
  <c r="T65" i="18" s="1"/>
  <c r="V35" i="18"/>
  <c r="V67" i="18" s="1"/>
  <c r="X9" i="18"/>
  <c r="X41" i="18" s="1"/>
  <c r="S7" i="18"/>
  <c r="S39" i="18" s="1"/>
  <c r="G34" i="18"/>
  <c r="G66" i="18" s="1"/>
  <c r="P23" i="18"/>
  <c r="P55" i="18" s="1"/>
  <c r="I20" i="18"/>
  <c r="I52" i="18" s="1"/>
  <c r="R20" i="18"/>
  <c r="AA9" i="18"/>
  <c r="AA41" i="18" s="1"/>
  <c r="V31" i="18"/>
  <c r="V63" i="18" s="1"/>
  <c r="T35" i="18"/>
  <c r="T67" i="18" s="1"/>
  <c r="T19" i="18"/>
  <c r="T51" i="18" s="1"/>
  <c r="R19" i="18"/>
  <c r="R51" i="18" s="1"/>
  <c r="R11" i="18"/>
  <c r="R43" i="18" s="1"/>
  <c r="AG35" i="18"/>
  <c r="AE27" i="18"/>
  <c r="AE59" i="18" s="1"/>
  <c r="R13" i="18"/>
  <c r="R45" i="18" s="1"/>
  <c r="Y15" i="18"/>
  <c r="Y47" i="18" s="1"/>
  <c r="Q20" i="18"/>
  <c r="Q52" i="18" s="1"/>
  <c r="V36" i="18"/>
  <c r="V68" i="18" s="1"/>
  <c r="Z36" i="18"/>
  <c r="Z68" i="18" s="1"/>
  <c r="N27" i="18"/>
  <c r="N59" i="18" s="1"/>
  <c r="P27" i="18"/>
  <c r="P59" i="18" s="1"/>
  <c r="N19" i="18"/>
  <c r="N51" i="18" s="1"/>
  <c r="AA15" i="18"/>
  <c r="AA47" i="18" s="1"/>
  <c r="W18" i="18"/>
  <c r="W50" i="18" s="1"/>
  <c r="G36" i="18"/>
  <c r="G68" i="18" s="1"/>
  <c r="N34" i="18"/>
  <c r="N66" i="18" s="1"/>
  <c r="S30" i="18"/>
  <c r="S62" i="18" s="1"/>
  <c r="X15" i="18"/>
  <c r="X47" i="18" s="1"/>
  <c r="W25" i="18"/>
  <c r="AH22" i="18"/>
  <c r="AH54" i="18" s="1"/>
  <c r="AC19" i="18"/>
  <c r="AC51" i="18" s="1"/>
  <c r="Z21" i="18"/>
  <c r="Z53" i="18" s="1"/>
  <c r="Z8" i="18"/>
  <c r="Z40" i="18" s="1"/>
  <c r="X30" i="18"/>
  <c r="X62" i="18" s="1"/>
  <c r="W21" i="18"/>
  <c r="W53" i="18" s="1"/>
  <c r="AD31" i="18"/>
  <c r="AD63" i="18" s="1"/>
  <c r="Z31" i="18"/>
  <c r="Z63" i="18" s="1"/>
  <c r="AC31" i="18"/>
  <c r="Q10" i="18"/>
  <c r="Q42" i="18" s="1"/>
  <c r="R22" i="18"/>
  <c r="R54" i="18" s="1"/>
  <c r="AF14" i="18"/>
  <c r="AF46" i="18" s="1"/>
  <c r="T18" i="18"/>
  <c r="T50" i="18" s="1"/>
  <c r="AG25" i="18"/>
  <c r="AG57" i="18" s="1"/>
  <c r="Z26" i="18"/>
  <c r="Z58" i="18" s="1"/>
  <c r="AA19" i="18"/>
  <c r="AA51" i="18" s="1"/>
  <c r="T26" i="18"/>
  <c r="T58" i="18" s="1"/>
  <c r="S23" i="18"/>
  <c r="S55" i="18" s="1"/>
  <c r="Z18" i="18"/>
  <c r="Z50" i="18" s="1"/>
  <c r="AC18" i="18"/>
  <c r="AC50" i="18" s="1"/>
  <c r="AH9" i="18"/>
  <c r="AH41" i="18" s="1"/>
  <c r="E21" i="18"/>
  <c r="E53" i="18" s="1"/>
  <c r="Q30" i="18"/>
  <c r="Q62" i="18" s="1"/>
  <c r="Z13" i="18"/>
  <c r="Z45" i="18" s="1"/>
  <c r="L30" i="18"/>
  <c r="L62" i="18" s="1"/>
  <c r="Y9" i="18"/>
  <c r="Y41" i="18" s="1"/>
  <c r="AD21" i="18"/>
  <c r="AD53" i="18" s="1"/>
  <c r="AA33" i="18"/>
  <c r="AA65" i="18" s="1"/>
  <c r="W20" i="18"/>
  <c r="W52" i="18" s="1"/>
  <c r="F20" i="18"/>
  <c r="F52" i="18" s="1"/>
  <c r="F28" i="18"/>
  <c r="F60" i="18" s="1"/>
  <c r="L29" i="18"/>
  <c r="L61" i="18" s="1"/>
  <c r="V16" i="18"/>
  <c r="V48" i="18" s="1"/>
  <c r="H19" i="18"/>
  <c r="H51" i="18" s="1"/>
  <c r="I36" i="18"/>
  <c r="I68" i="18" s="1"/>
  <c r="F27" i="18"/>
  <c r="F59" i="18" s="1"/>
  <c r="L21" i="18"/>
  <c r="L53" i="18" s="1"/>
  <c r="J35" i="18"/>
  <c r="J67" i="18" s="1"/>
  <c r="X29" i="18"/>
  <c r="X61" i="18" s="1"/>
  <c r="AC7" i="18"/>
  <c r="AC39" i="18" s="1"/>
  <c r="X10" i="18"/>
  <c r="X42" i="18" s="1"/>
  <c r="M31" i="18"/>
  <c r="M63" i="18" s="1"/>
  <c r="AD8" i="18"/>
  <c r="AD40" i="18" s="1"/>
  <c r="AB17" i="18"/>
  <c r="AB49" i="18" s="1"/>
  <c r="W7" i="18"/>
  <c r="W39" i="18" s="1"/>
  <c r="AF20" i="18"/>
  <c r="AF52" i="18" s="1"/>
  <c r="AB29" i="18"/>
  <c r="AB61" i="18" s="1"/>
  <c r="V15" i="18"/>
  <c r="V47" i="18" s="1"/>
  <c r="S21" i="18"/>
  <c r="Z32" i="18"/>
  <c r="Z64" i="18" s="1"/>
  <c r="Z22" i="18"/>
  <c r="Z54" i="18" s="1"/>
  <c r="X16" i="18"/>
  <c r="X48" i="18" s="1"/>
  <c r="R27" i="18"/>
  <c r="R59" i="18" s="1"/>
  <c r="W17" i="18"/>
  <c r="W49" i="18" s="1"/>
  <c r="AE35" i="18"/>
  <c r="AE67" i="18" s="1"/>
  <c r="AB22" i="18"/>
  <c r="AB54" i="18" s="1"/>
  <c r="AF18" i="18"/>
  <c r="AF50" i="18" s="1"/>
  <c r="X23" i="18"/>
  <c r="X55" i="18" s="1"/>
  <c r="AA21" i="18"/>
  <c r="AA53" i="18" s="1"/>
  <c r="AH35" i="18"/>
  <c r="AH67" i="18" s="1"/>
  <c r="AG14" i="18"/>
  <c r="AG46" i="18" s="1"/>
  <c r="AA16" i="18"/>
  <c r="AA48" i="18" s="1"/>
  <c r="U32" i="18"/>
  <c r="U64" i="18" s="1"/>
  <c r="AC28" i="18"/>
  <c r="AC60" i="18" s="1"/>
  <c r="W11" i="18"/>
  <c r="W43" i="18" s="1"/>
  <c r="AD17" i="18"/>
  <c r="AD49" i="18" s="1"/>
  <c r="F24" i="18"/>
  <c r="F56" i="18" s="1"/>
  <c r="E18" i="18"/>
  <c r="E50" i="18" s="1"/>
  <c r="X19" i="18"/>
  <c r="X51" i="18" s="1"/>
  <c r="N23" i="18"/>
  <c r="N55" i="18" s="1"/>
  <c r="P31" i="18"/>
  <c r="P63" i="18" s="1"/>
  <c r="AH13" i="18"/>
  <c r="AH45" i="18" s="1"/>
  <c r="AA13" i="18"/>
  <c r="AA45" i="18" s="1"/>
  <c r="M21" i="18"/>
  <c r="M53" i="18" s="1"/>
  <c r="E36" i="18"/>
  <c r="E68" i="18" s="1"/>
  <c r="P35" i="18"/>
  <c r="P67" i="18" s="1"/>
  <c r="I35" i="18"/>
  <c r="I67" i="18" s="1"/>
  <c r="AA10" i="18"/>
  <c r="AA42" i="18" s="1"/>
  <c r="J34" i="18"/>
  <c r="J66" i="18" s="1"/>
  <c r="M33" i="18"/>
  <c r="M65" i="18" s="1"/>
  <c r="K22" i="18"/>
  <c r="K54" i="18" s="1"/>
  <c r="AE14" i="18"/>
  <c r="AE46" i="18" s="1"/>
  <c r="Q9" i="18"/>
  <c r="Q41" i="18" s="1"/>
  <c r="AC13" i="18"/>
  <c r="AC45" i="18" s="1"/>
  <c r="AE26" i="18"/>
  <c r="AE58" i="18" s="1"/>
  <c r="X24" i="18"/>
  <c r="X56" i="18" s="1"/>
  <c r="U17" i="18"/>
  <c r="U49" i="18" s="1"/>
  <c r="Z17" i="18"/>
  <c r="Z49" i="18" s="1"/>
  <c r="AG23" i="18"/>
  <c r="AG55" i="18" s="1"/>
  <c r="AB18" i="18"/>
  <c r="AB50" i="18" s="1"/>
  <c r="AC26" i="18"/>
  <c r="AC58" i="18" s="1"/>
  <c r="Q31" i="18"/>
  <c r="Q63" i="18" s="1"/>
  <c r="AD10" i="18"/>
  <c r="AD42" i="18" s="1"/>
  <c r="U22" i="18"/>
  <c r="U54" i="18" s="1"/>
  <c r="AA20" i="18"/>
  <c r="AA52" i="18" s="1"/>
  <c r="Y20" i="18"/>
  <c r="Y52" i="18" s="1"/>
  <c r="AE28" i="18"/>
  <c r="AE60" i="18" s="1"/>
  <c r="AF31" i="18"/>
  <c r="AF63" i="18" s="1"/>
  <c r="S31" i="18"/>
  <c r="S63" i="18" s="1"/>
  <c r="W15" i="18"/>
  <c r="W47" i="18" s="1"/>
  <c r="X8" i="18"/>
  <c r="X40" i="18" s="1"/>
  <c r="W28" i="18"/>
  <c r="W60" i="18" s="1"/>
  <c r="U16" i="18"/>
  <c r="U48" i="18" s="1"/>
  <c r="S25" i="18"/>
  <c r="S57" i="18" s="1"/>
  <c r="AD24" i="18"/>
  <c r="AD56" i="18" s="1"/>
  <c r="F21" i="18"/>
  <c r="F53" i="18" s="1"/>
  <c r="K28" i="18"/>
  <c r="K60" i="18" s="1"/>
  <c r="H21" i="18"/>
  <c r="H53" i="18" s="1"/>
  <c r="G22" i="18"/>
  <c r="G54" i="18" s="1"/>
  <c r="P29" i="18"/>
  <c r="P61" i="18" s="1"/>
  <c r="J27" i="18"/>
  <c r="J59" i="18" s="1"/>
  <c r="P21" i="18"/>
  <c r="P53" i="18" s="1"/>
  <c r="R12" i="18"/>
  <c r="R44" i="18" s="1"/>
  <c r="G18" i="18"/>
  <c r="G50" i="18" s="1"/>
  <c r="N32" i="18"/>
  <c r="N64" i="18" s="1"/>
  <c r="Y8" i="18"/>
  <c r="Y40" i="18" s="1"/>
  <c r="L32" i="18"/>
  <c r="L64" i="18" s="1"/>
  <c r="P18" i="18"/>
  <c r="M29" i="18"/>
  <c r="M61" i="18" s="1"/>
  <c r="I19" i="18"/>
  <c r="I51" i="18" s="1"/>
  <c r="L34" i="18"/>
  <c r="L66" i="18" s="1"/>
  <c r="I29" i="18"/>
  <c r="I61" i="18" s="1"/>
  <c r="K17" i="18"/>
  <c r="K49" i="18" s="1"/>
  <c r="P15" i="18"/>
  <c r="F17" i="18"/>
  <c r="H13" i="18"/>
  <c r="E10" i="18"/>
  <c r="H7" i="18"/>
  <c r="I15" i="18"/>
  <c r="J72" i="7"/>
  <c r="J9" i="18"/>
  <c r="M15" i="18"/>
  <c r="K7" i="18"/>
  <c r="L16" i="18"/>
  <c r="L12" i="18"/>
  <c r="J16" i="18"/>
  <c r="E17" i="18"/>
  <c r="J12" i="18"/>
  <c r="I10" i="18"/>
  <c r="K16" i="18"/>
  <c r="K15" i="18"/>
  <c r="H17" i="18"/>
  <c r="N15" i="18"/>
  <c r="F7" i="18"/>
  <c r="H10" i="18"/>
  <c r="N16" i="18"/>
  <c r="I9" i="18"/>
  <c r="N12" i="18"/>
  <c r="I11" i="18"/>
  <c r="P14" i="18"/>
  <c r="L10" i="18"/>
  <c r="J7" i="18"/>
  <c r="J8" i="18"/>
  <c r="L13" i="18"/>
  <c r="J15" i="18"/>
  <c r="L14" i="18"/>
  <c r="J71" i="7"/>
  <c r="L17" i="18"/>
  <c r="F13" i="18"/>
  <c r="P16" i="18"/>
  <c r="E16" i="18"/>
  <c r="G14" i="18"/>
  <c r="I73" i="7"/>
  <c r="G16" i="18"/>
  <c r="F9" i="18"/>
  <c r="K14" i="18"/>
  <c r="P12" i="18"/>
  <c r="G9" i="18"/>
  <c r="E9" i="18"/>
  <c r="L11" i="18"/>
  <c r="M12" i="18"/>
  <c r="L9" i="18"/>
  <c r="L15" i="18"/>
  <c r="I17" i="18"/>
  <c r="N8" i="18"/>
  <c r="I7" i="18"/>
  <c r="F14" i="18"/>
  <c r="H9" i="18"/>
  <c r="F16" i="18"/>
  <c r="I12" i="18"/>
  <c r="F12" i="18"/>
  <c r="K12" i="18"/>
  <c r="E14" i="18"/>
  <c r="M13" i="18"/>
  <c r="M9" i="18"/>
  <c r="H73" i="7"/>
  <c r="G17" i="18"/>
  <c r="H11" i="18"/>
  <c r="E12" i="18"/>
  <c r="E8" i="18"/>
  <c r="H12" i="18"/>
  <c r="P11" i="18"/>
  <c r="F11" i="18"/>
  <c r="K11" i="18"/>
  <c r="L7" i="18"/>
  <c r="I13" i="18"/>
  <c r="K9" i="18"/>
  <c r="K10" i="18"/>
  <c r="M16" i="18"/>
  <c r="H71" i="7"/>
  <c r="M14" i="18"/>
  <c r="I16" i="18"/>
  <c r="I72" i="7"/>
  <c r="P8" i="18"/>
  <c r="E13" i="18"/>
  <c r="G12" i="18"/>
  <c r="N11" i="18"/>
  <c r="N7" i="18"/>
  <c r="N14" i="18"/>
  <c r="P10" i="18"/>
  <c r="H14" i="18"/>
  <c r="E15" i="18"/>
  <c r="E11" i="18"/>
  <c r="F8" i="18"/>
  <c r="L8" i="18"/>
  <c r="F10" i="18"/>
  <c r="F15" i="18"/>
  <c r="J17" i="18"/>
  <c r="M10" i="18"/>
  <c r="I71" i="7"/>
  <c r="J14" i="18"/>
  <c r="M11" i="18"/>
  <c r="G15" i="18"/>
  <c r="M7" i="18"/>
  <c r="G11" i="18"/>
  <c r="J73" i="7"/>
  <c r="P13" i="18"/>
  <c r="N10" i="18"/>
  <c r="I14" i="18"/>
  <c r="H8" i="18"/>
  <c r="N13" i="18"/>
  <c r="H16" i="18"/>
  <c r="N9" i="18"/>
  <c r="I8" i="18"/>
  <c r="K8" i="18"/>
  <c r="K13" i="18"/>
  <c r="J10" i="18"/>
  <c r="J11" i="18"/>
  <c r="G7" i="18"/>
  <c r="M8" i="18"/>
  <c r="G10" i="18"/>
  <c r="G8" i="18"/>
  <c r="P9" i="18"/>
  <c r="J13" i="18"/>
  <c r="G13" i="18"/>
  <c r="E7" i="18"/>
  <c r="H15" i="18"/>
  <c r="P17" i="18"/>
  <c r="M17" i="18"/>
  <c r="N17" i="18"/>
  <c r="K75" i="7"/>
  <c r="K79" i="7"/>
  <c r="AD165" i="7"/>
  <c r="G16" i="16"/>
  <c r="U110" i="30" l="1"/>
  <c r="U108" i="30"/>
  <c r="T108" i="30"/>
  <c r="L81" i="7"/>
  <c r="L85" i="7" s="1"/>
  <c r="L86" i="7" s="1"/>
  <c r="J81" i="7"/>
  <c r="H81" i="7"/>
  <c r="I81" i="7"/>
  <c r="P49" i="18"/>
  <c r="K40" i="18"/>
  <c r="M39" i="18"/>
  <c r="J40" i="18"/>
  <c r="N47" i="18"/>
  <c r="J43" i="18"/>
  <c r="G47" i="18"/>
  <c r="O47" i="18"/>
  <c r="N46" i="18"/>
  <c r="O45" i="18"/>
  <c r="I48" i="18"/>
  <c r="M46" i="18"/>
  <c r="K41" i="18"/>
  <c r="K43" i="18"/>
  <c r="O44" i="18"/>
  <c r="O46" i="18"/>
  <c r="O49" i="18"/>
  <c r="F48" i="18"/>
  <c r="N40" i="18"/>
  <c r="M44" i="18"/>
  <c r="P44" i="18"/>
  <c r="G48" i="18"/>
  <c r="P48" i="18"/>
  <c r="H49" i="18"/>
  <c r="J41" i="18"/>
  <c r="E42" i="18"/>
  <c r="P47" i="18"/>
  <c r="P41" i="18"/>
  <c r="N45" i="18"/>
  <c r="E47" i="18"/>
  <c r="G44" i="18"/>
  <c r="H44" i="18"/>
  <c r="F41" i="18"/>
  <c r="P46" i="18"/>
  <c r="I42" i="18"/>
  <c r="H39" i="18"/>
  <c r="N49" i="18"/>
  <c r="G40" i="18"/>
  <c r="H40" i="18"/>
  <c r="F42" i="18"/>
  <c r="O39" i="18"/>
  <c r="H47" i="18"/>
  <c r="J45" i="18"/>
  <c r="G42" i="18"/>
  <c r="J42" i="18"/>
  <c r="N41" i="18"/>
  <c r="M43" i="18"/>
  <c r="M42" i="18"/>
  <c r="L40" i="18"/>
  <c r="E43" i="18"/>
  <c r="H46" i="18"/>
  <c r="N39" i="18"/>
  <c r="E45" i="18"/>
  <c r="F43" i="18"/>
  <c r="E40" i="18"/>
  <c r="H43" i="18"/>
  <c r="M41" i="18"/>
  <c r="K44" i="18"/>
  <c r="H41" i="18"/>
  <c r="I49" i="18"/>
  <c r="L43" i="18"/>
  <c r="K46" i="18"/>
  <c r="F45" i="18"/>
  <c r="J47" i="18"/>
  <c r="J39" i="18"/>
  <c r="N44" i="18"/>
  <c r="F39" i="18"/>
  <c r="K47" i="18"/>
  <c r="E49" i="18"/>
  <c r="L48" i="18"/>
  <c r="H45" i="18"/>
  <c r="M49" i="18"/>
  <c r="G39" i="18"/>
  <c r="N42" i="18"/>
  <c r="F47" i="18"/>
  <c r="P42" i="18"/>
  <c r="O43" i="18"/>
  <c r="K42" i="18"/>
  <c r="L39" i="18"/>
  <c r="E44" i="18"/>
  <c r="G49" i="18"/>
  <c r="E46" i="18"/>
  <c r="I44" i="18"/>
  <c r="I39" i="18"/>
  <c r="L41" i="18"/>
  <c r="E48" i="18"/>
  <c r="L44" i="18"/>
  <c r="F49" i="18"/>
  <c r="G45" i="18"/>
  <c r="I40" i="18"/>
  <c r="P45" i="18"/>
  <c r="M40" i="18"/>
  <c r="H48" i="18"/>
  <c r="I46" i="18"/>
  <c r="G43" i="18"/>
  <c r="J46" i="18"/>
  <c r="J49" i="18"/>
  <c r="O42" i="18"/>
  <c r="O40" i="18"/>
  <c r="N43" i="18"/>
  <c r="P40" i="18"/>
  <c r="M48" i="18"/>
  <c r="I45" i="18"/>
  <c r="P43" i="18"/>
  <c r="O48" i="18"/>
  <c r="O41" i="18"/>
  <c r="M45" i="18"/>
  <c r="F44" i="18"/>
  <c r="F46" i="18"/>
  <c r="L47" i="18"/>
  <c r="E41" i="18"/>
  <c r="G46" i="18"/>
  <c r="L49" i="18"/>
  <c r="L45" i="18"/>
  <c r="L42" i="18"/>
  <c r="I41" i="18"/>
  <c r="K48" i="18"/>
  <c r="J48" i="18"/>
  <c r="K39" i="18"/>
  <c r="I47" i="18"/>
  <c r="K72" i="7"/>
  <c r="K73" i="7"/>
  <c r="K78" i="7"/>
  <c r="K80" i="7"/>
  <c r="K77" i="7"/>
  <c r="K71" i="7"/>
  <c r="K74" i="7"/>
  <c r="K76" i="7"/>
  <c r="K81" i="7" l="1"/>
  <c r="E71" i="18" a="1"/>
  <c r="E71" i="18" l="1"/>
  <c r="K71" i="18"/>
  <c r="L71" i="18"/>
  <c r="T71" i="18"/>
  <c r="AB71" i="18"/>
  <c r="BO71" i="18" s="1"/>
  <c r="F72" i="18"/>
  <c r="N72" i="18"/>
  <c r="V72" i="18"/>
  <c r="BI72" i="18" s="1"/>
  <c r="AD72" i="18"/>
  <c r="BQ72" i="18" s="1"/>
  <c r="H73" i="18"/>
  <c r="AU73" i="18" s="1"/>
  <c r="P73" i="18"/>
  <c r="BC73" i="18" s="1"/>
  <c r="X73" i="18"/>
  <c r="BK73" i="18" s="1"/>
  <c r="AF73" i="18"/>
  <c r="BS73" i="18" s="1"/>
  <c r="J74" i="18"/>
  <c r="AW74" i="18" s="1"/>
  <c r="R74" i="18"/>
  <c r="BE74" i="18" s="1"/>
  <c r="Z74" i="18"/>
  <c r="BM74" i="18" s="1"/>
  <c r="AH74" i="18"/>
  <c r="BU74" i="18" s="1"/>
  <c r="L75" i="18"/>
  <c r="AY75" i="18" s="1"/>
  <c r="T75" i="18"/>
  <c r="BG75" i="18" s="1"/>
  <c r="AB75" i="18"/>
  <c r="BO75" i="18" s="1"/>
  <c r="F76" i="18"/>
  <c r="AS76" i="18" s="1"/>
  <c r="N76" i="18"/>
  <c r="BA76" i="18" s="1"/>
  <c r="V76" i="18"/>
  <c r="BI76" i="18" s="1"/>
  <c r="AD76" i="18"/>
  <c r="BQ76" i="18" s="1"/>
  <c r="H77" i="18"/>
  <c r="AU77" i="18" s="1"/>
  <c r="P77" i="18"/>
  <c r="BC77" i="18" s="1"/>
  <c r="X77" i="18"/>
  <c r="BK77" i="18" s="1"/>
  <c r="AF77" i="18"/>
  <c r="BS77" i="18" s="1"/>
  <c r="J78" i="18"/>
  <c r="AW78" i="18" s="1"/>
  <c r="R78" i="18"/>
  <c r="BE78" i="18" s="1"/>
  <c r="Z78" i="18"/>
  <c r="BM78" i="18" s="1"/>
  <c r="AH78" i="18"/>
  <c r="BU78" i="18" s="1"/>
  <c r="L79" i="18"/>
  <c r="AY79" i="18" s="1"/>
  <c r="T79" i="18"/>
  <c r="BG79" i="18" s="1"/>
  <c r="AB79" i="18"/>
  <c r="BO79" i="18" s="1"/>
  <c r="F80" i="18"/>
  <c r="AS80" i="18" s="1"/>
  <c r="N80" i="18"/>
  <c r="BA80" i="18" s="1"/>
  <c r="V80" i="18"/>
  <c r="BI80" i="18" s="1"/>
  <c r="AD80" i="18"/>
  <c r="BQ80" i="18" s="1"/>
  <c r="H81" i="18"/>
  <c r="AU81" i="18" s="1"/>
  <c r="P81" i="18"/>
  <c r="BC81" i="18" s="1"/>
  <c r="X81" i="18"/>
  <c r="BK81" i="18" s="1"/>
  <c r="AF81" i="18"/>
  <c r="BS81" i="18" s="1"/>
  <c r="I82" i="18"/>
  <c r="AV82" i="18" s="1"/>
  <c r="N82" i="18"/>
  <c r="BA82" i="18" s="1"/>
  <c r="R82" i="18"/>
  <c r="BE82" i="18" s="1"/>
  <c r="V82" i="18"/>
  <c r="BI82" i="18" s="1"/>
  <c r="Z82" i="18"/>
  <c r="BM82" i="18" s="1"/>
  <c r="AD82" i="18"/>
  <c r="BQ82" i="18" s="1"/>
  <c r="AH82" i="18"/>
  <c r="BU82" i="18" s="1"/>
  <c r="H83" i="18"/>
  <c r="AU83" i="18" s="1"/>
  <c r="L83" i="18"/>
  <c r="AY83" i="18" s="1"/>
  <c r="P83" i="18"/>
  <c r="BC83" i="18" s="1"/>
  <c r="T83" i="18"/>
  <c r="BG83" i="18" s="1"/>
  <c r="X83" i="18"/>
  <c r="BK83" i="18" s="1"/>
  <c r="AB83" i="18"/>
  <c r="BO83" i="18" s="1"/>
  <c r="AF83" i="18"/>
  <c r="BS83" i="18" s="1"/>
  <c r="F84" i="18"/>
  <c r="AS84" i="18" s="1"/>
  <c r="J84" i="18"/>
  <c r="AW84" i="18" s="1"/>
  <c r="N84" i="18"/>
  <c r="BA84" i="18" s="1"/>
  <c r="R84" i="18"/>
  <c r="BE84" i="18" s="1"/>
  <c r="V84" i="18"/>
  <c r="BI84" i="18" s="1"/>
  <c r="Z84" i="18"/>
  <c r="BM84" i="18" s="1"/>
  <c r="AD84" i="18"/>
  <c r="BQ84" i="18" s="1"/>
  <c r="AH84" i="18"/>
  <c r="BU84" i="18" s="1"/>
  <c r="H85" i="18"/>
  <c r="AU85" i="18" s="1"/>
  <c r="L85" i="18"/>
  <c r="AY85" i="18" s="1"/>
  <c r="P85" i="18"/>
  <c r="BC85" i="18" s="1"/>
  <c r="T85" i="18"/>
  <c r="BG85" i="18" s="1"/>
  <c r="X85" i="18"/>
  <c r="BK85" i="18" s="1"/>
  <c r="AB85" i="18"/>
  <c r="BO85" i="18" s="1"/>
  <c r="AF85" i="18"/>
  <c r="BS85" i="18" s="1"/>
  <c r="F86" i="18"/>
  <c r="AS86" i="18" s="1"/>
  <c r="J86" i="18"/>
  <c r="AW86" i="18" s="1"/>
  <c r="N86" i="18"/>
  <c r="BA86" i="18" s="1"/>
  <c r="R86" i="18"/>
  <c r="BE86" i="18" s="1"/>
  <c r="V86" i="18"/>
  <c r="BI86" i="18" s="1"/>
  <c r="Z86" i="18"/>
  <c r="BM86" i="18" s="1"/>
  <c r="AD86" i="18"/>
  <c r="BQ86" i="18" s="1"/>
  <c r="AH86" i="18"/>
  <c r="BU86" i="18" s="1"/>
  <c r="H87" i="18"/>
  <c r="AU87" i="18" s="1"/>
  <c r="L87" i="18"/>
  <c r="AY87" i="18" s="1"/>
  <c r="P87" i="18"/>
  <c r="BC87" i="18" s="1"/>
  <c r="T87" i="18"/>
  <c r="BG87" i="18" s="1"/>
  <c r="X87" i="18"/>
  <c r="BK87" i="18" s="1"/>
  <c r="AB87" i="18"/>
  <c r="BO87" i="18" s="1"/>
  <c r="AF87" i="18"/>
  <c r="BS87" i="18" s="1"/>
  <c r="F88" i="18"/>
  <c r="AS88" i="18" s="1"/>
  <c r="J88" i="18"/>
  <c r="AW88" i="18" s="1"/>
  <c r="N88" i="18"/>
  <c r="BA88" i="18" s="1"/>
  <c r="R88" i="18"/>
  <c r="BE88" i="18" s="1"/>
  <c r="V88" i="18"/>
  <c r="BI88" i="18" s="1"/>
  <c r="Z88" i="18"/>
  <c r="BM88" i="18" s="1"/>
  <c r="AD88" i="18"/>
  <c r="BQ88" i="18" s="1"/>
  <c r="AH88" i="18"/>
  <c r="BU88" i="18" s="1"/>
  <c r="H89" i="18"/>
  <c r="AU89" i="18" s="1"/>
  <c r="L89" i="18"/>
  <c r="AY89" i="18" s="1"/>
  <c r="P89" i="18"/>
  <c r="BC89" i="18" s="1"/>
  <c r="T89" i="18"/>
  <c r="BG89" i="18" s="1"/>
  <c r="X89" i="18"/>
  <c r="BK89" i="18" s="1"/>
  <c r="AB89" i="18"/>
  <c r="BO89" i="18" s="1"/>
  <c r="AF89" i="18"/>
  <c r="BS89" i="18" s="1"/>
  <c r="F90" i="18"/>
  <c r="AS90" i="18" s="1"/>
  <c r="J90" i="18"/>
  <c r="AW90" i="18" s="1"/>
  <c r="N90" i="18"/>
  <c r="BA90" i="18" s="1"/>
  <c r="R90" i="18"/>
  <c r="BE90" i="18" s="1"/>
  <c r="V90" i="18"/>
  <c r="BI90" i="18" s="1"/>
  <c r="Z90" i="18"/>
  <c r="BM90" i="18" s="1"/>
  <c r="AD90" i="18"/>
  <c r="BQ90" i="18" s="1"/>
  <c r="O71" i="18"/>
  <c r="X71" i="18"/>
  <c r="BK71" i="18" s="1"/>
  <c r="E72" i="18"/>
  <c r="Q72" i="18"/>
  <c r="BD72" i="18" s="1"/>
  <c r="Z72" i="18"/>
  <c r="BM72" i="18" s="1"/>
  <c r="G73" i="18"/>
  <c r="AT73" i="18" s="1"/>
  <c r="S73" i="18"/>
  <c r="BF73" i="18" s="1"/>
  <c r="AB73" i="18"/>
  <c r="BO73" i="18" s="1"/>
  <c r="I74" i="18"/>
  <c r="AV74" i="18" s="1"/>
  <c r="U74" i="18"/>
  <c r="BH74" i="18" s="1"/>
  <c r="AD74" i="18"/>
  <c r="BQ74" i="18" s="1"/>
  <c r="K75" i="18"/>
  <c r="AX75" i="18" s="1"/>
  <c r="W75" i="18"/>
  <c r="BJ75" i="18" s="1"/>
  <c r="AF75" i="18"/>
  <c r="BS75" i="18" s="1"/>
  <c r="M76" i="18"/>
  <c r="AZ76" i="18" s="1"/>
  <c r="Y76" i="18"/>
  <c r="BL76" i="18" s="1"/>
  <c r="AH76" i="18"/>
  <c r="BU76" i="18" s="1"/>
  <c r="O77" i="18"/>
  <c r="BB77" i="18" s="1"/>
  <c r="AA77" i="18"/>
  <c r="BN77" i="18" s="1"/>
  <c r="F78" i="18"/>
  <c r="AS78" i="18" s="1"/>
  <c r="Q78" i="18"/>
  <c r="BD78" i="18" s="1"/>
  <c r="AC78" i="18"/>
  <c r="BP78" i="18" s="1"/>
  <c r="H79" i="18"/>
  <c r="AU79" i="18" s="1"/>
  <c r="S79" i="18"/>
  <c r="BF79" i="18" s="1"/>
  <c r="AE79" i="18"/>
  <c r="BR79" i="18" s="1"/>
  <c r="J80" i="18"/>
  <c r="AW80" i="18" s="1"/>
  <c r="U80" i="18"/>
  <c r="BH80" i="18" s="1"/>
  <c r="AG80" i="18"/>
  <c r="BT80" i="18" s="1"/>
  <c r="L81" i="18"/>
  <c r="AY81" i="18" s="1"/>
  <c r="W81" i="18"/>
  <c r="BJ81" i="18" s="1"/>
  <c r="E82" i="18"/>
  <c r="AR82" i="18" s="1"/>
  <c r="K82" i="18"/>
  <c r="AX82" i="18" s="1"/>
  <c r="Q82" i="18"/>
  <c r="BD82" i="18" s="1"/>
  <c r="W82" i="18"/>
  <c r="BJ82" i="18" s="1"/>
  <c r="AB82" i="18"/>
  <c r="BO82" i="18" s="1"/>
  <c r="AG82" i="18"/>
  <c r="BT82" i="18" s="1"/>
  <c r="I83" i="18"/>
  <c r="AV83" i="18" s="1"/>
  <c r="N83" i="18"/>
  <c r="BA83" i="18" s="1"/>
  <c r="P71" i="18"/>
  <c r="AE71" i="18"/>
  <c r="BR71" i="18" s="1"/>
  <c r="M72" i="18"/>
  <c r="AC72" i="18"/>
  <c r="BP72" i="18" s="1"/>
  <c r="L73" i="18"/>
  <c r="AY73" i="18" s="1"/>
  <c r="AA73" i="18"/>
  <c r="BN73" i="18" s="1"/>
  <c r="M74" i="18"/>
  <c r="AZ74" i="18" s="1"/>
  <c r="Y74" i="18"/>
  <c r="BL74" i="18" s="1"/>
  <c r="H75" i="18"/>
  <c r="AU75" i="18" s="1"/>
  <c r="X75" i="18"/>
  <c r="BK75" i="18" s="1"/>
  <c r="I76" i="18"/>
  <c r="AV76" i="18" s="1"/>
  <c r="U76" i="18"/>
  <c r="BH76" i="18" s="1"/>
  <c r="G77" i="18"/>
  <c r="AT77" i="18" s="1"/>
  <c r="T77" i="18"/>
  <c r="BG77" i="18" s="1"/>
  <c r="E78" i="18"/>
  <c r="AR78" i="18" s="1"/>
  <c r="U78" i="18"/>
  <c r="BH78" i="18" s="1"/>
  <c r="AG78" i="18"/>
  <c r="BT78" i="18" s="1"/>
  <c r="P79" i="18"/>
  <c r="BC79" i="18" s="1"/>
  <c r="AF79" i="18"/>
  <c r="BS79" i="18" s="1"/>
  <c r="Q80" i="18"/>
  <c r="BD80" i="18" s="1"/>
  <c r="AC80" i="18"/>
  <c r="BP80" i="18" s="1"/>
  <c r="O81" i="18"/>
  <c r="BB81" i="18" s="1"/>
  <c r="AB81" i="18"/>
  <c r="BO81" i="18" s="1"/>
  <c r="J82" i="18"/>
  <c r="AW82" i="18" s="1"/>
  <c r="S82" i="18"/>
  <c r="BF82" i="18" s="1"/>
  <c r="Y82" i="18"/>
  <c r="BL82" i="18" s="1"/>
  <c r="AF82" i="18"/>
  <c r="BS82" i="18" s="1"/>
  <c r="J83" i="18"/>
  <c r="AW83" i="18" s="1"/>
  <c r="Q83" i="18"/>
  <c r="BD83" i="18" s="1"/>
  <c r="V83" i="18"/>
  <c r="BI83" i="18" s="1"/>
  <c r="AA83" i="18"/>
  <c r="BN83" i="18" s="1"/>
  <c r="AG83" i="18"/>
  <c r="BT83" i="18" s="1"/>
  <c r="H84" i="18"/>
  <c r="AU84" i="18" s="1"/>
  <c r="M84" i="18"/>
  <c r="AZ84" i="18" s="1"/>
  <c r="S84" i="18"/>
  <c r="BF84" i="18" s="1"/>
  <c r="G71" i="18"/>
  <c r="W71" i="18"/>
  <c r="I72" i="18"/>
  <c r="U72" i="18"/>
  <c r="BH72" i="18" s="1"/>
  <c r="AH72" i="18"/>
  <c r="BU72" i="18" s="1"/>
  <c r="T73" i="18"/>
  <c r="BG73" i="18" s="1"/>
  <c r="E74" i="18"/>
  <c r="AR74" i="18" s="1"/>
  <c r="Q74" i="18"/>
  <c r="BD74" i="18" s="1"/>
  <c r="AG74" i="18"/>
  <c r="BT74" i="18" s="1"/>
  <c r="P75" i="18"/>
  <c r="BC75" i="18" s="1"/>
  <c r="AE75" i="18"/>
  <c r="BR75" i="18" s="1"/>
  <c r="Q76" i="18"/>
  <c r="BD76" i="18" s="1"/>
  <c r="AC76" i="18"/>
  <c r="BP76" i="18" s="1"/>
  <c r="L77" i="18"/>
  <c r="AY77" i="18" s="1"/>
  <c r="AB77" i="18"/>
  <c r="BO77" i="18" s="1"/>
  <c r="M78" i="18"/>
  <c r="AZ78" i="18" s="1"/>
  <c r="Y78" i="18"/>
  <c r="BL78" i="18" s="1"/>
  <c r="K79" i="18"/>
  <c r="AX79" i="18" s="1"/>
  <c r="X79" i="18"/>
  <c r="BK79" i="18" s="1"/>
  <c r="I80" i="18"/>
  <c r="AV80" i="18" s="1"/>
  <c r="Y80" i="18"/>
  <c r="BL80" i="18" s="1"/>
  <c r="G81" i="18"/>
  <c r="AT81" i="18" s="1"/>
  <c r="T81" i="18"/>
  <c r="BG81" i="18" s="1"/>
  <c r="F82" i="18"/>
  <c r="AS82" i="18" s="1"/>
  <c r="O82" i="18"/>
  <c r="BB82" i="18" s="1"/>
  <c r="U82" i="18"/>
  <c r="BH82" i="18" s="1"/>
  <c r="AC82" i="18"/>
  <c r="BP82" i="18" s="1"/>
  <c r="F83" i="18"/>
  <c r="AS83" i="18" s="1"/>
  <c r="M83" i="18"/>
  <c r="AZ83" i="18" s="1"/>
  <c r="S83" i="18"/>
  <c r="BF83" i="18" s="1"/>
  <c r="Y83" i="18"/>
  <c r="BL83" i="18" s="1"/>
  <c r="AD83" i="18"/>
  <c r="BQ83" i="18" s="1"/>
  <c r="E84" i="18"/>
  <c r="AR84" i="18" s="1"/>
  <c r="K84" i="18"/>
  <c r="AX84" i="18" s="1"/>
  <c r="P84" i="18"/>
  <c r="BC84" i="18" s="1"/>
  <c r="U84" i="18"/>
  <c r="BH84" i="18" s="1"/>
  <c r="AA84" i="18"/>
  <c r="BN84" i="18" s="1"/>
  <c r="AF84" i="18"/>
  <c r="BS84" i="18" s="1"/>
  <c r="G85" i="18"/>
  <c r="AT85" i="18" s="1"/>
  <c r="M85" i="18"/>
  <c r="AZ85" i="18" s="1"/>
  <c r="R85" i="18"/>
  <c r="BE85" i="18" s="1"/>
  <c r="W85" i="18"/>
  <c r="BJ85" i="18" s="1"/>
  <c r="AC85" i="18"/>
  <c r="BP85" i="18" s="1"/>
  <c r="AH85" i="18"/>
  <c r="BU85" i="18" s="1"/>
  <c r="I86" i="18"/>
  <c r="AV86" i="18" s="1"/>
  <c r="O86" i="18"/>
  <c r="BB86" i="18" s="1"/>
  <c r="T86" i="18"/>
  <c r="BG86" i="18" s="1"/>
  <c r="Y86" i="18"/>
  <c r="BL86" i="18" s="1"/>
  <c r="AE86" i="18"/>
  <c r="BR86" i="18" s="1"/>
  <c r="F87" i="18"/>
  <c r="AS87" i="18" s="1"/>
  <c r="K87" i="18"/>
  <c r="AX87" i="18" s="1"/>
  <c r="Q87" i="18"/>
  <c r="BD87" i="18" s="1"/>
  <c r="V87" i="18"/>
  <c r="BI87" i="18" s="1"/>
  <c r="AA87" i="18"/>
  <c r="BN87" i="18" s="1"/>
  <c r="AG87" i="18"/>
  <c r="BT87" i="18" s="1"/>
  <c r="H88" i="18"/>
  <c r="AU88" i="18" s="1"/>
  <c r="M88" i="18"/>
  <c r="AZ88" i="18" s="1"/>
  <c r="AF71" i="18"/>
  <c r="BS71" i="18" s="1"/>
  <c r="AG72" i="18"/>
  <c r="AE73" i="18"/>
  <c r="BR73" i="18" s="1"/>
  <c r="AC74" i="18"/>
  <c r="BP74" i="18" s="1"/>
  <c r="AA75" i="18"/>
  <c r="BN75" i="18" s="1"/>
  <c r="Z76" i="18"/>
  <c r="BM76" i="18" s="1"/>
  <c r="W77" i="18"/>
  <c r="BJ77" i="18" s="1"/>
  <c r="V78" i="18"/>
  <c r="BI78" i="18" s="1"/>
  <c r="W79" i="18"/>
  <c r="BJ79" i="18" s="1"/>
  <c r="R80" i="18"/>
  <c r="BE80" i="18" s="1"/>
  <c r="S81" i="18"/>
  <c r="BF81" i="18" s="1"/>
  <c r="M82" i="18"/>
  <c r="AZ82" i="18" s="1"/>
  <c r="AA82" i="18"/>
  <c r="BN82" i="18" s="1"/>
  <c r="K83" i="18"/>
  <c r="AX83" i="18" s="1"/>
  <c r="W83" i="18"/>
  <c r="BJ83" i="18" s="1"/>
  <c r="AH83" i="18"/>
  <c r="BU83" i="18" s="1"/>
  <c r="O84" i="18"/>
  <c r="BB84" i="18" s="1"/>
  <c r="X84" i="18"/>
  <c r="BK84" i="18" s="1"/>
  <c r="AE84" i="18"/>
  <c r="BR84" i="18" s="1"/>
  <c r="I85" i="18"/>
  <c r="AV85" i="18" s="1"/>
  <c r="O85" i="18"/>
  <c r="BB85" i="18" s="1"/>
  <c r="V85" i="18"/>
  <c r="BI85" i="18" s="1"/>
  <c r="AD85" i="18"/>
  <c r="BQ85" i="18" s="1"/>
  <c r="G86" i="18"/>
  <c r="AT86" i="18" s="1"/>
  <c r="M86" i="18"/>
  <c r="AZ86" i="18" s="1"/>
  <c r="U86" i="18"/>
  <c r="BH86" i="18" s="1"/>
  <c r="AB86" i="18"/>
  <c r="BO86" i="18" s="1"/>
  <c r="E87" i="18"/>
  <c r="AR87" i="18" s="1"/>
  <c r="M87" i="18"/>
  <c r="AZ87" i="18" s="1"/>
  <c r="S87" i="18"/>
  <c r="BF87" i="18" s="1"/>
  <c r="Z87" i="18"/>
  <c r="BM87" i="18" s="1"/>
  <c r="AH87" i="18"/>
  <c r="BU87" i="18" s="1"/>
  <c r="K88" i="18"/>
  <c r="AX88" i="18" s="1"/>
  <c r="Q88" i="18"/>
  <c r="BD88" i="18" s="1"/>
  <c r="W88" i="18"/>
  <c r="BJ88" i="18" s="1"/>
  <c r="AB88" i="18"/>
  <c r="BO88" i="18" s="1"/>
  <c r="AG88" i="18"/>
  <c r="BT88" i="18" s="1"/>
  <c r="I89" i="18"/>
  <c r="AV89" i="18" s="1"/>
  <c r="N89" i="18"/>
  <c r="BA89" i="18" s="1"/>
  <c r="S89" i="18"/>
  <c r="BF89" i="18" s="1"/>
  <c r="Y89" i="18"/>
  <c r="BL89" i="18" s="1"/>
  <c r="AD89" i="18"/>
  <c r="BQ89" i="18" s="1"/>
  <c r="E90" i="18"/>
  <c r="AR90" i="18" s="1"/>
  <c r="K90" i="18"/>
  <c r="AX90" i="18" s="1"/>
  <c r="P90" i="18"/>
  <c r="BC90" i="18" s="1"/>
  <c r="U90" i="18"/>
  <c r="BH90" i="18" s="1"/>
  <c r="AA90" i="18"/>
  <c r="BN90" i="18" s="1"/>
  <c r="AF90" i="18"/>
  <c r="BS90" i="18" s="1"/>
  <c r="F91" i="18"/>
  <c r="AS91" i="18" s="1"/>
  <c r="J91" i="18"/>
  <c r="AW91" i="18" s="1"/>
  <c r="N91" i="18"/>
  <c r="BA91" i="18" s="1"/>
  <c r="R91" i="18"/>
  <c r="BE91" i="18" s="1"/>
  <c r="V91" i="18"/>
  <c r="BI91" i="18" s="1"/>
  <c r="Z91" i="18"/>
  <c r="BM91" i="18" s="1"/>
  <c r="AD91" i="18"/>
  <c r="BQ91" i="18" s="1"/>
  <c r="AH91" i="18"/>
  <c r="BU91" i="18" s="1"/>
  <c r="H92" i="18"/>
  <c r="AU92" i="18" s="1"/>
  <c r="L92" i="18"/>
  <c r="AY92" i="18" s="1"/>
  <c r="P92" i="18"/>
  <c r="BC92" i="18" s="1"/>
  <c r="T92" i="18"/>
  <c r="BG92" i="18" s="1"/>
  <c r="X92" i="18"/>
  <c r="BK92" i="18" s="1"/>
  <c r="AB92" i="18"/>
  <c r="BO92" i="18" s="1"/>
  <c r="AF92" i="18"/>
  <c r="BS92" i="18" s="1"/>
  <c r="F93" i="18"/>
  <c r="AS93" i="18" s="1"/>
  <c r="J93" i="18"/>
  <c r="AW93" i="18" s="1"/>
  <c r="N93" i="18"/>
  <c r="BA93" i="18" s="1"/>
  <c r="R93" i="18"/>
  <c r="BE93" i="18" s="1"/>
  <c r="V93" i="18"/>
  <c r="BI93" i="18" s="1"/>
  <c r="Z93" i="18"/>
  <c r="BM93" i="18" s="1"/>
  <c r="AD93" i="18"/>
  <c r="BQ93" i="18" s="1"/>
  <c r="AH93" i="18"/>
  <c r="BU93" i="18" s="1"/>
  <c r="H94" i="18"/>
  <c r="AU94" i="18" s="1"/>
  <c r="L94" i="18"/>
  <c r="AY94" i="18" s="1"/>
  <c r="P94" i="18"/>
  <c r="BC94" i="18" s="1"/>
  <c r="T94" i="18"/>
  <c r="BG94" i="18" s="1"/>
  <c r="X94" i="18"/>
  <c r="BK94" i="18" s="1"/>
  <c r="AB94" i="18"/>
  <c r="BO94" i="18" s="1"/>
  <c r="AF94" i="18"/>
  <c r="BS94" i="18" s="1"/>
  <c r="F95" i="18"/>
  <c r="AS95" i="18" s="1"/>
  <c r="J95" i="18"/>
  <c r="AW95" i="18" s="1"/>
  <c r="N95" i="18"/>
  <c r="BA95" i="18" s="1"/>
  <c r="R95" i="18"/>
  <c r="BE95" i="18" s="1"/>
  <c r="V95" i="18"/>
  <c r="BI95" i="18" s="1"/>
  <c r="Z95" i="18"/>
  <c r="BM95" i="18" s="1"/>
  <c r="AD95" i="18"/>
  <c r="BQ95" i="18" s="1"/>
  <c r="AH95" i="18"/>
  <c r="BU95" i="18" s="1"/>
  <c r="H96" i="18"/>
  <c r="AU96" i="18" s="1"/>
  <c r="L96" i="18"/>
  <c r="AY96" i="18" s="1"/>
  <c r="P96" i="18"/>
  <c r="BC96" i="18" s="1"/>
  <c r="T96" i="18"/>
  <c r="BG96" i="18" s="1"/>
  <c r="X96" i="18"/>
  <c r="BK96" i="18" s="1"/>
  <c r="AB96" i="18"/>
  <c r="BO96" i="18" s="1"/>
  <c r="AF96" i="18"/>
  <c r="BS96" i="18" s="1"/>
  <c r="F97" i="18"/>
  <c r="AS97" i="18" s="1"/>
  <c r="J97" i="18"/>
  <c r="AW97" i="18" s="1"/>
  <c r="N97" i="18"/>
  <c r="BA97" i="18" s="1"/>
  <c r="R97" i="18"/>
  <c r="BE97" i="18" s="1"/>
  <c r="V97" i="18"/>
  <c r="BI97" i="18" s="1"/>
  <c r="Z97" i="18"/>
  <c r="BM97" i="18" s="1"/>
  <c r="AD97" i="18"/>
  <c r="BQ97" i="18" s="1"/>
  <c r="AH97" i="18"/>
  <c r="BU97" i="18" s="1"/>
  <c r="H98" i="18"/>
  <c r="AU98" i="18" s="1"/>
  <c r="L98" i="18"/>
  <c r="AY98" i="18" s="1"/>
  <c r="P98" i="18"/>
  <c r="BC98" i="18" s="1"/>
  <c r="T98" i="18"/>
  <c r="BG98" i="18" s="1"/>
  <c r="X98" i="18"/>
  <c r="BK98" i="18" s="1"/>
  <c r="AB98" i="18"/>
  <c r="BO98" i="18" s="1"/>
  <c r="AF98" i="18"/>
  <c r="BS98" i="18" s="1"/>
  <c r="F99" i="18"/>
  <c r="AS99" i="18" s="1"/>
  <c r="J99" i="18"/>
  <c r="AW99" i="18" s="1"/>
  <c r="N99" i="18"/>
  <c r="BA99" i="18" s="1"/>
  <c r="R99" i="18"/>
  <c r="BE99" i="18" s="1"/>
  <c r="V99" i="18"/>
  <c r="BI99" i="18" s="1"/>
  <c r="Z99" i="18"/>
  <c r="BM99" i="18" s="1"/>
  <c r="AD99" i="18"/>
  <c r="BQ99" i="18" s="1"/>
  <c r="AH99" i="18"/>
  <c r="BU99" i="18" s="1"/>
  <c r="H100" i="18"/>
  <c r="AU100" i="18" s="1"/>
  <c r="L100" i="18"/>
  <c r="AY100" i="18" s="1"/>
  <c r="P100" i="18"/>
  <c r="BC100" i="18" s="1"/>
  <c r="T100" i="18"/>
  <c r="BG100" i="18" s="1"/>
  <c r="X100" i="18"/>
  <c r="BK100" i="18" s="1"/>
  <c r="AB100" i="18"/>
  <c r="BO100" i="18" s="1"/>
  <c r="AF100" i="18"/>
  <c r="BS100" i="18" s="1"/>
  <c r="H71" i="18"/>
  <c r="J72" i="18"/>
  <c r="K73" i="18"/>
  <c r="AX73" i="18" s="1"/>
  <c r="F74" i="18"/>
  <c r="AS74" i="18" s="1"/>
  <c r="G75" i="18"/>
  <c r="AT75" i="18" s="1"/>
  <c r="E76" i="18"/>
  <c r="AR76" i="18" s="1"/>
  <c r="AG76" i="18"/>
  <c r="BT76" i="18" s="1"/>
  <c r="AE77" i="18"/>
  <c r="BR77" i="18" s="1"/>
  <c r="AD78" i="18"/>
  <c r="BQ78" i="18" s="1"/>
  <c r="AA79" i="18"/>
  <c r="BN79" i="18" s="1"/>
  <c r="Z80" i="18"/>
  <c r="BM80" i="18" s="1"/>
  <c r="AA81" i="18"/>
  <c r="BN81" i="18" s="1"/>
  <c r="P82" i="18"/>
  <c r="BC82" i="18" s="1"/>
  <c r="AE82" i="18"/>
  <c r="BR82" i="18" s="1"/>
  <c r="O83" i="18"/>
  <c r="BB83" i="18" s="1"/>
  <c r="Z83" i="18"/>
  <c r="BM83" i="18" s="1"/>
  <c r="G84" i="18"/>
  <c r="AT84" i="18" s="1"/>
  <c r="Q84" i="18"/>
  <c r="BD84" i="18" s="1"/>
  <c r="Y84" i="18"/>
  <c r="BL84" i="18" s="1"/>
  <c r="AG84" i="18"/>
  <c r="BT84" i="18" s="1"/>
  <c r="J85" i="18"/>
  <c r="AW85" i="18" s="1"/>
  <c r="Q85" i="18"/>
  <c r="BD85" i="18" s="1"/>
  <c r="Y85" i="18"/>
  <c r="BL85" i="18" s="1"/>
  <c r="AE85" i="18"/>
  <c r="BR85" i="18" s="1"/>
  <c r="H86" i="18"/>
  <c r="AU86" i="18" s="1"/>
  <c r="P86" i="18"/>
  <c r="BC86" i="18" s="1"/>
  <c r="W86" i="18"/>
  <c r="BJ86" i="18" s="1"/>
  <c r="AC86" i="18"/>
  <c r="BP86" i="18" s="1"/>
  <c r="G87" i="18"/>
  <c r="AT87" i="18" s="1"/>
  <c r="N87" i="18"/>
  <c r="BA87" i="18" s="1"/>
  <c r="U87" i="18"/>
  <c r="BH87" i="18" s="1"/>
  <c r="AC87" i="18"/>
  <c r="BP87" i="18" s="1"/>
  <c r="E88" i="18"/>
  <c r="AR88" i="18" s="1"/>
  <c r="L88" i="18"/>
  <c r="AY88" i="18" s="1"/>
  <c r="S88" i="18"/>
  <c r="BF88" i="18" s="1"/>
  <c r="X88" i="18"/>
  <c r="BK88" i="18" s="1"/>
  <c r="AC88" i="18"/>
  <c r="BP88" i="18" s="1"/>
  <c r="E89" i="18"/>
  <c r="AR89" i="18" s="1"/>
  <c r="J89" i="18"/>
  <c r="AW89" i="18" s="1"/>
  <c r="O89" i="18"/>
  <c r="BB89" i="18" s="1"/>
  <c r="U89" i="18"/>
  <c r="BH89" i="18" s="1"/>
  <c r="Z89" i="18"/>
  <c r="BM89" i="18" s="1"/>
  <c r="AE89" i="18"/>
  <c r="BR89" i="18" s="1"/>
  <c r="G90" i="18"/>
  <c r="AT90" i="18" s="1"/>
  <c r="L90" i="18"/>
  <c r="AY90" i="18" s="1"/>
  <c r="Q90" i="18"/>
  <c r="BD90" i="18" s="1"/>
  <c r="W90" i="18"/>
  <c r="BJ90" i="18" s="1"/>
  <c r="AB90" i="18"/>
  <c r="BO90" i="18" s="1"/>
  <c r="AG90" i="18"/>
  <c r="BT90" i="18" s="1"/>
  <c r="G91" i="18"/>
  <c r="AT91" i="18" s="1"/>
  <c r="K91" i="18"/>
  <c r="AX91" i="18" s="1"/>
  <c r="O91" i="18"/>
  <c r="BB91" i="18" s="1"/>
  <c r="S91" i="18"/>
  <c r="BF91" i="18" s="1"/>
  <c r="W91" i="18"/>
  <c r="BJ91" i="18" s="1"/>
  <c r="AA91" i="18"/>
  <c r="BN91" i="18" s="1"/>
  <c r="AE91" i="18"/>
  <c r="BR91" i="18" s="1"/>
  <c r="E92" i="18"/>
  <c r="AR92" i="18" s="1"/>
  <c r="I92" i="18"/>
  <c r="AV92" i="18" s="1"/>
  <c r="M92" i="18"/>
  <c r="AZ92" i="18" s="1"/>
  <c r="Q92" i="18"/>
  <c r="BD92" i="18" s="1"/>
  <c r="U92" i="18"/>
  <c r="BH92" i="18" s="1"/>
  <c r="Y92" i="18"/>
  <c r="BL92" i="18" s="1"/>
  <c r="AC92" i="18"/>
  <c r="BP92" i="18" s="1"/>
  <c r="AG92" i="18"/>
  <c r="BT92" i="18" s="1"/>
  <c r="G93" i="18"/>
  <c r="AT93" i="18" s="1"/>
  <c r="K93" i="18"/>
  <c r="AX93" i="18" s="1"/>
  <c r="O93" i="18"/>
  <c r="BB93" i="18" s="1"/>
  <c r="S93" i="18"/>
  <c r="BF93" i="18" s="1"/>
  <c r="W93" i="18"/>
  <c r="BJ93" i="18" s="1"/>
  <c r="AA93" i="18"/>
  <c r="BN93" i="18" s="1"/>
  <c r="AE93" i="18"/>
  <c r="BR93" i="18" s="1"/>
  <c r="E94" i="18"/>
  <c r="AR94" i="18" s="1"/>
  <c r="I94" i="18"/>
  <c r="AV94" i="18" s="1"/>
  <c r="M94" i="18"/>
  <c r="AZ94" i="18" s="1"/>
  <c r="Q94" i="18"/>
  <c r="BD94" i="18" s="1"/>
  <c r="U94" i="18"/>
  <c r="BH94" i="18" s="1"/>
  <c r="Y94" i="18"/>
  <c r="BL94" i="18" s="1"/>
  <c r="AC94" i="18"/>
  <c r="BP94" i="18" s="1"/>
  <c r="AG94" i="18"/>
  <c r="BT94" i="18" s="1"/>
  <c r="G95" i="18"/>
  <c r="AT95" i="18" s="1"/>
  <c r="K95" i="18"/>
  <c r="AX95" i="18" s="1"/>
  <c r="O95" i="18"/>
  <c r="BB95" i="18" s="1"/>
  <c r="S95" i="18"/>
  <c r="BF95" i="18" s="1"/>
  <c r="W95" i="18"/>
  <c r="BJ95" i="18" s="1"/>
  <c r="AA95" i="18"/>
  <c r="BN95" i="18" s="1"/>
  <c r="AE95" i="18"/>
  <c r="BR95" i="18" s="1"/>
  <c r="E96" i="18"/>
  <c r="AR96" i="18" s="1"/>
  <c r="I96" i="18"/>
  <c r="AV96" i="18" s="1"/>
  <c r="M96" i="18"/>
  <c r="AZ96" i="18" s="1"/>
  <c r="Q96" i="18"/>
  <c r="BD96" i="18" s="1"/>
  <c r="U96" i="18"/>
  <c r="BH96" i="18" s="1"/>
  <c r="Y96" i="18"/>
  <c r="BL96" i="18" s="1"/>
  <c r="AC96" i="18"/>
  <c r="BP96" i="18" s="1"/>
  <c r="AG96" i="18"/>
  <c r="BT96" i="18" s="1"/>
  <c r="G97" i="18"/>
  <c r="AT97" i="18" s="1"/>
  <c r="K97" i="18"/>
  <c r="AX97" i="18" s="1"/>
  <c r="O97" i="18"/>
  <c r="BB97" i="18" s="1"/>
  <c r="S97" i="18"/>
  <c r="BF97" i="18" s="1"/>
  <c r="W97" i="18"/>
  <c r="BJ97" i="18" s="1"/>
  <c r="AA97" i="18"/>
  <c r="BN97" i="18" s="1"/>
  <c r="AE97" i="18"/>
  <c r="BR97" i="18" s="1"/>
  <c r="E98" i="18"/>
  <c r="AR98" i="18" s="1"/>
  <c r="I98" i="18"/>
  <c r="AV98" i="18" s="1"/>
  <c r="M98" i="18"/>
  <c r="AZ98" i="18" s="1"/>
  <c r="Q98" i="18"/>
  <c r="BD98" i="18" s="1"/>
  <c r="U98" i="18"/>
  <c r="BH98" i="18" s="1"/>
  <c r="Y98" i="18"/>
  <c r="BL98" i="18" s="1"/>
  <c r="AC98" i="18"/>
  <c r="BP98" i="18" s="1"/>
  <c r="AG98" i="18"/>
  <c r="BT98" i="18" s="1"/>
  <c r="G99" i="18"/>
  <c r="AT99" i="18" s="1"/>
  <c r="K99" i="18"/>
  <c r="AX99" i="18" s="1"/>
  <c r="O99" i="18"/>
  <c r="BB99" i="18" s="1"/>
  <c r="S99" i="18"/>
  <c r="BF99" i="18" s="1"/>
  <c r="W99" i="18"/>
  <c r="BJ99" i="18" s="1"/>
  <c r="AA99" i="18"/>
  <c r="BN99" i="18" s="1"/>
  <c r="AE99" i="18"/>
  <c r="BR99" i="18" s="1"/>
  <c r="E100" i="18"/>
  <c r="AR100" i="18" s="1"/>
  <c r="I100" i="18"/>
  <c r="AV100" i="18" s="1"/>
  <c r="M100" i="18"/>
  <c r="AZ100" i="18" s="1"/>
  <c r="Q100" i="18"/>
  <c r="BD100" i="18" s="1"/>
  <c r="U100" i="18"/>
  <c r="BH100" i="18" s="1"/>
  <c r="Y100" i="18"/>
  <c r="BL100" i="18" s="1"/>
  <c r="AC100" i="18"/>
  <c r="BP100" i="18" s="1"/>
  <c r="AG100" i="18"/>
  <c r="BT100" i="18" s="1"/>
  <c r="H91" i="18"/>
  <c r="AU91" i="18" s="1"/>
  <c r="F92" i="18"/>
  <c r="AS92" i="18" s="1"/>
  <c r="R92" i="18"/>
  <c r="BE92" i="18" s="1"/>
  <c r="AD92" i="18"/>
  <c r="BQ92" i="18" s="1"/>
  <c r="H93" i="18"/>
  <c r="AU93" i="18" s="1"/>
  <c r="P93" i="18"/>
  <c r="BC93" i="18" s="1"/>
  <c r="X93" i="18"/>
  <c r="BK93" i="18" s="1"/>
  <c r="AF93" i="18"/>
  <c r="BS93" i="18" s="1"/>
  <c r="N94" i="18"/>
  <c r="BA94" i="18" s="1"/>
  <c r="Z94" i="18"/>
  <c r="BM94" i="18" s="1"/>
  <c r="AH94" i="18"/>
  <c r="BU94" i="18" s="1"/>
  <c r="P95" i="18"/>
  <c r="BC95" i="18" s="1"/>
  <c r="AB95" i="18"/>
  <c r="BO95" i="18" s="1"/>
  <c r="F96" i="18"/>
  <c r="AS96" i="18" s="1"/>
  <c r="R96" i="18"/>
  <c r="BE96" i="18" s="1"/>
  <c r="AD96" i="18"/>
  <c r="BQ96" i="18" s="1"/>
  <c r="H97" i="18"/>
  <c r="AU97" i="18" s="1"/>
  <c r="T97" i="18"/>
  <c r="BG97" i="18" s="1"/>
  <c r="AB97" i="18"/>
  <c r="BO97" i="18" s="1"/>
  <c r="J98" i="18"/>
  <c r="AW98" i="18" s="1"/>
  <c r="R98" i="18"/>
  <c r="BE98" i="18" s="1"/>
  <c r="Z98" i="18"/>
  <c r="BM98" i="18" s="1"/>
  <c r="H99" i="18"/>
  <c r="AU99" i="18" s="1"/>
  <c r="P99" i="18"/>
  <c r="BC99" i="18" s="1"/>
  <c r="AB99" i="18"/>
  <c r="BO99" i="18" s="1"/>
  <c r="F100" i="18"/>
  <c r="AS100" i="18" s="1"/>
  <c r="N100" i="18"/>
  <c r="BA100" i="18" s="1"/>
  <c r="Z100" i="18"/>
  <c r="BM100" i="18" s="1"/>
  <c r="S71" i="18"/>
  <c r="R72" i="18"/>
  <c r="O73" i="18"/>
  <c r="BB73" i="18" s="1"/>
  <c r="N74" i="18"/>
  <c r="BA74" i="18" s="1"/>
  <c r="O75" i="18"/>
  <c r="BB75" i="18" s="1"/>
  <c r="J76" i="18"/>
  <c r="AW76" i="18" s="1"/>
  <c r="K77" i="18"/>
  <c r="AX77" i="18" s="1"/>
  <c r="I78" i="18"/>
  <c r="AV78" i="18" s="1"/>
  <c r="G79" i="18"/>
  <c r="AT79" i="18" s="1"/>
  <c r="E80" i="18"/>
  <c r="AR80" i="18" s="1"/>
  <c r="AH80" i="18"/>
  <c r="BU80" i="18" s="1"/>
  <c r="AE81" i="18"/>
  <c r="BR81" i="18" s="1"/>
  <c r="T82" i="18"/>
  <c r="BG82" i="18" s="1"/>
  <c r="E83" i="18"/>
  <c r="AR83" i="18" s="1"/>
  <c r="R83" i="18"/>
  <c r="BE83" i="18" s="1"/>
  <c r="AC83" i="18"/>
  <c r="BP83" i="18" s="1"/>
  <c r="I84" i="18"/>
  <c r="AV84" i="18" s="1"/>
  <c r="T84" i="18"/>
  <c r="BG84" i="18" s="1"/>
  <c r="AB84" i="18"/>
  <c r="BO84" i="18" s="1"/>
  <c r="E85" i="18"/>
  <c r="AR85" i="18" s="1"/>
  <c r="K85" i="18"/>
  <c r="AX85" i="18" s="1"/>
  <c r="S85" i="18"/>
  <c r="BF85" i="18" s="1"/>
  <c r="Z85" i="18"/>
  <c r="BM85" i="18" s="1"/>
  <c r="AG85" i="18"/>
  <c r="BT85" i="18" s="1"/>
  <c r="K86" i="18"/>
  <c r="AX86" i="18" s="1"/>
  <c r="Q86" i="18"/>
  <c r="BD86" i="18" s="1"/>
  <c r="X86" i="18"/>
  <c r="BK86" i="18" s="1"/>
  <c r="AF86" i="18"/>
  <c r="BS86" i="18" s="1"/>
  <c r="I87" i="18"/>
  <c r="AV87" i="18" s="1"/>
  <c r="O87" i="18"/>
  <c r="BB87" i="18" s="1"/>
  <c r="W87" i="18"/>
  <c r="BJ87" i="18" s="1"/>
  <c r="AD87" i="18"/>
  <c r="BQ87" i="18" s="1"/>
  <c r="G88" i="18"/>
  <c r="AT88" i="18" s="1"/>
  <c r="O88" i="18"/>
  <c r="BB88" i="18" s="1"/>
  <c r="T88" i="18"/>
  <c r="BG88" i="18" s="1"/>
  <c r="Y88" i="18"/>
  <c r="BL88" i="18" s="1"/>
  <c r="AE88" i="18"/>
  <c r="BR88" i="18" s="1"/>
  <c r="F89" i="18"/>
  <c r="AS89" i="18" s="1"/>
  <c r="K89" i="18"/>
  <c r="AX89" i="18" s="1"/>
  <c r="Q89" i="18"/>
  <c r="BD89" i="18" s="1"/>
  <c r="V89" i="18"/>
  <c r="BI89" i="18" s="1"/>
  <c r="AA89" i="18"/>
  <c r="BN89" i="18" s="1"/>
  <c r="AG89" i="18"/>
  <c r="BT89" i="18" s="1"/>
  <c r="H90" i="18"/>
  <c r="AU90" i="18" s="1"/>
  <c r="M90" i="18"/>
  <c r="AZ90" i="18" s="1"/>
  <c r="S90" i="18"/>
  <c r="BF90" i="18" s="1"/>
  <c r="X90" i="18"/>
  <c r="BK90" i="18" s="1"/>
  <c r="AC90" i="18"/>
  <c r="BP90" i="18" s="1"/>
  <c r="AH90" i="18"/>
  <c r="BU90" i="18" s="1"/>
  <c r="L91" i="18"/>
  <c r="AY91" i="18" s="1"/>
  <c r="P91" i="18"/>
  <c r="BC91" i="18" s="1"/>
  <c r="T91" i="18"/>
  <c r="BG91" i="18" s="1"/>
  <c r="X91" i="18"/>
  <c r="BK91" i="18" s="1"/>
  <c r="AB91" i="18"/>
  <c r="BO91" i="18" s="1"/>
  <c r="AF91" i="18"/>
  <c r="BS91" i="18" s="1"/>
  <c r="J92" i="18"/>
  <c r="AW92" i="18" s="1"/>
  <c r="N92" i="18"/>
  <c r="BA92" i="18" s="1"/>
  <c r="V92" i="18"/>
  <c r="BI92" i="18" s="1"/>
  <c r="Z92" i="18"/>
  <c r="BM92" i="18" s="1"/>
  <c r="AH92" i="18"/>
  <c r="BU92" i="18" s="1"/>
  <c r="L93" i="18"/>
  <c r="AY93" i="18" s="1"/>
  <c r="T93" i="18"/>
  <c r="BG93" i="18" s="1"/>
  <c r="AB93" i="18"/>
  <c r="BO93" i="18" s="1"/>
  <c r="F94" i="18"/>
  <c r="AS94" i="18" s="1"/>
  <c r="J94" i="18"/>
  <c r="AW94" i="18" s="1"/>
  <c r="R94" i="18"/>
  <c r="BE94" i="18" s="1"/>
  <c r="V94" i="18"/>
  <c r="BI94" i="18" s="1"/>
  <c r="AD94" i="18"/>
  <c r="BQ94" i="18" s="1"/>
  <c r="H95" i="18"/>
  <c r="AU95" i="18" s="1"/>
  <c r="L95" i="18"/>
  <c r="AY95" i="18" s="1"/>
  <c r="T95" i="18"/>
  <c r="BG95" i="18" s="1"/>
  <c r="X95" i="18"/>
  <c r="BK95" i="18" s="1"/>
  <c r="AF95" i="18"/>
  <c r="BS95" i="18" s="1"/>
  <c r="J96" i="18"/>
  <c r="AW96" i="18" s="1"/>
  <c r="N96" i="18"/>
  <c r="BA96" i="18" s="1"/>
  <c r="V96" i="18"/>
  <c r="BI96" i="18" s="1"/>
  <c r="Z96" i="18"/>
  <c r="BM96" i="18" s="1"/>
  <c r="AH96" i="18"/>
  <c r="BU96" i="18" s="1"/>
  <c r="L97" i="18"/>
  <c r="AY97" i="18" s="1"/>
  <c r="P97" i="18"/>
  <c r="BC97" i="18" s="1"/>
  <c r="X97" i="18"/>
  <c r="BK97" i="18" s="1"/>
  <c r="AF97" i="18"/>
  <c r="BS97" i="18" s="1"/>
  <c r="F98" i="18"/>
  <c r="AS98" i="18" s="1"/>
  <c r="N98" i="18"/>
  <c r="BA98" i="18" s="1"/>
  <c r="V98" i="18"/>
  <c r="BI98" i="18" s="1"/>
  <c r="AD98" i="18"/>
  <c r="BQ98" i="18" s="1"/>
  <c r="AH98" i="18"/>
  <c r="BU98" i="18" s="1"/>
  <c r="L99" i="18"/>
  <c r="AY99" i="18" s="1"/>
  <c r="T99" i="18"/>
  <c r="BG99" i="18" s="1"/>
  <c r="X99" i="18"/>
  <c r="BK99" i="18" s="1"/>
  <c r="AF99" i="18"/>
  <c r="BS99" i="18" s="1"/>
  <c r="J100" i="18"/>
  <c r="AW100" i="18" s="1"/>
  <c r="R100" i="18"/>
  <c r="BE100" i="18" s="1"/>
  <c r="V100" i="18"/>
  <c r="BI100" i="18" s="1"/>
  <c r="AD100" i="18"/>
  <c r="BQ100" i="18" s="1"/>
  <c r="AH100" i="18"/>
  <c r="BU100" i="18" s="1"/>
  <c r="AA71" i="18"/>
  <c r="BN71" i="18" s="1"/>
  <c r="Y72" i="18"/>
  <c r="BL72" i="18" s="1"/>
  <c r="W73" i="18"/>
  <c r="BJ73" i="18" s="1"/>
  <c r="V74" i="18"/>
  <c r="BI74" i="18" s="1"/>
  <c r="S75" i="18"/>
  <c r="BF75" i="18" s="1"/>
  <c r="R76" i="18"/>
  <c r="BE76" i="18" s="1"/>
  <c r="S77" i="18"/>
  <c r="BF77" i="18" s="1"/>
  <c r="N78" i="18"/>
  <c r="BA78" i="18" s="1"/>
  <c r="O79" i="18"/>
  <c r="BB79" i="18" s="1"/>
  <c r="M80" i="18"/>
  <c r="AZ80" i="18" s="1"/>
  <c r="K81" i="18"/>
  <c r="AX81" i="18" s="1"/>
  <c r="G82" i="18"/>
  <c r="AT82" i="18" s="1"/>
  <c r="X82" i="18"/>
  <c r="BK82" i="18" s="1"/>
  <c r="G83" i="18"/>
  <c r="AT83" i="18" s="1"/>
  <c r="U83" i="18"/>
  <c r="BH83" i="18" s="1"/>
  <c r="AE83" i="18"/>
  <c r="BR83" i="18" s="1"/>
  <c r="L84" i="18"/>
  <c r="AY84" i="18" s="1"/>
  <c r="W84" i="18"/>
  <c r="BJ84" i="18" s="1"/>
  <c r="AC84" i="18"/>
  <c r="BP84" i="18" s="1"/>
  <c r="F85" i="18"/>
  <c r="AS85" i="18" s="1"/>
  <c r="N85" i="18"/>
  <c r="BA85" i="18" s="1"/>
  <c r="U85" i="18"/>
  <c r="BH85" i="18" s="1"/>
  <c r="AA85" i="18"/>
  <c r="BN85" i="18" s="1"/>
  <c r="E86" i="18"/>
  <c r="AR86" i="18" s="1"/>
  <c r="L86" i="18"/>
  <c r="AY86" i="18" s="1"/>
  <c r="S86" i="18"/>
  <c r="BF86" i="18" s="1"/>
  <c r="AA86" i="18"/>
  <c r="BN86" i="18" s="1"/>
  <c r="AG86" i="18"/>
  <c r="BT86" i="18" s="1"/>
  <c r="J87" i="18"/>
  <c r="AW87" i="18" s="1"/>
  <c r="R87" i="18"/>
  <c r="BE87" i="18" s="1"/>
  <c r="Y87" i="18"/>
  <c r="BL87" i="18" s="1"/>
  <c r="AE87" i="18"/>
  <c r="BR87" i="18" s="1"/>
  <c r="I88" i="18"/>
  <c r="AV88" i="18" s="1"/>
  <c r="P88" i="18"/>
  <c r="BC88" i="18" s="1"/>
  <c r="U88" i="18"/>
  <c r="BH88" i="18" s="1"/>
  <c r="AA88" i="18"/>
  <c r="BN88" i="18" s="1"/>
  <c r="AF88" i="18"/>
  <c r="BS88" i="18" s="1"/>
  <c r="G89" i="18"/>
  <c r="AT89" i="18" s="1"/>
  <c r="M89" i="18"/>
  <c r="AZ89" i="18" s="1"/>
  <c r="R89" i="18"/>
  <c r="BE89" i="18" s="1"/>
  <c r="W89" i="18"/>
  <c r="BJ89" i="18" s="1"/>
  <c r="AC89" i="18"/>
  <c r="BP89" i="18" s="1"/>
  <c r="AH89" i="18"/>
  <c r="BU89" i="18" s="1"/>
  <c r="I90" i="18"/>
  <c r="AV90" i="18" s="1"/>
  <c r="O90" i="18"/>
  <c r="BB90" i="18" s="1"/>
  <c r="T90" i="18"/>
  <c r="BG90" i="18" s="1"/>
  <c r="Y90" i="18"/>
  <c r="BL90" i="18" s="1"/>
  <c r="AE90" i="18"/>
  <c r="BR90" i="18" s="1"/>
  <c r="E91" i="18"/>
  <c r="AR91" i="18" s="1"/>
  <c r="I91" i="18"/>
  <c r="AV91" i="18" s="1"/>
  <c r="M91" i="18"/>
  <c r="AZ91" i="18" s="1"/>
  <c r="Q91" i="18"/>
  <c r="BD91" i="18" s="1"/>
  <c r="U91" i="18"/>
  <c r="BH91" i="18" s="1"/>
  <c r="Y91" i="18"/>
  <c r="BL91" i="18" s="1"/>
  <c r="AC91" i="18"/>
  <c r="BP91" i="18" s="1"/>
  <c r="AG91" i="18"/>
  <c r="BT91" i="18" s="1"/>
  <c r="G92" i="18"/>
  <c r="AT92" i="18" s="1"/>
  <c r="K92" i="18"/>
  <c r="AX92" i="18" s="1"/>
  <c r="O92" i="18"/>
  <c r="BB92" i="18" s="1"/>
  <c r="S92" i="18"/>
  <c r="BF92" i="18" s="1"/>
  <c r="W92" i="18"/>
  <c r="BJ92" i="18" s="1"/>
  <c r="AA92" i="18"/>
  <c r="BN92" i="18" s="1"/>
  <c r="AE92" i="18"/>
  <c r="BR92" i="18" s="1"/>
  <c r="E93" i="18"/>
  <c r="AR93" i="18" s="1"/>
  <c r="I93" i="18"/>
  <c r="AV93" i="18" s="1"/>
  <c r="M93" i="18"/>
  <c r="AZ93" i="18" s="1"/>
  <c r="Q93" i="18"/>
  <c r="BD93" i="18" s="1"/>
  <c r="U93" i="18"/>
  <c r="BH93" i="18" s="1"/>
  <c r="Y93" i="18"/>
  <c r="BL93" i="18" s="1"/>
  <c r="AC93" i="18"/>
  <c r="BP93" i="18" s="1"/>
  <c r="AG93" i="18"/>
  <c r="BT93" i="18" s="1"/>
  <c r="G94" i="18"/>
  <c r="AT94" i="18" s="1"/>
  <c r="K94" i="18"/>
  <c r="AX94" i="18" s="1"/>
  <c r="O94" i="18"/>
  <c r="BB94" i="18" s="1"/>
  <c r="AA94" i="18"/>
  <c r="BN94" i="18" s="1"/>
  <c r="M95" i="18"/>
  <c r="AZ95" i="18" s="1"/>
  <c r="AC95" i="18"/>
  <c r="BP95" i="18" s="1"/>
  <c r="O96" i="18"/>
  <c r="BB96" i="18" s="1"/>
  <c r="AE96" i="18"/>
  <c r="BR96" i="18" s="1"/>
  <c r="Q97" i="18"/>
  <c r="BD97" i="18" s="1"/>
  <c r="AG97" i="18"/>
  <c r="BT97" i="18" s="1"/>
  <c r="S98" i="18"/>
  <c r="BF98" i="18" s="1"/>
  <c r="E99" i="18"/>
  <c r="AR99" i="18" s="1"/>
  <c r="U99" i="18"/>
  <c r="BH99" i="18" s="1"/>
  <c r="G100" i="18"/>
  <c r="AT100" i="18" s="1"/>
  <c r="W100" i="18"/>
  <c r="BJ100" i="18" s="1"/>
  <c r="Q95" i="18"/>
  <c r="BD95" i="18" s="1"/>
  <c r="AG95" i="18"/>
  <c r="BT95" i="18" s="1"/>
  <c r="E97" i="18"/>
  <c r="AR97" i="18" s="1"/>
  <c r="G98" i="18"/>
  <c r="AT98" i="18" s="1"/>
  <c r="I99" i="18"/>
  <c r="AV99" i="18" s="1"/>
  <c r="K100" i="18"/>
  <c r="AX100" i="18" s="1"/>
  <c r="AA100" i="18"/>
  <c r="BN100" i="18" s="1"/>
  <c r="S94" i="18"/>
  <c r="BF94" i="18" s="1"/>
  <c r="U95" i="18"/>
  <c r="BH95" i="18" s="1"/>
  <c r="W96" i="18"/>
  <c r="BJ96" i="18" s="1"/>
  <c r="Y97" i="18"/>
  <c r="BL97" i="18" s="1"/>
  <c r="AA98" i="18"/>
  <c r="BN98" i="18" s="1"/>
  <c r="AC99" i="18"/>
  <c r="BP99" i="18" s="1"/>
  <c r="AE100" i="18"/>
  <c r="BR100" i="18" s="1"/>
  <c r="I95" i="18"/>
  <c r="AV95" i="18" s="1"/>
  <c r="K96" i="18"/>
  <c r="AX96" i="18" s="1"/>
  <c r="AA96" i="18"/>
  <c r="BN96" i="18" s="1"/>
  <c r="M97" i="18"/>
  <c r="AZ97" i="18" s="1"/>
  <c r="O98" i="18"/>
  <c r="BB98" i="18" s="1"/>
  <c r="Q99" i="18"/>
  <c r="BD99" i="18" s="1"/>
  <c r="S100" i="18"/>
  <c r="BF100" i="18" s="1"/>
  <c r="AE94" i="18"/>
  <c r="BR94" i="18" s="1"/>
  <c r="S96" i="18"/>
  <c r="BF96" i="18" s="1"/>
  <c r="U97" i="18"/>
  <c r="BH97" i="18" s="1"/>
  <c r="W98" i="18"/>
  <c r="BJ98" i="18" s="1"/>
  <c r="Y99" i="18"/>
  <c r="BL99" i="18" s="1"/>
  <c r="E95" i="18"/>
  <c r="AR95" i="18" s="1"/>
  <c r="G96" i="18"/>
  <c r="AT96" i="18" s="1"/>
  <c r="I97" i="18"/>
  <c r="AV97" i="18" s="1"/>
  <c r="K98" i="18"/>
  <c r="AX98" i="18" s="1"/>
  <c r="M99" i="18"/>
  <c r="AZ99" i="18" s="1"/>
  <c r="O100" i="18"/>
  <c r="BB100" i="18" s="1"/>
  <c r="W94" i="18"/>
  <c r="BJ94" i="18" s="1"/>
  <c r="Y95" i="18"/>
  <c r="BL95" i="18" s="1"/>
  <c r="AC97" i="18"/>
  <c r="BP97" i="18" s="1"/>
  <c r="AE98" i="18"/>
  <c r="BR98" i="18" s="1"/>
  <c r="AG99" i="18"/>
  <c r="BT99" i="18" s="1"/>
  <c r="H82" i="18"/>
  <c r="AU82" i="18" s="1"/>
  <c r="V81" i="18"/>
  <c r="BI81" i="18" s="1"/>
  <c r="F81" i="18"/>
  <c r="AS81" i="18" s="1"/>
  <c r="T80" i="18"/>
  <c r="BG80" i="18" s="1"/>
  <c r="AH79" i="18"/>
  <c r="BU79" i="18" s="1"/>
  <c r="R79" i="18"/>
  <c r="BE79" i="18" s="1"/>
  <c r="AF78" i="18"/>
  <c r="BS78" i="18" s="1"/>
  <c r="P78" i="18"/>
  <c r="BC78" i="18" s="1"/>
  <c r="AD77" i="18"/>
  <c r="BQ77" i="18" s="1"/>
  <c r="N77" i="18"/>
  <c r="BA77" i="18" s="1"/>
  <c r="AB76" i="18"/>
  <c r="BO76" i="18" s="1"/>
  <c r="L76" i="18"/>
  <c r="AY76" i="18" s="1"/>
  <c r="Z75" i="18"/>
  <c r="BM75" i="18" s="1"/>
  <c r="J75" i="18"/>
  <c r="AW75" i="18" s="1"/>
  <c r="X74" i="18"/>
  <c r="BK74" i="18" s="1"/>
  <c r="H74" i="18"/>
  <c r="AU74" i="18" s="1"/>
  <c r="V73" i="18"/>
  <c r="BI73" i="18" s="1"/>
  <c r="F73" i="18"/>
  <c r="AS73" i="18" s="1"/>
  <c r="T72" i="18"/>
  <c r="BG72" i="18" s="1"/>
  <c r="AH71" i="18"/>
  <c r="R71" i="18"/>
  <c r="AG81" i="18"/>
  <c r="BT81" i="18" s="1"/>
  <c r="Q81" i="18"/>
  <c r="BD81" i="18" s="1"/>
  <c r="AE80" i="18"/>
  <c r="BR80" i="18" s="1"/>
  <c r="O80" i="18"/>
  <c r="BB80" i="18" s="1"/>
  <c r="AC79" i="18"/>
  <c r="BP79" i="18" s="1"/>
  <c r="M79" i="18"/>
  <c r="AZ79" i="18" s="1"/>
  <c r="AA78" i="18"/>
  <c r="BN78" i="18" s="1"/>
  <c r="K78" i="18"/>
  <c r="AX78" i="18" s="1"/>
  <c r="Y77" i="18"/>
  <c r="BL77" i="18" s="1"/>
  <c r="I77" i="18"/>
  <c r="AV77" i="18" s="1"/>
  <c r="W76" i="18"/>
  <c r="BJ76" i="18" s="1"/>
  <c r="G76" i="18"/>
  <c r="AT76" i="18" s="1"/>
  <c r="U75" i="18"/>
  <c r="BH75" i="18" s="1"/>
  <c r="E75" i="18"/>
  <c r="AR75" i="18" s="1"/>
  <c r="S74" i="18"/>
  <c r="BF74" i="18" s="1"/>
  <c r="AG73" i="18"/>
  <c r="BT73" i="18" s="1"/>
  <c r="Q73" i="18"/>
  <c r="BD73" i="18" s="1"/>
  <c r="AE72" i="18"/>
  <c r="O72" i="18"/>
  <c r="AC71" i="18"/>
  <c r="BP71" i="18" s="1"/>
  <c r="M71" i="18"/>
  <c r="O74" i="18"/>
  <c r="BB74" i="18" s="1"/>
  <c r="AA72" i="18"/>
  <c r="BN72" i="18" s="1"/>
  <c r="Y71" i="18"/>
  <c r="BL71" i="18" s="1"/>
  <c r="I71" i="18"/>
  <c r="J81" i="18"/>
  <c r="AW81" i="18" s="1"/>
  <c r="H80" i="18"/>
  <c r="AU80" i="18" s="1"/>
  <c r="F79" i="18"/>
  <c r="AS79" i="18" s="1"/>
  <c r="AH77" i="18"/>
  <c r="BU77" i="18" s="1"/>
  <c r="P76" i="18"/>
  <c r="BC76" i="18" s="1"/>
  <c r="N75" i="18"/>
  <c r="BA75" i="18" s="1"/>
  <c r="Z73" i="18"/>
  <c r="BM73" i="18" s="1"/>
  <c r="X72" i="18"/>
  <c r="BK72" i="18" s="1"/>
  <c r="V71" i="18"/>
  <c r="BI71" i="18" s="1"/>
  <c r="E81" i="18"/>
  <c r="AR81" i="18" s="1"/>
  <c r="AG79" i="18"/>
  <c r="BT79" i="18" s="1"/>
  <c r="O78" i="18"/>
  <c r="BB78" i="18" s="1"/>
  <c r="M77" i="18"/>
  <c r="AZ77" i="18" s="1"/>
  <c r="K76" i="18"/>
  <c r="AX76" i="18" s="1"/>
  <c r="I75" i="18"/>
  <c r="AV75" i="18" s="1"/>
  <c r="G74" i="18"/>
  <c r="AT74" i="18" s="1"/>
  <c r="E73" i="18"/>
  <c r="AR73" i="18" s="1"/>
  <c r="Q71" i="18"/>
  <c r="AH81" i="18"/>
  <c r="BU81" i="18" s="1"/>
  <c r="R81" i="18"/>
  <c r="BE81" i="18" s="1"/>
  <c r="AF80" i="18"/>
  <c r="BS80" i="18" s="1"/>
  <c r="P80" i="18"/>
  <c r="BC80" i="18" s="1"/>
  <c r="AD79" i="18"/>
  <c r="BQ79" i="18" s="1"/>
  <c r="N79" i="18"/>
  <c r="BA79" i="18" s="1"/>
  <c r="AB78" i="18"/>
  <c r="BO78" i="18" s="1"/>
  <c r="L78" i="18"/>
  <c r="AY78" i="18" s="1"/>
  <c r="Z77" i="18"/>
  <c r="BM77" i="18" s="1"/>
  <c r="J77" i="18"/>
  <c r="AW77" i="18" s="1"/>
  <c r="X76" i="18"/>
  <c r="BK76" i="18" s="1"/>
  <c r="H76" i="18"/>
  <c r="AU76" i="18" s="1"/>
  <c r="V75" i="18"/>
  <c r="BI75" i="18" s="1"/>
  <c r="F75" i="18"/>
  <c r="AS75" i="18" s="1"/>
  <c r="T74" i="18"/>
  <c r="BG74" i="18" s="1"/>
  <c r="AH73" i="18"/>
  <c r="BU73" i="18" s="1"/>
  <c r="R73" i="18"/>
  <c r="BE73" i="18" s="1"/>
  <c r="AF72" i="18"/>
  <c r="BS72" i="18" s="1"/>
  <c r="P72" i="18"/>
  <c r="AD71" i="18"/>
  <c r="BQ71" i="18" s="1"/>
  <c r="N71" i="18"/>
  <c r="AC81" i="18"/>
  <c r="BP81" i="18" s="1"/>
  <c r="M81" i="18"/>
  <c r="AZ81" i="18" s="1"/>
  <c r="AA80" i="18"/>
  <c r="BN80" i="18" s="1"/>
  <c r="K80" i="18"/>
  <c r="AX80" i="18" s="1"/>
  <c r="Y79" i="18"/>
  <c r="BL79" i="18" s="1"/>
  <c r="I79" i="18"/>
  <c r="AV79" i="18" s="1"/>
  <c r="W78" i="18"/>
  <c r="BJ78" i="18" s="1"/>
  <c r="G78" i="18"/>
  <c r="AT78" i="18" s="1"/>
  <c r="U77" i="18"/>
  <c r="BH77" i="18" s="1"/>
  <c r="E77" i="18"/>
  <c r="AR77" i="18" s="1"/>
  <c r="S76" i="18"/>
  <c r="BF76" i="18" s="1"/>
  <c r="AG75" i="18"/>
  <c r="BT75" i="18" s="1"/>
  <c r="Q75" i="18"/>
  <c r="BD75" i="18" s="1"/>
  <c r="AE74" i="18"/>
  <c r="BR74" i="18" s="1"/>
  <c r="AC73" i="18"/>
  <c r="BP73" i="18" s="1"/>
  <c r="M73" i="18"/>
  <c r="AZ73" i="18" s="1"/>
  <c r="K72" i="18"/>
  <c r="AD81" i="18"/>
  <c r="BQ81" i="18" s="1"/>
  <c r="N81" i="18"/>
  <c r="BA81" i="18" s="1"/>
  <c r="AB80" i="18"/>
  <c r="BO80" i="18" s="1"/>
  <c r="L80" i="18"/>
  <c r="AY80" i="18" s="1"/>
  <c r="Z79" i="18"/>
  <c r="BM79" i="18" s="1"/>
  <c r="J79" i="18"/>
  <c r="AW79" i="18" s="1"/>
  <c r="X78" i="18"/>
  <c r="BK78" i="18" s="1"/>
  <c r="H78" i="18"/>
  <c r="AU78" i="18" s="1"/>
  <c r="V77" i="18"/>
  <c r="BI77" i="18" s="1"/>
  <c r="F77" i="18"/>
  <c r="AS77" i="18" s="1"/>
  <c r="T76" i="18"/>
  <c r="BG76" i="18" s="1"/>
  <c r="AH75" i="18"/>
  <c r="BU75" i="18" s="1"/>
  <c r="R75" i="18"/>
  <c r="BE75" i="18" s="1"/>
  <c r="AF74" i="18"/>
  <c r="BS74" i="18" s="1"/>
  <c r="P74" i="18"/>
  <c r="BC74" i="18" s="1"/>
  <c r="AD73" i="18"/>
  <c r="BQ73" i="18" s="1"/>
  <c r="N73" i="18"/>
  <c r="BA73" i="18" s="1"/>
  <c r="AB72" i="18"/>
  <c r="BO72" i="18" s="1"/>
  <c r="L72" i="18"/>
  <c r="Z71" i="18"/>
  <c r="BM71" i="18" s="1"/>
  <c r="J71" i="18"/>
  <c r="Y81" i="18"/>
  <c r="BL81" i="18" s="1"/>
  <c r="I81" i="18"/>
  <c r="AV81" i="18" s="1"/>
  <c r="W80" i="18"/>
  <c r="BJ80" i="18" s="1"/>
  <c r="G80" i="18"/>
  <c r="AT80" i="18" s="1"/>
  <c r="U79" i="18"/>
  <c r="BH79" i="18" s="1"/>
  <c r="E79" i="18"/>
  <c r="AR79" i="18" s="1"/>
  <c r="S78" i="18"/>
  <c r="BF78" i="18" s="1"/>
  <c r="AG77" i="18"/>
  <c r="BT77" i="18" s="1"/>
  <c r="Q77" i="18"/>
  <c r="BD77" i="18" s="1"/>
  <c r="AE76" i="18"/>
  <c r="BR76" i="18" s="1"/>
  <c r="O76" i="18"/>
  <c r="BB76" i="18" s="1"/>
  <c r="AC75" i="18"/>
  <c r="BP75" i="18" s="1"/>
  <c r="M75" i="18"/>
  <c r="AZ75" i="18" s="1"/>
  <c r="AA74" i="18"/>
  <c r="BN74" i="18" s="1"/>
  <c r="K74" i="18"/>
  <c r="AX74" i="18" s="1"/>
  <c r="Y73" i="18"/>
  <c r="BL73" i="18" s="1"/>
  <c r="I73" i="18"/>
  <c r="AV73" i="18" s="1"/>
  <c r="W72" i="18"/>
  <c r="G72" i="18"/>
  <c r="U71" i="18"/>
  <c r="Z81" i="18"/>
  <c r="BM81" i="18" s="1"/>
  <c r="X80" i="18"/>
  <c r="BK80" i="18" s="1"/>
  <c r="V79" i="18"/>
  <c r="BI79" i="18" s="1"/>
  <c r="T78" i="18"/>
  <c r="BG78" i="18" s="1"/>
  <c r="R77" i="18"/>
  <c r="BE77" i="18" s="1"/>
  <c r="AF76" i="18"/>
  <c r="BS76" i="18" s="1"/>
  <c r="AD75" i="18"/>
  <c r="BQ75" i="18" s="1"/>
  <c r="AB74" i="18"/>
  <c r="BO74" i="18" s="1"/>
  <c r="L74" i="18"/>
  <c r="AY74" i="18" s="1"/>
  <c r="J73" i="18"/>
  <c r="AW73" i="18" s="1"/>
  <c r="H72" i="18"/>
  <c r="F71" i="18"/>
  <c r="U81" i="18"/>
  <c r="BH81" i="18" s="1"/>
  <c r="S80" i="18"/>
  <c r="BF80" i="18" s="1"/>
  <c r="Q79" i="18"/>
  <c r="BD79" i="18" s="1"/>
  <c r="AE78" i="18"/>
  <c r="BR78" i="18" s="1"/>
  <c r="AC77" i="18"/>
  <c r="BP77" i="18" s="1"/>
  <c r="AA76" i="18"/>
  <c r="BN76" i="18" s="1"/>
  <c r="Y75" i="18"/>
  <c r="BL75" i="18" s="1"/>
  <c r="W74" i="18"/>
  <c r="BJ74" i="18" s="1"/>
  <c r="U73" i="18"/>
  <c r="BH73" i="18" s="1"/>
  <c r="S72" i="18"/>
  <c r="BF72" i="18" s="1"/>
  <c r="AG71" i="18"/>
  <c r="L82" i="18"/>
  <c r="AY82" i="18" s="1"/>
  <c r="B34" i="3" l="1"/>
  <c r="K106" i="3"/>
  <c r="H410" i="26" s="1"/>
  <c r="J106" i="3"/>
  <c r="H409" i="26" s="1"/>
  <c r="I106" i="3"/>
  <c r="H408" i="26" s="1"/>
  <c r="H106" i="3"/>
  <c r="AA105" i="3"/>
  <c r="Z105" i="3"/>
  <c r="Y105" i="3"/>
  <c r="X105" i="3"/>
  <c r="W105" i="3"/>
  <c r="V105" i="3"/>
  <c r="U105" i="3"/>
  <c r="T105" i="3"/>
  <c r="S105" i="3"/>
  <c r="R105" i="3"/>
  <c r="P105" i="3"/>
  <c r="O105" i="3"/>
  <c r="N105" i="3"/>
  <c r="M105" i="3"/>
  <c r="L105" i="3"/>
  <c r="K105" i="3"/>
  <c r="D105" i="3"/>
  <c r="BI15" i="9" l="1"/>
  <c r="BE15" i="9"/>
  <c r="BT15" i="9"/>
  <c r="BS14" i="9"/>
  <c r="BH14" i="9"/>
  <c r="BD14" i="9"/>
  <c r="BP22" i="9"/>
  <c r="BP29" i="9"/>
  <c r="BP36" i="9"/>
  <c r="BP19" i="9"/>
  <c r="BP25" i="9"/>
  <c r="BP32" i="9"/>
  <c r="BP28" i="9"/>
  <c r="BP18" i="9"/>
  <c r="BP21" i="9"/>
  <c r="BP24" i="9"/>
  <c r="BP35" i="9"/>
  <c r="BP20" i="9"/>
  <c r="BP23" i="9"/>
  <c r="BP30" i="9"/>
  <c r="BP37" i="9"/>
  <c r="BP26" i="9"/>
  <c r="BP27" i="9"/>
  <c r="BP38" i="9"/>
  <c r="BP42" i="9"/>
  <c r="BP49" i="9"/>
  <c r="BP56" i="9"/>
  <c r="BP70" i="9"/>
  <c r="BP39" i="9"/>
  <c r="BP45" i="9"/>
  <c r="BP52" i="9"/>
  <c r="BP63" i="9"/>
  <c r="BP31" i="9"/>
  <c r="BP33" i="9"/>
  <c r="BP41" i="9"/>
  <c r="BP48" i="9"/>
  <c r="BP59" i="9"/>
  <c r="BP66" i="9"/>
  <c r="BP69" i="9"/>
  <c r="BP72" i="9"/>
  <c r="BP34" i="9"/>
  <c r="BP44" i="9"/>
  <c r="BP55" i="9"/>
  <c r="BP62" i="9"/>
  <c r="BP43" i="9"/>
  <c r="BP50" i="9"/>
  <c r="BP57" i="9"/>
  <c r="BP79" i="9"/>
  <c r="BP86" i="9"/>
  <c r="BP47" i="9"/>
  <c r="BP77" i="9"/>
  <c r="BP51" i="9"/>
  <c r="BP75" i="9"/>
  <c r="BP82" i="9"/>
  <c r="BP89" i="9"/>
  <c r="BP17" i="9"/>
  <c r="BP46" i="9"/>
  <c r="BP64" i="9"/>
  <c r="BP71" i="9"/>
  <c r="BP78" i="9"/>
  <c r="BP85" i="9"/>
  <c r="BP84" i="9"/>
  <c r="BP91" i="9"/>
  <c r="BP65" i="9"/>
  <c r="BP67" i="9"/>
  <c r="BP68" i="9"/>
  <c r="BP74" i="9"/>
  <c r="BP81" i="9"/>
  <c r="BP88" i="9"/>
  <c r="BP40" i="9"/>
  <c r="BP60" i="9"/>
  <c r="BP61" i="9"/>
  <c r="BP73" i="9"/>
  <c r="BP90" i="9"/>
  <c r="BP83" i="9"/>
  <c r="BP76" i="9"/>
  <c r="BP53" i="9"/>
  <c r="BP58" i="9"/>
  <c r="BP87" i="9"/>
  <c r="BP80" i="9"/>
  <c r="BP54" i="9"/>
  <c r="H407" i="26"/>
  <c r="AH17" i="33"/>
  <c r="AH16" i="33"/>
  <c r="AH15" i="33"/>
  <c r="M75" i="30"/>
  <c r="K48" i="30"/>
  <c r="M48" i="30"/>
  <c r="K75" i="30"/>
  <c r="K578" i="26"/>
  <c r="K448" i="26"/>
  <c r="K318" i="26"/>
  <c r="K188" i="26"/>
  <c r="K127" i="26"/>
  <c r="K387" i="26"/>
  <c r="K582" i="26"/>
  <c r="K452" i="26"/>
  <c r="K322" i="26"/>
  <c r="K192" i="26"/>
  <c r="K517" i="26"/>
  <c r="K257" i="26"/>
  <c r="K643" i="26"/>
  <c r="K513" i="26"/>
  <c r="K383" i="26"/>
  <c r="K253" i="26"/>
  <c r="K647" i="26"/>
  <c r="K123" i="26"/>
  <c r="K639" i="26"/>
  <c r="K509" i="26"/>
  <c r="K379" i="26"/>
  <c r="K249" i="26"/>
  <c r="K119" i="26"/>
  <c r="K574" i="26"/>
  <c r="K444" i="26"/>
  <c r="K314" i="26"/>
  <c r="K184" i="26"/>
  <c r="AO13" i="28"/>
  <c r="K58" i="26"/>
  <c r="K62" i="26"/>
  <c r="J84" i="7"/>
  <c r="J85" i="7"/>
  <c r="G80" i="7"/>
  <c r="G79" i="7"/>
  <c r="G74" i="7"/>
  <c r="G81" i="7"/>
  <c r="G77" i="7"/>
  <c r="G71" i="7"/>
  <c r="G78" i="7"/>
  <c r="G76" i="7"/>
  <c r="G75" i="7"/>
  <c r="G73" i="7"/>
  <c r="G72" i="7"/>
  <c r="K54" i="26"/>
  <c r="M163" i="7"/>
  <c r="N163" i="7"/>
  <c r="L163" i="7"/>
  <c r="G25" i="16"/>
  <c r="G27" i="16"/>
  <c r="G26" i="16"/>
  <c r="E105" i="3"/>
  <c r="C49" i="3"/>
  <c r="C40" i="3"/>
  <c r="K407" i="26" l="1"/>
  <c r="K408" i="26" s="1"/>
  <c r="K409" i="26" s="1"/>
  <c r="K410" i="26" s="1"/>
  <c r="E407" i="26"/>
  <c r="AP29" i="33"/>
  <c r="AW13" i="28"/>
  <c r="BA11" i="28"/>
  <c r="BA27" i="33" s="1"/>
  <c r="AS27" i="33"/>
  <c r="AY215" i="28"/>
  <c r="AY27" i="33"/>
  <c r="AS215" i="28"/>
  <c r="AO217" i="28"/>
  <c r="V407" i="26" l="1"/>
  <c r="E408" i="26"/>
  <c r="AW217" i="28"/>
  <c r="AW29" i="33"/>
  <c r="D73" i="18"/>
  <c r="D77" i="18"/>
  <c r="D72" i="18"/>
  <c r="D74" i="18"/>
  <c r="AL74" i="18" s="1"/>
  <c r="D76" i="18"/>
  <c r="D75" i="18"/>
  <c r="V408" i="26" l="1"/>
  <c r="E409" i="26"/>
  <c r="K111" i="7"/>
  <c r="D516" i="7"/>
  <c r="D512" i="7"/>
  <c r="D494" i="7"/>
  <c r="J489" i="7"/>
  <c r="G111" i="7"/>
  <c r="D501" i="7"/>
  <c r="D517" i="7"/>
  <c r="D500" i="7"/>
  <c r="I489" i="7"/>
  <c r="D493" i="7"/>
  <c r="D492" i="7"/>
  <c r="D509" i="7"/>
  <c r="D518" i="7"/>
  <c r="P489" i="7"/>
  <c r="D490" i="7"/>
  <c r="D515" i="7"/>
  <c r="D502" i="7"/>
  <c r="D505" i="7"/>
  <c r="D498" i="7"/>
  <c r="D504" i="7"/>
  <c r="D506" i="7"/>
  <c r="D495" i="7"/>
  <c r="D514" i="7"/>
  <c r="D510" i="7"/>
  <c r="D496" i="7"/>
  <c r="D519" i="7"/>
  <c r="I111" i="7"/>
  <c r="D513" i="7"/>
  <c r="D499" i="7"/>
  <c r="D497" i="7"/>
  <c r="D511" i="7"/>
  <c r="D503" i="7"/>
  <c r="D508" i="7"/>
  <c r="D491" i="7"/>
  <c r="D507" i="7"/>
  <c r="K121" i="7"/>
  <c r="K119" i="7"/>
  <c r="K118" i="7"/>
  <c r="K120" i="7"/>
  <c r="P417" i="7"/>
  <c r="I109" i="7"/>
  <c r="G109" i="7"/>
  <c r="K109" i="7"/>
  <c r="I417" i="7"/>
  <c r="J417" i="7"/>
  <c r="D371" i="7"/>
  <c r="D358" i="7"/>
  <c r="D346" i="7"/>
  <c r="D347" i="7"/>
  <c r="D354" i="7"/>
  <c r="D356" i="7"/>
  <c r="D352" i="7"/>
  <c r="D373" i="7"/>
  <c r="D368" i="7"/>
  <c r="D366" i="7"/>
  <c r="D362" i="7"/>
  <c r="D349" i="7"/>
  <c r="D370" i="7"/>
  <c r="D353" i="7"/>
  <c r="D374" i="7"/>
  <c r="D363" i="7"/>
  <c r="D367" i="7"/>
  <c r="D351" i="7"/>
  <c r="D360" i="7"/>
  <c r="D364" i="7"/>
  <c r="D355" i="7"/>
  <c r="D361" i="7"/>
  <c r="D375" i="7"/>
  <c r="D369" i="7"/>
  <c r="D365" i="7"/>
  <c r="D372" i="7"/>
  <c r="D357" i="7"/>
  <c r="D348" i="7"/>
  <c r="D359" i="7"/>
  <c r="D350" i="7"/>
  <c r="K116" i="7"/>
  <c r="K117" i="7"/>
  <c r="D383" i="7"/>
  <c r="D393" i="7"/>
  <c r="D399" i="7"/>
  <c r="D404" i="7"/>
  <c r="D385" i="7"/>
  <c r="D411" i="7"/>
  <c r="D410" i="7"/>
  <c r="D390" i="7"/>
  <c r="D406" i="7"/>
  <c r="D395" i="7"/>
  <c r="D387" i="7"/>
  <c r="D384" i="7"/>
  <c r="D401" i="7"/>
  <c r="D400" i="7"/>
  <c r="D386" i="7"/>
  <c r="D397" i="7"/>
  <c r="D405" i="7"/>
  <c r="D394" i="7"/>
  <c r="D408" i="7"/>
  <c r="D396" i="7"/>
  <c r="D392" i="7"/>
  <c r="D407" i="7"/>
  <c r="D391" i="7"/>
  <c r="D388" i="7"/>
  <c r="D398" i="7"/>
  <c r="D403" i="7"/>
  <c r="D409" i="7"/>
  <c r="D389" i="7"/>
  <c r="D382" i="7"/>
  <c r="D402" i="7"/>
  <c r="D334" i="7"/>
  <c r="D311" i="7"/>
  <c r="D324" i="7"/>
  <c r="D332" i="7"/>
  <c r="D330" i="7"/>
  <c r="D327" i="7"/>
  <c r="D336" i="7"/>
  <c r="D333" i="7"/>
  <c r="D319" i="7"/>
  <c r="D329" i="7"/>
  <c r="D317" i="7"/>
  <c r="D339" i="7"/>
  <c r="D337" i="7"/>
  <c r="D318" i="7"/>
  <c r="D328" i="7"/>
  <c r="D316" i="7"/>
  <c r="D321" i="7"/>
  <c r="D325" i="7"/>
  <c r="D310" i="7"/>
  <c r="D315" i="7"/>
  <c r="D322" i="7"/>
  <c r="D314" i="7"/>
  <c r="D338" i="7"/>
  <c r="D331" i="7"/>
  <c r="D326" i="7"/>
  <c r="D335" i="7"/>
  <c r="D312" i="7"/>
  <c r="D323" i="7"/>
  <c r="D313" i="7"/>
  <c r="D320" i="7"/>
  <c r="K134" i="7"/>
  <c r="K127" i="7"/>
  <c r="D301" i="7"/>
  <c r="D284" i="7"/>
  <c r="D290" i="7"/>
  <c r="D291" i="7"/>
  <c r="D289" i="7"/>
  <c r="D277" i="7"/>
  <c r="D296" i="7"/>
  <c r="D292" i="7"/>
  <c r="D279" i="7"/>
  <c r="D298" i="7"/>
  <c r="D276" i="7"/>
  <c r="D281" i="7"/>
  <c r="D275" i="7"/>
  <c r="D293" i="7"/>
  <c r="D282" i="7"/>
  <c r="D299" i="7"/>
  <c r="D283" i="7"/>
  <c r="D295" i="7"/>
  <c r="D302" i="7"/>
  <c r="D285" i="7"/>
  <c r="D280" i="7"/>
  <c r="D286" i="7"/>
  <c r="D287" i="7"/>
  <c r="D303" i="7"/>
  <c r="D288" i="7"/>
  <c r="D294" i="7"/>
  <c r="D300" i="7"/>
  <c r="D297" i="7"/>
  <c r="D274" i="7"/>
  <c r="D278" i="7"/>
  <c r="D249" i="7"/>
  <c r="D262" i="7"/>
  <c r="D240" i="7"/>
  <c r="D267" i="7"/>
  <c r="D250" i="7"/>
  <c r="D244" i="7"/>
  <c r="D263" i="7"/>
  <c r="D251" i="7"/>
  <c r="D258" i="7"/>
  <c r="D242" i="7"/>
  <c r="D247" i="7"/>
  <c r="D254" i="7"/>
  <c r="D241" i="7"/>
  <c r="D252" i="7"/>
  <c r="D253" i="7"/>
  <c r="D264" i="7"/>
  <c r="D248" i="7"/>
  <c r="D255" i="7"/>
  <c r="D266" i="7"/>
  <c r="D257" i="7"/>
  <c r="D243" i="7"/>
  <c r="D261" i="7"/>
  <c r="D246" i="7"/>
  <c r="D256" i="7"/>
  <c r="D265" i="7"/>
  <c r="D239" i="7"/>
  <c r="D260" i="7"/>
  <c r="D259" i="7"/>
  <c r="D245" i="7"/>
  <c r="D238" i="7"/>
  <c r="K115" i="7"/>
  <c r="K110" i="7"/>
  <c r="G110" i="7"/>
  <c r="I110" i="7"/>
  <c r="AN75" i="18"/>
  <c r="K106" i="7" s="1"/>
  <c r="AJ75" i="18"/>
  <c r="AL75" i="18"/>
  <c r="I106" i="7" s="1"/>
  <c r="AJ76" i="18"/>
  <c r="AL76" i="18"/>
  <c r="J345" i="7" s="1"/>
  <c r="AN76" i="18"/>
  <c r="P345" i="7" s="1"/>
  <c r="AN74" i="18"/>
  <c r="K105" i="7" s="1"/>
  <c r="J273" i="7"/>
  <c r="AJ74" i="18"/>
  <c r="AJ72" i="18"/>
  <c r="I201" i="7" s="1"/>
  <c r="AL72" i="18"/>
  <c r="J201" i="7" s="1"/>
  <c r="AN72" i="18"/>
  <c r="P201" i="7" s="1"/>
  <c r="AL77" i="18"/>
  <c r="J381" i="7" s="1"/>
  <c r="AJ77" i="18"/>
  <c r="AN77" i="18"/>
  <c r="K108" i="7" s="1"/>
  <c r="AL73" i="18"/>
  <c r="I104" i="7" s="1"/>
  <c r="AJ73" i="18"/>
  <c r="AN73" i="18"/>
  <c r="K104" i="7" s="1"/>
  <c r="I38" i="18"/>
  <c r="I70" i="18"/>
  <c r="AV70" i="18" s="1"/>
  <c r="H38" i="18"/>
  <c r="H70" i="18"/>
  <c r="AU70" i="18" s="1"/>
  <c r="G70" i="18"/>
  <c r="AT70" i="18" s="1"/>
  <c r="G38" i="18"/>
  <c r="M38" i="18"/>
  <c r="M70" i="18"/>
  <c r="AZ70" i="18" s="1"/>
  <c r="L38" i="18"/>
  <c r="L70" i="18"/>
  <c r="AY70" i="18" s="1"/>
  <c r="K70" i="18"/>
  <c r="AX70" i="18" s="1"/>
  <c r="K38" i="18"/>
  <c r="J70" i="18"/>
  <c r="AW70" i="18" s="1"/>
  <c r="J38" i="18"/>
  <c r="O70" i="18"/>
  <c r="BB70" i="18" s="1"/>
  <c r="O38" i="18"/>
  <c r="E38" i="18"/>
  <c r="E70" i="18"/>
  <c r="F70" i="18"/>
  <c r="AS70" i="18" s="1"/>
  <c r="F38" i="18"/>
  <c r="N70" i="18"/>
  <c r="BA70" i="18" s="1"/>
  <c r="N38" i="18"/>
  <c r="V409" i="26" l="1"/>
  <c r="E410" i="26"/>
  <c r="V410" i="26" s="1"/>
  <c r="H513" i="7"/>
  <c r="F513" i="7"/>
  <c r="R513" i="7"/>
  <c r="Q513" i="7"/>
  <c r="I513" i="7"/>
  <c r="L513" i="7"/>
  <c r="AG513" i="7"/>
  <c r="O513" i="7" s="1"/>
  <c r="S513" i="7"/>
  <c r="G513" i="7"/>
  <c r="M513" i="7"/>
  <c r="J513" i="7"/>
  <c r="AB513" i="7"/>
  <c r="P513" i="7"/>
  <c r="AE513" i="7"/>
  <c r="F506" i="7"/>
  <c r="S506" i="7"/>
  <c r="Q506" i="7"/>
  <c r="AG506" i="7"/>
  <c r="O506" i="7" s="1"/>
  <c r="H506" i="7"/>
  <c r="R506" i="7"/>
  <c r="G506" i="7"/>
  <c r="J506" i="7"/>
  <c r="AB506" i="7"/>
  <c r="I506" i="7"/>
  <c r="L506" i="7"/>
  <c r="P506" i="7"/>
  <c r="M506" i="7"/>
  <c r="AE506" i="7"/>
  <c r="J490" i="7"/>
  <c r="I490" i="7"/>
  <c r="R490" i="7"/>
  <c r="AG490" i="7"/>
  <c r="O490" i="7" s="1"/>
  <c r="Q490" i="7"/>
  <c r="L490" i="7"/>
  <c r="AB490" i="7"/>
  <c r="F490" i="7"/>
  <c r="M490" i="7"/>
  <c r="G490" i="7"/>
  <c r="H490" i="7"/>
  <c r="P490" i="7"/>
  <c r="S490" i="7"/>
  <c r="AE490" i="7"/>
  <c r="S517" i="7"/>
  <c r="AG517" i="7"/>
  <c r="O517" i="7" s="1"/>
  <c r="R517" i="7"/>
  <c r="Q517" i="7"/>
  <c r="J517" i="7"/>
  <c r="M517" i="7"/>
  <c r="P517" i="7"/>
  <c r="L517" i="7"/>
  <c r="H517" i="7"/>
  <c r="G517" i="7"/>
  <c r="F517" i="7"/>
  <c r="I517" i="7"/>
  <c r="AB517" i="7"/>
  <c r="AE517" i="7"/>
  <c r="AG507" i="7"/>
  <c r="O507" i="7" s="1"/>
  <c r="H507" i="7"/>
  <c r="S507" i="7"/>
  <c r="I507" i="7"/>
  <c r="G507" i="7"/>
  <c r="AB507" i="7"/>
  <c r="R507" i="7"/>
  <c r="M507" i="7"/>
  <c r="J507" i="7"/>
  <c r="L507" i="7"/>
  <c r="F507" i="7"/>
  <c r="Q507" i="7"/>
  <c r="P507" i="7"/>
  <c r="AE507" i="7"/>
  <c r="S504" i="7"/>
  <c r="R504" i="7"/>
  <c r="I504" i="7"/>
  <c r="P504" i="7"/>
  <c r="AB504" i="7"/>
  <c r="J504" i="7"/>
  <c r="Q504" i="7"/>
  <c r="H504" i="7"/>
  <c r="AG504" i="7"/>
  <c r="O504" i="7" s="1"/>
  <c r="G504" i="7"/>
  <c r="F504" i="7"/>
  <c r="M504" i="7"/>
  <c r="L504" i="7"/>
  <c r="AE504" i="7"/>
  <c r="Q501" i="7"/>
  <c r="AB501" i="7"/>
  <c r="AG501" i="7"/>
  <c r="O501" i="7" s="1"/>
  <c r="S501" i="7"/>
  <c r="G501" i="7"/>
  <c r="P501" i="7"/>
  <c r="R501" i="7"/>
  <c r="H501" i="7"/>
  <c r="J501" i="7"/>
  <c r="I501" i="7"/>
  <c r="F501" i="7"/>
  <c r="L501" i="7"/>
  <c r="M501" i="7"/>
  <c r="AE501" i="7"/>
  <c r="I491" i="7"/>
  <c r="AG491" i="7"/>
  <c r="O491" i="7" s="1"/>
  <c r="AB491" i="7"/>
  <c r="R491" i="7"/>
  <c r="P491" i="7"/>
  <c r="M491" i="7"/>
  <c r="Q491" i="7"/>
  <c r="J491" i="7"/>
  <c r="L491" i="7"/>
  <c r="F491" i="7"/>
  <c r="H491" i="7"/>
  <c r="S491" i="7"/>
  <c r="G491" i="7"/>
  <c r="AE491" i="7"/>
  <c r="S519" i="7"/>
  <c r="P519" i="7"/>
  <c r="G519" i="7"/>
  <c r="Q519" i="7"/>
  <c r="M519" i="7"/>
  <c r="AG519" i="7"/>
  <c r="O519" i="7" s="1"/>
  <c r="AB519" i="7"/>
  <c r="H519" i="7"/>
  <c r="J519" i="7"/>
  <c r="I519" i="7"/>
  <c r="F519" i="7"/>
  <c r="R519" i="7"/>
  <c r="L519" i="7"/>
  <c r="N519" i="7" s="1"/>
  <c r="AE519" i="7"/>
  <c r="G498" i="7"/>
  <c r="AG498" i="7"/>
  <c r="O498" i="7" s="1"/>
  <c r="J498" i="7"/>
  <c r="S498" i="7"/>
  <c r="Q498" i="7"/>
  <c r="F498" i="7"/>
  <c r="I498" i="7"/>
  <c r="M498" i="7"/>
  <c r="R498" i="7"/>
  <c r="L498" i="7"/>
  <c r="AB498" i="7"/>
  <c r="P498" i="7"/>
  <c r="H498" i="7"/>
  <c r="AE498" i="7"/>
  <c r="G518" i="7"/>
  <c r="S518" i="7"/>
  <c r="Q518" i="7"/>
  <c r="L518" i="7"/>
  <c r="M518" i="7"/>
  <c r="F518" i="7"/>
  <c r="I518" i="7"/>
  <c r="J518" i="7"/>
  <c r="AB518" i="7"/>
  <c r="P518" i="7"/>
  <c r="H518" i="7"/>
  <c r="R518" i="7"/>
  <c r="AG518" i="7"/>
  <c r="O518" i="7" s="1"/>
  <c r="AE518" i="7"/>
  <c r="Q508" i="7"/>
  <c r="H508" i="7"/>
  <c r="J508" i="7"/>
  <c r="AG508" i="7"/>
  <c r="O508" i="7" s="1"/>
  <c r="I508" i="7"/>
  <c r="S508" i="7"/>
  <c r="R508" i="7"/>
  <c r="L508" i="7"/>
  <c r="P508" i="7"/>
  <c r="F508" i="7"/>
  <c r="AB508" i="7"/>
  <c r="M508" i="7"/>
  <c r="G508" i="7"/>
  <c r="AE508" i="7"/>
  <c r="AG496" i="7"/>
  <c r="O496" i="7" s="1"/>
  <c r="H496" i="7"/>
  <c r="P496" i="7"/>
  <c r="J496" i="7"/>
  <c r="S496" i="7"/>
  <c r="AB496" i="7"/>
  <c r="I496" i="7"/>
  <c r="L496" i="7"/>
  <c r="G496" i="7"/>
  <c r="R496" i="7"/>
  <c r="F496" i="7"/>
  <c r="M496" i="7"/>
  <c r="Q496" i="7"/>
  <c r="AE496" i="7"/>
  <c r="F509" i="7"/>
  <c r="P509" i="7"/>
  <c r="S509" i="7"/>
  <c r="H509" i="7"/>
  <c r="AB509" i="7"/>
  <c r="R509" i="7"/>
  <c r="Q509" i="7"/>
  <c r="J509" i="7"/>
  <c r="M509" i="7"/>
  <c r="AG509" i="7"/>
  <c r="O509" i="7" s="1"/>
  <c r="I509" i="7"/>
  <c r="L509" i="7"/>
  <c r="G509" i="7"/>
  <c r="AE509" i="7"/>
  <c r="M489" i="7"/>
  <c r="R503" i="7"/>
  <c r="J503" i="7"/>
  <c r="F503" i="7"/>
  <c r="AG503" i="7"/>
  <c r="O503" i="7" s="1"/>
  <c r="P503" i="7"/>
  <c r="S503" i="7"/>
  <c r="AB503" i="7"/>
  <c r="G503" i="7"/>
  <c r="L503" i="7"/>
  <c r="M503" i="7"/>
  <c r="Q503" i="7"/>
  <c r="H503" i="7"/>
  <c r="I503" i="7"/>
  <c r="AE503" i="7"/>
  <c r="L510" i="7"/>
  <c r="H510" i="7"/>
  <c r="AB510" i="7"/>
  <c r="F510" i="7"/>
  <c r="R510" i="7"/>
  <c r="Q510" i="7"/>
  <c r="S510" i="7"/>
  <c r="AG510" i="7"/>
  <c r="O510" i="7" s="1"/>
  <c r="G510" i="7"/>
  <c r="M510" i="7"/>
  <c r="J510" i="7"/>
  <c r="I510" i="7"/>
  <c r="P510" i="7"/>
  <c r="AE510" i="7"/>
  <c r="M492" i="7"/>
  <c r="G492" i="7"/>
  <c r="AB492" i="7"/>
  <c r="L492" i="7"/>
  <c r="AG492" i="7"/>
  <c r="O492" i="7" s="1"/>
  <c r="I492" i="7"/>
  <c r="H492" i="7"/>
  <c r="J492" i="7"/>
  <c r="P492" i="7"/>
  <c r="S492" i="7"/>
  <c r="R492" i="7"/>
  <c r="F492" i="7"/>
  <c r="Q492" i="7"/>
  <c r="AE492" i="7"/>
  <c r="G494" i="7"/>
  <c r="AG494" i="7"/>
  <c r="O494" i="7" s="1"/>
  <c r="F494" i="7"/>
  <c r="P494" i="7"/>
  <c r="Q494" i="7"/>
  <c r="L494" i="7"/>
  <c r="R494" i="7"/>
  <c r="J494" i="7"/>
  <c r="I494" i="7"/>
  <c r="S494" i="7"/>
  <c r="AB494" i="7"/>
  <c r="M494" i="7"/>
  <c r="H494" i="7"/>
  <c r="AE494" i="7"/>
  <c r="I511" i="7"/>
  <c r="M511" i="7"/>
  <c r="AG511" i="7"/>
  <c r="O511" i="7" s="1"/>
  <c r="AB511" i="7"/>
  <c r="S511" i="7"/>
  <c r="L511" i="7"/>
  <c r="R511" i="7"/>
  <c r="F511" i="7"/>
  <c r="J511" i="7"/>
  <c r="Q511" i="7"/>
  <c r="H511" i="7"/>
  <c r="P511" i="7"/>
  <c r="G511" i="7"/>
  <c r="AE511" i="7"/>
  <c r="P514" i="7"/>
  <c r="Q514" i="7"/>
  <c r="AB514" i="7"/>
  <c r="M514" i="7"/>
  <c r="AG514" i="7"/>
  <c r="O514" i="7" s="1"/>
  <c r="I514" i="7"/>
  <c r="G514" i="7"/>
  <c r="H514" i="7"/>
  <c r="F514" i="7"/>
  <c r="R514" i="7"/>
  <c r="J514" i="7"/>
  <c r="L514" i="7"/>
  <c r="S514" i="7"/>
  <c r="AE514" i="7"/>
  <c r="S505" i="7"/>
  <c r="F505" i="7"/>
  <c r="AB505" i="7"/>
  <c r="Q505" i="7"/>
  <c r="G505" i="7"/>
  <c r="R505" i="7"/>
  <c r="L505" i="7"/>
  <c r="H505" i="7"/>
  <c r="AG505" i="7"/>
  <c r="O505" i="7" s="1"/>
  <c r="M505" i="7"/>
  <c r="J505" i="7"/>
  <c r="I505" i="7"/>
  <c r="P505" i="7"/>
  <c r="AE505" i="7"/>
  <c r="R493" i="7"/>
  <c r="M493" i="7"/>
  <c r="L493" i="7"/>
  <c r="Q493" i="7"/>
  <c r="AG493" i="7"/>
  <c r="O493" i="7" s="1"/>
  <c r="AB493" i="7"/>
  <c r="S493" i="7"/>
  <c r="H493" i="7"/>
  <c r="G493" i="7"/>
  <c r="P493" i="7"/>
  <c r="J493" i="7"/>
  <c r="I493" i="7"/>
  <c r="F493" i="7"/>
  <c r="AE493" i="7"/>
  <c r="L512" i="7"/>
  <c r="R512" i="7"/>
  <c r="F512" i="7"/>
  <c r="J512" i="7"/>
  <c r="M512" i="7"/>
  <c r="I512" i="7"/>
  <c r="H512" i="7"/>
  <c r="AG512" i="7"/>
  <c r="O512" i="7" s="1"/>
  <c r="Q512" i="7"/>
  <c r="S512" i="7"/>
  <c r="AB512" i="7"/>
  <c r="G512" i="7"/>
  <c r="P512" i="7"/>
  <c r="AE512" i="7"/>
  <c r="P497" i="7"/>
  <c r="S497" i="7"/>
  <c r="H497" i="7"/>
  <c r="G497" i="7"/>
  <c r="R497" i="7"/>
  <c r="Q497" i="7"/>
  <c r="F497" i="7"/>
  <c r="J497" i="7"/>
  <c r="L497" i="7"/>
  <c r="AB497" i="7"/>
  <c r="M497" i="7"/>
  <c r="I497" i="7"/>
  <c r="AG497" i="7"/>
  <c r="O497" i="7" s="1"/>
  <c r="AE497" i="7"/>
  <c r="G502" i="7"/>
  <c r="F502" i="7"/>
  <c r="S502" i="7"/>
  <c r="AB502" i="7"/>
  <c r="I502" i="7"/>
  <c r="H502" i="7"/>
  <c r="J502" i="7"/>
  <c r="P502" i="7"/>
  <c r="M502" i="7"/>
  <c r="AG502" i="7"/>
  <c r="O502" i="7" s="1"/>
  <c r="Q502" i="7"/>
  <c r="R502" i="7"/>
  <c r="L502" i="7"/>
  <c r="AE502" i="7"/>
  <c r="L489" i="7"/>
  <c r="K489" i="7"/>
  <c r="L516" i="7"/>
  <c r="AG516" i="7"/>
  <c r="O516" i="7" s="1"/>
  <c r="S516" i="7"/>
  <c r="R516" i="7"/>
  <c r="G516" i="7"/>
  <c r="Q516" i="7"/>
  <c r="I516" i="7"/>
  <c r="H516" i="7"/>
  <c r="F516" i="7"/>
  <c r="AB516" i="7"/>
  <c r="M516" i="7"/>
  <c r="P516" i="7"/>
  <c r="J516" i="7"/>
  <c r="AE516" i="7"/>
  <c r="S499" i="7"/>
  <c r="M499" i="7"/>
  <c r="Q499" i="7"/>
  <c r="I499" i="7"/>
  <c r="J499" i="7"/>
  <c r="R499" i="7"/>
  <c r="AG499" i="7"/>
  <c r="O499" i="7" s="1"/>
  <c r="F499" i="7"/>
  <c r="G499" i="7"/>
  <c r="L499" i="7"/>
  <c r="N499" i="7" s="1"/>
  <c r="P499" i="7"/>
  <c r="H499" i="7"/>
  <c r="AB499" i="7"/>
  <c r="AE499" i="7"/>
  <c r="G495" i="7"/>
  <c r="F495" i="7"/>
  <c r="M495" i="7"/>
  <c r="P495" i="7"/>
  <c r="R495" i="7"/>
  <c r="L495" i="7"/>
  <c r="J495" i="7"/>
  <c r="H495" i="7"/>
  <c r="S495" i="7"/>
  <c r="AG495" i="7"/>
  <c r="O495" i="7" s="1"/>
  <c r="Q495" i="7"/>
  <c r="I495" i="7"/>
  <c r="AB495" i="7"/>
  <c r="AE495" i="7"/>
  <c r="AB515" i="7"/>
  <c r="I515" i="7"/>
  <c r="M515" i="7"/>
  <c r="J515" i="7"/>
  <c r="R515" i="7"/>
  <c r="L515" i="7"/>
  <c r="S515" i="7"/>
  <c r="F515" i="7"/>
  <c r="P515" i="7"/>
  <c r="H515" i="7"/>
  <c r="G515" i="7"/>
  <c r="AG515" i="7"/>
  <c r="O515" i="7" s="1"/>
  <c r="Q515" i="7"/>
  <c r="AE515" i="7"/>
  <c r="AB500" i="7"/>
  <c r="H500" i="7"/>
  <c r="F500" i="7"/>
  <c r="R500" i="7"/>
  <c r="Q500" i="7"/>
  <c r="AG500" i="7"/>
  <c r="O500" i="7" s="1"/>
  <c r="M500" i="7"/>
  <c r="J500" i="7"/>
  <c r="L500" i="7"/>
  <c r="I500" i="7"/>
  <c r="G500" i="7"/>
  <c r="S500" i="7"/>
  <c r="P500" i="7"/>
  <c r="AE500" i="7"/>
  <c r="M417" i="7"/>
  <c r="L417" i="7"/>
  <c r="K417" i="7"/>
  <c r="M345" i="7"/>
  <c r="Q359" i="7"/>
  <c r="AG359" i="7"/>
  <c r="O359" i="7" s="1"/>
  <c r="M359" i="7"/>
  <c r="I359" i="7"/>
  <c r="S359" i="7"/>
  <c r="H359" i="7"/>
  <c r="F359" i="7"/>
  <c r="R359" i="7"/>
  <c r="P359" i="7"/>
  <c r="L359" i="7"/>
  <c r="J359" i="7"/>
  <c r="G359" i="7"/>
  <c r="AB359" i="7"/>
  <c r="AE359" i="7"/>
  <c r="P375" i="7"/>
  <c r="F375" i="7"/>
  <c r="AB375" i="7"/>
  <c r="Q375" i="7"/>
  <c r="AG375" i="7"/>
  <c r="O375" i="7" s="1"/>
  <c r="I375" i="7"/>
  <c r="S375" i="7"/>
  <c r="G375" i="7"/>
  <c r="M375" i="7"/>
  <c r="L375" i="7"/>
  <c r="R375" i="7"/>
  <c r="H375" i="7"/>
  <c r="J375" i="7"/>
  <c r="AE375" i="7"/>
  <c r="J363" i="7"/>
  <c r="F363" i="7"/>
  <c r="R363" i="7"/>
  <c r="P363" i="7"/>
  <c r="I363" i="7"/>
  <c r="AB363" i="7"/>
  <c r="G363" i="7"/>
  <c r="Q363" i="7"/>
  <c r="M363" i="7"/>
  <c r="H363" i="7"/>
  <c r="L363" i="7"/>
  <c r="AG363" i="7"/>
  <c r="O363" i="7" s="1"/>
  <c r="S363" i="7"/>
  <c r="AE363" i="7"/>
  <c r="AB366" i="7"/>
  <c r="P366" i="7"/>
  <c r="R366" i="7"/>
  <c r="L366" i="7"/>
  <c r="J366" i="7"/>
  <c r="H366" i="7"/>
  <c r="F366" i="7"/>
  <c r="G366" i="7"/>
  <c r="Q366" i="7"/>
  <c r="AG366" i="7"/>
  <c r="O366" i="7" s="1"/>
  <c r="M366" i="7"/>
  <c r="S366" i="7"/>
  <c r="I366" i="7"/>
  <c r="AE366" i="7"/>
  <c r="K107" i="7"/>
  <c r="R350" i="7"/>
  <c r="F350" i="7"/>
  <c r="AB350" i="7"/>
  <c r="L350" i="7"/>
  <c r="G350" i="7"/>
  <c r="M350" i="7"/>
  <c r="Q350" i="7"/>
  <c r="H350" i="7"/>
  <c r="S350" i="7"/>
  <c r="P350" i="7"/>
  <c r="I350" i="7"/>
  <c r="J350" i="7"/>
  <c r="AG350" i="7"/>
  <c r="O350" i="7" s="1"/>
  <c r="AE350" i="7"/>
  <c r="I107" i="7"/>
  <c r="H374" i="7"/>
  <c r="M374" i="7"/>
  <c r="S374" i="7"/>
  <c r="G374" i="7"/>
  <c r="F374" i="7"/>
  <c r="L374" i="7"/>
  <c r="Q374" i="7"/>
  <c r="I374" i="7"/>
  <c r="R374" i="7"/>
  <c r="AG374" i="7"/>
  <c r="O374" i="7" s="1"/>
  <c r="J374" i="7"/>
  <c r="AB374" i="7"/>
  <c r="P374" i="7"/>
  <c r="AE374" i="7"/>
  <c r="S368" i="7"/>
  <c r="AB368" i="7"/>
  <c r="G368" i="7"/>
  <c r="Q368" i="7"/>
  <c r="I368" i="7"/>
  <c r="M368" i="7"/>
  <c r="P368" i="7"/>
  <c r="H368" i="7"/>
  <c r="L368" i="7"/>
  <c r="R368" i="7"/>
  <c r="J368" i="7"/>
  <c r="AG368" i="7"/>
  <c r="O368" i="7" s="1"/>
  <c r="F368" i="7"/>
  <c r="AE368" i="7"/>
  <c r="P348" i="7"/>
  <c r="R348" i="7"/>
  <c r="H348" i="7"/>
  <c r="S348" i="7"/>
  <c r="AG348" i="7"/>
  <c r="O348" i="7" s="1"/>
  <c r="F348" i="7"/>
  <c r="M348" i="7"/>
  <c r="Q348" i="7"/>
  <c r="I348" i="7"/>
  <c r="AB348" i="7"/>
  <c r="G348" i="7"/>
  <c r="J348" i="7"/>
  <c r="L348" i="7"/>
  <c r="AE348" i="7"/>
  <c r="S355" i="7"/>
  <c r="AB355" i="7"/>
  <c r="Q355" i="7"/>
  <c r="R355" i="7"/>
  <c r="M355" i="7"/>
  <c r="F355" i="7"/>
  <c r="I355" i="7"/>
  <c r="J355" i="7"/>
  <c r="P355" i="7"/>
  <c r="AG355" i="7"/>
  <c r="O355" i="7" s="1"/>
  <c r="L355" i="7"/>
  <c r="G355" i="7"/>
  <c r="H355" i="7"/>
  <c r="AE355" i="7"/>
  <c r="M353" i="7"/>
  <c r="AB353" i="7"/>
  <c r="G353" i="7"/>
  <c r="P353" i="7"/>
  <c r="Q353" i="7"/>
  <c r="AG353" i="7"/>
  <c r="O353" i="7" s="1"/>
  <c r="I353" i="7"/>
  <c r="L353" i="7"/>
  <c r="J353" i="7"/>
  <c r="R353" i="7"/>
  <c r="F353" i="7"/>
  <c r="S353" i="7"/>
  <c r="H353" i="7"/>
  <c r="AE353" i="7"/>
  <c r="S352" i="7"/>
  <c r="R352" i="7"/>
  <c r="J352" i="7"/>
  <c r="I352" i="7"/>
  <c r="L352" i="7"/>
  <c r="H352" i="7"/>
  <c r="F352" i="7"/>
  <c r="AG352" i="7"/>
  <c r="O352" i="7" s="1"/>
  <c r="Q352" i="7"/>
  <c r="G352" i="7"/>
  <c r="M352" i="7"/>
  <c r="P352" i="7"/>
  <c r="AB352" i="7"/>
  <c r="AE352" i="7"/>
  <c r="Q358" i="7"/>
  <c r="H358" i="7"/>
  <c r="L358" i="7"/>
  <c r="AG358" i="7"/>
  <c r="O358" i="7" s="1"/>
  <c r="S358" i="7"/>
  <c r="J358" i="7"/>
  <c r="I358" i="7"/>
  <c r="G358" i="7"/>
  <c r="AB358" i="7"/>
  <c r="F358" i="7"/>
  <c r="P358" i="7"/>
  <c r="M358" i="7"/>
  <c r="R358" i="7"/>
  <c r="AE358" i="7"/>
  <c r="I106" i="30"/>
  <c r="AG357" i="7"/>
  <c r="O357" i="7" s="1"/>
  <c r="S357" i="7"/>
  <c r="G357" i="7"/>
  <c r="Q357" i="7"/>
  <c r="M357" i="7"/>
  <c r="P357" i="7"/>
  <c r="R357" i="7"/>
  <c r="AB357" i="7"/>
  <c r="J357" i="7"/>
  <c r="I357" i="7"/>
  <c r="L357" i="7"/>
  <c r="H357" i="7"/>
  <c r="F357" i="7"/>
  <c r="AE357" i="7"/>
  <c r="H364" i="7"/>
  <c r="M364" i="7"/>
  <c r="AG364" i="7"/>
  <c r="O364" i="7" s="1"/>
  <c r="I364" i="7"/>
  <c r="S364" i="7"/>
  <c r="F364" i="7"/>
  <c r="L364" i="7"/>
  <c r="AB364" i="7"/>
  <c r="R364" i="7"/>
  <c r="P364" i="7"/>
  <c r="J364" i="7"/>
  <c r="G364" i="7"/>
  <c r="Q364" i="7"/>
  <c r="AE364" i="7"/>
  <c r="AB370" i="7"/>
  <c r="H370" i="7"/>
  <c r="P370" i="7"/>
  <c r="M370" i="7"/>
  <c r="AG370" i="7"/>
  <c r="O370" i="7" s="1"/>
  <c r="F370" i="7"/>
  <c r="I370" i="7"/>
  <c r="Q370" i="7"/>
  <c r="S370" i="7"/>
  <c r="G370" i="7"/>
  <c r="R370" i="7"/>
  <c r="J370" i="7"/>
  <c r="L370" i="7"/>
  <c r="AE370" i="7"/>
  <c r="AG371" i="7"/>
  <c r="O371" i="7" s="1"/>
  <c r="S371" i="7"/>
  <c r="G371" i="7"/>
  <c r="M371" i="7"/>
  <c r="Q371" i="7"/>
  <c r="I371" i="7"/>
  <c r="J371" i="7"/>
  <c r="P371" i="7"/>
  <c r="F371" i="7"/>
  <c r="H371" i="7"/>
  <c r="R371" i="7"/>
  <c r="AB371" i="7"/>
  <c r="L371" i="7"/>
  <c r="AE371" i="7"/>
  <c r="I372" i="7"/>
  <c r="AG372" i="7"/>
  <c r="O372" i="7" s="1"/>
  <c r="Q372" i="7"/>
  <c r="M372" i="7"/>
  <c r="H372" i="7"/>
  <c r="AB372" i="7"/>
  <c r="P372" i="7"/>
  <c r="R372" i="7"/>
  <c r="L372" i="7"/>
  <c r="J372" i="7"/>
  <c r="S372" i="7"/>
  <c r="F372" i="7"/>
  <c r="G372" i="7"/>
  <c r="AE372" i="7"/>
  <c r="S360" i="7"/>
  <c r="F360" i="7"/>
  <c r="L360" i="7"/>
  <c r="AB360" i="7"/>
  <c r="R360" i="7"/>
  <c r="P360" i="7"/>
  <c r="J360" i="7"/>
  <c r="G360" i="7"/>
  <c r="Q360" i="7"/>
  <c r="H360" i="7"/>
  <c r="M360" i="7"/>
  <c r="AG360" i="7"/>
  <c r="O360" i="7" s="1"/>
  <c r="I360" i="7"/>
  <c r="AE360" i="7"/>
  <c r="G349" i="7"/>
  <c r="AB349" i="7"/>
  <c r="M349" i="7"/>
  <c r="I349" i="7"/>
  <c r="R349" i="7"/>
  <c r="P349" i="7"/>
  <c r="J349" i="7"/>
  <c r="F349" i="7"/>
  <c r="L349" i="7"/>
  <c r="AG349" i="7"/>
  <c r="O349" i="7" s="1"/>
  <c r="Q349" i="7"/>
  <c r="S349" i="7"/>
  <c r="H349" i="7"/>
  <c r="AE349" i="7"/>
  <c r="R356" i="7"/>
  <c r="AB356" i="7"/>
  <c r="L356" i="7"/>
  <c r="H356" i="7"/>
  <c r="S356" i="7"/>
  <c r="M356" i="7"/>
  <c r="J356" i="7"/>
  <c r="I356" i="7"/>
  <c r="P356" i="7"/>
  <c r="AG356" i="7"/>
  <c r="O356" i="7" s="1"/>
  <c r="F356" i="7"/>
  <c r="G356" i="7"/>
  <c r="Q356" i="7"/>
  <c r="AE356" i="7"/>
  <c r="G107" i="7"/>
  <c r="AB361" i="7"/>
  <c r="J361" i="7"/>
  <c r="P361" i="7"/>
  <c r="H361" i="7"/>
  <c r="R361" i="7"/>
  <c r="F361" i="7"/>
  <c r="G361" i="7"/>
  <c r="L361" i="7"/>
  <c r="I361" i="7"/>
  <c r="Q361" i="7"/>
  <c r="AG361" i="7"/>
  <c r="O361" i="7" s="1"/>
  <c r="S361" i="7"/>
  <c r="M361" i="7"/>
  <c r="AE361" i="7"/>
  <c r="J373" i="7"/>
  <c r="P373" i="7"/>
  <c r="M373" i="7"/>
  <c r="L373" i="7"/>
  <c r="F373" i="7"/>
  <c r="H373" i="7"/>
  <c r="R373" i="7"/>
  <c r="I373" i="7"/>
  <c r="AB373" i="7"/>
  <c r="AG373" i="7"/>
  <c r="O373" i="7" s="1"/>
  <c r="Q373" i="7"/>
  <c r="S373" i="7"/>
  <c r="G373" i="7"/>
  <c r="AE373" i="7"/>
  <c r="S346" i="7"/>
  <c r="F346" i="7"/>
  <c r="L346" i="7"/>
  <c r="I346" i="7"/>
  <c r="G346" i="7"/>
  <c r="Q346" i="7"/>
  <c r="H346" i="7"/>
  <c r="M346" i="7"/>
  <c r="AG346" i="7"/>
  <c r="O346" i="7" s="1"/>
  <c r="P346" i="7"/>
  <c r="R346" i="7"/>
  <c r="J346" i="7"/>
  <c r="AB346" i="7"/>
  <c r="AE346" i="7"/>
  <c r="S365" i="7"/>
  <c r="L365" i="7"/>
  <c r="AB365" i="7"/>
  <c r="R365" i="7"/>
  <c r="P365" i="7"/>
  <c r="H365" i="7"/>
  <c r="M365" i="7"/>
  <c r="J365" i="7"/>
  <c r="Q365" i="7"/>
  <c r="F365" i="7"/>
  <c r="I365" i="7"/>
  <c r="G365" i="7"/>
  <c r="AG365" i="7"/>
  <c r="O365" i="7" s="1"/>
  <c r="AE365" i="7"/>
  <c r="M351" i="7"/>
  <c r="G351" i="7"/>
  <c r="I351" i="7"/>
  <c r="AG351" i="7"/>
  <c r="O351" i="7" s="1"/>
  <c r="P351" i="7"/>
  <c r="F351" i="7"/>
  <c r="L351" i="7"/>
  <c r="J351" i="7"/>
  <c r="H351" i="7"/>
  <c r="AB351" i="7"/>
  <c r="R351" i="7"/>
  <c r="Q351" i="7"/>
  <c r="S351" i="7"/>
  <c r="AE351" i="7"/>
  <c r="R362" i="7"/>
  <c r="L362" i="7"/>
  <c r="J362" i="7"/>
  <c r="H362" i="7"/>
  <c r="AG362" i="7"/>
  <c r="O362" i="7" s="1"/>
  <c r="G362" i="7"/>
  <c r="Q362" i="7"/>
  <c r="S362" i="7"/>
  <c r="M362" i="7"/>
  <c r="AB362" i="7"/>
  <c r="I362" i="7"/>
  <c r="F362" i="7"/>
  <c r="P362" i="7"/>
  <c r="AE362" i="7"/>
  <c r="Q354" i="7"/>
  <c r="J354" i="7"/>
  <c r="I354" i="7"/>
  <c r="AG354" i="7"/>
  <c r="O354" i="7" s="1"/>
  <c r="M354" i="7"/>
  <c r="S354" i="7"/>
  <c r="AB354" i="7"/>
  <c r="G354" i="7"/>
  <c r="P354" i="7"/>
  <c r="F354" i="7"/>
  <c r="L354" i="7"/>
  <c r="R354" i="7"/>
  <c r="H354" i="7"/>
  <c r="AE354" i="7"/>
  <c r="Q369" i="7"/>
  <c r="AB369" i="7"/>
  <c r="M369" i="7"/>
  <c r="I369" i="7"/>
  <c r="F369" i="7"/>
  <c r="R369" i="7"/>
  <c r="S369" i="7"/>
  <c r="J369" i="7"/>
  <c r="P369" i="7"/>
  <c r="AG369" i="7"/>
  <c r="O369" i="7" s="1"/>
  <c r="L369" i="7"/>
  <c r="G369" i="7"/>
  <c r="H369" i="7"/>
  <c r="AE369" i="7"/>
  <c r="P367" i="7"/>
  <c r="J367" i="7"/>
  <c r="G367" i="7"/>
  <c r="Q367" i="7"/>
  <c r="M367" i="7"/>
  <c r="L367" i="7"/>
  <c r="S367" i="7"/>
  <c r="AG367" i="7"/>
  <c r="O367" i="7" s="1"/>
  <c r="F367" i="7"/>
  <c r="I367" i="7"/>
  <c r="H367" i="7"/>
  <c r="R367" i="7"/>
  <c r="AB367" i="7"/>
  <c r="AE367" i="7"/>
  <c r="I345" i="7"/>
  <c r="F347" i="7"/>
  <c r="P347" i="7"/>
  <c r="S347" i="7"/>
  <c r="L347" i="7"/>
  <c r="Q347" i="7"/>
  <c r="H347" i="7"/>
  <c r="M347" i="7"/>
  <c r="AB347" i="7"/>
  <c r="J347" i="7"/>
  <c r="AG347" i="7"/>
  <c r="O347" i="7" s="1"/>
  <c r="I347" i="7"/>
  <c r="G347" i="7"/>
  <c r="R347" i="7"/>
  <c r="AE347" i="7"/>
  <c r="I105" i="30"/>
  <c r="U105" i="30" s="1"/>
  <c r="M381" i="7"/>
  <c r="S389" i="7"/>
  <c r="I389" i="7"/>
  <c r="Q389" i="7"/>
  <c r="AB389" i="7"/>
  <c r="AG389" i="7"/>
  <c r="O389" i="7" s="1"/>
  <c r="P389" i="7"/>
  <c r="H389" i="7"/>
  <c r="R389" i="7"/>
  <c r="M389" i="7"/>
  <c r="G389" i="7"/>
  <c r="J389" i="7"/>
  <c r="F389" i="7"/>
  <c r="L389" i="7"/>
  <c r="AE389" i="7"/>
  <c r="AG403" i="7"/>
  <c r="O403" i="7" s="1"/>
  <c r="J403" i="7"/>
  <c r="I403" i="7"/>
  <c r="H403" i="7"/>
  <c r="G403" i="7"/>
  <c r="Q403" i="7"/>
  <c r="AB403" i="7"/>
  <c r="M403" i="7"/>
  <c r="F403" i="7"/>
  <c r="S403" i="7"/>
  <c r="L403" i="7"/>
  <c r="R403" i="7"/>
  <c r="P403" i="7"/>
  <c r="AE403" i="7"/>
  <c r="G407" i="7"/>
  <c r="F407" i="7"/>
  <c r="AG407" i="7"/>
  <c r="O407" i="7" s="1"/>
  <c r="R407" i="7"/>
  <c r="M407" i="7"/>
  <c r="L407" i="7"/>
  <c r="P407" i="7"/>
  <c r="I407" i="7"/>
  <c r="Q407" i="7"/>
  <c r="S407" i="7"/>
  <c r="H407" i="7"/>
  <c r="J407" i="7"/>
  <c r="AB407" i="7"/>
  <c r="AE407" i="7"/>
  <c r="P381" i="7"/>
  <c r="M386" i="7"/>
  <c r="Q386" i="7"/>
  <c r="AB386" i="7"/>
  <c r="H386" i="7"/>
  <c r="L386" i="7"/>
  <c r="R386" i="7"/>
  <c r="F386" i="7"/>
  <c r="I386" i="7"/>
  <c r="G386" i="7"/>
  <c r="J386" i="7"/>
  <c r="P386" i="7"/>
  <c r="S386" i="7"/>
  <c r="AG386" i="7"/>
  <c r="O386" i="7" s="1"/>
  <c r="AE386" i="7"/>
  <c r="M390" i="7"/>
  <c r="F390" i="7"/>
  <c r="AG390" i="7"/>
  <c r="O390" i="7" s="1"/>
  <c r="S390" i="7"/>
  <c r="J390" i="7"/>
  <c r="L390" i="7"/>
  <c r="P390" i="7"/>
  <c r="G390" i="7"/>
  <c r="R390" i="7"/>
  <c r="AB390" i="7"/>
  <c r="Q390" i="7"/>
  <c r="H390" i="7"/>
  <c r="I390" i="7"/>
  <c r="AE390" i="7"/>
  <c r="AG411" i="7"/>
  <c r="O411" i="7" s="1"/>
  <c r="P411" i="7"/>
  <c r="AB411" i="7"/>
  <c r="G411" i="7"/>
  <c r="J411" i="7"/>
  <c r="H411" i="7"/>
  <c r="F411" i="7"/>
  <c r="L411" i="7"/>
  <c r="M411" i="7"/>
  <c r="S411" i="7"/>
  <c r="R411" i="7"/>
  <c r="Q411" i="7"/>
  <c r="I411" i="7"/>
  <c r="AE411" i="7"/>
  <c r="AG393" i="7"/>
  <c r="O393" i="7" s="1"/>
  <c r="J393" i="7"/>
  <c r="G393" i="7"/>
  <c r="M393" i="7"/>
  <c r="AB393" i="7"/>
  <c r="L393" i="7"/>
  <c r="S393" i="7"/>
  <c r="H393" i="7"/>
  <c r="R393" i="7"/>
  <c r="P393" i="7"/>
  <c r="I393" i="7"/>
  <c r="F393" i="7"/>
  <c r="Q393" i="7"/>
  <c r="AE393" i="7"/>
  <c r="I108" i="7"/>
  <c r="P409" i="7"/>
  <c r="S409" i="7"/>
  <c r="AB409" i="7"/>
  <c r="I409" i="7"/>
  <c r="H409" i="7"/>
  <c r="J409" i="7"/>
  <c r="AG409" i="7"/>
  <c r="O409" i="7" s="1"/>
  <c r="R409" i="7"/>
  <c r="G409" i="7"/>
  <c r="L409" i="7"/>
  <c r="Q409" i="7"/>
  <c r="M409" i="7"/>
  <c r="F409" i="7"/>
  <c r="AE409" i="7"/>
  <c r="S398" i="7"/>
  <c r="Q398" i="7"/>
  <c r="L398" i="7"/>
  <c r="G398" i="7"/>
  <c r="H398" i="7"/>
  <c r="J398" i="7"/>
  <c r="AB398" i="7"/>
  <c r="F398" i="7"/>
  <c r="I398" i="7"/>
  <c r="M398" i="7"/>
  <c r="AG398" i="7"/>
  <c r="O398" i="7" s="1"/>
  <c r="P398" i="7"/>
  <c r="R398" i="7"/>
  <c r="AE398" i="7"/>
  <c r="AG392" i="7"/>
  <c r="O392" i="7" s="1"/>
  <c r="H392" i="7"/>
  <c r="J392" i="7"/>
  <c r="R392" i="7"/>
  <c r="AB392" i="7"/>
  <c r="L392" i="7"/>
  <c r="F392" i="7"/>
  <c r="M392" i="7"/>
  <c r="P392" i="7"/>
  <c r="S392" i="7"/>
  <c r="Q392" i="7"/>
  <c r="G392" i="7"/>
  <c r="I392" i="7"/>
  <c r="AE392" i="7"/>
  <c r="AB394" i="7"/>
  <c r="M394" i="7"/>
  <c r="J394" i="7"/>
  <c r="R394" i="7"/>
  <c r="L394" i="7"/>
  <c r="AG394" i="7"/>
  <c r="O394" i="7" s="1"/>
  <c r="I394" i="7"/>
  <c r="H394" i="7"/>
  <c r="G394" i="7"/>
  <c r="P394" i="7"/>
  <c r="F394" i="7"/>
  <c r="Q394" i="7"/>
  <c r="S394" i="7"/>
  <c r="AE394" i="7"/>
  <c r="R400" i="7"/>
  <c r="H400" i="7"/>
  <c r="L400" i="7"/>
  <c r="J400" i="7"/>
  <c r="M400" i="7"/>
  <c r="AG400" i="7"/>
  <c r="O400" i="7" s="1"/>
  <c r="G400" i="7"/>
  <c r="F400" i="7"/>
  <c r="P400" i="7"/>
  <c r="S400" i="7"/>
  <c r="AB400" i="7"/>
  <c r="Q400" i="7"/>
  <c r="I400" i="7"/>
  <c r="AE400" i="7"/>
  <c r="AG387" i="7"/>
  <c r="O387" i="7" s="1"/>
  <c r="I387" i="7"/>
  <c r="P387" i="7"/>
  <c r="L387" i="7"/>
  <c r="G387" i="7"/>
  <c r="Q387" i="7"/>
  <c r="R387" i="7"/>
  <c r="AB387" i="7"/>
  <c r="J387" i="7"/>
  <c r="S387" i="7"/>
  <c r="F387" i="7"/>
  <c r="M387" i="7"/>
  <c r="H387" i="7"/>
  <c r="AE387" i="7"/>
  <c r="Q385" i="7"/>
  <c r="G385" i="7"/>
  <c r="R385" i="7"/>
  <c r="L385" i="7"/>
  <c r="S385" i="7"/>
  <c r="I385" i="7"/>
  <c r="H385" i="7"/>
  <c r="AB385" i="7"/>
  <c r="F385" i="7"/>
  <c r="AG385" i="7"/>
  <c r="O385" i="7" s="1"/>
  <c r="M385" i="7"/>
  <c r="J385" i="7"/>
  <c r="P385" i="7"/>
  <c r="AE385" i="7"/>
  <c r="G383" i="7"/>
  <c r="F383" i="7"/>
  <c r="AB383" i="7"/>
  <c r="Q383" i="7"/>
  <c r="J383" i="7"/>
  <c r="R383" i="7"/>
  <c r="L383" i="7"/>
  <c r="M383" i="7"/>
  <c r="S383" i="7"/>
  <c r="I383" i="7"/>
  <c r="P383" i="7"/>
  <c r="AG383" i="7"/>
  <c r="O383" i="7" s="1"/>
  <c r="H383" i="7"/>
  <c r="AE383" i="7"/>
  <c r="F402" i="7"/>
  <c r="AB402" i="7"/>
  <c r="S402" i="7"/>
  <c r="H402" i="7"/>
  <c r="R402" i="7"/>
  <c r="M402" i="7"/>
  <c r="L402" i="7"/>
  <c r="J402" i="7"/>
  <c r="G402" i="7"/>
  <c r="P402" i="7"/>
  <c r="AG402" i="7"/>
  <c r="O402" i="7" s="1"/>
  <c r="I402" i="7"/>
  <c r="Q402" i="7"/>
  <c r="AE402" i="7"/>
  <c r="H388" i="7"/>
  <c r="G388" i="7"/>
  <c r="M388" i="7"/>
  <c r="I388" i="7"/>
  <c r="P388" i="7"/>
  <c r="AG388" i="7"/>
  <c r="O388" i="7" s="1"/>
  <c r="J388" i="7"/>
  <c r="R388" i="7"/>
  <c r="Q388" i="7"/>
  <c r="S388" i="7"/>
  <c r="F388" i="7"/>
  <c r="AB388" i="7"/>
  <c r="L388" i="7"/>
  <c r="AE388" i="7"/>
  <c r="R396" i="7"/>
  <c r="G396" i="7"/>
  <c r="Q396" i="7"/>
  <c r="F396" i="7"/>
  <c r="M396" i="7"/>
  <c r="P396" i="7"/>
  <c r="AG396" i="7"/>
  <c r="O396" i="7" s="1"/>
  <c r="H396" i="7"/>
  <c r="J396" i="7"/>
  <c r="I396" i="7"/>
  <c r="L396" i="7"/>
  <c r="S396" i="7"/>
  <c r="AB396" i="7"/>
  <c r="AE396" i="7"/>
  <c r="Q405" i="7"/>
  <c r="P405" i="7"/>
  <c r="S405" i="7"/>
  <c r="F405" i="7"/>
  <c r="M405" i="7"/>
  <c r="L405" i="7"/>
  <c r="G405" i="7"/>
  <c r="J405" i="7"/>
  <c r="I405" i="7"/>
  <c r="H405" i="7"/>
  <c r="AB405" i="7"/>
  <c r="AG405" i="7"/>
  <c r="O405" i="7" s="1"/>
  <c r="R405" i="7"/>
  <c r="AE405" i="7"/>
  <c r="G401" i="7"/>
  <c r="AB401" i="7"/>
  <c r="AG401" i="7"/>
  <c r="O401" i="7" s="1"/>
  <c r="R401" i="7"/>
  <c r="Q401" i="7"/>
  <c r="H401" i="7"/>
  <c r="S401" i="7"/>
  <c r="J401" i="7"/>
  <c r="M401" i="7"/>
  <c r="P401" i="7"/>
  <c r="F401" i="7"/>
  <c r="I401" i="7"/>
  <c r="L401" i="7"/>
  <c r="AE401" i="7"/>
  <c r="M395" i="7"/>
  <c r="P395" i="7"/>
  <c r="AB395" i="7"/>
  <c r="H395" i="7"/>
  <c r="G395" i="7"/>
  <c r="S395" i="7"/>
  <c r="J395" i="7"/>
  <c r="R395" i="7"/>
  <c r="I395" i="7"/>
  <c r="F395" i="7"/>
  <c r="Q395" i="7"/>
  <c r="L395" i="7"/>
  <c r="AG395" i="7"/>
  <c r="O395" i="7" s="1"/>
  <c r="AE395" i="7"/>
  <c r="AG404" i="7"/>
  <c r="O404" i="7" s="1"/>
  <c r="P404" i="7"/>
  <c r="G404" i="7"/>
  <c r="AB404" i="7"/>
  <c r="S404" i="7"/>
  <c r="Q404" i="7"/>
  <c r="J404" i="7"/>
  <c r="L404" i="7"/>
  <c r="H404" i="7"/>
  <c r="I404" i="7"/>
  <c r="R404" i="7"/>
  <c r="F404" i="7"/>
  <c r="M404" i="7"/>
  <c r="AE404" i="7"/>
  <c r="I107" i="30"/>
  <c r="R382" i="7"/>
  <c r="S382" i="7"/>
  <c r="Q382" i="7"/>
  <c r="P382" i="7"/>
  <c r="L382" i="7"/>
  <c r="M382" i="7"/>
  <c r="AB382" i="7"/>
  <c r="J382" i="7"/>
  <c r="H382" i="7"/>
  <c r="F382" i="7"/>
  <c r="G382" i="7"/>
  <c r="AG382" i="7"/>
  <c r="O382" i="7" s="1"/>
  <c r="I382" i="7"/>
  <c r="AE382" i="7"/>
  <c r="I381" i="7"/>
  <c r="P391" i="7"/>
  <c r="Q391" i="7"/>
  <c r="R391" i="7"/>
  <c r="J391" i="7"/>
  <c r="AB391" i="7"/>
  <c r="G391" i="7"/>
  <c r="F391" i="7"/>
  <c r="AG391" i="7"/>
  <c r="O391" i="7" s="1"/>
  <c r="L391" i="7"/>
  <c r="H391" i="7"/>
  <c r="S391" i="7"/>
  <c r="I391" i="7"/>
  <c r="M391" i="7"/>
  <c r="AE391" i="7"/>
  <c r="L408" i="7"/>
  <c r="P408" i="7"/>
  <c r="S408" i="7"/>
  <c r="R408" i="7"/>
  <c r="Q408" i="7"/>
  <c r="I408" i="7"/>
  <c r="M408" i="7"/>
  <c r="H408" i="7"/>
  <c r="AG408" i="7"/>
  <c r="O408" i="7" s="1"/>
  <c r="F408" i="7"/>
  <c r="G408" i="7"/>
  <c r="AB408" i="7"/>
  <c r="J408" i="7"/>
  <c r="AE408" i="7"/>
  <c r="H397" i="7"/>
  <c r="M397" i="7"/>
  <c r="L397" i="7"/>
  <c r="F397" i="7"/>
  <c r="AB397" i="7"/>
  <c r="AG397" i="7"/>
  <c r="O397" i="7" s="1"/>
  <c r="Q397" i="7"/>
  <c r="J397" i="7"/>
  <c r="G397" i="7"/>
  <c r="I397" i="7"/>
  <c r="R397" i="7"/>
  <c r="P397" i="7"/>
  <c r="S397" i="7"/>
  <c r="AE397" i="7"/>
  <c r="P384" i="7"/>
  <c r="I384" i="7"/>
  <c r="M384" i="7"/>
  <c r="H384" i="7"/>
  <c r="F384" i="7"/>
  <c r="AG384" i="7"/>
  <c r="O384" i="7" s="1"/>
  <c r="J384" i="7"/>
  <c r="Q384" i="7"/>
  <c r="S384" i="7"/>
  <c r="L384" i="7"/>
  <c r="R384" i="7"/>
  <c r="AB384" i="7"/>
  <c r="G384" i="7"/>
  <c r="AE384" i="7"/>
  <c r="P406" i="7"/>
  <c r="AG406" i="7"/>
  <c r="O406" i="7" s="1"/>
  <c r="J406" i="7"/>
  <c r="I406" i="7"/>
  <c r="H406" i="7"/>
  <c r="Q406" i="7"/>
  <c r="G406" i="7"/>
  <c r="L406" i="7"/>
  <c r="M406" i="7"/>
  <c r="F406" i="7"/>
  <c r="S406" i="7"/>
  <c r="R406" i="7"/>
  <c r="AB406" i="7"/>
  <c r="AE406" i="7"/>
  <c r="R410" i="7"/>
  <c r="M410" i="7"/>
  <c r="L410" i="7"/>
  <c r="S410" i="7"/>
  <c r="F410" i="7"/>
  <c r="AB410" i="7"/>
  <c r="AG410" i="7"/>
  <c r="O410" i="7" s="1"/>
  <c r="P410" i="7"/>
  <c r="J410" i="7"/>
  <c r="H410" i="7"/>
  <c r="I410" i="7"/>
  <c r="Q410" i="7"/>
  <c r="G410" i="7"/>
  <c r="AE410" i="7"/>
  <c r="S399" i="7"/>
  <c r="J399" i="7"/>
  <c r="H399" i="7"/>
  <c r="AB399" i="7"/>
  <c r="Q399" i="7"/>
  <c r="L399" i="7"/>
  <c r="I399" i="7"/>
  <c r="AG399" i="7"/>
  <c r="O399" i="7" s="1"/>
  <c r="G399" i="7"/>
  <c r="F399" i="7"/>
  <c r="P399" i="7"/>
  <c r="R399" i="7"/>
  <c r="M399" i="7"/>
  <c r="AE399" i="7"/>
  <c r="G108" i="7"/>
  <c r="I323" i="7"/>
  <c r="G323" i="7"/>
  <c r="F323" i="7"/>
  <c r="P323" i="7"/>
  <c r="H323" i="7"/>
  <c r="M323" i="7"/>
  <c r="Q323" i="7"/>
  <c r="AG323" i="7"/>
  <c r="O323" i="7" s="1"/>
  <c r="L323" i="7"/>
  <c r="S323" i="7"/>
  <c r="AB323" i="7"/>
  <c r="R323" i="7"/>
  <c r="J323" i="7"/>
  <c r="AE323" i="7"/>
  <c r="G331" i="7"/>
  <c r="F331" i="7"/>
  <c r="S331" i="7"/>
  <c r="M331" i="7"/>
  <c r="Q331" i="7"/>
  <c r="AG331" i="7"/>
  <c r="O331" i="7" s="1"/>
  <c r="R331" i="7"/>
  <c r="P331" i="7"/>
  <c r="J331" i="7"/>
  <c r="H331" i="7"/>
  <c r="L331" i="7"/>
  <c r="I331" i="7"/>
  <c r="AB331" i="7"/>
  <c r="AE331" i="7"/>
  <c r="J314" i="7"/>
  <c r="AB314" i="7"/>
  <c r="R314" i="7"/>
  <c r="S314" i="7"/>
  <c r="P314" i="7"/>
  <c r="G314" i="7"/>
  <c r="H314" i="7"/>
  <c r="M314" i="7"/>
  <c r="AG314" i="7"/>
  <c r="O314" i="7" s="1"/>
  <c r="I314" i="7"/>
  <c r="L314" i="7"/>
  <c r="F314" i="7"/>
  <c r="Q314" i="7"/>
  <c r="AE314" i="7"/>
  <c r="J325" i="7"/>
  <c r="AB325" i="7"/>
  <c r="H325" i="7"/>
  <c r="F325" i="7"/>
  <c r="Q325" i="7"/>
  <c r="G325" i="7"/>
  <c r="AG325" i="7"/>
  <c r="O325" i="7" s="1"/>
  <c r="R325" i="7"/>
  <c r="P325" i="7"/>
  <c r="S325" i="7"/>
  <c r="L325" i="7"/>
  <c r="M325" i="7"/>
  <c r="I325" i="7"/>
  <c r="AE325" i="7"/>
  <c r="J328" i="7"/>
  <c r="AB328" i="7"/>
  <c r="S328" i="7"/>
  <c r="I328" i="7"/>
  <c r="P328" i="7"/>
  <c r="F328" i="7"/>
  <c r="H328" i="7"/>
  <c r="G328" i="7"/>
  <c r="AG328" i="7"/>
  <c r="O328" i="7" s="1"/>
  <c r="R328" i="7"/>
  <c r="Q328" i="7"/>
  <c r="M328" i="7"/>
  <c r="L328" i="7"/>
  <c r="AE328" i="7"/>
  <c r="Q317" i="7"/>
  <c r="P317" i="7"/>
  <c r="H317" i="7"/>
  <c r="I317" i="7"/>
  <c r="L317" i="7"/>
  <c r="AB317" i="7"/>
  <c r="G317" i="7"/>
  <c r="R317" i="7"/>
  <c r="AG317" i="7"/>
  <c r="O317" i="7" s="1"/>
  <c r="M317" i="7"/>
  <c r="S317" i="7"/>
  <c r="J317" i="7"/>
  <c r="F317" i="7"/>
  <c r="AE317" i="7"/>
  <c r="P309" i="7"/>
  <c r="I330" i="7"/>
  <c r="J330" i="7"/>
  <c r="G330" i="7"/>
  <c r="L330" i="7"/>
  <c r="M330" i="7"/>
  <c r="Q330" i="7"/>
  <c r="R330" i="7"/>
  <c r="P330" i="7"/>
  <c r="AB330" i="7"/>
  <c r="H330" i="7"/>
  <c r="AG330" i="7"/>
  <c r="O330" i="7" s="1"/>
  <c r="S330" i="7"/>
  <c r="F330" i="7"/>
  <c r="AE330" i="7"/>
  <c r="M334" i="7"/>
  <c r="L334" i="7"/>
  <c r="AB334" i="7"/>
  <c r="I334" i="7"/>
  <c r="S334" i="7"/>
  <c r="G334" i="7"/>
  <c r="P334" i="7"/>
  <c r="H334" i="7"/>
  <c r="AG334" i="7"/>
  <c r="O334" i="7" s="1"/>
  <c r="Q334" i="7"/>
  <c r="J334" i="7"/>
  <c r="R334" i="7"/>
  <c r="F334" i="7"/>
  <c r="AE334" i="7"/>
  <c r="J309" i="7"/>
  <c r="J312" i="7"/>
  <c r="L312" i="7"/>
  <c r="I312" i="7"/>
  <c r="P312" i="7"/>
  <c r="G312" i="7"/>
  <c r="M312" i="7"/>
  <c r="F312" i="7"/>
  <c r="AB312" i="7"/>
  <c r="Q312" i="7"/>
  <c r="H312" i="7"/>
  <c r="AG312" i="7"/>
  <c r="O312" i="7" s="1"/>
  <c r="S312" i="7"/>
  <c r="R312" i="7"/>
  <c r="AE312" i="7"/>
  <c r="Q322" i="7"/>
  <c r="H322" i="7"/>
  <c r="S322" i="7"/>
  <c r="AB322" i="7"/>
  <c r="M322" i="7"/>
  <c r="AG322" i="7"/>
  <c r="O322" i="7" s="1"/>
  <c r="G322" i="7"/>
  <c r="L322" i="7"/>
  <c r="P322" i="7"/>
  <c r="I322" i="7"/>
  <c r="F322" i="7"/>
  <c r="J322" i="7"/>
  <c r="R322" i="7"/>
  <c r="AE322" i="7"/>
  <c r="R321" i="7"/>
  <c r="Q321" i="7"/>
  <c r="F321" i="7"/>
  <c r="AG321" i="7"/>
  <c r="O321" i="7" s="1"/>
  <c r="M321" i="7"/>
  <c r="J321" i="7"/>
  <c r="S321" i="7"/>
  <c r="L321" i="7"/>
  <c r="G321" i="7"/>
  <c r="I321" i="7"/>
  <c r="H321" i="7"/>
  <c r="P321" i="7"/>
  <c r="AB321" i="7"/>
  <c r="AE321" i="7"/>
  <c r="G318" i="7"/>
  <c r="P318" i="7"/>
  <c r="S318" i="7"/>
  <c r="H318" i="7"/>
  <c r="L318" i="7"/>
  <c r="Q318" i="7"/>
  <c r="J318" i="7"/>
  <c r="R318" i="7"/>
  <c r="AG318" i="7"/>
  <c r="O318" i="7" s="1"/>
  <c r="M318" i="7"/>
  <c r="F318" i="7"/>
  <c r="AB318" i="7"/>
  <c r="I318" i="7"/>
  <c r="AE318" i="7"/>
  <c r="Q329" i="7"/>
  <c r="P329" i="7"/>
  <c r="R329" i="7"/>
  <c r="M329" i="7"/>
  <c r="L329" i="7"/>
  <c r="F329" i="7"/>
  <c r="AG329" i="7"/>
  <c r="O329" i="7" s="1"/>
  <c r="H329" i="7"/>
  <c r="S329" i="7"/>
  <c r="AB329" i="7"/>
  <c r="I329" i="7"/>
  <c r="G329" i="7"/>
  <c r="J329" i="7"/>
  <c r="AE329" i="7"/>
  <c r="P333" i="7"/>
  <c r="G333" i="7"/>
  <c r="J333" i="7"/>
  <c r="L333" i="7"/>
  <c r="R333" i="7"/>
  <c r="F333" i="7"/>
  <c r="H333" i="7"/>
  <c r="AB333" i="7"/>
  <c r="S333" i="7"/>
  <c r="I333" i="7"/>
  <c r="Q333" i="7"/>
  <c r="AG333" i="7"/>
  <c r="O333" i="7" s="1"/>
  <c r="M333" i="7"/>
  <c r="AE333" i="7"/>
  <c r="Q332" i="7"/>
  <c r="F332" i="7"/>
  <c r="L332" i="7"/>
  <c r="AG332" i="7"/>
  <c r="O332" i="7" s="1"/>
  <c r="J332" i="7"/>
  <c r="H332" i="7"/>
  <c r="P332" i="7"/>
  <c r="M332" i="7"/>
  <c r="I332" i="7"/>
  <c r="S332" i="7"/>
  <c r="R332" i="7"/>
  <c r="G332" i="7"/>
  <c r="AB332" i="7"/>
  <c r="AE332" i="7"/>
  <c r="G106" i="7"/>
  <c r="AB320" i="7"/>
  <c r="Q320" i="7"/>
  <c r="F320" i="7"/>
  <c r="I320" i="7"/>
  <c r="G320" i="7"/>
  <c r="R320" i="7"/>
  <c r="M320" i="7"/>
  <c r="J320" i="7"/>
  <c r="H320" i="7"/>
  <c r="S320" i="7"/>
  <c r="AG320" i="7"/>
  <c r="O320" i="7" s="1"/>
  <c r="P320" i="7"/>
  <c r="L320" i="7"/>
  <c r="AE320" i="7"/>
  <c r="M335" i="7"/>
  <c r="Q335" i="7"/>
  <c r="G335" i="7"/>
  <c r="R335" i="7"/>
  <c r="I335" i="7"/>
  <c r="H335" i="7"/>
  <c r="AG335" i="7"/>
  <c r="O335" i="7" s="1"/>
  <c r="AB335" i="7"/>
  <c r="P335" i="7"/>
  <c r="F335" i="7"/>
  <c r="S335" i="7"/>
  <c r="L335" i="7"/>
  <c r="J335" i="7"/>
  <c r="AE335" i="7"/>
  <c r="AB315" i="7"/>
  <c r="R315" i="7"/>
  <c r="AG315" i="7"/>
  <c r="O315" i="7" s="1"/>
  <c r="Q315" i="7"/>
  <c r="J315" i="7"/>
  <c r="G315" i="7"/>
  <c r="L315" i="7"/>
  <c r="P315" i="7"/>
  <c r="H315" i="7"/>
  <c r="S315" i="7"/>
  <c r="F315" i="7"/>
  <c r="I315" i="7"/>
  <c r="M315" i="7"/>
  <c r="AE315" i="7"/>
  <c r="H316" i="7"/>
  <c r="I316" i="7"/>
  <c r="F316" i="7"/>
  <c r="Q316" i="7"/>
  <c r="AB316" i="7"/>
  <c r="AG316" i="7"/>
  <c r="O316" i="7" s="1"/>
  <c r="G316" i="7"/>
  <c r="M316" i="7"/>
  <c r="R316" i="7"/>
  <c r="L316" i="7"/>
  <c r="J316" i="7"/>
  <c r="S316" i="7"/>
  <c r="P316" i="7"/>
  <c r="AE316" i="7"/>
  <c r="R337" i="7"/>
  <c r="I337" i="7"/>
  <c r="H337" i="7"/>
  <c r="J337" i="7"/>
  <c r="AB337" i="7"/>
  <c r="S337" i="7"/>
  <c r="G337" i="7"/>
  <c r="P337" i="7"/>
  <c r="L337" i="7"/>
  <c r="Q337" i="7"/>
  <c r="F337" i="7"/>
  <c r="M337" i="7"/>
  <c r="AG337" i="7"/>
  <c r="O337" i="7" s="1"/>
  <c r="AE337" i="7"/>
  <c r="S319" i="7"/>
  <c r="L319" i="7"/>
  <c r="G319" i="7"/>
  <c r="Q319" i="7"/>
  <c r="H319" i="7"/>
  <c r="P319" i="7"/>
  <c r="M319" i="7"/>
  <c r="F319" i="7"/>
  <c r="I319" i="7"/>
  <c r="AB319" i="7"/>
  <c r="AG319" i="7"/>
  <c r="O319" i="7" s="1"/>
  <c r="J319" i="7"/>
  <c r="R319" i="7"/>
  <c r="AE319" i="7"/>
  <c r="S336" i="7"/>
  <c r="M336" i="7"/>
  <c r="H336" i="7"/>
  <c r="G336" i="7"/>
  <c r="J336" i="7"/>
  <c r="AB336" i="7"/>
  <c r="I336" i="7"/>
  <c r="P336" i="7"/>
  <c r="F336" i="7"/>
  <c r="L336" i="7"/>
  <c r="R336" i="7"/>
  <c r="AG336" i="7"/>
  <c r="O336" i="7" s="1"/>
  <c r="Q336" i="7"/>
  <c r="AE336" i="7"/>
  <c r="S324" i="7"/>
  <c r="Q324" i="7"/>
  <c r="J324" i="7"/>
  <c r="F324" i="7"/>
  <c r="I324" i="7"/>
  <c r="H324" i="7"/>
  <c r="AB324" i="7"/>
  <c r="L324" i="7"/>
  <c r="M324" i="7"/>
  <c r="R324" i="7"/>
  <c r="P324" i="7"/>
  <c r="AG324" i="7"/>
  <c r="O324" i="7" s="1"/>
  <c r="G324" i="7"/>
  <c r="AE324" i="7"/>
  <c r="J313" i="7"/>
  <c r="AG313" i="7"/>
  <c r="O313" i="7" s="1"/>
  <c r="S313" i="7"/>
  <c r="G313" i="7"/>
  <c r="F313" i="7"/>
  <c r="P313" i="7"/>
  <c r="I313" i="7"/>
  <c r="AB313" i="7"/>
  <c r="M313" i="7"/>
  <c r="H313" i="7"/>
  <c r="R313" i="7"/>
  <c r="L313" i="7"/>
  <c r="Q313" i="7"/>
  <c r="AE313" i="7"/>
  <c r="G326" i="7"/>
  <c r="F326" i="7"/>
  <c r="L326" i="7"/>
  <c r="P326" i="7"/>
  <c r="Q326" i="7"/>
  <c r="J326" i="7"/>
  <c r="S326" i="7"/>
  <c r="AB326" i="7"/>
  <c r="R326" i="7"/>
  <c r="I326" i="7"/>
  <c r="M326" i="7"/>
  <c r="H326" i="7"/>
  <c r="AG326" i="7"/>
  <c r="O326" i="7" s="1"/>
  <c r="AE326" i="7"/>
  <c r="L338" i="7"/>
  <c r="R338" i="7"/>
  <c r="P338" i="7"/>
  <c r="AG338" i="7"/>
  <c r="O338" i="7" s="1"/>
  <c r="F338" i="7"/>
  <c r="H338" i="7"/>
  <c r="S338" i="7"/>
  <c r="J338" i="7"/>
  <c r="G338" i="7"/>
  <c r="AB338" i="7"/>
  <c r="Q338" i="7"/>
  <c r="I338" i="7"/>
  <c r="M338" i="7"/>
  <c r="AE338" i="7"/>
  <c r="H310" i="7"/>
  <c r="R310" i="7"/>
  <c r="AB310" i="7"/>
  <c r="F310" i="7"/>
  <c r="Q310" i="7"/>
  <c r="J310" i="7"/>
  <c r="L310" i="7"/>
  <c r="I310" i="7"/>
  <c r="M310" i="7"/>
  <c r="P310" i="7"/>
  <c r="G310" i="7"/>
  <c r="AG310" i="7"/>
  <c r="O310" i="7" s="1"/>
  <c r="S310" i="7"/>
  <c r="AE310" i="7"/>
  <c r="I309" i="7"/>
  <c r="M339" i="7"/>
  <c r="Q339" i="7"/>
  <c r="G339" i="7"/>
  <c r="R339" i="7"/>
  <c r="S339" i="7"/>
  <c r="AG339" i="7"/>
  <c r="O339" i="7" s="1"/>
  <c r="H339" i="7"/>
  <c r="J339" i="7"/>
  <c r="AB339" i="7"/>
  <c r="P339" i="7"/>
  <c r="F339" i="7"/>
  <c r="I339" i="7"/>
  <c r="L339" i="7"/>
  <c r="AE339" i="7"/>
  <c r="R327" i="7"/>
  <c r="I327" i="7"/>
  <c r="AB327" i="7"/>
  <c r="L327" i="7"/>
  <c r="S327" i="7"/>
  <c r="J327" i="7"/>
  <c r="M327" i="7"/>
  <c r="G327" i="7"/>
  <c r="P327" i="7"/>
  <c r="Q327" i="7"/>
  <c r="AG327" i="7"/>
  <c r="O327" i="7" s="1"/>
  <c r="F327" i="7"/>
  <c r="H327" i="7"/>
  <c r="AE327" i="7"/>
  <c r="S311" i="7"/>
  <c r="Q311" i="7"/>
  <c r="P311" i="7"/>
  <c r="L311" i="7"/>
  <c r="G311" i="7"/>
  <c r="I311" i="7"/>
  <c r="H311" i="7"/>
  <c r="F311" i="7"/>
  <c r="AG311" i="7"/>
  <c r="O311" i="7" s="1"/>
  <c r="M311" i="7"/>
  <c r="R311" i="7"/>
  <c r="AB311" i="7"/>
  <c r="J311" i="7"/>
  <c r="AE311" i="7"/>
  <c r="G104" i="30"/>
  <c r="I104" i="30" s="1"/>
  <c r="U104" i="30" s="1"/>
  <c r="M273" i="7"/>
  <c r="I300" i="7"/>
  <c r="H300" i="7"/>
  <c r="M300" i="7"/>
  <c r="AB300" i="7"/>
  <c r="AG300" i="7"/>
  <c r="O300" i="7" s="1"/>
  <c r="R300" i="7"/>
  <c r="Q300" i="7"/>
  <c r="P300" i="7"/>
  <c r="S300" i="7"/>
  <c r="J300" i="7"/>
  <c r="L300" i="7"/>
  <c r="G300" i="7"/>
  <c r="F300" i="7"/>
  <c r="AE300" i="7"/>
  <c r="F288" i="7"/>
  <c r="AB288" i="7"/>
  <c r="AG288" i="7"/>
  <c r="O288" i="7" s="1"/>
  <c r="Q288" i="7"/>
  <c r="P288" i="7"/>
  <c r="S288" i="7"/>
  <c r="R288" i="7"/>
  <c r="I288" i="7"/>
  <c r="L288" i="7"/>
  <c r="G288" i="7"/>
  <c r="J288" i="7"/>
  <c r="H288" i="7"/>
  <c r="M288" i="7"/>
  <c r="AE288" i="7"/>
  <c r="S280" i="7"/>
  <c r="R280" i="7"/>
  <c r="AG280" i="7"/>
  <c r="O280" i="7" s="1"/>
  <c r="J280" i="7"/>
  <c r="H280" i="7"/>
  <c r="L280" i="7"/>
  <c r="P280" i="7"/>
  <c r="Q280" i="7"/>
  <c r="AB280" i="7"/>
  <c r="F280" i="7"/>
  <c r="M280" i="7"/>
  <c r="I280" i="7"/>
  <c r="G280" i="7"/>
  <c r="AE280" i="7"/>
  <c r="R302" i="7"/>
  <c r="M302" i="7"/>
  <c r="I302" i="7"/>
  <c r="H302" i="7"/>
  <c r="J302" i="7"/>
  <c r="S302" i="7"/>
  <c r="F302" i="7"/>
  <c r="AB302" i="7"/>
  <c r="P302" i="7"/>
  <c r="G302" i="7"/>
  <c r="Q302" i="7"/>
  <c r="L302" i="7"/>
  <c r="AG302" i="7"/>
  <c r="O302" i="7" s="1"/>
  <c r="AE302" i="7"/>
  <c r="L299" i="7"/>
  <c r="S299" i="7"/>
  <c r="F299" i="7"/>
  <c r="P299" i="7"/>
  <c r="G299" i="7"/>
  <c r="Q299" i="7"/>
  <c r="M299" i="7"/>
  <c r="AB299" i="7"/>
  <c r="H299" i="7"/>
  <c r="R299" i="7"/>
  <c r="I299" i="7"/>
  <c r="AG299" i="7"/>
  <c r="O299" i="7" s="1"/>
  <c r="J299" i="7"/>
  <c r="AE299" i="7"/>
  <c r="M281" i="7"/>
  <c r="G281" i="7"/>
  <c r="Q281" i="7"/>
  <c r="AG281" i="7"/>
  <c r="O281" i="7" s="1"/>
  <c r="S281" i="7"/>
  <c r="J281" i="7"/>
  <c r="R281" i="7"/>
  <c r="F281" i="7"/>
  <c r="I281" i="7"/>
  <c r="AB281" i="7"/>
  <c r="P281" i="7"/>
  <c r="L281" i="7"/>
  <c r="H281" i="7"/>
  <c r="AE281" i="7"/>
  <c r="J277" i="7"/>
  <c r="L277" i="7"/>
  <c r="S277" i="7"/>
  <c r="AB277" i="7"/>
  <c r="F277" i="7"/>
  <c r="H277" i="7"/>
  <c r="AG277" i="7"/>
  <c r="O277" i="7" s="1"/>
  <c r="M277" i="7"/>
  <c r="G277" i="7"/>
  <c r="R277" i="7"/>
  <c r="Q277" i="7"/>
  <c r="P277" i="7"/>
  <c r="I277" i="7"/>
  <c r="AE277" i="7"/>
  <c r="AG284" i="7"/>
  <c r="O284" i="7" s="1"/>
  <c r="S284" i="7"/>
  <c r="G284" i="7"/>
  <c r="F284" i="7"/>
  <c r="R284" i="7"/>
  <c r="M284" i="7"/>
  <c r="J284" i="7"/>
  <c r="Q284" i="7"/>
  <c r="P284" i="7"/>
  <c r="H284" i="7"/>
  <c r="L284" i="7"/>
  <c r="I284" i="7"/>
  <c r="AB284" i="7"/>
  <c r="AE284" i="7"/>
  <c r="AB278" i="7"/>
  <c r="H278" i="7"/>
  <c r="L278" i="7"/>
  <c r="I278" i="7"/>
  <c r="P278" i="7"/>
  <c r="F278" i="7"/>
  <c r="Q278" i="7"/>
  <c r="J278" i="7"/>
  <c r="R278" i="7"/>
  <c r="S278" i="7"/>
  <c r="AG278" i="7"/>
  <c r="O278" i="7" s="1"/>
  <c r="G278" i="7"/>
  <c r="M278" i="7"/>
  <c r="AE278" i="7"/>
  <c r="I105" i="7"/>
  <c r="Q303" i="7"/>
  <c r="AB303" i="7"/>
  <c r="AG303" i="7"/>
  <c r="O303" i="7" s="1"/>
  <c r="M303" i="7"/>
  <c r="L303" i="7"/>
  <c r="S303" i="7"/>
  <c r="H303" i="7"/>
  <c r="I303" i="7"/>
  <c r="R303" i="7"/>
  <c r="G303" i="7"/>
  <c r="F303" i="7"/>
  <c r="P303" i="7"/>
  <c r="J303" i="7"/>
  <c r="AE303" i="7"/>
  <c r="S285" i="7"/>
  <c r="Q285" i="7"/>
  <c r="I285" i="7"/>
  <c r="J285" i="7"/>
  <c r="L285" i="7"/>
  <c r="H285" i="7"/>
  <c r="M285" i="7"/>
  <c r="G285" i="7"/>
  <c r="F285" i="7"/>
  <c r="R285" i="7"/>
  <c r="AG285" i="7"/>
  <c r="O285" i="7" s="1"/>
  <c r="P285" i="7"/>
  <c r="AB285" i="7"/>
  <c r="AE285" i="7"/>
  <c r="M295" i="7"/>
  <c r="L295" i="7"/>
  <c r="G295" i="7"/>
  <c r="F295" i="7"/>
  <c r="I295" i="7"/>
  <c r="Q295" i="7"/>
  <c r="AB295" i="7"/>
  <c r="H295" i="7"/>
  <c r="AG295" i="7"/>
  <c r="O295" i="7" s="1"/>
  <c r="R295" i="7"/>
  <c r="P295" i="7"/>
  <c r="S295" i="7"/>
  <c r="J295" i="7"/>
  <c r="AE295" i="7"/>
  <c r="L282" i="7"/>
  <c r="Q282" i="7"/>
  <c r="I282" i="7"/>
  <c r="AG282" i="7"/>
  <c r="O282" i="7" s="1"/>
  <c r="F282" i="7"/>
  <c r="G282" i="7"/>
  <c r="H282" i="7"/>
  <c r="S282" i="7"/>
  <c r="AB282" i="7"/>
  <c r="R282" i="7"/>
  <c r="M282" i="7"/>
  <c r="J282" i="7"/>
  <c r="P282" i="7"/>
  <c r="AE282" i="7"/>
  <c r="F276" i="7"/>
  <c r="I276" i="7"/>
  <c r="H276" i="7"/>
  <c r="J276" i="7"/>
  <c r="S276" i="7"/>
  <c r="L276" i="7"/>
  <c r="M276" i="7"/>
  <c r="G276" i="7"/>
  <c r="Q276" i="7"/>
  <c r="AG276" i="7"/>
  <c r="O276" i="7" s="1"/>
  <c r="P276" i="7"/>
  <c r="AB276" i="7"/>
  <c r="R276" i="7"/>
  <c r="AE276" i="7"/>
  <c r="M289" i="7"/>
  <c r="L289" i="7"/>
  <c r="G289" i="7"/>
  <c r="I289" i="7"/>
  <c r="H289" i="7"/>
  <c r="J289" i="7"/>
  <c r="F289" i="7"/>
  <c r="AB289" i="7"/>
  <c r="R289" i="7"/>
  <c r="Q289" i="7"/>
  <c r="P289" i="7"/>
  <c r="S289" i="7"/>
  <c r="AG289" i="7"/>
  <c r="O289" i="7" s="1"/>
  <c r="AE289" i="7"/>
  <c r="M301" i="7"/>
  <c r="J301" i="7"/>
  <c r="G301" i="7"/>
  <c r="I301" i="7"/>
  <c r="H301" i="7"/>
  <c r="Q301" i="7"/>
  <c r="P301" i="7"/>
  <c r="AG301" i="7"/>
  <c r="O301" i="7" s="1"/>
  <c r="F301" i="7"/>
  <c r="L301" i="7"/>
  <c r="S301" i="7"/>
  <c r="R301" i="7"/>
  <c r="AB301" i="7"/>
  <c r="AE301" i="7"/>
  <c r="R274" i="7"/>
  <c r="L274" i="7"/>
  <c r="Q274" i="7"/>
  <c r="M274" i="7"/>
  <c r="AB274" i="7"/>
  <c r="S274" i="7"/>
  <c r="H274" i="7"/>
  <c r="F274" i="7"/>
  <c r="P274" i="7"/>
  <c r="G274" i="7"/>
  <c r="I274" i="7"/>
  <c r="AG274" i="7"/>
  <c r="O274" i="7" s="1"/>
  <c r="J274" i="7"/>
  <c r="AE274" i="7"/>
  <c r="P273" i="7"/>
  <c r="M287" i="7"/>
  <c r="L287" i="7"/>
  <c r="AB287" i="7"/>
  <c r="J287" i="7"/>
  <c r="I287" i="7"/>
  <c r="AG287" i="7"/>
  <c r="O287" i="7" s="1"/>
  <c r="F287" i="7"/>
  <c r="P287" i="7"/>
  <c r="S287" i="7"/>
  <c r="Q287" i="7"/>
  <c r="H287" i="7"/>
  <c r="G287" i="7"/>
  <c r="R287" i="7"/>
  <c r="AE287" i="7"/>
  <c r="I283" i="7"/>
  <c r="R283" i="7"/>
  <c r="S283" i="7"/>
  <c r="F283" i="7"/>
  <c r="AG283" i="7"/>
  <c r="O283" i="7" s="1"/>
  <c r="AB283" i="7"/>
  <c r="H283" i="7"/>
  <c r="M283" i="7"/>
  <c r="P283" i="7"/>
  <c r="J283" i="7"/>
  <c r="G283" i="7"/>
  <c r="L283" i="7"/>
  <c r="Q283" i="7"/>
  <c r="AE283" i="7"/>
  <c r="M293" i="7"/>
  <c r="L293" i="7"/>
  <c r="G293" i="7"/>
  <c r="I293" i="7"/>
  <c r="H293" i="7"/>
  <c r="R293" i="7"/>
  <c r="AG293" i="7"/>
  <c r="O293" i="7" s="1"/>
  <c r="AB293" i="7"/>
  <c r="F293" i="7"/>
  <c r="Q293" i="7"/>
  <c r="P293" i="7"/>
  <c r="S293" i="7"/>
  <c r="J293" i="7"/>
  <c r="AE293" i="7"/>
  <c r="S298" i="7"/>
  <c r="L298" i="7"/>
  <c r="Q298" i="7"/>
  <c r="J298" i="7"/>
  <c r="I298" i="7"/>
  <c r="H298" i="7"/>
  <c r="M298" i="7"/>
  <c r="AB298" i="7"/>
  <c r="G298" i="7"/>
  <c r="R298" i="7"/>
  <c r="P298" i="7"/>
  <c r="AG298" i="7"/>
  <c r="O298" i="7" s="1"/>
  <c r="F298" i="7"/>
  <c r="AE298" i="7"/>
  <c r="J292" i="7"/>
  <c r="L292" i="7"/>
  <c r="P292" i="7"/>
  <c r="H292" i="7"/>
  <c r="R292" i="7"/>
  <c r="G292" i="7"/>
  <c r="F292" i="7"/>
  <c r="AG292" i="7"/>
  <c r="O292" i="7" s="1"/>
  <c r="S292" i="7"/>
  <c r="Q292" i="7"/>
  <c r="AB292" i="7"/>
  <c r="I292" i="7"/>
  <c r="M292" i="7"/>
  <c r="AE292" i="7"/>
  <c r="AG291" i="7"/>
  <c r="O291" i="7" s="1"/>
  <c r="R291" i="7"/>
  <c r="M291" i="7"/>
  <c r="P291" i="7"/>
  <c r="S291" i="7"/>
  <c r="J291" i="7"/>
  <c r="I291" i="7"/>
  <c r="G291" i="7"/>
  <c r="F291" i="7"/>
  <c r="AB291" i="7"/>
  <c r="Q291" i="7"/>
  <c r="L291" i="7"/>
  <c r="H291" i="7"/>
  <c r="AE291" i="7"/>
  <c r="G297" i="7"/>
  <c r="Q297" i="7"/>
  <c r="H297" i="7"/>
  <c r="R297" i="7"/>
  <c r="M297" i="7"/>
  <c r="F297" i="7"/>
  <c r="J297" i="7"/>
  <c r="I297" i="7"/>
  <c r="P297" i="7"/>
  <c r="S297" i="7"/>
  <c r="AB297" i="7"/>
  <c r="AG297" i="7"/>
  <c r="O297" i="7" s="1"/>
  <c r="L297" i="7"/>
  <c r="AE297" i="7"/>
  <c r="P294" i="7"/>
  <c r="AG294" i="7"/>
  <c r="O294" i="7" s="1"/>
  <c r="Q294" i="7"/>
  <c r="M294" i="7"/>
  <c r="R294" i="7"/>
  <c r="G294" i="7"/>
  <c r="J294" i="7"/>
  <c r="I294" i="7"/>
  <c r="H294" i="7"/>
  <c r="F294" i="7"/>
  <c r="AB294" i="7"/>
  <c r="S294" i="7"/>
  <c r="L294" i="7"/>
  <c r="AE294" i="7"/>
  <c r="G286" i="7"/>
  <c r="R286" i="7"/>
  <c r="P286" i="7"/>
  <c r="F286" i="7"/>
  <c r="L286" i="7"/>
  <c r="I286" i="7"/>
  <c r="AB286" i="7"/>
  <c r="H286" i="7"/>
  <c r="AG286" i="7"/>
  <c r="O286" i="7" s="1"/>
  <c r="M286" i="7"/>
  <c r="S286" i="7"/>
  <c r="J286" i="7"/>
  <c r="Q286" i="7"/>
  <c r="AE286" i="7"/>
  <c r="I273" i="7"/>
  <c r="G105" i="7"/>
  <c r="M275" i="7"/>
  <c r="F275" i="7"/>
  <c r="AG275" i="7"/>
  <c r="O275" i="7" s="1"/>
  <c r="G275" i="7"/>
  <c r="S275" i="7"/>
  <c r="H275" i="7"/>
  <c r="P275" i="7"/>
  <c r="AB275" i="7"/>
  <c r="J275" i="7"/>
  <c r="R275" i="7"/>
  <c r="L275" i="7"/>
  <c r="I275" i="7"/>
  <c r="Q275" i="7"/>
  <c r="AE275" i="7"/>
  <c r="AB279" i="7"/>
  <c r="L279" i="7"/>
  <c r="I279" i="7"/>
  <c r="G279" i="7"/>
  <c r="J279" i="7"/>
  <c r="F279" i="7"/>
  <c r="H279" i="7"/>
  <c r="M279" i="7"/>
  <c r="P279" i="7"/>
  <c r="AG279" i="7"/>
  <c r="O279" i="7" s="1"/>
  <c r="S279" i="7"/>
  <c r="R279" i="7"/>
  <c r="Q279" i="7"/>
  <c r="AE279" i="7"/>
  <c r="F296" i="7"/>
  <c r="AG296" i="7"/>
  <c r="O296" i="7" s="1"/>
  <c r="J296" i="7"/>
  <c r="Q296" i="7"/>
  <c r="H296" i="7"/>
  <c r="I296" i="7"/>
  <c r="P296" i="7"/>
  <c r="S296" i="7"/>
  <c r="AB296" i="7"/>
  <c r="L296" i="7"/>
  <c r="G296" i="7"/>
  <c r="M296" i="7"/>
  <c r="R296" i="7"/>
  <c r="AE296" i="7"/>
  <c r="H290" i="7"/>
  <c r="L290" i="7"/>
  <c r="R290" i="7"/>
  <c r="G290" i="7"/>
  <c r="M290" i="7"/>
  <c r="J290" i="7"/>
  <c r="S290" i="7"/>
  <c r="F290" i="7"/>
  <c r="AB290" i="7"/>
  <c r="I290" i="7"/>
  <c r="Q290" i="7"/>
  <c r="P290" i="7"/>
  <c r="AG290" i="7"/>
  <c r="O290" i="7" s="1"/>
  <c r="AE290" i="7"/>
  <c r="H238" i="7"/>
  <c r="P238" i="7"/>
  <c r="G238" i="7"/>
  <c r="J238" i="7"/>
  <c r="AB238" i="7"/>
  <c r="Q238" i="7"/>
  <c r="R238" i="7"/>
  <c r="M238" i="7"/>
  <c r="AG238" i="7"/>
  <c r="O238" i="7" s="1"/>
  <c r="F238" i="7"/>
  <c r="L238" i="7"/>
  <c r="I238" i="7"/>
  <c r="S238" i="7"/>
  <c r="AE238" i="7"/>
  <c r="R239" i="7"/>
  <c r="Q239" i="7"/>
  <c r="G239" i="7"/>
  <c r="P239" i="7"/>
  <c r="F239" i="7"/>
  <c r="M239" i="7"/>
  <c r="AB239" i="7"/>
  <c r="AG239" i="7"/>
  <c r="O239" i="7" s="1"/>
  <c r="L239" i="7"/>
  <c r="J239" i="7"/>
  <c r="S239" i="7"/>
  <c r="H239" i="7"/>
  <c r="I239" i="7"/>
  <c r="AE239" i="7"/>
  <c r="F246" i="7"/>
  <c r="G246" i="7"/>
  <c r="P246" i="7"/>
  <c r="R246" i="7"/>
  <c r="I246" i="7"/>
  <c r="AG246" i="7"/>
  <c r="O246" i="7" s="1"/>
  <c r="M246" i="7"/>
  <c r="S246" i="7"/>
  <c r="AB246" i="7"/>
  <c r="Q246" i="7"/>
  <c r="H246" i="7"/>
  <c r="J246" i="7"/>
  <c r="L246" i="7"/>
  <c r="AE246" i="7"/>
  <c r="I266" i="7"/>
  <c r="J266" i="7"/>
  <c r="L266" i="7"/>
  <c r="Q266" i="7"/>
  <c r="H266" i="7"/>
  <c r="AG266" i="7"/>
  <c r="O266" i="7" s="1"/>
  <c r="P266" i="7"/>
  <c r="F266" i="7"/>
  <c r="M266" i="7"/>
  <c r="R266" i="7"/>
  <c r="G266" i="7"/>
  <c r="S266" i="7"/>
  <c r="AB266" i="7"/>
  <c r="AE266" i="7"/>
  <c r="G253" i="7"/>
  <c r="H253" i="7"/>
  <c r="AB253" i="7"/>
  <c r="R253" i="7"/>
  <c r="J253" i="7"/>
  <c r="AG253" i="7"/>
  <c r="O253" i="7" s="1"/>
  <c r="M253" i="7"/>
  <c r="S253" i="7"/>
  <c r="Q253" i="7"/>
  <c r="P253" i="7"/>
  <c r="L253" i="7"/>
  <c r="I253" i="7"/>
  <c r="F253" i="7"/>
  <c r="AE253" i="7"/>
  <c r="M247" i="7"/>
  <c r="F247" i="7"/>
  <c r="AB247" i="7"/>
  <c r="L247" i="7"/>
  <c r="H247" i="7"/>
  <c r="R247" i="7"/>
  <c r="AG247" i="7"/>
  <c r="O247" i="7" s="1"/>
  <c r="S247" i="7"/>
  <c r="Q247" i="7"/>
  <c r="J247" i="7"/>
  <c r="I247" i="7"/>
  <c r="P247" i="7"/>
  <c r="G247" i="7"/>
  <c r="AE247" i="7"/>
  <c r="H251" i="7"/>
  <c r="L251" i="7"/>
  <c r="R251" i="7"/>
  <c r="S251" i="7"/>
  <c r="P251" i="7"/>
  <c r="M251" i="7"/>
  <c r="AG251" i="7"/>
  <c r="O251" i="7" s="1"/>
  <c r="Q251" i="7"/>
  <c r="F251" i="7"/>
  <c r="G251" i="7"/>
  <c r="J251" i="7"/>
  <c r="AB251" i="7"/>
  <c r="I251" i="7"/>
  <c r="AE251" i="7"/>
  <c r="F267" i="7"/>
  <c r="M267" i="7"/>
  <c r="P267" i="7"/>
  <c r="AG267" i="7"/>
  <c r="O267" i="7" s="1"/>
  <c r="AB267" i="7"/>
  <c r="G267" i="7"/>
  <c r="J267" i="7"/>
  <c r="S267" i="7"/>
  <c r="Q267" i="7"/>
  <c r="I267" i="7"/>
  <c r="H267" i="7"/>
  <c r="R267" i="7"/>
  <c r="L267" i="7"/>
  <c r="AE267" i="7"/>
  <c r="G245" i="7"/>
  <c r="Q245" i="7"/>
  <c r="F245" i="7"/>
  <c r="M245" i="7"/>
  <c r="AG245" i="7"/>
  <c r="O245" i="7" s="1"/>
  <c r="H245" i="7"/>
  <c r="I245" i="7"/>
  <c r="S245" i="7"/>
  <c r="P245" i="7"/>
  <c r="R245" i="7"/>
  <c r="J245" i="7"/>
  <c r="L245" i="7"/>
  <c r="AB245" i="7"/>
  <c r="AE245" i="7"/>
  <c r="R265" i="7"/>
  <c r="H265" i="7"/>
  <c r="M265" i="7"/>
  <c r="L265" i="7"/>
  <c r="P265" i="7"/>
  <c r="F265" i="7"/>
  <c r="Q265" i="7"/>
  <c r="G265" i="7"/>
  <c r="I265" i="7"/>
  <c r="S265" i="7"/>
  <c r="J265" i="7"/>
  <c r="AG265" i="7"/>
  <c r="O265" i="7" s="1"/>
  <c r="AB265" i="7"/>
  <c r="AE265" i="7"/>
  <c r="S261" i="7"/>
  <c r="AG261" i="7"/>
  <c r="O261" i="7" s="1"/>
  <c r="J261" i="7"/>
  <c r="M261" i="7"/>
  <c r="R261" i="7"/>
  <c r="H261" i="7"/>
  <c r="G261" i="7"/>
  <c r="Q261" i="7"/>
  <c r="F261" i="7"/>
  <c r="AB261" i="7"/>
  <c r="I261" i="7"/>
  <c r="P261" i="7"/>
  <c r="L261" i="7"/>
  <c r="AE261" i="7"/>
  <c r="G255" i="7"/>
  <c r="F255" i="7"/>
  <c r="Q255" i="7"/>
  <c r="H255" i="7"/>
  <c r="AG255" i="7"/>
  <c r="O255" i="7" s="1"/>
  <c r="J255" i="7"/>
  <c r="R255" i="7"/>
  <c r="S255" i="7"/>
  <c r="AB255" i="7"/>
  <c r="I255" i="7"/>
  <c r="P255" i="7"/>
  <c r="M255" i="7"/>
  <c r="L255" i="7"/>
  <c r="AE255" i="7"/>
  <c r="AG252" i="7"/>
  <c r="O252" i="7" s="1"/>
  <c r="S252" i="7"/>
  <c r="L252" i="7"/>
  <c r="AB252" i="7"/>
  <c r="Q252" i="7"/>
  <c r="R252" i="7"/>
  <c r="J252" i="7"/>
  <c r="G252" i="7"/>
  <c r="I252" i="7"/>
  <c r="F252" i="7"/>
  <c r="H252" i="7"/>
  <c r="M252" i="7"/>
  <c r="P252" i="7"/>
  <c r="AE252" i="7"/>
  <c r="J242" i="7"/>
  <c r="I242" i="7"/>
  <c r="M242" i="7"/>
  <c r="G242" i="7"/>
  <c r="P242" i="7"/>
  <c r="AG242" i="7"/>
  <c r="O242" i="7" s="1"/>
  <c r="L242" i="7"/>
  <c r="F242" i="7"/>
  <c r="AB242" i="7"/>
  <c r="Q242" i="7"/>
  <c r="R242" i="7"/>
  <c r="S242" i="7"/>
  <c r="H242" i="7"/>
  <c r="AE242" i="7"/>
  <c r="M263" i="7"/>
  <c r="H263" i="7"/>
  <c r="R263" i="7"/>
  <c r="I263" i="7"/>
  <c r="S263" i="7"/>
  <c r="F263" i="7"/>
  <c r="G263" i="7"/>
  <c r="Q263" i="7"/>
  <c r="P263" i="7"/>
  <c r="L263" i="7"/>
  <c r="J263" i="7"/>
  <c r="AG263" i="7"/>
  <c r="O263" i="7" s="1"/>
  <c r="AB263" i="7"/>
  <c r="AE263" i="7"/>
  <c r="Q240" i="7"/>
  <c r="L240" i="7"/>
  <c r="P240" i="7"/>
  <c r="M240" i="7"/>
  <c r="R240" i="7"/>
  <c r="I240" i="7"/>
  <c r="AB240" i="7"/>
  <c r="G240" i="7"/>
  <c r="AG240" i="7"/>
  <c r="O240" i="7" s="1"/>
  <c r="S240" i="7"/>
  <c r="H240" i="7"/>
  <c r="J240" i="7"/>
  <c r="F240" i="7"/>
  <c r="AE240" i="7"/>
  <c r="G104" i="7"/>
  <c r="G103" i="30"/>
  <c r="I259" i="7"/>
  <c r="J259" i="7"/>
  <c r="M259" i="7"/>
  <c r="R259" i="7"/>
  <c r="L259" i="7"/>
  <c r="H259" i="7"/>
  <c r="F259" i="7"/>
  <c r="S259" i="7"/>
  <c r="G259" i="7"/>
  <c r="AG259" i="7"/>
  <c r="O259" i="7" s="1"/>
  <c r="Q259" i="7"/>
  <c r="AB259" i="7"/>
  <c r="P259" i="7"/>
  <c r="AE259" i="7"/>
  <c r="L256" i="7"/>
  <c r="R256" i="7"/>
  <c r="F256" i="7"/>
  <c r="I256" i="7"/>
  <c r="J256" i="7"/>
  <c r="AG256" i="7"/>
  <c r="O256" i="7" s="1"/>
  <c r="Q256" i="7"/>
  <c r="P256" i="7"/>
  <c r="S256" i="7"/>
  <c r="G256" i="7"/>
  <c r="M256" i="7"/>
  <c r="H256" i="7"/>
  <c r="AB256" i="7"/>
  <c r="AE256" i="7"/>
  <c r="S243" i="7"/>
  <c r="F243" i="7"/>
  <c r="I243" i="7"/>
  <c r="AB243" i="7"/>
  <c r="L243" i="7"/>
  <c r="R243" i="7"/>
  <c r="J243" i="7"/>
  <c r="H243" i="7"/>
  <c r="M243" i="7"/>
  <c r="Q243" i="7"/>
  <c r="G243" i="7"/>
  <c r="AG243" i="7"/>
  <c r="O243" i="7" s="1"/>
  <c r="P243" i="7"/>
  <c r="AE243" i="7"/>
  <c r="H248" i="7"/>
  <c r="F248" i="7"/>
  <c r="Q248" i="7"/>
  <c r="AB248" i="7"/>
  <c r="G248" i="7"/>
  <c r="I248" i="7"/>
  <c r="R248" i="7"/>
  <c r="P248" i="7"/>
  <c r="AG248" i="7"/>
  <c r="O248" i="7" s="1"/>
  <c r="J248" i="7"/>
  <c r="S248" i="7"/>
  <c r="M248" i="7"/>
  <c r="L248" i="7"/>
  <c r="AE248" i="7"/>
  <c r="H241" i="7"/>
  <c r="P241" i="7"/>
  <c r="Q241" i="7"/>
  <c r="L241" i="7"/>
  <c r="F241" i="7"/>
  <c r="AB241" i="7"/>
  <c r="J241" i="7"/>
  <c r="G241" i="7"/>
  <c r="S241" i="7"/>
  <c r="R241" i="7"/>
  <c r="AG241" i="7"/>
  <c r="O241" i="7" s="1"/>
  <c r="M241" i="7"/>
  <c r="I241" i="7"/>
  <c r="AE241" i="7"/>
  <c r="P258" i="7"/>
  <c r="AG258" i="7"/>
  <c r="O258" i="7" s="1"/>
  <c r="AB258" i="7"/>
  <c r="I258" i="7"/>
  <c r="L258" i="7"/>
  <c r="F258" i="7"/>
  <c r="M258" i="7"/>
  <c r="R258" i="7"/>
  <c r="S258" i="7"/>
  <c r="Q258" i="7"/>
  <c r="G258" i="7"/>
  <c r="H258" i="7"/>
  <c r="J258" i="7"/>
  <c r="AE258" i="7"/>
  <c r="G244" i="7"/>
  <c r="AB244" i="7"/>
  <c r="Q244" i="7"/>
  <c r="AG244" i="7"/>
  <c r="O244" i="7" s="1"/>
  <c r="I244" i="7"/>
  <c r="S244" i="7"/>
  <c r="F244" i="7"/>
  <c r="M244" i="7"/>
  <c r="R244" i="7"/>
  <c r="L244" i="7"/>
  <c r="P244" i="7"/>
  <c r="J244" i="7"/>
  <c r="H244" i="7"/>
  <c r="AE244" i="7"/>
  <c r="J262" i="7"/>
  <c r="R262" i="7"/>
  <c r="S262" i="7"/>
  <c r="I262" i="7"/>
  <c r="M262" i="7"/>
  <c r="P262" i="7"/>
  <c r="H262" i="7"/>
  <c r="AG262" i="7"/>
  <c r="O262" i="7" s="1"/>
  <c r="G262" i="7"/>
  <c r="L262" i="7"/>
  <c r="F262" i="7"/>
  <c r="Q262" i="7"/>
  <c r="AB262" i="7"/>
  <c r="AE262" i="7"/>
  <c r="P237" i="7"/>
  <c r="Q260" i="7"/>
  <c r="H260" i="7"/>
  <c r="AB260" i="7"/>
  <c r="L260" i="7"/>
  <c r="I260" i="7"/>
  <c r="P260" i="7"/>
  <c r="AG260" i="7"/>
  <c r="O260" i="7" s="1"/>
  <c r="J260" i="7"/>
  <c r="R260" i="7"/>
  <c r="S260" i="7"/>
  <c r="G260" i="7"/>
  <c r="F260" i="7"/>
  <c r="M260" i="7"/>
  <c r="AE260" i="7"/>
  <c r="J237" i="7"/>
  <c r="S257" i="7"/>
  <c r="G257" i="7"/>
  <c r="AG257" i="7"/>
  <c r="O257" i="7" s="1"/>
  <c r="M257" i="7"/>
  <c r="AB257" i="7"/>
  <c r="J257" i="7"/>
  <c r="H257" i="7"/>
  <c r="Q257" i="7"/>
  <c r="I257" i="7"/>
  <c r="R257" i="7"/>
  <c r="P257" i="7"/>
  <c r="F257" i="7"/>
  <c r="L257" i="7"/>
  <c r="AE257" i="7"/>
  <c r="P264" i="7"/>
  <c r="AG264" i="7"/>
  <c r="O264" i="7" s="1"/>
  <c r="J264" i="7"/>
  <c r="H264" i="7"/>
  <c r="L264" i="7"/>
  <c r="I264" i="7"/>
  <c r="M264" i="7"/>
  <c r="F264" i="7"/>
  <c r="AB264" i="7"/>
  <c r="S264" i="7"/>
  <c r="R264" i="7"/>
  <c r="G264" i="7"/>
  <c r="Q264" i="7"/>
  <c r="AE264" i="7"/>
  <c r="G254" i="7"/>
  <c r="I254" i="7"/>
  <c r="AB254" i="7"/>
  <c r="F254" i="7"/>
  <c r="M254" i="7"/>
  <c r="Q254" i="7"/>
  <c r="R254" i="7"/>
  <c r="S254" i="7"/>
  <c r="J254" i="7"/>
  <c r="AG254" i="7"/>
  <c r="O254" i="7" s="1"/>
  <c r="H254" i="7"/>
  <c r="P254" i="7"/>
  <c r="L254" i="7"/>
  <c r="AE254" i="7"/>
  <c r="I237" i="7"/>
  <c r="Q250" i="7"/>
  <c r="M250" i="7"/>
  <c r="R250" i="7"/>
  <c r="F250" i="7"/>
  <c r="P250" i="7"/>
  <c r="J250" i="7"/>
  <c r="L250" i="7"/>
  <c r="I250" i="7"/>
  <c r="AG250" i="7"/>
  <c r="O250" i="7" s="1"/>
  <c r="S250" i="7"/>
  <c r="G250" i="7"/>
  <c r="H250" i="7"/>
  <c r="AB250" i="7"/>
  <c r="AE250" i="7"/>
  <c r="P249" i="7"/>
  <c r="Q249" i="7"/>
  <c r="F249" i="7"/>
  <c r="AB249" i="7"/>
  <c r="R249" i="7"/>
  <c r="L249" i="7"/>
  <c r="I249" i="7"/>
  <c r="G249" i="7"/>
  <c r="AG249" i="7"/>
  <c r="O249" i="7" s="1"/>
  <c r="J249" i="7"/>
  <c r="M249" i="7"/>
  <c r="S249" i="7"/>
  <c r="H249" i="7"/>
  <c r="AE249" i="7"/>
  <c r="M201" i="7"/>
  <c r="K201" i="7"/>
  <c r="L201" i="7"/>
  <c r="G102" i="30"/>
  <c r="K103" i="7"/>
  <c r="G103" i="7"/>
  <c r="I103" i="7"/>
  <c r="G102" i="7"/>
  <c r="L165" i="7"/>
  <c r="AK71" i="18" a="1"/>
  <c r="I102" i="7"/>
  <c r="J165" i="7"/>
  <c r="M165" i="7" s="1"/>
  <c r="AM71" i="18" a="1"/>
  <c r="K102" i="7"/>
  <c r="AO71" i="18" a="1"/>
  <c r="AR70" i="18"/>
  <c r="AV122" i="9"/>
  <c r="AU122" i="9"/>
  <c r="AD122" i="9"/>
  <c r="AA122" i="9"/>
  <c r="Y122" i="9"/>
  <c r="W122" i="9"/>
  <c r="AV121" i="9"/>
  <c r="AU121" i="9"/>
  <c r="AD121" i="9"/>
  <c r="AA121" i="9"/>
  <c r="Y121" i="9"/>
  <c r="W121" i="9"/>
  <c r="AV120" i="9"/>
  <c r="AU120" i="9"/>
  <c r="AD120" i="9"/>
  <c r="AA120" i="9"/>
  <c r="Y120" i="9"/>
  <c r="W120" i="9"/>
  <c r="AV119" i="9"/>
  <c r="AU119" i="9"/>
  <c r="AD119" i="9"/>
  <c r="AA119" i="9"/>
  <c r="Y119" i="9"/>
  <c r="W119" i="9"/>
  <c r="AV118" i="9"/>
  <c r="AU118" i="9"/>
  <c r="AD118" i="9"/>
  <c r="AA118" i="9"/>
  <c r="Y118" i="9"/>
  <c r="W118" i="9"/>
  <c r="AV117" i="9"/>
  <c r="AU117" i="9"/>
  <c r="AD117" i="9"/>
  <c r="AA117" i="9"/>
  <c r="Y117" i="9"/>
  <c r="W117" i="9"/>
  <c r="AV116" i="9"/>
  <c r="AU116" i="9"/>
  <c r="AD116" i="9"/>
  <c r="AA116" i="9"/>
  <c r="Y116" i="9"/>
  <c r="W116" i="9"/>
  <c r="AV115" i="9"/>
  <c r="AU115" i="9"/>
  <c r="AD115" i="9"/>
  <c r="AA115" i="9"/>
  <c r="Y115" i="9"/>
  <c r="W115" i="9"/>
  <c r="AV114" i="9"/>
  <c r="AD114" i="9"/>
  <c r="AA114" i="9"/>
  <c r="Y114" i="9"/>
  <c r="W114" i="9"/>
  <c r="AV113" i="9"/>
  <c r="AD113" i="9"/>
  <c r="AA113" i="9"/>
  <c r="AA112" i="9"/>
  <c r="AA111" i="9"/>
  <c r="Y113" i="9"/>
  <c r="Y112" i="9"/>
  <c r="Y111" i="9"/>
  <c r="W113" i="9"/>
  <c r="W112" i="9"/>
  <c r="W111" i="9"/>
  <c r="D48" i="3"/>
  <c r="D41" i="3"/>
  <c r="C41" i="3"/>
  <c r="D47" i="3"/>
  <c r="G133" i="3"/>
  <c r="N514" i="7" l="1"/>
  <c r="N369" i="7"/>
  <c r="N297" i="7"/>
  <c r="K366" i="7"/>
  <c r="K390" i="7"/>
  <c r="K411" i="7"/>
  <c r="K280" i="7"/>
  <c r="K367" i="7"/>
  <c r="N300" i="7"/>
  <c r="N518" i="7"/>
  <c r="K238" i="7"/>
  <c r="N254" i="7"/>
  <c r="K513" i="7"/>
  <c r="K490" i="7"/>
  <c r="K508" i="7"/>
  <c r="K362" i="7"/>
  <c r="N490" i="7"/>
  <c r="N336" i="7"/>
  <c r="N502" i="7"/>
  <c r="N512" i="7"/>
  <c r="K368" i="7"/>
  <c r="N513" i="7"/>
  <c r="K391" i="7"/>
  <c r="N503" i="7"/>
  <c r="K517" i="7"/>
  <c r="N496" i="7"/>
  <c r="K502" i="7"/>
  <c r="K507" i="7"/>
  <c r="K500" i="7"/>
  <c r="K516" i="7"/>
  <c r="P488" i="7"/>
  <c r="K506" i="7"/>
  <c r="K497" i="7"/>
  <c r="I488" i="7"/>
  <c r="H488" i="7" s="1"/>
  <c r="AG486" i="7" s="1"/>
  <c r="K496" i="7"/>
  <c r="K515" i="7"/>
  <c r="K505" i="7"/>
  <c r="N494" i="7"/>
  <c r="N492" i="7"/>
  <c r="K498" i="7"/>
  <c r="K493" i="7"/>
  <c r="K518" i="7"/>
  <c r="N491" i="7"/>
  <c r="K491" i="7"/>
  <c r="J488" i="7"/>
  <c r="K511" i="7"/>
  <c r="K501" i="7"/>
  <c r="N495" i="7"/>
  <c r="K499" i="7"/>
  <c r="N497" i="7"/>
  <c r="N510" i="7"/>
  <c r="M488" i="7"/>
  <c r="T105" i="30"/>
  <c r="N500" i="7"/>
  <c r="N516" i="7"/>
  <c r="K512" i="7"/>
  <c r="N511" i="7"/>
  <c r="N515" i="7"/>
  <c r="K495" i="7"/>
  <c r="N493" i="7"/>
  <c r="K503" i="7"/>
  <c r="K514" i="7"/>
  <c r="N509" i="7"/>
  <c r="N508" i="7"/>
  <c r="K519" i="7"/>
  <c r="N504" i="7"/>
  <c r="L488" i="7"/>
  <c r="N489" i="7"/>
  <c r="N505" i="7"/>
  <c r="K494" i="7"/>
  <c r="K509" i="7"/>
  <c r="N507" i="7"/>
  <c r="N517" i="7"/>
  <c r="K492" i="7"/>
  <c r="K510" i="7"/>
  <c r="N498" i="7"/>
  <c r="N501" i="7"/>
  <c r="K504" i="7"/>
  <c r="N506" i="7"/>
  <c r="N245" i="7"/>
  <c r="N283" i="7"/>
  <c r="N384" i="7"/>
  <c r="K403" i="7"/>
  <c r="N362" i="7"/>
  <c r="N361" i="7"/>
  <c r="N370" i="7"/>
  <c r="N367" i="7"/>
  <c r="K373" i="7"/>
  <c r="N371" i="7"/>
  <c r="K352" i="7"/>
  <c r="N359" i="7"/>
  <c r="N356" i="7"/>
  <c r="N364" i="7"/>
  <c r="N353" i="7"/>
  <c r="K374" i="7"/>
  <c r="N417" i="7"/>
  <c r="K353" i="7"/>
  <c r="K398" i="7"/>
  <c r="K370" i="7"/>
  <c r="K261" i="7"/>
  <c r="K254" i="7"/>
  <c r="N372" i="7"/>
  <c r="K406" i="7"/>
  <c r="K408" i="7"/>
  <c r="K396" i="7"/>
  <c r="K361" i="7"/>
  <c r="K356" i="7"/>
  <c r="K364" i="7"/>
  <c r="K357" i="7"/>
  <c r="N355" i="7"/>
  <c r="K348" i="7"/>
  <c r="N350" i="7"/>
  <c r="J344" i="7"/>
  <c r="N352" i="7"/>
  <c r="P344" i="7"/>
  <c r="N395" i="7"/>
  <c r="K339" i="7"/>
  <c r="K394" i="7"/>
  <c r="N349" i="7"/>
  <c r="N375" i="7"/>
  <c r="K346" i="7"/>
  <c r="N360" i="7"/>
  <c r="K372" i="7"/>
  <c r="K350" i="7"/>
  <c r="K375" i="7"/>
  <c r="K359" i="7"/>
  <c r="N404" i="7"/>
  <c r="K383" i="7"/>
  <c r="L345" i="7"/>
  <c r="I344" i="7"/>
  <c r="H344" i="7" s="1"/>
  <c r="AG342" i="7" s="1"/>
  <c r="K345" i="7"/>
  <c r="N354" i="7"/>
  <c r="K354" i="7"/>
  <c r="N351" i="7"/>
  <c r="N346" i="7"/>
  <c r="K349" i="7"/>
  <c r="K371" i="7"/>
  <c r="T106" i="30"/>
  <c r="U106" i="30"/>
  <c r="K358" i="7"/>
  <c r="K410" i="7"/>
  <c r="N388" i="7"/>
  <c r="K369" i="7"/>
  <c r="K388" i="7"/>
  <c r="K365" i="7"/>
  <c r="K355" i="7"/>
  <c r="N348" i="7"/>
  <c r="K363" i="7"/>
  <c r="N389" i="7"/>
  <c r="N365" i="7"/>
  <c r="N382" i="7"/>
  <c r="N405" i="7"/>
  <c r="N385" i="7"/>
  <c r="K387" i="7"/>
  <c r="N347" i="7"/>
  <c r="K351" i="7"/>
  <c r="N358" i="7"/>
  <c r="N368" i="7"/>
  <c r="N363" i="7"/>
  <c r="M344" i="7"/>
  <c r="K347" i="7"/>
  <c r="N373" i="7"/>
  <c r="K360" i="7"/>
  <c r="N357" i="7"/>
  <c r="N374" i="7"/>
  <c r="N366" i="7"/>
  <c r="N406" i="7"/>
  <c r="N323" i="7"/>
  <c r="K384" i="7"/>
  <c r="K404" i="7"/>
  <c r="N399" i="7"/>
  <c r="K263" i="7"/>
  <c r="K242" i="7"/>
  <c r="K395" i="7"/>
  <c r="N250" i="7"/>
  <c r="N253" i="7"/>
  <c r="K338" i="7"/>
  <c r="K326" i="7"/>
  <c r="K325" i="7"/>
  <c r="N242" i="7"/>
  <c r="K332" i="7"/>
  <c r="K382" i="7"/>
  <c r="N396" i="7"/>
  <c r="K277" i="7"/>
  <c r="N339" i="7"/>
  <c r="K260" i="7"/>
  <c r="K321" i="7"/>
  <c r="K386" i="7"/>
  <c r="N407" i="7"/>
  <c r="K290" i="7"/>
  <c r="N401" i="7"/>
  <c r="K401" i="7"/>
  <c r="K402" i="7"/>
  <c r="K393" i="7"/>
  <c r="N386" i="7"/>
  <c r="K262" i="7"/>
  <c r="K267" i="7"/>
  <c r="K253" i="7"/>
  <c r="K258" i="7"/>
  <c r="K256" i="7"/>
  <c r="T104" i="30"/>
  <c r="N400" i="7"/>
  <c r="N394" i="7"/>
  <c r="N393" i="7"/>
  <c r="K255" i="7"/>
  <c r="K409" i="7"/>
  <c r="J380" i="7"/>
  <c r="N311" i="7"/>
  <c r="N310" i="7"/>
  <c r="N320" i="7"/>
  <c r="L381" i="7"/>
  <c r="K381" i="7"/>
  <c r="I380" i="7"/>
  <c r="H380" i="7" s="1"/>
  <c r="AG378" i="7" s="1"/>
  <c r="K385" i="7"/>
  <c r="N387" i="7"/>
  <c r="N392" i="7"/>
  <c r="N409" i="7"/>
  <c r="K389" i="7"/>
  <c r="N337" i="7"/>
  <c r="K333" i="7"/>
  <c r="N321" i="7"/>
  <c r="K322" i="7"/>
  <c r="K328" i="7"/>
  <c r="K399" i="7"/>
  <c r="N397" i="7"/>
  <c r="N408" i="7"/>
  <c r="N383" i="7"/>
  <c r="K400" i="7"/>
  <c r="K392" i="7"/>
  <c r="N398" i="7"/>
  <c r="N403" i="7"/>
  <c r="N316" i="7"/>
  <c r="K329" i="7"/>
  <c r="K318" i="7"/>
  <c r="K397" i="7"/>
  <c r="K407" i="7"/>
  <c r="N290" i="7"/>
  <c r="K297" i="7"/>
  <c r="K284" i="7"/>
  <c r="K319" i="7"/>
  <c r="N333" i="7"/>
  <c r="N322" i="7"/>
  <c r="K330" i="7"/>
  <c r="K314" i="7"/>
  <c r="K331" i="7"/>
  <c r="N410" i="7"/>
  <c r="N391" i="7"/>
  <c r="T107" i="30"/>
  <c r="U107" i="30"/>
  <c r="K405" i="7"/>
  <c r="N402" i="7"/>
  <c r="N411" i="7"/>
  <c r="N390" i="7"/>
  <c r="P380" i="7"/>
  <c r="M380" i="7"/>
  <c r="N327" i="7"/>
  <c r="K327" i="7"/>
  <c r="L309" i="7"/>
  <c r="I308" i="7"/>
  <c r="H308" i="7" s="1"/>
  <c r="AG306" i="7" s="1"/>
  <c r="K309" i="7"/>
  <c r="N338" i="7"/>
  <c r="N326" i="7"/>
  <c r="M309" i="7"/>
  <c r="M308" i="7" s="1"/>
  <c r="J308" i="7"/>
  <c r="N313" i="7"/>
  <c r="N319" i="7"/>
  <c r="K316" i="7"/>
  <c r="K315" i="7"/>
  <c r="K320" i="7"/>
  <c r="N332" i="7"/>
  <c r="N318" i="7"/>
  <c r="K312" i="7"/>
  <c r="K334" i="7"/>
  <c r="N317" i="7"/>
  <c r="N314" i="7"/>
  <c r="K311" i="7"/>
  <c r="K313" i="7"/>
  <c r="K324" i="7"/>
  <c r="K336" i="7"/>
  <c r="N315" i="7"/>
  <c r="K335" i="7"/>
  <c r="N312" i="7"/>
  <c r="K317" i="7"/>
  <c r="K310" i="7"/>
  <c r="N324" i="7"/>
  <c r="K337" i="7"/>
  <c r="N335" i="7"/>
  <c r="N329" i="7"/>
  <c r="N334" i="7"/>
  <c r="N330" i="7"/>
  <c r="P308" i="7"/>
  <c r="N328" i="7"/>
  <c r="N325" i="7"/>
  <c r="N331" i="7"/>
  <c r="K323" i="7"/>
  <c r="N285" i="7"/>
  <c r="N302" i="7"/>
  <c r="K249" i="7"/>
  <c r="K264" i="7"/>
  <c r="N262" i="7"/>
  <c r="N263" i="7"/>
  <c r="N265" i="7"/>
  <c r="K296" i="7"/>
  <c r="K282" i="7"/>
  <c r="K285" i="7"/>
  <c r="K250" i="7"/>
  <c r="K274" i="7"/>
  <c r="N282" i="7"/>
  <c r="N247" i="7"/>
  <c r="N278" i="7"/>
  <c r="K283" i="7"/>
  <c r="K275" i="7"/>
  <c r="K292" i="7"/>
  <c r="N298" i="7"/>
  <c r="K293" i="7"/>
  <c r="N281" i="7"/>
  <c r="N275" i="7"/>
  <c r="K289" i="7"/>
  <c r="N299" i="7"/>
  <c r="K302" i="7"/>
  <c r="K294" i="7"/>
  <c r="N291" i="7"/>
  <c r="N292" i="7"/>
  <c r="N303" i="7"/>
  <c r="N277" i="7"/>
  <c r="K298" i="7"/>
  <c r="N301" i="7"/>
  <c r="K287" i="7"/>
  <c r="K301" i="7"/>
  <c r="K300" i="7"/>
  <c r="J272" i="7"/>
  <c r="N279" i="7"/>
  <c r="P272" i="7"/>
  <c r="N280" i="7"/>
  <c r="K288" i="7"/>
  <c r="K239" i="7"/>
  <c r="N239" i="7"/>
  <c r="N238" i="7"/>
  <c r="L273" i="7"/>
  <c r="I272" i="7"/>
  <c r="H272" i="7" s="1"/>
  <c r="AG270" i="7" s="1"/>
  <c r="K273" i="7"/>
  <c r="N294" i="7"/>
  <c r="N274" i="7"/>
  <c r="N276" i="7"/>
  <c r="K276" i="7"/>
  <c r="N295" i="7"/>
  <c r="N284" i="7"/>
  <c r="N296" i="7"/>
  <c r="K286" i="7"/>
  <c r="N293" i="7"/>
  <c r="N287" i="7"/>
  <c r="K295" i="7"/>
  <c r="K278" i="7"/>
  <c r="N258" i="7"/>
  <c r="N256" i="7"/>
  <c r="K252" i="7"/>
  <c r="K251" i="7"/>
  <c r="N266" i="7"/>
  <c r="N246" i="7"/>
  <c r="K246" i="7"/>
  <c r="K279" i="7"/>
  <c r="N286" i="7"/>
  <c r="K291" i="7"/>
  <c r="N289" i="7"/>
  <c r="K303" i="7"/>
  <c r="K281" i="7"/>
  <c r="K299" i="7"/>
  <c r="N288" i="7"/>
  <c r="M272" i="7"/>
  <c r="N244" i="7"/>
  <c r="K240" i="7"/>
  <c r="N240" i="7"/>
  <c r="N264" i="7"/>
  <c r="N257" i="7"/>
  <c r="K257" i="7"/>
  <c r="N260" i="7"/>
  <c r="P236" i="7"/>
  <c r="K244" i="7"/>
  <c r="K241" i="7"/>
  <c r="N243" i="7"/>
  <c r="N259" i="7"/>
  <c r="K259" i="7"/>
  <c r="N252" i="7"/>
  <c r="N255" i="7"/>
  <c r="K265" i="7"/>
  <c r="K245" i="7"/>
  <c r="N267" i="7"/>
  <c r="K266" i="7"/>
  <c r="M237" i="7"/>
  <c r="M236" i="7" s="1"/>
  <c r="J236" i="7"/>
  <c r="N241" i="7"/>
  <c r="N251" i="7"/>
  <c r="K248" i="7"/>
  <c r="N249" i="7"/>
  <c r="L237" i="7"/>
  <c r="I236" i="7"/>
  <c r="H236" i="7" s="1"/>
  <c r="AG234" i="7" s="1"/>
  <c r="K237" i="7"/>
  <c r="N248" i="7"/>
  <c r="K243" i="7"/>
  <c r="N261" i="7"/>
  <c r="K247" i="7"/>
  <c r="N201" i="7"/>
  <c r="AK71" i="18"/>
  <c r="AK72" i="18"/>
  <c r="AK90" i="18"/>
  <c r="AK100" i="18"/>
  <c r="AK95" i="18"/>
  <c r="AK96" i="18"/>
  <c r="AK91" i="18"/>
  <c r="AK81" i="18"/>
  <c r="AK82" i="18"/>
  <c r="AK97" i="18"/>
  <c r="H131" i="7" s="1"/>
  <c r="AK76" i="18"/>
  <c r="H107" i="7" s="1"/>
  <c r="AK84" i="18"/>
  <c r="AK79" i="18"/>
  <c r="AK80" i="18"/>
  <c r="H111" i="7" s="1"/>
  <c r="AK75" i="18"/>
  <c r="H106" i="7" s="1"/>
  <c r="AK74" i="18"/>
  <c r="H105" i="7" s="1"/>
  <c r="AK78" i="18"/>
  <c r="H109" i="7" s="1"/>
  <c r="AK93" i="18"/>
  <c r="H127" i="7" s="1"/>
  <c r="AK77" i="18"/>
  <c r="H108" i="7" s="1"/>
  <c r="AK73" i="18"/>
  <c r="AK99" i="18"/>
  <c r="AK87" i="18"/>
  <c r="H121" i="7" s="1"/>
  <c r="AK94" i="18"/>
  <c r="AK98" i="18"/>
  <c r="AK86" i="18"/>
  <c r="H120" i="7" s="1"/>
  <c r="AK92" i="18"/>
  <c r="AK83" i="18"/>
  <c r="AK89" i="18"/>
  <c r="AK85" i="18"/>
  <c r="H119" i="7" s="1"/>
  <c r="AK88" i="18"/>
  <c r="H122" i="7" s="1"/>
  <c r="AM73" i="18"/>
  <c r="J104" i="7" s="1"/>
  <c r="AM86" i="18"/>
  <c r="J120" i="7" s="1"/>
  <c r="AM89" i="18"/>
  <c r="J123" i="7" s="1"/>
  <c r="AM78" i="18"/>
  <c r="AM92" i="18"/>
  <c r="AM84" i="18"/>
  <c r="J118" i="7" s="1"/>
  <c r="AM97" i="18"/>
  <c r="J131" i="7" s="1"/>
  <c r="AM77" i="18"/>
  <c r="J108" i="7" s="1"/>
  <c r="AM94" i="18"/>
  <c r="AM88" i="18"/>
  <c r="J122" i="7" s="1"/>
  <c r="AM85" i="18"/>
  <c r="J119" i="7" s="1"/>
  <c r="AM100" i="18"/>
  <c r="J134" i="7" s="1"/>
  <c r="AM98" i="18"/>
  <c r="AM72" i="18"/>
  <c r="AM87" i="18"/>
  <c r="J121" i="7" s="1"/>
  <c r="AM83" i="18"/>
  <c r="J117" i="7" s="1"/>
  <c r="AM79" i="18"/>
  <c r="J110" i="7" s="1"/>
  <c r="AM96" i="18"/>
  <c r="AM76" i="18"/>
  <c r="J107" i="7" s="1"/>
  <c r="AM93" i="18"/>
  <c r="J127" i="7" s="1"/>
  <c r="AM95" i="18"/>
  <c r="AM81" i="18"/>
  <c r="AM74" i="18"/>
  <c r="J105" i="7" s="1"/>
  <c r="AM91" i="18"/>
  <c r="AM80" i="18"/>
  <c r="J111" i="7" s="1"/>
  <c r="AM82" i="18"/>
  <c r="J116" i="7" s="1"/>
  <c r="AM90" i="18"/>
  <c r="AM99" i="18"/>
  <c r="J133" i="7" s="1"/>
  <c r="AM75" i="18"/>
  <c r="J106" i="7" s="1"/>
  <c r="AM71" i="18"/>
  <c r="AO74" i="18"/>
  <c r="L105" i="7" s="1"/>
  <c r="AO99" i="18"/>
  <c r="AO88" i="18"/>
  <c r="AO96" i="18"/>
  <c r="AO98" i="18"/>
  <c r="AO92" i="18"/>
  <c r="AO72" i="18"/>
  <c r="AO85" i="18"/>
  <c r="AO83" i="18"/>
  <c r="AO86" i="18"/>
  <c r="AO80" i="18"/>
  <c r="L111" i="7" s="1"/>
  <c r="AO82" i="18"/>
  <c r="AO76" i="18"/>
  <c r="L107" i="7" s="1"/>
  <c r="AO78" i="18"/>
  <c r="L109" i="7" s="1"/>
  <c r="AO84" i="18"/>
  <c r="AO81" i="18"/>
  <c r="AO77" i="18"/>
  <c r="L108" i="7" s="1"/>
  <c r="AO87" i="18"/>
  <c r="AO71" i="18"/>
  <c r="AO100" i="18"/>
  <c r="AO94" i="18"/>
  <c r="AO97" i="18"/>
  <c r="AO95" i="18"/>
  <c r="AO93" i="18"/>
  <c r="AO91" i="18"/>
  <c r="AO73" i="18"/>
  <c r="L104" i="7" s="1"/>
  <c r="AO90" i="18"/>
  <c r="AO89" i="18"/>
  <c r="AO79" i="18"/>
  <c r="L110" i="7" s="1"/>
  <c r="AO75" i="18"/>
  <c r="L106" i="7" s="1"/>
  <c r="B47" i="3"/>
  <c r="AU114" i="9"/>
  <c r="AU113" i="9"/>
  <c r="J25" i="16" s="1"/>
  <c r="J27" i="16" s="1"/>
  <c r="D90" i="3"/>
  <c r="D91" i="3"/>
  <c r="D92" i="3"/>
  <c r="D93" i="3"/>
  <c r="M50" i="26" s="1"/>
  <c r="X64" i="26" s="1"/>
  <c r="D94" i="3"/>
  <c r="M115" i="26" s="1"/>
  <c r="X129" i="26" s="1"/>
  <c r="X130" i="26" s="1"/>
  <c r="D95" i="3"/>
  <c r="D96" i="3"/>
  <c r="D97" i="3"/>
  <c r="D98" i="3"/>
  <c r="D99" i="3"/>
  <c r="D100" i="3"/>
  <c r="D101" i="3"/>
  <c r="D102" i="3"/>
  <c r="D103" i="3"/>
  <c r="M310" i="26" s="1"/>
  <c r="X324" i="26" s="1"/>
  <c r="X325" i="26" s="1"/>
  <c r="D104" i="3"/>
  <c r="M375" i="26" s="1"/>
  <c r="X389" i="26" s="1"/>
  <c r="X390" i="26" s="1"/>
  <c r="D89" i="3"/>
  <c r="I133" i="3"/>
  <c r="P133" i="3"/>
  <c r="D133" i="3"/>
  <c r="Q133" i="3"/>
  <c r="H133" i="3"/>
  <c r="S133" i="3"/>
  <c r="N133" i="3"/>
  <c r="O133" i="3"/>
  <c r="L133" i="3"/>
  <c r="M133" i="3"/>
  <c r="C133" i="3"/>
  <c r="F105" i="3"/>
  <c r="Q105" i="3"/>
  <c r="K133" i="3"/>
  <c r="J133" i="3"/>
  <c r="F133" i="3"/>
  <c r="R133" i="3"/>
  <c r="B133" i="3"/>
  <c r="E133" i="3"/>
  <c r="X391" i="26" l="1"/>
  <c r="V390" i="26"/>
  <c r="X326" i="26"/>
  <c r="V325" i="26"/>
  <c r="K488" i="7"/>
  <c r="S488" i="7"/>
  <c r="R488" i="7"/>
  <c r="N488" i="7"/>
  <c r="J109" i="7"/>
  <c r="K344" i="7"/>
  <c r="S344" i="7" s="1"/>
  <c r="L344" i="7"/>
  <c r="N345" i="7"/>
  <c r="N344" i="7" s="1"/>
  <c r="I14" i="28"/>
  <c r="I30" i="33" s="1"/>
  <c r="K380" i="7"/>
  <c r="S380" i="7" s="1"/>
  <c r="L380" i="7"/>
  <c r="N381" i="7"/>
  <c r="N380" i="7" s="1"/>
  <c r="K308" i="7"/>
  <c r="N309" i="7"/>
  <c r="N308" i="7" s="1"/>
  <c r="L308" i="7"/>
  <c r="M180" i="26"/>
  <c r="X194" i="26" s="1"/>
  <c r="X195" i="26" s="1"/>
  <c r="M245" i="26"/>
  <c r="X259" i="26" s="1"/>
  <c r="X260" i="26" s="1"/>
  <c r="K272" i="7"/>
  <c r="L272" i="7"/>
  <c r="N273" i="7"/>
  <c r="N272" i="7" s="1"/>
  <c r="K236" i="7"/>
  <c r="N237" i="7"/>
  <c r="N236" i="7" s="1"/>
  <c r="L236" i="7"/>
  <c r="O10" i="28"/>
  <c r="O26" i="33" s="1"/>
  <c r="P26" i="33" s="1"/>
  <c r="O14" i="28"/>
  <c r="J10" i="28"/>
  <c r="J26" i="33" s="1"/>
  <c r="J14" i="28"/>
  <c r="J30" i="33" s="1"/>
  <c r="I10" i="28"/>
  <c r="I26" i="33" s="1"/>
  <c r="J32" i="16"/>
  <c r="AE13" i="33" s="1"/>
  <c r="I11" i="28"/>
  <c r="I27" i="33" s="1"/>
  <c r="I12" i="28"/>
  <c r="I112" i="30"/>
  <c r="J11" i="28"/>
  <c r="J27" i="33" s="1"/>
  <c r="J12" i="28"/>
  <c r="J28" i="33" s="1"/>
  <c r="O11" i="28"/>
  <c r="O27" i="33" s="1"/>
  <c r="P27" i="33" s="1"/>
  <c r="O12" i="28"/>
  <c r="I103" i="30"/>
  <c r="I119" i="30"/>
  <c r="H123" i="7"/>
  <c r="I129" i="30"/>
  <c r="H133" i="7"/>
  <c r="I109" i="30"/>
  <c r="H110" i="7"/>
  <c r="X131" i="26"/>
  <c r="V130" i="26"/>
  <c r="I130" i="30"/>
  <c r="H134" i="7"/>
  <c r="I102" i="30"/>
  <c r="U102" i="30" s="1"/>
  <c r="S201" i="7" s="1"/>
  <c r="I101" i="30"/>
  <c r="I111" i="30"/>
  <c r="H118" i="7"/>
  <c r="I114" i="30"/>
  <c r="H117" i="7"/>
  <c r="I113" i="30"/>
  <c r="H104" i="7"/>
  <c r="H116" i="7"/>
  <c r="H102" i="7"/>
  <c r="H103" i="7"/>
  <c r="J102" i="7"/>
  <c r="J115" i="7"/>
  <c r="J103" i="7"/>
  <c r="H115" i="7"/>
  <c r="L102" i="7"/>
  <c r="L103" i="7"/>
  <c r="X65" i="26"/>
  <c r="V65" i="26" s="1"/>
  <c r="W89" i="3"/>
  <c r="X89" i="3"/>
  <c r="Y89" i="3"/>
  <c r="Z89" i="3"/>
  <c r="AA89" i="3"/>
  <c r="W90" i="3"/>
  <c r="X90" i="3"/>
  <c r="Y90" i="3"/>
  <c r="Z90" i="3"/>
  <c r="AA90" i="3"/>
  <c r="W91" i="3"/>
  <c r="X91" i="3"/>
  <c r="Y91" i="3"/>
  <c r="Z91" i="3"/>
  <c r="AA91" i="3"/>
  <c r="W92" i="3"/>
  <c r="X92" i="3"/>
  <c r="Y92" i="3"/>
  <c r="Z92" i="3"/>
  <c r="AA92" i="3"/>
  <c r="W93" i="3"/>
  <c r="X93" i="3"/>
  <c r="Y93" i="3"/>
  <c r="Z93" i="3"/>
  <c r="AA93" i="3"/>
  <c r="W94" i="3"/>
  <c r="X94" i="3"/>
  <c r="Y94" i="3"/>
  <c r="Z94" i="3"/>
  <c r="AA94" i="3"/>
  <c r="W95" i="3"/>
  <c r="X95" i="3"/>
  <c r="Y95" i="3"/>
  <c r="Z95" i="3"/>
  <c r="AA95" i="3"/>
  <c r="W96" i="3"/>
  <c r="X96" i="3"/>
  <c r="Y96" i="3"/>
  <c r="Z96" i="3"/>
  <c r="AA96" i="3"/>
  <c r="W97" i="3"/>
  <c r="X97" i="3"/>
  <c r="Y97" i="3"/>
  <c r="Z97" i="3"/>
  <c r="AA97" i="3"/>
  <c r="W98" i="3"/>
  <c r="X98" i="3"/>
  <c r="Y98" i="3"/>
  <c r="Z98" i="3"/>
  <c r="AA98" i="3"/>
  <c r="W99" i="3"/>
  <c r="X99" i="3"/>
  <c r="Y99" i="3"/>
  <c r="Z99" i="3"/>
  <c r="AA99" i="3"/>
  <c r="W100" i="3"/>
  <c r="X100" i="3"/>
  <c r="Y100" i="3"/>
  <c r="Z100" i="3"/>
  <c r="AA100" i="3"/>
  <c r="W101" i="3"/>
  <c r="X101" i="3"/>
  <c r="Y101" i="3"/>
  <c r="Z101" i="3"/>
  <c r="AA101" i="3"/>
  <c r="W102" i="3"/>
  <c r="X102" i="3"/>
  <c r="Y102" i="3"/>
  <c r="Z102" i="3"/>
  <c r="AA102" i="3"/>
  <c r="W103" i="3"/>
  <c r="X103" i="3"/>
  <c r="Y103" i="3"/>
  <c r="Z103" i="3"/>
  <c r="AA103" i="3"/>
  <c r="W104" i="3"/>
  <c r="X104" i="3"/>
  <c r="Y104" i="3"/>
  <c r="Z104" i="3"/>
  <c r="AA104" i="3"/>
  <c r="W106" i="3"/>
  <c r="X106" i="3"/>
  <c r="Y106" i="3"/>
  <c r="Z106" i="3"/>
  <c r="AA106" i="3"/>
  <c r="T103" i="3"/>
  <c r="S103" i="3"/>
  <c r="R103" i="3"/>
  <c r="S106" i="3"/>
  <c r="R106" i="3"/>
  <c r="S93" i="3"/>
  <c r="S92" i="3"/>
  <c r="R92" i="3"/>
  <c r="S91" i="3"/>
  <c r="R91" i="3"/>
  <c r="S90" i="3"/>
  <c r="R90" i="3"/>
  <c r="R99" i="3"/>
  <c r="R98" i="3"/>
  <c r="S101" i="3"/>
  <c r="S100" i="3"/>
  <c r="S99" i="3"/>
  <c r="S98" i="3"/>
  <c r="S97" i="3"/>
  <c r="V106" i="3"/>
  <c r="U106" i="3"/>
  <c r="T106" i="3"/>
  <c r="V104" i="3"/>
  <c r="U104" i="3"/>
  <c r="T104" i="3"/>
  <c r="V103" i="3"/>
  <c r="U103" i="3"/>
  <c r="V102" i="3"/>
  <c r="U102" i="3"/>
  <c r="T102" i="3"/>
  <c r="V101" i="3"/>
  <c r="U101" i="3"/>
  <c r="T101" i="3"/>
  <c r="V100" i="3"/>
  <c r="U100" i="3"/>
  <c r="T100" i="3"/>
  <c r="V99" i="3"/>
  <c r="U99" i="3"/>
  <c r="T99" i="3"/>
  <c r="V98" i="3"/>
  <c r="U98" i="3"/>
  <c r="T98" i="3"/>
  <c r="V97" i="3"/>
  <c r="U97" i="3"/>
  <c r="T97" i="3"/>
  <c r="V96" i="3"/>
  <c r="U96" i="3"/>
  <c r="T96" i="3"/>
  <c r="V95" i="3"/>
  <c r="U95" i="3"/>
  <c r="T95" i="3"/>
  <c r="V94" i="3"/>
  <c r="U94" i="3"/>
  <c r="V93" i="3"/>
  <c r="U93" i="3"/>
  <c r="T93" i="3"/>
  <c r="V92" i="3"/>
  <c r="U92" i="3"/>
  <c r="T92" i="3"/>
  <c r="V91" i="3"/>
  <c r="U91" i="3"/>
  <c r="T91" i="3"/>
  <c r="V90" i="3"/>
  <c r="U90" i="3"/>
  <c r="T90" i="3"/>
  <c r="V89" i="3"/>
  <c r="U89" i="3"/>
  <c r="T89" i="3"/>
  <c r="R102" i="3"/>
  <c r="R101" i="3"/>
  <c r="H104" i="3"/>
  <c r="H103" i="3"/>
  <c r="H102" i="3"/>
  <c r="H101" i="3"/>
  <c r="I104" i="3"/>
  <c r="H343" i="26" s="1"/>
  <c r="I103" i="3"/>
  <c r="H278" i="26" s="1"/>
  <c r="I102" i="3"/>
  <c r="I101" i="3"/>
  <c r="P106" i="3"/>
  <c r="O106" i="3"/>
  <c r="N106" i="3"/>
  <c r="H413" i="26" s="1"/>
  <c r="M106" i="3"/>
  <c r="H412" i="26" s="1"/>
  <c r="L106" i="3"/>
  <c r="P104" i="3"/>
  <c r="O104" i="3"/>
  <c r="N104" i="3"/>
  <c r="H348" i="26" s="1"/>
  <c r="M104" i="3"/>
  <c r="H347" i="26" s="1"/>
  <c r="L104" i="3"/>
  <c r="H346" i="26" s="1"/>
  <c r="K104" i="3"/>
  <c r="H345" i="26" s="1"/>
  <c r="J104" i="3"/>
  <c r="H344" i="26" s="1"/>
  <c r="P103" i="3"/>
  <c r="O103" i="3"/>
  <c r="N103" i="3"/>
  <c r="H283" i="26" s="1"/>
  <c r="M103" i="3"/>
  <c r="H282" i="26" s="1"/>
  <c r="L103" i="3"/>
  <c r="H281" i="26" s="1"/>
  <c r="K103" i="3"/>
  <c r="H280" i="26" s="1"/>
  <c r="J103" i="3"/>
  <c r="H279" i="26" s="1"/>
  <c r="P102" i="3"/>
  <c r="O102" i="3"/>
  <c r="N102" i="3"/>
  <c r="M102" i="3"/>
  <c r="L102" i="3"/>
  <c r="K102" i="3"/>
  <c r="J102" i="3"/>
  <c r="P101" i="3"/>
  <c r="O101" i="3"/>
  <c r="N101" i="3"/>
  <c r="M101" i="3"/>
  <c r="L101" i="3"/>
  <c r="K101" i="3"/>
  <c r="J101" i="3"/>
  <c r="P100" i="3"/>
  <c r="O100" i="3"/>
  <c r="N100" i="3"/>
  <c r="M100" i="3"/>
  <c r="L100" i="3"/>
  <c r="K100" i="3"/>
  <c r="P99" i="3"/>
  <c r="O99" i="3"/>
  <c r="N99" i="3"/>
  <c r="M99" i="3"/>
  <c r="P98" i="3"/>
  <c r="O98" i="3"/>
  <c r="N98" i="3"/>
  <c r="M98" i="3"/>
  <c r="L98" i="3"/>
  <c r="K98" i="3"/>
  <c r="J98" i="3"/>
  <c r="I98" i="3"/>
  <c r="H98" i="3"/>
  <c r="P97" i="3"/>
  <c r="O97" i="3"/>
  <c r="N97" i="3"/>
  <c r="M97" i="3"/>
  <c r="L97" i="3"/>
  <c r="K97" i="3"/>
  <c r="J97" i="3"/>
  <c r="I97" i="3"/>
  <c r="H97" i="3"/>
  <c r="P96" i="3"/>
  <c r="O96" i="3"/>
  <c r="N96" i="3"/>
  <c r="M96" i="3"/>
  <c r="L96" i="3"/>
  <c r="K96" i="3"/>
  <c r="P95" i="3"/>
  <c r="O95" i="3"/>
  <c r="N95" i="3"/>
  <c r="M95" i="3"/>
  <c r="L95" i="3"/>
  <c r="K95" i="3"/>
  <c r="P94" i="3"/>
  <c r="O94" i="3"/>
  <c r="N94" i="3"/>
  <c r="M94" i="3"/>
  <c r="L94" i="3"/>
  <c r="K94" i="3"/>
  <c r="P93" i="3"/>
  <c r="O93" i="3"/>
  <c r="N93" i="3"/>
  <c r="M93" i="3"/>
  <c r="L93" i="3"/>
  <c r="K93" i="3"/>
  <c r="J93" i="3"/>
  <c r="I93" i="3"/>
  <c r="H93" i="3"/>
  <c r="P92" i="3"/>
  <c r="O92" i="3"/>
  <c r="N92" i="3"/>
  <c r="M92" i="3"/>
  <c r="L92" i="3"/>
  <c r="K92" i="3"/>
  <c r="J92" i="3"/>
  <c r="I92" i="3"/>
  <c r="H92" i="3"/>
  <c r="P91" i="3"/>
  <c r="O91" i="3"/>
  <c r="N91" i="3"/>
  <c r="M91" i="3"/>
  <c r="L91" i="3"/>
  <c r="K91" i="3"/>
  <c r="J91" i="3"/>
  <c r="I91" i="3"/>
  <c r="H91" i="3"/>
  <c r="P90" i="3"/>
  <c r="O90" i="3"/>
  <c r="N90" i="3"/>
  <c r="M90" i="3"/>
  <c r="L90" i="3"/>
  <c r="K90" i="3"/>
  <c r="J90" i="3"/>
  <c r="I90" i="3"/>
  <c r="H90" i="3"/>
  <c r="P89" i="3"/>
  <c r="O89" i="3"/>
  <c r="N89" i="3"/>
  <c r="M89" i="3"/>
  <c r="L89" i="3"/>
  <c r="K89" i="3"/>
  <c r="J89" i="3"/>
  <c r="I89" i="3"/>
  <c r="H89" i="3"/>
  <c r="R100" i="3"/>
  <c r="R97" i="3"/>
  <c r="S96" i="3"/>
  <c r="R96" i="3"/>
  <c r="S95" i="3"/>
  <c r="AI93" i="3" s="1"/>
  <c r="AH94" i="3" s="1"/>
  <c r="AE95" i="3" s="1"/>
  <c r="AG93" i="3"/>
  <c r="AF94" i="3" s="1"/>
  <c r="T94" i="3"/>
  <c r="AF93" i="3" s="1"/>
  <c r="Q106" i="3"/>
  <c r="F96" i="3"/>
  <c r="Q97" i="3"/>
  <c r="Q94" i="3"/>
  <c r="Q103" i="3"/>
  <c r="Q98" i="3"/>
  <c r="Q89" i="3"/>
  <c r="Q99" i="3"/>
  <c r="Q92" i="3"/>
  <c r="F94" i="3"/>
  <c r="F101" i="3"/>
  <c r="F95" i="3"/>
  <c r="Q104" i="3"/>
  <c r="F99" i="3"/>
  <c r="F90" i="3"/>
  <c r="F91" i="3"/>
  <c r="Q95" i="3"/>
  <c r="Q102" i="3"/>
  <c r="F93" i="3"/>
  <c r="F102" i="3"/>
  <c r="F103" i="3"/>
  <c r="F92" i="3"/>
  <c r="F104" i="3"/>
  <c r="Q100" i="3"/>
  <c r="F100" i="3"/>
  <c r="F106" i="3"/>
  <c r="Q91" i="3"/>
  <c r="F98" i="3"/>
  <c r="F97" i="3"/>
  <c r="Q96" i="3"/>
  <c r="Q90" i="3"/>
  <c r="Q101" i="3"/>
  <c r="Q93" i="3"/>
  <c r="F89" i="3"/>
  <c r="H83" i="26" l="1"/>
  <c r="AH104" i="10"/>
  <c r="H65" i="29"/>
  <c r="X107" i="10"/>
  <c r="AH107" i="10"/>
  <c r="Y50" i="7"/>
  <c r="H84" i="26"/>
  <c r="H66" i="29"/>
  <c r="H67" i="29"/>
  <c r="H68" i="29"/>
  <c r="AD87" i="10"/>
  <c r="H277" i="26"/>
  <c r="X327" i="26"/>
  <c r="V327" i="26" s="1"/>
  <c r="V326" i="26"/>
  <c r="AH105" i="10"/>
  <c r="AH108" i="10"/>
  <c r="AD88" i="10"/>
  <c r="H342" i="26"/>
  <c r="H82" i="26"/>
  <c r="E82" i="26" s="1"/>
  <c r="V82" i="26" s="1"/>
  <c r="AH106" i="10"/>
  <c r="X392" i="26"/>
  <c r="V392" i="26" s="1"/>
  <c r="V391" i="26"/>
  <c r="U108" i="10"/>
  <c r="U107" i="10"/>
  <c r="U106" i="10"/>
  <c r="R344" i="7"/>
  <c r="R380" i="7"/>
  <c r="H411" i="26"/>
  <c r="G68" i="10"/>
  <c r="AD89" i="10"/>
  <c r="R308" i="7"/>
  <c r="S308" i="7"/>
  <c r="AH121" i="10"/>
  <c r="H152" i="26"/>
  <c r="H217" i="26"/>
  <c r="AD85" i="10"/>
  <c r="AD86" i="10"/>
  <c r="H150" i="26"/>
  <c r="E150" i="26" s="1"/>
  <c r="V150" i="26" s="1"/>
  <c r="H215" i="26"/>
  <c r="E215" i="26" s="1"/>
  <c r="V215" i="26" s="1"/>
  <c r="H218" i="26"/>
  <c r="H153" i="26"/>
  <c r="AH114" i="10"/>
  <c r="X261" i="26"/>
  <c r="V260" i="26"/>
  <c r="H151" i="26"/>
  <c r="H216" i="26"/>
  <c r="X196" i="26"/>
  <c r="V195" i="26"/>
  <c r="U114" i="10"/>
  <c r="R272" i="7"/>
  <c r="S272" i="7"/>
  <c r="U118" i="10"/>
  <c r="U109" i="10"/>
  <c r="O214" i="28"/>
  <c r="H86" i="26"/>
  <c r="H87" i="26"/>
  <c r="H85" i="26"/>
  <c r="AH120" i="10"/>
  <c r="AG120" i="10" s="1"/>
  <c r="H88" i="26"/>
  <c r="K14" i="28"/>
  <c r="O30" i="33"/>
  <c r="P30" i="33" s="1"/>
  <c r="O218" i="28"/>
  <c r="K11" i="28"/>
  <c r="O215" i="28"/>
  <c r="AH102" i="10"/>
  <c r="U112" i="30"/>
  <c r="T112" i="30"/>
  <c r="O28" i="33"/>
  <c r="P28" i="33" s="1"/>
  <c r="O216" i="28"/>
  <c r="I28" i="33"/>
  <c r="K12" i="28"/>
  <c r="I218" i="28"/>
  <c r="J218" i="28"/>
  <c r="AS100" i="3"/>
  <c r="AS98" i="3"/>
  <c r="AS91" i="3"/>
  <c r="AS102" i="3"/>
  <c r="AS104" i="3"/>
  <c r="AS90" i="3"/>
  <c r="AS106" i="3"/>
  <c r="AS96" i="3"/>
  <c r="AS89" i="3"/>
  <c r="AS103" i="3"/>
  <c r="AS101" i="3"/>
  <c r="AS94" i="3"/>
  <c r="AS105" i="3"/>
  <c r="AS92" i="3"/>
  <c r="AS95" i="3"/>
  <c r="AS93" i="3"/>
  <c r="AS99" i="3"/>
  <c r="AS97" i="3"/>
  <c r="T69" i="10"/>
  <c r="T68" i="10"/>
  <c r="U110" i="10"/>
  <c r="U119" i="30"/>
  <c r="T119" i="30"/>
  <c r="U120" i="10"/>
  <c r="T129" i="30"/>
  <c r="U129" i="30"/>
  <c r="U109" i="30"/>
  <c r="T109" i="30"/>
  <c r="T71" i="10"/>
  <c r="T70" i="10"/>
  <c r="T62" i="10"/>
  <c r="X132" i="26"/>
  <c r="V132" i="26" s="1"/>
  <c r="V131" i="26"/>
  <c r="U121" i="10"/>
  <c r="U130" i="30"/>
  <c r="T130" i="30"/>
  <c r="T111" i="30"/>
  <c r="U111" i="30"/>
  <c r="U101" i="30"/>
  <c r="S165" i="7" s="1"/>
  <c r="T101" i="30"/>
  <c r="R165" i="7" s="1"/>
  <c r="U105" i="10"/>
  <c r="T114" i="30"/>
  <c r="U114" i="30"/>
  <c r="T102" i="30"/>
  <c r="R201" i="7" s="1"/>
  <c r="U113" i="30"/>
  <c r="T113" i="30"/>
  <c r="G62" i="10"/>
  <c r="F21" i="7" s="1"/>
  <c r="AD83" i="10"/>
  <c r="AD84" i="10"/>
  <c r="AH103" i="10"/>
  <c r="T103" i="30"/>
  <c r="R236" i="7" s="1"/>
  <c r="U103" i="30"/>
  <c r="S236" i="7" s="1"/>
  <c r="H19" i="29"/>
  <c r="Y19" i="29" s="1"/>
  <c r="V19" i="29" s="1"/>
  <c r="H23" i="29"/>
  <c r="Y23" i="29" s="1"/>
  <c r="V23" i="29" s="1"/>
  <c r="H20" i="29"/>
  <c r="Y20" i="29" s="1"/>
  <c r="V20" i="29" s="1"/>
  <c r="H24" i="29"/>
  <c r="Y24" i="29" s="1"/>
  <c r="V24" i="29" s="1"/>
  <c r="G64" i="10"/>
  <c r="F23" i="7" s="1"/>
  <c r="G67" i="10"/>
  <c r="F26" i="7" s="1"/>
  <c r="G65" i="10"/>
  <c r="F24" i="7" s="1"/>
  <c r="G63" i="10"/>
  <c r="F22" i="7" s="1"/>
  <c r="G66" i="10"/>
  <c r="F25" i="7" s="1"/>
  <c r="U104" i="10"/>
  <c r="U103" i="10"/>
  <c r="U102" i="10"/>
  <c r="AE94" i="3"/>
  <c r="H21" i="29"/>
  <c r="Y21" i="29" s="1"/>
  <c r="V21" i="29" s="1"/>
  <c r="H18" i="29"/>
  <c r="Y18" i="29" s="1"/>
  <c r="V18" i="29" s="1"/>
  <c r="H22" i="29"/>
  <c r="Y22" i="29" s="1"/>
  <c r="V22" i="29" s="1"/>
  <c r="X66" i="26"/>
  <c r="V66" i="26" s="1"/>
  <c r="AD95" i="3"/>
  <c r="AE96" i="3"/>
  <c r="AD97" i="3" s="1"/>
  <c r="H17" i="26"/>
  <c r="H23" i="26"/>
  <c r="H20" i="26"/>
  <c r="H21" i="26"/>
  <c r="H18" i="26"/>
  <c r="H19" i="26"/>
  <c r="H22" i="26"/>
  <c r="T67" i="10"/>
  <c r="T63" i="10"/>
  <c r="T65" i="10"/>
  <c r="T66" i="10"/>
  <c r="T64" i="10"/>
  <c r="E94" i="3"/>
  <c r="E96" i="3"/>
  <c r="E99" i="3"/>
  <c r="E95" i="3"/>
  <c r="E103" i="3"/>
  <c r="E100" i="3"/>
  <c r="E106" i="3"/>
  <c r="E101" i="3"/>
  <c r="E104" i="3"/>
  <c r="E90" i="3"/>
  <c r="E102" i="3"/>
  <c r="E91" i="3"/>
  <c r="E92" i="3"/>
  <c r="E97" i="3"/>
  <c r="E89" i="3"/>
  <c r="E93" i="3"/>
  <c r="E98" i="3"/>
  <c r="E151" i="26" l="1"/>
  <c r="V151" i="26" s="1"/>
  <c r="E216" i="26"/>
  <c r="V216" i="26" s="1"/>
  <c r="Y66" i="29"/>
  <c r="V66" i="29" s="1"/>
  <c r="Y65" i="29"/>
  <c r="V65" i="29" s="1"/>
  <c r="E65" i="29"/>
  <c r="E66" i="29" s="1"/>
  <c r="E67" i="29" s="1"/>
  <c r="E68" i="29" s="1"/>
  <c r="E83" i="26"/>
  <c r="V83" i="26" s="1"/>
  <c r="N108" i="10"/>
  <c r="AG108" i="10" s="1"/>
  <c r="E277" i="26"/>
  <c r="Y68" i="29"/>
  <c r="V68" i="29" s="1"/>
  <c r="N104" i="10"/>
  <c r="AG104" i="10" s="1"/>
  <c r="N102" i="10"/>
  <c r="AG102" i="10" s="1"/>
  <c r="N114" i="10"/>
  <c r="AG114" i="10" s="1"/>
  <c r="N103" i="10"/>
  <c r="AG103" i="10" s="1"/>
  <c r="N121" i="10"/>
  <c r="AG121" i="10" s="1"/>
  <c r="N105" i="10"/>
  <c r="AG105" i="10" s="1"/>
  <c r="N106" i="10"/>
  <c r="AG106" i="10" s="1"/>
  <c r="E342" i="26"/>
  <c r="Y67" i="29"/>
  <c r="V67" i="29" s="1"/>
  <c r="N107" i="10"/>
  <c r="AG107" i="10" s="1"/>
  <c r="E18" i="29"/>
  <c r="E19" i="29" s="1"/>
  <c r="AI68" i="10"/>
  <c r="E411" i="26"/>
  <c r="K411" i="26"/>
  <c r="K412" i="26" s="1"/>
  <c r="K413" i="26" s="1"/>
  <c r="X197" i="26"/>
  <c r="V197" i="26" s="1"/>
  <c r="V196" i="26"/>
  <c r="X262" i="26"/>
  <c r="V262" i="26" s="1"/>
  <c r="V261" i="26"/>
  <c r="K30" i="33"/>
  <c r="K28" i="33"/>
  <c r="AZ12" i="28"/>
  <c r="K27" i="33"/>
  <c r="AZ11" i="28"/>
  <c r="Y34" i="7"/>
  <c r="X84" i="10"/>
  <c r="AW105" i="3"/>
  <c r="AW97" i="3"/>
  <c r="AW89" i="3"/>
  <c r="AW106" i="3"/>
  <c r="AW96" i="3"/>
  <c r="AW103" i="3"/>
  <c r="AW95" i="3"/>
  <c r="AW90" i="3"/>
  <c r="AW98" i="3"/>
  <c r="AW102" i="3"/>
  <c r="AW104" i="3"/>
  <c r="AW100" i="3"/>
  <c r="AW101" i="3"/>
  <c r="AW93" i="3"/>
  <c r="AW94" i="3"/>
  <c r="AW99" i="3"/>
  <c r="AW91" i="3"/>
  <c r="AW92" i="3"/>
  <c r="AT95" i="3"/>
  <c r="AT89" i="3"/>
  <c r="AT104" i="3"/>
  <c r="AT102" i="3"/>
  <c r="AT90" i="3"/>
  <c r="AT105" i="3"/>
  <c r="AT97" i="3"/>
  <c r="AT93" i="3"/>
  <c r="AT91" i="3"/>
  <c r="AT98" i="3"/>
  <c r="AT92" i="3"/>
  <c r="AT94" i="3"/>
  <c r="AT99" i="3"/>
  <c r="AT103" i="3"/>
  <c r="AT106" i="3"/>
  <c r="AT100" i="3"/>
  <c r="AT96" i="3"/>
  <c r="AT101" i="3"/>
  <c r="AU105" i="3"/>
  <c r="AU97" i="3"/>
  <c r="AU89" i="3"/>
  <c r="AU99" i="3"/>
  <c r="AU91" i="3"/>
  <c r="AU103" i="3"/>
  <c r="AU95" i="3"/>
  <c r="AU101" i="3"/>
  <c r="AU93" i="3"/>
  <c r="AU106" i="3"/>
  <c r="AU90" i="3"/>
  <c r="AU92" i="3"/>
  <c r="AU94" i="3"/>
  <c r="AU96" i="3"/>
  <c r="AU98" i="3"/>
  <c r="AU100" i="3"/>
  <c r="AU102" i="3"/>
  <c r="AU104" i="3"/>
  <c r="AI67" i="10"/>
  <c r="S2" i="10"/>
  <c r="W101" i="30" a="1"/>
  <c r="W101" i="30" s="1"/>
  <c r="M101" i="30" s="1"/>
  <c r="AI66" i="10"/>
  <c r="V101" i="30" a="1"/>
  <c r="V110" i="30" s="1"/>
  <c r="L110" i="30" s="1"/>
  <c r="K218" i="28"/>
  <c r="AV14" i="28"/>
  <c r="AN14" i="28"/>
  <c r="AI65" i="10"/>
  <c r="AI64" i="10"/>
  <c r="AI62" i="10"/>
  <c r="AI63" i="10"/>
  <c r="AD96" i="3"/>
  <c r="Y86" i="10" s="1"/>
  <c r="N86" i="10" s="1"/>
  <c r="AG86" i="10" s="1"/>
  <c r="Y84" i="10"/>
  <c r="X67" i="26"/>
  <c r="V67" i="26" s="1"/>
  <c r="E17" i="26"/>
  <c r="V17" i="26" s="1"/>
  <c r="E152" i="26" l="1"/>
  <c r="V277" i="26"/>
  <c r="E278" i="26"/>
  <c r="V342" i="26"/>
  <c r="E343" i="26"/>
  <c r="E84" i="26"/>
  <c r="V84" i="26" s="1"/>
  <c r="E217" i="26"/>
  <c r="N84" i="10"/>
  <c r="AG84" i="10" s="1"/>
  <c r="M111" i="7"/>
  <c r="E412" i="26"/>
  <c r="V411" i="26"/>
  <c r="N102" i="7"/>
  <c r="E18" i="26"/>
  <c r="V18" i="26" s="1"/>
  <c r="AV218" i="28"/>
  <c r="AV30" i="33"/>
  <c r="AN218" i="28"/>
  <c r="AO30" i="33"/>
  <c r="AV89" i="3"/>
  <c r="AV97" i="3"/>
  <c r="AV105" i="3"/>
  <c r="AV94" i="3"/>
  <c r="AV106" i="3"/>
  <c r="AV91" i="3"/>
  <c r="AV99" i="3"/>
  <c r="AV96" i="3"/>
  <c r="AV104" i="3"/>
  <c r="AV93" i="3"/>
  <c r="AV101" i="3"/>
  <c r="AV100" i="3"/>
  <c r="AV90" i="3"/>
  <c r="AV103" i="3"/>
  <c r="AV92" i="3"/>
  <c r="AV95" i="3"/>
  <c r="AV98" i="3"/>
  <c r="AV102" i="3"/>
  <c r="W102" i="30"/>
  <c r="M102" i="30" s="1"/>
  <c r="N103" i="7" s="1"/>
  <c r="W109" i="30"/>
  <c r="W105" i="30"/>
  <c r="M105" i="30" s="1"/>
  <c r="N106" i="7" s="1"/>
  <c r="W110" i="30"/>
  <c r="M110" i="30" s="1"/>
  <c r="N111" i="7" s="1"/>
  <c r="W108" i="30"/>
  <c r="M108" i="30" s="1"/>
  <c r="N109" i="7" s="1"/>
  <c r="W103" i="30"/>
  <c r="M103" i="30" s="1"/>
  <c r="W106" i="30"/>
  <c r="M106" i="30" s="1"/>
  <c r="N107" i="7" s="1"/>
  <c r="W104" i="30"/>
  <c r="M104" i="30" s="1"/>
  <c r="N105" i="7" s="1"/>
  <c r="W107" i="30"/>
  <c r="M107" i="30" s="1"/>
  <c r="N108" i="7" s="1"/>
  <c r="V101" i="30"/>
  <c r="L101" i="30" s="1"/>
  <c r="V107" i="30"/>
  <c r="L107" i="30" s="1"/>
  <c r="V104" i="30"/>
  <c r="L104" i="30" s="1"/>
  <c r="V105" i="30"/>
  <c r="L105" i="30" s="1"/>
  <c r="V102" i="30"/>
  <c r="L102" i="30" s="1"/>
  <c r="M103" i="7" s="1"/>
  <c r="V109" i="30"/>
  <c r="V108" i="30"/>
  <c r="L108" i="30" s="1"/>
  <c r="V103" i="30"/>
  <c r="L103" i="30" s="1"/>
  <c r="V106" i="30"/>
  <c r="L106" i="30" s="1"/>
  <c r="E20" i="29"/>
  <c r="E19" i="26" l="1"/>
  <c r="S2" i="30"/>
  <c r="N104" i="7"/>
  <c r="V152" i="26"/>
  <c r="E153" i="26"/>
  <c r="V153" i="26" s="1"/>
  <c r="V217" i="26"/>
  <c r="E218" i="26"/>
  <c r="V218" i="26" s="1"/>
  <c r="V343" i="26"/>
  <c r="E344" i="26"/>
  <c r="E85" i="26"/>
  <c r="V85" i="26" s="1"/>
  <c r="V278" i="26"/>
  <c r="E279" i="26"/>
  <c r="V412" i="26"/>
  <c r="E413" i="26"/>
  <c r="V413" i="26" s="1"/>
  <c r="N110" i="30"/>
  <c r="M109" i="7"/>
  <c r="N108" i="30"/>
  <c r="M107" i="7"/>
  <c r="M108" i="7"/>
  <c r="N107" i="30"/>
  <c r="M106" i="7"/>
  <c r="M105" i="7"/>
  <c r="N104" i="30"/>
  <c r="M104" i="7"/>
  <c r="N103" i="30"/>
  <c r="AX30" i="33"/>
  <c r="AX218" i="28"/>
  <c r="M102" i="7"/>
  <c r="N101" i="30"/>
  <c r="N102" i="30"/>
  <c r="BJ89" i="3" a="1"/>
  <c r="V19" i="26"/>
  <c r="E20" i="26"/>
  <c r="E21" i="29"/>
  <c r="G246" i="31"/>
  <c r="G128" i="31"/>
  <c r="E86" i="26" l="1"/>
  <c r="V86" i="26" s="1"/>
  <c r="E280" i="26"/>
  <c r="V279" i="26"/>
  <c r="V344" i="26"/>
  <c r="E345" i="26"/>
  <c r="AR30" i="33"/>
  <c r="AR218" i="28"/>
  <c r="AZ14" i="28"/>
  <c r="BJ89" i="3"/>
  <c r="BL89" i="3" s="1"/>
  <c r="BJ97" i="3"/>
  <c r="BJ101" i="3"/>
  <c r="BJ105" i="3"/>
  <c r="BJ93" i="3"/>
  <c r="BL93" i="3" s="1"/>
  <c r="BJ104" i="3"/>
  <c r="BL104" i="3" s="1"/>
  <c r="BJ98" i="3"/>
  <c r="BJ102" i="3"/>
  <c r="BJ90" i="3"/>
  <c r="BJ95" i="3"/>
  <c r="BJ99" i="3"/>
  <c r="BJ106" i="3"/>
  <c r="BL106" i="3" s="1"/>
  <c r="BJ100" i="3"/>
  <c r="BJ94" i="3"/>
  <c r="BJ91" i="3"/>
  <c r="BJ92" i="3"/>
  <c r="BL92" i="3" s="1"/>
  <c r="BJ96" i="3"/>
  <c r="BJ103" i="3"/>
  <c r="BL103" i="3" s="1"/>
  <c r="V20" i="26"/>
  <c r="E21" i="26"/>
  <c r="E22" i="29"/>
  <c r="E87" i="26" l="1"/>
  <c r="V87" i="26" s="1"/>
  <c r="V345" i="26"/>
  <c r="E346" i="26"/>
  <c r="V280" i="26"/>
  <c r="E281" i="26"/>
  <c r="BL90" i="3"/>
  <c r="AZ218" i="28"/>
  <c r="AZ30" i="33"/>
  <c r="V21" i="26"/>
  <c r="E22" i="26"/>
  <c r="E23" i="29"/>
  <c r="E88" i="26" l="1"/>
  <c r="V88" i="26" s="1"/>
  <c r="V281" i="26"/>
  <c r="E282" i="26"/>
  <c r="V346" i="26"/>
  <c r="E347" i="26"/>
  <c r="BL91" i="3"/>
  <c r="V22" i="26"/>
  <c r="E23" i="26"/>
  <c r="V23" i="26" s="1"/>
  <c r="E24" i="29"/>
  <c r="K165" i="7"/>
  <c r="N165" i="7"/>
  <c r="V347" i="26" l="1"/>
  <c r="E348" i="26"/>
  <c r="V348" i="26" s="1"/>
  <c r="V282" i="26"/>
  <c r="E283" i="26"/>
  <c r="V283" i="26" s="1"/>
  <c r="BL94" i="3"/>
  <c r="AR71" i="18"/>
  <c r="AU72" i="18"/>
  <c r="AW72" i="18"/>
  <c r="AY71" i="18"/>
  <c r="AX72" i="18"/>
  <c r="AZ71" i="18"/>
  <c r="AV72" i="18"/>
  <c r="BA72" i="18"/>
  <c r="AY72" i="18"/>
  <c r="AS72" i="18"/>
  <c r="AZ72" i="18"/>
  <c r="AV71" i="18"/>
  <c r="AU71" i="18"/>
  <c r="BA71" i="18"/>
  <c r="AX71" i="18"/>
  <c r="AT72" i="18"/>
  <c r="AW71" i="18"/>
  <c r="AR72" i="18"/>
  <c r="BL95" i="3" l="1"/>
  <c r="BB72" i="18"/>
  <c r="AT71" i="18"/>
  <c r="BC72" i="18"/>
  <c r="AS71" i="18"/>
  <c r="BL96" i="3" l="1"/>
  <c r="BE72" i="18"/>
  <c r="BJ72" i="18"/>
  <c r="BT72" i="18" s="1"/>
  <c r="BB71" i="18"/>
  <c r="BJ71" i="18" l="1"/>
  <c r="BL97" i="3"/>
  <c r="BR72" i="18"/>
  <c r="D231" i="7" s="1"/>
  <c r="BC71" i="18"/>
  <c r="BU71" i="18"/>
  <c r="I217" i="28"/>
  <c r="J217" i="28"/>
  <c r="BD71" i="18" l="1"/>
  <c r="BE71" i="18" s="1"/>
  <c r="BF71" i="18" s="1"/>
  <c r="BT71" i="18"/>
  <c r="D444" i="7" s="1"/>
  <c r="D418" i="7"/>
  <c r="D430" i="7"/>
  <c r="BL98" i="3"/>
  <c r="D224" i="7"/>
  <c r="H224" i="7" s="1"/>
  <c r="D227" i="7"/>
  <c r="AG227" i="7" s="1"/>
  <c r="O227" i="7" s="1"/>
  <c r="AE231" i="7"/>
  <c r="Q231" i="7"/>
  <c r="P231" i="7"/>
  <c r="AG231" i="7"/>
  <c r="O231" i="7" s="1"/>
  <c r="R231" i="7"/>
  <c r="M231" i="7"/>
  <c r="L231" i="7"/>
  <c r="F231" i="7"/>
  <c r="S231" i="7"/>
  <c r="I231" i="7"/>
  <c r="G231" i="7"/>
  <c r="AB231" i="7"/>
  <c r="J231" i="7"/>
  <c r="H231" i="7"/>
  <c r="D210" i="7"/>
  <c r="D213" i="7"/>
  <c r="D218" i="7"/>
  <c r="D217" i="7"/>
  <c r="D223" i="7"/>
  <c r="D204" i="7"/>
  <c r="D211" i="7"/>
  <c r="D222" i="7"/>
  <c r="D229" i="7"/>
  <c r="D212" i="7"/>
  <c r="D207" i="7"/>
  <c r="D215" i="7"/>
  <c r="D228" i="7"/>
  <c r="D203" i="7"/>
  <c r="D214" i="7"/>
  <c r="D209" i="7"/>
  <c r="D219" i="7"/>
  <c r="D208" i="7"/>
  <c r="D221" i="7"/>
  <c r="D205" i="7"/>
  <c r="D216" i="7"/>
  <c r="D225" i="7"/>
  <c r="D206" i="7"/>
  <c r="D230" i="7"/>
  <c r="D220" i="7"/>
  <c r="D226" i="7"/>
  <c r="D202" i="7"/>
  <c r="I215" i="28"/>
  <c r="J215" i="28"/>
  <c r="I216" i="28"/>
  <c r="J214" i="28"/>
  <c r="J216" i="28"/>
  <c r="BG71" i="18" l="1"/>
  <c r="BH71" i="18" s="1"/>
  <c r="D183" i="7" s="1"/>
  <c r="H444" i="7"/>
  <c r="J444" i="7"/>
  <c r="I444" i="7"/>
  <c r="AE444" i="7"/>
  <c r="AB444" i="7"/>
  <c r="F444" i="7"/>
  <c r="L444" i="7"/>
  <c r="P444" i="7"/>
  <c r="S444" i="7"/>
  <c r="R444" i="7"/>
  <c r="Q444" i="7"/>
  <c r="M444" i="7"/>
  <c r="G444" i="7"/>
  <c r="AG444" i="7"/>
  <c r="O444" i="7" s="1"/>
  <c r="S430" i="7"/>
  <c r="AE430" i="7"/>
  <c r="I430" i="7"/>
  <c r="H430" i="7"/>
  <c r="AG430" i="7"/>
  <c r="O430" i="7" s="1"/>
  <c r="P430" i="7"/>
  <c r="F430" i="7"/>
  <c r="G430" i="7"/>
  <c r="L430" i="7"/>
  <c r="Q430" i="7"/>
  <c r="AB430" i="7"/>
  <c r="R430" i="7"/>
  <c r="M430" i="7"/>
  <c r="J430" i="7"/>
  <c r="S418" i="7"/>
  <c r="AG418" i="7"/>
  <c r="O418" i="7" s="1"/>
  <c r="P418" i="7"/>
  <c r="AE418" i="7"/>
  <c r="F418" i="7"/>
  <c r="G418" i="7"/>
  <c r="J418" i="7" s="1"/>
  <c r="AB418" i="7"/>
  <c r="Q418" i="7"/>
  <c r="H418" i="7"/>
  <c r="D178" i="7"/>
  <c r="I178" i="7" s="1"/>
  <c r="D440" i="7"/>
  <c r="D425" i="7"/>
  <c r="D441" i="7"/>
  <c r="D422" i="7"/>
  <c r="D426" i="7"/>
  <c r="D435" i="7"/>
  <c r="D437" i="7"/>
  <c r="D445" i="7"/>
  <c r="D185" i="7"/>
  <c r="L185" i="7" s="1"/>
  <c r="D433" i="7"/>
  <c r="D439" i="7"/>
  <c r="D421" i="7"/>
  <c r="D427" i="7"/>
  <c r="D191" i="7"/>
  <c r="S191" i="7" s="1"/>
  <c r="D174" i="7"/>
  <c r="P174" i="7" s="1"/>
  <c r="D431" i="7"/>
  <c r="D447" i="7"/>
  <c r="D442" i="7"/>
  <c r="D429" i="7"/>
  <c r="D420" i="7"/>
  <c r="D423" i="7"/>
  <c r="D428" i="7"/>
  <c r="D424" i="7"/>
  <c r="D434" i="7"/>
  <c r="D446" i="7"/>
  <c r="D438" i="7"/>
  <c r="D443" i="7"/>
  <c r="D193" i="7"/>
  <c r="S193" i="7" s="1"/>
  <c r="D419" i="7"/>
  <c r="D436" i="7"/>
  <c r="D432" i="7"/>
  <c r="BL99" i="3"/>
  <c r="BL100" i="3" s="1"/>
  <c r="J227" i="7"/>
  <c r="F224" i="7"/>
  <c r="G224" i="7"/>
  <c r="L224" i="7"/>
  <c r="AE227" i="7"/>
  <c r="L227" i="7"/>
  <c r="S224" i="7"/>
  <c r="Q224" i="7"/>
  <c r="F227" i="7"/>
  <c r="AG224" i="7"/>
  <c r="O224" i="7" s="1"/>
  <c r="P227" i="7"/>
  <c r="M227" i="7"/>
  <c r="M224" i="7"/>
  <c r="AB224" i="7"/>
  <c r="P224" i="7"/>
  <c r="I224" i="7"/>
  <c r="AB227" i="7"/>
  <c r="J224" i="7"/>
  <c r="R224" i="7"/>
  <c r="AE224" i="7"/>
  <c r="Q227" i="7"/>
  <c r="I227" i="7"/>
  <c r="R227" i="7"/>
  <c r="H227" i="7"/>
  <c r="G227" i="7"/>
  <c r="S227" i="7"/>
  <c r="N231" i="7"/>
  <c r="AB221" i="7"/>
  <c r="AG221" i="7"/>
  <c r="O221" i="7" s="1"/>
  <c r="J221" i="7"/>
  <c r="Q221" i="7"/>
  <c r="P221" i="7"/>
  <c r="S221" i="7"/>
  <c r="AE221" i="7"/>
  <c r="M221" i="7"/>
  <c r="L221" i="7"/>
  <c r="G221" i="7"/>
  <c r="F221" i="7"/>
  <c r="H221" i="7"/>
  <c r="R221" i="7"/>
  <c r="I221" i="7"/>
  <c r="AE223" i="7"/>
  <c r="Q223" i="7"/>
  <c r="AB223" i="7"/>
  <c r="AG223" i="7"/>
  <c r="O223" i="7" s="1"/>
  <c r="R223" i="7"/>
  <c r="M223" i="7"/>
  <c r="H223" i="7"/>
  <c r="S223" i="7"/>
  <c r="J223" i="7"/>
  <c r="I223" i="7"/>
  <c r="P223" i="7"/>
  <c r="G223" i="7"/>
  <c r="F223" i="7"/>
  <c r="L223" i="7"/>
  <c r="J226" i="7"/>
  <c r="I226" i="7"/>
  <c r="H226" i="7"/>
  <c r="F226" i="7"/>
  <c r="AB226" i="7"/>
  <c r="S226" i="7"/>
  <c r="AE226" i="7"/>
  <c r="Q226" i="7"/>
  <c r="P226" i="7"/>
  <c r="AG226" i="7"/>
  <c r="O226" i="7" s="1"/>
  <c r="L226" i="7"/>
  <c r="G226" i="7"/>
  <c r="M226" i="7"/>
  <c r="R226" i="7"/>
  <c r="Q225" i="7"/>
  <c r="P225" i="7"/>
  <c r="S225" i="7"/>
  <c r="R225" i="7"/>
  <c r="M225" i="7"/>
  <c r="L225" i="7"/>
  <c r="G225" i="7"/>
  <c r="J225" i="7"/>
  <c r="I225" i="7"/>
  <c r="H225" i="7"/>
  <c r="AE225" i="7"/>
  <c r="F225" i="7"/>
  <c r="AG225" i="7"/>
  <c r="O225" i="7" s="1"/>
  <c r="AB225" i="7"/>
  <c r="AG208" i="7"/>
  <c r="O208" i="7" s="1"/>
  <c r="P208" i="7"/>
  <c r="J208" i="7"/>
  <c r="Q208" i="7"/>
  <c r="S208" i="7"/>
  <c r="L208" i="7"/>
  <c r="F208" i="7"/>
  <c r="M208" i="7"/>
  <c r="G208" i="7"/>
  <c r="H208" i="7"/>
  <c r="R208" i="7"/>
  <c r="I208" i="7"/>
  <c r="AE208" i="7"/>
  <c r="AB208" i="7"/>
  <c r="P203" i="7"/>
  <c r="R203" i="7"/>
  <c r="G203" i="7"/>
  <c r="AB203" i="7"/>
  <c r="L203" i="7"/>
  <c r="F203" i="7"/>
  <c r="J203" i="7"/>
  <c r="AE203" i="7"/>
  <c r="H203" i="7"/>
  <c r="AG203" i="7"/>
  <c r="O203" i="7" s="1"/>
  <c r="I203" i="7"/>
  <c r="S203" i="7"/>
  <c r="Q203" i="7"/>
  <c r="M203" i="7"/>
  <c r="Q212" i="7"/>
  <c r="S212" i="7"/>
  <c r="L212" i="7"/>
  <c r="J212" i="7"/>
  <c r="M212" i="7"/>
  <c r="G212" i="7"/>
  <c r="H212" i="7"/>
  <c r="F212" i="7"/>
  <c r="I212" i="7"/>
  <c r="AB212" i="7"/>
  <c r="AE212" i="7"/>
  <c r="AG212" i="7"/>
  <c r="O212" i="7" s="1"/>
  <c r="P212" i="7"/>
  <c r="R212" i="7"/>
  <c r="R213" i="7"/>
  <c r="P213" i="7"/>
  <c r="M213" i="7"/>
  <c r="G213" i="7"/>
  <c r="Q213" i="7"/>
  <c r="J213" i="7"/>
  <c r="L213" i="7"/>
  <c r="I213" i="7"/>
  <c r="AB213" i="7"/>
  <c r="F213" i="7"/>
  <c r="H213" i="7"/>
  <c r="AG213" i="7"/>
  <c r="O213" i="7" s="1"/>
  <c r="AE213" i="7"/>
  <c r="S213" i="7"/>
  <c r="AB211" i="7"/>
  <c r="Q211" i="7"/>
  <c r="G211" i="7"/>
  <c r="L211" i="7"/>
  <c r="S211" i="7"/>
  <c r="F211" i="7"/>
  <c r="AG211" i="7"/>
  <c r="O211" i="7" s="1"/>
  <c r="R211" i="7"/>
  <c r="H211" i="7"/>
  <c r="I211" i="7"/>
  <c r="AE211" i="7"/>
  <c r="P211" i="7"/>
  <c r="M211" i="7"/>
  <c r="J211" i="7"/>
  <c r="S210" i="7"/>
  <c r="I210" i="7"/>
  <c r="J210" i="7"/>
  <c r="H210" i="7"/>
  <c r="G210" i="7"/>
  <c r="AB210" i="7"/>
  <c r="F210" i="7"/>
  <c r="Q210" i="7"/>
  <c r="AE210" i="7"/>
  <c r="P210" i="7"/>
  <c r="AG210" i="7"/>
  <c r="O210" i="7" s="1"/>
  <c r="M210" i="7"/>
  <c r="R210" i="7"/>
  <c r="L210" i="7"/>
  <c r="G202" i="7"/>
  <c r="J202" i="7" s="1"/>
  <c r="F202" i="7"/>
  <c r="AB202" i="7"/>
  <c r="AE202" i="7"/>
  <c r="AG202" i="7"/>
  <c r="O202" i="7" s="1"/>
  <c r="R214" i="7"/>
  <c r="I214" i="7"/>
  <c r="H214" i="7"/>
  <c r="F214" i="7"/>
  <c r="J214" i="7"/>
  <c r="AB214" i="7"/>
  <c r="AG214" i="7"/>
  <c r="O214" i="7" s="1"/>
  <c r="Q214" i="7"/>
  <c r="P214" i="7"/>
  <c r="G214" i="7"/>
  <c r="S214" i="7"/>
  <c r="AE214" i="7"/>
  <c r="M214" i="7"/>
  <c r="L214" i="7"/>
  <c r="H220" i="7"/>
  <c r="AE220" i="7"/>
  <c r="M220" i="7"/>
  <c r="AB220" i="7"/>
  <c r="AG220" i="7"/>
  <c r="O220" i="7" s="1"/>
  <c r="R220" i="7"/>
  <c r="Q220" i="7"/>
  <c r="P220" i="7"/>
  <c r="S220" i="7"/>
  <c r="F220" i="7"/>
  <c r="L220" i="7"/>
  <c r="N220" i="7" s="1"/>
  <c r="I220" i="7"/>
  <c r="G220" i="7"/>
  <c r="J220" i="7"/>
  <c r="M216" i="7"/>
  <c r="P216" i="7"/>
  <c r="J216" i="7"/>
  <c r="L216" i="7"/>
  <c r="F216" i="7"/>
  <c r="Q216" i="7"/>
  <c r="S216" i="7"/>
  <c r="G216" i="7"/>
  <c r="R216" i="7"/>
  <c r="AE216" i="7"/>
  <c r="AG216" i="7"/>
  <c r="O216" i="7" s="1"/>
  <c r="H216" i="7"/>
  <c r="AB216" i="7"/>
  <c r="I216" i="7"/>
  <c r="AG219" i="7"/>
  <c r="O219" i="7" s="1"/>
  <c r="R219" i="7"/>
  <c r="M219" i="7"/>
  <c r="AB219" i="7"/>
  <c r="S219" i="7"/>
  <c r="J219" i="7"/>
  <c r="I219" i="7"/>
  <c r="L219" i="7"/>
  <c r="G219" i="7"/>
  <c r="F219" i="7"/>
  <c r="H219" i="7"/>
  <c r="Q219" i="7"/>
  <c r="P219" i="7"/>
  <c r="AE219" i="7"/>
  <c r="AB228" i="7"/>
  <c r="AG228" i="7"/>
  <c r="O228" i="7" s="1"/>
  <c r="R228" i="7"/>
  <c r="I228" i="7"/>
  <c r="P228" i="7"/>
  <c r="S228" i="7"/>
  <c r="J228" i="7"/>
  <c r="Q228" i="7"/>
  <c r="L228" i="7"/>
  <c r="G228" i="7"/>
  <c r="F228" i="7"/>
  <c r="H228" i="7"/>
  <c r="AE228" i="7"/>
  <c r="M228" i="7"/>
  <c r="Q229" i="7"/>
  <c r="P229" i="7"/>
  <c r="I229" i="7"/>
  <c r="AG229" i="7"/>
  <c r="O229" i="7" s="1"/>
  <c r="R229" i="7"/>
  <c r="M229" i="7"/>
  <c r="AB229" i="7"/>
  <c r="S229" i="7"/>
  <c r="AE229" i="7"/>
  <c r="L229" i="7"/>
  <c r="G229" i="7"/>
  <c r="F229" i="7"/>
  <c r="H229" i="7"/>
  <c r="J229" i="7"/>
  <c r="R230" i="7"/>
  <c r="M230" i="7"/>
  <c r="L230" i="7"/>
  <c r="S230" i="7"/>
  <c r="J230" i="7"/>
  <c r="I230" i="7"/>
  <c r="H230" i="7"/>
  <c r="AE230" i="7"/>
  <c r="P230" i="7"/>
  <c r="F230" i="7"/>
  <c r="AG230" i="7"/>
  <c r="O230" i="7" s="1"/>
  <c r="AB230" i="7"/>
  <c r="Q230" i="7"/>
  <c r="G230" i="7"/>
  <c r="J205" i="7"/>
  <c r="L205" i="7"/>
  <c r="H205" i="7"/>
  <c r="F205" i="7"/>
  <c r="Q205" i="7"/>
  <c r="S205" i="7"/>
  <c r="AE205" i="7"/>
  <c r="AB205" i="7"/>
  <c r="M205" i="7"/>
  <c r="AG205" i="7"/>
  <c r="O205" i="7" s="1"/>
  <c r="G205" i="7"/>
  <c r="R205" i="7"/>
  <c r="P205" i="7"/>
  <c r="I205" i="7"/>
  <c r="F209" i="7"/>
  <c r="H209" i="7"/>
  <c r="M209" i="7"/>
  <c r="J209" i="7"/>
  <c r="AE209" i="7"/>
  <c r="AB209" i="7"/>
  <c r="AG209" i="7"/>
  <c r="O209" i="7" s="1"/>
  <c r="I209" i="7"/>
  <c r="L209" i="7"/>
  <c r="R209" i="7"/>
  <c r="P209" i="7"/>
  <c r="S209" i="7"/>
  <c r="G209" i="7"/>
  <c r="Q209" i="7"/>
  <c r="S215" i="7"/>
  <c r="J215" i="7"/>
  <c r="I215" i="7"/>
  <c r="H215" i="7"/>
  <c r="G215" i="7"/>
  <c r="F215" i="7"/>
  <c r="AB215" i="7"/>
  <c r="R215" i="7"/>
  <c r="P215" i="7"/>
  <c r="Q215" i="7"/>
  <c r="AE215" i="7"/>
  <c r="AG215" i="7"/>
  <c r="O215" i="7" s="1"/>
  <c r="M215" i="7"/>
  <c r="L215" i="7"/>
  <c r="R222" i="7"/>
  <c r="M222" i="7"/>
  <c r="L222" i="7"/>
  <c r="S222" i="7"/>
  <c r="J222" i="7"/>
  <c r="I222" i="7"/>
  <c r="H222" i="7"/>
  <c r="F222" i="7"/>
  <c r="AB222" i="7"/>
  <c r="AG222" i="7"/>
  <c r="O222" i="7" s="1"/>
  <c r="Q222" i="7"/>
  <c r="P222" i="7"/>
  <c r="G222" i="7"/>
  <c r="AE222" i="7"/>
  <c r="I204" i="7"/>
  <c r="AB204" i="7"/>
  <c r="AE204" i="7"/>
  <c r="AG204" i="7"/>
  <c r="O204" i="7" s="1"/>
  <c r="P204" i="7"/>
  <c r="F204" i="7"/>
  <c r="Q204" i="7"/>
  <c r="S204" i="7"/>
  <c r="L204" i="7"/>
  <c r="R204" i="7"/>
  <c r="M204" i="7"/>
  <c r="G204" i="7"/>
  <c r="J204" i="7"/>
  <c r="H204" i="7"/>
  <c r="Q217" i="7"/>
  <c r="P217" i="7"/>
  <c r="S217" i="7"/>
  <c r="J217" i="7"/>
  <c r="M217" i="7"/>
  <c r="L217" i="7"/>
  <c r="G217" i="7"/>
  <c r="R217" i="7"/>
  <c r="I217" i="7"/>
  <c r="H217" i="7"/>
  <c r="AE217" i="7"/>
  <c r="F217" i="7"/>
  <c r="AG217" i="7"/>
  <c r="O217" i="7" s="1"/>
  <c r="AB217" i="7"/>
  <c r="K231" i="7"/>
  <c r="G206" i="7"/>
  <c r="AE206" i="7"/>
  <c r="P206" i="7"/>
  <c r="Q206" i="7"/>
  <c r="R206" i="7"/>
  <c r="L206" i="7"/>
  <c r="AG206" i="7"/>
  <c r="O206" i="7" s="1"/>
  <c r="M206" i="7"/>
  <c r="J206" i="7"/>
  <c r="H206" i="7"/>
  <c r="I206" i="7"/>
  <c r="F206" i="7"/>
  <c r="AB206" i="7"/>
  <c r="S206" i="7"/>
  <c r="Q207" i="7"/>
  <c r="P207" i="7"/>
  <c r="R207" i="7"/>
  <c r="S207" i="7"/>
  <c r="M207" i="7"/>
  <c r="H207" i="7"/>
  <c r="G207" i="7"/>
  <c r="AG207" i="7"/>
  <c r="O207" i="7" s="1"/>
  <c r="J207" i="7"/>
  <c r="AE207" i="7"/>
  <c r="L207" i="7"/>
  <c r="AB207" i="7"/>
  <c r="F207" i="7"/>
  <c r="I207" i="7"/>
  <c r="J218" i="7"/>
  <c r="I218" i="7"/>
  <c r="H218" i="7"/>
  <c r="F218" i="7"/>
  <c r="AB218" i="7"/>
  <c r="S218" i="7"/>
  <c r="AE218" i="7"/>
  <c r="Q218" i="7"/>
  <c r="P218" i="7"/>
  <c r="AG218" i="7"/>
  <c r="O218" i="7" s="1"/>
  <c r="L218" i="7"/>
  <c r="G218" i="7"/>
  <c r="M218" i="7"/>
  <c r="R218" i="7"/>
  <c r="R174" i="7"/>
  <c r="Q174" i="7"/>
  <c r="F174" i="7"/>
  <c r="J174" i="7"/>
  <c r="I174" i="7"/>
  <c r="M174" i="7"/>
  <c r="L174" i="7"/>
  <c r="AE174" i="7"/>
  <c r="AG174" i="7"/>
  <c r="O174" i="7" s="1"/>
  <c r="K217" i="28"/>
  <c r="BA217" i="28"/>
  <c r="AV13" i="28"/>
  <c r="AN13" i="28"/>
  <c r="I214" i="28"/>
  <c r="K10" i="28"/>
  <c r="AZ10" i="28" s="1"/>
  <c r="AB174" i="7" l="1"/>
  <c r="H174" i="7"/>
  <c r="G174" i="7"/>
  <c r="D168" i="7"/>
  <c r="D195" i="7"/>
  <c r="AB195" i="7" s="1"/>
  <c r="D176" i="7"/>
  <c r="D190" i="7"/>
  <c r="S190" i="7" s="1"/>
  <c r="D179" i="7"/>
  <c r="AB179" i="7" s="1"/>
  <c r="D188" i="7"/>
  <c r="J188" i="7" s="1"/>
  <c r="M193" i="7"/>
  <c r="AE185" i="7"/>
  <c r="J193" i="7"/>
  <c r="AG185" i="7"/>
  <c r="O185" i="7" s="1"/>
  <c r="I185" i="7"/>
  <c r="J185" i="7"/>
  <c r="AG193" i="7"/>
  <c r="O193" i="7" s="1"/>
  <c r="H193" i="7"/>
  <c r="H185" i="7"/>
  <c r="R193" i="7"/>
  <c r="AG191" i="7"/>
  <c r="O191" i="7" s="1"/>
  <c r="G191" i="7"/>
  <c r="I191" i="7"/>
  <c r="J191" i="7"/>
  <c r="Q191" i="7"/>
  <c r="M191" i="7"/>
  <c r="L191" i="7"/>
  <c r="D166" i="7"/>
  <c r="AB166" i="7" s="1"/>
  <c r="D173" i="7"/>
  <c r="R173" i="7" s="1"/>
  <c r="D182" i="7"/>
  <c r="P182" i="7" s="1"/>
  <c r="D169" i="7"/>
  <c r="I169" i="7" s="1"/>
  <c r="D187" i="7"/>
  <c r="P187" i="7" s="1"/>
  <c r="D186" i="7"/>
  <c r="AB186" i="7" s="1"/>
  <c r="D177" i="7"/>
  <c r="R177" i="7" s="1"/>
  <c r="D189" i="7"/>
  <c r="AE189" i="7" s="1"/>
  <c r="D171" i="7"/>
  <c r="G171" i="7" s="1"/>
  <c r="D194" i="7"/>
  <c r="S194" i="7" s="1"/>
  <c r="D181" i="7"/>
  <c r="I181" i="7" s="1"/>
  <c r="D175" i="7"/>
  <c r="AG175" i="7" s="1"/>
  <c r="O175" i="7" s="1"/>
  <c r="D184" i="7"/>
  <c r="F184" i="7" s="1"/>
  <c r="D172" i="7"/>
  <c r="H172" i="7" s="1"/>
  <c r="D180" i="7"/>
  <c r="AE180" i="7" s="1"/>
  <c r="D192" i="7"/>
  <c r="D170" i="7"/>
  <c r="S170" i="7" s="1"/>
  <c r="D167" i="7"/>
  <c r="F167" i="7" s="1"/>
  <c r="Q182" i="7"/>
  <c r="I183" i="7"/>
  <c r="Q183" i="7"/>
  <c r="M183" i="7"/>
  <c r="AE183" i="7"/>
  <c r="J183" i="7"/>
  <c r="P183" i="7"/>
  <c r="H183" i="7"/>
  <c r="AB183" i="7"/>
  <c r="G183" i="7"/>
  <c r="S183" i="7"/>
  <c r="F183" i="7"/>
  <c r="R183" i="7"/>
  <c r="L183" i="7"/>
  <c r="AG183" i="7"/>
  <c r="O183" i="7" s="1"/>
  <c r="P195" i="7"/>
  <c r="N223" i="7"/>
  <c r="J168" i="7"/>
  <c r="AB191" i="7"/>
  <c r="P191" i="7"/>
  <c r="P193" i="7"/>
  <c r="Q185" i="7"/>
  <c r="Q193" i="7"/>
  <c r="L193" i="7"/>
  <c r="M168" i="7"/>
  <c r="L168" i="7"/>
  <c r="F185" i="7"/>
  <c r="M185" i="7"/>
  <c r="N185" i="7" s="1"/>
  <c r="AE191" i="7"/>
  <c r="P185" i="7"/>
  <c r="G193" i="7"/>
  <c r="AE193" i="7"/>
  <c r="AB193" i="7"/>
  <c r="F191" i="7"/>
  <c r="H191" i="7"/>
  <c r="AB185" i="7"/>
  <c r="F168" i="7"/>
  <c r="I193" i="7"/>
  <c r="R191" i="7"/>
  <c r="R185" i="7"/>
  <c r="G185" i="7"/>
  <c r="F193" i="7"/>
  <c r="I168" i="7"/>
  <c r="R168" i="7"/>
  <c r="S185" i="7"/>
  <c r="P168" i="7"/>
  <c r="AB168" i="7"/>
  <c r="S181" i="7"/>
  <c r="J181" i="7"/>
  <c r="K181" i="7" s="1"/>
  <c r="I195" i="7"/>
  <c r="Q195" i="7"/>
  <c r="H195" i="7"/>
  <c r="J195" i="7"/>
  <c r="R195" i="7"/>
  <c r="S174" i="7"/>
  <c r="AB178" i="7"/>
  <c r="Q178" i="7"/>
  <c r="S178" i="7"/>
  <c r="AE178" i="7"/>
  <c r="J178" i="7"/>
  <c r="K178" i="7" s="1"/>
  <c r="M178" i="7"/>
  <c r="F178" i="7"/>
  <c r="R178" i="7"/>
  <c r="H178" i="7"/>
  <c r="P178" i="7"/>
  <c r="L178" i="7"/>
  <c r="AG178" i="7"/>
  <c r="O178" i="7" s="1"/>
  <c r="G178" i="7"/>
  <c r="K444" i="7"/>
  <c r="K227" i="7"/>
  <c r="M418" i="7"/>
  <c r="AB423" i="7"/>
  <c r="R423" i="7"/>
  <c r="M423" i="7"/>
  <c r="Q423" i="7"/>
  <c r="J423" i="7"/>
  <c r="L423" i="7"/>
  <c r="H423" i="7"/>
  <c r="G423" i="7"/>
  <c r="I423" i="7"/>
  <c r="AE423" i="7"/>
  <c r="F423" i="7"/>
  <c r="S423" i="7"/>
  <c r="AG423" i="7"/>
  <c r="O423" i="7" s="1"/>
  <c r="P423" i="7"/>
  <c r="R425" i="7"/>
  <c r="AE425" i="7"/>
  <c r="J425" i="7"/>
  <c r="I425" i="7"/>
  <c r="AB425" i="7"/>
  <c r="L425" i="7"/>
  <c r="H425" i="7"/>
  <c r="AG425" i="7"/>
  <c r="O425" i="7" s="1"/>
  <c r="F425" i="7"/>
  <c r="Q425" i="7"/>
  <c r="P425" i="7"/>
  <c r="G425" i="7"/>
  <c r="S425" i="7"/>
  <c r="M425" i="7"/>
  <c r="L420" i="7"/>
  <c r="P420" i="7"/>
  <c r="Q420" i="7"/>
  <c r="H420" i="7"/>
  <c r="J420" i="7"/>
  <c r="I420" i="7"/>
  <c r="F420" i="7"/>
  <c r="M420" i="7"/>
  <c r="AB420" i="7"/>
  <c r="AE420" i="7"/>
  <c r="R420" i="7"/>
  <c r="AG420" i="7"/>
  <c r="O420" i="7" s="1"/>
  <c r="S420" i="7"/>
  <c r="G420" i="7"/>
  <c r="P440" i="7"/>
  <c r="AE440" i="7"/>
  <c r="I440" i="7"/>
  <c r="L440" i="7"/>
  <c r="H440" i="7"/>
  <c r="G440" i="7"/>
  <c r="M440" i="7"/>
  <c r="F440" i="7"/>
  <c r="AB440" i="7"/>
  <c r="R440" i="7"/>
  <c r="J440" i="7"/>
  <c r="S440" i="7"/>
  <c r="Q440" i="7"/>
  <c r="AG440" i="7"/>
  <c r="O440" i="7" s="1"/>
  <c r="N430" i="7"/>
  <c r="N444" i="7"/>
  <c r="H443" i="7"/>
  <c r="I443" i="7"/>
  <c r="L443" i="7"/>
  <c r="G443" i="7"/>
  <c r="P443" i="7"/>
  <c r="AE443" i="7"/>
  <c r="F443" i="7"/>
  <c r="AB443" i="7"/>
  <c r="AG443" i="7"/>
  <c r="O443" i="7" s="1"/>
  <c r="R443" i="7"/>
  <c r="S443" i="7"/>
  <c r="Q443" i="7"/>
  <c r="M443" i="7"/>
  <c r="J443" i="7"/>
  <c r="AG429" i="7"/>
  <c r="O429" i="7" s="1"/>
  <c r="I429" i="7"/>
  <c r="H429" i="7"/>
  <c r="S429" i="7"/>
  <c r="G429" i="7"/>
  <c r="AE429" i="7"/>
  <c r="Q429" i="7"/>
  <c r="F429" i="7"/>
  <c r="P429" i="7"/>
  <c r="R429" i="7"/>
  <c r="J429" i="7"/>
  <c r="M429" i="7"/>
  <c r="L429" i="7"/>
  <c r="AB429" i="7"/>
  <c r="L427" i="7"/>
  <c r="G427" i="7"/>
  <c r="Q427" i="7"/>
  <c r="F427" i="7"/>
  <c r="H427" i="7"/>
  <c r="R427" i="7"/>
  <c r="I427" i="7"/>
  <c r="J427" i="7"/>
  <c r="AG427" i="7"/>
  <c r="O427" i="7" s="1"/>
  <c r="M427" i="7"/>
  <c r="P427" i="7"/>
  <c r="AE427" i="7"/>
  <c r="S427" i="7"/>
  <c r="AB427" i="7"/>
  <c r="AB445" i="7"/>
  <c r="I445" i="7"/>
  <c r="J445" i="7"/>
  <c r="H445" i="7"/>
  <c r="S445" i="7"/>
  <c r="L445" i="7"/>
  <c r="AG445" i="7"/>
  <c r="O445" i="7" s="1"/>
  <c r="P445" i="7"/>
  <c r="R445" i="7"/>
  <c r="M445" i="7"/>
  <c r="Q445" i="7"/>
  <c r="G445" i="7"/>
  <c r="AE445" i="7"/>
  <c r="F445" i="7"/>
  <c r="AB432" i="7"/>
  <c r="H432" i="7"/>
  <c r="J432" i="7"/>
  <c r="G432" i="7"/>
  <c r="P432" i="7"/>
  <c r="M432" i="7"/>
  <c r="Q432" i="7"/>
  <c r="AG432" i="7"/>
  <c r="O432" i="7" s="1"/>
  <c r="L432" i="7"/>
  <c r="S432" i="7"/>
  <c r="I432" i="7"/>
  <c r="R432" i="7"/>
  <c r="AE432" i="7"/>
  <c r="F432" i="7"/>
  <c r="P438" i="7"/>
  <c r="M438" i="7"/>
  <c r="S438" i="7"/>
  <c r="J438" i="7"/>
  <c r="F438" i="7"/>
  <c r="AE438" i="7"/>
  <c r="AG438" i="7"/>
  <c r="O438" i="7" s="1"/>
  <c r="Q438" i="7"/>
  <c r="L438" i="7"/>
  <c r="I438" i="7"/>
  <c r="H438" i="7"/>
  <c r="G438" i="7"/>
  <c r="AB438" i="7"/>
  <c r="R438" i="7"/>
  <c r="AG442" i="7"/>
  <c r="O442" i="7" s="1"/>
  <c r="F442" i="7"/>
  <c r="R442" i="7"/>
  <c r="S442" i="7"/>
  <c r="G442" i="7"/>
  <c r="Q442" i="7"/>
  <c r="L442" i="7"/>
  <c r="J442" i="7"/>
  <c r="I442" i="7"/>
  <c r="M442" i="7"/>
  <c r="AB442" i="7"/>
  <c r="H442" i="7"/>
  <c r="AE442" i="7"/>
  <c r="P442" i="7"/>
  <c r="AB421" i="7"/>
  <c r="P421" i="7"/>
  <c r="I421" i="7"/>
  <c r="S421" i="7"/>
  <c r="G421" i="7"/>
  <c r="H421" i="7"/>
  <c r="M421" i="7"/>
  <c r="R421" i="7"/>
  <c r="L421" i="7"/>
  <c r="Q421" i="7"/>
  <c r="F421" i="7"/>
  <c r="J421" i="7"/>
  <c r="AG421" i="7"/>
  <c r="O421" i="7" s="1"/>
  <c r="AE421" i="7"/>
  <c r="AG437" i="7"/>
  <c r="O437" i="7" s="1"/>
  <c r="S437" i="7"/>
  <c r="H437" i="7"/>
  <c r="I437" i="7"/>
  <c r="G437" i="7"/>
  <c r="AB437" i="7"/>
  <c r="Q437" i="7"/>
  <c r="R437" i="7"/>
  <c r="F437" i="7"/>
  <c r="P437" i="7"/>
  <c r="M437" i="7"/>
  <c r="J437" i="7"/>
  <c r="AE437" i="7"/>
  <c r="L437" i="7"/>
  <c r="R418" i="7"/>
  <c r="R436" i="7"/>
  <c r="AB436" i="7"/>
  <c r="L436" i="7"/>
  <c r="J436" i="7"/>
  <c r="I436" i="7"/>
  <c r="P436" i="7"/>
  <c r="S436" i="7"/>
  <c r="M436" i="7"/>
  <c r="H436" i="7"/>
  <c r="AE436" i="7"/>
  <c r="G436" i="7"/>
  <c r="AG436" i="7"/>
  <c r="O436" i="7" s="1"/>
  <c r="F436" i="7"/>
  <c r="Q436" i="7"/>
  <c r="L446" i="7"/>
  <c r="F446" i="7"/>
  <c r="P446" i="7"/>
  <c r="AB446" i="7"/>
  <c r="G446" i="7"/>
  <c r="Q446" i="7"/>
  <c r="R446" i="7"/>
  <c r="I446" i="7"/>
  <c r="H446" i="7"/>
  <c r="AE446" i="7"/>
  <c r="J446" i="7"/>
  <c r="AG446" i="7"/>
  <c r="O446" i="7" s="1"/>
  <c r="M446" i="7"/>
  <c r="S446" i="7"/>
  <c r="AB447" i="7"/>
  <c r="AE447" i="7"/>
  <c r="J447" i="7"/>
  <c r="F447" i="7"/>
  <c r="P447" i="7"/>
  <c r="Q447" i="7"/>
  <c r="AG447" i="7"/>
  <c r="O447" i="7" s="1"/>
  <c r="S447" i="7"/>
  <c r="H447" i="7"/>
  <c r="M447" i="7"/>
  <c r="R447" i="7"/>
  <c r="G447" i="7"/>
  <c r="I447" i="7"/>
  <c r="L447" i="7"/>
  <c r="H439" i="7"/>
  <c r="AE439" i="7"/>
  <c r="R439" i="7"/>
  <c r="G439" i="7"/>
  <c r="AB439" i="7"/>
  <c r="AG439" i="7"/>
  <c r="O439" i="7" s="1"/>
  <c r="J439" i="7"/>
  <c r="M439" i="7"/>
  <c r="P439" i="7"/>
  <c r="L439" i="7"/>
  <c r="F439" i="7"/>
  <c r="Q439" i="7"/>
  <c r="S439" i="7"/>
  <c r="I439" i="7"/>
  <c r="AG435" i="7"/>
  <c r="O435" i="7" s="1"/>
  <c r="R435" i="7"/>
  <c r="Q435" i="7"/>
  <c r="AB435" i="7"/>
  <c r="S435" i="7"/>
  <c r="AE435" i="7"/>
  <c r="I435" i="7"/>
  <c r="G435" i="7"/>
  <c r="F435" i="7"/>
  <c r="P435" i="7"/>
  <c r="J435" i="7"/>
  <c r="M435" i="7"/>
  <c r="L435" i="7"/>
  <c r="H435" i="7"/>
  <c r="AG419" i="7"/>
  <c r="O419" i="7" s="1"/>
  <c r="AB419" i="7"/>
  <c r="G419" i="7"/>
  <c r="M419" i="7"/>
  <c r="Q419" i="7"/>
  <c r="J419" i="7"/>
  <c r="L419" i="7"/>
  <c r="AE419" i="7"/>
  <c r="S419" i="7"/>
  <c r="F419" i="7"/>
  <c r="I419" i="7"/>
  <c r="R419" i="7"/>
  <c r="P419" i="7"/>
  <c r="H419" i="7"/>
  <c r="I434" i="7"/>
  <c r="AE434" i="7"/>
  <c r="AG434" i="7"/>
  <c r="O434" i="7" s="1"/>
  <c r="AB434" i="7"/>
  <c r="G434" i="7"/>
  <c r="Q434" i="7"/>
  <c r="P434" i="7"/>
  <c r="R434" i="7"/>
  <c r="F434" i="7"/>
  <c r="S434" i="7"/>
  <c r="L434" i="7"/>
  <c r="J434" i="7"/>
  <c r="M434" i="7"/>
  <c r="H434" i="7"/>
  <c r="R431" i="7"/>
  <c r="J431" i="7"/>
  <c r="F431" i="7"/>
  <c r="AG431" i="7"/>
  <c r="O431" i="7" s="1"/>
  <c r="P431" i="7"/>
  <c r="L431" i="7"/>
  <c r="M431" i="7"/>
  <c r="S431" i="7"/>
  <c r="G431" i="7"/>
  <c r="AB431" i="7"/>
  <c r="H431" i="7"/>
  <c r="Q431" i="7"/>
  <c r="AE431" i="7"/>
  <c r="I431" i="7"/>
  <c r="Q433" i="7"/>
  <c r="J433" i="7"/>
  <c r="I433" i="7"/>
  <c r="AG433" i="7"/>
  <c r="O433" i="7" s="1"/>
  <c r="M433" i="7"/>
  <c r="S433" i="7"/>
  <c r="L433" i="7"/>
  <c r="R433" i="7"/>
  <c r="AB433" i="7"/>
  <c r="AE433" i="7"/>
  <c r="H433" i="7"/>
  <c r="F433" i="7"/>
  <c r="G433" i="7"/>
  <c r="P433" i="7"/>
  <c r="F426" i="7"/>
  <c r="AE426" i="7"/>
  <c r="R426" i="7"/>
  <c r="AG426" i="7"/>
  <c r="O426" i="7" s="1"/>
  <c r="Q426" i="7"/>
  <c r="J426" i="7"/>
  <c r="I426" i="7"/>
  <c r="AB426" i="7"/>
  <c r="M426" i="7"/>
  <c r="L426" i="7"/>
  <c r="P426" i="7"/>
  <c r="G426" i="7"/>
  <c r="H426" i="7"/>
  <c r="S426" i="7"/>
  <c r="L424" i="7"/>
  <c r="S424" i="7"/>
  <c r="AB424" i="7"/>
  <c r="H424" i="7"/>
  <c r="P424" i="7"/>
  <c r="AG424" i="7"/>
  <c r="O424" i="7" s="1"/>
  <c r="J424" i="7"/>
  <c r="G424" i="7"/>
  <c r="Q424" i="7"/>
  <c r="F424" i="7"/>
  <c r="I424" i="7"/>
  <c r="R424" i="7"/>
  <c r="AE424" i="7"/>
  <c r="M424" i="7"/>
  <c r="R422" i="7"/>
  <c r="Q422" i="7"/>
  <c r="P422" i="7"/>
  <c r="L422" i="7"/>
  <c r="G422" i="7"/>
  <c r="F422" i="7"/>
  <c r="H422" i="7"/>
  <c r="M422" i="7"/>
  <c r="S422" i="7"/>
  <c r="I422" i="7"/>
  <c r="AG422" i="7"/>
  <c r="O422" i="7" s="1"/>
  <c r="J422" i="7"/>
  <c r="AE422" i="7"/>
  <c r="AB422" i="7"/>
  <c r="I418" i="7"/>
  <c r="I428" i="7"/>
  <c r="S428" i="7"/>
  <c r="Q428" i="7"/>
  <c r="L428" i="7"/>
  <c r="M428" i="7"/>
  <c r="G428" i="7"/>
  <c r="H428" i="7"/>
  <c r="J428" i="7"/>
  <c r="R428" i="7"/>
  <c r="AE428" i="7"/>
  <c r="AB428" i="7"/>
  <c r="AG428" i="7"/>
  <c r="O428" i="7" s="1"/>
  <c r="F428" i="7"/>
  <c r="P428" i="7"/>
  <c r="Q441" i="7"/>
  <c r="P441" i="7"/>
  <c r="L441" i="7"/>
  <c r="M441" i="7"/>
  <c r="J441" i="7"/>
  <c r="AE441" i="7"/>
  <c r="I441" i="7"/>
  <c r="H441" i="7"/>
  <c r="F441" i="7"/>
  <c r="AB441" i="7"/>
  <c r="AG441" i="7"/>
  <c r="O441" i="7" s="1"/>
  <c r="S441" i="7"/>
  <c r="G441" i="7"/>
  <c r="R441" i="7"/>
  <c r="K430" i="7"/>
  <c r="N224" i="7"/>
  <c r="BL101" i="3"/>
  <c r="K211" i="7"/>
  <c r="K174" i="7"/>
  <c r="K209" i="7"/>
  <c r="N229" i="7"/>
  <c r="N213" i="7"/>
  <c r="K203" i="7"/>
  <c r="N227" i="7"/>
  <c r="K224" i="7"/>
  <c r="K225" i="7"/>
  <c r="P202" i="7"/>
  <c r="P200" i="7" s="1"/>
  <c r="N209" i="7"/>
  <c r="R202" i="7"/>
  <c r="I202" i="7"/>
  <c r="L202" i="7" s="1"/>
  <c r="S202" i="7"/>
  <c r="K213" i="7"/>
  <c r="K221" i="7"/>
  <c r="N206" i="7"/>
  <c r="N219" i="7"/>
  <c r="K216" i="7"/>
  <c r="K210" i="7"/>
  <c r="N211" i="7"/>
  <c r="K212" i="7"/>
  <c r="N221" i="7"/>
  <c r="K207" i="7"/>
  <c r="N215" i="7"/>
  <c r="K205" i="7"/>
  <c r="N205" i="7"/>
  <c r="K228" i="7"/>
  <c r="N216" i="7"/>
  <c r="Q202" i="7"/>
  <c r="K218" i="7"/>
  <c r="K217" i="7"/>
  <c r="K222" i="7"/>
  <c r="K230" i="7"/>
  <c r="N214" i="7"/>
  <c r="K214" i="7"/>
  <c r="H202" i="7"/>
  <c r="K220" i="7"/>
  <c r="N210" i="7"/>
  <c r="N218" i="7"/>
  <c r="N207" i="7"/>
  <c r="K206" i="7"/>
  <c r="N217" i="7"/>
  <c r="N222" i="7"/>
  <c r="N230" i="7"/>
  <c r="M202" i="7"/>
  <c r="M200" i="7" s="1"/>
  <c r="J200" i="7"/>
  <c r="N203" i="7"/>
  <c r="K208" i="7"/>
  <c r="N225" i="7"/>
  <c r="K223" i="7"/>
  <c r="N212" i="7"/>
  <c r="N226" i="7"/>
  <c r="K215" i="7"/>
  <c r="K229" i="7"/>
  <c r="N228" i="7"/>
  <c r="K219" i="7"/>
  <c r="N208" i="7"/>
  <c r="K226" i="7"/>
  <c r="N204" i="7"/>
  <c r="K204" i="7"/>
  <c r="K185" i="7"/>
  <c r="M12" i="28"/>
  <c r="M28" i="33" s="1"/>
  <c r="AN217" i="28"/>
  <c r="AO29" i="33"/>
  <c r="AN26" i="33"/>
  <c r="K26" i="33"/>
  <c r="AZ217" i="28"/>
  <c r="AZ29" i="33"/>
  <c r="AV217" i="28"/>
  <c r="AV29" i="33"/>
  <c r="N174" i="7"/>
  <c r="AN11" i="28"/>
  <c r="AV11" i="28"/>
  <c r="AV10" i="28"/>
  <c r="AV26" i="33" s="1"/>
  <c r="K216" i="28"/>
  <c r="AV12" i="28"/>
  <c r="AN12" i="28"/>
  <c r="K214" i="28"/>
  <c r="BA215" i="28"/>
  <c r="K215" i="28"/>
  <c r="BA216" i="28"/>
  <c r="AE167" i="7"/>
  <c r="AG167" i="7"/>
  <c r="AG195" i="7"/>
  <c r="AG168" i="7"/>
  <c r="AE168" i="7"/>
  <c r="AE170" i="7"/>
  <c r="AE195" i="7"/>
  <c r="N193" i="7" l="1"/>
  <c r="G190" i="7"/>
  <c r="G168" i="7"/>
  <c r="S168" i="7"/>
  <c r="AB188" i="7"/>
  <c r="M182" i="7"/>
  <c r="K191" i="7"/>
  <c r="M188" i="7"/>
  <c r="L195" i="7"/>
  <c r="G195" i="7"/>
  <c r="R181" i="7"/>
  <c r="AB181" i="7"/>
  <c r="P181" i="7"/>
  <c r="L182" i="7"/>
  <c r="H181" i="7"/>
  <c r="AE181" i="7"/>
  <c r="F182" i="7"/>
  <c r="F195" i="7"/>
  <c r="L181" i="7"/>
  <c r="Q181" i="7"/>
  <c r="I188" i="7"/>
  <c r="K188" i="7" s="1"/>
  <c r="J182" i="7"/>
  <c r="F188" i="7"/>
  <c r="AE188" i="7"/>
  <c r="P179" i="7"/>
  <c r="K193" i="7"/>
  <c r="H179" i="7"/>
  <c r="AE179" i="7"/>
  <c r="L179" i="7"/>
  <c r="M194" i="7"/>
  <c r="M179" i="7"/>
  <c r="I171" i="7"/>
  <c r="R179" i="7"/>
  <c r="L171" i="7"/>
  <c r="R194" i="7"/>
  <c r="I173" i="7"/>
  <c r="F173" i="7"/>
  <c r="Q173" i="7"/>
  <c r="L194" i="7"/>
  <c r="P173" i="7"/>
  <c r="J173" i="7"/>
  <c r="F194" i="7"/>
  <c r="AB194" i="7"/>
  <c r="AB173" i="7"/>
  <c r="S172" i="7"/>
  <c r="L173" i="7"/>
  <c r="H173" i="7"/>
  <c r="I194" i="7"/>
  <c r="K194" i="7" s="1"/>
  <c r="L186" i="7"/>
  <c r="AE194" i="7"/>
  <c r="AG194" i="7"/>
  <c r="O194" i="7" s="1"/>
  <c r="Q194" i="7"/>
  <c r="M173" i="7"/>
  <c r="S173" i="7"/>
  <c r="J194" i="7"/>
  <c r="H186" i="7"/>
  <c r="I179" i="7"/>
  <c r="AG179" i="7"/>
  <c r="O179" i="7" s="1"/>
  <c r="P190" i="7"/>
  <c r="F190" i="7"/>
  <c r="M190" i="7"/>
  <c r="AG190" i="7"/>
  <c r="O190" i="7" s="1"/>
  <c r="J190" i="7"/>
  <c r="I190" i="7"/>
  <c r="L190" i="7"/>
  <c r="R190" i="7"/>
  <c r="AE190" i="7"/>
  <c r="AB190" i="7"/>
  <c r="Q190" i="7"/>
  <c r="H190" i="7"/>
  <c r="G186" i="7"/>
  <c r="G173" i="7"/>
  <c r="R182" i="7"/>
  <c r="AE182" i="7"/>
  <c r="AE173" i="7"/>
  <c r="AG173" i="7"/>
  <c r="O173" i="7" s="1"/>
  <c r="L176" i="7"/>
  <c r="S176" i="7"/>
  <c r="G176" i="7"/>
  <c r="R176" i="7"/>
  <c r="Q176" i="7"/>
  <c r="H176" i="7"/>
  <c r="I176" i="7"/>
  <c r="AE176" i="7"/>
  <c r="P176" i="7"/>
  <c r="AG176" i="7"/>
  <c r="O176" i="7" s="1"/>
  <c r="M176" i="7"/>
  <c r="J176" i="7"/>
  <c r="AB176" i="7"/>
  <c r="F176" i="7"/>
  <c r="S195" i="7"/>
  <c r="M195" i="7"/>
  <c r="P188" i="7"/>
  <c r="L188" i="7"/>
  <c r="F179" i="7"/>
  <c r="Q179" i="7"/>
  <c r="S188" i="7"/>
  <c r="H188" i="7"/>
  <c r="G188" i="7"/>
  <c r="Q188" i="7"/>
  <c r="R188" i="7"/>
  <c r="AG188" i="7"/>
  <c r="O188" i="7" s="1"/>
  <c r="G179" i="7"/>
  <c r="S179" i="7"/>
  <c r="J179" i="7"/>
  <c r="F171" i="7"/>
  <c r="AE184" i="7"/>
  <c r="F166" i="7"/>
  <c r="AG170" i="7"/>
  <c r="O170" i="7" s="1"/>
  <c r="N191" i="7"/>
  <c r="F187" i="7"/>
  <c r="AG171" i="7"/>
  <c r="O171" i="7" s="1"/>
  <c r="Q189" i="7"/>
  <c r="G187" i="7"/>
  <c r="F181" i="7"/>
  <c r="G181" i="7"/>
  <c r="AG181" i="7"/>
  <c r="O181" i="7" s="1"/>
  <c r="M181" i="7"/>
  <c r="N181" i="7" s="1"/>
  <c r="S184" i="7"/>
  <c r="G170" i="7"/>
  <c r="M170" i="7"/>
  <c r="S182" i="7"/>
  <c r="S171" i="7"/>
  <c r="G182" i="7"/>
  <c r="G184" i="7"/>
  <c r="Q184" i="7"/>
  <c r="L184" i="7"/>
  <c r="P184" i="7"/>
  <c r="AB170" i="7"/>
  <c r="J171" i="7"/>
  <c r="Q171" i="7"/>
  <c r="H171" i="7"/>
  <c r="M187" i="7"/>
  <c r="AB187" i="7"/>
  <c r="AB184" i="7"/>
  <c r="R184" i="7"/>
  <c r="I184" i="7"/>
  <c r="P170" i="7"/>
  <c r="J170" i="7"/>
  <c r="Q170" i="7"/>
  <c r="AG166" i="7"/>
  <c r="H166" i="7" s="1"/>
  <c r="AB171" i="7"/>
  <c r="F170" i="7"/>
  <c r="P169" i="7"/>
  <c r="R187" i="7"/>
  <c r="AE166" i="7"/>
  <c r="M171" i="7"/>
  <c r="AG184" i="7"/>
  <c r="O184" i="7" s="1"/>
  <c r="H184" i="7"/>
  <c r="M184" i="7"/>
  <c r="J184" i="7"/>
  <c r="H170" i="7"/>
  <c r="I170" i="7"/>
  <c r="G166" i="7"/>
  <c r="P166" i="7" s="1"/>
  <c r="AE171" i="7"/>
  <c r="J187" i="7"/>
  <c r="L187" i="7"/>
  <c r="N187" i="7" s="1"/>
  <c r="R170" i="7"/>
  <c r="I187" i="7"/>
  <c r="AE187" i="7"/>
  <c r="J175" i="7"/>
  <c r="H189" i="7"/>
  <c r="AG169" i="7"/>
  <c r="O169" i="7" s="1"/>
  <c r="R175" i="7"/>
  <c r="S189" i="7"/>
  <c r="I189" i="7"/>
  <c r="L189" i="7"/>
  <c r="M189" i="7"/>
  <c r="H175" i="7"/>
  <c r="P189" i="7"/>
  <c r="AB189" i="7"/>
  <c r="F189" i="7"/>
  <c r="AB169" i="7"/>
  <c r="S169" i="7"/>
  <c r="AE169" i="7"/>
  <c r="M175" i="7"/>
  <c r="AB182" i="7"/>
  <c r="I182" i="7"/>
  <c r="K182" i="7" s="1"/>
  <c r="AG182" i="7"/>
  <c r="O182" i="7" s="1"/>
  <c r="H182" i="7"/>
  <c r="L169" i="7"/>
  <c r="R189" i="7"/>
  <c r="J189" i="7"/>
  <c r="Q187" i="7"/>
  <c r="G189" i="7"/>
  <c r="AG189" i="7"/>
  <c r="O189" i="7" s="1"/>
  <c r="AG187" i="7"/>
  <c r="O187" i="7" s="1"/>
  <c r="S187" i="7"/>
  <c r="J177" i="7"/>
  <c r="H187" i="7"/>
  <c r="R172" i="7"/>
  <c r="M186" i="7"/>
  <c r="S186" i="7"/>
  <c r="AE172" i="7"/>
  <c r="P186" i="7"/>
  <c r="G172" i="7"/>
  <c r="I186" i="7"/>
  <c r="F186" i="7"/>
  <c r="F172" i="7"/>
  <c r="J186" i="7"/>
  <c r="AG186" i="7"/>
  <c r="O186" i="7" s="1"/>
  <c r="Q186" i="7"/>
  <c r="R186" i="7"/>
  <c r="AE186" i="7"/>
  <c r="M180" i="7"/>
  <c r="H177" i="7"/>
  <c r="G177" i="7"/>
  <c r="G180" i="7"/>
  <c r="AB177" i="7"/>
  <c r="AB180" i="7"/>
  <c r="P180" i="7"/>
  <c r="M177" i="7"/>
  <c r="I177" i="7"/>
  <c r="S180" i="7"/>
  <c r="L170" i="7"/>
  <c r="AG180" i="7"/>
  <c r="O180" i="7" s="1"/>
  <c r="L180" i="7"/>
  <c r="L177" i="7"/>
  <c r="Q177" i="7"/>
  <c r="F180" i="7"/>
  <c r="AG177" i="7"/>
  <c r="O177" i="7" s="1"/>
  <c r="I180" i="7"/>
  <c r="H180" i="7"/>
  <c r="J180" i="7"/>
  <c r="S177" i="7"/>
  <c r="P177" i="7"/>
  <c r="Q180" i="7"/>
  <c r="R180" i="7"/>
  <c r="F177" i="7"/>
  <c r="AE177" i="7"/>
  <c r="M169" i="7"/>
  <c r="J169" i="7"/>
  <c r="K169" i="7" s="1"/>
  <c r="G169" i="7"/>
  <c r="R169" i="7"/>
  <c r="F169" i="7"/>
  <c r="L192" i="7"/>
  <c r="G192" i="7"/>
  <c r="R192" i="7"/>
  <c r="M192" i="7"/>
  <c r="J192" i="7"/>
  <c r="F192" i="7"/>
  <c r="AG192" i="7"/>
  <c r="O192" i="7" s="1"/>
  <c r="AE192" i="7"/>
  <c r="AB192" i="7"/>
  <c r="Q192" i="7"/>
  <c r="P192" i="7"/>
  <c r="S192" i="7"/>
  <c r="I192" i="7"/>
  <c r="H192" i="7"/>
  <c r="S175" i="7"/>
  <c r="P175" i="7"/>
  <c r="AB175" i="7"/>
  <c r="AE175" i="7"/>
  <c r="F175" i="7"/>
  <c r="Q175" i="7"/>
  <c r="I175" i="7"/>
  <c r="G175" i="7"/>
  <c r="L175" i="7"/>
  <c r="G167" i="7"/>
  <c r="I167" i="7" s="1"/>
  <c r="L167" i="7" s="1"/>
  <c r="AB167" i="7"/>
  <c r="P172" i="7"/>
  <c r="AG172" i="7"/>
  <c r="O172" i="7" s="1"/>
  <c r="AB172" i="7"/>
  <c r="I172" i="7"/>
  <c r="L172" i="7"/>
  <c r="Q172" i="7"/>
  <c r="M172" i="7"/>
  <c r="J172" i="7"/>
  <c r="P194" i="7"/>
  <c r="G194" i="7"/>
  <c r="H194" i="7"/>
  <c r="P171" i="7"/>
  <c r="R171" i="7"/>
  <c r="Q166" i="7"/>
  <c r="I166" i="7"/>
  <c r="L166" i="7" s="1"/>
  <c r="R166" i="7"/>
  <c r="J166" i="7"/>
  <c r="M166" i="7" s="1"/>
  <c r="S166" i="7"/>
  <c r="K168" i="7"/>
  <c r="K183" i="7"/>
  <c r="N168" i="7"/>
  <c r="N182" i="7"/>
  <c r="K442" i="7"/>
  <c r="N183" i="7"/>
  <c r="K432" i="7"/>
  <c r="K438" i="7"/>
  <c r="K424" i="7"/>
  <c r="N446" i="7"/>
  <c r="K445" i="7"/>
  <c r="K441" i="7"/>
  <c r="N433" i="7"/>
  <c r="K195" i="7"/>
  <c r="N178" i="7"/>
  <c r="K446" i="7"/>
  <c r="N422" i="7"/>
  <c r="K435" i="7"/>
  <c r="N423" i="7"/>
  <c r="N442" i="7"/>
  <c r="N440" i="7"/>
  <c r="K447" i="7"/>
  <c r="N426" i="7"/>
  <c r="K420" i="7"/>
  <c r="K425" i="7"/>
  <c r="N428" i="7"/>
  <c r="K421" i="7"/>
  <c r="J416" i="7"/>
  <c r="P416" i="7"/>
  <c r="N432" i="7"/>
  <c r="K419" i="7"/>
  <c r="K423" i="7"/>
  <c r="N447" i="7"/>
  <c r="K443" i="7"/>
  <c r="I416" i="7"/>
  <c r="H416" i="7" s="1"/>
  <c r="AG414" i="7" s="1"/>
  <c r="K418" i="7"/>
  <c r="L418" i="7"/>
  <c r="K431" i="7"/>
  <c r="N431" i="7"/>
  <c r="K439" i="7"/>
  <c r="N438" i="7"/>
  <c r="N445" i="7"/>
  <c r="K429" i="7"/>
  <c r="N425" i="7"/>
  <c r="N434" i="7"/>
  <c r="N437" i="7"/>
  <c r="N424" i="7"/>
  <c r="K426" i="7"/>
  <c r="K434" i="7"/>
  <c r="N419" i="7"/>
  <c r="N435" i="7"/>
  <c r="K436" i="7"/>
  <c r="K437" i="7"/>
  <c r="N427" i="7"/>
  <c r="K422" i="7"/>
  <c r="N421" i="7"/>
  <c r="M416" i="7"/>
  <c r="N439" i="7"/>
  <c r="N441" i="7"/>
  <c r="K428" i="7"/>
  <c r="K433" i="7"/>
  <c r="N436" i="7"/>
  <c r="K427" i="7"/>
  <c r="N429" i="7"/>
  <c r="N443" i="7"/>
  <c r="K440" i="7"/>
  <c r="N420" i="7"/>
  <c r="BL102" i="3"/>
  <c r="BL105" i="3" s="1"/>
  <c r="K74" i="10" s="1"/>
  <c r="N202" i="7"/>
  <c r="N200" i="7" s="1"/>
  <c r="I200" i="7"/>
  <c r="H200" i="7" s="1"/>
  <c r="AG198" i="7" s="1"/>
  <c r="L200" i="7"/>
  <c r="K202" i="7"/>
  <c r="K200" i="7" s="1"/>
  <c r="BI13" i="28"/>
  <c r="AN216" i="28"/>
  <c r="AO28" i="33"/>
  <c r="AV215" i="28"/>
  <c r="AV27" i="33"/>
  <c r="AV216" i="28"/>
  <c r="AV28" i="33"/>
  <c r="AN215" i="28"/>
  <c r="AO27" i="33"/>
  <c r="AM214" i="28"/>
  <c r="H167" i="7"/>
  <c r="O195" i="7"/>
  <c r="H169" i="7"/>
  <c r="Q169" i="7"/>
  <c r="O168" i="7"/>
  <c r="Q168" i="7"/>
  <c r="H168" i="7"/>
  <c r="AN10" i="28"/>
  <c r="AV214" i="28"/>
  <c r="Q167" i="7"/>
  <c r="O167" i="7"/>
  <c r="N188" i="7" l="1"/>
  <c r="N179" i="7"/>
  <c r="N184" i="7"/>
  <c r="N180" i="7"/>
  <c r="N190" i="7"/>
  <c r="K173" i="7"/>
  <c r="K171" i="7"/>
  <c r="N195" i="7"/>
  <c r="N186" i="7"/>
  <c r="K187" i="7"/>
  <c r="K179" i="7"/>
  <c r="N173" i="7"/>
  <c r="N171" i="7"/>
  <c r="N194" i="7"/>
  <c r="K189" i="7"/>
  <c r="K176" i="7"/>
  <c r="K190" i="7"/>
  <c r="N176" i="7"/>
  <c r="K184" i="7"/>
  <c r="K170" i="7"/>
  <c r="N170" i="7"/>
  <c r="O166" i="7"/>
  <c r="K175" i="7"/>
  <c r="N189" i="7"/>
  <c r="N175" i="7"/>
  <c r="N169" i="7"/>
  <c r="K180" i="7"/>
  <c r="K177" i="7"/>
  <c r="K192" i="7"/>
  <c r="N177" i="7"/>
  <c r="K186" i="7"/>
  <c r="J167" i="7"/>
  <c r="M167" i="7" s="1"/>
  <c r="M164" i="7" s="1"/>
  <c r="N172" i="7"/>
  <c r="N192" i="7"/>
  <c r="K172" i="7"/>
  <c r="R167" i="7"/>
  <c r="S167" i="7"/>
  <c r="P167" i="7"/>
  <c r="P164" i="7" s="1"/>
  <c r="H74" i="10"/>
  <c r="H75" i="10"/>
  <c r="L74" i="10"/>
  <c r="I75" i="10"/>
  <c r="J74" i="10"/>
  <c r="M74" i="10"/>
  <c r="N418" i="7"/>
  <c r="N416" i="7" s="1"/>
  <c r="L416" i="7"/>
  <c r="K416" i="7"/>
  <c r="K75" i="10"/>
  <c r="M75" i="10"/>
  <c r="J75" i="10"/>
  <c r="N75" i="10"/>
  <c r="G75" i="10"/>
  <c r="L75" i="10"/>
  <c r="N74" i="10"/>
  <c r="I74" i="10"/>
  <c r="G74" i="10"/>
  <c r="S200" i="7"/>
  <c r="R200" i="7"/>
  <c r="AN214" i="28"/>
  <c r="AO26" i="33"/>
  <c r="AZ215" i="28"/>
  <c r="AZ27" i="33"/>
  <c r="AZ214" i="28"/>
  <c r="AZ26" i="33"/>
  <c r="AZ216" i="28"/>
  <c r="AZ28" i="33"/>
  <c r="K166" i="7"/>
  <c r="I164" i="7"/>
  <c r="H164" i="7" s="1"/>
  <c r="AG162" i="7" s="1"/>
  <c r="M14" i="28" s="1"/>
  <c r="M30" i="33" s="1"/>
  <c r="J164" i="7" l="1"/>
  <c r="N167" i="7"/>
  <c r="K167" i="7"/>
  <c r="K164" i="7" s="1"/>
  <c r="S416" i="7"/>
  <c r="R416" i="7"/>
  <c r="M11" i="28"/>
  <c r="M27" i="33" s="1"/>
  <c r="M10" i="28"/>
  <c r="M26" i="33" s="1"/>
  <c r="N166" i="7"/>
  <c r="L164" i="7"/>
  <c r="N164" i="7" l="1"/>
  <c r="BD14" i="28"/>
  <c r="BD12" i="28"/>
  <c r="BD11" i="28"/>
  <c r="BD10" i="28"/>
  <c r="S164" i="7" l="1"/>
  <c r="R164" i="7"/>
  <c r="S17" i="31"/>
  <c r="E10" i="29"/>
  <c r="E103" i="29"/>
  <c r="E191" i="29"/>
  <c r="E502" i="26"/>
  <c r="E235" i="29"/>
  <c r="E143" i="26"/>
  <c r="E838" i="29"/>
  <c r="D6" i="28"/>
  <c r="E134" i="29"/>
  <c r="E208" i="26"/>
  <c r="E411" i="29"/>
  <c r="E794" i="29"/>
  <c r="E13" i="26"/>
  <c r="I2" i="26"/>
  <c r="E882" i="29"/>
  <c r="E90" i="29"/>
  <c r="E533" i="26"/>
  <c r="E372" i="26"/>
  <c r="E354" i="29"/>
  <c r="E177" i="26"/>
  <c r="E662" i="29"/>
  <c r="E807" i="29"/>
  <c r="E310" i="29"/>
  <c r="E618" i="29"/>
  <c r="E587" i="29"/>
  <c r="E499" i="29"/>
  <c r="E266" i="29"/>
  <c r="E398" i="29"/>
  <c r="E851" i="29"/>
  <c r="E323" i="29"/>
  <c r="E567" i="26"/>
  <c r="E403" i="26"/>
  <c r="E15" i="29"/>
  <c r="E706" i="29"/>
  <c r="D10" i="9"/>
  <c r="E530" i="29"/>
  <c r="E763" i="29"/>
  <c r="E307" i="26"/>
  <c r="E750" i="29"/>
  <c r="E437" i="26"/>
  <c r="E222" i="29"/>
  <c r="E719" i="29"/>
  <c r="E574" i="29"/>
  <c r="E468" i="26"/>
  <c r="E486" i="29"/>
  <c r="E78" i="26"/>
  <c r="E147" i="29"/>
  <c r="E675" i="29"/>
  <c r="E598" i="26"/>
  <c r="E543" i="29"/>
  <c r="E47" i="26"/>
  <c r="E632" i="26"/>
  <c r="E112" i="26"/>
  <c r="E279" i="29"/>
  <c r="E367" i="29"/>
  <c r="E178" i="29"/>
  <c r="I2" i="29"/>
  <c r="E442" i="29"/>
  <c r="E273" i="26"/>
  <c r="E455" i="29"/>
  <c r="E338" i="26"/>
  <c r="E631" i="29"/>
  <c r="E242" i="26"/>
  <c r="E59" i="29"/>
  <c r="H2" i="28"/>
  <c r="E46" i="29"/>
  <c r="B38" i="3" l="1"/>
  <c r="B103" i="3"/>
  <c r="B40" i="3"/>
  <c r="AE121" i="9"/>
  <c r="B98" i="3"/>
  <c r="G103" i="9"/>
  <c r="B95" i="3"/>
  <c r="B49" i="3"/>
  <c r="G99" i="9"/>
  <c r="H101" i="7"/>
  <c r="I101" i="7"/>
  <c r="AE113" i="9"/>
  <c r="H114" i="7"/>
  <c r="B94" i="3"/>
  <c r="B104" i="3"/>
  <c r="B48" i="3"/>
  <c r="AE114" i="9"/>
  <c r="B91" i="3"/>
  <c r="B93" i="3"/>
  <c r="G101" i="7"/>
  <c r="G97" i="9"/>
  <c r="B105" i="3"/>
  <c r="O72" i="7" s="1"/>
  <c r="AE119" i="9"/>
  <c r="I163" i="7"/>
  <c r="G101" i="9"/>
  <c r="G100" i="9"/>
  <c r="G102" i="9"/>
  <c r="G107" i="9"/>
  <c r="B41" i="3"/>
  <c r="G106" i="9"/>
  <c r="G163" i="7"/>
  <c r="B96" i="3"/>
  <c r="AE117" i="9"/>
  <c r="G104" i="9"/>
  <c r="AE116" i="9"/>
  <c r="B99" i="3"/>
  <c r="B23" i="3"/>
  <c r="P163" i="7"/>
  <c r="B90" i="3"/>
  <c r="G98" i="9"/>
  <c r="B102" i="3"/>
  <c r="G105" i="9"/>
  <c r="AE115" i="9"/>
  <c r="AE111" i="9"/>
  <c r="B92" i="3"/>
  <c r="K101" i="7"/>
  <c r="J163" i="7"/>
  <c r="L101" i="7"/>
  <c r="B101" i="3"/>
  <c r="AE112" i="9"/>
  <c r="B100" i="3"/>
  <c r="B28" i="3"/>
  <c r="AE120" i="9"/>
  <c r="B89" i="3"/>
  <c r="J114" i="7"/>
  <c r="K163" i="7"/>
  <c r="AE118" i="9"/>
  <c r="B97" i="3"/>
  <c r="J101" i="7"/>
  <c r="AE122" i="9"/>
  <c r="B33" i="3"/>
  <c r="C47" i="3" s="1"/>
  <c r="BR17" i="9" l="1"/>
  <c r="AU17" i="9" s="1"/>
  <c r="BR15" i="9"/>
  <c r="AU15" i="9" s="1"/>
  <c r="AV15" i="9" s="1"/>
  <c r="BR14" i="9"/>
  <c r="AU14" i="9" s="1"/>
  <c r="AV14" i="9" s="1"/>
  <c r="BR16" i="9"/>
  <c r="AU16" i="9" s="1"/>
  <c r="AV16" i="9" s="1"/>
  <c r="I14" i="9"/>
  <c r="I16" i="9"/>
  <c r="I15" i="9"/>
  <c r="K343" i="7"/>
  <c r="I343" i="7"/>
  <c r="P343" i="7"/>
  <c r="G343" i="7"/>
  <c r="K341" i="26"/>
  <c r="K342" i="26" s="1"/>
  <c r="K343" i="26" s="1"/>
  <c r="K344" i="26" s="1"/>
  <c r="K345" i="26" s="1"/>
  <c r="K346" i="26" s="1"/>
  <c r="K347" i="26" s="1"/>
  <c r="K348" i="26" s="1"/>
  <c r="J343" i="7"/>
  <c r="O76" i="7"/>
  <c r="K61" i="29"/>
  <c r="AS10" i="28"/>
  <c r="AY10" i="28" s="1"/>
  <c r="O71" i="7"/>
  <c r="J307" i="7"/>
  <c r="K307" i="7"/>
  <c r="I307" i="7"/>
  <c r="P307" i="7"/>
  <c r="K276" i="26"/>
  <c r="K277" i="26" s="1"/>
  <c r="K278" i="26" s="1"/>
  <c r="K279" i="26" s="1"/>
  <c r="K280" i="26" s="1"/>
  <c r="K281" i="26" s="1"/>
  <c r="K282" i="26" s="1"/>
  <c r="K283" i="26" s="1"/>
  <c r="G307" i="7"/>
  <c r="O75" i="7"/>
  <c r="O73" i="7"/>
  <c r="O74" i="7"/>
  <c r="K271" i="7"/>
  <c r="P235" i="7"/>
  <c r="K235" i="7"/>
  <c r="J271" i="7"/>
  <c r="I271" i="7"/>
  <c r="I235" i="7"/>
  <c r="K146" i="26"/>
  <c r="K211" i="26"/>
  <c r="G271" i="7"/>
  <c r="G235" i="7"/>
  <c r="J235" i="7"/>
  <c r="P271" i="7"/>
  <c r="G100" i="30"/>
  <c r="I100" i="30" s="1"/>
  <c r="K199" i="7"/>
  <c r="P199" i="7"/>
  <c r="I199" i="7"/>
  <c r="G199" i="7"/>
  <c r="J199" i="7"/>
  <c r="AS14" i="28"/>
  <c r="L14" i="28"/>
  <c r="K17" i="29"/>
  <c r="L12" i="28"/>
  <c r="K81" i="26"/>
  <c r="L11" i="28"/>
  <c r="L10" i="28"/>
  <c r="K16" i="26"/>
  <c r="K17" i="26" s="1"/>
  <c r="K18" i="26" s="1"/>
  <c r="K19" i="26" s="1"/>
  <c r="K20" i="26" s="1"/>
  <c r="K21" i="26" s="1"/>
  <c r="K22" i="26" s="1"/>
  <c r="K23" i="26" s="1"/>
  <c r="AV17" i="9" l="1"/>
  <c r="I25" i="16" s="1"/>
  <c r="I27" i="16" s="1"/>
  <c r="H32" i="16"/>
  <c r="AA13" i="33" s="1"/>
  <c r="H25" i="16"/>
  <c r="BA10" i="28"/>
  <c r="BA26" i="33" s="1"/>
  <c r="AS26" i="33"/>
  <c r="AS214" i="28"/>
  <c r="K352" i="26"/>
  <c r="K357" i="26"/>
  <c r="K358" i="26" s="1"/>
  <c r="K359" i="26" s="1"/>
  <c r="K360" i="26" s="1"/>
  <c r="K361" i="26" s="1"/>
  <c r="K362" i="26" s="1"/>
  <c r="K363" i="26" s="1"/>
  <c r="K364" i="26" s="1"/>
  <c r="K365" i="26" s="1"/>
  <c r="K366" i="26" s="1"/>
  <c r="K367" i="26" s="1"/>
  <c r="K349" i="26"/>
  <c r="K69" i="29"/>
  <c r="K62" i="29"/>
  <c r="K63" i="29" s="1"/>
  <c r="K64" i="29" s="1"/>
  <c r="K65" i="29" s="1"/>
  <c r="K66" i="29" s="1"/>
  <c r="K67" i="29" s="1"/>
  <c r="K68" i="29" s="1"/>
  <c r="K287" i="26"/>
  <c r="K284" i="26"/>
  <c r="K292" i="26"/>
  <c r="K293" i="26" s="1"/>
  <c r="K294" i="26" s="1"/>
  <c r="K295" i="26" s="1"/>
  <c r="K296" i="26" s="1"/>
  <c r="K297" i="26" s="1"/>
  <c r="K298" i="26" s="1"/>
  <c r="K299" i="26" s="1"/>
  <c r="K300" i="26" s="1"/>
  <c r="K301" i="26" s="1"/>
  <c r="K302" i="26" s="1"/>
  <c r="AY214" i="28"/>
  <c r="AY26" i="33"/>
  <c r="K154" i="26"/>
  <c r="K157" i="26"/>
  <c r="K147" i="26"/>
  <c r="K148" i="26" s="1"/>
  <c r="K149" i="26" s="1"/>
  <c r="K150" i="26" s="1"/>
  <c r="K151" i="26" s="1"/>
  <c r="K152" i="26" s="1"/>
  <c r="K153" i="26" s="1"/>
  <c r="K162" i="26"/>
  <c r="K163" i="26" s="1"/>
  <c r="K164" i="26" s="1"/>
  <c r="K165" i="26" s="1"/>
  <c r="K166" i="26" s="1"/>
  <c r="K167" i="26" s="1"/>
  <c r="K168" i="26" s="1"/>
  <c r="K169" i="26" s="1"/>
  <c r="K170" i="26" s="1"/>
  <c r="K171" i="26" s="1"/>
  <c r="K172" i="26" s="1"/>
  <c r="K212" i="26"/>
  <c r="K213" i="26" s="1"/>
  <c r="K214" i="26" s="1"/>
  <c r="K215" i="26" s="1"/>
  <c r="K216" i="26" s="1"/>
  <c r="K217" i="26" s="1"/>
  <c r="K218" i="26" s="1"/>
  <c r="K222" i="26"/>
  <c r="K219" i="26"/>
  <c r="K227" i="26"/>
  <c r="K228" i="26" s="1"/>
  <c r="K229" i="26" s="1"/>
  <c r="K230" i="26" s="1"/>
  <c r="K231" i="26" s="1"/>
  <c r="K232" i="26" s="1"/>
  <c r="K233" i="26" s="1"/>
  <c r="K234" i="26" s="1"/>
  <c r="K235" i="26" s="1"/>
  <c r="K236" i="26" s="1"/>
  <c r="K237" i="26" s="1"/>
  <c r="AO14" i="28"/>
  <c r="AW14" i="28" s="1"/>
  <c r="L30" i="33"/>
  <c r="L218" i="28"/>
  <c r="AS30" i="33"/>
  <c r="AS218" i="28"/>
  <c r="AY14" i="28"/>
  <c r="BA14" i="28"/>
  <c r="K25" i="29"/>
  <c r="K38" i="29" s="1"/>
  <c r="K39" i="29" s="1"/>
  <c r="K18" i="29"/>
  <c r="K19" i="29" s="1"/>
  <c r="K20" i="29" s="1"/>
  <c r="K21" i="29" s="1"/>
  <c r="K22" i="29" s="1"/>
  <c r="K23" i="29" s="1"/>
  <c r="K24" i="29" s="1"/>
  <c r="K97" i="26"/>
  <c r="K98" i="26" s="1"/>
  <c r="K99" i="26" s="1"/>
  <c r="K100" i="26" s="1"/>
  <c r="K101" i="26" s="1"/>
  <c r="K102" i="26" s="1"/>
  <c r="K103" i="26" s="1"/>
  <c r="K104" i="26" s="1"/>
  <c r="K105" i="26" s="1"/>
  <c r="K106" i="26" s="1"/>
  <c r="K107" i="26" s="1"/>
  <c r="K89" i="26"/>
  <c r="K92" i="26"/>
  <c r="K82" i="26"/>
  <c r="K83" i="26" s="1"/>
  <c r="K84" i="26" s="1"/>
  <c r="K85" i="26" s="1"/>
  <c r="K86" i="26" s="1"/>
  <c r="K87" i="26" s="1"/>
  <c r="K88" i="26" s="1"/>
  <c r="K27" i="26"/>
  <c r="K24" i="26"/>
  <c r="K32" i="26"/>
  <c r="L28" i="33"/>
  <c r="L216" i="28"/>
  <c r="AO12" i="28"/>
  <c r="AW12" i="28" s="1"/>
  <c r="AO10" i="28"/>
  <c r="AW10" i="28" s="1"/>
  <c r="L26" i="33"/>
  <c r="L214" i="28"/>
  <c r="AO11" i="28"/>
  <c r="AW11" i="28" s="1"/>
  <c r="L215" i="28"/>
  <c r="L27" i="33"/>
  <c r="H27" i="16" l="1"/>
  <c r="L27" i="16" s="1"/>
  <c r="L25" i="16"/>
  <c r="BA214" i="28"/>
  <c r="K82" i="29"/>
  <c r="K83" i="29" s="1"/>
  <c r="K93" i="29"/>
  <c r="K72" i="29"/>
  <c r="K73" i="29" s="1"/>
  <c r="K74" i="29" s="1"/>
  <c r="K75" i="29" s="1"/>
  <c r="K76" i="29" s="1"/>
  <c r="K77" i="29" s="1"/>
  <c r="K78" i="29" s="1"/>
  <c r="BA30" i="33"/>
  <c r="BA218" i="28"/>
  <c r="AY30" i="33"/>
  <c r="AY218" i="28"/>
  <c r="AW218" i="28"/>
  <c r="AW30" i="33"/>
  <c r="AP30" i="33"/>
  <c r="AO218" i="28"/>
  <c r="K49" i="29"/>
  <c r="K28" i="29"/>
  <c r="K29" i="29" s="1"/>
  <c r="K30" i="29" s="1"/>
  <c r="K31" i="29" s="1"/>
  <c r="K32" i="29" s="1"/>
  <c r="K33" i="29" s="1"/>
  <c r="K34" i="29" s="1"/>
  <c r="K35" i="29" s="1"/>
  <c r="K33" i="26"/>
  <c r="K34" i="26" s="1"/>
  <c r="K35" i="26" s="1"/>
  <c r="K36" i="26" s="1"/>
  <c r="K37" i="26" s="1"/>
  <c r="K38" i="26" s="1"/>
  <c r="K39" i="26" s="1"/>
  <c r="K40" i="26" s="1"/>
  <c r="K41" i="26" s="1"/>
  <c r="K42" i="26" s="1"/>
  <c r="AD171" i="7"/>
  <c r="AD181" i="7"/>
  <c r="AD180" i="7"/>
  <c r="AD192" i="7"/>
  <c r="AD177" i="7"/>
  <c r="AD193" i="7"/>
  <c r="AD188" i="7"/>
  <c r="AD187" i="7"/>
  <c r="AD182" i="7"/>
  <c r="AD190" i="7"/>
  <c r="AD172" i="7"/>
  <c r="AD185" i="7"/>
  <c r="AD195" i="7"/>
  <c r="AD167" i="7"/>
  <c r="AD176" i="7"/>
  <c r="AD178" i="7"/>
  <c r="AD173" i="7"/>
  <c r="AD174" i="7"/>
  <c r="AD169" i="7"/>
  <c r="AD168" i="7"/>
  <c r="AD166" i="7"/>
  <c r="AP27" i="33"/>
  <c r="AO215" i="28"/>
  <c r="AP26" i="33"/>
  <c r="AO214" i="28"/>
  <c r="AP28" i="33"/>
  <c r="AO216" i="28"/>
  <c r="AD170" i="7" l="1"/>
  <c r="AD184" i="7"/>
  <c r="AD179" i="7"/>
  <c r="AD183" i="7"/>
  <c r="AD189" i="7"/>
  <c r="K32" i="16"/>
  <c r="AG13" i="33" s="1"/>
  <c r="N27" i="16"/>
  <c r="AI17" i="33" s="1"/>
  <c r="K84" i="7"/>
  <c r="K85" i="7" s="1"/>
  <c r="K86" i="7" s="1"/>
  <c r="AI15" i="33"/>
  <c r="K94" i="29"/>
  <c r="K95" i="29"/>
  <c r="K96" i="29"/>
  <c r="AD191" i="7"/>
  <c r="AD212" i="7"/>
  <c r="AD219" i="7"/>
  <c r="AD228" i="7"/>
  <c r="AD226" i="7"/>
  <c r="AD206" i="7"/>
  <c r="AD203" i="7"/>
  <c r="AD220" i="7"/>
  <c r="AD366" i="7"/>
  <c r="AD332" i="7"/>
  <c r="AD410" i="7"/>
  <c r="AD431" i="7"/>
  <c r="AD242" i="7"/>
  <c r="AD512" i="7"/>
  <c r="AD319" i="7"/>
  <c r="AD250" i="7"/>
  <c r="AD326" i="7"/>
  <c r="AD434" i="7"/>
  <c r="AD331" i="7"/>
  <c r="AD335" i="7"/>
  <c r="AD476" i="7"/>
  <c r="AD357" i="7"/>
  <c r="AD370" i="7"/>
  <c r="AD333" i="7"/>
  <c r="AD475" i="7"/>
  <c r="AD492" i="7"/>
  <c r="AD419" i="7"/>
  <c r="AD460" i="7"/>
  <c r="AD339" i="7"/>
  <c r="AD494" i="7"/>
  <c r="AD482" i="7"/>
  <c r="AD265" i="7"/>
  <c r="AD330" i="7"/>
  <c r="AD508" i="7"/>
  <c r="AD301" i="7"/>
  <c r="AD346" i="7"/>
  <c r="AD395" i="7"/>
  <c r="AD384" i="7"/>
  <c r="AD300" i="7"/>
  <c r="AD402" i="7"/>
  <c r="AD437" i="7"/>
  <c r="AD470" i="7"/>
  <c r="AD507" i="7"/>
  <c r="AD285" i="7"/>
  <c r="AD455" i="7"/>
  <c r="AD394" i="7"/>
  <c r="AD373" i="7"/>
  <c r="AD358" i="7"/>
  <c r="AD293" i="7"/>
  <c r="AD329" i="7"/>
  <c r="AD385" i="7"/>
  <c r="AD409" i="7"/>
  <c r="AD513" i="7"/>
  <c r="AD289" i="7"/>
  <c r="AD509" i="7"/>
  <c r="AD252" i="7"/>
  <c r="AD407" i="7"/>
  <c r="AD408" i="7"/>
  <c r="AD396" i="7"/>
  <c r="AD399" i="7"/>
  <c r="AD398" i="7"/>
  <c r="AD392" i="7"/>
  <c r="AD440" i="7"/>
  <c r="AD498" i="7"/>
  <c r="AD286" i="7"/>
  <c r="AD349" i="7"/>
  <c r="AD337" i="7"/>
  <c r="AD291" i="7"/>
  <c r="AD216" i="7"/>
  <c r="AD223" i="7"/>
  <c r="AD204" i="7"/>
  <c r="AD208" i="7"/>
  <c r="AD214" i="7"/>
  <c r="AD213" i="7"/>
  <c r="AD207" i="7"/>
  <c r="AD481" i="7"/>
  <c r="AD514" i="7"/>
  <c r="AD260" i="7"/>
  <c r="AD266" i="7"/>
  <c r="AD430" i="7"/>
  <c r="AD322" i="7"/>
  <c r="AD362" i="7"/>
  <c r="AD241" i="7"/>
  <c r="AD367" i="7"/>
  <c r="AD261" i="7"/>
  <c r="AD391" i="7"/>
  <c r="AD253" i="7"/>
  <c r="AD298" i="7"/>
  <c r="AD436" i="7"/>
  <c r="AD518" i="7"/>
  <c r="AD275" i="7"/>
  <c r="AD442" i="7"/>
  <c r="AD483" i="7"/>
  <c r="AD267" i="7"/>
  <c r="AD278" i="7"/>
  <c r="AD244" i="7"/>
  <c r="AD428" i="7"/>
  <c r="AD400" i="7"/>
  <c r="AD403" i="7"/>
  <c r="AD504" i="7"/>
  <c r="AD490" i="7"/>
  <c r="AD468" i="7"/>
  <c r="AD316" i="7"/>
  <c r="AD519" i="7"/>
  <c r="AD423" i="7"/>
  <c r="AD465" i="7"/>
  <c r="AD359" i="7"/>
  <c r="AD311" i="7"/>
  <c r="AD320" i="7"/>
  <c r="AD296" i="7"/>
  <c r="AD356" i="7"/>
  <c r="AD406" i="7"/>
  <c r="AD503" i="7"/>
  <c r="AD388" i="7"/>
  <c r="AD255" i="7"/>
  <c r="AD347" i="7"/>
  <c r="AD386" i="7"/>
  <c r="AD405" i="7"/>
  <c r="AD387" i="7"/>
  <c r="AD429" i="7"/>
  <c r="AD284" i="7"/>
  <c r="AD324" i="7"/>
  <c r="AD364" i="7"/>
  <c r="AD299" i="7"/>
  <c r="AD354" i="7"/>
  <c r="AD424" i="7"/>
  <c r="AD477" i="7"/>
  <c r="AD493" i="7"/>
  <c r="AD461" i="7"/>
  <c r="AD353" i="7"/>
  <c r="AD276" i="7"/>
  <c r="AD251" i="7"/>
  <c r="AD263" i="7"/>
  <c r="AD441" i="7"/>
  <c r="AD491" i="7"/>
  <c r="AD175" i="7"/>
  <c r="AD186" i="7"/>
  <c r="AD194" i="7"/>
  <c r="AD221" i="7"/>
  <c r="AD222" i="7"/>
  <c r="AD217" i="7"/>
  <c r="AD202" i="7"/>
  <c r="AD227" i="7"/>
  <c r="AD209" i="7"/>
  <c r="AD215" i="7"/>
  <c r="AD224" i="7"/>
  <c r="AD446" i="7"/>
  <c r="AD295" i="7"/>
  <c r="AD290" i="7"/>
  <c r="AD456" i="7"/>
  <c r="AD248" i="7"/>
  <c r="AD467" i="7"/>
  <c r="AD438" i="7"/>
  <c r="AD473" i="7"/>
  <c r="AD516" i="7"/>
  <c r="AD425" i="7"/>
  <c r="AD325" i="7"/>
  <c r="AD303" i="7"/>
  <c r="AD515" i="7"/>
  <c r="AD281" i="7"/>
  <c r="AD292" i="7"/>
  <c r="AD259" i="7"/>
  <c r="AD361" i="7"/>
  <c r="AD312" i="7"/>
  <c r="AD433" i="7"/>
  <c r="AD338" i="7"/>
  <c r="AD277" i="7"/>
  <c r="AD257" i="7"/>
  <c r="AD327" i="7"/>
  <c r="AD447" i="7"/>
  <c r="AD432" i="7"/>
  <c r="AD243" i="7"/>
  <c r="AD382" i="7"/>
  <c r="AD457" i="7"/>
  <c r="AD348" i="7"/>
  <c r="AD302" i="7"/>
  <c r="AD500" i="7"/>
  <c r="AD393" i="7"/>
  <c r="AD439" i="7"/>
  <c r="AD479" i="7"/>
  <c r="AD469" i="7"/>
  <c r="AD426" i="7"/>
  <c r="AD240" i="7"/>
  <c r="AD323" i="7"/>
  <c r="AD280" i="7"/>
  <c r="AD459" i="7"/>
  <c r="AD239" i="7"/>
  <c r="AD351" i="7"/>
  <c r="AD283" i="7"/>
  <c r="AD411" i="7"/>
  <c r="AD282" i="7"/>
  <c r="AD401" i="7"/>
  <c r="AD336" i="7"/>
  <c r="AD369" i="7"/>
  <c r="AD274" i="7"/>
  <c r="AD444" i="7"/>
  <c r="AD372" i="7"/>
  <c r="AD310" i="7"/>
  <c r="AD495" i="7"/>
  <c r="AD321" i="7"/>
  <c r="AD238" i="7"/>
  <c r="AD497" i="7"/>
  <c r="AD418" i="7"/>
  <c r="AD445" i="7"/>
  <c r="AD297" i="7"/>
  <c r="AD480" i="7"/>
  <c r="AD210" i="7"/>
  <c r="AD225" i="7"/>
  <c r="AD230" i="7"/>
  <c r="AD205" i="7"/>
  <c r="AD229" i="7"/>
  <c r="AD211" i="7"/>
  <c r="AD218" i="7"/>
  <c r="AD231" i="7"/>
  <c r="AD389" i="7"/>
  <c r="AD328" i="7"/>
  <c r="AD254" i="7"/>
  <c r="AD313" i="7"/>
  <c r="AD454" i="7"/>
  <c r="AD256" i="7"/>
  <c r="AD474" i="7"/>
  <c r="AD350" i="7"/>
  <c r="AD363" i="7"/>
  <c r="AD287" i="7"/>
  <c r="AD458" i="7"/>
  <c r="AD505" i="7"/>
  <c r="AD375" i="7"/>
  <c r="AD383" i="7"/>
  <c r="AD478" i="7"/>
  <c r="AD443" i="7"/>
  <c r="AD258" i="7"/>
  <c r="AD511" i="7"/>
  <c r="AD264" i="7"/>
  <c r="AD421" i="7"/>
  <c r="AD397" i="7"/>
  <c r="AD463" i="7"/>
  <c r="AD355" i="7"/>
  <c r="AD360" i="7"/>
  <c r="AD404" i="7"/>
  <c r="AD422" i="7"/>
  <c r="AD462" i="7"/>
  <c r="AD246" i="7"/>
  <c r="AD247" i="7"/>
  <c r="AD517" i="7"/>
  <c r="AD502" i="7"/>
  <c r="AD466" i="7"/>
  <c r="AD245" i="7"/>
  <c r="AD435" i="7"/>
  <c r="AD365" i="7"/>
  <c r="AD262" i="7"/>
  <c r="AD510" i="7"/>
  <c r="AD501" i="7"/>
  <c r="AD472" i="7"/>
  <c r="AD249" i="7"/>
  <c r="AD464" i="7"/>
  <c r="AD368" i="7"/>
  <c r="AD315" i="7"/>
  <c r="AD288" i="7"/>
  <c r="AD390" i="7"/>
  <c r="AD374" i="7"/>
  <c r="AD352" i="7"/>
  <c r="AD506" i="7"/>
  <c r="AD318" i="7"/>
  <c r="AD496" i="7"/>
  <c r="AD420" i="7"/>
  <c r="AD317" i="7"/>
  <c r="AD279" i="7"/>
  <c r="AD499" i="7"/>
  <c r="AD471" i="7"/>
  <c r="AD427" i="7"/>
  <c r="AD334" i="7"/>
  <c r="AD294" i="7"/>
  <c r="AD314" i="7"/>
  <c r="AD371" i="7"/>
  <c r="K50" i="29"/>
  <c r="K51" i="29"/>
  <c r="K52" i="29"/>
  <c r="BI14" i="28"/>
  <c r="AW27" i="33"/>
  <c r="AW215" i="28"/>
  <c r="BI11" i="28" s="1"/>
  <c r="AW216" i="28"/>
  <c r="BI12" i="28" s="1"/>
  <c r="AW28" i="33"/>
  <c r="AW26" i="33"/>
  <c r="AW214" i="28"/>
  <c r="BI10" i="28" s="1"/>
  <c r="AD21" i="33" l="1"/>
  <c r="AD19" i="33"/>
  <c r="AT30" i="33"/>
  <c r="Q30" i="33"/>
  <c r="AM30" i="33"/>
  <c r="S12" i="33"/>
  <c r="E30" i="33"/>
  <c r="T12" i="33"/>
  <c r="I13" i="33"/>
  <c r="I12" i="33"/>
  <c r="J13"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A3" authorId="0" shapeId="0" xr:uid="{00000000-0006-0000-1100-000001000000}">
      <text>
        <r>
          <rPr>
            <b/>
            <sz val="9"/>
            <color indexed="81"/>
            <rFont val="Segoe UI"/>
            <family val="2"/>
          </rPr>
          <t>Column number</t>
        </r>
        <r>
          <rPr>
            <sz val="9"/>
            <color indexed="81"/>
            <rFont val="Segoe UI"/>
            <family val="2"/>
          </rPr>
          <t xml:space="preserve"> which contains actual language
</t>
        </r>
      </text>
    </comment>
  </commentList>
</comments>
</file>

<file path=xl/sharedStrings.xml><?xml version="1.0" encoding="utf-8"?>
<sst xmlns="http://schemas.openxmlformats.org/spreadsheetml/2006/main" count="7309" uniqueCount="4265">
  <si>
    <t>Total</t>
  </si>
  <si>
    <t>Production route</t>
  </si>
  <si>
    <t>English Version (Original)</t>
  </si>
  <si>
    <t>ausblenden</t>
  </si>
  <si>
    <t>(a)</t>
  </si>
  <si>
    <t>Value</t>
  </si>
  <si>
    <t>Unit</t>
  </si>
  <si>
    <t>Directly attributable emissions (DirEm*)</t>
  </si>
  <si>
    <t>Imported</t>
  </si>
  <si>
    <t>Exported</t>
  </si>
  <si>
    <t>Electricity consumption</t>
  </si>
  <si>
    <t>Import and export of measurable heat</t>
  </si>
  <si>
    <t>Cement clinker</t>
  </si>
  <si>
    <t>Crude steel</t>
  </si>
  <si>
    <t>Hydrogen</t>
  </si>
  <si>
    <t>Ammonia</t>
  </si>
  <si>
    <t>Nitric acid</t>
  </si>
  <si>
    <t>Urea</t>
  </si>
  <si>
    <t>Aluminous cement</t>
  </si>
  <si>
    <t>Blast furnace route</t>
  </si>
  <si>
    <t>Smelting reduction</t>
  </si>
  <si>
    <t>Alloys (FeMn, FeCr, FeNi)</t>
  </si>
  <si>
    <t>Secondary melting (recycling)</t>
  </si>
  <si>
    <t>CBAM good</t>
  </si>
  <si>
    <t xml:space="preserve">Calcined clays </t>
  </si>
  <si>
    <t>Name of this sheet</t>
  </si>
  <si>
    <t>Address</t>
  </si>
  <si>
    <t>CONST_NA</t>
  </si>
  <si>
    <t>n.a.</t>
  </si>
  <si>
    <t>Production route relevant?</t>
  </si>
  <si>
    <t>Indirect emissions relevant?</t>
  </si>
  <si>
    <t>CO2</t>
  </si>
  <si>
    <t>Relevant precursors</t>
  </si>
  <si>
    <t>CONST_TrueFalse</t>
  </si>
  <si>
    <t>cond.form.</t>
  </si>
  <si>
    <t>Error message</t>
  </si>
  <si>
    <t>Amounts</t>
  </si>
  <si>
    <t>Control:</t>
  </si>
  <si>
    <t>Name</t>
  </si>
  <si>
    <t>CONST_tonnes</t>
  </si>
  <si>
    <t>tonnes</t>
  </si>
  <si>
    <t>i.</t>
  </si>
  <si>
    <t>ii.</t>
  </si>
  <si>
    <t>iii.</t>
  </si>
  <si>
    <t>iv.</t>
  </si>
  <si>
    <t>v.</t>
  </si>
  <si>
    <t>vi.</t>
  </si>
  <si>
    <t>vii.</t>
  </si>
  <si>
    <t>(b)</t>
  </si>
  <si>
    <t>(c)</t>
  </si>
  <si>
    <t>Indirect emissions</t>
  </si>
  <si>
    <t>MWh</t>
  </si>
  <si>
    <t>Source streams and emission sources</t>
  </si>
  <si>
    <t>#</t>
  </si>
  <si>
    <t>Method</t>
  </si>
  <si>
    <t>Source stream name</t>
  </si>
  <si>
    <t>AD Unit</t>
  </si>
  <si>
    <t>NCV Unit</t>
  </si>
  <si>
    <t>EF Unit</t>
  </si>
  <si>
    <t>C-Content Unit</t>
  </si>
  <si>
    <t>OxF Unit</t>
  </si>
  <si>
    <t>ConvF Unit</t>
  </si>
  <si>
    <t>BioC Unit</t>
  </si>
  <si>
    <t>non-sust. BioC</t>
  </si>
  <si>
    <t>non-sust. BioC Unit</t>
  </si>
  <si>
    <t>hourly GHG conc. Average</t>
  </si>
  <si>
    <t>hourly GHG conc. Unit</t>
  </si>
  <si>
    <t>hours operating</t>
  </si>
  <si>
    <t>hours operating Unit</t>
  </si>
  <si>
    <t>Flue gas (total)</t>
  </si>
  <si>
    <t>Flue gas (total), Unit</t>
  </si>
  <si>
    <t>Annual amount of GHG</t>
  </si>
  <si>
    <t>Annual amount of GHG Unit</t>
  </si>
  <si>
    <t>A: Frequency</t>
  </si>
  <si>
    <t>A: Duration</t>
  </si>
  <si>
    <t>A: SEF(CF4)</t>
  </si>
  <si>
    <t>B: AEO</t>
  </si>
  <si>
    <t>B: CE</t>
  </si>
  <si>
    <t>B: OVC</t>
  </si>
  <si>
    <t>F(C2F6)</t>
  </si>
  <si>
    <t>CF4 Emissions (t CF4)</t>
  </si>
  <si>
    <t>C2F6 Emissions (t C2F6)</t>
  </si>
  <si>
    <t>GWP (CF4) (tCO2e/t)</t>
  </si>
  <si>
    <t>GWP (C2F6) (tCO2e/t)</t>
  </si>
  <si>
    <t>CF4 Emissions (t CO2e)</t>
  </si>
  <si>
    <t>C2F6 Emissions (t CO2e)</t>
  </si>
  <si>
    <t>Collection efficiency, %</t>
  </si>
  <si>
    <t>CO2e fossil (t)</t>
  </si>
  <si>
    <t>CO2e bio (t)</t>
  </si>
  <si>
    <t>CO2e non-sust. bio (t)</t>
  </si>
  <si>
    <t>Energy content (fossil), TJ</t>
  </si>
  <si>
    <t>Energy content (bio), TJ</t>
  </si>
  <si>
    <t>Ex.1</t>
  </si>
  <si>
    <t>Combustion</t>
  </si>
  <si>
    <t>Heavy fuel oil</t>
  </si>
  <si>
    <t>t</t>
  </si>
  <si>
    <t>GJ/t</t>
  </si>
  <si>
    <t>tCO2/TJ</t>
  </si>
  <si>
    <t/>
  </si>
  <si>
    <t>%</t>
  </si>
  <si>
    <t>Ex.2</t>
  </si>
  <si>
    <t>Process Emissions</t>
  </si>
  <si>
    <t>tCO2/t</t>
  </si>
  <si>
    <t>Ex.3</t>
  </si>
  <si>
    <t>Mass balance</t>
  </si>
  <si>
    <t>Steel</t>
  </si>
  <si>
    <t>tC/t</t>
  </si>
  <si>
    <t>Ex.</t>
  </si>
  <si>
    <t>N2O</t>
  </si>
  <si>
    <t>g/Nm3</t>
  </si>
  <si>
    <t>1000Nm3/h</t>
  </si>
  <si>
    <t>CO2 transfer</t>
  </si>
  <si>
    <t>SUM_PFC</t>
  </si>
  <si>
    <t>SUM_CO2</t>
  </si>
  <si>
    <t>Print area:</t>
  </si>
  <si>
    <t>Raw meal for clinker</t>
  </si>
  <si>
    <t>PRINT</t>
  </si>
  <si>
    <t>Emission factor</t>
  </si>
  <si>
    <t>TJ</t>
  </si>
  <si>
    <t>Indirect emissions from electricity consumption</t>
  </si>
  <si>
    <t>Waste gases</t>
  </si>
  <si>
    <t>Amount of waste gas</t>
  </si>
  <si>
    <t>Emissions factor</t>
  </si>
  <si>
    <t>Measurable heat</t>
  </si>
  <si>
    <t>Please select which elements are applicable</t>
  </si>
  <si>
    <t>Country code</t>
  </si>
  <si>
    <t>ID</t>
  </si>
  <si>
    <t>G1</t>
  </si>
  <si>
    <t>P1</t>
  </si>
  <si>
    <t>P2</t>
  </si>
  <si>
    <t>G3</t>
  </si>
  <si>
    <t>Transitional</t>
  </si>
  <si>
    <t>Definitive</t>
  </si>
  <si>
    <t>CONST_TransitionalOrDefinitive</t>
  </si>
  <si>
    <t>CNTR_CBAMPeriod</t>
  </si>
  <si>
    <t xml:space="preserve">(a) </t>
  </si>
  <si>
    <t>All production routes</t>
  </si>
  <si>
    <t>Other production routes</t>
  </si>
  <si>
    <t>Cond. form.</t>
  </si>
  <si>
    <t>CONST_CNTR_TotProd</t>
  </si>
  <si>
    <t>TotProd_</t>
  </si>
  <si>
    <t>CONST_CNTR_EmbedEmDir</t>
  </si>
  <si>
    <t>EmbedEmDir_</t>
  </si>
  <si>
    <t>CONST_CNTR_EmbedEmInDir</t>
  </si>
  <si>
    <t>EmbedEmInDir_</t>
  </si>
  <si>
    <t>CONST_GoodToMarket</t>
  </si>
  <si>
    <t>ToMarket_</t>
  </si>
  <si>
    <t>CONST_PrecursorToGoodInput</t>
  </si>
  <si>
    <t>ElecCons_</t>
  </si>
  <si>
    <t>CONST_ElecConsumption</t>
  </si>
  <si>
    <t>CONST_ErrorOrMissing</t>
  </si>
  <si>
    <t>ErrMiss_</t>
  </si>
  <si>
    <t>EmbedEm</t>
  </si>
  <si>
    <t>Values</t>
  </si>
  <si>
    <t>Errors</t>
  </si>
  <si>
    <t>1000Nm3</t>
  </si>
  <si>
    <t>CONST_torkNm3</t>
  </si>
  <si>
    <t>GJ</t>
  </si>
  <si>
    <t>CONST_TJ</t>
  </si>
  <si>
    <t>CONST_GJ</t>
  </si>
  <si>
    <t>CONST_t</t>
  </si>
  <si>
    <t>CONST_kNm3</t>
  </si>
  <si>
    <t>CONST_GJpt</t>
  </si>
  <si>
    <t>CONST_tCO2pt</t>
  </si>
  <si>
    <t>CONST_tCO2pTJ</t>
  </si>
  <si>
    <t>CONST_tCO2pkNm3</t>
  </si>
  <si>
    <t>CONST_GJpkNm3</t>
  </si>
  <si>
    <t>CONST_tC</t>
  </si>
  <si>
    <t>CONST_tCpt</t>
  </si>
  <si>
    <t>CONST_tCpkNm3</t>
  </si>
  <si>
    <t>CONST_torkNm3orNA</t>
  </si>
  <si>
    <t>CONST_tCO2pTJOrtCO2pt</t>
  </si>
  <si>
    <t>CONST_tCptOrtCpkNm3</t>
  </si>
  <si>
    <t>CONST_tCptortCO2pkNm3</t>
  </si>
  <si>
    <t>CONST_hpa</t>
  </si>
  <si>
    <t>CONST_Nm3ph</t>
  </si>
  <si>
    <t>CONST_gpNm3</t>
  </si>
  <si>
    <t>CONST_kNm3pa</t>
  </si>
  <si>
    <t>tC</t>
  </si>
  <si>
    <t>Delete</t>
  </si>
  <si>
    <t>CONST_CEMSType</t>
  </si>
  <si>
    <t>Type of GHG</t>
  </si>
  <si>
    <t>SEE (indirect)</t>
  </si>
  <si>
    <t>SEE (direct)</t>
  </si>
  <si>
    <t>SEE (total)</t>
  </si>
  <si>
    <t>Installation level data:</t>
  </si>
  <si>
    <t>Total CO2 emissions</t>
  </si>
  <si>
    <t>Biomass emissions</t>
  </si>
  <si>
    <t>Total N2O emissions</t>
  </si>
  <si>
    <t>Total PFC emissions</t>
  </si>
  <si>
    <t>Total direct emissions</t>
  </si>
  <si>
    <t>Results:</t>
  </si>
  <si>
    <t>G4</t>
  </si>
  <si>
    <t>G5</t>
  </si>
  <si>
    <t>G6</t>
  </si>
  <si>
    <t>Numbering</t>
  </si>
  <si>
    <t>EmbEm (direct)</t>
  </si>
  <si>
    <t>EmbEm (indirect)</t>
  </si>
  <si>
    <t>EmbEm (total)</t>
  </si>
  <si>
    <t>Production and consumption</t>
  </si>
  <si>
    <t>Total production of precursors</t>
  </si>
  <si>
    <t>Good produced</t>
  </si>
  <si>
    <t>Share of precursor consumed, per unit of good produced</t>
  </si>
  <si>
    <t>Unknown production routes</t>
  </si>
  <si>
    <t>Table of contents</t>
  </si>
  <si>
    <t>Navigation Area:</t>
  </si>
  <si>
    <t>-</t>
  </si>
  <si>
    <t>General Information on this Template</t>
  </si>
  <si>
    <t xml:space="preserve">The views expressed in this file represent the views of the authors and not necessarily those of the European Commission. </t>
  </si>
  <si>
    <t>How to use this file</t>
  </si>
  <si>
    <t>Automatic calculation (to be found in the menu Formula/Calculation options) must be turned on.</t>
  </si>
  <si>
    <t>Colour codes and fonts:</t>
  </si>
  <si>
    <t>Black bold text:</t>
  </si>
  <si>
    <t>This is text describing the input required.</t>
  </si>
  <si>
    <t>Smaller italic text:</t>
  </si>
  <si>
    <t xml:space="preserve">This text gives further explanations. </t>
  </si>
  <si>
    <t>Light yellow fields indicate that an input is optional.</t>
  </si>
  <si>
    <t>Green fields show automatically calculated results. Red text indicates error messages (missing data etc).</t>
  </si>
  <si>
    <t>Light grey areas are dedicated for navigation and hyperlinks.</t>
  </si>
  <si>
    <t>Information sources:</t>
  </si>
  <si>
    <t>EU-Legislation:</t>
  </si>
  <si>
    <t>Guidelines &amp; Conditions</t>
  </si>
  <si>
    <t>InstData</t>
  </si>
  <si>
    <t>P4</t>
  </si>
  <si>
    <t>P5</t>
  </si>
  <si>
    <t>P6</t>
  </si>
  <si>
    <t>P7</t>
  </si>
  <si>
    <t>P8</t>
  </si>
  <si>
    <t>P9</t>
  </si>
  <si>
    <t>P10</t>
  </si>
  <si>
    <t>PFC emissions</t>
  </si>
  <si>
    <t>Reporting period</t>
  </si>
  <si>
    <t>Start:</t>
  </si>
  <si>
    <t>End:</t>
  </si>
  <si>
    <t>viii.</t>
  </si>
  <si>
    <t>ix.</t>
  </si>
  <si>
    <t>Street, Number:</t>
  </si>
  <si>
    <t>Post code:</t>
  </si>
  <si>
    <t>City:</t>
  </si>
  <si>
    <t>Name of authorized representative:</t>
  </si>
  <si>
    <t>Email:</t>
  </si>
  <si>
    <t>Telephone:</t>
  </si>
  <si>
    <t>Name:</t>
  </si>
  <si>
    <t>Company Name:</t>
  </si>
  <si>
    <t>Postcode/ZIP:</t>
  </si>
  <si>
    <t>Country:</t>
  </si>
  <si>
    <t>Authorised representative of the verifier:</t>
  </si>
  <si>
    <t>The nominated person should be familiar with this report. Ideally it is the lead verifier involved with this report.</t>
  </si>
  <si>
    <t>Email address:</t>
  </si>
  <si>
    <t>Telephone number:</t>
  </si>
  <si>
    <t>Fax:</t>
  </si>
  <si>
    <t>Information about the verifier's accreditation:</t>
  </si>
  <si>
    <t>Accreditation Member State:</t>
  </si>
  <si>
    <t>Name of the national accreditation body:</t>
  </si>
  <si>
    <t>Registration number issued by the Accreditation body:</t>
  </si>
  <si>
    <t>Name and address of the verifier of this report:</t>
  </si>
  <si>
    <t>GWh</t>
  </si>
  <si>
    <t>CONST_GWh</t>
  </si>
  <si>
    <t>CONST_tCO2</t>
  </si>
  <si>
    <t>tCO2</t>
  </si>
  <si>
    <t>CONST_tCO2eq</t>
  </si>
  <si>
    <t>Iron or steel products</t>
  </si>
  <si>
    <t>Unwrought aluminium</t>
  </si>
  <si>
    <t>Aluminium products</t>
  </si>
  <si>
    <t>CONST_Year</t>
  </si>
  <si>
    <t>Year</t>
  </si>
  <si>
    <t>PrecToGood_</t>
  </si>
  <si>
    <t>Fuel balance</t>
  </si>
  <si>
    <t>Total fuel input</t>
  </si>
  <si>
    <t>Fuel for electricity</t>
  </si>
  <si>
    <t>Direct fuel for CBAM goods</t>
  </si>
  <si>
    <t>Direct fuel for non-CBAM goods</t>
  </si>
  <si>
    <t>Rest</t>
  </si>
  <si>
    <t>Indirect, if relevant</t>
  </si>
  <si>
    <t>DirEm*</t>
  </si>
  <si>
    <t>Fuel balance:</t>
  </si>
  <si>
    <t>Source streams</t>
  </si>
  <si>
    <t>Energy &amp; Emissions</t>
  </si>
  <si>
    <t>Consumed for non-CBAM goods within the installation:</t>
  </si>
  <si>
    <t>Total production only for the market?</t>
  </si>
  <si>
    <t>Only direct production</t>
  </si>
  <si>
    <t>Production process</t>
  </si>
  <si>
    <t>Route 1</t>
  </si>
  <si>
    <t>Route 2</t>
  </si>
  <si>
    <t>Route 3</t>
  </si>
  <si>
    <t>Route 4</t>
  </si>
  <si>
    <t>Route 5</t>
  </si>
  <si>
    <t>Route 6</t>
  </si>
  <si>
    <t>Route</t>
  </si>
  <si>
    <t>% N contained</t>
  </si>
  <si>
    <t>Concentration, if hydrous solution</t>
  </si>
  <si>
    <t>% Mn</t>
  </si>
  <si>
    <t>% Cr</t>
  </si>
  <si>
    <t>% Ni</t>
  </si>
  <si>
    <t>% other alloys</t>
  </si>
  <si>
    <t>Direct reduced iron</t>
  </si>
  <si>
    <t>t scrap per t steel</t>
  </si>
  <si>
    <t>t scrap per t aluminium</t>
  </si>
  <si>
    <t>Special parameters to be reported</t>
  </si>
  <si>
    <t>The main reducing agent of the precursor, if known</t>
  </si>
  <si>
    <t>The main reducing agent used</t>
  </si>
  <si>
    <t>CONST_ReducingAgent</t>
  </si>
  <si>
    <t>Coal or coke</t>
  </si>
  <si>
    <t>Natural gas</t>
  </si>
  <si>
    <t>Biogas</t>
  </si>
  <si>
    <t>CN Codes</t>
  </si>
  <si>
    <t>CN Name</t>
  </si>
  <si>
    <t>CNTR_List_ExistProdProc</t>
  </si>
  <si>
    <t>CNTR_List_ExistGoodTypes</t>
  </si>
  <si>
    <t>CNTR_List_ExistGoodTypesInclDir</t>
  </si>
  <si>
    <t>Total production levels:</t>
  </si>
  <si>
    <t>Produced for the market</t>
  </si>
  <si>
    <t>SE (direct)</t>
  </si>
  <si>
    <t>Purchased precursors</t>
  </si>
  <si>
    <t>Mass share</t>
  </si>
  <si>
    <t>PP1</t>
  </si>
  <si>
    <t>PP2</t>
  </si>
  <si>
    <t>PP3</t>
  </si>
  <si>
    <t>PP4</t>
  </si>
  <si>
    <t>PP5</t>
  </si>
  <si>
    <t>PP6</t>
  </si>
  <si>
    <t>PP7</t>
  </si>
  <si>
    <t>PP8</t>
  </si>
  <si>
    <t>PP9</t>
  </si>
  <si>
    <t>PP10</t>
  </si>
  <si>
    <t>PP11</t>
  </si>
  <si>
    <t>CNTR_List_ExistProdProcNames</t>
  </si>
  <si>
    <t>SE (indirect)</t>
  </si>
  <si>
    <t>Marker</t>
  </si>
  <si>
    <t>EmDir_</t>
  </si>
  <si>
    <t>EmDirHeat_</t>
  </si>
  <si>
    <t>EmDirWG_</t>
  </si>
  <si>
    <t>CONST_EmDir</t>
  </si>
  <si>
    <t>CONST_EmDirHeat</t>
  </si>
  <si>
    <t>CONST_EmDirWasteGases</t>
  </si>
  <si>
    <t>CONST_MWh</t>
  </si>
  <si>
    <t>Detailed overview of each production processes</t>
  </si>
  <si>
    <t>7220</t>
  </si>
  <si>
    <t>CONST_MonitoringApproach</t>
  </si>
  <si>
    <t>Process emissions</t>
  </si>
  <si>
    <t>Mass Balance</t>
  </si>
  <si>
    <t>Process</t>
  </si>
  <si>
    <t>fossil</t>
  </si>
  <si>
    <t>CC</t>
  </si>
  <si>
    <t>OxF</t>
  </si>
  <si>
    <t>ConvF</t>
  </si>
  <si>
    <t>Method A</t>
  </si>
  <si>
    <t>Method B</t>
  </si>
  <si>
    <t>CF4</t>
  </si>
  <si>
    <t>C2F6</t>
  </si>
  <si>
    <t>CONST_PFCSlopeOrOvervoltage</t>
  </si>
  <si>
    <t>Slope method</t>
  </si>
  <si>
    <t>Overvoltage method</t>
  </si>
  <si>
    <t>from sheet "B_EmInst"</t>
  </si>
  <si>
    <t>CONST_CNTR_SUM_CO2</t>
  </si>
  <si>
    <t>CONST_CNTR_SUM_PFC</t>
  </si>
  <si>
    <t>CONST_CNTR_SUM_N2O</t>
  </si>
  <si>
    <t>SUM_N2O</t>
  </si>
  <si>
    <t>CONST_CNTR_SUM_CO2OrN2O</t>
  </si>
  <si>
    <t>cond. form.</t>
  </si>
  <si>
    <t>Production process from which the products arise</t>
  </si>
  <si>
    <t>CNTR_List_ExistPurchPrec</t>
  </si>
  <si>
    <t>CNTR_List_ExistPurchPrecNames</t>
  </si>
  <si>
    <t>Total purchased levels:</t>
  </si>
  <si>
    <t>Electricity consumed</t>
  </si>
  <si>
    <t>Embedded electricity</t>
  </si>
  <si>
    <t>Tools</t>
  </si>
  <si>
    <t>Fuel input for electricity production</t>
  </si>
  <si>
    <t>Please enter in the table below the amount of energy consumed for each use type:</t>
  </si>
  <si>
    <t>Fuel input to all non-CBAM production processes, either directly or via the production of measurable heat (e.g. steam).</t>
  </si>
  <si>
    <t>Summary of production processes</t>
  </si>
  <si>
    <t>Specific direct and indirect (embedded) emissions</t>
  </si>
  <si>
    <t>Specific electricity consumption within the production process.</t>
  </si>
  <si>
    <t>Rest (= emissions not attributed to CBAM processes)</t>
  </si>
  <si>
    <t>Comparison:</t>
  </si>
  <si>
    <t xml:space="preserve">(b) </t>
  </si>
  <si>
    <t>Total consumption within installation:</t>
  </si>
  <si>
    <t>(d)</t>
  </si>
  <si>
    <t>This is the specific consumption of each precursor per unit of products produced by the relevant 'production process'.</t>
  </si>
  <si>
    <t>Total production process</t>
  </si>
  <si>
    <t>The following abbreviations are used in the tables below:</t>
  </si>
  <si>
    <t>GoodID</t>
  </si>
  <si>
    <t>RouteID 1</t>
  </si>
  <si>
    <t>RouteID 2</t>
  </si>
  <si>
    <t>RouteID 3</t>
  </si>
  <si>
    <t>RouteID 4</t>
  </si>
  <si>
    <t>RouteID 5</t>
  </si>
  <si>
    <t>RouteID 6</t>
  </si>
  <si>
    <t>PrecID 1</t>
  </si>
  <si>
    <t>PrecID 2</t>
  </si>
  <si>
    <t>PrecID 3</t>
  </si>
  <si>
    <t>PrecID 4</t>
  </si>
  <si>
    <t>PrecID 5</t>
  </si>
  <si>
    <t>PrecID 6</t>
  </si>
  <si>
    <t>Completeness check:</t>
  </si>
  <si>
    <t>Click here to proceed to next sheet</t>
  </si>
  <si>
    <t>CONST_MsgMissingProdProc</t>
  </si>
  <si>
    <t>CONST_MsgJumpkNextSheet</t>
  </si>
  <si>
    <t>Note: the system boundaries between production processes, indirect emissions and the installation's total emissions might not be consistent. Therefore, values for "Rest" different from zero are not necessarily indicative of any omissions or errors being made in this report.</t>
  </si>
  <si>
    <t>Heat emissions</t>
  </si>
  <si>
    <t>Emissions</t>
  </si>
  <si>
    <t>Values below are taken automatically from entries in sheet "B_EmInst". If entries made in that sheet are incomplete, please enter the total emissions figures manually under ii. to override automatic results displayed under i.</t>
  </si>
  <si>
    <t>manual entries</t>
  </si>
  <si>
    <t>Calculation of the attributed emissions:</t>
  </si>
  <si>
    <t>Electricity exported from the production process</t>
  </si>
  <si>
    <t>Production processes</t>
  </si>
  <si>
    <t>Summary of products</t>
  </si>
  <si>
    <t>D.</t>
  </si>
  <si>
    <t>Sheet "D_Processes" - Production level and attributed emissions for SEE calculation</t>
  </si>
  <si>
    <t>E.</t>
  </si>
  <si>
    <t>Parameter:</t>
  </si>
  <si>
    <t>(e)</t>
  </si>
  <si>
    <t>(f)</t>
  </si>
  <si>
    <t>(g)</t>
  </si>
  <si>
    <t>(h)</t>
  </si>
  <si>
    <t>(i)</t>
  </si>
  <si>
    <t>(j)</t>
  </si>
  <si>
    <t>(k)</t>
  </si>
  <si>
    <t>IsPrecursor?</t>
  </si>
  <si>
    <t>CONST_PurchPrecDefaultUsed</t>
  </si>
  <si>
    <t>PurchPrecDef_</t>
  </si>
  <si>
    <t>Specific embedded emissions:</t>
  </si>
  <si>
    <t>Type of precursor</t>
  </si>
  <si>
    <t>General aspects</t>
  </si>
  <si>
    <t>Emissions embedded in this purchased precursor</t>
  </si>
  <si>
    <t>CNTR_HasEntriesA</t>
  </si>
  <si>
    <t>CONST_OnlyDirProd</t>
  </si>
  <si>
    <t>CONST_AllProdRoutes</t>
  </si>
  <si>
    <t>CONST_PleaseSelect</t>
  </si>
  <si>
    <t>Please select…</t>
  </si>
  <si>
    <t>Sheet "E_PurchPrec" - Purchased precursors for SEE calculation</t>
  </si>
  <si>
    <t>Total production within installation (= denominator for SEE calculation):</t>
  </si>
  <si>
    <t>A.</t>
  </si>
  <si>
    <t xml:space="preserve">Sheet "A_InstData" - General information, production processes and purchased precursors </t>
  </si>
  <si>
    <t>C.</t>
  </si>
  <si>
    <t>Sheet "C_Emissions&amp;Energy" - Installation-level GHG emissions and energy consumption</t>
  </si>
  <si>
    <t>Info for automatic Version detection</t>
  </si>
  <si>
    <t>Template type:</t>
  </si>
  <si>
    <t>Version:</t>
  </si>
  <si>
    <t>Issued by:</t>
  </si>
  <si>
    <t>European Commission</t>
  </si>
  <si>
    <t>Language:</t>
  </si>
  <si>
    <t>English</t>
  </si>
  <si>
    <t>Type list:</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</si>
  <si>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</si>
  <si>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</si>
  <si>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</si>
  <si>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</si>
  <si>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</si>
  <si>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</si>
  <si>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</si>
  <si>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</si>
  <si>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</si>
  <si>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</si>
  <si>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</si>
  <si>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</si>
  <si>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</si>
  <si>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</si>
  <si>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</si>
  <si>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</si>
  <si>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</si>
  <si>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</si>
  <si>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</si>
  <si>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</si>
  <si>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</si>
  <si>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</si>
  <si>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</si>
  <si>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</si>
  <si>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</si>
  <si>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</si>
  <si>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</si>
  <si>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</si>
  <si>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</si>
  <si>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</si>
  <si>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</si>
  <si>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</si>
  <si>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</si>
  <si>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IC</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</si>
  <si>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</si>
  <si>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</si>
  <si>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</si>
  <si>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</si>
  <si>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</si>
  <si>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</si>
  <si>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</si>
  <si>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</si>
  <si>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</si>
  <si>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</si>
  <si>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</si>
  <si>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</si>
  <si>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</si>
  <si>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</si>
  <si>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</si>
  <si>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</si>
  <si>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</si>
  <si>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</si>
  <si>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</si>
  <si>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</si>
  <si>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</si>
  <si>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</si>
  <si>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</si>
  <si>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</si>
  <si>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</si>
  <si>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</si>
  <si>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</si>
  <si>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</si>
  <si>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</si>
  <si>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</si>
  <si>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</si>
  <si>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</si>
  <si>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</si>
  <si>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</si>
  <si>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</si>
  <si>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</si>
  <si>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</si>
  <si>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</si>
  <si>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</si>
  <si>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</si>
  <si>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</si>
  <si>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</si>
  <si>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</si>
  <si>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</si>
  <si>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</si>
  <si>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</si>
  <si>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</si>
  <si>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</si>
  <si>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</si>
  <si>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</si>
  <si>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</si>
  <si>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</si>
  <si>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</si>
  <si>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</si>
  <si>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</si>
  <si>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</si>
  <si>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</si>
  <si>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</si>
  <si>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</si>
  <si>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</si>
  <si>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</si>
  <si>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</si>
  <si>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</si>
  <si>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</si>
  <si>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</si>
  <si>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</si>
  <si>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</si>
  <si>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</si>
  <si>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</si>
  <si>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</si>
  <si>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</si>
  <si>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</si>
  <si>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</si>
  <si>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</si>
  <si>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</si>
  <si>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</si>
  <si>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</si>
  <si>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</si>
  <si>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</si>
  <si>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</si>
  <si>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</si>
  <si>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</si>
  <si>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</si>
  <si>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</si>
  <si>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Language version:</t>
  </si>
  <si>
    <t>Reference filename:</t>
  </si>
  <si>
    <t>Information about this file:</t>
  </si>
  <si>
    <t>Installation name:</t>
  </si>
  <si>
    <t>from:</t>
  </si>
  <si>
    <t>to:</t>
  </si>
  <si>
    <t>Relevant production processes</t>
  </si>
  <si>
    <t>Waste gas emissions</t>
  </si>
  <si>
    <t>Rest (expressed as % of total)</t>
  </si>
  <si>
    <t>Total emissions of the installation (from sheet "C_Emissions&amp;Energy")</t>
  </si>
  <si>
    <t xml:space="preserve">(c) </t>
  </si>
  <si>
    <t>GHG emissions balance of the installation and all production processes</t>
  </si>
  <si>
    <t>Aggregated goods category</t>
  </si>
  <si>
    <t>Aggregated goods categories and relevant production processes</t>
  </si>
  <si>
    <t>Missing! Please assign ALL relevant aggregated goods categories to a 'production process'.</t>
  </si>
  <si>
    <t>Greenhouse gas emissions balance and specific embedded emissions (SEE)</t>
  </si>
  <si>
    <t>List of aggregated goods categories, relevant precursors and corresponding production routes</t>
  </si>
  <si>
    <t>7210</t>
  </si>
  <si>
    <t>Included goods categories listed under (a)</t>
  </si>
  <si>
    <t>PP12</t>
  </si>
  <si>
    <t>PP13</t>
  </si>
  <si>
    <t>PP14</t>
  </si>
  <si>
    <t>PP15</t>
  </si>
  <si>
    <t>PP16</t>
  </si>
  <si>
    <t>PP17</t>
  </si>
  <si>
    <t>PP19</t>
  </si>
  <si>
    <t>PP20</t>
  </si>
  <si>
    <t>Precursors</t>
  </si>
  <si>
    <t>Share of purchased precursor consumed, per unit of good produced</t>
  </si>
  <si>
    <t>Where relevant, please list all production routes through which the aggregated goods are produced.</t>
  </si>
  <si>
    <t>CONST_ElecSource</t>
  </si>
  <si>
    <t>Source of the emission factor</t>
  </si>
  <si>
    <t>Emission factor of the electricity</t>
  </si>
  <si>
    <t>Amounts exported</t>
  </si>
  <si>
    <t>Production details</t>
  </si>
  <si>
    <t>CONST_EFNatGas</t>
  </si>
  <si>
    <t>CBAM installation communication SEE</t>
  </si>
  <si>
    <t>CBAM SEE Communication</t>
  </si>
  <si>
    <t>Source of electricity EF</t>
  </si>
  <si>
    <t>Currency</t>
  </si>
  <si>
    <t>CP Paid</t>
  </si>
  <si>
    <t>USD</t>
  </si>
  <si>
    <t>CONST_CarbonPriceType</t>
  </si>
  <si>
    <t>tax</t>
  </si>
  <si>
    <t>Covered SEE</t>
  </si>
  <si>
    <t>Data input for the determination of the specific embedded emissions</t>
  </si>
  <si>
    <t>ElecEFMeth_</t>
  </si>
  <si>
    <t>CONST_CNTR_ElecEFMethod</t>
  </si>
  <si>
    <t>Source for electricity EF</t>
  </si>
  <si>
    <t>Total amount of fuel input into CHP units</t>
  </si>
  <si>
    <t>Fuel input into CHP</t>
  </si>
  <si>
    <t>Heat output from CHP</t>
  </si>
  <si>
    <t>Electricity output from CHP</t>
  </si>
  <si>
    <t>Total emissions from CHP</t>
  </si>
  <si>
    <t>Values should distinguish between emissions from fuel input and from flue gas cleaning.</t>
  </si>
  <si>
    <t>From fuel input to CHP</t>
  </si>
  <si>
    <t>From flue gas cleaning</t>
  </si>
  <si>
    <t>Total emissions</t>
  </si>
  <si>
    <t>Default efficiencies:</t>
  </si>
  <si>
    <t>Heat:</t>
  </si>
  <si>
    <t>Electricity:</t>
  </si>
  <si>
    <t>Efficiencies for heat and electricity</t>
  </si>
  <si>
    <t>These values are dimensionless and automatically calculated from inputs in (a) to (c) above.</t>
  </si>
  <si>
    <t>Heat production</t>
  </si>
  <si>
    <t>Electricity production</t>
  </si>
  <si>
    <t>Reference efficiencies</t>
  </si>
  <si>
    <t xml:space="preserve">These are the reference efficiency for heat production in a stand-alone boiler, and the reference efficiency of electricity production without cogeneration. </t>
  </si>
  <si>
    <t>For example, this may include attributable emissions to be taken into account for the total direct emissions, or use of the emission factor for any measurable heat imported.</t>
  </si>
  <si>
    <t>Emissions attributable to heat output</t>
  </si>
  <si>
    <t>Emission factor, heat</t>
  </si>
  <si>
    <t>Fuel input attributable to heat and electricity production</t>
  </si>
  <si>
    <t>Fuel input for heat</t>
  </si>
  <si>
    <t>Fuel input for electricity</t>
  </si>
  <si>
    <t>Embedded emissions covered by the carbon price</t>
  </si>
  <si>
    <t>Verifier</t>
  </si>
  <si>
    <t>Cogeneration Tool</t>
  </si>
  <si>
    <t>This is a hidden sheet for the calculation of the embedded emissions along the whole supply chain, including any relevant precursors produced within the same installation, or purchased from other installations.</t>
  </si>
  <si>
    <t>Purchased precursor</t>
  </si>
  <si>
    <t>Used for numbering in summary sheet to display SEE along whole supply chain</t>
  </si>
  <si>
    <t>Parameter</t>
  </si>
  <si>
    <t>Inputs and outputs</t>
  </si>
  <si>
    <t>Efficiencies</t>
  </si>
  <si>
    <t>Attributable emissions</t>
  </si>
  <si>
    <t>Attributable fuel input</t>
  </si>
  <si>
    <t>GHG emissions</t>
  </si>
  <si>
    <t>Rebate</t>
  </si>
  <si>
    <t>Total CP Paid</t>
  </si>
  <si>
    <t>Total Rebate</t>
  </si>
  <si>
    <t>CNKEY</t>
  </si>
  <si>
    <t>CODE_EN</t>
  </si>
  <si>
    <t>SELFTEXT_EN</t>
  </si>
  <si>
    <t>250700800080</t>
  </si>
  <si>
    <t>2507 00 80</t>
  </si>
  <si>
    <t>Kaolinic clays (other than kaolin)</t>
  </si>
  <si>
    <t>252310000080</t>
  </si>
  <si>
    <t>2523 10 00</t>
  </si>
  <si>
    <t>Cement clinkers</t>
  </si>
  <si>
    <t>252321000080</t>
  </si>
  <si>
    <t>2523 21 00</t>
  </si>
  <si>
    <t>White portland cement, whether or not artificially coloured</t>
  </si>
  <si>
    <t>252329000080</t>
  </si>
  <si>
    <t>2523 29 00</t>
  </si>
  <si>
    <t>Portland cement (excl. white, whether or not artificially coloured)</t>
  </si>
  <si>
    <t>252330000080</t>
  </si>
  <si>
    <t>2523 30 00</t>
  </si>
  <si>
    <t>252390000080</t>
  </si>
  <si>
    <t>2523 90 00</t>
  </si>
  <si>
    <t>Cement, whether or not coloured (excl. portland cement and aluminous cement)</t>
  </si>
  <si>
    <t>260112000080</t>
  </si>
  <si>
    <t>2601 12 00</t>
  </si>
  <si>
    <t>Agglomerated iron ores and concentrates (excl. roasted iron pyrites)</t>
  </si>
  <si>
    <t>271600000080</t>
  </si>
  <si>
    <t>2716 00 00</t>
  </si>
  <si>
    <t>Electrical energy</t>
  </si>
  <si>
    <t>280410000080</t>
  </si>
  <si>
    <t>2804 10 00</t>
  </si>
  <si>
    <t>280800000080</t>
  </si>
  <si>
    <t>2808 00 00</t>
  </si>
  <si>
    <t>Nitric acid; sulphonitric acids</t>
  </si>
  <si>
    <t>2814</t>
  </si>
  <si>
    <t>Ammonia, anhydrous or in aqueous solution</t>
  </si>
  <si>
    <t>281410000080</t>
  </si>
  <si>
    <t>2814 10 00</t>
  </si>
  <si>
    <t>Anhydrous ammonia</t>
  </si>
  <si>
    <t>281420000080</t>
  </si>
  <si>
    <t>2814 20 00</t>
  </si>
  <si>
    <t>Ammonia in aqueous solution</t>
  </si>
  <si>
    <t>283421000080</t>
  </si>
  <si>
    <t>2834 21 00</t>
  </si>
  <si>
    <t>Nitrate of potassium</t>
  </si>
  <si>
    <t>3102</t>
  </si>
  <si>
    <t>Mineral or chemical nitrogenous fertilisers (excl. those in tablets or similar forms, or in packages with a gross weight of &lt;= 10 kg)</t>
  </si>
  <si>
    <t>3102 10</t>
  </si>
  <si>
    <t>Urea, whether or not in aqueous solution (excl. that in tablets or similar forms, or in packages with a gross weight of &lt;= 10 kg)</t>
  </si>
  <si>
    <t>310210100080</t>
  </si>
  <si>
    <t>3102 10 10</t>
  </si>
  <si>
    <t>Urea, whether or not in aqueous solution, containing &gt; 45% nitrogen in relation to the weight of the dry product (excl. that in tablets or similar forms, or in packages with a gross weight of &lt;= 10 kg)</t>
  </si>
  <si>
    <t>310210900080</t>
  </si>
  <si>
    <t>3102 10 90</t>
  </si>
  <si>
    <t>Urea, whether or not in aqueous solution, containing &lt;= 45% by weight of nitrogen on the dry anhydrous product (excl. goods of this chapter in tablets or similar forms or in packages of a gross weight of &lt;= 10 kg)</t>
  </si>
  <si>
    <t>310221000080</t>
  </si>
  <si>
    <t>3102 21 00</t>
  </si>
  <si>
    <t>Ammonium sulphate (excl. that in tablets or similar forms, or in packages with a gross weight of &lt;= 10 kg)</t>
  </si>
  <si>
    <t>310229000080</t>
  </si>
  <si>
    <t>3102 29 00</t>
  </si>
  <si>
    <t>Double salts and mixtures of ammonium sulphate and ammonium nitrate (excl. goods of this chapter in tablets or similar forms or in packages of a gross weight of &lt;= 10 kg)</t>
  </si>
  <si>
    <t>3102 30</t>
  </si>
  <si>
    <t>Ammonium nitrate, whether or not in aqueous solution (excl. that in tablets or similar forms, or in packages with a gross weight of &lt;= 10 kg)</t>
  </si>
  <si>
    <t>310230100080</t>
  </si>
  <si>
    <t>3102 30 10</t>
  </si>
  <si>
    <t>Ammonium nitrate in aqueous solution (excl. that in packages with a gross weight of &lt;= 10 kg)</t>
  </si>
  <si>
    <t>310230900080</t>
  </si>
  <si>
    <t>3102 30 90</t>
  </si>
  <si>
    <t>Ammonium nitrate (excl. that in aqueous solution, in tablets or similar forms, or in packages with a gross weight of &lt;= 10 kg)</t>
  </si>
  <si>
    <t>3102 40</t>
  </si>
  <si>
    <t>Mixtures of ammonium nitrate with calcium carbonate or other inorganic non-fertilising substances for use as fertilisers (excl. those in tablets or similar forms, or in packages with a gross weight of &lt;= 10 kg)</t>
  </si>
  <si>
    <t>310240100080</t>
  </si>
  <si>
    <t>3102 40 10</t>
  </si>
  <si>
    <t>Mixtures of ammonium nitrate with calcium carbonate or other inorganic non-fertilising substances, for use as fertilisers, containing &lt;= 28% nitrogen by weight (excl. those in tablets or similar forms, or in packages with a gross weight of &lt;= 10 kg)</t>
  </si>
  <si>
    <t>310240900080</t>
  </si>
  <si>
    <t>3102 40 90</t>
  </si>
  <si>
    <t>Mixtures of ammonium nitrate with calcium carbonate or other inorganic non-fertilising substances, for use as fertilisers, containing &gt; 28% nitrogen by weight (excl. those in tablets or similar forms, or in packages with a gross weight of &lt;= 10 kg)</t>
  </si>
  <si>
    <t>310250000080</t>
  </si>
  <si>
    <t>3102 50 00</t>
  </si>
  <si>
    <t>Sodium nitrate (excl. that in tablets or similar forms, or in packages with a gross weight of &lt;= 10 kg)</t>
  </si>
  <si>
    <t>310260000080</t>
  </si>
  <si>
    <t>3102 60 00</t>
  </si>
  <si>
    <t>Double salts and mixtures of calcium nitrate and ammonium nitrate (excl. those in tablets or similar forms, or in packages with a gross weight of &lt;= 10 kg)</t>
  </si>
  <si>
    <t>310280000080</t>
  </si>
  <si>
    <t>3102 80 00</t>
  </si>
  <si>
    <t>Mixtures of urea and ammonium nitrate in aqueous or ammoniacal solution (excl. those in packages with a gross weight of &lt;= 10 kg)</t>
  </si>
  <si>
    <t>310290000080</t>
  </si>
  <si>
    <t>3102 90 00</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</si>
  <si>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</si>
  <si>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3105</t>
  </si>
  <si>
    <t>Mineral or chemical fertilisers containing two or three of the fertilising elements nitrogen, phosphorus and potassium; other fertilisers (excl. pure animal or vegetable fertilisers or mineral or chemical nitrogenous, phosphatic or potassic fertilisers); animal, vegetable, mineral or chemical fertilisers in tablets or similar forms or in packages of a gross weight of &lt;= 10 kg</t>
  </si>
  <si>
    <t>310510000080</t>
  </si>
  <si>
    <t>3105 10 00</t>
  </si>
  <si>
    <t>Mineral or chemical fertilisers of animal or vegetable origin, in tablets or similar forms, or in packages with a gross weight of &lt;= 10 kg</t>
  </si>
  <si>
    <t>3105 20</t>
  </si>
  <si>
    <t>Mineral or chemical fertilisers containing the three fertilising elements nitrogen, phosphorus and potassium (excl. those in tablets or similar forms, or in packages with a gross weight of &lt;= 10 kg)</t>
  </si>
  <si>
    <t>310520100080</t>
  </si>
  <si>
    <t>3105 20 10</t>
  </si>
  <si>
    <t>Mineral or chemical fertilisers containing phosphorus and potassium, with a nitrogen content &gt; 10 % by weight on the dry anhydrous product (excl. those in tablets or similar forms, or in packages with a gross weight of &lt;= 10 kg)</t>
  </si>
  <si>
    <t>310520900080</t>
  </si>
  <si>
    <t>3105 20 90</t>
  </si>
  <si>
    <t>Mineral or chemical fertilisers containing nitrogen, phosphorus and potassium, with a nitrogen content &lt;= 10 % by weight on the dry anhydrous product (excl. those in tablets or similar forms, or in packages with a gross weight of &lt;= 10 kg)</t>
  </si>
  <si>
    <t>310530000080</t>
  </si>
  <si>
    <t>3105 30 00</t>
  </si>
  <si>
    <t>Diammonium hydrogenorthophosphate "diammonium phosphate" (excl. that in tablets or similar forms, or in packages with a gross weight of &lt;= 10 kg)</t>
  </si>
  <si>
    <t>310540000080</t>
  </si>
  <si>
    <t>3105 40 00</t>
  </si>
  <si>
    <t>Ammonium dihydrogenorthophosphate "monoammonium phosphate", whether or not mixed with diammonium hydrogenorthophosphate "diammonium phosphate" (excl. that in tablets or similar forms, or in packages with a gross weight of &lt;= 10 kg)</t>
  </si>
  <si>
    <t>310551000080</t>
  </si>
  <si>
    <t>3105 51 00</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</si>
  <si>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</si>
  <si>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310559000080</t>
  </si>
  <si>
    <t>3105 59 00</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</si>
  <si>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</si>
  <si>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3105 90</t>
  </si>
  <si>
    <t>Mineral or chemical fertilisers containing the two fertilising elements nitrogen and potassium or one principal fertilising substance only, incl. mixtures of animal or vegetable fertilisers with chemical or mineral fertilisers (excl. those in tablets or similar forms, or in packages with a gross weight of &lt;= 10 kg)</t>
  </si>
  <si>
    <t>310590200080</t>
  </si>
  <si>
    <t>3105 90 20</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</si>
  <si>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</si>
  <si>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310590800080</t>
  </si>
  <si>
    <t>3105 90 80</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</si>
  <si>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</si>
  <si>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7201</t>
  </si>
  <si>
    <t>Pig iron and spiegeleisen, in pigs, blocks or other primary forms</t>
  </si>
  <si>
    <t>7201 10</t>
  </si>
  <si>
    <t>Non-alloy pig iron in pigs, blocks or other primary forms, containing, by weight, &lt;= 0,5% of phosphorous</t>
  </si>
  <si>
    <t>720110110080</t>
  </si>
  <si>
    <t>7201 10 11</t>
  </si>
  <si>
    <t>Non-alloy pig iron in pigs, blocks or other primary forms, containing by weight &lt;= 0,5% phosphorus, &gt;= 0,4% manganese and &lt;= 1% silicon</t>
  </si>
  <si>
    <t>720110190080</t>
  </si>
  <si>
    <t>7201 10 19</t>
  </si>
  <si>
    <t>Non-alloy pig iron in pigs, blocks or other primary forms, containing by weight &lt;= 0,5% phosphorus, &gt;= 0,4% manganese and &gt; 1% silicon</t>
  </si>
  <si>
    <t>720110300080</t>
  </si>
  <si>
    <t>7201 10 30</t>
  </si>
  <si>
    <t>Non-alloy pig iron in pigs, blocks or other primary forms, containing by weight &lt;= 0,5% phosphorus, and &gt;= 0,1% but &lt; 0,4% manganese</t>
  </si>
  <si>
    <t>720110900080</t>
  </si>
  <si>
    <t>7201 10 90</t>
  </si>
  <si>
    <t>Non-alloy pig iron in pigs, blocks or other primary forms, containing by weight &lt;= 0,5% phosphorus, and &lt;= 0,1% manganese</t>
  </si>
  <si>
    <t>720120000080</t>
  </si>
  <si>
    <t>7201 20 00</t>
  </si>
  <si>
    <t>Non-alloy pig iron in pigs, blocks or other primary forms, containing by weight &gt;= 0,5% phosphorus</t>
  </si>
  <si>
    <t>7201 50</t>
  </si>
  <si>
    <t>Alloy pig iron and spiegeleisen, in pigs, blocks or other primary forms</t>
  </si>
  <si>
    <t>720150100080</t>
  </si>
  <si>
    <t>7201 50 10</t>
  </si>
  <si>
    <t>Alloy pig iron in pigs, blocks or other primary forms, containing by weight &gt;= 0,3% but &lt;= 1% titanium and &gt;= 0,5% but &lt;= 1% vanadium</t>
  </si>
  <si>
    <t>720150900080</t>
  </si>
  <si>
    <t>7201 50 90</t>
  </si>
  <si>
    <t>Alloy pig iron and spiegeleisen, in pigs, blocks or other primary forms (excl. alloy iron containing, by weight, &gt;= 0,3% but &lt;= 1% titanium and &gt;= 0,5% but &lt;= 1% vanadium)</t>
  </si>
  <si>
    <t>7202 11</t>
  </si>
  <si>
    <t>Ferro-manganese, containing by weight &gt; 2% of carbon</t>
  </si>
  <si>
    <t>720211200080</t>
  </si>
  <si>
    <t>7202 11 20</t>
  </si>
  <si>
    <t>Ferro-manganese, containing by weight &gt; 2% carbon, with a granulometry &lt;= 5 mm and a manganese content by weight &gt; 65%</t>
  </si>
  <si>
    <t>720211800080</t>
  </si>
  <si>
    <t>7202 11 80</t>
  </si>
  <si>
    <t>Ferro-manganese, containing by weight &gt; 2% carbon (excl. ferro-manganese with a granulometry of &lt;= 5 mm and containing by weight &gt; 65% manganese)</t>
  </si>
  <si>
    <t>720219000080</t>
  </si>
  <si>
    <t>7202 19 00</t>
  </si>
  <si>
    <t>Ferro-manganese, containing by weight &lt;= 2% carbon</t>
  </si>
  <si>
    <t>7202 41</t>
  </si>
  <si>
    <t>Ferro-chromium, containing by weight &gt; 4% of carbon</t>
  </si>
  <si>
    <t>720241100080</t>
  </si>
  <si>
    <t>7202 41 10</t>
  </si>
  <si>
    <t>Ferro-chromium, containing by weight &gt; 4% but &lt;= 6% carbon</t>
  </si>
  <si>
    <t>720241900080</t>
  </si>
  <si>
    <t>7202 41 90</t>
  </si>
  <si>
    <t>Ferro-chromium, containing by weight &gt; 6% carbon</t>
  </si>
  <si>
    <t>7202 49</t>
  </si>
  <si>
    <t>Ferro-chromium, containing by weight &lt;= 4% of carbon</t>
  </si>
  <si>
    <t>720249100080</t>
  </si>
  <si>
    <t>7202 49 10</t>
  </si>
  <si>
    <t>Ferro-chromium, containing by weight &lt;= 0,05% carbon</t>
  </si>
  <si>
    <t>720249500080</t>
  </si>
  <si>
    <t>7202 49 50</t>
  </si>
  <si>
    <t>Ferro-chromium, containing by weight &gt; 0,05% but &lt;= 0,5% carbon</t>
  </si>
  <si>
    <t>720249900080</t>
  </si>
  <si>
    <t>7202 49 90</t>
  </si>
  <si>
    <t>Ferro-chromium, containing by weight &gt; 0,5% but &lt;= 4% carbon</t>
  </si>
  <si>
    <t>720260000080</t>
  </si>
  <si>
    <t>7202 60 00</t>
  </si>
  <si>
    <t>Ferro-nickel</t>
  </si>
  <si>
    <t>7203</t>
  </si>
  <si>
    <t>Ferrous products obtained by direct reduction of iron ore and other spongy ferrous products, in lumps, pellets or similar forms; iron having a minimum purity by weight of 99,94%, in lumps, pellets or similar forms</t>
  </si>
  <si>
    <t>720310000080</t>
  </si>
  <si>
    <t>7203 10 00</t>
  </si>
  <si>
    <t>Ferrous products obtained by direct reduction of iron ore, in lumps, pellets or similar forms</t>
  </si>
  <si>
    <t>720390000080</t>
  </si>
  <si>
    <t>7203 90 00</t>
  </si>
  <si>
    <t>Spongy ferrous products, obtained from molten pig iron by atomisation, iron of a purity of &gt;= 99,94%, in lumps, pellets or similar forms</t>
  </si>
  <si>
    <t>7205</t>
  </si>
  <si>
    <t>Granules and powders of pig iron, spiegeleisen, iron or steel (excl. granules and powders of ferro-alloys, turnings and filings of iron or steel, radioactive iron powders "isotopes" and certain low-calibre, substandard balls for ballbearings)</t>
  </si>
  <si>
    <t>720510000080</t>
  </si>
  <si>
    <t>7205 10 00</t>
  </si>
  <si>
    <t>Granules, of pig iron, spiegeleisen, iron or steel (excl. granules of ferro-alloys, turnings and filings of iron or steel, certain small calibre items, defective balls for ball-bearings)</t>
  </si>
  <si>
    <t>720521000080</t>
  </si>
  <si>
    <t>7205 21 00</t>
  </si>
  <si>
    <t>Powders, of alloy steel (excl. powders of ferro-alloys and radioactive iron powders "isotopes")</t>
  </si>
  <si>
    <t>720529000080</t>
  </si>
  <si>
    <t>7205 29 00</t>
  </si>
  <si>
    <t>Powders, of pig iron, spiegeleisen, iron or non-alloy steel (excl. powders of ferro-alloys and radioactive iron powders "isotopes")</t>
  </si>
  <si>
    <t>7206</t>
  </si>
  <si>
    <t>Iron and non-alloy steel in ingots or other primary forms (excl. remelting scrap ingots, products obtained by continuous casting and iron of heading 7203)</t>
  </si>
  <si>
    <t>720610000080</t>
  </si>
  <si>
    <t>7206 10 00</t>
  </si>
  <si>
    <t>Ingots, of iron and non-alloy steel (excl. remelted scrap ingots, continuous cast products, iron of heading 7203)</t>
  </si>
  <si>
    <t>720690000080</t>
  </si>
  <si>
    <t>7206 90 00</t>
  </si>
  <si>
    <t>Iron and non-alloy steel, in puddled bars or other primary forms (excl. ingots, remelted scrap ingots, continuous cast products, iron of heading 7203)</t>
  </si>
  <si>
    <t>7207</t>
  </si>
  <si>
    <t>Semi-finished products of iron or non-alloy steel</t>
  </si>
  <si>
    <t>7207 11</t>
  </si>
  <si>
    <t>Semi-finished products of iron or non-alloy steel containing, by weight, &lt; 0,25% of carbon, of square or rectangular cross-section, the width measuring &lt; twice the thickness</t>
  </si>
  <si>
    <t>720711110080</t>
  </si>
  <si>
    <t>7207 11 11</t>
  </si>
  <si>
    <t>Semi-finished products, of non-alloy free-cutting steel, containing by weight &lt; 0,25% carbon, of square or rectangular cross-section, the width &lt; twice the thickness, rolled or obtained by continuous casting</t>
  </si>
  <si>
    <t>720711140080</t>
  </si>
  <si>
    <t>7207 11 14</t>
  </si>
  <si>
    <t>Semi-finished products, of iron or non-alloy steel, containing by weight &lt; 0,25% carbon, of square or rectangular cross-section, the width &lt; twice the thickness of &lt;= 130 mm, rolled or obtained by continuous casting (excl. free-cutting steel)</t>
  </si>
  <si>
    <t>720711160080</t>
  </si>
  <si>
    <t>7207 11 16</t>
  </si>
  <si>
    <t>Semi-finished products, of iron or non-alloy steel, containing by weight &lt; 0,25% carbon, of square or rectangular cross-section, the width &lt; twice the thickness of &gt; 130 mm, rolled or obtained by continuous casting (excl. free-cutting steel)</t>
  </si>
  <si>
    <t>720711900080</t>
  </si>
  <si>
    <t>7207 11 90</t>
  </si>
  <si>
    <t>Semi-finished products of iron or non-alloy steel, containing by weight &lt; 0,25% carbon, of rectangular cross-section, the width &lt; twice the thickness, forged</t>
  </si>
  <si>
    <t>7207 12</t>
  </si>
  <si>
    <t>Semi-finished products of iron or non-alloy steel containing, by weight, &lt; 0,25% of carbon, of rectangular "other than square" cross-section, the width measuring &gt;= twice the thickness</t>
  </si>
  <si>
    <t>720712100080</t>
  </si>
  <si>
    <t>7207 12 10</t>
  </si>
  <si>
    <t>Semi-finished products of iron or non-alloy steel, containing by weight &lt; 0,25 of carbon, of rectangular "other than square" cross-section, the width measuring &gt;= twice the thickness, rolled or obtained by continuous casting</t>
  </si>
  <si>
    <t>720712900080</t>
  </si>
  <si>
    <t>7207 12 90</t>
  </si>
  <si>
    <t>Semi-finished products of iron or non-alloy steel, containing by weight &lt; 0,25% carbon, of rectangular "other than square" cross-section, the width &gt;= twice the thickness, forged</t>
  </si>
  <si>
    <t>7207 19</t>
  </si>
  <si>
    <t>Semi-finished products of iron or non-alloy steel containing, by weight, &lt; 0,25% of carbon, of circular cross-section, or of a cross-section other than square or rectangular</t>
  </si>
  <si>
    <t>720719120080</t>
  </si>
  <si>
    <t>7207 19 12</t>
  </si>
  <si>
    <t>Semi-finished products, of iron or non-alloy steel, containing by weight &lt; 0,25% carbon, of circular or polygonal cross-section, rolled or obtained by continuous casting</t>
  </si>
  <si>
    <t>720719190080</t>
  </si>
  <si>
    <t>7207 19 19</t>
  </si>
  <si>
    <t>Semi-finished products of iron or non-alloy steel, containing by weight &lt; 0,25% carbon, of circular or polygonal cross-section, forged</t>
  </si>
  <si>
    <t>720719800080</t>
  </si>
  <si>
    <t>7207 19 80</t>
  </si>
  <si>
    <t>Semi-finished products of iron or non-alloy steel, containing by weight &lt; 0,25% carbon (excl. semi-products, of square, rectangular, circular or polygonal cross-section)</t>
  </si>
  <si>
    <t>7207 20</t>
  </si>
  <si>
    <t>Semi-finished products of iron or non-alloy steel containing, by weight, &gt;= 0,25% of carbon</t>
  </si>
  <si>
    <t>720720110080</t>
  </si>
  <si>
    <t>7207 20 11</t>
  </si>
  <si>
    <t>Semi-finished products, of non-alloy free-cutting steel, containing by weight &gt;= 0,25% carbon, of square or rectangular cross-section, the width &lt; twice the thickness, rolled or obtained by continuous casting</t>
  </si>
  <si>
    <t>720720150080</t>
  </si>
  <si>
    <t>7207 20 15</t>
  </si>
  <si>
    <t>Semi-finished products of iron or non-alloy steel, containing by weight &gt;= 0,25% but &lt; 0,6% carbon, of square or rectangular cross-section, the width &lt; twice the thickness, rolled or obtained by continuous casting (excl. free-cutting steel)</t>
  </si>
  <si>
    <t>720720170080</t>
  </si>
  <si>
    <t>7207 20 17</t>
  </si>
  <si>
    <t>Semi-finished products of iron or non-alloy steel, containing by weight &gt;= 0,6% carbon, of square or rectangular cross-section, the width &lt; twice the thickness, rolled or obtained by continuous casting (excl. free-cutting steel)</t>
  </si>
  <si>
    <t>720720190080</t>
  </si>
  <si>
    <t>7207 20 19</t>
  </si>
  <si>
    <t>Semi-finished products of iron or non-alloy steel, containing by weight &gt;= 0,25% carbon, of square or rectangular cross-section, the width &lt; twice the thickness, forged</t>
  </si>
  <si>
    <t>720720320080</t>
  </si>
  <si>
    <t>7207 20 32</t>
  </si>
  <si>
    <t>Semi-finished products of iron or non-alloy steel, containing by weight &gt;= 0,25 of carbon, of rectangular "other than square" cross-section, the width measuring &gt;= twice the thickness, rolled or obtained by continuous casting</t>
  </si>
  <si>
    <t>720720390080</t>
  </si>
  <si>
    <t>7207 20 39</t>
  </si>
  <si>
    <t>Semi-finished products of iron or non-alloy steel, containing by weight &gt;= 0,25% carbon, of rectangular "other than square" cross-section and the width &gt;= twice the thickness, forged</t>
  </si>
  <si>
    <t>720720520080</t>
  </si>
  <si>
    <t>7207 20 52</t>
  </si>
  <si>
    <t>Semi-finished products of iron or non-alloy steel, containing by weight &gt;= 0,25% carbon, of circular or polygonal cross-section, rolled or obtained by continuous casting</t>
  </si>
  <si>
    <t>720720590080</t>
  </si>
  <si>
    <t>7207 20 59</t>
  </si>
  <si>
    <t>Semi-finished products of iron or non-alloy steel, containing by weight &gt;= 0,6% carbon, of circular or polygonal cross-section, forged</t>
  </si>
  <si>
    <t>720720800080</t>
  </si>
  <si>
    <t>7207 20 80</t>
  </si>
  <si>
    <t>Semi-finished products of iron or non-alloy steel, containing by weight &gt;= 0,25% carbon (excl. those of square, rectangular, circular or polygonal cross-section)</t>
  </si>
  <si>
    <t>7208</t>
  </si>
  <si>
    <t>Flat-rolled products of iron or non-alloy steel, of a width &gt;= 600 mm, hot-rolled, not clad, plated or coated</t>
  </si>
  <si>
    <t>720810000080</t>
  </si>
  <si>
    <t>7208 10 00</t>
  </si>
  <si>
    <t>Flat-rolled products of iron or non-alloy steel, of a width of &gt;= 600 mm, in coils, simply hot-rolled, not clad, plated or coated, with patterns in relief directly due to the rolling process</t>
  </si>
  <si>
    <t>720825000080</t>
  </si>
  <si>
    <t>7208 25 00</t>
  </si>
  <si>
    <t>Flat-rolled products of iron or non-alloy steel, of a width of &gt;= 600 mm, in coils, simply hot-rolled, not clad, plated or coated, of a thickness of &gt;= 4,75 mm, pickled, without patterns in relief</t>
  </si>
  <si>
    <t>720826000080</t>
  </si>
  <si>
    <t>7208 26 00</t>
  </si>
  <si>
    <t>Flat-rolled products of iron or non-alloy steel, of a width of &gt;= 600 mm, in coils, simply hot-rolled, not clad, plated or coated, of a thickness of &gt;= 3 mm but &lt; 4,75 mm, pickled, without patterns in relief</t>
  </si>
  <si>
    <t>720827000080</t>
  </si>
  <si>
    <t>7208 27 00</t>
  </si>
  <si>
    <t>Flat-rolled products of iron or non-alloy steel, of a width of &gt;= 600 mm, in coils, simply hot-rolled, not clad, plated or coated, of a thickness of &lt; 3 mm, pickled, without patterns in relief</t>
  </si>
  <si>
    <t>720836000080</t>
  </si>
  <si>
    <t>7208 36 00</t>
  </si>
  <si>
    <t>Flat-rolled products of iron or non-alloy steel, of a width of &gt;= 600 mm, in coils, simply hot-rolled, not clad, plated or coated, of a thickness of &gt;= 10 mm, not pickled, without patterns in relief</t>
  </si>
  <si>
    <t>720837000080</t>
  </si>
  <si>
    <t>7208 37 00</t>
  </si>
  <si>
    <t>Flat-rolled products of iron or non-alloy steel, of a width of &gt;= 600 mm, in coils, simply hot-rolled, not clad, plated or coated, of a thickness of &gt;= 4,75 mm but &lt; 10 mm, not pickled, without patterns in relief</t>
  </si>
  <si>
    <t>720838000080</t>
  </si>
  <si>
    <t>7208 38 00</t>
  </si>
  <si>
    <t>Flat-rolled products of iron or non-alloy steel, of a width of &gt;= 600 mm, in coils, simply hot-rolled, not clad, plated or coated, of a thickness of &gt;= 3 mm but &lt; 4,75 mm, not pickled, without patterns in relief</t>
  </si>
  <si>
    <t>720839000080</t>
  </si>
  <si>
    <t>7208 39 00</t>
  </si>
  <si>
    <t>Flat-rolled products of iron or non-alloy steel, of a width of &gt;= 600 mm, in coils, simply hot-rolled, not clad, plated or coated, of a thickness of &lt; 3 mm, not pickled, without patterns in relief</t>
  </si>
  <si>
    <t>720840000080</t>
  </si>
  <si>
    <t>7208 40 00</t>
  </si>
  <si>
    <t>Flat-rolled products of iron or non-alloy steel, of a width of &gt;= 600 mm, not in coils, simply hot-rolled, not clad, plated or coated, with patterns in relief directly due to the rolling process</t>
  </si>
  <si>
    <t>7208 51</t>
  </si>
  <si>
    <t>Flat-rolled products of iron or non-alloy steel, of a width &gt;= 600 mm, not in coils, simply hot-rolled, not clad, plated or coated, of a thickness of &gt; 10 mm, without patterns in relief</t>
  </si>
  <si>
    <t>720851200080</t>
  </si>
  <si>
    <t>7208 51 20</t>
  </si>
  <si>
    <t>Flat-rolled products of iron or non-alloy steel, of a width of &gt;= 600 mm, not in coils, simply hot-rolled, not clad, plated or coated, of a thickness of &gt; 15 mm, without patterns in relief</t>
  </si>
  <si>
    <t>720851910080</t>
  </si>
  <si>
    <t>7208 51 91</t>
  </si>
  <si>
    <t>Flat-rolled products of iron or non-alloy steel, of a width of &gt;= 2.050 mm, not in coils, simply hot-rolled, not clad, plated or coated, of a thickness of &gt; 10 mm but &lt;= 15 mm, without patterns in relief (excl. "wide flats")</t>
  </si>
  <si>
    <t>720851980080</t>
  </si>
  <si>
    <t>7208 51 98</t>
  </si>
  <si>
    <t>Flat-rolled products of iron or non-alloy steel, of a width of &lt; 2.050 mm but &gt;= 600 mm, not in coils, simply hot-rolled, not clad, plated or coated, of a thickness of &gt; 10 mm but &lt;= 15 mm, without patterns in relief</t>
  </si>
  <si>
    <t>7208 52</t>
  </si>
  <si>
    <t>Flat-rolled products of iron or non-alloy steel, of a width of &gt;= 600 mm, not in coils, simply hot-rolled, not clad, plated or coated, of a thickness of &gt;= 4,75 mm but &lt;= 10 mm, without patterns in relief</t>
  </si>
  <si>
    <t>720852100080</t>
  </si>
  <si>
    <t>7208 52 10</t>
  </si>
  <si>
    <t>Flat-rolled products of iron or non-alloy steel, of a width of &lt;= 1.250 mm, not in coils, simply hot-rolled on four faces or in a closed box pass, not clad, plated or coated, of a thickness of &gt;= 4,75 mm but &lt;= 10 mm, without patterns in relief</t>
  </si>
  <si>
    <t>720852910080</t>
  </si>
  <si>
    <t>7208 52 91</t>
  </si>
  <si>
    <t>Flat-rolled products of iron or non-alloy steel, of a width of &gt;= 2.050 mm, not in coils, simply hot-rolled, not clad, plated or coated, of a thickness of &gt;= 4,75 mm but &lt;= 10 mm, without patterns in relief</t>
  </si>
  <si>
    <t>720852990080</t>
  </si>
  <si>
    <t>7208 52 99</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</si>
  <si>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</si>
  <si>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7208 53</t>
  </si>
  <si>
    <t>Flat-rolled products of iron or non-alloy steel, of a width of &gt;= 600 mm, not in coils, simply hot-rolled, not clad, plated or coated, of a thickness of &gt;= 3 mm but &lt; 4,75 mm, without patterns in relief</t>
  </si>
  <si>
    <t>720853100080</t>
  </si>
  <si>
    <t>7208 53 10</t>
  </si>
  <si>
    <t>Flat-rolled products of iron or non-alloy steel, of a width of &lt;= 1.250 mm, not in coils, simply hot-rolled on four faces or in a closed box pass, not clad, plated or coated, of a thickness of &gt;= 4 mm but &lt; 4,75 mm, without patterns in relief</t>
  </si>
  <si>
    <t>720853900080</t>
  </si>
  <si>
    <t>7208 53 90</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</si>
  <si>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</si>
  <si>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720854000080</t>
  </si>
  <si>
    <t>7208 54 00</t>
  </si>
  <si>
    <t>Flat-rolled products of iron or non-alloy steel, of a width of &gt;= 600 mm, not in coils, simply hot-rolled, not clad, plated or coated, of a thickness of &lt; 3 mm, without patterns in relief</t>
  </si>
  <si>
    <t>7208 90</t>
  </si>
  <si>
    <t>Flat-rolled products of iron or steel, of a width &gt;= 600 mm, hot-rolled and further worked, but not clad, plated or coated</t>
  </si>
  <si>
    <t>720890200080</t>
  </si>
  <si>
    <t>7208 90 20</t>
  </si>
  <si>
    <t>Flat-rolled products of iron or steel, of a width &gt;= 600 mm, hot-rolled and further worked, but not clad, plated or coated, perforated</t>
  </si>
  <si>
    <t>720890800080</t>
  </si>
  <si>
    <t>7208 90 80</t>
  </si>
  <si>
    <t>Flat-rolled products of iron or steel, of a width &gt;= 600 mm, hot-rolled and further worked, but not clad, plated or coated, non-perforated</t>
  </si>
  <si>
    <t>7209</t>
  </si>
  <si>
    <t>Flat-rolled products of iron or non-alloy steel, of a width of &gt;= 600 mm, cold-rolled "cold-reduced", not clad, plated or coated</t>
  </si>
  <si>
    <t>720915000080</t>
  </si>
  <si>
    <t>7209 15 00</t>
  </si>
  <si>
    <t>Flat-rolled products of iron or non-alloy steel, of a width of &gt;= 600 mm, in coils, simply cold-rolled "cold-reduced", not clad, plated or coated, of a thickness of &gt;= 3 mm</t>
  </si>
  <si>
    <t>7209 16</t>
  </si>
  <si>
    <t>Flat-rolled products of iron or non-alloy steel, of a width of &gt;= 600 mm, in coils, simply cold-rolled "cold-reduced", not clad, plated or coated, of a thickness of &gt; 1 mm but &lt; 3 mm</t>
  </si>
  <si>
    <t>720916100080</t>
  </si>
  <si>
    <t>7209 16 10</t>
  </si>
  <si>
    <t>Flat-rolled products of iron or non-alloy steel, of a width of &gt;= 600 mm, in coils, simply cold-rolled "cold-reduced", of a thickness of &gt; 1 mm but &lt; 3 mm "electrical"</t>
  </si>
  <si>
    <t>720916900080</t>
  </si>
  <si>
    <t>7209 16 90</t>
  </si>
  <si>
    <t>Flat-rolled products of iron or non-alloy steel, of a width of &gt;= 600 mm, in coils, simply cold-rolled "cold-reduced", not clad, plated or coated, of a thickness of &gt; 1 mm but &lt; 3 mm (excl. electrical)</t>
  </si>
  <si>
    <t>7209 17</t>
  </si>
  <si>
    <t>Flat-rolled products of iron or non-alloy steel, of a width of &gt;= 600 mm, in coils, simply cold-rolled "cold-reduced", not clad, plated or coated, of a thickness of &gt;= 0,5 mm but &lt;= 1 mm</t>
  </si>
  <si>
    <t>720917100080</t>
  </si>
  <si>
    <t>7209 17 10</t>
  </si>
  <si>
    <t>Flat-rolled products of iron or non-alloy steel, of a width of &gt;= 600 mm, in coils, simply cold-rolled "cold-reduced", of a thickness of &gt;= 0,5 mm but &lt;= 1 mm "electrical"</t>
  </si>
  <si>
    <t>720917900080</t>
  </si>
  <si>
    <t>7209 17 90</t>
  </si>
  <si>
    <t>Flat-rolled products of iron or non-alloy steel, of a width of &gt;= 600 mm, in coils, simply cold-rolled "cold-reduced", not clad, plated or coated, of a thickness of &gt;= 0,5 mm but &lt;= 1 mm (excl. electrical)</t>
  </si>
  <si>
    <t>7209 18</t>
  </si>
  <si>
    <t>Flat-rolled products of iron or non-alloy steel, of a width of &gt;= 600 mm, in coils, simply cold-rolled "cold-reduced", not clad, plated or coated, of a thickness of &lt; 0,5 mm</t>
  </si>
  <si>
    <t>720918100080</t>
  </si>
  <si>
    <t>7209 18 10</t>
  </si>
  <si>
    <t>Flat-rolled products of iron or non-alloy steel, of a width of &gt;= 600 mm, in coils, simply cold-rolled "cold-reduced", of a thickness of &lt; 0,5 mm "electrical"</t>
  </si>
  <si>
    <t>720918910080</t>
  </si>
  <si>
    <t>7209 18 91</t>
  </si>
  <si>
    <t>Flat-rolled products of iron or non-alloy steel, of a width of &gt;= 600 mm, in coils, simply cold-rolled "cold-reduced", not clad, plated or coated, of a thickness of &gt;= 0,35 mm but &lt; 0,5 mm (excl. electrical)</t>
  </si>
  <si>
    <t>720918990080</t>
  </si>
  <si>
    <t>7209 18 99</t>
  </si>
  <si>
    <t>Flat-rolled products of iron or non-alloy steel, of a width of &gt;= 600 mm, in coils, simply cold-rolled "cold-reduced", not clad, plated or coated, of a thickness of &lt; 0,35 mm (excl. electrical)</t>
  </si>
  <si>
    <t>720925000080</t>
  </si>
  <si>
    <t>7209 25 00</t>
  </si>
  <si>
    <t>Flat-rolled products of iron or non-alloy steel, of a width of &gt;= 600 mm, not in coils, simply cold-rolled "cold-reduced", not clad, plated or coated, of a thickness of &gt;= 3 mm</t>
  </si>
  <si>
    <t>7209 26</t>
  </si>
  <si>
    <t>Flat-rolled products of iron or non-alloy steel, of a width of &gt;= 600 mm, not in coils, simply cold-rolled "cold-reduced", not clad, plated or coated, of a thickness of &gt; 1 mm but &lt; 3 mm</t>
  </si>
  <si>
    <t>720926100080</t>
  </si>
  <si>
    <t>7209 26 10</t>
  </si>
  <si>
    <t>Flat-rolled products of iron or non-alloy steel, of a width of &gt;= 600 mm, not in coils, simply cold-rolled "cold-reduced", of a thickness of &gt; 1 mm but &lt; 3 mm "electrical"</t>
  </si>
  <si>
    <t>720926900080</t>
  </si>
  <si>
    <t>7209 26 90</t>
  </si>
  <si>
    <t>Flat-rolled products of iron or non-alloy steel, of a width of &gt;= 600 mm, not in coils, simply cold-rolled "cold-reduced", not clad, plated or coated, of a thickness of &gt; 1 mm but &lt; 3 mm (excl. electrical)</t>
  </si>
  <si>
    <t>7209 27</t>
  </si>
  <si>
    <t>Flat-rolled products of iron or non-alloy steel, of a width of &gt;= 600 mm, not in coils, simply cold-rolled "cold-reduced", not clad, plated or coated, of a thickness of &gt;= 0,5 mm but &lt;= 1 mm</t>
  </si>
  <si>
    <t>720927100080</t>
  </si>
  <si>
    <t>7209 27 10</t>
  </si>
  <si>
    <t>Flat-rolled products of iron or non-alloy steel, of a width of &gt;= 600 mm, not in coils, simply cold-rolled "cold-reduced", of a thickness of &gt;= 0,5 mm but &lt;= 1 mm "electrical"</t>
  </si>
  <si>
    <t>720927900080</t>
  </si>
  <si>
    <t>7209 27 90</t>
  </si>
  <si>
    <t>Flat-rolled products of iron or non-alloy steel, of a width of &gt;= 600 mm, not in coils, simply cold-rolled "cold-reduced", not clad, plated or coated, of a thickness of &gt;= 0,5 mm but &lt;= 1 mm (excl. electrical)</t>
  </si>
  <si>
    <t>7209 28</t>
  </si>
  <si>
    <t>Flat-rolled products of iron or non-alloy steel, of a width of &gt;= 600 mm, not in coils, simply cold-rolled "cold-reduced", not clad, plated or coated, of a thickness of &lt; 0,5 mm</t>
  </si>
  <si>
    <t>720928100080</t>
  </si>
  <si>
    <t>7209 28 10</t>
  </si>
  <si>
    <t>Flat-rolled products of iron or non-alloy steel, of a width of &gt;= 600 mm, not in coils, simply cold-rolled "cold-reduced", of a thickness of &lt; 0,5 mm "electrical"</t>
  </si>
  <si>
    <t>720928900080</t>
  </si>
  <si>
    <t>7209 28 90</t>
  </si>
  <si>
    <t>Flat-rolled products of iron or non-alloy steel, of a width of &gt;= 600 mm, not in coils, simply cold-rolled "cold-reduced", not clad, plated or coated, of a thickness of &lt; 0,5 mm (excl. electrical)</t>
  </si>
  <si>
    <t>7209 90</t>
  </si>
  <si>
    <t>Flat-rolled products of iron or steel, of a width of &gt;= 600 mm, cold-rolled "cold-reduced", and further worked, but not clad, plated or coated</t>
  </si>
  <si>
    <t>720990200080</t>
  </si>
  <si>
    <t>7209 90 20</t>
  </si>
  <si>
    <t>Flat-rolled products of iron or steel, of a width of &gt;= 600 mm, cold-rolled "cold-reduced" and further worked, but not clad, plated or coated, perforated</t>
  </si>
  <si>
    <t>720990800080</t>
  </si>
  <si>
    <t>7209 90 80</t>
  </si>
  <si>
    <t>Flat-rolled products of iron or steel, of a width of &gt;= 600 mm, cold-rolled "cold-reduced" and further worked, but not clad, plated or coated, non-perforated</t>
  </si>
  <si>
    <t>Flat-rolled products of iron or non-alloy steel, of a width &gt;= 600 mm, hot-rolled or cold-rolled "cold-reduced", clad, plated or coated</t>
  </si>
  <si>
    <t>721011000080</t>
  </si>
  <si>
    <t>7210 11 00</t>
  </si>
  <si>
    <t>Flat-rolled products of iron or non-alloy steel, of a width of &gt;= 600 mm, hot-rolled or cold-rolled "cold-reduced", tinned, of a thickness of &gt;= 0,5 mm</t>
  </si>
  <si>
    <t>7210 12</t>
  </si>
  <si>
    <t>Flat-rolled products of iron or non-alloy steel, of a width of &gt;= 600 mm, hot-rolled or cold-rolled "cold-reduced", tinned, of a thickness of &lt; 0,5 mm</t>
  </si>
  <si>
    <t>721012200080</t>
  </si>
  <si>
    <t>7210 12 20</t>
  </si>
  <si>
    <t>Tinplate of iron or non-alloy steel, of a width of &gt;= 600 mm and of a thickness of &lt; 0,5 mm, tinned [coated with a layer of metal containing, by weight,  &gt;= 97% of tin], not further worked than surface-treated</t>
  </si>
  <si>
    <t>721012800080</t>
  </si>
  <si>
    <t>7210 12 80</t>
  </si>
  <si>
    <t>Flat-rolled products of iron or non-alloy steel, of a width of &gt;= 600 mm, hot-rolled or cold-rolled "cold-reduced", plated or coated with tin, of a thickness of &lt; 0,5 mm (excl. tinplate)</t>
  </si>
  <si>
    <t>721020000080</t>
  </si>
  <si>
    <t>7210 20 00</t>
  </si>
  <si>
    <t>Flat-rolled products of iron or non-alloy steel, of a width of &gt;= 600 mm, hot-rolled or cold-rolled "cold-reduced", plated or coated with lead, incl. terne-plate</t>
  </si>
  <si>
    <t>721030000080</t>
  </si>
  <si>
    <t>7210 30 00</t>
  </si>
  <si>
    <t>Flat-rolled products of iron or non-alloy steel, of a width of &gt;= 600 mm, hot-rolled or cold-rolled "cold-reduced", electrolytically plated or coated with zinc</t>
  </si>
  <si>
    <t>721041000080</t>
  </si>
  <si>
    <t>7210 41 00</t>
  </si>
  <si>
    <t>Flat-rolled products of iron or non-alloy steel, of a width of &gt;= 600 mm, hot-rolled or cold-rolled "cold-reduced", corrugated, plated or coated with zinc (excl. electrolytically plated or coated with zinc)</t>
  </si>
  <si>
    <t>721049000080</t>
  </si>
  <si>
    <t>7210 49 00</t>
  </si>
  <si>
    <t>Flat-rolled products of iron or non-alloy steel, of a width of &gt;= 600 mm, hot-rolled or cold-rolled "cold-reduced", not corrugated, plated or coated with zinc (excl. electrolytically plated or coated with zinc)</t>
  </si>
  <si>
    <t>721050000080</t>
  </si>
  <si>
    <t>7210 50 00</t>
  </si>
  <si>
    <t>Flat-rolled products of iron or non-alloy steel, of a width of &gt;= 600 mm, hot-rolled or cold-rolled "cold-reduced", plated or coated with chromium oxides or with chromium and chromium oxides</t>
  </si>
  <si>
    <t>721061000080</t>
  </si>
  <si>
    <t>7210 61 00</t>
  </si>
  <si>
    <t>Flat-rolled products of iron or non-alloy steel, of a width of &gt;= 600 mm, hot-rolled or cold-rolled "cold-reduced", plated or coated with aluminium-zinc alloys</t>
  </si>
  <si>
    <t>721069000080</t>
  </si>
  <si>
    <t>7210 69 00</t>
  </si>
  <si>
    <t>Flat-rolled products of iron or non-alloy steel, of a width of &gt;= 600 mm, hot-rolled or cold-rolled "cold-reduced", plated or coated with aluminium (excl. products plated or coated with aluminium-zinc alloys)</t>
  </si>
  <si>
    <t>7210 70</t>
  </si>
  <si>
    <t>Flat products of iron or non-alloy steel, of a width of &gt;= 600 mm, hot-rolled or cold-rolled "cold-reduced", painted, varnished or coated with plastics</t>
  </si>
  <si>
    <t>721070100080</t>
  </si>
  <si>
    <t>7210 70 10</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</si>
  <si>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</si>
  <si>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721070800080</t>
  </si>
  <si>
    <t>7210 70 80</t>
  </si>
  <si>
    <t>Flat-rolled products of iron or non-alloy steel, of a width of &gt;= 600 mm, hot-rolled or cold-rolled "cold-reduced", painted, varnished or plastic coated (excl. tinplate and products electrolytically plated or coated with chrome, varnished)</t>
  </si>
  <si>
    <t>7210 90</t>
  </si>
  <si>
    <t>Flat-rolled products of iron or non-alloy steel, of a width of &gt;= 600 mm, hot-rolled or cold-rolled "cold-reduced", clad, plated or coated (excl. tinned, plated or coated with lead, zinc, chromium oxides, chromium and chromium oxides, or aluminium, painted, varnished or coated with plastics)</t>
  </si>
  <si>
    <t>721090300080</t>
  </si>
  <si>
    <t>7210 90 30</t>
  </si>
  <si>
    <t>Flat-rolled products of iron or non-alloy steel, of a width of &gt;= 600 mm, hot-rolled or cold-rolled "cold-reduced", clad</t>
  </si>
  <si>
    <t>721090400080</t>
  </si>
  <si>
    <t>7210 90 40</t>
  </si>
  <si>
    <t>Flat-rolled products of iron or non-alloy steel, tinned and printed, of a width of &gt;= 600 mm, hot-rolled or cold-rolled "cold-reduced"</t>
  </si>
  <si>
    <t>721090800080</t>
  </si>
  <si>
    <t>7210 90 80</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</si>
  <si>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</si>
  <si>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7211</t>
  </si>
  <si>
    <t>Flat-rolled products of iron or non-alloy steel, of a width of &lt; 600 mm, hot-rolled or cold-rolled "cold-reduced", not clad, plated or coated</t>
  </si>
  <si>
    <t>721113000080</t>
  </si>
  <si>
    <t>7211 13 00</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</si>
  <si>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</si>
  <si>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721114000080</t>
  </si>
  <si>
    <t>7211 14 00</t>
  </si>
  <si>
    <t>Flat-rolled products of iron or non-alloy steel, of a width &lt; 600 mm, not further worked than hot-rolled, not clad, plated or coated, of a thickness of &gt;= 4,75 mm (excl. "wide flats")</t>
  </si>
  <si>
    <t>721119000080</t>
  </si>
  <si>
    <t>7211 19 00</t>
  </si>
  <si>
    <t>Flat-rolled products of iron or non-alloy steel, of a width &lt; 600 mm, simply hot-rolled, not clad, plated or coated, of a thickness &lt; 4,75 mm (excl. "wide flats")</t>
  </si>
  <si>
    <t>7211 23</t>
  </si>
  <si>
    <t>Flat-rolled products of iron or non-alloy steel, of a width of &lt; 600 mm, simply cold-rolled "cold-reduced", not clad, plated or coated, containing by weight &lt; 0,25% of carbon</t>
  </si>
  <si>
    <t>721123200080</t>
  </si>
  <si>
    <t>7211 23 20</t>
  </si>
  <si>
    <t>Flat-rolled products of iron or non-alloy steel, of a width of &lt; 600 mm, simply cold-rolled "cold-reduced", not clad, plated or coated, containing by weight &lt; 0,25% of carbon "electrical"</t>
  </si>
  <si>
    <t>721123300080</t>
  </si>
  <si>
    <t>7211 23 30</t>
  </si>
  <si>
    <t>Flat-rolled products of iron or non-alloy steel, of a width of &lt; 600 mm and of a thickness of &gt;= 0,35 mm, simply cold-rolled "cold-reduced", not clad, plated or coated, containing by weight &lt; 0,25% of carbon (excl. electrical plate)</t>
  </si>
  <si>
    <t>721123800080</t>
  </si>
  <si>
    <t>7211 23 80</t>
  </si>
  <si>
    <t>Flat-rolled products of iron or non-alloy steel, of a width of &lt; 600 mm and of a thickness of &lt; 0,35 mm, simply cold-rolled "cold-reduced", not clad, plated or coated, containing by weight &lt; 0,25% of carbon (excl. electrical plate)</t>
  </si>
  <si>
    <t>721129000080</t>
  </si>
  <si>
    <t>7211 29 00</t>
  </si>
  <si>
    <t>Flat-rolled products of iron or non-alloy steel, of a width of &lt; 600 mm, simply cold-rolled "cold-reduced", not clad, plated or coated, containing by weight &gt;= 0,25% of carbon</t>
  </si>
  <si>
    <t>7211 90</t>
  </si>
  <si>
    <t>Flat-rolled products of iron or non-alloy steel, of a width of &lt; 600 mm, hot-rolled or cold-rolled "cold-reduced" and further worked, but not clad, plated or coated</t>
  </si>
  <si>
    <t>721190200080</t>
  </si>
  <si>
    <t>7211 90 20</t>
  </si>
  <si>
    <t>Flat-rolled products of iron or non-alloy steel, of a width of &lt; 600 mm, hot-rolled or cold-rolled "cold-reduced" and further worked, but not clad, plated or coated, perforated</t>
  </si>
  <si>
    <t>721190800080</t>
  </si>
  <si>
    <t>7211 90 80</t>
  </si>
  <si>
    <t>Flat-rolled products of iron or non-alloy steel, of a width of &lt; 600 mm, hot-rolled or cold-rolled "cold-reduced" and further worked, but not clad, plated or coatednon-perforated</t>
  </si>
  <si>
    <t>7212</t>
  </si>
  <si>
    <t>Flat-rolled products of iron or non-alloy steel, of a width of &lt; 600 mm, hot-rolled or cold-rolled "cold-reduced", clad, plated or coated</t>
  </si>
  <si>
    <t>7212 10</t>
  </si>
  <si>
    <t>Flat-rolled products of iron or non-alloy steel, of a width of &lt; 600 mm, hot-rolled or cold-rolled "cold-reduced", tinned</t>
  </si>
  <si>
    <t>721210100080</t>
  </si>
  <si>
    <t>7212 10 10</t>
  </si>
  <si>
    <t>Tinplate of iron or non-alloy steel, of a width of &lt; 600 mm and of a thickness of &lt; 0,5 mm, tinned [coated with a layer of metal containing, by weight,  &gt;= 97% of tin], not further worked than surface-treated</t>
  </si>
  <si>
    <t>721210900080</t>
  </si>
  <si>
    <t>7212 10 90</t>
  </si>
  <si>
    <t>Flat-rolled products of iron or non-alloy steel, hot-rolled or cold-rolled "cold-reduced", of a width of &lt; 600 mm, tinned (excl. tinplate, not further worked than surface-treated)</t>
  </si>
  <si>
    <t>721220000080</t>
  </si>
  <si>
    <t>7212 20 00</t>
  </si>
  <si>
    <t>Flat-rolled products of iron or non-alloy steel, of a width of &lt; 600 mm, hot-rolled or cold-rolled "cold-reduced", electrolytically plated or coated with zinc</t>
  </si>
  <si>
    <t>721230000080</t>
  </si>
  <si>
    <t>7212 30 00</t>
  </si>
  <si>
    <t>Flat-rolled products of iron or non-alloy steel, of a width of &lt; 600 mm, hot-rolled or cold-rolled "cold-reduced", tinned (excl. electrolytically plated or coated with zinc)</t>
  </si>
  <si>
    <t>7212 40</t>
  </si>
  <si>
    <t>Flat-rolled products of iron or non-alloy steel, of a width of &lt; 600 mm, hot-rolled or cold-rolled "cold-reduced", painted, varnished or coated with plastics</t>
  </si>
  <si>
    <t>721240200080</t>
  </si>
  <si>
    <t>7212 40 20</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</si>
  <si>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</si>
  <si>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721240800080</t>
  </si>
  <si>
    <t>7212 40 80</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</si>
  <si>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</si>
  <si>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7212 50</t>
  </si>
  <si>
    <t>Flat-rolled products of iron or non-alloy steel, of a width of &lt; 600 mm, hot-rolled or cold-rolled "cold-reduced", plated or coated (excl. tinned, plated or coated with zinc, painted, varnished or coated with plastics)</t>
  </si>
  <si>
    <t>721250200080</t>
  </si>
  <si>
    <t>7212 50 20</t>
  </si>
  <si>
    <t>Flat-rolled products of iron or non-alloy steel, of a width of &lt; 600 mm, hot-rolled or cold-rolled "cold-reduced", plated or coated with chromium oxides or with chromium and chromium oxides (excl. varnished)</t>
  </si>
  <si>
    <t>721250300080</t>
  </si>
  <si>
    <t>7212 50 30</t>
  </si>
  <si>
    <t>Flat-rolled products of iron or non-alloy steel, of a width of &lt; 600 mm, hot-rolled or cold-rolled "cold-reduced", plated or coated with chromium or nickel</t>
  </si>
  <si>
    <t>721250400080</t>
  </si>
  <si>
    <t>7212 50 40</t>
  </si>
  <si>
    <t>Flat-rolled products of iron or non-alloy steel, of a width of &lt; 600 mm, hot-rolled or cold-rolled "cold-reduced", plated or coated with copper</t>
  </si>
  <si>
    <t>721250610080</t>
  </si>
  <si>
    <t>7212 50 61</t>
  </si>
  <si>
    <t>Flat-rolled products of iron or non-alloy steel, of a width of &lt; 600 mm, hot-rolled or cold-rolled "cold-reduced", plated or coated with aluminium-zinc alloys</t>
  </si>
  <si>
    <t>721250690080</t>
  </si>
  <si>
    <t>7212 50 69</t>
  </si>
  <si>
    <t>Flat-rolled products of iron or non-alloy steel, of a width of &lt; 600 mm, hot-rolled or cold-rolled "cold-reduced", plated or coated with aluminium (excl. products plated or coated with aluminium-zinc alloys)</t>
  </si>
  <si>
    <t>721250900080</t>
  </si>
  <si>
    <t>7212 50 90</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</si>
  <si>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</si>
  <si>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721260000080</t>
  </si>
  <si>
    <t>7212 60 00</t>
  </si>
  <si>
    <t>Flat-rolled products of iron or non-alloy steel, of a width of &lt; 600 mm, hot-rolled or cold-rolled "cold-reduced", clad</t>
  </si>
  <si>
    <t>7213</t>
  </si>
  <si>
    <t>Bars and rods of iron or non-alloy steel, hot-rolled, in irregularly wound coils</t>
  </si>
  <si>
    <t>721310000080</t>
  </si>
  <si>
    <t>7213 10 00</t>
  </si>
  <si>
    <t>Bars and rods, hot-rolled, in irregularly wound coils of iron or non-alloy steel, with indentations, ribs, grooves or other deformations produced during the rolling process</t>
  </si>
  <si>
    <t>721320000080</t>
  </si>
  <si>
    <t>7213 20 00</t>
  </si>
  <si>
    <t>Bars and rods, hot-rolled, in irregularly wound coils, of non-alloy free-cutting steel (excl. bars and rods containing indentations, ribs, grooves or other deformations produced during the rolling process)</t>
  </si>
  <si>
    <t>7213 91</t>
  </si>
  <si>
    <t>Bars and rods, hot-rolled, in irregularly wound coils, of iron or non-alloy steel, of circular cross-section measuring &lt; 14 mm in diameter (excl. bars and rods of free-cutting steel, and bars and rods with indentations, ribs, grooves or other deformations produced during the rolling process)</t>
  </si>
  <si>
    <t>721391100080</t>
  </si>
  <si>
    <t>7213 91 10</t>
  </si>
  <si>
    <t>Bars and rods, hot-rolled, of the type used for concrete reinforcement, smooth, of iron or non-alloy steel, in irregularly wound coils, of circular cross-section measuring &lt; 14 mm in diameter</t>
  </si>
  <si>
    <t>721391200080</t>
  </si>
  <si>
    <t>7213 91 20</t>
  </si>
  <si>
    <t>Bars and rods, hot-rolled, of the type used for tyre cord, smooth, of iron or non-alloy steel, in irregularly wound coils</t>
  </si>
  <si>
    <t>721391410080</t>
  </si>
  <si>
    <t>7213 91 41</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</si>
  <si>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</si>
  <si>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721391490080</t>
  </si>
  <si>
    <t>7213 91 49</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</si>
  <si>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</si>
  <si>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721391700080</t>
  </si>
  <si>
    <t>7213 91 70</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</si>
  <si>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</si>
  <si>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721391900080</t>
  </si>
  <si>
    <t>7213 91 90</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</si>
  <si>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</si>
  <si>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7213 99</t>
  </si>
  <si>
    <t>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t>
  </si>
  <si>
    <t>721399100080</t>
  </si>
  <si>
    <t>7213 99 10</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</si>
  <si>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</si>
  <si>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721399900080</t>
  </si>
  <si>
    <t>7213 99 90</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</si>
  <si>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</si>
  <si>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7214</t>
  </si>
  <si>
    <t>Bars and rods, of iron or non-alloy steel, not further worked than forged, hot-rolled, hot-drawn or hot-extruded, but incl. those twisted after rolling (excl. in irregularly wound coils)</t>
  </si>
  <si>
    <t>721410000080</t>
  </si>
  <si>
    <t>7214 10 00</t>
  </si>
  <si>
    <t>Bars and rods, of iron or non-alloy steel, not further worked than forged (excl. in irregularly wound coils)</t>
  </si>
  <si>
    <t>721420000080</t>
  </si>
  <si>
    <t>7214 20 00</t>
  </si>
  <si>
    <t>Bars and rods, of iron or non-alloy steel, with indentations, ribs, groves or other deformations produced during the rolling process</t>
  </si>
  <si>
    <t>721430000080</t>
  </si>
  <si>
    <t>7214 30 00</t>
  </si>
  <si>
    <t>Bars and rods, of non-alloy free-cutting steel, not further worked than hot-rolled, hot-drawn or hot-extruded (excl. containing indentations, ribs, grooves or other deformations produced during the rolling process or twisted after rolling)</t>
  </si>
  <si>
    <t>7214 91</t>
  </si>
  <si>
    <t>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t>
  </si>
  <si>
    <t>721491100080</t>
  </si>
  <si>
    <t>7214 91 10</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</si>
  <si>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</si>
  <si>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721491900080</t>
  </si>
  <si>
    <t>7214 91 90</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</si>
  <si>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</si>
  <si>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7214 99</t>
  </si>
  <si>
    <t>Bars and rods, of iron or non-alloy steel, only hot-rolled, only hot-drawn or only hot-extruded (excl. of rectangular [other than square] cross-section and those containing indentations, ribs, grooves or other deformations produced during the rolling process, and of non-alloy free-cutting steel)</t>
  </si>
  <si>
    <t>721499100080</t>
  </si>
  <si>
    <t>7214 99 10</t>
  </si>
  <si>
    <t>Bars and rods of the type used for concrete reinforcement, smooth, of iron or non-alloy steel, only hot-rolled, only hot-drawn or only hot-extruded, containing &lt; 0,25% of carbon, of square cross-section or of a cross-section other than rectangular</t>
  </si>
  <si>
    <t>721499310080</t>
  </si>
  <si>
    <t>7214 99 31</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</si>
  <si>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</si>
  <si>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721499390080</t>
  </si>
  <si>
    <t>7214 99 39</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</si>
  <si>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</si>
  <si>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721499500080</t>
  </si>
  <si>
    <t>7214 99 50</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</si>
  <si>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</si>
  <si>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721499710080</t>
  </si>
  <si>
    <t>7214 99 71</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</si>
  <si>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</si>
  <si>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721499790080</t>
  </si>
  <si>
    <t>7214 99 79</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</si>
  <si>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</si>
  <si>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721499950080</t>
  </si>
  <si>
    <t>7214 99 95</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</si>
  <si>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</si>
  <si>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7215</t>
  </si>
  <si>
    <t>Bars and rods, of iron or non-alloy steel, cold-formed or cold-finished, whether or not further worked, or hot-formed and further worked, n.e.s.</t>
  </si>
  <si>
    <t>721510000080</t>
  </si>
  <si>
    <t>7215 10 00</t>
  </si>
  <si>
    <t>Bars and rods, of non-alloy free-cutting steel, not further worked than cold-formed or cold-finished</t>
  </si>
  <si>
    <t>7215 50</t>
  </si>
  <si>
    <t>Bars and rods, of iron or non-alloy steel, not further worked than cold-formed or cold-finished (excl. of free-cutting steel)</t>
  </si>
  <si>
    <t>721550110080</t>
  </si>
  <si>
    <t>7215 50 11</t>
  </si>
  <si>
    <t>Other bars and rods of iron or non-alloy steel, not further worked than cold-formed or cold-finished, containing by weight &lt; 0,25% of carbon of rectangular "other than square" cross-section (excl. those of free-cutting steel)</t>
  </si>
  <si>
    <t>721550190080</t>
  </si>
  <si>
    <t>7215 50 19</t>
  </si>
  <si>
    <t>Other bars and rods of iron or non-alloy steel, not further worked than cold-formed or cold-finished, containing by weight &lt; 0,25% of carbon, of square or other than rectangular cross-section (excl. those of free-cutting steel)</t>
  </si>
  <si>
    <t>721550800080</t>
  </si>
  <si>
    <t>7215 50 80</t>
  </si>
  <si>
    <t>Other bars and rods of iron or non-alloy steel, not further worked than cold-formed or cold-finished, containing by weight &gt;= 0,25% of carbon (excl. those of free-cutting steel)</t>
  </si>
  <si>
    <t>721590000080</t>
  </si>
  <si>
    <t>7215 90 00</t>
  </si>
  <si>
    <t>Bars or rods, of iron or non-alloy steel, cold-formed or cold-finished and further worked or hot-formed and further worked, n.e.s.</t>
  </si>
  <si>
    <t>7216</t>
  </si>
  <si>
    <t>Angles, shapes and sections of iron or non-alloy steel, n.e.s.</t>
  </si>
  <si>
    <t>721610000080</t>
  </si>
  <si>
    <t>7216 10 00</t>
  </si>
  <si>
    <t>U, I or H sections of iron or non-alloy steel, not further worked than hot-rolled, hot-drawn or extruded, of a height of &lt; 80 mm</t>
  </si>
  <si>
    <t>721621000080</t>
  </si>
  <si>
    <t>7216 21 00</t>
  </si>
  <si>
    <t>L sections of iron or non-alloy steel, not further worked than hot-rolled, hot-drawn or extruded, of a height of &lt; 80 mm</t>
  </si>
  <si>
    <t>721622000080</t>
  </si>
  <si>
    <t>7216 22 00</t>
  </si>
  <si>
    <t>T sections of iron or non-alloy steel, not further worked than hot-rolled, hot-drawn or extruded, of a height of &lt; 80 mm</t>
  </si>
  <si>
    <t>7216 31</t>
  </si>
  <si>
    <t>U sections of iron or non-alloy steel, not further worked than hot-rolled, hot-drawn or hot-extruded, of a height &gt;= 80 mm</t>
  </si>
  <si>
    <t>721631100080</t>
  </si>
  <si>
    <t>7216 31 10</t>
  </si>
  <si>
    <t>U sections of iron or non-alloy steel, simply hot-rolled, hot-drawn or extruded, of a height &gt;= 80 mm but &lt;= 220 mm</t>
  </si>
  <si>
    <t>721631900080</t>
  </si>
  <si>
    <t>7216 31 90</t>
  </si>
  <si>
    <t>U sections of iron or non-alloy steel, simply hot-rolled, hot-drawn or extruded, of a height &gt; 220 mm</t>
  </si>
  <si>
    <t>7216 32</t>
  </si>
  <si>
    <t>I sections of iron or non-alloy steel, not further worked than hot-rolled, hot-drawn or hot-extruded, of a height &gt;= 80 mm</t>
  </si>
  <si>
    <t>721632110080</t>
  </si>
  <si>
    <t>7216 32 11</t>
  </si>
  <si>
    <t>I sections with parallel flange faces, of iron or non-alloy steel, simply hot-rolled, hot-drawn or extruded, of a height &gt;= 80 mm but &lt;= 220 mm</t>
  </si>
  <si>
    <t>721632190080</t>
  </si>
  <si>
    <t>7216 32 19</t>
  </si>
  <si>
    <t>I sections of iron or non-alloy steel, simply hot-rolled, hot-drawn or extruded, of a height &gt;= 80 mm but &lt;= 220 mm (excl. 7216.32.11)</t>
  </si>
  <si>
    <t>721632910080</t>
  </si>
  <si>
    <t>7216 32 91</t>
  </si>
  <si>
    <t>I sections with parallel flange faces, of iron or non-alloy steel, simply hot-rolled, hot-drawn or extruded, of a height &gt; 220 mm</t>
  </si>
  <si>
    <t>721632990080</t>
  </si>
  <si>
    <t>7216 32 99</t>
  </si>
  <si>
    <t>I sections of iron or non-alloy steel, simply hot-rolled, hot-drawn or extruded, of a height &gt; 220 mm (excl. 7216.32.91)</t>
  </si>
  <si>
    <t>7216 33</t>
  </si>
  <si>
    <t>H sections of iron or non-alloy steel, not further worked than hot-rolled, hot-drawn or hot-extruded, of a height &gt;= 80 mm</t>
  </si>
  <si>
    <t>721633100080</t>
  </si>
  <si>
    <t>7216 33 10</t>
  </si>
  <si>
    <t>H sections of iron or non-alloy steel, simply hot-rolled, hot-drawn or extruded, of a height &gt;= 80 mm but &lt;= 180 mm</t>
  </si>
  <si>
    <t>721633900080</t>
  </si>
  <si>
    <t>7216 33 90</t>
  </si>
  <si>
    <t>H sections of iron or non-alloy steel, simply hot-rolled, hot-drawn or extruded, of a height &gt; 180 mm</t>
  </si>
  <si>
    <t>7216 40</t>
  </si>
  <si>
    <t>L sections of iron or non-alloy steel, not further worked than hot-rolled, hot-drawn or hot-extruded, of a height &gt;= 80 mm</t>
  </si>
  <si>
    <t>721640100080</t>
  </si>
  <si>
    <t>7216 40 10</t>
  </si>
  <si>
    <t>L sections of iron or non-alloy steel, not further worked than hot-rolled, hot-drawn or extruded, of a height of &gt;= 80 mm</t>
  </si>
  <si>
    <t>721640900080</t>
  </si>
  <si>
    <t>7216 40 90</t>
  </si>
  <si>
    <t>T sections of iron or non-alloy steel, not further worked than hot-rolled, hot-drawn or extruded, of a height of &gt;= 80 mm</t>
  </si>
  <si>
    <t>7216 50</t>
  </si>
  <si>
    <t>Sections of iron or non-alloy steel, not further worked than hot-rolled, hot-drawn or hot-extruded (excl. U, I, H, L or T sections)</t>
  </si>
  <si>
    <t>721650100080</t>
  </si>
  <si>
    <t>7216 50 10</t>
  </si>
  <si>
    <t>Sections of iron or non-alloy steel, not further worked than hot-rolled, hot-drawn or hot-extruded, with a cross-section which is capable of being enclosed in a square the side of which is &lt;= 80 mm (excl. U, I, H, L or T sections)</t>
  </si>
  <si>
    <t>721650910080</t>
  </si>
  <si>
    <t>7216 50 91</t>
  </si>
  <si>
    <t>Bulb sections "bulb flat", only hot-rolled, hot-drawn or hot-extruded</t>
  </si>
  <si>
    <t>721650990080</t>
  </si>
  <si>
    <t>7216 50 99</t>
  </si>
  <si>
    <t>Profile of iron or non-alloy steel, only hot-rolled, hot-drawn or hot-extruded (other than with a cross-section which is capable of being enclosed in a square the side of which is &lt;= 80 mm, and U-, I-, H-, L- or T-sections and ribbed sections [ribbed steel])</t>
  </si>
  <si>
    <t>7216 61</t>
  </si>
  <si>
    <t>Angles, shapes and sections, of iron or non-alloy steel, from flat-rolled products simply cold-formed or cold-finished (excl. profiled sheet)</t>
  </si>
  <si>
    <t>721661100080</t>
  </si>
  <si>
    <t>7216 61 10</t>
  </si>
  <si>
    <t>c, l, u, z, omega or open-ended sections of iron or non-alloy steel, simply cold-formed or cold-finished, obtained from flat-rolled products</t>
  </si>
  <si>
    <t>721661900080</t>
  </si>
  <si>
    <t>7216 61 90</t>
  </si>
  <si>
    <t>Angles, shapes and sections (other than c, l, u, z, omega or open-ended sections) of iron or non-alloy steel, simply cold-formed or cold-finished, obtained from flat-rolled products</t>
  </si>
  <si>
    <t>721669000080</t>
  </si>
  <si>
    <t>7216 69 00</t>
  </si>
  <si>
    <t>Angles, shapes and sections, of iron or non-alloy steel, not further worked than cold-formed or cold-finished (excl. profiled sheet)</t>
  </si>
  <si>
    <t>7216 91</t>
  </si>
  <si>
    <t>Angles, shapes and sections, of iron or non-alloy steel, cold-formed or cold-finished from flat-rolled products and further worked</t>
  </si>
  <si>
    <t>721691100080</t>
  </si>
  <si>
    <t>7216 91 10</t>
  </si>
  <si>
    <t>Sheets sheets of iron or non-alloy steel, cold-formed or cold finished, profiled "ribbed"</t>
  </si>
  <si>
    <t>721691800080</t>
  </si>
  <si>
    <t>7216 91 80</t>
  </si>
  <si>
    <t>Angles, shapes and sections, of iron or non-alloy steel, cold-formed or cold-finished from flat-rolled products and further worked (excl. profiled sheet)</t>
  </si>
  <si>
    <t>721699000080</t>
  </si>
  <si>
    <t>7216 99 00</t>
  </si>
  <si>
    <t>Angles, shapes and sections, of iron or non-alloy steel, cold-formed or cold-finished and further worked, or hot-forged, or hot-formed by other means and further worked, n.e.s. (excl. from flat-rolled products)</t>
  </si>
  <si>
    <t>7217</t>
  </si>
  <si>
    <t>Wire of iron or non-alloy steel, in coils (excl. bars and rods)</t>
  </si>
  <si>
    <t>7217 10</t>
  </si>
  <si>
    <t>Wire of iron or non-alloy steel, in coils, not plated or coated, whether or not polished (excl. bars and rods)</t>
  </si>
  <si>
    <t>721710100080</t>
  </si>
  <si>
    <t>7217 10 10</t>
  </si>
  <si>
    <t>Wire of iron or non-alloy steel, in coils, containing by weight &lt; 0,25% carbon, not plated or coated, whether or not polished, with a maximum cross-sectional dimension of &lt; 0,8 mm</t>
  </si>
  <si>
    <t>721710310080</t>
  </si>
  <si>
    <t>7217 10 31</t>
  </si>
  <si>
    <t>Wire of iron or non-alloy steel, in coils, containing by weight &lt; 0,25% carbon, with indentations, ribs, grooves or other deformations produced during the rolling process, not plated or coated, with a maximum cross-sectional dimension of &gt;= 0,8 mm</t>
  </si>
  <si>
    <t>721710390080</t>
  </si>
  <si>
    <t>7217 10 39</t>
  </si>
  <si>
    <t>Wire of iron or non-alloy steel, in coils, containing by weight &lt; 0,25% carbon, not plated or coated, with a maximum cross-sectional dimension of &gt;= 0,8 mm (without indentations, ribs, grooves or other deformations produced during the rolling process)</t>
  </si>
  <si>
    <t>721710500080</t>
  </si>
  <si>
    <t>7217 10 50</t>
  </si>
  <si>
    <t>Wire of iron or non-alloy steel, in coils, containing by weight &gt;= 0,25% but &lt; 0,6% carbon, not plated or coated, whether or not polished (excl. hot-rolled bars and rods)</t>
  </si>
  <si>
    <t>721710900080</t>
  </si>
  <si>
    <t>7217 10 90</t>
  </si>
  <si>
    <t>Wire of iron or non-alloy steel, in coils, containing by weight &gt;= 0,6% carbon, not plated or coated, whether or not polished (excl. hot-rolled bars and rods)</t>
  </si>
  <si>
    <t>7217 20</t>
  </si>
  <si>
    <t>Wire of iron or non-alloy steel, in coils, plated or coated with zinc (excl. bars and rods)</t>
  </si>
  <si>
    <t>721720100080</t>
  </si>
  <si>
    <t>7217 20 10</t>
  </si>
  <si>
    <t>Wire of iron or non-alloy steel, in coils, containing by weight &lt; 0,25% carbon, plated or coated with zinc, with a maximum cross-sectional dimension of &lt; 0,8 mm</t>
  </si>
  <si>
    <t>721720300080</t>
  </si>
  <si>
    <t>7217 20 30</t>
  </si>
  <si>
    <t>Wire of iron or non-alloy steel, in coils, containing by weight &lt; 0,25% carbon, plated or coated with zinc, with a maximum cross-sectional dimension of &lt; 0,8 mm (excl. bars and rods)</t>
  </si>
  <si>
    <t>721720500080</t>
  </si>
  <si>
    <t>7217 20 50</t>
  </si>
  <si>
    <t>Wire of iron or non-alloy steel, in coils, containing by weight &gt;= 0,25% but &lt; 0,6% carbon, plated or coated with zinc (excl. bars and rods)</t>
  </si>
  <si>
    <t>721720900080</t>
  </si>
  <si>
    <t>7217 20 90</t>
  </si>
  <si>
    <t>Wire of iron or non-alloy steel, in coils, containing by weight &gt;= 0,6% carbon, plated or coated with zinc (excl. bars and rods)</t>
  </si>
  <si>
    <t>7217 30</t>
  </si>
  <si>
    <t>Wire of iron or non-alloy steel, in coils, plated or coated with base metals (excl. plated or coated with zinc, and bars and rods)</t>
  </si>
  <si>
    <t>721730410080</t>
  </si>
  <si>
    <t>7217 30 41</t>
  </si>
  <si>
    <t>Wire of iron or non-alloy steel, in coils, containing by weight &lt; 0,25% carbon, copper-coated (excl. bars and rods)</t>
  </si>
  <si>
    <t>721730490080</t>
  </si>
  <si>
    <t>7217 30 49</t>
  </si>
  <si>
    <t>Wire of iron or non-alloy steel, in coils, containing by weight &lt; 0,25% carbon, plated or coated with base metals (excl. products plated or coated with zinc or copper and bars and rods)</t>
  </si>
  <si>
    <t>721730500080</t>
  </si>
  <si>
    <t>7217 30 50</t>
  </si>
  <si>
    <t>Wire of iron or non-alloy steel, in coils, containing by weight &gt;= 0,25% but &lt; 0,6% carbon, plated or coated with base metals (excl. products plated or coated with zinc, and bars and rods)</t>
  </si>
  <si>
    <t>721730900080</t>
  </si>
  <si>
    <t>7217 30 90</t>
  </si>
  <si>
    <t>Wire of iron or non-alloy steel, in coils, containing by weight &gt;= 0,6% carbon, plated or coated with base metals (excl. products plated or coated with zinc, and bars and rods)</t>
  </si>
  <si>
    <t>7217 90</t>
  </si>
  <si>
    <t>Wire of iron or non-alloy steel, in coils, plated or coated (excl. plated or coated with base metals, and bars and rods)</t>
  </si>
  <si>
    <t>721790200080</t>
  </si>
  <si>
    <t>7217 90 20</t>
  </si>
  <si>
    <t>Wire of iron or non-alloy steel, in coils, containing by weight &lt; 0,25% carbon, plated or coated (excl. products plated or coated with base metals and bars and rods)</t>
  </si>
  <si>
    <t>721790500080</t>
  </si>
  <si>
    <t>7217 90 50</t>
  </si>
  <si>
    <t>Wire of iron or non-alloy steel, in coils, containing by weight &gt;= 0,25% but &lt; 0,6% carbon, plated or coated (excl. products plated or coated with with base metals, and bars and rods)</t>
  </si>
  <si>
    <t>721790900080</t>
  </si>
  <si>
    <t>7217 90 90</t>
  </si>
  <si>
    <t>Wire of iron or non-alloy steel, in coils, containing by weight &gt;= 0,6% carbon, plated or coated (excl. products plated or coated with base metals, and bars and rods)</t>
  </si>
  <si>
    <t>7218</t>
  </si>
  <si>
    <t>Stainless steel in ingots or other primary forms (excl. remelting scrap ingots and products obtained by continuous casting); semi-finished products of stainless steel</t>
  </si>
  <si>
    <t>721810000080</t>
  </si>
  <si>
    <t>7218 10 00</t>
  </si>
  <si>
    <t>Steel, stainless, in ingots and other primary forms (excl. waste and scrap in ingot form, and products obtained by continuous casting)</t>
  </si>
  <si>
    <t>7218 91</t>
  </si>
  <si>
    <t>Semi-finished products of stainless steel, of rectangular "other than square" cross-section</t>
  </si>
  <si>
    <t>721891100080</t>
  </si>
  <si>
    <t>7218 91 10</t>
  </si>
  <si>
    <t>Semi-finished products of stainless steel, of rectangular "other than square" cross-section, containing by weight &gt;= 2,5% nickel</t>
  </si>
  <si>
    <t>721891800080</t>
  </si>
  <si>
    <t>7218 91 80</t>
  </si>
  <si>
    <t>Semi-finished products of stainless steel, of rectangular "other than square" cross-section, containing by weight &lt; 2,5 nickel</t>
  </si>
  <si>
    <t>7218 99</t>
  </si>
  <si>
    <t>Semi-finished products of stainless steel (excl. of rectangular [other than square] cross-section)</t>
  </si>
  <si>
    <t>721899110080</t>
  </si>
  <si>
    <t>7218 99 11</t>
  </si>
  <si>
    <t>Semi-finished products of stainless steel, of square cross-section, rolled or obtained by continuous casting</t>
  </si>
  <si>
    <t>721899190080</t>
  </si>
  <si>
    <t>7218 99 19</t>
  </si>
  <si>
    <t>Semi-finished products of stainless steel, of square cross-section, forged</t>
  </si>
  <si>
    <t>721899200080</t>
  </si>
  <si>
    <t>7218 99 20</t>
  </si>
  <si>
    <t>Semi-finished products of stainless steel, of circular cross-section or of cross-section other than square or rectangular, rolled or obtained by continuous casting</t>
  </si>
  <si>
    <t>721899800080</t>
  </si>
  <si>
    <t>7218 99 80</t>
  </si>
  <si>
    <t>Semi-finished products of stainless steel, forged (excl. products of square or rectangular cross-section)</t>
  </si>
  <si>
    <t>7219</t>
  </si>
  <si>
    <t>Flat-rolled products of stainless steel, of a width of &gt;= 600 mm, hot-rolled or cold-rolled "cold-reduced"</t>
  </si>
  <si>
    <t>721911000080</t>
  </si>
  <si>
    <t>7219 11 00</t>
  </si>
  <si>
    <t>Flat-rolled products of stainless steel, of a width of &gt;= 600 mm, not further worked than hot-rolled, in coils, of a thickness of &gt; 10 mm</t>
  </si>
  <si>
    <t>7219 12</t>
  </si>
  <si>
    <t>Flat-rolled products of stainless steel, of a width of&gt;= 600 mm, not further worked than hot-rolled, in coils, of a thickness of &gt;= 4,7 mm and &lt;= 10 mm</t>
  </si>
  <si>
    <t>721912100080</t>
  </si>
  <si>
    <t>7219 12 10</t>
  </si>
  <si>
    <t>Flat-rolled products of stainless steel, of a width of &gt;= 600 mm, not further worked than hot-rolled, in coils, of a thickness of &gt;= 4,75 mm but &lt;= 10 mm, containing by weight &gt;= 2,5 nickel</t>
  </si>
  <si>
    <t>721912900080</t>
  </si>
  <si>
    <t>7219 12 90</t>
  </si>
  <si>
    <t>Flat-rolled products of stainless steel, of a width of &gt;= 600 mm, not further worked than hot-rolled, in coils, of a thickness of &gt;= 4,75 mm but &lt;= 10 mm, containing by weight &lt; 2,5 nickel</t>
  </si>
  <si>
    <t>7219 13</t>
  </si>
  <si>
    <t>Flat-rolled products of stainless steel, of a width of &gt;= 600 mm, not further worked than hot-rolled, in coils, of a thickness of &gt;= 3 mm and &lt; 4,75 mm</t>
  </si>
  <si>
    <t>721913100080</t>
  </si>
  <si>
    <t>7219 13 10</t>
  </si>
  <si>
    <t>Flat-rolled products of stainless steel, of a width of &gt;= 600 mm, not further worked than hot-rolled, in coils, of a thickness of &gt;= 3 mm but &lt;= 4,75 mm, containing by weight &gt;= 2,5 nickel</t>
  </si>
  <si>
    <t>721913900080</t>
  </si>
  <si>
    <t>7219 13 90</t>
  </si>
  <si>
    <t>Flat-rolled products of stainless steel, of a width of &gt;= 600 mm, not further worked than hot-rolled, in coils, of a thickness of &gt;= 3 mm but &lt;= 4,75 mm, containing by weight &lt; 2,5 nickel</t>
  </si>
  <si>
    <t>7219 14</t>
  </si>
  <si>
    <t>Flat-rolled products of stainless steel, of a width of &gt;= 600 mm, not further worked than hot-rolled, in coils, of a thickness of &lt; 3 mm</t>
  </si>
  <si>
    <t>721914100080</t>
  </si>
  <si>
    <t>7219 14 10</t>
  </si>
  <si>
    <t>Flat-rolled products of stainless steel, of a width of &gt;= 600 mm, not further worked than hot-rolled, in coils, of a thickness of &lt; 3 mm, containing by weight &gt;= 2,5 nickel</t>
  </si>
  <si>
    <t>721914900080</t>
  </si>
  <si>
    <t>7219 14 90</t>
  </si>
  <si>
    <t>Flat-rolled products of stainless steel, of a width of &gt;= 600 mm, not further worked than hot-rolled, in coils, of a thickness of &lt; 3 mm, containing by weight &lt; 2,5 nickel</t>
  </si>
  <si>
    <t>7219 21</t>
  </si>
  <si>
    <t>Flat-rolled products of stainless steel, of a width of &gt;= 600 mm, not further worked than hot-rolled, not in coils, of a thickness of &gt; 10 mm</t>
  </si>
  <si>
    <t>721921100080</t>
  </si>
  <si>
    <t>7219 21 10</t>
  </si>
  <si>
    <t>Flat-rolled products of stainless steel, of a width of &gt;= 600 mm, not further worked than hot-rolled, not in coils, of a thickness of &gt; 10 mm, containing by weight &gt;= 2,5 nickel</t>
  </si>
  <si>
    <t>721921900080</t>
  </si>
  <si>
    <t>7219 21 90</t>
  </si>
  <si>
    <t>Flat-rolled products of stainless steel, of a width of &gt;= 600 mm, not further worked than hot-rolled, not in coils, of a thickness of &gt; 10 mm, containing by weight &lt; 2,5 nickel</t>
  </si>
  <si>
    <t>7219 22</t>
  </si>
  <si>
    <t>Flat-rolled products of stainless steel, of a width of &gt;= 600 mm, not further worked than hot-rolled, not in coils, of a thickness of &gt;= 4,75 mm and &lt;= 10 mm</t>
  </si>
  <si>
    <t>721922100080</t>
  </si>
  <si>
    <t>7219 22 10</t>
  </si>
  <si>
    <t>Flat-rolled products of stainless steel, of a width of &gt;= 600 mm, not further worked than hot-rolled, not in coils, of a thickness of &gt;= 4,75 mm but &lt;= 10 mm, containing by weight &gt;= 2,5% nickel</t>
  </si>
  <si>
    <t>721922900080</t>
  </si>
  <si>
    <t>7219 22 90</t>
  </si>
  <si>
    <t>Flat-rolled products of stainless steel, of a width of &gt;= 600 mm, not further worked than hot-rolled, not in coils, of a thickness of &gt;= 4,75 mm but &lt;= 10 mm, containing by weight &lt; 2,5% nickel</t>
  </si>
  <si>
    <t>721923000080</t>
  </si>
  <si>
    <t>7219 23 00</t>
  </si>
  <si>
    <t>Flat-rolled products of stainless steel, of a width of &gt;= 600 mm, not further worked than hot-rolled, not in coils, of a thickness of &gt;= 3 mm and &lt; 4,75 mm</t>
  </si>
  <si>
    <t>721924000080</t>
  </si>
  <si>
    <t>7219 24 00</t>
  </si>
  <si>
    <t>Flat-rolled products of stainless steel, of a width of &gt;= 600 mm, not further worked than hot-rolled, not in coils, of a thickness of &lt; 3 mm</t>
  </si>
  <si>
    <t>721931000080</t>
  </si>
  <si>
    <t>7219 31 00</t>
  </si>
  <si>
    <t>Flat-rolled products of stainless steel, of a width of &gt;= 600 mm, not further worked than cold-rolled "cold-reduced", of a thickness of &gt;= 4,75 mm</t>
  </si>
  <si>
    <t>7219 32</t>
  </si>
  <si>
    <t>Flat-rolled products of stainless steel, of a width of &gt;= 600 mm, not further worked than cold-rolled "cold-reduced", of a thickness of &gt;= 3 mm but &lt; 4,75 mm</t>
  </si>
  <si>
    <t>721932100080</t>
  </si>
  <si>
    <t>7219 32 10</t>
  </si>
  <si>
    <t>Flat-rolled products of stainless steel, of a width of &gt;= 600 mm, not further worked than cold-rolled "cold-reduced", of a thickness of &gt;= 3 mm but &lt;= 4,75 mm, containing by weight &gt;= 2,5% nickel</t>
  </si>
  <si>
    <t>721932900080</t>
  </si>
  <si>
    <t>7219 32 90</t>
  </si>
  <si>
    <t>Flat-rolled products of stainless steel, of a width of &gt;= 600 mm, not further worked than cold-rolled "cold-reduced", of a thickness of &gt;= 3 mm but &lt;= 4,75 mm, containing by weight &lt; 2,5% nickel</t>
  </si>
  <si>
    <t>7219 33</t>
  </si>
  <si>
    <t>Flat-rolled products of stainless steel, of a width of &gt;= 600 mm, not further worked than cold-rolled "cold-reduced", of a thickness of &gt; 1 mm but &lt; 3 mm</t>
  </si>
  <si>
    <t>721933100080</t>
  </si>
  <si>
    <t>7219 33 10</t>
  </si>
  <si>
    <t>Flat-rolled products of stainless steel, of a width of &gt;= 600 mm, not further worked than cold-rolled "cold-reduced", of a thickness of &gt; 1 mm but &lt; 3 mm, containing by weight &gt;= 2,5% nickel</t>
  </si>
  <si>
    <t>721933900080</t>
  </si>
  <si>
    <t>7219 33 90</t>
  </si>
  <si>
    <t>Flat-rolled products of stainless steel, of a width of &gt;= 600 mm, not further worked than cold-rolled "cold-reduced", of a thickness of &gt; 1 mm but &lt; 3 mm, containing by weight &lt; 2,5% nickel</t>
  </si>
  <si>
    <t>7219 34</t>
  </si>
  <si>
    <t>Flat-rolled products of stainless steel, of a width of &gt;= 600 mm, not further worked than cold-rolled "cold-reduced", of a thickness of &gt;= 0,5 mm but &lt;= 1 mm</t>
  </si>
  <si>
    <t>721934100080</t>
  </si>
  <si>
    <t>7219 34 10</t>
  </si>
  <si>
    <t>Flat-rolled products of stainless steel, of a width of &gt;= 600 mm, not further worked than cold-rolled "cold-reduced", of a thickness of &gt;= 0,5 mm but &lt;= 1 mm, containing by weight &gt;= 2,5% nickel</t>
  </si>
  <si>
    <t>721934900080</t>
  </si>
  <si>
    <t>7219 34 90</t>
  </si>
  <si>
    <t>Flat-rolled products of stainless steel, of a width of &gt;= 600 mm, not further worked than cold-rolled "cold-reduced", of a thickness of &gt;= 0,5 mm but &lt;= 1 mm, containing by weight &lt; 2,5% nickel</t>
  </si>
  <si>
    <t>7219 35</t>
  </si>
  <si>
    <t>Flat-rolled products of stainless steel, of a width of &gt;= 600 mm, not further worked than cold-rolled "cold-reduced", of a thickness of &lt; 0,5 mm</t>
  </si>
  <si>
    <t>721935100080</t>
  </si>
  <si>
    <t>7219 35 10</t>
  </si>
  <si>
    <t>Flat-rolled products of stainless steel, of a width of &gt;= 600 mm, not further worked than cold-rolled "cold-reduced", of a thickness of &lt; 0,5 mm, containing by weight &gt;= 2,5% nickel</t>
  </si>
  <si>
    <t>721935900080</t>
  </si>
  <si>
    <t>7219 35 90</t>
  </si>
  <si>
    <t>Flat-rolled products of stainless steel, of a width of &gt;= 600 mm, not further worked than cold-rolled "cold-reduced", of a thickness of &lt; 0,5 mm, containing by weight &lt; 2,5% nickel</t>
  </si>
  <si>
    <t>7219 90</t>
  </si>
  <si>
    <t>Flat-rolled products of stainless steel, of a width of &gt;= 600 mm, hot-rolled or cold-rolled "cold-reduced" and further worked</t>
  </si>
  <si>
    <t>721990200080</t>
  </si>
  <si>
    <t>7219 90 20</t>
  </si>
  <si>
    <t>Flat-rolled products of stainless steel, of a width of &gt;= 600 mm, hot-rolled or cold-rolled "cold-reduced" and further worked, perforated</t>
  </si>
  <si>
    <t>721990800080</t>
  </si>
  <si>
    <t>7219 90 80</t>
  </si>
  <si>
    <t>Flat-rolled products of stainless steel, of a width of &gt;= 600 mm, hot-rolled or cold-rolled "cold-reduced" and further worked, non-perforated</t>
  </si>
  <si>
    <t>Flat-rolled products of stainless steel, of a width of &lt; 600 mm, hot-rolled or cold-rolled "cold-reduced"</t>
  </si>
  <si>
    <t>722011000080</t>
  </si>
  <si>
    <t>7220 11 00</t>
  </si>
  <si>
    <t>Flat-rolled products of stainless steel, of a width of &lt; 600 mm, not further worked than hot-rolled, of a thickness of &gt;= 4,75 mm</t>
  </si>
  <si>
    <t>722012000080</t>
  </si>
  <si>
    <t>7220 12 00</t>
  </si>
  <si>
    <t>Flat-rolled products of stainless steel, of a width of &lt; 600 mm, not further worked than hot-rolled, of a thickness of &lt; 4,75 mm</t>
  </si>
  <si>
    <t>7220 20</t>
  </si>
  <si>
    <t>Flat-rolled products of stainless steel, of a width of &lt; 600 mm, not further worked than cold-rolled "cold-reduced"</t>
  </si>
  <si>
    <t>722020210080</t>
  </si>
  <si>
    <t>7220 20 21</t>
  </si>
  <si>
    <t>Flat-rolled products of stainless steel, of a width of &lt; 600 mm, not further worked than cold-rolled "cold-reduced", of a thickness of &gt;= 3 mm and containing by weight &gt;= 2,5% nickel</t>
  </si>
  <si>
    <t>722020290080</t>
  </si>
  <si>
    <t>7220 20 29</t>
  </si>
  <si>
    <t>Flat-rolled products of stainless steel, of a width of &lt; 600 mm, not further worked than cold-rolled "cold-reduced", of a thickness of &gt;= 3 mm and containing by weight &lt; 2,5% nickel</t>
  </si>
  <si>
    <t>722020410080</t>
  </si>
  <si>
    <t>7220 20 41</t>
  </si>
  <si>
    <t>Flat-rolled products of stainless steel, of a width of &lt; 600 mm, not further worked than cold-rolled "cold-reduced", of a thickness of &gt; 0,35 mm but &lt; 3 mm, and containing by weight &gt;= 2,5% nickel</t>
  </si>
  <si>
    <t>722020490080</t>
  </si>
  <si>
    <t>7220 20 49</t>
  </si>
  <si>
    <t>Flat-rolled products of stainless steel, of a width of &lt; 600 mm, not further worked than cold-rolled "cold-reduced", of a thickness of &gt; 0,35 mm but &lt; 3 mm, and containing by weight &lt; 2,5% nickel</t>
  </si>
  <si>
    <t>722020810080</t>
  </si>
  <si>
    <t>7220 20 81</t>
  </si>
  <si>
    <t>Flat-rolled products of stainless steel, of a width of &lt; 600 mm, not further worked than cold-rolled "cold-reduced", of a thickness of &lt;= 0,35 mm and containing by weight &gt;= 2,5% nickel</t>
  </si>
  <si>
    <t>722020890080</t>
  </si>
  <si>
    <t>7220 20 89</t>
  </si>
  <si>
    <t>Flat-rolled products of stainless steel, of a width of &lt; 600 mm, not further worked than cold-rolled "cold-reduced", of a thickness of &lt;= 0,35 mm and containing by weight &lt; 2,5% nickel</t>
  </si>
  <si>
    <t>7220 90</t>
  </si>
  <si>
    <t>Flat-rolled products of stainless steel, of a width of &lt; 600 mm, hot-rolled or cold-rolled "cold-reduced" and further worked</t>
  </si>
  <si>
    <t>722090200080</t>
  </si>
  <si>
    <t>7220 90 20</t>
  </si>
  <si>
    <t>Flat-rolled products of stainless steel, of a width of &lt; 600 mm, hot-rolled or cold-rolled "cold-reduced" and further worked, perforated</t>
  </si>
  <si>
    <t>722090800080</t>
  </si>
  <si>
    <t>7220 90 80</t>
  </si>
  <si>
    <t>Flat-rolled products of stainless steel, of a width of &lt; 600 mm, hot-rolled or cold-rolled "cold-reduced" and further worked, non-perforated</t>
  </si>
  <si>
    <t>7221 00</t>
  </si>
  <si>
    <t>Bars and rods of stainless steel, hot-rolled, in irregularly wound coils</t>
  </si>
  <si>
    <t>722100100080</t>
  </si>
  <si>
    <t>7221 00 10</t>
  </si>
  <si>
    <t>Bars and rods of stainless steel, hot-rolled, in irregularly wound coils, containing by weight &gt;= 2,5% nickel</t>
  </si>
  <si>
    <t>722100900080</t>
  </si>
  <si>
    <t>7221 00 90</t>
  </si>
  <si>
    <t>Bars and rods of stainless steel, hot-rolled, in irregularly wound coils, containing by weight &lt; 2,5% nickel</t>
  </si>
  <si>
    <t>7222</t>
  </si>
  <si>
    <t>Other bars and rods of stainless steel; angles, shapes and sections of stainless steel, n.e.s.</t>
  </si>
  <si>
    <t>7222 11</t>
  </si>
  <si>
    <t>Bars and rods of stainless steel, only hot-rolled, only hot-drawn or only hot-extruded, of circular cross-section</t>
  </si>
  <si>
    <t>722211110080</t>
  </si>
  <si>
    <t>7222 11 11</t>
  </si>
  <si>
    <t>Bars and rods of stainless steel, not further worked than hot-rolled, hot-drawn or extruded, of circular cross-section of a diameter of &gt;= 800 mm, containing by weight &gt;= 2,5% nickel</t>
  </si>
  <si>
    <t>722211190080</t>
  </si>
  <si>
    <t>7222 11 19</t>
  </si>
  <si>
    <t>Bars and rods of stainless steel, not further worked than hot-rolled, hot-drawn or extruded, of circular cross-section of a diameter of &gt;= 800 mm, containing by weight &lt; 2,5% nickel</t>
  </si>
  <si>
    <t>722211810080</t>
  </si>
  <si>
    <t>7222 11 81</t>
  </si>
  <si>
    <t>Bars and rods of stainless steel, not further worked than hot-rolled, hot-drawn or extruded, of circular cross-section measuring &lt; 80 mm and containing by weight &gt;= 2,5% nickel</t>
  </si>
  <si>
    <t>722211890080</t>
  </si>
  <si>
    <t>7222 11 89</t>
  </si>
  <si>
    <t>Bars and rods of stainless steel, not further worked than hot-rolled, hot-drawn or extruded, of circular cross-section measuring &lt; 80 mm and containing by weight &lt; 2,5% nickel</t>
  </si>
  <si>
    <t>7222 19</t>
  </si>
  <si>
    <t>Bars and rods of stainless steel, only hot-rolled, only hot-drawn or only extruded (excl. of circular cross-section)</t>
  </si>
  <si>
    <t>722219100080</t>
  </si>
  <si>
    <t>7222 19 10</t>
  </si>
  <si>
    <t>Bars and rods of stainless steel, not further worked than hot-rolled, hot-drawn or extruded, containing by weight &gt;= 2,5% nickel (excl. such products of circular cross-section)</t>
  </si>
  <si>
    <t>722219900080</t>
  </si>
  <si>
    <t>7222 19 90</t>
  </si>
  <si>
    <t>Bars and rods of stainless steel, not further worked than hot-rolled, hot-drawn or extruded, containing by weight &lt; 2,5% nickel (excl. such products of circular cross-section)</t>
  </si>
  <si>
    <t>7222 20</t>
  </si>
  <si>
    <t>Other bars and rods of stainless steel, not further worked than cold-formed or cold-finished</t>
  </si>
  <si>
    <t>722220110080</t>
  </si>
  <si>
    <t>7222 20 11</t>
  </si>
  <si>
    <t>Bars and rods of stainless steel, of circular cross-section of a diameter &gt;= 80 mm, simply cold-formed or cold-finished, containing by weight &gt;= 2,5% nickel</t>
  </si>
  <si>
    <t>722220190080</t>
  </si>
  <si>
    <t>7222 20 19</t>
  </si>
  <si>
    <t>Bars and rods of stainless steel, of circular cross-section of a diameter &gt;= 80 mm, simply cold-formed or cold-finished, containing by weight &lt; 2,5% nickel</t>
  </si>
  <si>
    <t>722220210080</t>
  </si>
  <si>
    <t>7222 20 21</t>
  </si>
  <si>
    <t>Bars and rods of stainless steel, not further worked than cold-formed or cold-finished, of circular cross-section measuring &gt;= 25 mm but &lt; 80 mm and containing by weight &gt;= 2,5% nickel</t>
  </si>
  <si>
    <t>722220290080</t>
  </si>
  <si>
    <t>7222 20 29</t>
  </si>
  <si>
    <t>Bars and rods of stainless steel, not further worked than cold-formed or cold-finished, of circular cross-section measuring &gt;= 25 mm but &lt; 80 mm and containing by weight &lt; 2,5% nickel</t>
  </si>
  <si>
    <t>722220310080</t>
  </si>
  <si>
    <t>7222 20 31</t>
  </si>
  <si>
    <t>Bars and rods of stainless steel, not further worked than cold-formed or cold-finished, of circular cross-section measuring &lt; 25 mm and containing by weight &gt;= 2,5% nickel</t>
  </si>
  <si>
    <t>722220390080</t>
  </si>
  <si>
    <t>7222 20 39</t>
  </si>
  <si>
    <t>Bars and rods of stainless steel, not further worked than cold-formed or cold-finished, of circular cross-section measuring &lt; 25 mm and containing by weight &lt; 2,5% nickel</t>
  </si>
  <si>
    <t>722220810080</t>
  </si>
  <si>
    <t>7222 20 81</t>
  </si>
  <si>
    <t>Bars and rods of stainless steel, not further worked than cold-formed or cold-finished, containing by weight &gt;= 2,5% nickel (excl. such products of circular cross-section)</t>
  </si>
  <si>
    <t>722220890080</t>
  </si>
  <si>
    <t>7222 20 89</t>
  </si>
  <si>
    <t>Bars and rods of stainless steel, not further worked than cold-formed or cold-finished, containing by weight &lt; 2,5% nickel (excl. such products of circular cross-section)</t>
  </si>
  <si>
    <t>7222 30</t>
  </si>
  <si>
    <t>Other bars and rods of stainless steel, cold-formed or cold-finished and further worked, or not further worked than forged, or forged, or hot-formed by other means and further worked, n.e.s.</t>
  </si>
  <si>
    <t>722230510080</t>
  </si>
  <si>
    <t>7222 30 51</t>
  </si>
  <si>
    <t>Other bars and rods of stainless steel, containing by weight &gt;= 2,5% of nickel, forged</t>
  </si>
  <si>
    <t>722230910080</t>
  </si>
  <si>
    <t>7222 30 91</t>
  </si>
  <si>
    <t>Other bars and rods of stainless steel, containing by weight &lt; 2,5% of nickel, forged</t>
  </si>
  <si>
    <t>722230970080</t>
  </si>
  <si>
    <t>7222 30 97</t>
  </si>
  <si>
    <t>Bars and rods of stainless steel, cold-formed or cold-finished and further worked, or hot-formed and further worked, n.e.s. (excl. forged products)</t>
  </si>
  <si>
    <t>7222 40</t>
  </si>
  <si>
    <t>Angles, shapes and sections of stainless steel, n.e.s.</t>
  </si>
  <si>
    <t>722240100080</t>
  </si>
  <si>
    <t>7222 40 10</t>
  </si>
  <si>
    <t>Angles, shapes and sections of stainless steel, only hot-rolled, only hot-drawn or only extruded</t>
  </si>
  <si>
    <t>722240500080</t>
  </si>
  <si>
    <t>7222 40 50</t>
  </si>
  <si>
    <t>Angles, shapes and sections of stainless steel, not further worked than cold-formed or cold-finished</t>
  </si>
  <si>
    <t>722240900080</t>
  </si>
  <si>
    <t>7222 40 90</t>
  </si>
  <si>
    <t>Angles, shapes and sections of stainless steel, cold-formed or cold-finished and further worked, or not further worked than forged, or forged, or hot-formed by other means and further worked, n.e.s.</t>
  </si>
  <si>
    <t>7223 00</t>
  </si>
  <si>
    <t>Wire of stainless steel, in coils (excl. bars and rods)</t>
  </si>
  <si>
    <t>722300110080</t>
  </si>
  <si>
    <t>7223 00 11</t>
  </si>
  <si>
    <t>Wire of stainless steel, in coils, containing by weight 28% to 31% nickel and 20% to 22% chromium (excl. bars and rods)</t>
  </si>
  <si>
    <t>722300190080</t>
  </si>
  <si>
    <t>7223 00 19</t>
  </si>
  <si>
    <t>Wire of stainless steel, in coils, containing by weight &gt;= 2,5% nickel (excl. such products containing 28% to 31% nickel and 20% to 22% chromium, and bars and rods)</t>
  </si>
  <si>
    <t>722300910080</t>
  </si>
  <si>
    <t>7223 00 91</t>
  </si>
  <si>
    <t>Wire of stainless steel, in coils, containing by weight &lt; 2,5% nickel, 13% to 25% chromium and 3,5% to 6% aluminium (excl. bars and rods)</t>
  </si>
  <si>
    <t>722300990080</t>
  </si>
  <si>
    <t>7223 00 99</t>
  </si>
  <si>
    <t>Wire of stainless steel, in coils, containing by weight &lt; 2,5% nickel (excl. such products containing 13% to 25% chromium and 3,5% to 6% aluminium, and bars and rods)</t>
  </si>
  <si>
    <t>7224</t>
  </si>
  <si>
    <t>Steel, alloy, other than stainless, in ingots or other primary forms, semi-finished products of alloy steel other than stainless (excl. waste and scrap in ingot form, and products obtained by continuous casting)</t>
  </si>
  <si>
    <t>7224 10</t>
  </si>
  <si>
    <t>Steel, alloy, other than stainless, in ingots or other primary forms (excl. waste and scrap in ingot form, and products obtained by continuous casting)</t>
  </si>
  <si>
    <t>722410100080</t>
  </si>
  <si>
    <t>7224 10 10</t>
  </si>
  <si>
    <t>Ingots and other primary forms, of tool steel</t>
  </si>
  <si>
    <t>722410900080</t>
  </si>
  <si>
    <t>7224 10 90</t>
  </si>
  <si>
    <t>Steel, alloy, other than stainless, in ingots or other primary forms (excl. of tool steel, waste and scrap in ingot form and products obtained by continuous casting)</t>
  </si>
  <si>
    <t>7224 90</t>
  </si>
  <si>
    <t>Semi-finished products of alloy steel other than stainless</t>
  </si>
  <si>
    <t>722490020080</t>
  </si>
  <si>
    <t>7224 90 02</t>
  </si>
  <si>
    <t>Semi-finished products of tool steel</t>
  </si>
  <si>
    <t>722490030080</t>
  </si>
  <si>
    <t>7224 90 03</t>
  </si>
  <si>
    <t>Semi-finished products of high-speed steel, of square or rectangular cross-section, hot-rolled or obtained by continuous casting the width measuring &lt; twice the thickness</t>
  </si>
  <si>
    <t>722490050080</t>
  </si>
  <si>
    <t>7224 90 05</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</si>
  <si>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</si>
  <si>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722490070080</t>
  </si>
  <si>
    <t>7224 90 07</t>
  </si>
  <si>
    <t>Semi-finished products of alloy steel other than stainless steel, of square or rectangular cross-section, hot-rolled or obtained by continuous casting, the width measuring &lt; twice the thickness (excl. of tool steel, high-speed steel and articles of subheading 7224.90.05)</t>
  </si>
  <si>
    <t>722490140080</t>
  </si>
  <si>
    <t>7224 90 14</t>
  </si>
  <si>
    <t>Semi-finished products of alloy steel other than stainless steel, of square or rectangular cross-section, hot-rolled or obtained by continuous casting, the width measuring &gt;= twice the thickness (excl. of tool steel)</t>
  </si>
  <si>
    <t>722490180080</t>
  </si>
  <si>
    <t>7224 90 18</t>
  </si>
  <si>
    <t>Semi-finished products of alloy steel other than stainless steel, of square or rectangular cross-section, forged (excl. of tool steel)</t>
  </si>
  <si>
    <t>722490310080</t>
  </si>
  <si>
    <t>7224 90 31</t>
  </si>
  <si>
    <t>Semi-finished products of steel containing by weight 0,9% to 1,15% carbon, 0,5% to 2% of chromium and, if present, &lt;= 0,5% of molybdenum, cut into shapes other than square or rectangular, hot-rolled or obtained by continuous casting</t>
  </si>
  <si>
    <t>722490380080</t>
  </si>
  <si>
    <t>7224 90 38</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</si>
  <si>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</si>
  <si>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722490900080</t>
  </si>
  <si>
    <t>7224 90 90</t>
  </si>
  <si>
    <t>Semi-finished products of alloy steel, other than stainless steel, forged (excl. of tool steel and products of square or rectangular, circular or polygamol cross-section)</t>
  </si>
  <si>
    <t>7225</t>
  </si>
  <si>
    <t>Flat-rolled products of alloy steel other than stainless, of a width of &gt;= 600 mm, hot-rolled or cold-rolled "cold-reduced"</t>
  </si>
  <si>
    <t>722511000080</t>
  </si>
  <si>
    <t>7225 11 00</t>
  </si>
  <si>
    <t>Flat-rolled products of silicon-electrical steel, of a width of &gt;= 600 mm, grain-oriented</t>
  </si>
  <si>
    <t>7225 19</t>
  </si>
  <si>
    <t>Flat-rolled products of silicon-electrical steel, of a width of &gt;= 600 mm, non-grain-oriented</t>
  </si>
  <si>
    <t>722519100080</t>
  </si>
  <si>
    <t>7225 19 10</t>
  </si>
  <si>
    <t>Flat-rolled products of silicon-electrical steel, of a width of &gt;= 600 mm, hot-rolled</t>
  </si>
  <si>
    <t>722519900080</t>
  </si>
  <si>
    <t>7225 19 90</t>
  </si>
  <si>
    <t>Flat-rolled products of silicon-electrical steel, of a width of &gt;= 600 mm, cold-rolled "cold-reduced", non-grain-oriented</t>
  </si>
  <si>
    <t>7225 30</t>
  </si>
  <si>
    <t>Flat-rolled products of alloy steel other than stainless, of a width of &gt;= 600 mm, not further worked than hot-rolled, in coils (excl. products of silicon-electrical steel)</t>
  </si>
  <si>
    <t>722530100080</t>
  </si>
  <si>
    <t>7225 30 10</t>
  </si>
  <si>
    <t>Flat-rolled products of tool steel, of a width of &gt;= 600 mm, not further worked than hot-rolled, in coils</t>
  </si>
  <si>
    <t>722530300080</t>
  </si>
  <si>
    <t>7225 30 30</t>
  </si>
  <si>
    <t>Flat-rolled products of high-speed steel, of a width of &gt;= 600 mm, not further worked than hot-rolled, in coils</t>
  </si>
  <si>
    <t>722530900080</t>
  </si>
  <si>
    <t>7225 30 90</t>
  </si>
  <si>
    <t>Flat-rolled products of alloy steel other than stainless, of a width of &gt;= 600 mm, not further worked than hot-rolled, in coils (excl. products of tool steel, high-speed steel or silicon-electrical steel)</t>
  </si>
  <si>
    <t>7225 40</t>
  </si>
  <si>
    <t>Flat-rolled products of alloy steel other than stainless, of a width of &gt;= 600 mm, not further worked than hot-rolled, not in coils (excl. products of silicon-electrical steel)</t>
  </si>
  <si>
    <t>722540120080</t>
  </si>
  <si>
    <t>7225 40 12</t>
  </si>
  <si>
    <t>Flat-rolled products of tool steel, of a width of &gt;= 600 mm, not further worked than hot-rolled, not in coils</t>
  </si>
  <si>
    <t>722540150080</t>
  </si>
  <si>
    <t>7225 40 15</t>
  </si>
  <si>
    <t>Flat-rolled products of high-speed steel, of a width of &gt;= 600 mm, not further worked than hot-rolled, not in coils</t>
  </si>
  <si>
    <t>722540400080</t>
  </si>
  <si>
    <t>7225 40 40</t>
  </si>
  <si>
    <t>Flat-rolled products of alloy steel other than stainless, of a width of &gt;= 600 mm, not further worked than hot-rolled, not in coils, of a thickness of &gt; 10 mm (excl. products of tool steel, high-speed steel or silicon-electrical steel)</t>
  </si>
  <si>
    <t>722540600080</t>
  </si>
  <si>
    <t>7225 40 60</t>
  </si>
  <si>
    <t>Flat-rolled products of alloy steel other than stainless, of a width of &gt;= 600 mm, not further worked than hot-rolled, not in coils, of a thickness of &gt;= 4,75 mm but &lt;= 10 mm (excl. products of tool steel, high-speed steel or silicon-electrical steel)</t>
  </si>
  <si>
    <t>722540900080</t>
  </si>
  <si>
    <t>7225 40 90</t>
  </si>
  <si>
    <t>Flat-rolled products of alloy steel other than stainless, of a width of &gt;= 600 mm, not further worked than hot-rolled, not in coils, of a thickness of &lt; 4,75 mm (excl. products of tool steel, high-speed steel or silicon-electrical steel)</t>
  </si>
  <si>
    <t>7225 50</t>
  </si>
  <si>
    <t>Flat-rolled products of alloy steel other than stainless, of a width of &gt;= 600 mm, not further worked than cold-rolled "cold-reduced" (excl. products of silicon-electrical steel)</t>
  </si>
  <si>
    <t>722550200080</t>
  </si>
  <si>
    <t>7225 50 20</t>
  </si>
  <si>
    <t>Flat-rolled products of high-speed steel, of a width of &gt;= 600 mm, not further worked than cold-rolled "cold-reduced"</t>
  </si>
  <si>
    <t>722550800080</t>
  </si>
  <si>
    <t>7225 50 80</t>
  </si>
  <si>
    <t>Flat-rolled products of alloy steel other than stainless, of a width of &gt;= 600 mm, not further worked than cold-rolled "cold-reduced" (excl. products of high-speed steel or silicon-electrical steel)</t>
  </si>
  <si>
    <t>722591000080</t>
  </si>
  <si>
    <t>7225 91 00</t>
  </si>
  <si>
    <t>Flat-rolled products of alloy steel other than stainless, of a width of &gt;= 600 mm, hot-rolled or cold-rolled "cold-reduced" and electrolytically plated or coated with zinc (excl. products of silicon-electrical steel)</t>
  </si>
  <si>
    <t>722592000080</t>
  </si>
  <si>
    <t>7225 92 00</t>
  </si>
  <si>
    <t>Flat-rolled products of alloy steel other than stainless, of a width of &gt;= 600 mm, hot-rolled or cold-rolled "cold-reduced" and plated or coated with zinc (excl. electrolytically plated or coated and products of silicon-electrical steel)</t>
  </si>
  <si>
    <t>722599000080</t>
  </si>
  <si>
    <t>7225 99 00</t>
  </si>
  <si>
    <t>Flat-rolled products of alloy steel other than stainless, of a width of &gt;= 600 mm, hot-rolled or cold-rolled "cold-reduced" and further worked (excl. plated or coated with zinc and products of silicon-electrical steel)</t>
  </si>
  <si>
    <t>7226</t>
  </si>
  <si>
    <t>Flat-rolled products of alloy steel other than stainless, of a width of &lt; 600 mm, hot-rolled or cold-rolled "cold-reduced"</t>
  </si>
  <si>
    <t>722611000080</t>
  </si>
  <si>
    <t>7226 11 00</t>
  </si>
  <si>
    <t>Flat-rolled products of silicon-electrical steel, of a width of &lt; 600 mm, hot-rolled or cold-rolled "cold-reduced", grain-oriented</t>
  </si>
  <si>
    <t>7226 19</t>
  </si>
  <si>
    <t>Flat-rolled products of silicon-electrical steel, of a width of &lt; 600 mm, hot-rolled or cold-rolled "cold-reduced", not grain-oriented</t>
  </si>
  <si>
    <t>722619100080</t>
  </si>
  <si>
    <t>7226 19 10</t>
  </si>
  <si>
    <t>Flat-rolled products of silicon-electrical steel, of a width of &lt; 600 mm, not further worked than hot-rolled</t>
  </si>
  <si>
    <t>722619800080</t>
  </si>
  <si>
    <t>7226 19 80</t>
  </si>
  <si>
    <t>Flat-rolled products of silicon-electrical steel, of a width of &lt; 600 mm, cold-rolled "cold-reduced", whether or not further worked, or hot-rolled and further worked, non-grain-oriented</t>
  </si>
  <si>
    <t>722620000080</t>
  </si>
  <si>
    <t>7226 20 00</t>
  </si>
  <si>
    <t>Flat-rolled products of high-speed steel, of a width of &lt;= 600 mm, hot-rolled or cold-rolled "cold-reduced"</t>
  </si>
  <si>
    <t>7226 91</t>
  </si>
  <si>
    <t>Flat-rolled products of alloy steel other than stainless, of a width of &lt; 600 mm, not further worked than hot-rolled (excl. products of high-speed steel or silicon-electrical steel)</t>
  </si>
  <si>
    <t>722691200080</t>
  </si>
  <si>
    <t>7226 91 20</t>
  </si>
  <si>
    <t>Flat-rolled products of tool steel, of a width of &lt; 600 mm, simply hot-rolled</t>
  </si>
  <si>
    <t>722691910080</t>
  </si>
  <si>
    <t>7226 91 91</t>
  </si>
  <si>
    <t>Flat-rolled products of alloy steel other than stainless steel, simply hot-rolled, of a thickness of &gt;= 4,75 mm, of a width of &lt; 600 mm (excl. of tool steel, silicon-electrical steel or high speed steel)</t>
  </si>
  <si>
    <t>722691990080</t>
  </si>
  <si>
    <t>7226 91 99</t>
  </si>
  <si>
    <t>Flat-rolled products of alloy steel other than stainless steel, simply hot-rolled, of a thickness of &lt; 4,75 mm, of a width of &lt; 600 mm (excl. of tool steel, silicon-electrical steel or high speed steel)</t>
  </si>
  <si>
    <t>722692000080</t>
  </si>
  <si>
    <t>7226 92 00</t>
  </si>
  <si>
    <t>Flat-rolled products of alloy steel other than stainless, of a width of &lt; 600 mm, not further worked than cold-rolled "cold-reduced" (excl. products of high-speed steel or silicon-electrical steel)</t>
  </si>
  <si>
    <t>7226 99</t>
  </si>
  <si>
    <t>Flat-rolled products of alloy steel other than stainless, of a width of &lt; 600 mm, hot-rolled or cold-rolled "cold-reduced" and further worked (excl. products of high-speed steel or silicon-electrical steel)</t>
  </si>
  <si>
    <t>722699100080</t>
  </si>
  <si>
    <t>7226 99 10</t>
  </si>
  <si>
    <t>Flat-rolled products of alloy steel other than stainless, of a width of &lt; 600 mm, hot-rolled or cold-rolled "cold-reduced" and electrolytically plated or coated with zinc (excl. products of high-speed steel or silicon-electrical steel)</t>
  </si>
  <si>
    <t>722699300080</t>
  </si>
  <si>
    <t>7226 99 30</t>
  </si>
  <si>
    <t>Flat-rolled products of alloy steel other than stainless, of a width of &lt; 600 mm, hot-rolled or cold-rolled "cold-reduced" and plated or coated with zinc (excl. electrolytically plated or coated, and products of high-speed steel or silicon-electrical steel)</t>
  </si>
  <si>
    <t>722699700080</t>
  </si>
  <si>
    <t>7226 99 70</t>
  </si>
  <si>
    <t>Flat-rolled products of alloy steel other than stainless, of a width of &lt; 600 mm, hot-rolled or cold-rolled "cold-reduced" and further worked (excl. plated or coated with zinc, and products of high-speed steel or silicon-electrical steel)</t>
  </si>
  <si>
    <t>7227</t>
  </si>
  <si>
    <t>Bars and rods of alloy steel other than stainless, hot-rolled, in irregularly wound coils</t>
  </si>
  <si>
    <t>722710000080</t>
  </si>
  <si>
    <t>7227 10 00</t>
  </si>
  <si>
    <t>Bars and rods of high-speed steel, hot-rolled, in irregularly wound coils</t>
  </si>
  <si>
    <t>722720000080</t>
  </si>
  <si>
    <t>7227 20 00</t>
  </si>
  <si>
    <t>Bars and rods of silico-manganese steel, hot-rolled, in irregularly wound coils</t>
  </si>
  <si>
    <t>7227 90</t>
  </si>
  <si>
    <t>Bars and rods of alloy steel other than stainless, hot-rolled, in irregularly wound coils (excl. products of high-speed steel or silicon-electrical steel)</t>
  </si>
  <si>
    <t>722790100080</t>
  </si>
  <si>
    <t>7227 90 10</t>
  </si>
  <si>
    <t>Bars and rods, hot-rolled, of steel containing by weight &gt;= 0,0008% of boron with any other element &lt; the minimum content referred to in Note 1 f to this chapter, in irregularly wound coils</t>
  </si>
  <si>
    <t>722790500080</t>
  </si>
  <si>
    <t>7227 90 50</t>
  </si>
  <si>
    <t>Bars and rods, hot-rolled, of steel containing by weight 0,9% to 1,15% carbon, 0,5% to 2% of chromium and, if present, &lt;= 0,5 of molybdenum, in irregularly wound coils</t>
  </si>
  <si>
    <t>722790950080</t>
  </si>
  <si>
    <t>7227 90 95</t>
  </si>
  <si>
    <t>Bars and rods, hot-rolled, in irregularly wound coils of alloy steel other than stainless (excl. of high-speed steel or silico-manganese steel and bars and rods of subheadings 7227.90.10 and 7227.90.50)</t>
  </si>
  <si>
    <t>7228</t>
  </si>
  <si>
    <t>Other bars and rods of alloy steel other than stainless, angles, shapes and sections of alloy steel other than stainless, n.e.s.; hollow drill bars and rods, of alloy or non-alloy steel</t>
  </si>
  <si>
    <t>7228 10</t>
  </si>
  <si>
    <t>Bars and rods of high-speed steel (excl. semi-finished products, flat-rolled products and hot-rolled bars and rods in irregularly wound coils)</t>
  </si>
  <si>
    <t>722810200080</t>
  </si>
  <si>
    <t>7228 10 20</t>
  </si>
  <si>
    <t>Bars and rods of high-speed steel, not further worked than hot-rolled, hot-drawn or extruded, and hot-rolled, hot-drawn or extruded, not further worked than clad (excl. semi-finished products, flat-rolled products and hot-rolled bars and rods in irregularly wound coils)</t>
  </si>
  <si>
    <t>722810500080</t>
  </si>
  <si>
    <t>7228 10 50</t>
  </si>
  <si>
    <t>Bars and rods of high-speed steel, forged (excl. semi-finished products, flat-rolled products and hot-rolled bars and rods in irregularly wound coils)</t>
  </si>
  <si>
    <t>722810900080</t>
  </si>
  <si>
    <t>7228 10 90</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</si>
  <si>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</si>
  <si>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7228 20</t>
  </si>
  <si>
    <t>Bars and rods of silico-manganese steel (excl. semi-finished products, flat-rolled products and hot-rolled bars and rods in irregularly wound coils)</t>
  </si>
  <si>
    <t>722820100080</t>
  </si>
  <si>
    <t>7228 20 10</t>
  </si>
  <si>
    <t>Bars and rods of silico-manganese steel, of rectangular "other than square" cross-section, hot-rolled on four faces (excl. semi-finished products, flat-rolled products and hot-rolled bars and rods in irregularly wound coils)</t>
  </si>
  <si>
    <t>722820910080</t>
  </si>
  <si>
    <t>7228 20 91</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</si>
  <si>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</si>
  <si>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722820990080</t>
  </si>
  <si>
    <t>7228 20 99</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</si>
  <si>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</si>
  <si>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7228 30</t>
  </si>
  <si>
    <t>Bars and rods of alloy steel other than stainless, not further worked than hot-rolled, hot-drawn or extruded (excl. products of high-speed steel or silico-manganese steel, semi-finished products, flat-rolled products and hot-rolled bars and rods in irregularly wound coils)</t>
  </si>
  <si>
    <t>722830200080</t>
  </si>
  <si>
    <t>7228 30 20</t>
  </si>
  <si>
    <t>Bars and rods of tool steel, only hot-rolled, only hot-drawn or only extruded (excl. semi-finished products, flat-rolled products and hot-rolled bars and rods in irregularly wound coils)</t>
  </si>
  <si>
    <t>722830410080</t>
  </si>
  <si>
    <t>7228 30 41</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</si>
  <si>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</si>
  <si>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722830490080</t>
  </si>
  <si>
    <t>7228 30 49</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</si>
  <si>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</si>
  <si>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722830610080</t>
  </si>
  <si>
    <t>7228 30 61</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</si>
  <si>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</si>
  <si>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722830690080</t>
  </si>
  <si>
    <t>7228 30 69</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</si>
  <si>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</si>
  <si>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722830700080</t>
  </si>
  <si>
    <t>7228 30 70</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</si>
  <si>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</si>
  <si>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722830890080</t>
  </si>
  <si>
    <t>7228 30 89</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</si>
  <si>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</si>
  <si>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7228 40</t>
  </si>
  <si>
    <t>Bars and rods of alloy steel other than stainless, not further worked than forged (excl. products of high-speed steel or silico-manganese steel, semi-finished products, flat-rolled products and hot-rolled bars and rods in irregularly wound coils)</t>
  </si>
  <si>
    <t>722840100080</t>
  </si>
  <si>
    <t>7228 40 10</t>
  </si>
  <si>
    <t>Bars and rods of tool steel, only forged (excl. semi-finished products, flat-rolled products and hot-rolled bars and rods in irregularly wound coils)</t>
  </si>
  <si>
    <t>722840900080</t>
  </si>
  <si>
    <t>7228 40 90</t>
  </si>
  <si>
    <t>Bars and rods of alloy steel, other than stainless steel, only forged (excl. of high-speed steel, silico-manganese steel, tool steel, semi-finished products, flat-rolled products and hot-rolled bars and rods in irregularly wound coils)</t>
  </si>
  <si>
    <t>7228 50</t>
  </si>
  <si>
    <t>Bars and rods of alloy steel other than stainless, not further worked than cold-formed or cold-finished (excl. products of high-speed steel or silico-manganese steel, semi-finished products, flat-rolled products and hot-rolled bars and rods in irregularly wound coils)</t>
  </si>
  <si>
    <t>722850200080</t>
  </si>
  <si>
    <t>7228 50 20</t>
  </si>
  <si>
    <t>Bars and rods of tool steel, only cold-formed or cold-finished (excl. semi-finished products, flat-rolled products and hot-rolled bars and rods in irregularly wound coils)</t>
  </si>
  <si>
    <t>722850400080</t>
  </si>
  <si>
    <t>7228 50 40</t>
  </si>
  <si>
    <t>Bars and rods of steel containing 0,9% to 1,15% of carbon, 0,5% to 2% of chromium and, if present &lt;= 0,5% of molybdenum, only cold-formed or cold-finished (excl. semi-finished products, flat-rolled products and hot-rolled bars and rods in irregularly wound coils)</t>
  </si>
  <si>
    <t>722850610080</t>
  </si>
  <si>
    <t>7228 50 61</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</si>
  <si>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</si>
  <si>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722850690080</t>
  </si>
  <si>
    <t>7228 50 69</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</si>
  <si>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</si>
  <si>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722850800080</t>
  </si>
  <si>
    <t>7228 50 80</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</si>
  <si>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</si>
  <si>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7228 60</t>
  </si>
  <si>
    <t>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t>
  </si>
  <si>
    <t>722860200080</t>
  </si>
  <si>
    <t>7228 60 20</t>
  </si>
  <si>
    <t>Bars and rods of tool steel, cold-formed or cold-finished and further worked or hot-formed and further worked (excl. semi-finished products, flat-rolled products and hot-rolled bars and rods in irregularly wound coils)</t>
  </si>
  <si>
    <t>722860800080</t>
  </si>
  <si>
    <t>7228 60 80</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</si>
  <si>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</si>
  <si>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7228 70</t>
  </si>
  <si>
    <t>Angles, shapes and sections of alloy steel other than stainless, n.e.s.</t>
  </si>
  <si>
    <t>722870100080</t>
  </si>
  <si>
    <t>7228 70 10</t>
  </si>
  <si>
    <t>Angles, shapes and sections of alloy steel other than stainless, not further worked than hot-rolled, hot-drawn or extruded</t>
  </si>
  <si>
    <t>722870900080</t>
  </si>
  <si>
    <t>7228 70 90</t>
  </si>
  <si>
    <t>Angles, shapes and sections of alloy steel other than stainless, n.e.s. (excl. products not further worked than hot-rolled, hot-drawn or extruded)</t>
  </si>
  <si>
    <t>722880000080</t>
  </si>
  <si>
    <t>7228 80 00</t>
  </si>
  <si>
    <t>Hollow drill bars and rods, of alloy or non-alloy steel</t>
  </si>
  <si>
    <t>7229</t>
  </si>
  <si>
    <t>Wire of alloy steel other than stainless, in coils (excl. bars and rods)</t>
  </si>
  <si>
    <t>722920000080</t>
  </si>
  <si>
    <t>7229 20 00</t>
  </si>
  <si>
    <t>Wire of silico-manganese steel, in coils (excl. bars and rods)</t>
  </si>
  <si>
    <t>7229 90</t>
  </si>
  <si>
    <t>Wire of alloy steel other than stainless, in coils (excl. bars and rods and wire of silico-manganese steel)</t>
  </si>
  <si>
    <t>722990200080</t>
  </si>
  <si>
    <t>7229 90 20</t>
  </si>
  <si>
    <t>Wire of high-speed steel, in coils (excl. bars and rods)</t>
  </si>
  <si>
    <t>722990500080</t>
  </si>
  <si>
    <t>7229 90 50</t>
  </si>
  <si>
    <t>Wire of steel containing by weight 0,9% to 1,1% of carbon, 0,5% to 2% of chromium and, if present, &lt;= 0,5% of molybdenum, in coils (excl. rolled bars and rods)</t>
  </si>
  <si>
    <t>722990900080</t>
  </si>
  <si>
    <t>7229 90 90</t>
  </si>
  <si>
    <t>Wire of alloy steel other than stainless, in coils (excl. rolled bars and rods, wire of high-speed steel or silico-manganese steel and articles of subheading 7229.90.50)</t>
  </si>
  <si>
    <t>7301</t>
  </si>
  <si>
    <t>Sheet piling of iron or steel, whether or not drilled, punched or made from assembled elements; welded angles, shapes and sections, of iron or steel</t>
  </si>
  <si>
    <t>730110000080</t>
  </si>
  <si>
    <t>7301 10 00</t>
  </si>
  <si>
    <t>Sheet piling of iron or steel, whether or not drilled, punched or made from assembled elements</t>
  </si>
  <si>
    <t>730120000080</t>
  </si>
  <si>
    <t>7301 20 00</t>
  </si>
  <si>
    <t>Angles, shapes and sections, of iron or steel, welded</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</si>
  <si>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</si>
  <si>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specialised for jointing or fixing rails</t>
  </si>
  <si>
    <t>7302 10</t>
  </si>
  <si>
    <t>Rails of iron or steel, for railway or tramway track (excl. check-rails)</t>
  </si>
  <si>
    <t>730210100080</t>
  </si>
  <si>
    <t>7302 10 10</t>
  </si>
  <si>
    <t>Current-conducting rails of iron or steel, with parts of non-ferrous metal, for railway or tramway track (excl. check-rails)</t>
  </si>
  <si>
    <t>730210220080</t>
  </si>
  <si>
    <t>7302 10 22</t>
  </si>
  <si>
    <t>Vignole rails of iron or steel, for railway or tramway track, new, of a weight of &gt;= 36 kg/m</t>
  </si>
  <si>
    <t>730210280080</t>
  </si>
  <si>
    <t>7302 10 28</t>
  </si>
  <si>
    <t>Vignole rails of iron or steel, for railway or tramway track, new, of a weight of &lt; 36 kg/m</t>
  </si>
  <si>
    <t>730210400080</t>
  </si>
  <si>
    <t>7302 10 40</t>
  </si>
  <si>
    <t>Grooved rails of iron or steel, for railway or tramway track, new</t>
  </si>
  <si>
    <t>730210500080</t>
  </si>
  <si>
    <t>7302 10 50</t>
  </si>
  <si>
    <t>Rails of iron or steel, for railway or tramway track, new (excl. vignole rails, grooved rails, and current-conducting rails with parts of non-ferrous metal)</t>
  </si>
  <si>
    <t>730210900080</t>
  </si>
  <si>
    <t>7302 10 90</t>
  </si>
  <si>
    <t>Rails of iron or steel, for railway or tramway track, used (excl. current-conducting rails with parts of non-ferrous metal)</t>
  </si>
  <si>
    <t>730230000080</t>
  </si>
  <si>
    <t>7302 30 00</t>
  </si>
  <si>
    <t>Switch blades, crossing frogs, point rods and other crossing pieces, for railway or tramway track, of iron or steel</t>
  </si>
  <si>
    <t>730240000080</t>
  </si>
  <si>
    <t>7302 40 00</t>
  </si>
  <si>
    <t>Fish-plates and sole plates of iron or steel, for railways or tramways</t>
  </si>
  <si>
    <t>730290000080</t>
  </si>
  <si>
    <t>7302 90 00</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</si>
  <si>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</si>
  <si>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7303 00</t>
  </si>
  <si>
    <t>Tubes, pipes and hollow profiles, of cast iron</t>
  </si>
  <si>
    <t>730300100080</t>
  </si>
  <si>
    <t>7303 00 10</t>
  </si>
  <si>
    <t>Tubes and pipes of a kind used in pressure systems, of cast iron</t>
  </si>
  <si>
    <t>730300900080</t>
  </si>
  <si>
    <t>7303 00 90</t>
  </si>
  <si>
    <t>Tubes, pipes and hollow profiles, of cast iron (excl. products of a kind used in pressure systems)</t>
  </si>
  <si>
    <t>7304</t>
  </si>
  <si>
    <t>Tubes, pipes and hollow profiles, seamless, of iron or steel (excl. products of cast iron)</t>
  </si>
  <si>
    <t>730411000080</t>
  </si>
  <si>
    <t>7304 11 00</t>
  </si>
  <si>
    <t>Line pipe of a kind used for oil or gas pipelines, seamless, of stainless steel</t>
  </si>
  <si>
    <t>7304 19</t>
  </si>
  <si>
    <t>Line pipe of a kind used for oil or gas pipelines, seamless, of iron or steel (excl. products of stainless steel or of cast iron)</t>
  </si>
  <si>
    <t>730419100080</t>
  </si>
  <si>
    <t>7304 19 10</t>
  </si>
  <si>
    <t>Line pipe of a kind used for oil or gas pipelines, seamless, of iron or steel, of an external diameter of &lt;= 168,3 mm (excl. products of stainless steel or of cast iron)</t>
  </si>
  <si>
    <t>730419300080</t>
  </si>
  <si>
    <t>7304 19 30</t>
  </si>
  <si>
    <t>Line pipe of a kind used for oil or gas pipelines, seamless, of iron or steel, of an external diameter of &gt; 168,3 mm but &lt;= 406,4 mm (excl. products of stainless steel or of cast iron)</t>
  </si>
  <si>
    <t>730419900080</t>
  </si>
  <si>
    <t>7304 19 90</t>
  </si>
  <si>
    <t>Line pipe of a kind used for oil or gas pipelines, seamless, of iron or steel, of an external diameter of &gt; 406,4 mm (excl. products of stainless steel or of cast iron)</t>
  </si>
  <si>
    <t>730422000080</t>
  </si>
  <si>
    <t>7304 22 00</t>
  </si>
  <si>
    <t>Drill pipe, seamless, of stainless steel, of a kind used in drilling for oil or gas</t>
  </si>
  <si>
    <t>730423000080</t>
  </si>
  <si>
    <t>7304 23 00</t>
  </si>
  <si>
    <t>Drill pipe, seamless, of a kind used in drilling for oil or gas, of iron or steel (excl. products of stainless steel or of cast iron)</t>
  </si>
  <si>
    <t>730424000080</t>
  </si>
  <si>
    <t>7304 24 00</t>
  </si>
  <si>
    <t>Casing and tubing, seamless, of a kind used for drilling for oil or gas, of stainless steel</t>
  </si>
  <si>
    <t>7304 29</t>
  </si>
  <si>
    <t>Casing and tubing, seamless, of iron or steel, of a kind used in drilling for oil or gas (excl. products of cast iron)</t>
  </si>
  <si>
    <t>730429100080</t>
  </si>
  <si>
    <t>7304 29 10</t>
  </si>
  <si>
    <t>Casing and tubing of a kind used for drilling for oil or gas, seamless, of iron or steel, of an external diameter &lt;= 168,3 mm (excl. products of cast iron)</t>
  </si>
  <si>
    <t>730429300080</t>
  </si>
  <si>
    <t>7304 29 30</t>
  </si>
  <si>
    <t>Casing and tubing of a kind used for drilling for oil or gas, seamless, of iron or steel, of an external diameter &gt; 168,3 mm, but &lt;= 406,4 mm (excl. products of cast iron)</t>
  </si>
  <si>
    <t>730429900080</t>
  </si>
  <si>
    <t>7304 29 90</t>
  </si>
  <si>
    <t>Casing and tubing of a kind used for drilling for oil or gas, seamless, of iron or steel, of an external diameter &gt; 406,4 mm (excl. products of cast iron)</t>
  </si>
  <si>
    <t>7304 31</t>
  </si>
  <si>
    <t>Tubes, pipes and hollow profiles, seamless, of circular cross-section, of iron or non-alloy steel, cold-drawn or cold-rolled "cold-reduced" (excl. cast iron products and line pipe of a kind used for oil or gas pipelines or casing and tubing of a kind used for drilling for oil or gas)</t>
  </si>
  <si>
    <t>730431200080</t>
  </si>
  <si>
    <t>7304 31 20</t>
  </si>
  <si>
    <t>Precision tubes, seamless, of circular cross-section, of iron or non-alloy steel, cold-drawn or cold-rolled "cold-reduced" (excl. line pipe of a kind used for oil or gas pipelines or casing and tubing of a kind used for drilling for oil or gas)</t>
  </si>
  <si>
    <t>730431800080</t>
  </si>
  <si>
    <t>7304 31 80</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</si>
  <si>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</si>
  <si>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7304 39</t>
  </si>
  <si>
    <t>Tubes, pipes and hollow profiles, seamless, of circular cross-section, of iron or non-alloy steel, not cold-drawn or cold-rolled "cold-reduced" (excl. cast iron products, line pipe of a kind used for oil or gas pipelines, casing and tubing of a kind used for drilling for oil or gas)</t>
  </si>
  <si>
    <t>730439500080</t>
  </si>
  <si>
    <t>7304 39 50</t>
  </si>
  <si>
    <t>Threaded or threadable tubes "gas pipe", seamless, of iron or non-alloy steel (excl. of cast iron)</t>
  </si>
  <si>
    <t>730439820080</t>
  </si>
  <si>
    <t>7304 39 82</t>
  </si>
  <si>
    <t>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t>
  </si>
  <si>
    <t>730439830080</t>
  </si>
  <si>
    <t>7304 39 83</t>
  </si>
  <si>
    <t>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t>
  </si>
  <si>
    <t>730439880080</t>
  </si>
  <si>
    <t>7304 39 88</t>
  </si>
  <si>
    <t>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t>
  </si>
  <si>
    <t>730441000080</t>
  </si>
  <si>
    <t>7304 41 00</t>
  </si>
  <si>
    <t>Tubes, pipes and hollow profiles, seamless, of circular cross-section, of stainless steel, cold-drawn or cold-rolled "cold-reduced" (excl. line pipe of a kind used for oil or gas pipelines, casing and tubing of a kind used for drilling for oil or gas)</t>
  </si>
  <si>
    <t>7304 49</t>
  </si>
  <si>
    <t>Tubes, pipes and hollow profiles, seamless, of circular cross-section, of stainless steel, not cold-drawn or cold-rolled "cold-reduced" (excl. line pipe of a kind used for oil or gas pipelines or of a kind used for drilling for oil or gas)</t>
  </si>
  <si>
    <t>730449830080</t>
  </si>
  <si>
    <t>7304 49 83</t>
  </si>
  <si>
    <t>Tubes, pipes and hollow profiles, seamless, of circular cross-section, of stainless steel, of an external diameter of &lt;= 168,3 mm (excl. cold-drawn or cold-rolled, line pipe of a kind used for oil or gas pipelines, and casing and tubing of a kind used for drilling for oil or gas and tubes)</t>
  </si>
  <si>
    <t>730449850080</t>
  </si>
  <si>
    <t>7304 49 85</t>
  </si>
  <si>
    <t>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t>
  </si>
  <si>
    <t>730449890080</t>
  </si>
  <si>
    <t>7304 49 89</t>
  </si>
  <si>
    <t>Tubes, pipes and hollow profiles, seamless, of circular cross-section, of stainless steel, of an external diameter of &gt; 406,4 mm (excl. cold-drawn or cold-rolled, line pipe of a kind used for oil or gas pipelines, and casing and tubing of a kind used for drilling for oil or gas and tubes)</t>
  </si>
  <si>
    <t>7304 51</t>
  </si>
  <si>
    <t>Tubes, pipes and hollow profiles, seamless, of circular cross-section, of alloy steel other than stainless, cold-drawn or cold-rolled "cold-reduced" (excl. line pipe of a kind used for oil or gas pipelines, casing and tubing of a kind used for drilling for oil)</t>
  </si>
  <si>
    <t>730451100080</t>
  </si>
  <si>
    <t>7304 51 10</t>
  </si>
  <si>
    <t>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t>
  </si>
  <si>
    <t>730451810080</t>
  </si>
  <si>
    <t>7304 51 81</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</si>
  <si>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</si>
  <si>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730451890080</t>
  </si>
  <si>
    <t>7304 51 89</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</si>
  <si>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</si>
  <si>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7304 59</t>
  </si>
  <si>
    <t>Tubes, pipes and hollow profiles, seamless, of circular cross-section, of alloy steel other than stainless, not cold-drawn or cold-rolled "cold-reduced" (excl. line pipe of a kind used for oil or gas pipelines, casing and tubing of a kind used for drilling for oil)</t>
  </si>
  <si>
    <t>730459300080</t>
  </si>
  <si>
    <t>7304 59 30</t>
  </si>
  <si>
    <t>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t>
  </si>
  <si>
    <t>730459820080</t>
  </si>
  <si>
    <t>7304 59 82</t>
  </si>
  <si>
    <t>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t>
  </si>
  <si>
    <t>730459830080</t>
  </si>
  <si>
    <t>7304 59 83</t>
  </si>
  <si>
    <t>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t>
  </si>
  <si>
    <t>730459890080</t>
  </si>
  <si>
    <t>7304 59 89</t>
  </si>
  <si>
    <t>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t>
  </si>
  <si>
    <t>730490000080</t>
  </si>
  <si>
    <t>7304 90 00</t>
  </si>
  <si>
    <t>Tubes, pipes and hollow profiles, seamless, of non-circular cross-section, of iron or steel (excl. products of cast iron)</t>
  </si>
  <si>
    <t>7305</t>
  </si>
  <si>
    <t>Tubes and pipes, having circular cross-sections and an external diameter of &gt; 406,4 mm, of flat-rolled products of iron or steel "e.g., welded, riveted or similarly closed"</t>
  </si>
  <si>
    <t>730511000080</t>
  </si>
  <si>
    <t>7305 11 00</t>
  </si>
  <si>
    <t>Line pipe of a kind used for oil or gas pipelines, having circular cross-sections and an external diameter of &gt; 406,4 mm, of iron or steel, longitudinally submerged arc welded</t>
  </si>
  <si>
    <t>730512000080</t>
  </si>
  <si>
    <t>7305 12 00</t>
  </si>
  <si>
    <t>Line pipe of a kind used for oil or gas pipelines, having circular cross-sections and an external diameter of &gt; 406,4 mm, of iron or steel, longitudinally arc welded (excl. products longitudinally submerged arc welded)</t>
  </si>
  <si>
    <t>730519000080</t>
  </si>
  <si>
    <t>7305 19 00</t>
  </si>
  <si>
    <t>Line pipe of a kind used for oil or gas pipelines, having circular cross-sections and an external diameter of &gt; 406,4 mm, of flat-rolled products of iron or steel (excl. products longitudinally arc welded)</t>
  </si>
  <si>
    <t>730520000080</t>
  </si>
  <si>
    <t>7305 20 00</t>
  </si>
  <si>
    <t>Casing of a kind used in drilling for oil or gas, having circular cross-sections and an external diameter of &gt; 406,4 mm, of flat-rolled products of iron or steel</t>
  </si>
  <si>
    <t>730531000080</t>
  </si>
  <si>
    <t>7305 31 00</t>
  </si>
  <si>
    <t>Tubes and pipes having circular cross-sections and an external diameter of &gt; 406,4 mm, of iron or steel, longitudinally welded (excl. products of a kind used for oil or gas pipelines or of a kind used in drilling for oil or gas)</t>
  </si>
  <si>
    <t>730539000080</t>
  </si>
  <si>
    <t>7305 39 00</t>
  </si>
  <si>
    <t>Tubes and pipes having circular cross-sections and an external diameter of &gt; 406,4 mm, of iron or steel, welded (excl. products longitudinally welded or of a kind used for oil or gas pipelines or of a kind used in drilling for oil or gas)</t>
  </si>
  <si>
    <t>730590000080</t>
  </si>
  <si>
    <t>7305 90 00</t>
  </si>
  <si>
    <t>Tubes and pipes having circular cross-sections and an external diameter of &gt; 406,4 mm, of flat-rolled products of iron or steel, welded (excl. welded products or products of a kind used for oil or gas pipelines or of a kind used in drilling for oil or gas)</t>
  </si>
  <si>
    <t>7306</t>
  </si>
  <si>
    <t>Tubes, pipes and hollow profiles "e.g., open seam or welded, riveted or similarly closed", of iron or steel (excl. of cast iron, seamless tubes and pipes and tubes having internal and external circular cross-sections and an external diameter of &gt; 406,4 mm)</t>
  </si>
  <si>
    <t>730611000080</t>
  </si>
  <si>
    <t>7306 11 00</t>
  </si>
  <si>
    <t>Line pipe of a kind used for oil or gas pipelines, welded, of flat-rolled products of stainless steel, of an external diameter of &lt;= 406,4 mm</t>
  </si>
  <si>
    <t>730619000080</t>
  </si>
  <si>
    <t>7306 19 00</t>
  </si>
  <si>
    <t>Line pipe of a kind used for oil or gas pipelines, welded, of flat-rolled products of iron or steel, of an external diameter of &lt;= 406,4 mm (excl. products of stainless steel or of cast iron)</t>
  </si>
  <si>
    <t>730621000080</t>
  </si>
  <si>
    <t>7306 21 00</t>
  </si>
  <si>
    <t>Casing and tubing of a kind used in drilling for oil or gas, welded, of flat-rolled products of stainless steel, of an external diameter of &lt;= 406,4 mm</t>
  </si>
  <si>
    <t>730629000080</t>
  </si>
  <si>
    <t>7306 29 00</t>
  </si>
  <si>
    <t>Casing and tubing of a kind used in drilling for oil or gas, welded, of flat-rolled products of iron or steel, of an external diameter of &lt;= 406,4 mm (excl. products of stainless steel or of cast iron)</t>
  </si>
  <si>
    <t>7306 30</t>
  </si>
  <si>
    <t>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t>
  </si>
  <si>
    <t>730630120080</t>
  </si>
  <si>
    <t>7306 30 12</t>
  </si>
  <si>
    <t>Precision tubes, welded, of circular cross-section, of iron or non-alloy steel, cold-drawn or cold-rolled "cold-reduced"</t>
  </si>
  <si>
    <t>730630180080</t>
  </si>
  <si>
    <t>7306 30 18</t>
  </si>
  <si>
    <t>Precision tubes, welded, of circular cross-section, of iron or non-alloy steel (excl. cold-drawn or cold-rolled)</t>
  </si>
  <si>
    <t>730630410080</t>
  </si>
  <si>
    <t>7306 30 41</t>
  </si>
  <si>
    <t>Threaded or threadable tubes "gas pipe", welded, of circular cross-section, of iron or non-alloy steel, plated or coated with zinc</t>
  </si>
  <si>
    <t>730630490080</t>
  </si>
  <si>
    <t>7306 30 49</t>
  </si>
  <si>
    <t>Threaded or threadable tubes "gas pipe", welded, of circular cross-section, of iron or non-alloy steel (excl. products plated or coated with zinc)</t>
  </si>
  <si>
    <t>730630720080</t>
  </si>
  <si>
    <t>7306 30 72</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</si>
  <si>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</si>
  <si>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730630770080</t>
  </si>
  <si>
    <t>7306 30 77</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</si>
  <si>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</si>
  <si>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730630800080</t>
  </si>
  <si>
    <t>7306 30 80</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</si>
  <si>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</si>
  <si>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7306 40</t>
  </si>
  <si>
    <t>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t>
  </si>
  <si>
    <t>730640200080</t>
  </si>
  <si>
    <t>7306 40 20</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</si>
  <si>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</si>
  <si>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730640800080</t>
  </si>
  <si>
    <t>7306 40 80</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</si>
  <si>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</si>
  <si>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7306 50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</si>
  <si>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t>
  </si>
  <si>
    <t>730650210080</t>
  </si>
  <si>
    <t>7306 50 21</t>
  </si>
  <si>
    <t>Precision steel tubes, welded, of circular cross-section, of alloy steel other than stainless, cold-drawn or cold-rolled "cold-reduced"</t>
  </si>
  <si>
    <t>730650290080</t>
  </si>
  <si>
    <t>7306 50 29</t>
  </si>
  <si>
    <t>Precision steel tubes, welded, of circular cross-section, of alloy steel other than stainless (excl. cold-drawn or cold-rolled)</t>
  </si>
  <si>
    <t>730650800080</t>
  </si>
  <si>
    <t>7306 50 80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</si>
  <si>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</si>
  <si>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7306 61</t>
  </si>
  <si>
    <t>Tubes and pipes and hollow profiles, welded, of square or rectangular cross-section, of iron or steel</t>
  </si>
  <si>
    <t>730661100080</t>
  </si>
  <si>
    <t>7306 61 10</t>
  </si>
  <si>
    <t>Tubes and pipes and hollow profiles, welded, of square or rectangular cross-section, of stainless steel</t>
  </si>
  <si>
    <t>730661920080</t>
  </si>
  <si>
    <t>7306 61 92</t>
  </si>
  <si>
    <t>Tubes and pipes and hollow profiles, welded, of square or rectangular cross-section, of iron or steel other than stainless steel, with a wall thickness of &lt;= 2 mm</t>
  </si>
  <si>
    <t>730661990080</t>
  </si>
  <si>
    <t>7306 61 99</t>
  </si>
  <si>
    <t>Tubes and pipes and hollow profiles, welded, of square or rectangular cross-section, of iron or steel other than stainless steel, with a wall thickness of &gt; 2 mm</t>
  </si>
  <si>
    <t>7306 69</t>
  </si>
  <si>
    <t>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</si>
  <si>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730669100080</t>
  </si>
  <si>
    <t>7306 69 10</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</si>
  <si>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</si>
  <si>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730669900080</t>
  </si>
  <si>
    <t>7306 69 90</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</si>
  <si>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</si>
  <si>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730690000080</t>
  </si>
  <si>
    <t>7306 90 00</t>
  </si>
  <si>
    <t>Tubes, pipes and hollow profiles "e.g., open seam, riveted or similarly closed", of iron or steel (excl. of cast iron, seamless or welded tubes and pipes and tubes and pipes having internal and external circular cross-sections and an external diameter of &gt; 406,4 mm)</t>
  </si>
  <si>
    <t>7307</t>
  </si>
  <si>
    <t>Tube or pipe fittings "e.g. couplings, elbows, sleeves", of iron or steel</t>
  </si>
  <si>
    <t>7307 11</t>
  </si>
  <si>
    <t>Tube or pipe fittings of non-malleable cast iron</t>
  </si>
  <si>
    <t>730711100080</t>
  </si>
  <si>
    <t>7307 11 10</t>
  </si>
  <si>
    <t>Tube or pipe fittings of non-malleable cast iron, of a kind used in pressure systems</t>
  </si>
  <si>
    <t>730711900080</t>
  </si>
  <si>
    <t>7307 11 90</t>
  </si>
  <si>
    <t>Tube or pipe fittings of non-malleable cast iron (excl. products of a kind used in pressure systems)</t>
  </si>
  <si>
    <t>7307 19</t>
  </si>
  <si>
    <t>Cast tube or pipe fittings of iron or steel (excl. products of non-malleable cast iron)</t>
  </si>
  <si>
    <t>730719100080</t>
  </si>
  <si>
    <t>7307 19 10</t>
  </si>
  <si>
    <t>Tube or pipe fittings of cast iron (excl. of non-malleable)</t>
  </si>
  <si>
    <t>730719900080</t>
  </si>
  <si>
    <t>7307 19 90</t>
  </si>
  <si>
    <t>Cast tube or pipe fittings of steel</t>
  </si>
  <si>
    <t>730721000080</t>
  </si>
  <si>
    <t>7307 21 00</t>
  </si>
  <si>
    <t>Flanges of stainless steel (excl. cast products)</t>
  </si>
  <si>
    <t>7307 22</t>
  </si>
  <si>
    <t>Threaded elbows, bends and sleeves of stainless steel (excl. cast products)</t>
  </si>
  <si>
    <t>730722100080</t>
  </si>
  <si>
    <t>7307 22 10</t>
  </si>
  <si>
    <t>Sleeves, of stainless steel, threaded (excl. cast products)</t>
  </si>
  <si>
    <t>730722900080</t>
  </si>
  <si>
    <t>7307 22 90</t>
  </si>
  <si>
    <t>Elbows and bends, of stainless steel, threaded (excl. cast products)</t>
  </si>
  <si>
    <t>7307 23</t>
  </si>
  <si>
    <t>Butt welding tube or pipe fittings of stainless steel (excl. cast products)</t>
  </si>
  <si>
    <t>730723100080</t>
  </si>
  <si>
    <t>7307 23 10</t>
  </si>
  <si>
    <t>Butt welding elbows and bends of stainless steel (excl. cast products)</t>
  </si>
  <si>
    <t>730723900080</t>
  </si>
  <si>
    <t>7307 23 90</t>
  </si>
  <si>
    <t>Butt welding tube or pipe fittings of stainless steel (excl. cast products and elbows and bends)</t>
  </si>
  <si>
    <t>7307 29</t>
  </si>
  <si>
    <t>Tube or pipe fittings of stainless steel (excl. cast products, flanges, threaded elbows, bends and sleeves and butt weldings fittings)</t>
  </si>
  <si>
    <t>730729100080</t>
  </si>
  <si>
    <t>7307 29 10</t>
  </si>
  <si>
    <t>Threaded tube or pipe fittings of stainless steel (excl. cast products, flanges, elbows, bends and sleeves)</t>
  </si>
  <si>
    <t>730729800080</t>
  </si>
  <si>
    <t>7307 29 80</t>
  </si>
  <si>
    <t>Tube or pipe fittings of stainless steel (excl. cast, threaded, butt welding fittings and flanges)</t>
  </si>
  <si>
    <t>730791000080</t>
  </si>
  <si>
    <t>7307 91 00</t>
  </si>
  <si>
    <t>Flanges of iron or steel (excl. cast or stainless products)</t>
  </si>
  <si>
    <t>7307 92</t>
  </si>
  <si>
    <t>Threaded elbows, bends and sleeves, of stainless steel (excl. cast or stainless products)</t>
  </si>
  <si>
    <t>730792100080</t>
  </si>
  <si>
    <t>7307 92 10</t>
  </si>
  <si>
    <t>Sleeves of iron or steel, threaded (excl. cast or of stainless steel)</t>
  </si>
  <si>
    <t>730792900080</t>
  </si>
  <si>
    <t>7307 92 90</t>
  </si>
  <si>
    <t>Elbows and bends, of iron or steel, threaded (excl. cast or of stainless steel)</t>
  </si>
  <si>
    <t>7307 93</t>
  </si>
  <si>
    <t>Butt welding fittings of iron or steel (excl. cast iron or stainless steel products, and flanges)</t>
  </si>
  <si>
    <t>730793110080</t>
  </si>
  <si>
    <t>7307 93 11</t>
  </si>
  <si>
    <t>Butt welding elbows and bends, of iron or steel, with greatest external diameter &lt;= 609,6 mm (excl. cast iron or stainless steel products)</t>
  </si>
  <si>
    <t>730793190080</t>
  </si>
  <si>
    <t>7307 93 19</t>
  </si>
  <si>
    <t>Butt welding fittings of iron or steel, with greatest external diameter &lt;= 609,6 mm (excl. cast iron or stainless steel products, elbows, bends and flanges)</t>
  </si>
  <si>
    <t>730793910080</t>
  </si>
  <si>
    <t>7307 93 91</t>
  </si>
  <si>
    <t>Butt welding elbows and bends, of iron or steel, with greatest external diameter &gt; 609,6 mm (excl. cast iron or stainless steel products)</t>
  </si>
  <si>
    <t>730793990080</t>
  </si>
  <si>
    <t>7307 93 99</t>
  </si>
  <si>
    <t>Butt welding fittings of iron or steel, with greatest external diameter &gt; 609,6 mm (excl. cast iron or stainless steel products, elbows, bends and flanges)</t>
  </si>
  <si>
    <t>7307 99</t>
  </si>
  <si>
    <t>Tube or pipe fittings, of iron or steel (excl. cast iron or stainless steel products; flanges; threaded elbows, bends and sleeves; butt welding fittings)</t>
  </si>
  <si>
    <t>730799100080</t>
  </si>
  <si>
    <t>7307 99 10</t>
  </si>
  <si>
    <t>Threaded tube or pipe fittings, of iron or steel (excl. cast iron or stainless steel products, flanges, elbows, bends and sleeves)</t>
  </si>
  <si>
    <t>730799800080</t>
  </si>
  <si>
    <t>7307 99 80</t>
  </si>
  <si>
    <t>Tube or pipe fittings, of iron or steel (excl. of cast iron or stainless steel, threaded, butt welding fittings, and flanges)</t>
  </si>
  <si>
    <t>7308</t>
  </si>
  <si>
    <t>Structures and parts of structures "e.g.,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(excl. prefabricated buildings of heading 9406)</t>
  </si>
  <si>
    <t>730810000080</t>
  </si>
  <si>
    <t>7308 10 00</t>
  </si>
  <si>
    <t>Bridges and bridge-sections, of iron or steel</t>
  </si>
  <si>
    <t>730820000080</t>
  </si>
  <si>
    <t>7308 20 00</t>
  </si>
  <si>
    <t>Towers and lattice masts, of iron or steel</t>
  </si>
  <si>
    <t>730830000080</t>
  </si>
  <si>
    <t>7308 30 00</t>
  </si>
  <si>
    <t>Doors, windows and their frames and thresholds for doors, of iron or steel</t>
  </si>
  <si>
    <t>730840000080</t>
  </si>
  <si>
    <t>7308 40 00</t>
  </si>
  <si>
    <t>Equipment for scaffolding, shuttering, propping or pit-propping (excl. composite sheetpiling products and formwork panels for poured-in-place concrete, which have the characteristics of moulds)</t>
  </si>
  <si>
    <t>7308 90</t>
  </si>
  <si>
    <t>Structures and parts of structures, of iron or steel, n.e.s. (excl. bridges and bridge-sections, towers and lattice masts, doors and windows and their frames, thresholds for doors, props and similar equipment for scaffolding, shuttering, propping or pit-propping)</t>
  </si>
  <si>
    <t>730890510080</t>
  </si>
  <si>
    <t>7308 90 51</t>
  </si>
  <si>
    <t>Panels comprising two walls of profiled "ribbed" sheet, of iron or steel, with an insulating core</t>
  </si>
  <si>
    <t>730890590080</t>
  </si>
  <si>
    <t>7308 90 59</t>
  </si>
  <si>
    <t>Structures and parts of structures, of iron or steel, solely or principally of sheet, n.e.s. (excl. doors and windows and their frames, and panels comprising two walls of profiled "ribbed" sheet, of iron or steel, with an insulating core)</t>
  </si>
  <si>
    <t>730890980080</t>
  </si>
  <si>
    <t>7308 90 98</t>
  </si>
  <si>
    <t>Structures and parts of structures of iron or steel, n.e.s. (excl. bridges and bridge-sections; towers; lattice masts; doors, windows and their frames and thresholds; equipment for scaffolding, shuttering, propping or pit-propping, and products made principally of sheet)</t>
  </si>
  <si>
    <t>7309 00</t>
  </si>
  <si>
    <t>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t>
  </si>
  <si>
    <t>730900100080</t>
  </si>
  <si>
    <t>7309 00 10</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</si>
  <si>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</si>
  <si>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730900300080</t>
  </si>
  <si>
    <t>7309 00 30</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</si>
  <si>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</si>
  <si>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730900510080</t>
  </si>
  <si>
    <t>7309 00 51</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</si>
  <si>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</si>
  <si>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730900590080</t>
  </si>
  <si>
    <t>7309 00 59</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</si>
  <si>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</si>
  <si>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730900900080</t>
  </si>
  <si>
    <t>7309 00 90</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</si>
  <si>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</si>
  <si>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7310</t>
  </si>
  <si>
    <t>Tanks, casks, drums, cans, boxes and similar containers, of iron or steel, for any material "other than compressed or liquefied gas", of a capacity of &lt;= 300 l, not fitted with mechanical or thermal equipment, whether or not lined or heat-insulated, n.e.s.</t>
  </si>
  <si>
    <t>731010000080</t>
  </si>
  <si>
    <t>7310 10 00</t>
  </si>
  <si>
    <t>Tanks, casks, drums, cans, boxes and similar containers, of iron or steel, for any material, of a capacity of &gt;= 50 l but &lt;= 300 l, n.e.s. (excl. containers for compressed or liquefied gas, or containers fitted with mechanical or thermal equipment)</t>
  </si>
  <si>
    <t>7310 21</t>
  </si>
  <si>
    <t>Cans of iron or steel, of a capacity of &lt; 50 l, which are to be closed by soldering or crimping (excl. containers for compressed or liquefied gas)</t>
  </si>
  <si>
    <t>731021110080</t>
  </si>
  <si>
    <t>7310 21 11</t>
  </si>
  <si>
    <t>Cans of iron or steel, of a capacity of &lt; 50 l, which are to be closed by soldering or crimping, of a kind used for preserving food</t>
  </si>
  <si>
    <t>731021190080</t>
  </si>
  <si>
    <t>7310 21 19</t>
  </si>
  <si>
    <t>Cans of iron or steel, of a capacity of &lt; 50 l, which are to be closed by soldering or crimping, of a kind used for preserving drink</t>
  </si>
  <si>
    <t>731021910080</t>
  </si>
  <si>
    <t>7310 21 91</t>
  </si>
  <si>
    <t>Cans of iron or steel, of a capacity of &lt; 50 l, which are to be closed by soldering or crimping, of a wall thickness of &lt; 0,5 mm (excl. cans for compressed or liquefied gas, and cans of a kind used for preserving food and drink)</t>
  </si>
  <si>
    <t>731021990080</t>
  </si>
  <si>
    <t>7310 21 99</t>
  </si>
  <si>
    <t>Cans of iron or steel, of a capacity of &lt; 50 l, which are to be closed by soldering or crimping, of a wall thickness of &gt;= 0,5 mm (excl. cans for compressed or liquefied gas, and cans of a kind used for preserving food and drink)</t>
  </si>
  <si>
    <t>7310 29</t>
  </si>
  <si>
    <t>Tanks, casks, drums, cans, boxes and similar containers, of iron or steel, for any material, of a capacity of &lt; 50 l, n.e.s. (excl. containers for compressed or liquefied gas, or containers fitted with mechanical or thermal equipment, and cans which are to be closed by soldering or crimping)</t>
  </si>
  <si>
    <t>731029100080</t>
  </si>
  <si>
    <t>7310 29 10</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</si>
  <si>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</si>
  <si>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731029900080</t>
  </si>
  <si>
    <t>7310 29 90</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</si>
  <si>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</si>
  <si>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7311 00</t>
  </si>
  <si>
    <t>Containers of iron or steel, for compressed or liquefied gas (excl. containers specifically constructed or equipped for one or more types of transport)</t>
  </si>
  <si>
    <t>731100110080</t>
  </si>
  <si>
    <t>7311 00 11</t>
  </si>
  <si>
    <t>Containers of iron or steel, seamless, for compressed or liquefied gas, for a pressure &gt;= 165 bar, of a capacity &lt; 20 l (excl. containers specifically constructed or equipped for one or more types of transport)</t>
  </si>
  <si>
    <t>731100130080</t>
  </si>
  <si>
    <t>7311 00 13</t>
  </si>
  <si>
    <t>Containers of iron or steel, seamless, for compressed or liquefied gas, for a pressure &gt;= 165 bar, of a capacity &gt;= 20 l to &lt;= 50 l (excl. containers specifically constructed or equipped for one or more types of transport)</t>
  </si>
  <si>
    <t>731100190080</t>
  </si>
  <si>
    <t>7311 00 19</t>
  </si>
  <si>
    <t>Containers of iron or steel, seamless, for compressed or liquefied gas, for a pressure &gt;= 165 bar, of a capacity &gt; 50 l (excl. containers specifically constructed or equipped for one or more types of transport)</t>
  </si>
  <si>
    <t>731100300080</t>
  </si>
  <si>
    <t>7311 00 30</t>
  </si>
  <si>
    <t>Containers of iron or steel, seamless, for compressed or liquefied gas, for a pressure &lt; 165 bar (excl. containers specifically constructed or equipped for one or more types of transport)</t>
  </si>
  <si>
    <t>731100910080</t>
  </si>
  <si>
    <t>7311 00 91</t>
  </si>
  <si>
    <t>Containers of iron or steel, seamless, for compressed or liquefied gas, of a capacity of &lt; 1.000 l (excl. seamless containers and containers specifically constructed or equipped for one or more types of transport)</t>
  </si>
  <si>
    <t>731100990080</t>
  </si>
  <si>
    <t>7311 00 99</t>
  </si>
  <si>
    <t>Containers of iron or steel, seamless, for compressed or liquefied gas, of a capacity of &gt;= 1.000 l (excl. seamless containers and containers specifically constructed or equipped for one or more types of transport)</t>
  </si>
  <si>
    <t>7318</t>
  </si>
  <si>
    <t>Screws, bolts, nuts, coach screws, screw hooks, rivets, cotters, cotter pins, washers, incl. spring washers, and similar articles, of iron or steel (excl. lag screws, stoppers, plugs and the like, threaded)</t>
  </si>
  <si>
    <t>731811000080</t>
  </si>
  <si>
    <t>7318 11 00</t>
  </si>
  <si>
    <t>Coach screws of iron or steel</t>
  </si>
  <si>
    <t>7318 12</t>
  </si>
  <si>
    <t>Wood screws of iron or steel (excl. coach screws)</t>
  </si>
  <si>
    <t>731812100080</t>
  </si>
  <si>
    <t>7318 12 10</t>
  </si>
  <si>
    <t>Wood screws of stainless steel (excl. coach screws)</t>
  </si>
  <si>
    <t>731812900080</t>
  </si>
  <si>
    <t>7318 12 90</t>
  </si>
  <si>
    <t>Wood screws of iron or steel other than stainless (excl. coach screws)</t>
  </si>
  <si>
    <t>731813000080</t>
  </si>
  <si>
    <t>7318 13 00</t>
  </si>
  <si>
    <t>Screw hooks and screw rings, of iron or steel</t>
  </si>
  <si>
    <t>7318 14</t>
  </si>
  <si>
    <t>Self-tapping screws, of iron or steel (excl. wood screws)</t>
  </si>
  <si>
    <t>731814100080</t>
  </si>
  <si>
    <t>7318 14 10</t>
  </si>
  <si>
    <t>Self-tapping screws, of stainless steel (excl. wood screws)</t>
  </si>
  <si>
    <t>731814910080</t>
  </si>
  <si>
    <t>7318 14 91</t>
  </si>
  <si>
    <t>Spaced-thread screws of iron or steel other than stainless</t>
  </si>
  <si>
    <t>731814990080</t>
  </si>
  <si>
    <t>7318 14 99</t>
  </si>
  <si>
    <t>Self-tapping screws of iron or steel other than stainless (excl. spaced-thread screws and wood screws)</t>
  </si>
  <si>
    <t>7318 15</t>
  </si>
  <si>
    <t>Threaded screws and bolts, of iron or steel, whether or not with their nuts and washers (excl. coach screws and other wood screws, screw hooks and screw rings, self-tapping screws, lag screws, stoppers, plugs and the like, threaded)</t>
  </si>
  <si>
    <t>731815200080</t>
  </si>
  <si>
    <t>7318 15 20</t>
  </si>
  <si>
    <t>Screws and bolts, of iron or steel "whether or not with their nuts and washers", for fixing railway track construction material (excl. coach screws)</t>
  </si>
  <si>
    <t>731815350080</t>
  </si>
  <si>
    <t>7318 15 35</t>
  </si>
  <si>
    <t>Screws and bolts, of stainless steel "whether or not with their nuts and washers", without heads (excl. screws and bolts for fixing railway track construction material)</t>
  </si>
  <si>
    <t>731815420080</t>
  </si>
  <si>
    <t>7318 15 42</t>
  </si>
  <si>
    <t>Screws and bolts, of iron or steel other than stainless "whether or not with their nuts and washers", without heads, with a tensile strength of &lt; 800 MPa (excl. screws and bolts for fixing railway track construction material)</t>
  </si>
  <si>
    <t>731815480080</t>
  </si>
  <si>
    <t>7318 15 48</t>
  </si>
  <si>
    <t>Screws and bolts, of iron or steel other than stainless "whether or not with their nuts and washers", without heads, with a tensile strength of &gt;= 800 MPa (excl. screws and bolts for fixing railway track construction material)</t>
  </si>
  <si>
    <t>731815520080</t>
  </si>
  <si>
    <t>7318 15 52</t>
  </si>
  <si>
    <t>Screws and bolts, of stainless steel "whether or not with their nuts and washers", with slotted or cross-recessed heads (excl. wood screws and self-tapping screws)</t>
  </si>
  <si>
    <t>731815580080</t>
  </si>
  <si>
    <t>7318 15 58</t>
  </si>
  <si>
    <t>Screws and bolts, of iron or steel other than stainless "whether or not with their nuts and washers", with slotted or cross-recessed heads (excl. wood screws and self-tapping screws)</t>
  </si>
  <si>
    <t>731815620080</t>
  </si>
  <si>
    <t>7318 15 62</t>
  </si>
  <si>
    <t>Hexagonal-socket head screws and bolts, of stainless steel "whether or not with their nuts and washers" (excl. wood screws, self-tapping screws and screws and bolts for fixing railway track construction material)</t>
  </si>
  <si>
    <t>731815680080</t>
  </si>
  <si>
    <t>7318 15 68</t>
  </si>
  <si>
    <t>Hexagonal-socket head screws and bolts, of iron or steel other than stainless "whether or not with their nuts and washers" (excl. wood screws, self-tapping screws and screws and bolts for fixing railway track construction material)</t>
  </si>
  <si>
    <t>731815750080</t>
  </si>
  <si>
    <t>7318 15 75</t>
  </si>
  <si>
    <t>Hexagon screws and bolts, of stainless steel "whether or not with their nuts and washers" (excl. with socket head, wood screws, self-tapping screws and screws and bolts for fixing railway track construction material)</t>
  </si>
  <si>
    <t>731815820080</t>
  </si>
  <si>
    <t>7318 15 82</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</si>
  <si>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</si>
  <si>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731815880080</t>
  </si>
  <si>
    <t>7318 15 88</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</si>
  <si>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</si>
  <si>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731815950080</t>
  </si>
  <si>
    <t>7318 15 95</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</si>
  <si>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</si>
  <si>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7318 16</t>
  </si>
  <si>
    <t>Nuts of iron or steel</t>
  </si>
  <si>
    <t>731816310080</t>
  </si>
  <si>
    <t>7318 16 31</t>
  </si>
  <si>
    <t>Blind rivet nuts of stainless steel</t>
  </si>
  <si>
    <t>731816390080</t>
  </si>
  <si>
    <t>7318 16 39</t>
  </si>
  <si>
    <t>Nuts of stainless steel (excl. blind rivet nuts)</t>
  </si>
  <si>
    <t>731816400080</t>
  </si>
  <si>
    <t>7318 16 40</t>
  </si>
  <si>
    <t>Blind rivet nuts of iron or steel other than stainless</t>
  </si>
  <si>
    <t>731816600080</t>
  </si>
  <si>
    <t>7318 16 60</t>
  </si>
  <si>
    <t>Self-locking nuts of iron or steel other than stainless</t>
  </si>
  <si>
    <t>731816920080</t>
  </si>
  <si>
    <t>7318 16 92</t>
  </si>
  <si>
    <t>Nuts of iron or steel other than stainless, with an inside diameter &lt;= 12 mm (excl. blind rivet nuts and self-locking nuts)</t>
  </si>
  <si>
    <t>731816990080</t>
  </si>
  <si>
    <t>7318 16 99</t>
  </si>
  <si>
    <t>Nuts of iron or steel other than stainless, with an inside diameter &gt; 12 mm (excl. blind rivet nuts and self-locking nuts)</t>
  </si>
  <si>
    <t>731819000080</t>
  </si>
  <si>
    <t>7318 19 00</t>
  </si>
  <si>
    <t>Threaded articles, of iron or steel, n.e.s.</t>
  </si>
  <si>
    <t>731821000080</t>
  </si>
  <si>
    <t>7318 21 00</t>
  </si>
  <si>
    <t>Spring washers and other lock washers, of iron or steel</t>
  </si>
  <si>
    <t>731822000080</t>
  </si>
  <si>
    <t>7318 22 00</t>
  </si>
  <si>
    <t>Washers of iron or steel (excl. spring washers and other lock washers)</t>
  </si>
  <si>
    <t>731823000080</t>
  </si>
  <si>
    <t>7318 23 00</t>
  </si>
  <si>
    <t>Rivets of iron or steel (excl. tubular and bifurcated rivets for particular uses)</t>
  </si>
  <si>
    <t>731824000080</t>
  </si>
  <si>
    <t>7318 24 00</t>
  </si>
  <si>
    <t>Cotters and cotter pins, of iron or steel</t>
  </si>
  <si>
    <t>731829000080</t>
  </si>
  <si>
    <t>7318 29 00</t>
  </si>
  <si>
    <t>Non-threaded articles, of iron or steel</t>
  </si>
  <si>
    <t>7326</t>
  </si>
  <si>
    <t>Articles of iron or steel, n.e.s. (excl. cast articles)</t>
  </si>
  <si>
    <t>732611000080</t>
  </si>
  <si>
    <t>7326 11 00</t>
  </si>
  <si>
    <t>Grinding balls and similar articles for mills, of iron or steel, forged or stamped, but not further worked</t>
  </si>
  <si>
    <t>7326 19</t>
  </si>
  <si>
    <t>Articles of iron or steel, forged or stamped, but not further worked, n.e.s. (excl. grinding balls and similar articles for mills)</t>
  </si>
  <si>
    <t>732619100080</t>
  </si>
  <si>
    <t>7326 19 10</t>
  </si>
  <si>
    <t>Articles of iron or steel, open-die forged, but not further worked, n.e.s. (excl. grinding balls and similar articles for mills)</t>
  </si>
  <si>
    <t>732619900080</t>
  </si>
  <si>
    <t>7326 19 90</t>
  </si>
  <si>
    <t>Articles of iron or steel, closed-die forged or stamped, but not further worked, n.e.s. (excl. grinding balls and similar articles for mills)</t>
  </si>
  <si>
    <t>732620000080</t>
  </si>
  <si>
    <t>7326 20 00</t>
  </si>
  <si>
    <t>Articles of iron or steel wire, n.e.s.</t>
  </si>
  <si>
    <t>7326 90</t>
  </si>
  <si>
    <t>Articles of iron or steel, n.e.s. (excl. cast articles or articles of iron or steel wire)</t>
  </si>
  <si>
    <t>732690300080</t>
  </si>
  <si>
    <t>7326 90 30</t>
  </si>
  <si>
    <t>Ladders and steps, of iron or steel</t>
  </si>
  <si>
    <t>732690400080</t>
  </si>
  <si>
    <t>7326 90 40</t>
  </si>
  <si>
    <t>Pallets and similar platforms for handling goods, of iron or steel</t>
  </si>
  <si>
    <t>732690500080</t>
  </si>
  <si>
    <t>7326 90 50</t>
  </si>
  <si>
    <t>Reels for cables, piping and the like, of iron or steel</t>
  </si>
  <si>
    <t>732690600080</t>
  </si>
  <si>
    <t>7326 90 60</t>
  </si>
  <si>
    <t>Ventilators, non-mechanical, guttering, hooks and like articles used in the building industry, n.e.s., of iron or steel</t>
  </si>
  <si>
    <t>732690920080</t>
  </si>
  <si>
    <t>7326 90 92</t>
  </si>
  <si>
    <t>Articles of iron or steel, open-die forged, n.e.s.</t>
  </si>
  <si>
    <t>732690940080</t>
  </si>
  <si>
    <t>7326 90 94</t>
  </si>
  <si>
    <t>Articles of iron or steel, closed-die forged, n.e.s.</t>
  </si>
  <si>
    <t>732690960080</t>
  </si>
  <si>
    <t>7326 90 96</t>
  </si>
  <si>
    <t>Sintered articles of iron or steel, n.e.s.</t>
  </si>
  <si>
    <t>732690980080</t>
  </si>
  <si>
    <t>7326 90 98</t>
  </si>
  <si>
    <t>Articles of iron or steel, n.e.s.</t>
  </si>
  <si>
    <t>7601</t>
  </si>
  <si>
    <t>7601 10 00</t>
  </si>
  <si>
    <t>Aluminium, not alloyed, unwrought</t>
  </si>
  <si>
    <t>7601 20</t>
  </si>
  <si>
    <t>Unwrought aluminium alloys</t>
  </si>
  <si>
    <t>7601 20 20</t>
  </si>
  <si>
    <t>Unwrought aluminium alloys in the form of slabs or billets</t>
  </si>
  <si>
    <t>760120800080</t>
  </si>
  <si>
    <t>7601 20 80</t>
  </si>
  <si>
    <t>Unwrought aluminium alloys (excl. slabs and billets)</t>
  </si>
  <si>
    <t>7603</t>
  </si>
  <si>
    <t>Powder and flakes, of aluminium (excl. pellets of aluminium, and spangles)</t>
  </si>
  <si>
    <t>760310000080</t>
  </si>
  <si>
    <t>7603 10 00</t>
  </si>
  <si>
    <t>Powders of aluminium, of non-lamellar structure (excl. pellets of aluminium)</t>
  </si>
  <si>
    <t>760320000080</t>
  </si>
  <si>
    <t>7603 20 00</t>
  </si>
  <si>
    <t>Powders of aluminium, of lamellar structure, and flakes of aluminium (excl. pellets of aluminium, and spangles)</t>
  </si>
  <si>
    <t>7604</t>
  </si>
  <si>
    <t>Bars, rods and profiles, of aluminium, n.e.s.</t>
  </si>
  <si>
    <t>7604 10</t>
  </si>
  <si>
    <t>Bars, rods and profiles, of non-alloy aluminium, n.e.s.</t>
  </si>
  <si>
    <t>760410100080</t>
  </si>
  <si>
    <t>7604 10 10</t>
  </si>
  <si>
    <t>Bars, rods and profiles, of non-alloy aluminium</t>
  </si>
  <si>
    <t>760410900080</t>
  </si>
  <si>
    <t>7604 10 90</t>
  </si>
  <si>
    <t>Profiles of non-alloy aluminium, n.e.s.</t>
  </si>
  <si>
    <t>760421000080</t>
  </si>
  <si>
    <t>7604 21 00</t>
  </si>
  <si>
    <t>Hollow profiles of aluminium alloys, n.e.s.</t>
  </si>
  <si>
    <t>7604 29</t>
  </si>
  <si>
    <t>Bars, rods and solid profiles, of aluminium alloys, n.e.s.</t>
  </si>
  <si>
    <t>760429100080</t>
  </si>
  <si>
    <t>7604 29 10</t>
  </si>
  <si>
    <t>Bars and rods of aluminium alloys</t>
  </si>
  <si>
    <t>760429900080</t>
  </si>
  <si>
    <t>7604 29 90</t>
  </si>
  <si>
    <t>Solid profiles, of aluminium alloys, n.e.s.</t>
  </si>
  <si>
    <t>7605</t>
  </si>
  <si>
    <t>Aluminium wire (excl. stranded wire, cables, plaited bands and the like and other articles of heading 7614, electrically insulated wires, and strings for musical instruments)</t>
  </si>
  <si>
    <t>760511000080</t>
  </si>
  <si>
    <t>7605 11 00</t>
  </si>
  <si>
    <t>Wire of non-alloy aluminium, with a maximum cross-sectional dimension of &gt; 7 mm (excl. stranded wire, cables, plaited bands and the like and other articles of heading 7614, and electrically insulated wires)</t>
  </si>
  <si>
    <t>760519000080</t>
  </si>
  <si>
    <t>7605 19 00</t>
  </si>
  <si>
    <t>Wire of non-alloy aluminium, with a maximum cross-sectional dimension of &lt;= 7 mm (other than stranded wires, cables, ropes and other articles of heading 7614, electrically insulated wires, strings for musical instruments)</t>
  </si>
  <si>
    <t>760521000080</t>
  </si>
  <si>
    <t>7605 21 00</t>
  </si>
  <si>
    <t>Wire of aluminium alloys, with a maximum cross-sectional dimension of &gt; 7 mm (excl. stranded wire, cables, plaited bands and the like and other articles of heading 7614, and electrically insulated wires)</t>
  </si>
  <si>
    <t>760529000080</t>
  </si>
  <si>
    <t>7605 29 00</t>
  </si>
  <si>
    <t>Wire, of aluminium alloys, having a maximum cross-sectional dimension of &lt;= 7 mm (other than stranded wires, cables, ropes and other articles of heading 7614, electrically insulated wires, strings for musical instruments)</t>
  </si>
  <si>
    <t>7606</t>
  </si>
  <si>
    <t>Plates, sheets and strip, of aluminium, of a thickness of &gt; 0,2 mm (excl. expanded plates, sheets and strip)</t>
  </si>
  <si>
    <t>7606 11</t>
  </si>
  <si>
    <t>Plates, sheets and strip, of non-alloy aluminium, of a thickness of &gt; 0,2 mm, square or rectangular (excl. expanded plates, sheets and strip)</t>
  </si>
  <si>
    <t>760611300080</t>
  </si>
  <si>
    <t>7606 11 30</t>
  </si>
  <si>
    <t>Aluminium Composite Panel, of non-alloy aluminium, of a thickness of &gt; 0,2 mm</t>
  </si>
  <si>
    <t>760611500080</t>
  </si>
  <si>
    <t>7606 11 50</t>
  </si>
  <si>
    <t>Plates, sheets and strip, of non-alloy aluminium, of a thickness of &gt; 0,2 mm, square or rectangular, painted, varnished or coated with plastics (excl. Aluminium Composite Panel)</t>
  </si>
  <si>
    <t>760611910080</t>
  </si>
  <si>
    <t>7606 11 91</t>
  </si>
  <si>
    <t>Plates, sheets and strip, of non-alloy aluminium, of a thickness of &gt; 0,2 mm but &lt; 3 mm, square or rectangular (excl. such products painted, varnished or coated with plastics, and expanded plates, sheets and strip)</t>
  </si>
  <si>
    <t>760611930080</t>
  </si>
  <si>
    <t>7606 11 93</t>
  </si>
  <si>
    <t>Plates, sheets and strip, of non-alloy aluminium, of a thickness of &gt;= 3 mm but &lt; 6 mm, square or rectangular (excl. such products painted, varnished or coated with plastics)</t>
  </si>
  <si>
    <t>760611990080</t>
  </si>
  <si>
    <t>7606 11 99</t>
  </si>
  <si>
    <t>Plates, sheets and strip, of non-alloy aluminium, of a thickness of &gt;= 6 mm, square or rectangular (excl. such products painted, varnished or coated with plastics)</t>
  </si>
  <si>
    <t>7606 12</t>
  </si>
  <si>
    <t>Plates, sheets and strip, of aluminium alloys, of a thickness of &gt; 0,2 mm, square or rectangular (excl. expanded plates, sheets and strip)</t>
  </si>
  <si>
    <t>760612110080</t>
  </si>
  <si>
    <t>7606 12 11</t>
  </si>
  <si>
    <t>Beverage can body stock, of aluminium alloys, of a thickness of &gt; 0,2 mm</t>
  </si>
  <si>
    <t>760612190080</t>
  </si>
  <si>
    <t>7606 12 19</t>
  </si>
  <si>
    <t>Beverage can end stock and tab stock, of aluminium alloys, of a thickness of &gt; 0,2 mm</t>
  </si>
  <si>
    <t>760612300080</t>
  </si>
  <si>
    <t>7606 12 30</t>
  </si>
  <si>
    <t>Aluminium Composite Panel, of aluminium alloys, of a thickness of &gt; 0,2 mm</t>
  </si>
  <si>
    <t>760612500080</t>
  </si>
  <si>
    <t>7606 12 50</t>
  </si>
  <si>
    <t>Plates, sheets and strip, of aluminium alloys, of a thickness of &gt; 0,2 mm, square or rectangular, painted, varnished or coated with plastics (excl. beverage can body stock, end stock and tab stock, and Aluminium Composite Panel)</t>
  </si>
  <si>
    <t>760612920080</t>
  </si>
  <si>
    <t>7606 12 92</t>
  </si>
  <si>
    <t>Plates, sheets and strip, of aluminium alloys, of a thickness of &gt; 0,2 mm but &lt; 3 mm, square or rectangular (excl. painted, varnished or coated with plastics, expanded plates, sheets and strip, beverage can body stock, end stock and tab stock)</t>
  </si>
  <si>
    <t>760612930080</t>
  </si>
  <si>
    <t>7606 12 93</t>
  </si>
  <si>
    <t>Plates, sheets and strip, of aluminium alloys, of a thickness of &gt;= 3 mm but &lt; 6 mm, square or rectangular (excl. such products painted, varnished or coated with plastics)</t>
  </si>
  <si>
    <t>760612990080</t>
  </si>
  <si>
    <t>7606 12 99</t>
  </si>
  <si>
    <t>Plates, sheets and strip, of aluminium alloys, of a thickness of &gt;= 6 mm, square or rectangular (excl. such products painted, varnished or coated with plastics)</t>
  </si>
  <si>
    <t>760691000080</t>
  </si>
  <si>
    <t>7606 91 00</t>
  </si>
  <si>
    <t>Plates, sheets and strip, of non-alloy aluminium, of a thickness of &gt; 0,2 mm (other than square or rectangular)</t>
  </si>
  <si>
    <t>760692000080</t>
  </si>
  <si>
    <t>7606 92 00</t>
  </si>
  <si>
    <t>Plates, sheets and strip, of aluminium alloys, of a thickness of &gt; 0,2 mm (other than square or rectangular)</t>
  </si>
  <si>
    <t>7607</t>
  </si>
  <si>
    <t>Aluminium foil, "whether or not printed or backed with paper, paperboard, plastics or similar backing materials", of a thickness "excl. any backing" of &lt;= 0,2 mm (excl. stamping foils of heading 3212, christmas tree decorating material)</t>
  </si>
  <si>
    <t>7607 11</t>
  </si>
  <si>
    <t>Aluminium foil, not backed, rolled but not further worked, of a thickness of &lt;= 0,2 mm (excl. stamping foils of heading 3212, and foil made up as christmas tree decorating material)</t>
  </si>
  <si>
    <t>760711110080</t>
  </si>
  <si>
    <t>7607 11 11</t>
  </si>
  <si>
    <t>Aluminium foil, not backed, rolled but not further worked, of a thickness of &lt; 0,021 mm, in rolls of a weight of &lt;= 10 kg (excl. stamping foils of heading 3212, and foil made up as christmas tree decorating material)</t>
  </si>
  <si>
    <t>760711190080</t>
  </si>
  <si>
    <t>7607 11 19</t>
  </si>
  <si>
    <t>Aluminium foil, not backed, rolled but not further worked, of a thickness of &lt; 0,021 mm (excl. stamping foils of heading 3212, and foil made up as christmas tree decorating material and in rolls of a weight &lt;= 10 kg)</t>
  </si>
  <si>
    <t>760711900080</t>
  </si>
  <si>
    <t>7607 11 90</t>
  </si>
  <si>
    <t>Aluminium foil, not backed, rolled but not further worked, of a thickness of &gt;= 0,021 mm but &lt;= 2 mm (excl. stamping foils of heading 3212, and foil made up as christmas tree decorating material)</t>
  </si>
  <si>
    <t>7607 19</t>
  </si>
  <si>
    <t>Aluminium foil, not backed, rolled and further worked, of a thickness of &lt;= 2 mm (excl. stamping foils of heading 3212, and foil made up as christmas tree decorating material)</t>
  </si>
  <si>
    <t>760719100080</t>
  </si>
  <si>
    <t>7607 19 10</t>
  </si>
  <si>
    <t>Aluminium foil, not backed, rolled and further worked, of a thickness of &lt; 0,021 mm (excl. stamping foils of heading 3212, and foil made up as christmas tree decorating material)</t>
  </si>
  <si>
    <t>760719900080</t>
  </si>
  <si>
    <t>7607 19 90</t>
  </si>
  <si>
    <t>Aluminium foil, not backed, rolled and further worked, of a thickness (excl. any backing) from 0,021 mm to 0,2 mm (excl. stamping foils of heading 3212, and foil made up as christmas tree decorating material)</t>
  </si>
  <si>
    <t>7607 20</t>
  </si>
  <si>
    <t>Aluminium foil, backed, of a thickness (excl. any backing) of &lt;= 0,2 mm (excl. stamping foils of heading 3212, and foil made up as christmas tree decorating material)</t>
  </si>
  <si>
    <t>760720100080</t>
  </si>
  <si>
    <t>7607 20 10</t>
  </si>
  <si>
    <t>Aluminium foil, backed, of a thickness (excl. any backing) of &lt; 0,021 mm (excl. stamping foils of heading 3212, and foil made up as christmas tree decorating material)</t>
  </si>
  <si>
    <t>760720910080</t>
  </si>
  <si>
    <t>7607 20 91</t>
  </si>
  <si>
    <t>Aluminium Composite Panel, of a thickness &lt;= 0,2 mm</t>
  </si>
  <si>
    <t>760720990080</t>
  </si>
  <si>
    <t>7607 20 99</t>
  </si>
  <si>
    <t>Aluminium foil, backed, of a thickness (excl. any backing) of &gt;= 0,021 mm but &lt;= 0,2 mm (excl. stamping foils of heading 3212, foil made up as christmas tree decorating material, and Aluminium Composite Panel)</t>
  </si>
  <si>
    <t>7608</t>
  </si>
  <si>
    <t>Aluminium tubes and pipes (excl. hollow profiles)</t>
  </si>
  <si>
    <t>760810000080</t>
  </si>
  <si>
    <t>7608 10 00</t>
  </si>
  <si>
    <t>Tubes and pipes of non-alloy aluminium (excl. hollow profiles)</t>
  </si>
  <si>
    <t>7608 20</t>
  </si>
  <si>
    <t>Tubes and pipes of aluminium alloys (excl. hollow profiles)</t>
  </si>
  <si>
    <t>760820200080</t>
  </si>
  <si>
    <t>7608 20 20</t>
  </si>
  <si>
    <t>Tubes and pipes of aluminium alloys, welded (excl. hollow profiles)</t>
  </si>
  <si>
    <t>760820810080</t>
  </si>
  <si>
    <t>7608 20 81</t>
  </si>
  <si>
    <t>Tubes and pipes of aluminium alloys, not further worked than extruded (excl. hollow profiles)</t>
  </si>
  <si>
    <t>760820890080</t>
  </si>
  <si>
    <t>7608 20 89</t>
  </si>
  <si>
    <t>Tubes and pipes of aluminium alloys (excl. such products welded or not further worked than extruded, and hollow profiles)</t>
  </si>
  <si>
    <t>760900000080</t>
  </si>
  <si>
    <t>7609 00 00</t>
  </si>
  <si>
    <t>Aluminium tube or pipe fittings "e.g., couplings, elbows, sleeves"</t>
  </si>
  <si>
    <t>7610</t>
  </si>
  <si>
    <t>Structures and parts of structures "e.g., bridges and bridge-sections, towers, lattice masts, pillars and columns, roofs, roofing frameworks, doors and windows and their frames and thresholds for doors, shutters, balustrades", of aluminium (excl. prefabricated buildings of heading 9406); plates, rods, profiles, tubes and the like, prepared for use in structures, of aluminium</t>
  </si>
  <si>
    <t>761010000080</t>
  </si>
  <si>
    <t>7610 10 00</t>
  </si>
  <si>
    <t>Doors, windows and their frames and thresholds for door, of aluminium (excl. door furniture)</t>
  </si>
  <si>
    <t>7610 90</t>
  </si>
  <si>
    <t>Structures and parts of structures, of aluminium, n.e.s., and plates, rods, profiles, tubes and the like, prepared for use in structures, of aluminium, n.e.s. (excl. prefabricated buildings of heading 9406, doors and windows and their frames and thresholds for doors)</t>
  </si>
  <si>
    <t>761090100080</t>
  </si>
  <si>
    <t>7610 90 10</t>
  </si>
  <si>
    <t>Bridges and bridge-sections, towers and lattice masts, of aluminium</t>
  </si>
  <si>
    <t>761090900080</t>
  </si>
  <si>
    <t>7610 90 90</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</si>
  <si>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</si>
  <si>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761100000080</t>
  </si>
  <si>
    <t>7611 00 00</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</si>
  <si>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</si>
  <si>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7612</t>
  </si>
  <si>
    <t>Casks, drums, cans, boxes and similar containers, incl. rigid or collapsible tubular containers, of aluminium, for any material (other than compressed or liquefied gas), of a capacity of &lt;= 300 l, not fitted with mechanical or thermal equipment, whether or not lined or heat-insulated, n.e.s.</t>
  </si>
  <si>
    <t>761210000080</t>
  </si>
  <si>
    <t>7612 10 00</t>
  </si>
  <si>
    <t>Collapsible tubular containers, of aluminium</t>
  </si>
  <si>
    <t>7612 90</t>
  </si>
  <si>
    <t>Casks, drums, cans, boxes and similar containers, incl. rigid tubular containers, of aluminium, for any material (other than compressed or liquefied gas), of a capacity of &lt;= 300 l, n.e.s.</t>
  </si>
  <si>
    <t>761290200080</t>
  </si>
  <si>
    <t>7612 90 20</t>
  </si>
  <si>
    <t>Containers of a kind used for aerosols, of aluminium</t>
  </si>
  <si>
    <t>761290300080</t>
  </si>
  <si>
    <t>7612 90 30</t>
  </si>
  <si>
    <t>Casks, drums, cans, boxes and similar containers, of aluminium, manufactured from foil of a thickness &lt;= 0,2 mm</t>
  </si>
  <si>
    <t>761290800080</t>
  </si>
  <si>
    <t>7612 90 80</t>
  </si>
  <si>
    <t>Casks, drums, cans, boxes and similar containers &lt;= 300 l, of aluminium, for any material (other than compressed or liquefied gas), n.e.s. (other than collapsible tubular containers, containers for aerosols and containers manufactured from foil of a thickness &lt;= 0,2 mm</t>
  </si>
  <si>
    <t>761300000080</t>
  </si>
  <si>
    <t>7613 00 00</t>
  </si>
  <si>
    <t>Aluminium containers for compressed or liquefied gas</t>
  </si>
  <si>
    <t>7614</t>
  </si>
  <si>
    <t>Stranded wire, cables, plaited bands and the like, of aluminium (excl. such products electrically insulated)</t>
  </si>
  <si>
    <t>761410000080</t>
  </si>
  <si>
    <t>7614 10 00</t>
  </si>
  <si>
    <t>Stranded wire, cables, plaited bands and the like, of aluminium, with steel core (excl. such products electrically insulated)</t>
  </si>
  <si>
    <t>761490000080</t>
  </si>
  <si>
    <t>7614 90 00</t>
  </si>
  <si>
    <t>Stranded wires, cables, ropes and similar articles, of aluminium (other than with steel core and electrically insulated products)</t>
  </si>
  <si>
    <t>7616</t>
  </si>
  <si>
    <t>Articles of aluminium, n.e.s.</t>
  </si>
  <si>
    <t>761610000080</t>
  </si>
  <si>
    <t>7616 10 00</t>
  </si>
  <si>
    <t>Nails, tacks, staples, screws, bolts, nuts, screw hooks, rivets, cotters, cotter pins, washers and similar articles, of aluminium (excl. staples in strips, plugs, bungs and the like, threaded)</t>
  </si>
  <si>
    <t>761691000080</t>
  </si>
  <si>
    <t>7616 91 00</t>
  </si>
  <si>
    <t>Cloth, grill, netting and fencing, of aluminium wire (excl. cloth of metal fibres for clothing, lining and similar uses, and cloth, grill and netting made into hand sieves or machine parts)</t>
  </si>
  <si>
    <t>7616 99</t>
  </si>
  <si>
    <t>761699100080</t>
  </si>
  <si>
    <t>7616 99 10</t>
  </si>
  <si>
    <t>Articles of aluminium, cast, n.e.s.</t>
  </si>
  <si>
    <t>761699900080</t>
  </si>
  <si>
    <t>7616 99 90</t>
  </si>
  <si>
    <t>Articles of aluminium, uncast, n.e.s.</t>
  </si>
  <si>
    <t>CNCodes_ListKey</t>
  </si>
  <si>
    <t>CNCodes_ListNumbering</t>
  </si>
  <si>
    <t>Formula:</t>
  </si>
  <si>
    <t>CNCodes_ListNames</t>
  </si>
  <si>
    <t>CNTR_IOSupplyChain</t>
  </si>
  <si>
    <t>CNTR_IOProcAndPrec</t>
  </si>
  <si>
    <t>CNTR_Matrix_Inv</t>
  </si>
  <si>
    <t>Missing entries?</t>
  </si>
  <si>
    <t>Product name 
(used for communication with reporting declarant)</t>
  </si>
  <si>
    <t>Incomplete?</t>
  </si>
  <si>
    <t>ProdRoute</t>
  </si>
  <si>
    <t>Incomplete!</t>
  </si>
  <si>
    <t>ProdRoute All?</t>
  </si>
  <si>
    <t>% carbon</t>
  </si>
  <si>
    <t>Cement</t>
  </si>
  <si>
    <t>Electrolysis of water</t>
  </si>
  <si>
    <t>Chlor-Alkali electrolysis and production of chlorates</t>
  </si>
  <si>
    <t>Steam reforming and partial oxidation</t>
  </si>
  <si>
    <t>Haber-Bosch process with steam reforming of natural gas or biogas</t>
  </si>
  <si>
    <t>Haber-Bosch process with gasification of coal or other fuels</t>
  </si>
  <si>
    <t>Pig iron</t>
  </si>
  <si>
    <t>Basic oxygen steelmaking</t>
  </si>
  <si>
    <t>Electric arc furnace</t>
  </si>
  <si>
    <t>Primary (electrolytic) smelting</t>
  </si>
  <si>
    <t>Please list here all precursors that are produced OUTSIDE the installation (e.g. purchased) and consumed within the installation.</t>
  </si>
  <si>
    <t>G7</t>
  </si>
  <si>
    <t>G8</t>
  </si>
  <si>
    <t>G9</t>
  </si>
  <si>
    <t>G10</t>
  </si>
  <si>
    <t>Routes</t>
  </si>
  <si>
    <t>P.O. Box:</t>
  </si>
  <si>
    <t>UNLOCODE:</t>
  </si>
  <si>
    <t>Coordinates of the main emission source (latitude):</t>
  </si>
  <si>
    <t>Coordinates of the main emission source (longitude):</t>
  </si>
  <si>
    <t>x.</t>
  </si>
  <si>
    <t>xi.</t>
  </si>
  <si>
    <t>Economic activity:</t>
  </si>
  <si>
    <t>xii.</t>
  </si>
  <si>
    <t>Not relevant:</t>
  </si>
  <si>
    <t>Summary of the installation, processes and production routes</t>
  </si>
  <si>
    <t>Summary of the installation</t>
  </si>
  <si>
    <t>CONST_RebateType</t>
  </si>
  <si>
    <t>Free allocation</t>
  </si>
  <si>
    <t>Financial compensation</t>
  </si>
  <si>
    <t>Tax deduction</t>
  </si>
  <si>
    <t>Reporting period start:</t>
  </si>
  <si>
    <t>Reporting period end:</t>
  </si>
  <si>
    <t>Aggregated good produced</t>
  </si>
  <si>
    <t>CN Code List</t>
  </si>
  <si>
    <t>Embedded emissions covered by rebate</t>
  </si>
  <si>
    <t>t CO2/year</t>
  </si>
  <si>
    <t>None</t>
  </si>
  <si>
    <t>Combination</t>
  </si>
  <si>
    <t>Other</t>
  </si>
  <si>
    <t>CONST_MeasuredOrDefault</t>
  </si>
  <si>
    <t>Measured</t>
  </si>
  <si>
    <t>Default</t>
  </si>
  <si>
    <t>Attribution of emissions to production processes</t>
  </si>
  <si>
    <t>CONST_LinkToGuidanceSheet</t>
  </si>
  <si>
    <t>CONST_LinkFromGuidance</t>
  </si>
  <si>
    <t>Please click on this link if you want to go back to the relevant section for data entry.</t>
  </si>
  <si>
    <t>Link to guidance:</t>
  </si>
  <si>
    <t>Source</t>
  </si>
  <si>
    <t>In order to obtain these data and information, you may want to ask your supplier to fill in an empty copy of this communication template.</t>
  </si>
  <si>
    <t>Based on your selection, related sections below might become irrelevant and greyed out below.</t>
  </si>
  <si>
    <t>Embedded emissions</t>
  </si>
  <si>
    <t>Share of total embedded emissions covered by the carbon price</t>
  </si>
  <si>
    <t>Type of aggregated good or precursor</t>
  </si>
  <si>
    <t>This contains a drop-down list with all production processes listed in sheet A, section 4.b. The type of aggregated good will be displayed automatically and the drop-down list for the relevant CN codes (see below) will only contain the codes relevant for this type of aggregated good.</t>
  </si>
  <si>
    <t>Please select here the relevant CN code, as disaggregated as possible (i.e. 8-digit code, if possible)</t>
  </si>
  <si>
    <t>Please enter here a unique name for the product which you typically use in communication with your customers, in this case the reporting declarants, such as on product specification sheets or invoices. This will help the reporting declarant with matching the products with the information in this list.</t>
  </si>
  <si>
    <t>General parameters</t>
  </si>
  <si>
    <t>Special parameters for certain aggregated good types</t>
  </si>
  <si>
    <t>Clinker factor</t>
  </si>
  <si>
    <t>Calcined or not</t>
  </si>
  <si>
    <t>This parameter is relevant for the production of pig iron, direct reduced iron, crude steel and iron and steel products. Please select from the drop-down list the main reducing agent (coke or coal, natural gas, etc.) used to reduce the iron ores.</t>
  </si>
  <si>
    <t>This parameter is relevant for the production of pig iron, direct reduced iron, crude steel, iron and steel products and ferro-manganese. Please provide here the mass % of Mn in the product.</t>
  </si>
  <si>
    <t>This parameter is relevant for the production of pig iron, direct reduced iron, crude steel, iron and steel products and ferro-chromium. Please provide here the mass % of Cr in the product.</t>
  </si>
  <si>
    <t>This parameter is relevant for the production of pig iron, direct reduced iron, crude steel, iron and steel products and ferro-nickel. Please provide here the mass % of Ni in the product.</t>
  </si>
  <si>
    <t>This parameter is relevant for the production of pig iron, direct reduced iron, crude steel and iron and steel products. Please provide here the mass % of other alloy elements in the product.</t>
  </si>
  <si>
    <t>This parameter is relevant for the production of ferro-manganese, ferro-chromium and ferro-nickel. Please provide here the mass % of carbon in the product.</t>
  </si>
  <si>
    <t>This parameter is relevant for the production of crude steel and iron and steel products. Please provide here the mass % of tonne scrap used per tonne of steel produced.</t>
  </si>
  <si>
    <t>This parameter is relevant for the production of calcined clay. Please select here from the drop-down list whether the clay is calcined or not.</t>
  </si>
  <si>
    <t>This parameter is relevant for the production of nitric acid. Please provide here the mass % of nitric acid in the product (i.e. the purity).</t>
  </si>
  <si>
    <t>This parameter is relevant for the production of urea. Please provide here the mass % of urea in the product (i.e. the purity).</t>
  </si>
  <si>
    <t>This parameter is relevant for the production of urea. Please provide here the mass % nitrogen in the product.</t>
  </si>
  <si>
    <t>This parameter is relevant for the production of mixed fertilisers. Please provide here the mass % content of nitrogen as ammonium ion.</t>
  </si>
  <si>
    <t>This parameter is relevant for the production of mixed fertilisers. Please provide here the mass % content of nitrogen as nitrate ion.</t>
  </si>
  <si>
    <t>This parameter is relevant for the production of mixed fertilisers. Please provide here the mass % content of urea.</t>
  </si>
  <si>
    <t>This parameter is relevant for the production of mixed fertilisers. Please provide here the mass % content of nitrogen in other forms.</t>
  </si>
  <si>
    <t>https://eur-lex.europa.eu/eli/reg/2023/956/oj</t>
  </si>
  <si>
    <t>This data collection template has been developed on behalf of the Commission by its consultants (Umweltbundesamt GmbH Austria) and serves the purpose of facilitating the communication between operators of installations located in third countries and the reporting declarants.</t>
  </si>
  <si>
    <t>CONST_ERR_Incomplete</t>
  </si>
  <si>
    <t>CONST_ERR_Duplicate</t>
  </si>
  <si>
    <t>Duplicate!</t>
  </si>
  <si>
    <t>Installation &amp; processes</t>
  </si>
  <si>
    <t>GHG &amp; SEE</t>
  </si>
  <si>
    <t>Detailed overview</t>
  </si>
  <si>
    <t>General guidance</t>
  </si>
  <si>
    <t>Please enter here the share of the TOTAL (direct + indirect) embedded emissions that are subject to carbon pricing. For instance, if only direct emissions are covered by a carbon pricing system, the share to be provided here would be exactly the share of the direct emissions of the total emissions.</t>
  </si>
  <si>
    <t>Please enter here the share of the TOTAL (direct + indirect) embedded emissions that are subject to rebate. For instance, if only indirect emissions are covered by the rebate, the share to be provided here would be exactly the share of the indirect emissions of the total emissions.</t>
  </si>
  <si>
    <t>Please find below the detailed guidance on how to complete the sheet "Summary_Products".</t>
  </si>
  <si>
    <t>Sheet "Summary_Products" will be crucial for the communication with the 'reporting declarant' as it contains the main information required in order to correctly fill in the 'CBAM report' for importing the goods into the European Union.</t>
  </si>
  <si>
    <t>Emission sources</t>
  </si>
  <si>
    <t>Share of total under (a) produced for the market</t>
  </si>
  <si>
    <t>B.</t>
  </si>
  <si>
    <t>Sheet "B_EmInst" - Installation's emission at source stream and emission source level</t>
  </si>
  <si>
    <t>General information</t>
  </si>
  <si>
    <t>b.</t>
  </si>
  <si>
    <t>Sheet "Guidelines &amp; conditions"</t>
  </si>
  <si>
    <t>a.</t>
  </si>
  <si>
    <t>G.</t>
  </si>
  <si>
    <t>F.</t>
  </si>
  <si>
    <t>Sheet "F_Tools" - Tools for facilitating reporting</t>
  </si>
  <si>
    <t>It is recommended that you go through the file from start to end. There are a few functions which will guide you through the form which depend on previous input, such as cells changing colour if an input is not needed (see colour codes below).</t>
  </si>
  <si>
    <t>Yellow fields indicate mandatory inputs for the calculation of embedded emissions and for other information required.</t>
  </si>
  <si>
    <t>http://eur-lex.europa.eu/en/index.htm</t>
  </si>
  <si>
    <t>EU CBAM websites:</t>
  </si>
  <si>
    <t>White indicates that data entry is not required here, based on entries in another field making inputs here irrelevant (see 'shaded fields' above).</t>
  </si>
  <si>
    <t>Green colour indicates data inputs are required and cells have been filled correctly.</t>
  </si>
  <si>
    <t>Red colour indicates data inputs are required but the relevant cells are empty or filled incorrectly.</t>
  </si>
  <si>
    <t>Each section of this template contains guidance on how to complete the required inputs in that section. However, for some sections the amount of guidance needed could distract the user from relevant inputs and make the format of the template less user-friendly. Where this is the case, the sections below provide the said further detailed guidance.</t>
  </si>
  <si>
    <t>You do however not have to read the sections below from top to bottom. It is better if you go through the template from start to end (as also recommended in sheet "b_Guidelines&amp;Conditions") and relevant sections will contain a hyperlink that will direct you to the relevant guidance in this sheet anyway.</t>
  </si>
  <si>
    <t>You can also find further guidance, including examples, in the guidance document published on the European Commission's website, which can be found here:</t>
  </si>
  <si>
    <t>Further Guidance</t>
  </si>
  <si>
    <t>Sheet "G_FurtherGuidance" - Further guidance on specific sections in this template</t>
  </si>
  <si>
    <t>Link to:</t>
  </si>
  <si>
    <t>Please select from the drop-down list the monitoring method applied for the relevant source stream: "combustion", "process emissions" or "mass balance".</t>
  </si>
  <si>
    <t>Activity data (AD)</t>
  </si>
  <si>
    <t>AD unit</t>
  </si>
  <si>
    <t>(prelim) EF</t>
  </si>
  <si>
    <t>CarbC</t>
  </si>
  <si>
    <t>BioC</t>
  </si>
  <si>
    <t>Further columns greyed out</t>
  </si>
  <si>
    <t>Energy and emissions</t>
  </si>
  <si>
    <t>Further columns are relevant for PFC emissions or emission sources (measurement-based approaches), but not for source streams. For source streams they are therefore greyed out.</t>
  </si>
  <si>
    <t>Source streams (excluding PFC emissions)</t>
  </si>
  <si>
    <t>Centre Worked Pre-Bake (CWPB)</t>
  </si>
  <si>
    <t>Activity data = annual production of primary Aluminium</t>
  </si>
  <si>
    <t>GWP (CF4)</t>
  </si>
  <si>
    <t>The global warming potential of CF4</t>
  </si>
  <si>
    <t>GWP (C2F6)</t>
  </si>
  <si>
    <t>The global warming potential of C2F6</t>
  </si>
  <si>
    <t>Emission sources | Measurement-based approaches (continuous emission monitoring)</t>
  </si>
  <si>
    <t>Collection efficiency</t>
  </si>
  <si>
    <t>Please provide here the type of greenhouse gas (GHG) measured in the flue gas: CO2 or N2O.</t>
  </si>
  <si>
    <t>Please enter here a name for the emission source or the point of emission, e.g. Stack xyz.</t>
  </si>
  <si>
    <t>Biomass fraction</t>
  </si>
  <si>
    <t>Flue gas</t>
  </si>
  <si>
    <t xml:space="preserve">hourly average GHG conc. </t>
  </si>
  <si>
    <t>Energy content</t>
  </si>
  <si>
    <t>The total volume of the flue gas</t>
  </si>
  <si>
    <t>The energy content of the fuels or materials entering the production process</t>
  </si>
  <si>
    <t>At the top of each block in that sheet you can find examples on how to complete data inputs in order to calculate the corresponding emissions for each source stream and emission source.</t>
  </si>
  <si>
    <t>In sheet "B_EmInst" the energy content and the greenhouse gas (GHG) emissions are calculated for each source stream and emission source.</t>
  </si>
  <si>
    <t>Guidance on each parameter below aims to help you with filling all input fields in sheet "B_EmInst".</t>
  </si>
  <si>
    <t>Result</t>
  </si>
  <si>
    <t>Please enter here the annual fuel input into the CHP unit, the net amount of heat produced and the net amount of electricity (or mechanical energy, where applicable) produced by the CHP.</t>
  </si>
  <si>
    <t>This is the final result of this tool. The values displayed here should be entered in sheets D or E for the attributable emissions for the appropriate production process or precursor.</t>
  </si>
  <si>
    <t>This is the final result of this tool. The values displayed here should be used in section C.1.</t>
  </si>
  <si>
    <t>a)</t>
  </si>
  <si>
    <t>b)</t>
  </si>
  <si>
    <t>c)</t>
  </si>
  <si>
    <t>d)</t>
  </si>
  <si>
    <t>e)</t>
  </si>
  <si>
    <t>f)</t>
  </si>
  <si>
    <t>g)</t>
  </si>
  <si>
    <t>h)</t>
  </si>
  <si>
    <t>i)</t>
  </si>
  <si>
    <t>j)</t>
  </si>
  <si>
    <t>k)</t>
  </si>
  <si>
    <t>Applicable elements</t>
  </si>
  <si>
    <t>Please select here whether measurable heat (e.g. steam) or waste gases are imported to or exported from the relevant production process. The relevance of indirect emissions from electricity are shown automatically here.</t>
  </si>
  <si>
    <t>Please click on this link for further guidance on how to complete this section.</t>
  </si>
  <si>
    <t>Note</t>
  </si>
  <si>
    <t>CONST_LinkToCPTool</t>
  </si>
  <si>
    <t>tCO2e/t</t>
  </si>
  <si>
    <t>Example process A</t>
  </si>
  <si>
    <t>Example name A</t>
  </si>
  <si>
    <t>Product name 
(used for communication with reporting declarant, e.g. on invoices)</t>
  </si>
  <si>
    <t>72071919</t>
  </si>
  <si>
    <t>An example for how to complete a row is provided at the top of the table in sheet "Summary_Products".</t>
  </si>
  <si>
    <t>Total production</t>
  </si>
  <si>
    <t>Production for the market</t>
  </si>
  <si>
    <t>Please provide here the total amount of goods that are placed on the market (any market, not only the European Union) and not further processed into goods within another production process of the installation.</t>
  </si>
  <si>
    <t>Consumed in other 'production processes'</t>
  </si>
  <si>
    <t>Consumed in other 'production processes' within the installation:</t>
  </si>
  <si>
    <t>Consumed for non-CBAM goods</t>
  </si>
  <si>
    <t>Control</t>
  </si>
  <si>
    <t>This is an automatic calculation "a-(b+c+d)". Please ensure that this value is zero.</t>
  </si>
  <si>
    <t>Avoidance of double counting</t>
  </si>
  <si>
    <t>CONST_LinkToCHPTool</t>
  </si>
  <si>
    <t>Waste gases: special rules apply here. Emissions from waste gases produced in another production process and consumed in this process should NOT be reported under DirEm*, but under 'Waste gas imported' below.</t>
  </si>
  <si>
    <t>Emissions from waste gases produced in the production process, but exported for combustion outside the production process MUST be included here. The corresponding deduction of emissions will be done by entering the relevant data under 'waste gas exported' below. An example would be the export of blast furnace gas from the crude steel production to the adjacent power plants. The emissions associated with the combustion of the blast furnace gas should be attributed to the crude steel production here under DirEm*.</t>
  </si>
  <si>
    <t>Amount of net measurable heat</t>
  </si>
  <si>
    <t>Heat recovered and NOT exported but used within the production process shall not be reported under exported heat.</t>
  </si>
  <si>
    <t>For the EF of heat produced in a CHP, please see the reference to the "CHP Tool" above.</t>
  </si>
  <si>
    <t>Import and export of waste gases</t>
  </si>
  <si>
    <t>Please enter the total amount of electricity consumed within the system boundaries of the production process.</t>
  </si>
  <si>
    <t>Mix</t>
  </si>
  <si>
    <t>Where the electricity is not predominantly obtained from one source or the EF by one of the above sources, the EF is determined as a mix of the methods above.</t>
  </si>
  <si>
    <t>Electricity exported</t>
  </si>
  <si>
    <t>This concerns special forms of electricity production being produced within the production process but exported outside the process. It concerns electricity produced via other forms than in gas turbines or via steam in turbines, but - for instance - via expansion of compressed gases in expansion turbines.</t>
  </si>
  <si>
    <t>This is a tool for attributing fuels and emissions of CHPs to heat and electricity output.</t>
  </si>
  <si>
    <t>Periods during which the CHP is operated in heat-only or electricity-only generation mode (i.e. periods during which only one of the two products was produced) should be excluded and assignment of fuels and emissions should be calculated separately.</t>
  </si>
  <si>
    <t>Total (direct + indirect) specific embedded emissions of the production process, i.e. including any embedded emissions from any precursors consumed in the process.</t>
  </si>
  <si>
    <t>Specific direct emissions of the production process, i.e. excluding any embedded emissions from any precursors consumed in the process.</t>
  </si>
  <si>
    <t>Specific embedded direct emissions of the production process, i.e. including any embedded emissions from any precursors consumed in the process.</t>
  </si>
  <si>
    <t>Specific indirect emissions of the production process, i.e. excluding any embedded indirect emissions from any precursors consumed in the process.</t>
  </si>
  <si>
    <t>Specific embedded indirect emissions of the production process, i.e. including any embedded indirect emissions from any precursors consumed in the process.</t>
  </si>
  <si>
    <t>- the system boundaries of carbon pricing have to be consistent with the boundaries of the production process and precursors.</t>
  </si>
  <si>
    <t>The following conditions apply:</t>
  </si>
  <si>
    <t>If the conditions above are not satisfied, this tool can only be used to support you with the calculation of the carbon price, but results cannot be used directly.</t>
  </si>
  <si>
    <t>- the carbon price used for each production process has to be converted into one common currency.</t>
  </si>
  <si>
    <t>Please provide here the total amount of goods produced in the relevant production process, distinguishing amounts by the relevant production route. This is the denominator for the calculation of the specific embedded emissions.</t>
  </si>
  <si>
    <t>Entries in sheet "E_PurchPrec" require similar entries. Further guidance is provided there.</t>
  </si>
  <si>
    <t>This is the country in which the relevant precursor is produced, where imported from outside the own installation.</t>
  </si>
  <si>
    <t>Embedded direct emissions of the production process, i.e. including any embedded emissions from any precursors consumed in the process.</t>
  </si>
  <si>
    <t>Embedded indirect emissions of the production process, i.e. including any embedded indirect emissions from any precursors consumed in the process.</t>
  </si>
  <si>
    <t>Please click on this link to go to the "CHP Tool for attributing emissions between heat and electricity".</t>
  </si>
  <si>
    <t>Sintered Ore</t>
  </si>
  <si>
    <t>Sheet "Table of contents"</t>
  </si>
  <si>
    <t>Error messages will occur sometimes when data entries are incomplete. However, the non-appearance of error messages is not a guarantee for correct calculations, as a data completeness test is not always possible. If no result appears in a green field, it can be assumed that some data is still missing.</t>
  </si>
  <si>
    <t>Navigation panels on top of each sheet provide hyperlinks for quick jumps to individual input sections. The first line ("Table of contents", "Further guidance", "Summary_Processes" and "Summary_Products") is the same for all sheets. Depending on the sheet, further menu items are added. If the background colour of one of the hyperlink areas turns red, this indicates that data is missing in the related section (not in all sheets).</t>
  </si>
  <si>
    <t>In order to protect formulae against unintended modifications, which usually lead to wrong and misleading results, it is of utmost importance NOT TO USE the CUT &amp; PASTE feature. If you want to move data, first COPY and PASTE them, and thereafter delete the unwanted data in the old (wrong) place.</t>
  </si>
  <si>
    <t>Please list here ALL aggregated goods categories, including any relevant precursor types produced WITHIN the installation.</t>
  </si>
  <si>
    <t>Conversion factor: the ratio of carbon emitted as CO2 to the total carbon contained in the source stream before the emitting process takes place, expressed as a fraction, considering CO emitted to the atmosphere as the molar equivalent amount of CO2.</t>
  </si>
  <si>
    <t>Oxidation factor: the ratio of carbon oxidised to CO2 as a consequence of combustion to the total carbon contained in the fuel, expressed as a fraction, considering carbon monoxide (CO) emitted to the atmosphere as the molar equivalent amount of CO2.</t>
  </si>
  <si>
    <t>The biomass fraction is the ratio of carbon stemming from biomass to the total carbon content of a fuel or material, expressed as percentage.</t>
  </si>
  <si>
    <t>Fuel input to all CBAM production processes (including precursors produced within the installation), either directly or via the production of measurable heat (e.g. steam) with the exception of fuel for electricity.</t>
  </si>
  <si>
    <t>If no values are displayed here but total emissions under (b) above, default efficiencies from (c) will be used here. Please note that this should only be done if the determination of the efficiencies is technically not feasible or would incur unreasonable costs, and values based on technical documentation (design values) of the installation are not available as well.</t>
  </si>
  <si>
    <t>Emission factor, electricity</t>
  </si>
  <si>
    <t>Emissions attributable to electricity</t>
  </si>
  <si>
    <t>Where the electricity is not predominantly obtained from one source or the EF determined by more than one of the above sources, the EF is determined as a mix of the methods above.</t>
  </si>
  <si>
    <t xml:space="preserve">The term 'specific' of all elements below is to be understood as being expressed per unit of good (usually tonnes) of the production process in consideration. </t>
  </si>
  <si>
    <t>Total (direct + indirect) specific embedded emissions of the production process, i.e. including any embedded indirect emissions from any precursors consumed in the process.</t>
  </si>
  <si>
    <t>% other materials</t>
  </si>
  <si>
    <t>% non-aluminium elements</t>
  </si>
  <si>
    <t>% urea</t>
  </si>
  <si>
    <t>% nitric acid</t>
  </si>
  <si>
    <t>% N as ammonium (NH4+)</t>
  </si>
  <si>
    <t>% N as nitrate (NO3–)</t>
  </si>
  <si>
    <t>% N as Urea</t>
  </si>
  <si>
    <t>% N in other (organic) forms</t>
  </si>
  <si>
    <t>Summary of the production processes, included precursors and production routes, where relevant</t>
  </si>
  <si>
    <t>SEE Denominator</t>
  </si>
  <si>
    <t>xiii.</t>
  </si>
  <si>
    <t>Electricity (export to EU)</t>
  </si>
  <si>
    <t>from sheet A</t>
  </si>
  <si>
    <t>Relevant precursor?</t>
  </si>
  <si>
    <t>Numbering precursor</t>
  </si>
  <si>
    <t>Relevant precursors:</t>
  </si>
  <si>
    <t>CONST_CNTR_PrecNumbering</t>
  </si>
  <si>
    <t>This parameter is relevant for the production of the aggregated good iron and steel products. Please provide here the mass % of materials contained which are not iron or steel, if their mass is more than 1-5% of the total good’s mass.</t>
  </si>
  <si>
    <t>% pre-consumer scrap</t>
  </si>
  <si>
    <t>xiv.</t>
  </si>
  <si>
    <t>Name of the installation (optional):</t>
  </si>
  <si>
    <t>Name of the installation (English name):</t>
  </si>
  <si>
    <t>Embedded electricity (MWh/t)</t>
  </si>
  <si>
    <t>Summary of the installation and production processes</t>
  </si>
  <si>
    <t>Summary of the production processes and production routes, where relevant</t>
  </si>
  <si>
    <t>Language 2</t>
  </si>
  <si>
    <t>Language 3</t>
  </si>
  <si>
    <t>Language 4</t>
  </si>
  <si>
    <t>Language 5</t>
  </si>
  <si>
    <t>Language 6</t>
  </si>
  <si>
    <t>Language 7</t>
  </si>
  <si>
    <t>Language 8</t>
  </si>
  <si>
    <t>Installation details</t>
  </si>
  <si>
    <t>CONST_CNTR_ListGoodsForCN</t>
  </si>
  <si>
    <t>The following two sheets summarise the results at process and product level, respectively:</t>
  </si>
  <si>
    <t>The following sheet summarises the main information to be communicated to the reporting declarant:</t>
  </si>
  <si>
    <t>Total indirect emissions</t>
  </si>
  <si>
    <t>Total direct emissions during reporting period:</t>
  </si>
  <si>
    <t>Total indirect emissions during reporting period:</t>
  </si>
  <si>
    <t>Total emissions during reporting period:</t>
  </si>
  <si>
    <t>Used language version</t>
  </si>
  <si>
    <t>Steel mill identification number</t>
  </si>
  <si>
    <t>tCO2e</t>
  </si>
  <si>
    <t>CONST_ProductionProcess</t>
  </si>
  <si>
    <t>CONST_PurchPrecursor</t>
  </si>
  <si>
    <t>This parameter is relevant for the production of unwrought aluminium and aluminium products. Please provide here the mass % of tonne scrap used per tonne of aluminium produced.</t>
  </si>
  <si>
    <t>This parameter is relevant for the production of crude steel, unwrought aluminium and aluminium products. Please provide here the mass % of tonne pre-consumer scrap used per tonne of steel/aluminium produced.</t>
  </si>
  <si>
    <t>This parameter is relevant for the production of unwrought aluminium and aluminium products. Please provide here the mass % of elements contained which are not aluminium, if their mass is more than 1% of the total good’s mass.</t>
  </si>
  <si>
    <t>Share of embedded emissions covered by the rebate</t>
  </si>
  <si>
    <t>The source or method based on which the electricity emission factor (EF) was determined for the relevant production process or precursor.</t>
  </si>
  <si>
    <t>Name of this sheet:</t>
  </si>
  <si>
    <t>Language 9</t>
  </si>
  <si>
    <t>Language 10</t>
  </si>
  <si>
    <t>SELFTEXT</t>
  </si>
  <si>
    <t>IN</t>
  </si>
  <si>
    <t>(Share of) Default value</t>
  </si>
  <si>
    <t>This is relevant for purchased precursors and indicates whether the embedded direct emissions are determined based on default values ("TRUE") or actual measurements ("FALSE"). For the whole process, this indicator will calculate the share of embedded emissions determined by default values.</t>
  </si>
  <si>
    <t>Verifier of the report – only if available and not required during transitional period</t>
  </si>
  <si>
    <t>Regulation (EU) 2023/956 establishes a carbon border adjustment mechanism (the ‘CBAM Regulation’) to address greenhouse gas emissions embedded in certain goods ('CBAM goods': iron and steel, cement, aluminium, fertilisers, hydrogen and electricity) on their importation into the customs territory of the European Union (the EU). The Regulation can be downloaded from:</t>
  </si>
  <si>
    <t>Article 8 of the implementing act requires reporting declarants to submit a CBAM report for each good listed under 1. imported into the EU. CBAM reports must contain certain data and information on the embedded emissions of the goods, to be obtained from the producer of these goods ('operators of installations located in third countries').</t>
  </si>
  <si>
    <t>In several fields you can choose from predefined inputs using a "drop-down list", by either clicking on the small arrow appearing at the right border of the cell, or pressing "Alt-CursorDown" when you have selected the cell. Also, there are some fields which enable you to draft your reply even if a drop-down list exists. This is the case when drop-down lists contain empty list entries.</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</si>
  <si>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installation) to ensure that reporting declarants report accurate data.</t>
  </si>
  <si>
    <t>Reporting period:</t>
  </si>
  <si>
    <t>About the installation</t>
  </si>
  <si>
    <t>Goods &amp; precursors</t>
  </si>
  <si>
    <t>Net calorific value (NCV)</t>
  </si>
  <si>
    <t>Emission factor (EF)</t>
  </si>
  <si>
    <t>Carbon content</t>
  </si>
  <si>
    <t>Oxidation factor (OxF)</t>
  </si>
  <si>
    <t>Conversion factor (ConvF)</t>
  </si>
  <si>
    <t>Biomass content (BioC)</t>
  </si>
  <si>
    <t>Method A: The frequency of anode effects (number of anode effects/cell-day)</t>
  </si>
  <si>
    <t>Method A: The average duration of anode effects (anode effect minutes/occurrence)</t>
  </si>
  <si>
    <t>Please select from the drop-down list the monitoring method applied: "slope" (Method A) or "overvoltage" (Method B).</t>
  </si>
  <si>
    <t>Please enter here the name of the source stream, e.g. coal, natural gas, clinker raw meal, limestone, iron ore, steel, scrap iron, scrap aluminium.</t>
  </si>
  <si>
    <t>It is important that all data entered in this template (embedded emissions, carbon price due, product properties, etc.) all relate to that same reporting period entered above.</t>
  </si>
  <si>
    <t>Tool for carbon price due</t>
  </si>
  <si>
    <t>All information provided (specific embedded emissions, carbon price due, etc.) shall relate to the same reference period as entered in sheet A, section 1.</t>
  </si>
  <si>
    <t>Information on carbon price due</t>
  </si>
  <si>
    <t>Where precursors are subject to carbon pricing and the system boundaries of the carbon price correspond to the system boundaries of the relevant production process of the precursor, you can use the "tool for calculation of the carbon price due" and use the results of that tool and enter them here.</t>
  </si>
  <si>
    <t>Please click on this link to go to the "tool for calculation of the carbon price due".</t>
  </si>
  <si>
    <t>Tool to calculate the emissions attributable to heat production in combined heat and power units (CHP)</t>
  </si>
  <si>
    <t>Tool to calculate the carbon price due</t>
  </si>
  <si>
    <t>This tool aims to help you with the calculation of the carbon price due. Similar to the calculation of the specific embedded emissions in sheets D + E, please only enter the carbon price due and any rebate received in respect of the system boundaries of the production process.</t>
  </si>
  <si>
    <t>Share of emissions covered by the carbon price</t>
  </si>
  <si>
    <t>Amount of rebate (local currency)</t>
  </si>
  <si>
    <t>US</t>
  </si>
  <si>
    <t>SE (total)</t>
  </si>
  <si>
    <t>Specific direct + indirect emissions of the production process, i.e. excluding any embedded emissions from any precursors consumed in the process.</t>
  </si>
  <si>
    <t>Carbon price (CP) due (local currency)</t>
  </si>
  <si>
    <t>Covered SE</t>
  </si>
  <si>
    <t>Measurement - based</t>
  </si>
  <si>
    <t>Calculation - based (excl. PFC emissions)</t>
  </si>
  <si>
    <t>Values below are taken automatically from entries in sheet "B_EmInst" and point (a) above.</t>
  </si>
  <si>
    <t>CONST_DataQuality</t>
  </si>
  <si>
    <t>CONST_DataQualityJustification</t>
  </si>
  <si>
    <t>Mostly measurements &amp; analyses</t>
  </si>
  <si>
    <t>Mostly measurements &amp; international standard factors for e.g. the emission factor</t>
  </si>
  <si>
    <t>Mostly measurements &amp; national standard factors for e.g. the emission factor</t>
  </si>
  <si>
    <t>Mostly measurements &amp; sector-specific standard factors for e.g. the emission factor</t>
  </si>
  <si>
    <t>Mostly default values provided by the European Commission</t>
  </si>
  <si>
    <t>CONST_DataVerification</t>
  </si>
  <si>
    <t>Third-party verification</t>
  </si>
  <si>
    <t>Internal audits</t>
  </si>
  <si>
    <t>Four eyes principle</t>
  </si>
  <si>
    <t>Greenhouse gas emissions balance &amp; information on data quality</t>
  </si>
  <si>
    <t>GHG balance &amp; data quality</t>
  </si>
  <si>
    <t>Unreasonable costs for more accurate monitoring</t>
  </si>
  <si>
    <t>Data gaps</t>
  </si>
  <si>
    <t>General information on data quality:</t>
  </si>
  <si>
    <t>Information on quality assurance:</t>
  </si>
  <si>
    <t>Information on the data quality and quality assurance</t>
  </si>
  <si>
    <t>If the predominant method was to use default values published by the European Commission, please select from the drop-down list the most appropriate justification for not achieving higher data quality.</t>
  </si>
  <si>
    <t>Please select from the hierarchical order (descending order) in the drop-down list the predominant approach for determining the installation's direct emissions.</t>
  </si>
  <si>
    <t>GHG balance by type of GHG</t>
  </si>
  <si>
    <t>GHG balance by type of monitoring methodology</t>
  </si>
  <si>
    <t>This information is taken from the "tool to calculate the carbon price due" in sheet "F_Tools", where relevant.</t>
  </si>
  <si>
    <t>Justification for use of default values (if relevant):</t>
  </si>
  <si>
    <t>USD/t</t>
  </si>
  <si>
    <t>For the SEE (direct), the 'Type of value' relates to whether the direct emissions are measured, or whether a default value provided by the European Commission was applied.</t>
  </si>
  <si>
    <t>Andorra</t>
  </si>
  <si>
    <t>United Arab Emirates</t>
  </si>
  <si>
    <t>Afghanistan</t>
  </si>
  <si>
    <t>Antigua and Barbuda</t>
  </si>
  <si>
    <t>Anguilla</t>
  </si>
  <si>
    <t>Albania</t>
  </si>
  <si>
    <t>Armenia</t>
  </si>
  <si>
    <t>Netherlands Antilles</t>
  </si>
  <si>
    <t>Angola</t>
  </si>
  <si>
    <t>Antarctica</t>
  </si>
  <si>
    <t>Argentina</t>
  </si>
  <si>
    <t>American Samoa</t>
  </si>
  <si>
    <t>Australia</t>
  </si>
  <si>
    <t>Aruba</t>
  </si>
  <si>
    <t>ÅLAND ISLANDS</t>
  </si>
  <si>
    <t>Azerbaijan</t>
  </si>
  <si>
    <t>Bosnia and Herzegovina</t>
  </si>
  <si>
    <t>Barbados</t>
  </si>
  <si>
    <t>Bangladesh</t>
  </si>
  <si>
    <t>Burkina Faso</t>
  </si>
  <si>
    <t>Bahrain</t>
  </si>
  <si>
    <t>Burundi</t>
  </si>
  <si>
    <t>Benin</t>
  </si>
  <si>
    <t>Saint Barthélemy</t>
  </si>
  <si>
    <t>Bermuda</t>
  </si>
  <si>
    <t>Brunei Darussalam</t>
  </si>
  <si>
    <t>Bolivia, Plurinational State of</t>
  </si>
  <si>
    <t>Bonaire, Sint Eustatius and Saba</t>
  </si>
  <si>
    <t>Brazil</t>
  </si>
  <si>
    <t>Bahamas</t>
  </si>
  <si>
    <t>Bhutan</t>
  </si>
  <si>
    <t>Bouvet Island</t>
  </si>
  <si>
    <t>Botswana</t>
  </si>
  <si>
    <t>Belarus</t>
  </si>
  <si>
    <t>Belize</t>
  </si>
  <si>
    <t>Canada</t>
  </si>
  <si>
    <t>Cocos Islands (or Keeling Islands)</t>
  </si>
  <si>
    <t>Congo, Democratic Republic of</t>
  </si>
  <si>
    <t>Central African Republic</t>
  </si>
  <si>
    <t>Congo</t>
  </si>
  <si>
    <t>Switzerland</t>
  </si>
  <si>
    <t>Côte d'Ivoire</t>
  </si>
  <si>
    <t>Cook Islands</t>
  </si>
  <si>
    <t>Chile</t>
  </si>
  <si>
    <t>Cameroon</t>
  </si>
  <si>
    <t>Kina</t>
  </si>
  <si>
    <t>China</t>
  </si>
  <si>
    <t>Colombia</t>
  </si>
  <si>
    <t>Costa Rica</t>
  </si>
  <si>
    <t>Serbia and Montenegro</t>
  </si>
  <si>
    <t>Cuba</t>
  </si>
  <si>
    <t>Cape Verde</t>
  </si>
  <si>
    <t>Curaçao</t>
  </si>
  <si>
    <t>Christmas Island</t>
  </si>
  <si>
    <t>Czechia</t>
  </si>
  <si>
    <t>Djibouti</t>
  </si>
  <si>
    <t>Dominica</t>
  </si>
  <si>
    <t>Dominican Republic</t>
  </si>
  <si>
    <t>Algeria</t>
  </si>
  <si>
    <t>Ecuador</t>
  </si>
  <si>
    <t>Egypt</t>
  </si>
  <si>
    <t>Western Sahara</t>
  </si>
  <si>
    <t>Eritrea</t>
  </si>
  <si>
    <t>Ethiopia</t>
  </si>
  <si>
    <t>European Community</t>
  </si>
  <si>
    <t>Fiji</t>
  </si>
  <si>
    <t>Falkland Islands</t>
  </si>
  <si>
    <t>Micronesia, Federated States of</t>
  </si>
  <si>
    <t>Faroe Islands</t>
  </si>
  <si>
    <t>Gabon</t>
  </si>
  <si>
    <t>Grenada</t>
  </si>
  <si>
    <t>Georgia</t>
  </si>
  <si>
    <t>French Guyana</t>
  </si>
  <si>
    <t>Guernsey</t>
  </si>
  <si>
    <t>Ghana</t>
  </si>
  <si>
    <t>Gibraltar</t>
  </si>
  <si>
    <t>Greenland</t>
  </si>
  <si>
    <t>Gambia</t>
  </si>
  <si>
    <t>Guinea</t>
  </si>
  <si>
    <t>Guadeloupe</t>
  </si>
  <si>
    <t>Equatorial Guinea</t>
  </si>
  <si>
    <t>South Georgia and South Sandwich</t>
  </si>
  <si>
    <t>Guatemala</t>
  </si>
  <si>
    <t>Guam</t>
  </si>
  <si>
    <t>Guinea-Bissau</t>
  </si>
  <si>
    <t>Guyana</t>
  </si>
  <si>
    <t>Hong Kong</t>
  </si>
  <si>
    <t>Heard Island and McDonald Islands</t>
  </si>
  <si>
    <t>Honduras</t>
  </si>
  <si>
    <t>Haiti</t>
  </si>
  <si>
    <t>Indonesia</t>
  </si>
  <si>
    <t>Israel</t>
  </si>
  <si>
    <t>Isle of Man</t>
  </si>
  <si>
    <t>India</t>
  </si>
  <si>
    <t>British Indian Ocean Territory</t>
  </si>
  <si>
    <t>Iraq</t>
  </si>
  <si>
    <t>Iran, Islamic Republic of</t>
  </si>
  <si>
    <t>Jersey</t>
  </si>
  <si>
    <t>Jamaica</t>
  </si>
  <si>
    <t>Jordan</t>
  </si>
  <si>
    <t>Japan</t>
  </si>
  <si>
    <t>Kenya</t>
  </si>
  <si>
    <t>Kyrgyz, Republic</t>
  </si>
  <si>
    <t>Cambodia</t>
  </si>
  <si>
    <t>Kiribati</t>
  </si>
  <si>
    <t>Comoros</t>
  </si>
  <si>
    <t>St Kitts and Nevis</t>
  </si>
  <si>
    <t>Korea, Democratic People’s Republ</t>
  </si>
  <si>
    <t>Korea, Republic of</t>
  </si>
  <si>
    <t>Kuwait</t>
  </si>
  <si>
    <t>Cayman Islands</t>
  </si>
  <si>
    <t>Kazakhstan</t>
  </si>
  <si>
    <t>Lao People’s Democratic Republic</t>
  </si>
  <si>
    <t>Lebanon</t>
  </si>
  <si>
    <t>St Lucia</t>
  </si>
  <si>
    <t>Sri Lanka</t>
  </si>
  <si>
    <t>Liberia</t>
  </si>
  <si>
    <t>Lesotho</t>
  </si>
  <si>
    <t>Libya</t>
  </si>
  <si>
    <t>Morocco</t>
  </si>
  <si>
    <t>Monaco</t>
  </si>
  <si>
    <t>Moldova, Republic of</t>
  </si>
  <si>
    <t>Montenegro</t>
  </si>
  <si>
    <t>Saint Martin (French part)</t>
  </si>
  <si>
    <t>Madagascar</t>
  </si>
  <si>
    <t>Marshall Islands</t>
  </si>
  <si>
    <t>North Macedonia</t>
  </si>
  <si>
    <t>Mali</t>
  </si>
  <si>
    <t>Myanmar</t>
  </si>
  <si>
    <t>Mongolia</t>
  </si>
  <si>
    <t>Macao</t>
  </si>
  <si>
    <t>Northern Mariana Islands</t>
  </si>
  <si>
    <t>Martinique</t>
  </si>
  <si>
    <t>Mauritania</t>
  </si>
  <si>
    <t>Montserrat</t>
  </si>
  <si>
    <t>Mauritius</t>
  </si>
  <si>
    <t>Maldives</t>
  </si>
  <si>
    <t>Malawi</t>
  </si>
  <si>
    <t>Mexico</t>
  </si>
  <si>
    <t>Malaysia</t>
  </si>
  <si>
    <t>Mozambique</t>
  </si>
  <si>
    <t>Namibia</t>
  </si>
  <si>
    <t>New Caledonia</t>
  </si>
  <si>
    <t>Niger</t>
  </si>
  <si>
    <t>Norfolk Island</t>
  </si>
  <si>
    <t>Nigeria</t>
  </si>
  <si>
    <t>Nicaragua</t>
  </si>
  <si>
    <t>Nepal</t>
  </si>
  <si>
    <t>Nauru</t>
  </si>
  <si>
    <t>Niue</t>
  </si>
  <si>
    <t>New Zealand</t>
  </si>
  <si>
    <t>Oman</t>
  </si>
  <si>
    <t>Panama</t>
  </si>
  <si>
    <t>Peru</t>
  </si>
  <si>
    <t>French Polynesia</t>
  </si>
  <si>
    <t>Papua New Guinea</t>
  </si>
  <si>
    <t>Philippines</t>
  </si>
  <si>
    <t>Pakistan</t>
  </si>
  <si>
    <t>St Pierre and Miquelon</t>
  </si>
  <si>
    <t>Pitcairn</t>
  </si>
  <si>
    <t>Puerto Rico</t>
  </si>
  <si>
    <t>Occupied Palestinian Territory</t>
  </si>
  <si>
    <t>Palau</t>
  </si>
  <si>
    <t>Paraguay</t>
  </si>
  <si>
    <t>Qatar</t>
  </si>
  <si>
    <t>High seas</t>
  </si>
  <si>
    <t>Réunion</t>
  </si>
  <si>
    <t>Serbia</t>
  </si>
  <si>
    <t>Russian Federation</t>
  </si>
  <si>
    <t>Rwanda</t>
  </si>
  <si>
    <t>Saudi Arabia</t>
  </si>
  <si>
    <t>Solomon Islands</t>
  </si>
  <si>
    <t>Seychelles</t>
  </si>
  <si>
    <t>Sudan</t>
  </si>
  <si>
    <t>Singapore</t>
  </si>
  <si>
    <t>Saint Helena, Ascension and Tristan</t>
  </si>
  <si>
    <t>Svalbard and Jan Mayen Islands</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</si>
  <si>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</si>
  <si>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</si>
  <si>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</si>
  <si>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</si>
  <si>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</si>
  <si>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</si>
  <si>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</si>
  <si>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</si>
  <si>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</si>
  <si>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</si>
  <si>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</si>
  <si>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</si>
  <si>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Chad</t>
  </si>
  <si>
    <t>French Southern Territories</t>
  </si>
  <si>
    <t>Togo</t>
  </si>
  <si>
    <t>Thailand</t>
  </si>
  <si>
    <t>Tajikistan</t>
  </si>
  <si>
    <t>Tokelau</t>
  </si>
  <si>
    <t>Timor-Leste</t>
  </si>
  <si>
    <t>Turkmenistan</t>
  </si>
  <si>
    <t>Tunisia</t>
  </si>
  <si>
    <t>Tonga</t>
  </si>
  <si>
    <t>East Timor</t>
  </si>
  <si>
    <t>Türkiye</t>
  </si>
  <si>
    <t>Trinidad and Tobago</t>
  </si>
  <si>
    <t>Tuvalu</t>
  </si>
  <si>
    <t>Taiwan</t>
  </si>
  <si>
    <t>Tanzania, United Republic of</t>
  </si>
  <si>
    <t>Ukraine</t>
  </si>
  <si>
    <t>Uganda</t>
  </si>
  <si>
    <t>United States Minor Outlying Island</t>
  </si>
  <si>
    <t>United States</t>
  </si>
  <si>
    <t>Uruguay</t>
  </si>
  <si>
    <t>Uzbekistan</t>
  </si>
  <si>
    <t>Vatican City</t>
  </si>
  <si>
    <t>St Vincent</t>
  </si>
  <si>
    <t>Venezuela</t>
  </si>
  <si>
    <t>British Virgin Islands</t>
  </si>
  <si>
    <t>US Virgin Islands</t>
  </si>
  <si>
    <t>Vietnam</t>
  </si>
  <si>
    <t>Vanuatu</t>
  </si>
  <si>
    <t>Wallis and Futuna Islands</t>
  </si>
  <si>
    <t>Samoa</t>
  </si>
  <si>
    <t>American Oceania</t>
  </si>
  <si>
    <t>Ceuta</t>
  </si>
  <si>
    <t>United Kingdom (Northern Ireland)</t>
  </si>
  <si>
    <t>Kosovo</t>
  </si>
  <si>
    <t>Melilla</t>
  </si>
  <si>
    <t>Australian Oceania</t>
  </si>
  <si>
    <t>West Bank and Gaza Strip</t>
  </si>
  <si>
    <t>Polar regions</t>
  </si>
  <si>
    <t>New Zealand Oceania</t>
  </si>
  <si>
    <t>Yemen</t>
  </si>
  <si>
    <t>Mayotte</t>
  </si>
  <si>
    <t>Federal Republic of Yugoslavia</t>
  </si>
  <si>
    <t>South Africa</t>
  </si>
  <si>
    <t>Zambia</t>
  </si>
  <si>
    <t>Zaire</t>
  </si>
  <si>
    <t>Zimbabwe</t>
  </si>
  <si>
    <t>AD</t>
  </si>
  <si>
    <t>AE</t>
  </si>
  <si>
    <t>AF</t>
  </si>
  <si>
    <t>AG</t>
  </si>
  <si>
    <t>AI</t>
  </si>
  <si>
    <t>AL</t>
  </si>
  <si>
    <t>AM</t>
  </si>
  <si>
    <t>AN</t>
  </si>
  <si>
    <t>AO</t>
  </si>
  <si>
    <t>AQ</t>
  </si>
  <si>
    <t>AR</t>
  </si>
  <si>
    <t>AS</t>
  </si>
  <si>
    <t>AU</t>
  </si>
  <si>
    <t>AW</t>
  </si>
  <si>
    <t>AX</t>
  </si>
  <si>
    <t>AZ</t>
  </si>
  <si>
    <t>BA</t>
  </si>
  <si>
    <t>BB</t>
  </si>
  <si>
    <t>BD</t>
  </si>
  <si>
    <t>BF</t>
  </si>
  <si>
    <t>BH</t>
  </si>
  <si>
    <t>BI</t>
  </si>
  <si>
    <t>BJ</t>
  </si>
  <si>
    <t>BL</t>
  </si>
  <si>
    <t>BM</t>
  </si>
  <si>
    <t>BN</t>
  </si>
  <si>
    <t>BO</t>
  </si>
  <si>
    <t>BQ</t>
  </si>
  <si>
    <t>BR</t>
  </si>
  <si>
    <t>BS</t>
  </si>
  <si>
    <t>BT</t>
  </si>
  <si>
    <t>BV</t>
  </si>
  <si>
    <t>BW</t>
  </si>
  <si>
    <t>BY</t>
  </si>
  <si>
    <t>BZ</t>
  </si>
  <si>
    <t>CA</t>
  </si>
  <si>
    <t>CD</t>
  </si>
  <si>
    <t>CF</t>
  </si>
  <si>
    <t>CG</t>
  </si>
  <si>
    <t>CH</t>
  </si>
  <si>
    <t>CI</t>
  </si>
  <si>
    <t>CK</t>
  </si>
  <si>
    <t>CL</t>
  </si>
  <si>
    <t>CM</t>
  </si>
  <si>
    <t>CN</t>
  </si>
  <si>
    <t>CO</t>
  </si>
  <si>
    <t>CR</t>
  </si>
  <si>
    <t>CU</t>
  </si>
  <si>
    <t>CV</t>
  </si>
  <si>
    <t>CW</t>
  </si>
  <si>
    <t>CX</t>
  </si>
  <si>
    <t>DJ</t>
  </si>
  <si>
    <t>DM</t>
  </si>
  <si>
    <t>DO</t>
  </si>
  <si>
    <t>DZ</t>
  </si>
  <si>
    <t>EC</t>
  </si>
  <si>
    <t>EG</t>
  </si>
  <si>
    <t>EH</t>
  </si>
  <si>
    <t>ER</t>
  </si>
  <si>
    <t>ET</t>
  </si>
  <si>
    <t>EU</t>
  </si>
  <si>
    <t>FJ</t>
  </si>
  <si>
    <t>FK</t>
  </si>
  <si>
    <t>FM</t>
  </si>
  <si>
    <t>FO</t>
  </si>
  <si>
    <t>GA</t>
  </si>
  <si>
    <t>GB</t>
  </si>
  <si>
    <t>GD</t>
  </si>
  <si>
    <t>GE</t>
  </si>
  <si>
    <t>GF</t>
  </si>
  <si>
    <t>GG</t>
  </si>
  <si>
    <t>GH</t>
  </si>
  <si>
    <t>GI</t>
  </si>
  <si>
    <t>GL</t>
  </si>
  <si>
    <t>GM</t>
  </si>
  <si>
    <t>GN</t>
  </si>
  <si>
    <t>GP</t>
  </si>
  <si>
    <t>GQ</t>
  </si>
  <si>
    <t>GR</t>
  </si>
  <si>
    <t>GS</t>
  </si>
  <si>
    <t>GT</t>
  </si>
  <si>
    <t>GU</t>
  </si>
  <si>
    <t>GW</t>
  </si>
  <si>
    <t>GY</t>
  </si>
  <si>
    <t>HK</t>
  </si>
  <si>
    <t>HM</t>
  </si>
  <si>
    <t>HN</t>
  </si>
  <si>
    <t>HT</t>
  </si>
  <si>
    <t>IL</t>
  </si>
  <si>
    <t>IM</t>
  </si>
  <si>
    <t>IO</t>
  </si>
  <si>
    <t>IQ</t>
  </si>
  <si>
    <t>IR</t>
  </si>
  <si>
    <t>IS</t>
  </si>
  <si>
    <t>JE</t>
  </si>
  <si>
    <t>JM</t>
  </si>
  <si>
    <t>JO</t>
  </si>
  <si>
    <t>JP</t>
  </si>
  <si>
    <t>KE</t>
  </si>
  <si>
    <t>KG</t>
  </si>
  <si>
    <t>KH</t>
  </si>
  <si>
    <t>KI</t>
  </si>
  <si>
    <t>KM</t>
  </si>
  <si>
    <t>KN</t>
  </si>
  <si>
    <t>KP</t>
  </si>
  <si>
    <t>KR</t>
  </si>
  <si>
    <t>KW</t>
  </si>
  <si>
    <t>KY</t>
  </si>
  <si>
    <t>KZ</t>
  </si>
  <si>
    <t>LA</t>
  </si>
  <si>
    <t>LB</t>
  </si>
  <si>
    <t>LC</t>
  </si>
  <si>
    <t>LK</t>
  </si>
  <si>
    <t>LR</t>
  </si>
  <si>
    <t>LS</t>
  </si>
  <si>
    <t>LY</t>
  </si>
  <si>
    <t>MA</t>
  </si>
  <si>
    <t>MC</t>
  </si>
  <si>
    <t>MD</t>
  </si>
  <si>
    <t>ME</t>
  </si>
  <si>
    <t>MF</t>
  </si>
  <si>
    <t>MG</t>
  </si>
  <si>
    <t>MH</t>
  </si>
  <si>
    <t>MK</t>
  </si>
  <si>
    <t>ML</t>
  </si>
  <si>
    <t>MM</t>
  </si>
  <si>
    <t>MN</t>
  </si>
  <si>
    <t>MO</t>
  </si>
  <si>
    <t>MP</t>
  </si>
  <si>
    <t>MQ</t>
  </si>
  <si>
    <t>MR</t>
  </si>
  <si>
    <t>MS</t>
  </si>
  <si>
    <t>MU</t>
  </si>
  <si>
    <t>MV</t>
  </si>
  <si>
    <t>MW</t>
  </si>
  <si>
    <t>MX</t>
  </si>
  <si>
    <t>MY</t>
  </si>
  <si>
    <t>MZ</t>
  </si>
  <si>
    <t>NA</t>
  </si>
  <si>
    <t>NC</t>
  </si>
  <si>
    <t>NE</t>
  </si>
  <si>
    <t>NF</t>
  </si>
  <si>
    <t>NG</t>
  </si>
  <si>
    <t>NI</t>
  </si>
  <si>
    <t>NP</t>
  </si>
  <si>
    <t>NR</t>
  </si>
  <si>
    <t>NU</t>
  </si>
  <si>
    <t>NZ</t>
  </si>
  <si>
    <t>OM</t>
  </si>
  <si>
    <t>PA</t>
  </si>
  <si>
    <t>PE</t>
  </si>
  <si>
    <t>PF</t>
  </si>
  <si>
    <t>PG</t>
  </si>
  <si>
    <t>PH</t>
  </si>
  <si>
    <t>PK</t>
  </si>
  <si>
    <t>PM</t>
  </si>
  <si>
    <t>PN</t>
  </si>
  <si>
    <t>PR</t>
  </si>
  <si>
    <t>PS</t>
  </si>
  <si>
    <t>PW</t>
  </si>
  <si>
    <t>PY</t>
  </si>
  <si>
    <t>QA</t>
  </si>
  <si>
    <t>QP</t>
  </si>
  <si>
    <t>RE</t>
  </si>
  <si>
    <t>RS</t>
  </si>
  <si>
    <t>RU</t>
  </si>
  <si>
    <t>RW</t>
  </si>
  <si>
    <t>SA</t>
  </si>
  <si>
    <t>SB</t>
  </si>
  <si>
    <t>SC</t>
  </si>
  <si>
    <t>SD</t>
  </si>
  <si>
    <t>SG</t>
  </si>
  <si>
    <t>SH</t>
  </si>
  <si>
    <t>SJ</t>
  </si>
  <si>
    <t>SL</t>
  </si>
  <si>
    <t>SM</t>
  </si>
  <si>
    <t>SN</t>
  </si>
  <si>
    <t>SO</t>
  </si>
  <si>
    <t>SR</t>
  </si>
  <si>
    <t>SS</t>
  </si>
  <si>
    <t>ST</t>
  </si>
  <si>
    <t>SV</t>
  </si>
  <si>
    <t>SX</t>
  </si>
  <si>
    <t>SY</t>
  </si>
  <si>
    <t>SZ</t>
  </si>
  <si>
    <t>TC</t>
  </si>
  <si>
    <t>TD</t>
  </si>
  <si>
    <t>TF</t>
  </si>
  <si>
    <t>TG</t>
  </si>
  <si>
    <t>TH</t>
  </si>
  <si>
    <t>TK</t>
  </si>
  <si>
    <t>TL</t>
  </si>
  <si>
    <t>TM</t>
  </si>
  <si>
    <t>TN</t>
  </si>
  <si>
    <t>TO</t>
  </si>
  <si>
    <t>TP</t>
  </si>
  <si>
    <t>TR</t>
  </si>
  <si>
    <t>TT</t>
  </si>
  <si>
    <t>TV</t>
  </si>
  <si>
    <t>TW</t>
  </si>
  <si>
    <t>TZ</t>
  </si>
  <si>
    <t>UA</t>
  </si>
  <si>
    <t>UG</t>
  </si>
  <si>
    <t>UM</t>
  </si>
  <si>
    <t>UY</t>
  </si>
  <si>
    <t>UZ</t>
  </si>
  <si>
    <t>VA</t>
  </si>
  <si>
    <t>VC</t>
  </si>
  <si>
    <t>VE</t>
  </si>
  <si>
    <t>VG</t>
  </si>
  <si>
    <t>VI</t>
  </si>
  <si>
    <t>VN</t>
  </si>
  <si>
    <t>VU</t>
  </si>
  <si>
    <t>WF</t>
  </si>
  <si>
    <t>WS</t>
  </si>
  <si>
    <t>XA</t>
  </si>
  <si>
    <t>XC</t>
  </si>
  <si>
    <t>XI</t>
  </si>
  <si>
    <t>XK</t>
  </si>
  <si>
    <t>XL</t>
  </si>
  <si>
    <t>XM</t>
  </si>
  <si>
    <t>XO</t>
  </si>
  <si>
    <t>XP</t>
  </si>
  <si>
    <t>XR</t>
  </si>
  <si>
    <t>XS</t>
  </si>
  <si>
    <t>XZ</t>
  </si>
  <si>
    <t>YE</t>
  </si>
  <si>
    <t>YT</t>
  </si>
  <si>
    <t>YU</t>
  </si>
  <si>
    <t>ZA</t>
  </si>
  <si>
    <t>ZM</t>
  </si>
  <si>
    <t>ZR</t>
  </si>
  <si>
    <t>ZW</t>
  </si>
  <si>
    <t>AED</t>
  </si>
  <si>
    <t>UAE Dirham</t>
  </si>
  <si>
    <t>AFN</t>
  </si>
  <si>
    <t>Afghani</t>
  </si>
  <si>
    <t>ALL</t>
  </si>
  <si>
    <t>Lek</t>
  </si>
  <si>
    <t>AMD</t>
  </si>
  <si>
    <t>Armenian Dram</t>
  </si>
  <si>
    <t>ANG</t>
  </si>
  <si>
    <t>Netherlands Antillean Guilder</t>
  </si>
  <si>
    <t>AOA</t>
  </si>
  <si>
    <t>Kwanza</t>
  </si>
  <si>
    <t>ARS</t>
  </si>
  <si>
    <t>Argentine Peso</t>
  </si>
  <si>
    <t>AUD</t>
  </si>
  <si>
    <t>Australian Dollar</t>
  </si>
  <si>
    <t>AWG</t>
  </si>
  <si>
    <t>Aruban Florin</t>
  </si>
  <si>
    <t>AZN</t>
  </si>
  <si>
    <t>Azerbaijan Manat</t>
  </si>
  <si>
    <t>BAM</t>
  </si>
  <si>
    <t>Convertible Mark</t>
  </si>
  <si>
    <t>BBD</t>
  </si>
  <si>
    <t>Barbados Dollar</t>
  </si>
  <si>
    <t>BDT</t>
  </si>
  <si>
    <t>Taka</t>
  </si>
  <si>
    <t>BGN</t>
  </si>
  <si>
    <t>Bulgarian Lev</t>
  </si>
  <si>
    <t>BHD</t>
  </si>
  <si>
    <t>Bahraini Dinar</t>
  </si>
  <si>
    <t>BIF</t>
  </si>
  <si>
    <t>Burundi Franc</t>
  </si>
  <si>
    <t>BMD</t>
  </si>
  <si>
    <t>Bermudian Dollar</t>
  </si>
  <si>
    <t>BND</t>
  </si>
  <si>
    <t>Brunei Dollar</t>
  </si>
  <si>
    <t>BOB</t>
  </si>
  <si>
    <t>Boliviano</t>
  </si>
  <si>
    <t>BOV</t>
  </si>
  <si>
    <t>Mvdol</t>
  </si>
  <si>
    <t>BRL</t>
  </si>
  <si>
    <t>Brazilian Real</t>
  </si>
  <si>
    <t>BSD</t>
  </si>
  <si>
    <t>Bahamian Dollar</t>
  </si>
  <si>
    <t>BTN</t>
  </si>
  <si>
    <t>Ngultrum</t>
  </si>
  <si>
    <t>BWP</t>
  </si>
  <si>
    <t>Pula</t>
  </si>
  <si>
    <t>BYN</t>
  </si>
  <si>
    <t>Belarusian Ruble</t>
  </si>
  <si>
    <t>BZD</t>
  </si>
  <si>
    <t>Belize Dollar</t>
  </si>
  <si>
    <t>CAD</t>
  </si>
  <si>
    <t>Canadian Dollar</t>
  </si>
  <si>
    <t>CDF</t>
  </si>
  <si>
    <t>Congolese Franc</t>
  </si>
  <si>
    <t>CHE</t>
  </si>
  <si>
    <t>WIR Euro</t>
  </si>
  <si>
    <t>CHF</t>
  </si>
  <si>
    <t>Swiss Franc</t>
  </si>
  <si>
    <t>CHW</t>
  </si>
  <si>
    <t>WIR Franc</t>
  </si>
  <si>
    <t>CLF</t>
  </si>
  <si>
    <t>Unidad de Fomento</t>
  </si>
  <si>
    <t>CLP</t>
  </si>
  <si>
    <t>Chilean Peso</t>
  </si>
  <si>
    <t>CNY</t>
  </si>
  <si>
    <t>Yuan Renminbi</t>
  </si>
  <si>
    <t>COP</t>
  </si>
  <si>
    <t>Colombian Peso</t>
  </si>
  <si>
    <t>COU</t>
  </si>
  <si>
    <t>Unidad de Valor Real</t>
  </si>
  <si>
    <t>CRC</t>
  </si>
  <si>
    <t>Costa Rican Colon</t>
  </si>
  <si>
    <t>CUC</t>
  </si>
  <si>
    <t>Peso Convertible</t>
  </si>
  <si>
    <t>CUP</t>
  </si>
  <si>
    <t>Cuban Peso</t>
  </si>
  <si>
    <t>CVE</t>
  </si>
  <si>
    <t>Cabo Verde Escudo</t>
  </si>
  <si>
    <t>CZK</t>
  </si>
  <si>
    <t>Czech Koruna</t>
  </si>
  <si>
    <t>DJF</t>
  </si>
  <si>
    <t>Djibouti Franc</t>
  </si>
  <si>
    <t>DKK</t>
  </si>
  <si>
    <t>Danish Krone</t>
  </si>
  <si>
    <t>DOP</t>
  </si>
  <si>
    <t>Dominican Peso</t>
  </si>
  <si>
    <t>DZD</t>
  </si>
  <si>
    <t>Algerian Dinar</t>
  </si>
  <si>
    <t>EGP</t>
  </si>
  <si>
    <t>Egyptian Pound</t>
  </si>
  <si>
    <t>ERN</t>
  </si>
  <si>
    <t>Nakfa</t>
  </si>
  <si>
    <t>ETB</t>
  </si>
  <si>
    <t>Ethiopian Birr</t>
  </si>
  <si>
    <t>EUR</t>
  </si>
  <si>
    <t>Euro</t>
  </si>
  <si>
    <t>FJD</t>
  </si>
  <si>
    <t>Fiji Dollar</t>
  </si>
  <si>
    <t>FKP</t>
  </si>
  <si>
    <t>Falkland Islands Pound</t>
  </si>
  <si>
    <t>GBP</t>
  </si>
  <si>
    <t>Pound Sterling</t>
  </si>
  <si>
    <t>GEL</t>
  </si>
  <si>
    <t>Lari</t>
  </si>
  <si>
    <t>GHS</t>
  </si>
  <si>
    <t>Ghana Cedi</t>
  </si>
  <si>
    <t>GIP</t>
  </si>
  <si>
    <t>Gibraltar Pound</t>
  </si>
  <si>
    <t>GMD</t>
  </si>
  <si>
    <t>Dalasi</t>
  </si>
  <si>
    <t>GNF</t>
  </si>
  <si>
    <t>Guinean Franc</t>
  </si>
  <si>
    <t>GTQ</t>
  </si>
  <si>
    <t>Quetzal</t>
  </si>
  <si>
    <t>GYD</t>
  </si>
  <si>
    <t>Guyana Dollar</t>
  </si>
  <si>
    <t>HKD</t>
  </si>
  <si>
    <t>Hong Kong Dollar</t>
  </si>
  <si>
    <t>HNL</t>
  </si>
  <si>
    <t>Lempira</t>
  </si>
  <si>
    <t>HTG</t>
  </si>
  <si>
    <t>Gourde</t>
  </si>
  <si>
    <t>HUF</t>
  </si>
  <si>
    <t>Forint</t>
  </si>
  <si>
    <t>IDR</t>
  </si>
  <si>
    <t>Rupiah</t>
  </si>
  <si>
    <t>ILS</t>
  </si>
  <si>
    <t>New Israeli Sheqel</t>
  </si>
  <si>
    <t>INR</t>
  </si>
  <si>
    <t>Indian Rupee</t>
  </si>
  <si>
    <t>IQD</t>
  </si>
  <si>
    <t>Iraqi Dinar</t>
  </si>
  <si>
    <t>IRR</t>
  </si>
  <si>
    <t>Iranian Rial</t>
  </si>
  <si>
    <t>ISK</t>
  </si>
  <si>
    <t>Iceland Krona</t>
  </si>
  <si>
    <t>JMD</t>
  </si>
  <si>
    <t>Jamaican Dollar</t>
  </si>
  <si>
    <t>JOD</t>
  </si>
  <si>
    <t>Jordanian Dinar</t>
  </si>
  <si>
    <t>JPY</t>
  </si>
  <si>
    <t>Yen</t>
  </si>
  <si>
    <t>KES</t>
  </si>
  <si>
    <t>Kenyan Shilling</t>
  </si>
  <si>
    <t>KGS</t>
  </si>
  <si>
    <t>Som</t>
  </si>
  <si>
    <t>KHR</t>
  </si>
  <si>
    <t>Riel</t>
  </si>
  <si>
    <t>KMF</t>
  </si>
  <si>
    <t>Comorian Franc</t>
  </si>
  <si>
    <t>KPW</t>
  </si>
  <si>
    <t>North Korean Won</t>
  </si>
  <si>
    <t>KRW</t>
  </si>
  <si>
    <t>Won</t>
  </si>
  <si>
    <t>KWD</t>
  </si>
  <si>
    <t>Kuwaiti Dinar</t>
  </si>
  <si>
    <t>KYD</t>
  </si>
  <si>
    <t>Cayman Islands Dollar</t>
  </si>
  <si>
    <t>KZT</t>
  </si>
  <si>
    <t>Tenge</t>
  </si>
  <si>
    <t>LAK</t>
  </si>
  <si>
    <t>Lao Kip</t>
  </si>
  <si>
    <t>LBP</t>
  </si>
  <si>
    <t>Lebanese Pound</t>
  </si>
  <si>
    <t>LKR</t>
  </si>
  <si>
    <t>Sri Lanka Rupee</t>
  </si>
  <si>
    <t>LRD</t>
  </si>
  <si>
    <t>Liberian Dollar</t>
  </si>
  <si>
    <t>LSL</t>
  </si>
  <si>
    <t>Loti</t>
  </si>
  <si>
    <t>LYD</t>
  </si>
  <si>
    <t>Libyan Dinar</t>
  </si>
  <si>
    <t>MAD</t>
  </si>
  <si>
    <t>Moroccan Dirham</t>
  </si>
  <si>
    <t>MDL</t>
  </si>
  <si>
    <t>Moldovan Leu</t>
  </si>
  <si>
    <t>MGA</t>
  </si>
  <si>
    <t>Malagasy Ariary</t>
  </si>
  <si>
    <t>MKD</t>
  </si>
  <si>
    <t>Denar</t>
  </si>
  <si>
    <t>MMK</t>
  </si>
  <si>
    <t>Kyat</t>
  </si>
  <si>
    <t>MNT</t>
  </si>
  <si>
    <t>Tugrik</t>
  </si>
  <si>
    <t>MOP</t>
  </si>
  <si>
    <t>Pataca</t>
  </si>
  <si>
    <t>MRU</t>
  </si>
  <si>
    <t>Ouguiya</t>
  </si>
  <si>
    <t>MUR</t>
  </si>
  <si>
    <t>Mauritius Rupee</t>
  </si>
  <si>
    <t>MVR</t>
  </si>
  <si>
    <t>Rufiyaa</t>
  </si>
  <si>
    <t>MWK</t>
  </si>
  <si>
    <t>Malawi Kwacha</t>
  </si>
  <si>
    <t>MXN</t>
  </si>
  <si>
    <t>Mexican Peso</t>
  </si>
  <si>
    <t>MXV</t>
  </si>
  <si>
    <t>Mexican Unidad de Inversion (UDI)</t>
  </si>
  <si>
    <t>MYR</t>
  </si>
  <si>
    <t>Malaysian Ringgit</t>
  </si>
  <si>
    <t>MZN</t>
  </si>
  <si>
    <t>Mozambique Metical</t>
  </si>
  <si>
    <t>NAD</t>
  </si>
  <si>
    <t>Namibia Dollar</t>
  </si>
  <si>
    <t>NGN</t>
  </si>
  <si>
    <t>Naira</t>
  </si>
  <si>
    <t>NIO</t>
  </si>
  <si>
    <t>Cordoba Oro</t>
  </si>
  <si>
    <t>NOK</t>
  </si>
  <si>
    <t>Norwegian Krone</t>
  </si>
  <si>
    <t>NPR</t>
  </si>
  <si>
    <t>Nepalese Rupee</t>
  </si>
  <si>
    <t>NZD</t>
  </si>
  <si>
    <t>New Zealand Dollar</t>
  </si>
  <si>
    <t>OMR</t>
  </si>
  <si>
    <t>Rial Omani</t>
  </si>
  <si>
    <t>PAB</t>
  </si>
  <si>
    <t>Balboa</t>
  </si>
  <si>
    <t>PEN</t>
  </si>
  <si>
    <t>Sol</t>
  </si>
  <si>
    <t>PGK</t>
  </si>
  <si>
    <t>PHP</t>
  </si>
  <si>
    <t>Philippine Peso</t>
  </si>
  <si>
    <t>PKR</t>
  </si>
  <si>
    <t>Pakistan Rupee</t>
  </si>
  <si>
    <t>PLN</t>
  </si>
  <si>
    <t>Zloty</t>
  </si>
  <si>
    <t>PYG</t>
  </si>
  <si>
    <t>Guarani</t>
  </si>
  <si>
    <t>QAR</t>
  </si>
  <si>
    <t>Qatari Rial</t>
  </si>
  <si>
    <t>RON</t>
  </si>
  <si>
    <t>Romanian Leu</t>
  </si>
  <si>
    <t>RSD</t>
  </si>
  <si>
    <t>Serbian Dinar</t>
  </si>
  <si>
    <t>RUB</t>
  </si>
  <si>
    <t>Russian Ruble</t>
  </si>
  <si>
    <t>RWF</t>
  </si>
  <si>
    <t>Rwanda Franc</t>
  </si>
  <si>
    <t>SAR</t>
  </si>
  <si>
    <t>Saudi Riyal</t>
  </si>
  <si>
    <t>SBD</t>
  </si>
  <si>
    <t>Solomon Islands Dollar</t>
  </si>
  <si>
    <t>SCR</t>
  </si>
  <si>
    <t>Seychelles Rupee</t>
  </si>
  <si>
    <t>SDG</t>
  </si>
  <si>
    <t>Sudanese Pound</t>
  </si>
  <si>
    <t>SEK</t>
  </si>
  <si>
    <t>Swedish Krona</t>
  </si>
  <si>
    <t>SGD</t>
  </si>
  <si>
    <t>Singapore Dollar</t>
  </si>
  <si>
    <t>SHP</t>
  </si>
  <si>
    <t>Saint Helena Pound</t>
  </si>
  <si>
    <t>SLE</t>
  </si>
  <si>
    <t>Leone</t>
  </si>
  <si>
    <t>SLL</t>
  </si>
  <si>
    <t>SOS</t>
  </si>
  <si>
    <t>Somali Shilling</t>
  </si>
  <si>
    <t>SRD</t>
  </si>
  <si>
    <t>Surinam Dollar</t>
  </si>
  <si>
    <t>SSP</t>
  </si>
  <si>
    <t>South Sudanese Pound</t>
  </si>
  <si>
    <t>STN</t>
  </si>
  <si>
    <t>Dobra</t>
  </si>
  <si>
    <t>SVC</t>
  </si>
  <si>
    <t>El Salvador Colon</t>
  </si>
  <si>
    <t>SYP</t>
  </si>
  <si>
    <t>Syrian Pound</t>
  </si>
  <si>
    <t>SZL</t>
  </si>
  <si>
    <t>Lilangeni</t>
  </si>
  <si>
    <t>THB</t>
  </si>
  <si>
    <t>Baht</t>
  </si>
  <si>
    <t>TJS</t>
  </si>
  <si>
    <t>Somoni</t>
  </si>
  <si>
    <t>TMT</t>
  </si>
  <si>
    <t>Turkmenistan New Manat</t>
  </si>
  <si>
    <t>TND</t>
  </si>
  <si>
    <t>Tunisian Dinar</t>
  </si>
  <si>
    <t>TOP</t>
  </si>
  <si>
    <t>Pa’anga</t>
  </si>
  <si>
    <t>TRY</t>
  </si>
  <si>
    <t>Turkish Lira</t>
  </si>
  <si>
    <t>TTD</t>
  </si>
  <si>
    <t>Trinidad and Tobago Dollar</t>
  </si>
  <si>
    <t>TWD</t>
  </si>
  <si>
    <t>New Taiwan Dollar</t>
  </si>
  <si>
    <t>TZS</t>
  </si>
  <si>
    <t>Tanzanian Shilling</t>
  </si>
  <si>
    <t>UAH</t>
  </si>
  <si>
    <t>Hryvnia</t>
  </si>
  <si>
    <t>UGX</t>
  </si>
  <si>
    <t>Uganda Shilling</t>
  </si>
  <si>
    <t>US Dollar</t>
  </si>
  <si>
    <t>UYI</t>
  </si>
  <si>
    <t>Uruguay Peso en Unidades Indexadas (UI)</t>
  </si>
  <si>
    <t>UYU</t>
  </si>
  <si>
    <t>Peso Uruguayo</t>
  </si>
  <si>
    <t>UYW</t>
  </si>
  <si>
    <t>Unidad Previsional</t>
  </si>
  <si>
    <t>UZS</t>
  </si>
  <si>
    <t>Uzbekistan Sum</t>
  </si>
  <si>
    <t>VED</t>
  </si>
  <si>
    <t>Bolívar Soberano</t>
  </si>
  <si>
    <t>VES</t>
  </si>
  <si>
    <t>Bolivar Soberano</t>
  </si>
  <si>
    <t>VND</t>
  </si>
  <si>
    <t>Dong</t>
  </si>
  <si>
    <t>VUV</t>
  </si>
  <si>
    <t>Vatu</t>
  </si>
  <si>
    <t>WST</t>
  </si>
  <si>
    <t>Tala</t>
  </si>
  <si>
    <t>XAF</t>
  </si>
  <si>
    <t>CFA Franc BEAC</t>
  </si>
  <si>
    <t>XCD</t>
  </si>
  <si>
    <t>East Caribbean Dollar</t>
  </si>
  <si>
    <t>XDR</t>
  </si>
  <si>
    <t>SDR (Special Drawing Right)</t>
  </si>
  <si>
    <t>XOF</t>
  </si>
  <si>
    <t>CFA Franc BCEAO</t>
  </si>
  <si>
    <t>XPF</t>
  </si>
  <si>
    <t>CFP Franc</t>
  </si>
  <si>
    <t>YER</t>
  </si>
  <si>
    <t>Yemeni Rial</t>
  </si>
  <si>
    <t>ZAR</t>
  </si>
  <si>
    <t>Rand</t>
  </si>
  <si>
    <t>ZMW</t>
  </si>
  <si>
    <t>Zambian Kwacha</t>
  </si>
  <si>
    <t>ZWL</t>
  </si>
  <si>
    <t>Zimbabwe Dollar</t>
  </si>
  <si>
    <t>Code</t>
  </si>
  <si>
    <t>Country Name</t>
  </si>
  <si>
    <t>Currency Name</t>
  </si>
  <si>
    <t>CNTR_ListCountriesCode</t>
  </si>
  <si>
    <t>CNTR_ListCountriesName</t>
  </si>
  <si>
    <t>CNTR_ListCurrenciesCode</t>
  </si>
  <si>
    <t>CNTR_ListCurrenciesName</t>
  </si>
  <si>
    <t>Countries &amp; Currencies</t>
  </si>
  <si>
    <t>Common Nomenclature Codes for CBAM goods</t>
  </si>
  <si>
    <t>Currency:</t>
  </si>
  <si>
    <t>Carbon price (CP)</t>
  </si>
  <si>
    <t>Share of emissions by default value</t>
  </si>
  <si>
    <t>Share of direct embedded emissions embedded in purchased precursors and determined by default values.</t>
  </si>
  <si>
    <t>CN Code</t>
  </si>
  <si>
    <t>The list below shows the CN codes and corresponding names of all CBAM goods and the aggregated goods category to which the CN code pertains.</t>
  </si>
  <si>
    <t xml:space="preserve">CN codes for products that are not listed here do currently not fall under the CBAM. </t>
  </si>
  <si>
    <t>Sheet "Code Lists"</t>
  </si>
  <si>
    <t>Code Lists</t>
  </si>
  <si>
    <t>c.</t>
  </si>
  <si>
    <t>Communication with reporting declarants</t>
  </si>
  <si>
    <t>Summary of emissions by monitoring methodology and data quality</t>
  </si>
  <si>
    <t>Please select from the hierarchical order (descending order) in the drop-down list the approach for quality assurance of emissions data.</t>
  </si>
  <si>
    <t>Please also list the country in which the relevant precursor was produced (see sheet "c_CodeLists" to find the correct country codes) and the relevant production routes, if known.</t>
  </si>
  <si>
    <t>This sheet summarises the main information from sheets "Summary_Processes" and "Summary_Products" to be communicated to the reporting declarants importing the goods into the European Union. In contrast to previous sheets, the headers and content of the tables will always be in English language in order to avoid translation problems with reporting declarants.</t>
  </si>
  <si>
    <t>However, do NOT make any changes to columns B (which will display the correct text based on the selection in A3) and column C which shall always contain the English translation</t>
  </si>
  <si>
    <t>If you want to translate the guidance text in this template into another language, please select the next available column (first one available is column D) and copy the text in the new language into the corresponding rows and select the column number (e.g. "4" for column D) in cell A3.</t>
  </si>
  <si>
    <t>First published version</t>
  </si>
  <si>
    <t>https://taxation-customs.ec.europa.eu/carbon-border-adjustment-mechanism_en</t>
  </si>
  <si>
    <t>First set of bugs fixed (mass balance, electricity exported,…)</t>
  </si>
  <si>
    <t>Version</t>
  </si>
  <si>
    <t>Date</t>
  </si>
  <si>
    <t>first preliminary published version</t>
  </si>
  <si>
    <t>0.1</t>
  </si>
  <si>
    <t>1.0</t>
  </si>
  <si>
    <t>0.</t>
  </si>
  <si>
    <t>Version history</t>
  </si>
  <si>
    <t>Description</t>
  </si>
  <si>
    <t>Sheet "Version history"</t>
  </si>
  <si>
    <t>1.1</t>
  </si>
  <si>
    <t>Fixed bug 'CN code ranges' in sheet Summary_Products</t>
  </si>
  <si>
    <t>PFC emissions for cond. form. in sheet B</t>
  </si>
  <si>
    <t>PFC emissions relevant?</t>
  </si>
  <si>
    <t>Technology type</t>
  </si>
  <si>
    <t>Please enter here the carbon price due per tonne or MWh (as applicable) of product in the relevant currency. This value shall not include any rebate such as free allocation or financial compensation. Where the tool in sheet F was used, values should equal results displayed in column L there.</t>
  </si>
  <si>
    <t>Please enter here the rebate per tonne or MWh (as applicable) of product covered by the rebate in the relevant currency. Where the tool in sheet F was used, values should equal results displayed in column M there.</t>
  </si>
  <si>
    <t>The result is the effective carbon price due per tonne of CO2 equivalent, i.e. the carbon price due less any rebates. Where the tool in sheet F was used, values should equal results displayed in column N there.</t>
  </si>
  <si>
    <t>Method A: The slope emission factor (kgCF4/tAl)/(min/cell-day)</t>
  </si>
  <si>
    <t>Method B: The anode effect overvoltage per cell (mV)</t>
  </si>
  <si>
    <t>Method B: The average current efficiency (as % or values between 0 and 1)</t>
  </si>
  <si>
    <t>Method B: The overvoltage coefficient (‘emission factor’) (kg CF4)/(t Al mV)</t>
  </si>
  <si>
    <t>Efficiency of the collection of the fugitive PFC emissions (%)</t>
  </si>
  <si>
    <t>Cond.format</t>
  </si>
  <si>
    <t>For steel goods, the identification number of the specific steel mill (also known as the "heat number") where a particular batch of raw materials was produced, where known. Information provided here may just refer to the parts of this number identifying the steel mill, not the individual batches as well.</t>
  </si>
  <si>
    <t>http://data.europa.eu/eli/reg_impl/2023/1773/oj</t>
  </si>
  <si>
    <t>Specific electricity consumption (for SEE (indirect))</t>
  </si>
  <si>
    <t>Electricity emission factor (for SEE (indirect))</t>
  </si>
  <si>
    <t>Error?</t>
  </si>
  <si>
    <t>2.0</t>
  </si>
  <si>
    <t>Specific embedded electricity consumption the production process, including any electricity embedded in any precursors consumed in the process.</t>
  </si>
  <si>
    <t>D.4(a)</t>
  </si>
  <si>
    <t>D.4(b)</t>
  </si>
  <si>
    <t>D.4.1</t>
  </si>
  <si>
    <t>D.4.2</t>
  </si>
  <si>
    <t>D.4.3.1</t>
  </si>
  <si>
    <t>D.4.3.2</t>
  </si>
  <si>
    <t>The EF of the electricity can be determined by the following methods:</t>
  </si>
  <si>
    <t>EF based on IEA data, provided by the European Commission</t>
  </si>
  <si>
    <t>EF of electricity produced in the installation other than by cogeneration</t>
  </si>
  <si>
    <t>EF of electricity produced in the installation by cogeneration</t>
  </si>
  <si>
    <t>EF of electricity produced outside the installation (received from a source with a direct technical link)</t>
  </si>
  <si>
    <t>EF of electricity produced outside the installation (received from a producer under a power purchase agreement)</t>
  </si>
  <si>
    <t>Revised version (2nd published)</t>
  </si>
  <si>
    <t>Pursuant to Article 35(7) of the CBAM Regulation, the Commission adopted an implementing act (Commission Implementing Regulation (EU) 2023/1773 of 17 August 2023) which lays down the detailed rules for 'reporting declarants' (as defined in Article 2(1) of this implementing act) for reporting obligations upon import into the European Union during the transitional period from 1 October 2023 to 31 December 2025 (‘transitional period’). The Regulation can be downloaded from:</t>
  </si>
  <si>
    <t>Whenever a value of zero is to be reported, it should be entered rather than keeping the cell empty. Values needed for calculations should always be entered (especially if zero, because some formulas don't give results as long as required cells are empty). If a cell is kept empty, the reporting declarant does not know if the value is zero, is irrelevant or unknown, or if making entries has been overlooked.</t>
  </si>
  <si>
    <t>Special care must be taken to ensure consistency of data with the units displayed.</t>
  </si>
  <si>
    <t>Please enter here the starting date and the end date of the reporting period to which the data entered in this communication template refers to. For example, if you want to report data based on the whole calendar year 2023, the starting date would be 1.1.2023 and the end date 31.12.2023.</t>
  </si>
  <si>
    <t>For information, emissions from the following precursors are relevant for the embedded emissions of the types of aggregated goods listed above. Where those precursors are actually relevant for your production processes, please make sure those are also listed either as products in the table above (if produced within your installation) or under section 5 "purchased precursors" below (where produced in other installations). Please note that for some goods the same aggregated good category itself can be a relevant precursor (e.g. iron &amp; steel products, aluminium products, mixed fertilisers).</t>
  </si>
  <si>
    <t>Based on the list under (a), please list here only aggregated goods categories (G1, G2, etc.) for which you want to establish distinct "production process" and assign all aggregated goods categories and relevant precursors that will be covered by its system boundary. Where the selected "production process" only includes the one aggregated goods category selected, please select "only direct production" in column F.</t>
  </si>
  <si>
    <t>Example: If "ammonia" and "nitric acid" are both produced in your installation, you may either create a separate production process for each of these good types, or report them combined under 'nitric acid' under a 'bubble approach'. In the case of the latter, please select as of column F which other process you want to include under this 'bubble approach'. Note: the 'bubble approach' is only allowed if all ammonia produced is processed into nitric acid. If parts of the ammonia are exported from the installation, two separate production processes have to be entered here.</t>
  </si>
  <si>
    <t>Calculation based approaches: Source Streams (excluding PFC emissions)</t>
  </si>
  <si>
    <t>On the far right side of each block the total energy content and GHG emissions (fossil and biogenic) are calculated automatically for each source stream.</t>
  </si>
  <si>
    <t>Because this sheet is provided in a database-like format covering all monitoring approaches, each monitored item is corresponding to one row, and each parameter to be monitored is corresponding to one column. The columns not applicable to a specific monitoring approach are greyed out.</t>
  </si>
  <si>
    <t>The activity data is the data on the amount of fuels or materials consumed or produced by a process as relevant for the calculation-based monitoring methodology, expressed as mass in tonnes (t), or for gases as volume in normal cubic metres (Nm³), as appropriate.</t>
  </si>
  <si>
    <t>The corresponding units in which the amounts above are provided. Please select tonnes (t) for mass of solid, liquid or gaseous materials and fuels, or 1000 normal cubic metres (Nm³) for gases.</t>
  </si>
  <si>
    <t>The net calorific value is the specific amount of energy released as heat when a fuel or material undergoes complete combustion with oxygen under standard conditions less the heat of vaporisation of any water formed.</t>
  </si>
  <si>
    <t>For mass balances, the NCV can be entered for informative purposes, but it is not used for emission calculation.</t>
  </si>
  <si>
    <t>Please select here either "tCO2/TJ" (default for fuels), or "tCO2/t" or "tCO2/1000Nm3" if the NCV is not to be used for the calculation of emissions. The latter applies to process emissions or in exceptional cases to fuels, if the determination of NCV is not possible without incurring unreasonable costs.</t>
  </si>
  <si>
    <t>The emission factor is used to calculate emissions under the "standard methodology" (section B.3.1 of Annex III of the implementing Act), but not for the mass balance approach. For biomass and mixed materials, the "preliminary" emission factor must be used. This is the assumed total emission factor of a mixed fuel or material based on the total carbon content composed of biomass fraction and fossil fraction before multiplying it with the fossil fraction to result in the emission factor.</t>
  </si>
  <si>
    <t>The carbon content of the fuel or material. This parameter is used only for the mass balance approach (Section B.3.2 of Annex III of the implementing act).</t>
  </si>
  <si>
    <t xml:space="preserve">Depending on the selected unit for the activity data, the correct unit for the carbon content (either "tC/t material", or "tC/1000Nm3" for gases) is automatically displayed. </t>
  </si>
  <si>
    <t>The unit of the oxidation factor is always percent (%).</t>
  </si>
  <si>
    <t>Due to the way how Excel handles percentage values, only numbers WITHOUT percentage sign ("%") must be entered.</t>
  </si>
  <si>
    <t>The unit of the conversion factor is always percent (%).</t>
  </si>
  <si>
    <t>The unit of the biomass fraction is always percent (%).</t>
  </si>
  <si>
    <t>PFC (perfluorocarbon) emissions</t>
  </si>
  <si>
    <t xml:space="preserve">This block is used for entering all emissions monitored using the specific approach for PFC emissions (Implementing Act Annex III section B.7). </t>
  </si>
  <si>
    <t xml:space="preserve">This block is used for entering all emissions monitored using a "calculation-based approach" (Implementing Act Annex III section B.3). </t>
  </si>
  <si>
    <t>Please provide here the type of anode technology such as Centre Worked Pre-Bake (CWPB), Vertical Stud Søderberg (VSS), etc.</t>
  </si>
  <si>
    <t>Further columns which are irrelevant for PFC emissions are greyed out in this table. Please scroll to the right until you reach columns relevant for PFCs.</t>
  </si>
  <si>
    <t>The weight fraction of C2F6 (t C2F6/t CF4) (both methods A and B)</t>
  </si>
  <si>
    <t>The unit of activity data (default: Tonnes)</t>
  </si>
  <si>
    <t>CONST_GWP_CF4</t>
  </si>
  <si>
    <t>CONST_GWP_N2O</t>
  </si>
  <si>
    <t>CONST_GWP_C2F6</t>
  </si>
  <si>
    <t>The emissions of CF4 calculated automatically from the previous inputs as tonnes CF4</t>
  </si>
  <si>
    <t>The emissions of C2F6 calculated automatically from the previous inputs as tonnes C2F6</t>
  </si>
  <si>
    <t>The PFC emissions converted into t CO2e</t>
  </si>
  <si>
    <t>This block is used for entering all emissions monitored using the measurement-based approach using Continuous Emission Monitoring Systems / CEMS (Implementing Act Annex III section B.6).</t>
  </si>
  <si>
    <t>Further columns which are relevant for calculation-based approaches only are greyed out in this table. Please scroll to the right until you reach columns relevant for CEMS.</t>
  </si>
  <si>
    <t>The biomass fraction is the ratio of carbon stemming from biomass to the total carbon content of a fuel or material, expressed as percentage. In case of CEMS, it is the ratio of carbon stemming from biomass to the total carbon contained in the flue gas.</t>
  </si>
  <si>
    <t>The entry of a biomass fraction is voluntary. If there is no biomass fraction, or if 0 is entered, the emission calculation gives automatically the result of purely fossil emissions. for N2O emissions, no biomass is irrelevant. Note that the unit is fixed to percent (see next point). Therefore, any value entered here must be between 100 (pure biomass) and 0 (no biomass at all).</t>
  </si>
  <si>
    <t>The entry of a biomass fraction is voluntary. If there is no biomass fraction, or if 0 is entered, the emission calculation gives automatically the result of a purely fossil fuel or material. Note that the unit is fixed to percent (see next point). Therefore, any value entered here must be between 100 (pure biomass) and 0 (no biomass at all).</t>
  </si>
  <si>
    <t>The weighted average hourly concentration of the GHG measured.</t>
  </si>
  <si>
    <t>The unit in which the hourly average concentration is to be entered in this table. It is always set to g/Nm³.</t>
  </si>
  <si>
    <t>The total hours of operation of the continuous emission measurement during the reporting period.</t>
  </si>
  <si>
    <t>h/period</t>
  </si>
  <si>
    <t>Flue gas flow (average)</t>
  </si>
  <si>
    <t>Flue gas flow (average), Unit</t>
  </si>
  <si>
    <t>GWP (tCO2e/t)</t>
  </si>
  <si>
    <t>The unit in which the operating hours are to be entered in this table. It is always set to h/period.</t>
  </si>
  <si>
    <t>The fossil emissions are the necessary basis for determining the embedded emissions of CBAM goods. The results are automatically transferred into sheet C_Emissions&amp;Energy.</t>
  </si>
  <si>
    <t>The unit in which the flue gas flow is to be entered in this table. It is always set to 1000Nm3/h.</t>
  </si>
  <si>
    <t>The total quantity (mass) of the GHG monitored using CEMS in the reporting period.</t>
  </si>
  <si>
    <t>The unit in which the mass of GHG emitted is calculated in this table. It is always set to tonnes.</t>
  </si>
  <si>
    <t>The GWP (global warming potential) of the GHG monitored.</t>
  </si>
  <si>
    <t>The energy content of the fuels or materials entering the production process during the reporting period. In case of CEMS this cannot be automatically determined but needs to be input by the user.</t>
  </si>
  <si>
    <t>Emissions (tCO2e)</t>
  </si>
  <si>
    <t>Measurement-Based Approaches: Emissions Sources</t>
  </si>
  <si>
    <t>The entry of total indirect emissions must always be entered manually.</t>
  </si>
  <si>
    <t>Indir.em relevant? (definitive)</t>
  </si>
  <si>
    <t>Indir.em relevant? (transitional</t>
  </si>
  <si>
    <t>In sheet "D_Processes" the required data inputs are necessary to calculate the emissions attributed to each production process, based on which the specific embedded emissions of the goods category are calculated in this template.</t>
  </si>
  <si>
    <t>Note: According to the current text of Section A.4, point (b) of Annex III of the Implementing act, separate production processes must be defined where separate production routes are used for the same aggregated goods category.</t>
  </si>
  <si>
    <t>Under point ii. the share put on the market is displayed for control purposes. Furthermore point iii. tells you if this is the complete amount (100%) of product. If it is 100%, the next section (consumed within the installation) is not relevant.</t>
  </si>
  <si>
    <t>Please provide here the total amount of goods that are consumed in each listed production process as input to be further processed into the goods produced in those processes. Please do not leave any yellow cells empty. Enter zero ("0") if the good is not consumed by the specific process. Where all of the goods are reported as placed on the market under point b), this section will be greyed out and no inputs are required here.</t>
  </si>
  <si>
    <t>Please provide here the total amount of goods that are consumed in production processes within the installation which produce goods that are not covered by the scope of the CBAM. Do not leave empty, but enter 0 if applicable.</t>
  </si>
  <si>
    <t>General information on each production process</t>
  </si>
  <si>
    <t>This block is used for entering parameters necessary to calculate attributed emissions of the production process in accordance with the Implementing Act, Annex III section F.1.</t>
  </si>
  <si>
    <t>Waste gases are particularly relevant in integrated iron &amp; steel production. They are flue gases containing high concentrations of incompletely oxidised carbon, for example, any coke oven gas imported into the blast furnace, or blast furnace gas exported from the production process to produce electricity.</t>
  </si>
  <si>
    <t>Please enter here the amount of direct emissions of the production process within the reporting period. Include all emissions directly linked to and therefore attributable to the production process taking into consideration the further provisions below.</t>
  </si>
  <si>
    <t>Emissions shall only be attributed to ONE production process reported for this installation. Values entered here must therefore NOT include any emissions linked to the production of the precursors that defined as another 'production process'. Otherwise the template would double-count the embedded emissions.</t>
  </si>
  <si>
    <t>Measureable heat (e.g. steam): Emissions associated with fuel input into boilers can be either included here as DirEm* or via the 'import of measurable heat' below, but must not be reported twice.</t>
  </si>
  <si>
    <t>If a boiler or CHP supplies heat to several production processes or other installations, the approach to report "imported heat" is preferred. If the heat is produced in a CHP, the emissions have to be split between heat and electricity. The CHP Tool can help in calculating this split.</t>
  </si>
  <si>
    <t>Please enter here the amounts of net measurable heat (e.g. steam) being imported to (e.g. from connected heat supplying installations) or exported from the production process (e.g. heat recovery from the furnace and exported from the production process).</t>
  </si>
  <si>
    <t>For the emission factor (EF) of the heat, please take into account the efficiency of the boiler. For example: The EF of the fuel from which the heat is produced is 96 t CO2/TJ; the boiler efficiency is 90%. Therefore, the EF to be reported here would be 96 divided by 90% = 106.67 t CO2/TJ.</t>
  </si>
  <si>
    <t>Where the EF of exported heat is unknown or not clearly defined (e.g. heat recovery from furnaces or from exothermic chemical processes), the standard emission factor of the fuel most commonly used in the country and industrial sector, assuming a boiler efficiency of 90%, should be used.</t>
  </si>
  <si>
    <t>Further to the waste gas related provisions described above under DirEm*, please provide here the net amounts of waste gases imported from other processes or installations and consumed in this production process, as well as any amounts of waste gases exported from and consumed outside the production process.</t>
  </si>
  <si>
    <t>The emission factor of the waste gases will not impact the emissions attributed to this production process, due to the special rules for waste gases. Their input here is therefore optional.</t>
  </si>
  <si>
    <t>Please enter the weighted average emission factor of the electricity consumed using one of the methods for determination of this factor listed below (referencing the applicable section in Annex III of the Implementing Act).</t>
  </si>
  <si>
    <t>EF based on other publicly available data representing either the average EF or the CO2 emission factor as in section 4.3 of Annex IV of the CBAM Regulation.</t>
  </si>
  <si>
    <t>Link to Tool:</t>
  </si>
  <si>
    <t>In sheet "E_PurchPrec" the required data inputs are necessary to calculate the embedded emissions of the goods produced in the installation using purchased precursors. The sheet serves for listing the information required in line with section E of Annex III of the Implementing Act.</t>
  </si>
  <si>
    <t>Consumed in 'production processes' within the installation:</t>
  </si>
  <si>
    <t xml:space="preserve">Please provide here the total amount of purchased precursor consumed in the reporting period, distinguishing amounts by the relevant production route by which the precursor was produced, if known. </t>
  </si>
  <si>
    <t>Under this point, please provide information how much of the precursor has been consumed during the reporting period in each production process within the installation.</t>
  </si>
  <si>
    <t>Consumed for other purposes, e.g. sold or used for non-CBAM goods:</t>
  </si>
  <si>
    <t>For completeness of data, please enter here the amount of the precursor not used for the production of CBAM goods within the installation. This includes transfer to other installations or sale of the precursor.</t>
  </si>
  <si>
    <t>This is an automatic calculation "a-(b+c)". Please ensure that this value is zero.</t>
  </si>
  <si>
    <t>Specific embedded direct emissions (SEE (direct))</t>
  </si>
  <si>
    <t>Specific embedded indirect emissions (SEE (indirect))</t>
  </si>
  <si>
    <t>Unknown</t>
  </si>
  <si>
    <t>CONST_MeasDefaultUnknown</t>
  </si>
  <si>
    <t>Please enter here the values obtained from the supplier of the precursor, and the data source given by the supplier.</t>
  </si>
  <si>
    <t>As information source you may choose whether the producer has determined (measured) the data, or whether the default value provided by the European Commission was used.</t>
  </si>
  <si>
    <t>Please enter the value for the electricity consumption per tonne of precursor. If obtained from the supplier, use the most recent available data.</t>
  </si>
  <si>
    <t>Please enter the applicable emission factor (EF) for electricity used for the production of the precursor. The following options can be chosen as data source:</t>
  </si>
  <si>
    <t>Please enter the specific direct embedded emissions, i.e. the embedded emissions value per tonne of precursor. If obtained from the supplier, use the most recent available data. Values are to be expressed as tCO2e per tonne precursor, i.e. covering all greenhouse gases relevant.</t>
  </si>
  <si>
    <t>If you used default values for at least one parameter, you have to provide a justification for the use of the default value. Please select one from the drop-down list.</t>
  </si>
  <si>
    <t>This tool exists twofold in this template and each tool should only be used for one CHP. If more CHPs are relevant, you must aggregate energy amounts and emissions from multiple CHPs, as appropriate, or perform separate calculations using additional copies of this template.</t>
  </si>
  <si>
    <t>For the reference efficiencies the appropriate fuel-specific values from Annex IX of the Implementing Act should be used.</t>
  </si>
  <si>
    <t>Below the default efficiencies for hard coal CHPs producing electricity and hot water are entered as an example.</t>
  </si>
  <si>
    <t>Emissions attributable to heat and electricity production from CHP</t>
  </si>
  <si>
    <t>Calculation results can only be considered correct if complete and consistent data have been reported in sections above.</t>
  </si>
  <si>
    <t>Please enter here the share of the TOTAL (direct + indirect) specific emissions that are subject to carbon pricing. For instance, if only direct emissions are covered by a carbon pricing system, the share to be provided here would be exactly the share in the direct emissions of the total emissions.</t>
  </si>
  <si>
    <t>Please enter here the carbon price due per tonne of CO2e in the relevant currency. This value shall be the carbon price before application of any rebate such as free allocation or financial compensation. It shall furthermore exclude any carbon price due for any precursors outside the production process to avoid double counting.</t>
  </si>
  <si>
    <t>Please enter here the rebate per tonne of CO2e covered by the rebate in the relevant currency. Again, it shall exclude any rebate for any precursors outside the production process to avoid double counting.</t>
  </si>
  <si>
    <t>The results obtained here in columns L and M have to be manually entered into the respective fields in sheet "Summary_Products", columns AR and AX, respectively.</t>
  </si>
  <si>
    <t>Example: a precursor has specific embedded emissions of 0,8 tonnes of CO2e per tonne. The 'mass share' is 0,3 tonnes of precursor consumed per tonne of production from the relevant 'production process'. Under the block of the relevant 'production process', the value for 'SEE' for this precursor will therefore be displayed as 0,24 tonnes CO2e per tonne.</t>
  </si>
  <si>
    <t>Information should be provided for each type of good imported into the EU. The type of goods should be listed as disaggregated as possible, i.e. splitting type of goods by their CN codes using as many digits as possible.</t>
  </si>
  <si>
    <t>The full text name of the selected CN category will be displayed here automatically after selecting the CN code.</t>
  </si>
  <si>
    <t>Data related to the specific embedded emissions (SEE, direct/indirect/total) will be displayed automatically based on entries in previous sheets, including the embedded electricity and the source based on which the emission factor (EF) of the electricity consumption is determined.</t>
  </si>
  <si>
    <t>The unit for all SEE values is t CO2e per tonne of product. For electricity as product SEE is in the unit of t CO2e per MWh.</t>
  </si>
  <si>
    <t>The source of the emission factor for electricity. The following options (based on the related sections of Annex III of the Implementing Act) are available:</t>
  </si>
  <si>
    <t>This parameter is relevant for the production of cement. Please provide here the clinker factor (i.e. clinker to cement ratio), expressed as mass % of clinker content in the cement.</t>
  </si>
  <si>
    <t>This parameter is relevant for the production of ammonia. Please provide here the concentration of ammonia, if in hydrous solution, expressed as %, or enter 100% for pure/anhydrous ammonia.</t>
  </si>
  <si>
    <t>General note:</t>
  </si>
  <si>
    <t>Please select the code for the applicable currency in which the carbon price is being due. The next column displays the full name of the currency.</t>
  </si>
  <si>
    <t>Based on your input on the share of embedded emissions covered by a carbon price, the related part of the specific embedded emissions of the good are displayed here in t CO2e per tonne product (or per MWh electricity).</t>
  </si>
  <si>
    <t>Based on your input on the share of embedded emissions covered by a carbon price rebate, the related part of the specific embedded emissions of the good are displayed here in t CO2e per tonne product (or per MWh electricity).</t>
  </si>
  <si>
    <t>White fields with grey text indicate that an input in another field makes the input here irrelevant.</t>
  </si>
  <si>
    <t>Additionally, there are colour indicators in some sheets (e.g. in column O of sheets D, E; column B in sheet Summary_Products) indicating the following:</t>
  </si>
  <si>
    <t>Cond. Formats</t>
  </si>
  <si>
    <t>NCV</t>
  </si>
  <si>
    <t>AD+EF Units consistent?</t>
  </si>
  <si>
    <t>Complete-ness? Combustion</t>
  </si>
  <si>
    <t>Complete-ness? Process</t>
  </si>
  <si>
    <t>Complete-ness? Mass balance</t>
  </si>
  <si>
    <t>CONST_ERR_Inconsistent</t>
  </si>
  <si>
    <t>In order for the emission calculation to work properly, a standard value of 100% is used if the field is left empty. Note that the unit is fixed to percent (see next point). Therefore, the value entered here must be between 100 (full oxidation) and 0 (no oxidation at all).</t>
  </si>
  <si>
    <t>In order for the emission calculation to work properly, a standard value of 100% is used if the field is left empty. Note that the unit is fixed to percent (see next point). Therefore, the value entered here must be between 100 (full yield of the process) and 0 (no reaction at all).</t>
  </si>
  <si>
    <t>Inconsistent!</t>
  </si>
  <si>
    <t>If the units of activity data and emission factor are inconsistent, the message "Inconsistent!" is displayed. If the inputs are incomplete, the message "Incomplete!" is shown.</t>
  </si>
  <si>
    <t>cond. Rows</t>
  </si>
  <si>
    <t>Used for calculations in Sheet A!</t>
  </si>
  <si>
    <t>CBAM communication SEE Version 2</t>
  </si>
  <si>
    <t>CBAM SEE Communication V2</t>
  </si>
  <si>
    <t>CBAM SEE Communication_UBA_en_20230821.xlsx</t>
  </si>
  <si>
    <t>CBAM SEE Communication_UBA_en_231023.xls</t>
  </si>
  <si>
    <t>CBAM SEE Communication_UBA_en_071123.xls</t>
  </si>
  <si>
    <t>For drop-Down</t>
  </si>
  <si>
    <t>CNTR_MatrixPurchPrecRoutes</t>
  </si>
  <si>
    <t>cond.format</t>
  </si>
  <si>
    <t>Total purchase for possible consumption within installation:</t>
  </si>
  <si>
    <t>wahr = weiß</t>
  </si>
  <si>
    <t>Used for determining completeness of entries: TRUE = Missing entry</t>
  </si>
  <si>
    <t>Because production processes can be defined in sheet "A_InstData" in a very flexible way, it is not possible to automatically select the appropriate production route here. Please enter zero for routes that do not apply in your installation's situation.</t>
  </si>
  <si>
    <t>Activity level</t>
  </si>
  <si>
    <t>unit</t>
  </si>
  <si>
    <t>Specific embedded electricity consumption of the production process, i.e. including any embedded electricity consumption in other production processes within the installation and purchased precursors.</t>
  </si>
  <si>
    <t>Sheet A: UNLOCODE made mandatory</t>
  </si>
  <si>
    <t>Sheet B: Calculation of emissions corrected (incl. adding missing factor of 3.664 in the mass balance)</t>
  </si>
  <si>
    <t>Sheet C: Inconsistency between cells L16 and L17 fixed</t>
  </si>
  <si>
    <t>Sheet D: Electricity exported bug fixed</t>
  </si>
  <si>
    <t>Sheet Summary processes: broken references to “production process 1” fixed</t>
  </si>
  <si>
    <t>Sheet b: Link to implementing act corrected</t>
  </si>
  <si>
    <t>Sheet B: PFC emissions (2nd source stream) incl. further improvements</t>
  </si>
  <si>
    <t>Sheet C: Fixed inputs and formulae in L25 and L26</t>
  </si>
  <si>
    <t>Cond. Formats --&gt; True = white</t>
  </si>
  <si>
    <t>True = light yellow</t>
  </si>
  <si>
    <t>Error of FALSE</t>
  </si>
  <si>
    <t>biomass</t>
  </si>
  <si>
    <t>General: Uniform formatting, conditional formats improved</t>
  </si>
  <si>
    <t>Sheet E: More completeness indicators added.</t>
  </si>
  <si>
    <t>The input of NCV is mandatory for combustion emissions in order for the emission calculation to give meaningful results. However, in exceptional cases (where the emission factor is available as tCO2/t or tCO2/1000Nm3, the NCV is not taken into account for emission calculation, but only for the calculation of energy input.</t>
  </si>
  <si>
    <t>For process emissions, the NCV can be entered for fuels used as process material. In this case, the unit for the emission factor must be chosen as "tCO2/TJ". Otherwise the NCV is ignored in the calculation of emissions.</t>
  </si>
  <si>
    <t>Sheet B: Source stream calculation corrected (all percentage values need to be entered as numbers [0..100]). A warning for incomplete data has been added.</t>
  </si>
  <si>
    <t>Sheet G: Guidance texts have been revised. An additional guidance section for sheet E has been added.</t>
  </si>
  <si>
    <t>Sheet E: Navigation area extended to cover all 20 possible precursors</t>
  </si>
  <si>
    <t>Sheet F: CHP tool corrected for taking into account emissions from flue gas cleaning.</t>
  </si>
  <si>
    <t>Sheet E: Decomposed SEE (indirect) into entries for electricity consumption and emission factor. Consequently, in the summary sheets there is now consistent display of "specific embedded electricity consumption" taking into account the electricity consumption of precursors for consistent and complete calculation of embedded indirect emissions.</t>
  </si>
  <si>
    <t>Sheet a_contents: Error in sheet names in table of contents for certain Excel versions</t>
  </si>
  <si>
    <t>Sheet A: Inconsistency warning for production routes added</t>
  </si>
  <si>
    <t>Sheet Summary_Products: Consistent units for carbon price due</t>
  </si>
  <si>
    <t>Sheet Summary_Products: Qualifying parameters (columns R to AA) made optional</t>
  </si>
  <si>
    <t>General: Consistent units for the good "Electricity" expressed as MWh</t>
  </si>
  <si>
    <t>General: Further clarification in guidance texts at several locations</t>
  </si>
  <si>
    <t>Improvements and fixed bugs:</t>
  </si>
  <si>
    <t>Reference</t>
  </si>
  <si>
    <t>Fixed range for CN codes, published as V1.1</t>
  </si>
  <si>
    <t>TRUE = green, n.a. = white</t>
  </si>
  <si>
    <t>Pursuant to Article 35(7) of the Regulation, the Commission adopted an implementing act which lays down the detailed rules for 'reporting declarants' (as defined in Article 2(1) of this implementing act) for reporting obligations upon import into the European Union during the transitional period from 1 October 2023 to 31 December 2025 (‘transitional period’). The Regulation can be downloaded from:</t>
  </si>
  <si>
    <t>https://taxation-customs.ec.europa.eu/system/files/2023-08/C_2023_5512_1_EN_ACT_part1_v6.pdf</t>
  </si>
  <si>
    <t>This is the 2nd published version of the CBAM template, version of 23 October 2023.</t>
  </si>
  <si>
    <t>Special care must be taken of ensure consistency of data with the units displayed.</t>
  </si>
  <si>
    <t>Shaded fields indicate that an input in another field makes the input here irrelevant.</t>
  </si>
  <si>
    <t>Additionally, there are colour indicators in some sheets (e.g. D, E) indicating the following:</t>
  </si>
  <si>
    <t>Please enter here the starting date and the end date of the reporting period to which all data entered in this communication template refers to. For example, if you want to report data based on the whole calendar year 2023, the starting date would be 1.1.2023 and the end date 31.12.2023.</t>
  </si>
  <si>
    <t>For information, emissions from the following precursors are relevant for the embedded emissions of the types of aggregated goods listed above. Where those precursors are actually relevant for your production processes, please make sure those are also listed either in the table above (if produced within your installation) or under chapter 5 "purchased precursors" below (where produced in other installations).</t>
  </si>
  <si>
    <t>Based on the list under (a), please list here only aggregated goods categories for which you want to establish distinct "production process" and assign all aggregated goods categories and relevant precursors that will be covered by its system boundary.</t>
  </si>
  <si>
    <t>Example: if "ammonia" and "nitric acid" are both produced in your installation, you may either create a separate production process for each of these good types, or report them combined under 'nitric acid' under a 'bubble approach'. In the case of the latter, please select as of column F which other process you want to include under this 'bubble approach'. Note: the 'bubble approach' is only allowed if all ammonia produced is processed into nitric acid. If parts of the ammonia are exported from the installation, two separate production processes have to be selected here.</t>
  </si>
  <si>
    <t>Source Streams (excluding PFC emissions)</t>
  </si>
  <si>
    <t>Flue gas (average)</t>
  </si>
  <si>
    <t>Flue gas (average), Unit</t>
  </si>
  <si>
    <t>Global Warming Potential (GWP, tCO2e/t)</t>
  </si>
  <si>
    <t>PFC Emissions</t>
  </si>
  <si>
    <t>Type of anode</t>
  </si>
  <si>
    <t>Emissions Sources (Measurement-Based Approaches)</t>
  </si>
  <si>
    <t>Consumed in "production processes" within the installation:</t>
  </si>
  <si>
    <t>Please enter here the values and sources for the specific embedded direct and indirect emissions, as obtained from the supplier.</t>
  </si>
  <si>
    <t>Specific embedded direct emissions (SEE (direct) )</t>
  </si>
  <si>
    <t>Specific embedded indirect emissions (SEE (indirect) )</t>
  </si>
  <si>
    <t>This tool exists twofold in this template and each tool should only be used for one CHP. If more CHPs are relevant, you must aggregate energy amounts and emissions from multiple CHPs.</t>
  </si>
  <si>
    <t>For the reference efficiencies the appropriate fuel-specific values from Annex IX of the Commission Implementing Regulation pursuant to Article 35(7) of the CBAM Regulation.</t>
  </si>
  <si>
    <t>Default efficiencies below are for hard coal CHPs producing electricity and hot water.</t>
  </si>
  <si>
    <t>Emissions attributable to heat production from CHP</t>
  </si>
  <si>
    <t>Calculation results can only be considered correct if complete and consistent data is reported in sections above.</t>
  </si>
  <si>
    <t>The results obtained here in columns L and M have to be manually entered into the respective fields in sheet "Summary_Products".</t>
  </si>
  <si>
    <t>The activity data is the data on the amount of fuels or materials consumed or produced by a process as relevant for the calculation-based monitoring methodology, expressed mass in tonnes (t), or for gases as volume in normal cubic metres (Nm³), as appropriate.</t>
  </si>
  <si>
    <t>The corresponding units in which the amounts above are provided. For example tonnes (t) for mass or normal cubic metres (Nm³) for gases.</t>
  </si>
  <si>
    <t>The "preliminary" emission factor is the assumed total emission factor of a mixed fuel or material based on the total carbon content composed of biomass fraction and fossil fraction before multiplying it with the fossil fraction to result in the emission factor.</t>
  </si>
  <si>
    <t>The net calorific value is the specific amount of energy released as heat when a fuel or material undergoes complete combustion with oxygen under standard conditions less the heat of vaporisation of any water formed</t>
  </si>
  <si>
    <t>The carbon content of the fuel or material.</t>
  </si>
  <si>
    <t>On the right side of each block the total energy content and GHG emissions (fossil and biogenic) are calculated automatically for each source stream.</t>
  </si>
  <si>
    <t>Please provide here the type of anode such as Centre Worked Pre-Bake (CWPB), Vertical Stud Søderberg (VSS), etc.</t>
  </si>
  <si>
    <t>Method A: The slope emission factor</t>
  </si>
  <si>
    <t>Method B: The anode effect overvoltage per cell</t>
  </si>
  <si>
    <t>Method B: The average current efficiency</t>
  </si>
  <si>
    <t>Method B: The overvoltage coefficient (‘emission factor’)</t>
  </si>
  <si>
    <t>The weight fraction of C2F6</t>
  </si>
  <si>
    <t>Efficiency of the collection of the fugitive PFC emissions</t>
  </si>
  <si>
    <t>The weighted average hourly concentration of the GHG measured (g per Nm³)</t>
  </si>
  <si>
    <t>Hours operating</t>
  </si>
  <si>
    <t>The total hours of operation of the production process</t>
  </si>
  <si>
    <t>In sheet "D_Processes" the data inputs required are needed in order to calculate the specific emissions of each production processes, based on which the specific embedded emissions are calculated in this template.</t>
  </si>
  <si>
    <t>Please provide here the total amount of goods that are consumed in each listed production process as input to be further processed into the goods produced in those processes. Please do not leave any yellow cells empty and enter zero ("0") if the good is not consumed by the specific process. Where all of the goods are reported as placed on the market under point b), this section will be greyed out and no inputs are required here.</t>
  </si>
  <si>
    <t>Please provide here the total amount of goods that are consumed in production processes within the installation which produce goods that are not covered by the scope of the CBAM.</t>
  </si>
  <si>
    <t>Waste gases are particularly relevant in integrated iron &amp; steel production and include flue gases containing high concentrations of incompletely oxidised carbon, for example, any coke oven gas imported into the blast furnace, or blast furnace gas exported from the production process to produce electricity.</t>
  </si>
  <si>
    <t>Please include here all emissions directly linked to and therefore attributable to the production process taking into consideration the further provisions below.</t>
  </si>
  <si>
    <t>Emissions shall only be attributed to ONE production process reported for this installation. Values entered here must therefore NOT include any emissions of the precursors that have been selected as another 'production process' as otherwise the template would double-count the embedded emissions.</t>
  </si>
  <si>
    <t>Measureable heat (e.g. steam): Emissions associated with fuel input into boilers can be either included here or via the 'import of measurable heat' below, but must not be reported twice. In the case the heat is produced in a CHP, the emissions have to be split between heat and electricity. The CHP Tool can help with that:</t>
  </si>
  <si>
    <t>Please enter here the amounts of net measurable heat (e.g. steam) being imported to (e.g. from connected heat supplying installations) or exported from (e.g. heat recovery from the furnace and exported from the production process) the production process.</t>
  </si>
  <si>
    <t>For the emission factor (EF) of the heat, please consider the efficiency of the boiler. For example, if the EF of the fuel of which the heat is produced is 96 t CO2/TJ and the boiler efficiency is 90%, the EF to be reported here would be 96 divided by 90%.</t>
  </si>
  <si>
    <t>Where the EF of exported heat is not clearly defined (e.g. heat recovery from furnaces or from exothermic heat), the standard emission factor of the fuel most commonly used in the country and industrial sector, assuming a boiler efficiency of 90%, should be used.</t>
  </si>
  <si>
    <t>Further to the waste gas related provisions described above under DirEm*, please provide there the net amounts of waste gases imported from other processes or installations and consumed in this production process, as well as any amounts of waste gases exported and consumed outside the production process.</t>
  </si>
  <si>
    <t>The emission factor of the waste gases will not impact the emissions attributed to this production process, due to the special rules for waste gases. Inputs there are therefore optional.</t>
  </si>
  <si>
    <t>Please enter the average emission factor of the electricity consumed using the methods below for determination of this factor.</t>
  </si>
  <si>
    <t>The emission factor of the electricity can be determined by the following methods:</t>
  </si>
  <si>
    <t xml:space="preserve">CO2 emission factor based on specific default values  </t>
  </si>
  <si>
    <t xml:space="preserve">CO2 emission factor based on alternative default value </t>
  </si>
  <si>
    <t>CO2 emission factor based on reliable data demonstrated by the importer</t>
  </si>
  <si>
    <t xml:space="preserve">CO2 emission factor based on actual CO2 emissions of the installation </t>
  </si>
  <si>
    <t>The information provided there should be for each type of good imported into the EU. The type of goods should be listed as disaggregated as possible, i.e. splitting type of goods by their CN codes using as many digits as possible.</t>
  </si>
  <si>
    <t>Data related to the specific embedded emissions (SEE, direct/indirect/total) will be taken automatically based on entries in previous sheets, including the embedded electricity and the source based on which the emission factor (EF) of the electricity consumption is determined.</t>
  </si>
  <si>
    <t>Specific embedded electricity consumption of the production process, i.e. including any embedded electricity consumption in other production processes within the installation (i.e. excl. from purchased precursors).</t>
  </si>
  <si>
    <t>For steel goods, the identification number of the specific steel mill (also known as the "heat number") where a particular batch of raw materials was produced, where known.</t>
  </si>
  <si>
    <t>This parameter is relevant for the production of cement. Please provide here the clinker factor, expressed as mass % of clinker content in the cement.</t>
  </si>
  <si>
    <t>This parameter is relevant for the production of ammonia. Please provide here the concentration of ammonia, if in hydrous solution, expressed as %.</t>
  </si>
  <si>
    <t>Please enter the currency in which the carbon price is being due.</t>
  </si>
  <si>
    <t>Please enter here the carbon price due per tonne or MWh (as applicable) of product in the relevant currency. This value shall not include any rebate such as free allocation or financial compensation.</t>
  </si>
  <si>
    <t xml:space="preserve">Please enter here the rebate per tonne or MWh (as applicable) of product covered by the rebate in the relevant currency. </t>
  </si>
  <si>
    <t>The result is the effective carbon price due per tonne of CO2 equivalent, i.e. the carbon price due less any rebates.</t>
  </si>
  <si>
    <t>Example: a precursor has specific embedded emissions of 0,8 tonnes of CO2e per tonne. The 'mass share' is 0,3 tonnes of precursor consumed per tonne of production from the relevant 'production process'. Under the block of the relevant 'production process, the value for 'SEE' for this precursor will therefore be displayed as 0,24 tonnes CO2e per tonne.</t>
  </si>
  <si>
    <t>Specific electricity</t>
  </si>
  <si>
    <t>Specific electricity consumption within the production process, excluding any electricity embedded in purchased precursors.</t>
  </si>
  <si>
    <t>h/year</t>
  </si>
  <si>
    <t>Please enter here the share of the TOTAL (direct + indirect) specific emissions that are subject to carbon pricing. For instance, if only direct emissions are covered by a carbon pricing system, the share to be provided here would be exactly the share of the direct emissions of the total emissions.</t>
  </si>
  <si>
    <t>Please enter here the carbon price due per tonne of CO2e in the relevant currency. This value shall not include any rebate such as free allocation or financial compensation. It shall also not include any carbon price due for any precursors outside the production process to avoid double counting.</t>
  </si>
  <si>
    <t>Please enter here the rebate per tonne of CO2e covered by the rebate in the relevant currency. It shall also not include any rebate for any precursors outside the production process to avoid double counting.</t>
  </si>
  <si>
    <t>Below: New Texts in Version 2.0</t>
  </si>
  <si>
    <t>++++</t>
  </si>
  <si>
    <t>column C (=English), not column B (=used language)!</t>
  </si>
  <si>
    <t xml:space="preserve">Note: In this sheet, many formulae target Translations sheet </t>
  </si>
  <si>
    <t>Whenever a value of zero is to be reported, it should be entered rather than keeping the cell empty. Values needed for calculations should always be entered (especially if zero, because some formulas don't give results as long as required cells are empty). If a cell is kept empty, the reporting declarant do not know if the value is zero, is irrelevant or unknown, or if making entries has been overlooked.</t>
  </si>
  <si>
    <t>This template has been locked against data entry except for (light)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</si>
  <si>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Sheet Summary products: Scrap per t steel/aluminium: values &gt;100% can be entered now</t>
  </si>
  <si>
    <t>The appropriate unit for the NCV is automatically displayed based on the selection of the AD unit. Note, however, that in accordance with what has been said on the NCV above, in case of process emissions, the unit of the NCV will only be displayed if the unit for the EF is selected to be tCO2/TJ.</t>
  </si>
  <si>
    <t>This block is used to input production amounts ("Activity levels") of each production process, and to provide the material balance in case goods produced in the installation are used as precursors in other production processes within the installation.</t>
  </si>
  <si>
    <t>The specific embedded indirect emissions are calculated by the template as electricity consumed times the emission factor.</t>
  </si>
  <si>
    <t>Sheet Summary_Processes: The processes' activity levels have been added in Table 2.1.a. Corrected  CP due and rebate in the sectio 3 tables.</t>
  </si>
  <si>
    <t>CP due (per produced t or MWh)</t>
  </si>
  <si>
    <t>Rebate (per produced t or MWh)</t>
  </si>
  <si>
    <t>Carbon price (CP) due (per produced t or MWh)</t>
  </si>
  <si>
    <t>Amount of rebate (per produced t or MWh)</t>
  </si>
  <si>
    <t>Result: Effective CP due (per produced t or MWh)</t>
  </si>
  <si>
    <t>P3</t>
  </si>
  <si>
    <t>PP18</t>
  </si>
  <si>
    <t>2.0.1</t>
  </si>
  <si>
    <t>Minor errors corrected:
Sheet a_contents: Broken hyperlinks fixed
Sheet A: Double reference to PP17 (section 5) corrected
Sheet E: Wrong guidance text under item v. corrected</t>
  </si>
  <si>
    <t>Minor errors in the guidance text corrected</t>
  </si>
  <si>
    <t>Type of instrument (carbon pricing)</t>
  </si>
  <si>
    <t>Type of rebate</t>
  </si>
  <si>
    <t>Please select from the drop-down list whether the type of carbon price is an emissions trading system (ETS), a carbon tax, a combination of instruments, or other type of carbon pricing instrument.</t>
  </si>
  <si>
    <t>Please select from the drop-down list whether the type of rebate or other form of compensation is via free allocation, financial compensation, tax deduction, a combination or any other type of rebate or compensation.</t>
  </si>
  <si>
    <t>National Emissions Trading System</t>
  </si>
  <si>
    <t>Carbon Tax</t>
  </si>
  <si>
    <t>Regional Emissions Trading System</t>
  </si>
  <si>
    <t>Carbon Fee</t>
  </si>
  <si>
    <t>Carbon Levy</t>
  </si>
  <si>
    <t>Mixed fertilisers</t>
  </si>
  <si>
    <t>Casing and tubing of a kind used for drilling for oil or gas, seamless, of iron or steel, of an external diameter &lt;= 168,3 mm (excl. products of cast iron)</t>
  </si>
  <si>
    <t>Casing and tubing of a kind used for drilling for oil or gas, seamless, of iron or steel, of an external diameter &gt; 168,3 mm, but &lt;= 406,4 mm (excl. products of cast iron)</t>
  </si>
  <si>
    <t>Containers of iron or steel, seamless, for compressed or liquefied gas, for a pressure &gt;= 165 bar, of a capacity &lt; 20 l (excl. containers specifically constructed or equipped for one or more types of transport)</t>
  </si>
  <si>
    <t>Containers of iron or steel, seamless, for compressed or liquefied gas, for a pressure &gt;= 165 bar, of a capacity &gt;= 20 l to &lt;= 50 l (excl. containers specifically constructed or equipped for one or more types of transport)</t>
  </si>
  <si>
    <t>Containers of iron or steel, seamless, for compressed or liquefied gas, for a pressure &gt;= 165 bar, of a capacity &gt; 50 l (excl. containers specifically constructed or equipped for one or more types of transport)</t>
  </si>
  <si>
    <t>Containers of iron or steel, seamless, for compressed or liquefied gas, for a pressure &lt; 165 bar (excl. containers specifically constructed or equipped for one or more types of transport)</t>
  </si>
  <si>
    <t>Aluminium foil, not backed, rolled but not further worked, of a thickness of &lt; 0,021 mm, in rolls of a weight of &lt;= 10 kg (excl. stamping foils of heading 3212, and foil made up as christmas tree decorating material)</t>
  </si>
  <si>
    <t>Aluminium foil, not backed, rolled but not further worked, of a thickness of &lt; 0,021 mm (excl. stamping foils of heading 3212, and foil made up as christmas tree decorating material and in rolls of a weight &lt;= 10 kg)</t>
  </si>
  <si>
    <t>760110100080</t>
  </si>
  <si>
    <t>7601 10 10</t>
  </si>
  <si>
    <t>Aluminium slabs, not alloyed, unwrought</t>
  </si>
  <si>
    <t>760110900080</t>
  </si>
  <si>
    <t>7601 10 90</t>
  </si>
  <si>
    <t>Aluminium, not alloyed, unwrought (excl. slabs)</t>
  </si>
  <si>
    <t>760120300080</t>
  </si>
  <si>
    <t>7601 20 30</t>
  </si>
  <si>
    <t>Unwrought aluminium alloys in the form of slabs</t>
  </si>
  <si>
    <t>760120400080</t>
  </si>
  <si>
    <t>7601 20 40</t>
  </si>
  <si>
    <t>Unwrought aluminium alloys in the form of billets</t>
  </si>
  <si>
    <t>Carbon price instrument:</t>
  </si>
  <si>
    <t>Description and indication of legal act for the carbon price, and for possible rebate or other form of compensation obtained.</t>
  </si>
  <si>
    <t>Any additional information:</t>
  </si>
  <si>
    <t>Any additional information you would like to provide to the reporting declarant.</t>
  </si>
  <si>
    <t>Further amendments</t>
  </si>
  <si>
    <t>2.1</t>
  </si>
  <si>
    <t>Minor revision of the CN code list, field for further information on carbon price instruments added</t>
  </si>
  <si>
    <t>Further information</t>
  </si>
  <si>
    <t>Conditional format bug in sheet Summary_Products corrected</t>
  </si>
  <si>
    <t>Remark on how to enter default values for indirect embedded emissions</t>
  </si>
  <si>
    <t>With regard to indirect specific embedded emissions, the Commission published default values. If the operator wants to make use of these values, the following approach has to be taken for correctly report also the specific electricity consumption:</t>
  </si>
  <si>
    <t xml:space="preserve">First determine the applicable emission factor for electricity in the country of origin of the purchased precursor (options in accordance with point iii. above). </t>
  </si>
  <si>
    <t>Secondly, divide the default value for the indirect specific embedded emissions by that emission factor. The result is the specific electricity consumption that is to be entered in field ii.</t>
  </si>
  <si>
    <t>Enter the emission factor determined in the first step in field iii.</t>
  </si>
  <si>
    <t>As a result, the default value for the indirect specific embedded emissions should be displayed under point iv. Please make sure that the units used in your calculation, in particular for the emission factor for electricity is consistent with the units displayed in the template.</t>
  </si>
  <si>
    <t>2.1.1</t>
  </si>
  <si>
    <t>Addition automatic calculation of Electricity EF in Summary_Communication</t>
  </si>
  <si>
    <t>Addition EF Summary_Communication</t>
  </si>
  <si>
    <t>Electricity EF (tCO2/MWh)</t>
  </si>
  <si>
    <t>This is the published version 2.1.1 of the CBAM template, version of 13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</si>
</sst>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
    <numFmt numFmtId="166" formatCode="#,##0.000"/>
    <numFmt numFmtId="167" formatCode="#,##0_ ;[Red]\-#,##0\ "/>
    <numFmt numFmtId="168" formatCode="0.0000"/>
    <numFmt numFmtId="169" formatCode="0.0%"/>
    <numFmt numFmtId="170" formatCode="#,##0.00_ ;[Red]\-#,##0.00\ "/>
    <numFmt numFmtId="171" formatCode="#,##0.0000"/>
    <numFmt numFmtId="172" formatCode="#,##0.00000"/>
  </numFmts>
  <fonts count="79" x14ac:knownFonts="1">
    <font>
      <sz val="11"/>
      <color theme="1"/>
      <name val="Calibri"/>
      <family val="2"/>
      <scheme val="minor"/>
    </font>
    <font>
      <u/>
      <sz val="10"/>
      <color indexed="12"/>
      <name val="Arial"/>
      <family val="2"/>
    </font>
    <font>
      <sz val="10"/>
      <color theme="1"/>
      <name val="Arial"/>
      <family val="2"/>
    </font>
    <font>
      <sz val="10"/>
      <name val="Arial"/>
      <family val="2"/>
    </font>
    <font>
      <b/>
      <sz val="10"/>
      <color theme="1"/>
      <name val="Arial"/>
      <family val="2"/>
    </font>
    <font>
      <sz val="10"/>
      <color rgb="FFFF0000"/>
      <name val="Arial"/>
      <family val="2"/>
    </font>
    <font>
      <sz val="11"/>
      <color theme="1"/>
      <name val="Calibri"/>
      <family val="2"/>
      <scheme val="minor"/>
    </font>
    <font>
      <sz val="9"/>
      <color theme="1"/>
      <name val="Arial"/>
      <family val="2"/>
    </font>
    <font>
      <b/>
      <sz val="9"/>
      <color theme="1"/>
      <name val="Arial"/>
      <family val="2"/>
    </font>
    <font>
      <sz val="8"/>
      <color theme="1"/>
      <name val="Arial"/>
      <family val="2"/>
    </font>
    <font>
      <b/>
      <sz val="10"/>
      <name val="Arial"/>
      <family val="2"/>
    </font>
    <font>
      <b/>
      <sz val="12"/>
      <color theme="1"/>
      <name val="Arial"/>
      <family val="2"/>
    </font>
    <font>
      <b/>
      <sz val="11"/>
      <color theme="1"/>
      <name val="Arial"/>
      <family val="2"/>
    </font>
    <font>
      <b/>
      <sz val="12"/>
      <color theme="2" tint="0.79998168889431442"/>
      <name val="Arial"/>
      <family val="2"/>
    </font>
    <font>
      <sz val="12"/>
      <color theme="2" tint="0.79998168889431442"/>
      <name val="Arial"/>
      <family val="2"/>
    </font>
    <font>
      <b/>
      <sz val="14"/>
      <color theme="2" tint="0.79998168889431442"/>
      <name val="Arial"/>
      <family val="2"/>
    </font>
    <font>
      <b/>
      <sz val="12"/>
      <name val="Arial"/>
      <family val="2"/>
    </font>
    <font>
      <i/>
      <sz val="8"/>
      <color theme="3" tint="-0.499984740745262"/>
      <name val="Arial"/>
      <family val="2"/>
    </font>
    <font>
      <sz val="8"/>
      <color theme="3" tint="-0.499984740745262"/>
      <name val="Arial"/>
      <family val="2"/>
    </font>
    <font>
      <sz val="11"/>
      <color theme="1"/>
      <name val="Arial"/>
      <family val="2"/>
    </font>
    <font>
      <b/>
      <sz val="10"/>
      <color indexed="9"/>
      <name val="Arial"/>
      <family val="2"/>
    </font>
    <font>
      <b/>
      <sz val="10"/>
      <color theme="3" tint="-0.249977111117893"/>
      <name val="Arial"/>
      <family val="2"/>
    </font>
    <font>
      <sz val="12"/>
      <color theme="1"/>
      <name val="Arial"/>
      <family val="2"/>
    </font>
    <font>
      <b/>
      <sz val="10"/>
      <color theme="0" tint="-0.34998626667073579"/>
      <name val="Arial"/>
      <family val="2"/>
    </font>
    <font>
      <sz val="10"/>
      <color theme="0" tint="-0.34998626667073579"/>
      <name val="Arial"/>
      <family val="2"/>
    </font>
    <font>
      <sz val="10"/>
      <color theme="3" tint="-0.499984740745262"/>
      <name val="Arial"/>
      <family val="2"/>
    </font>
    <font>
      <b/>
      <sz val="11"/>
      <color theme="3" tint="-0.249977111117893"/>
      <name val="Arial"/>
      <family val="2"/>
    </font>
    <font>
      <b/>
      <sz val="12"/>
      <color theme="3" tint="-0.249977111117893"/>
      <name val="Arial"/>
      <family val="2"/>
    </font>
    <font>
      <sz val="8"/>
      <color theme="0" tint="-0.499984740745262"/>
      <name val="Arial"/>
      <family val="2"/>
    </font>
    <font>
      <sz val="8"/>
      <color theme="1"/>
      <name val="Consolas"/>
      <family val="3"/>
    </font>
    <font>
      <sz val="8"/>
      <color theme="0" tint="-0.499984740745262"/>
      <name val="Consolas"/>
      <family val="3"/>
    </font>
    <font>
      <b/>
      <sz val="8"/>
      <color theme="1"/>
      <name val="Consolas"/>
      <family val="3"/>
    </font>
    <font>
      <b/>
      <sz val="11"/>
      <color theme="3" tint="-0.499984740745262"/>
      <name val="Arial"/>
      <family val="2"/>
    </font>
    <font>
      <b/>
      <sz val="10"/>
      <color theme="3" tint="-0.499984740745262"/>
      <name val="Arial"/>
      <family val="2"/>
    </font>
    <font>
      <i/>
      <sz val="9"/>
      <color theme="1"/>
      <name val="Arial"/>
      <family val="2"/>
    </font>
    <font>
      <sz val="9"/>
      <color theme="0" tint="-0.34998626667073579"/>
      <name val="Arial"/>
      <family val="2"/>
    </font>
    <font>
      <i/>
      <sz val="9"/>
      <color theme="3" tint="-0.499984740745262"/>
      <name val="Arial"/>
      <family val="2"/>
    </font>
    <font>
      <sz val="9"/>
      <color theme="3" tint="-0.499984740745262"/>
      <name val="Arial"/>
      <family val="2"/>
    </font>
    <font>
      <b/>
      <sz val="14"/>
      <color theme="1"/>
      <name val="Arial"/>
      <family val="2"/>
    </font>
    <font>
      <b/>
      <sz val="12"/>
      <color theme="3" tint="-0.499984740745262"/>
      <name val="Arial"/>
      <family val="2"/>
    </font>
    <font>
      <b/>
      <u/>
      <sz val="10"/>
      <color indexed="12"/>
      <name val="Arial"/>
      <family val="2"/>
    </font>
    <font>
      <sz val="9"/>
      <color theme="1"/>
      <name val="Calibri"/>
      <family val="2"/>
      <scheme val="minor"/>
    </font>
    <font>
      <sz val="11"/>
      <color theme="3" tint="-0.499984740745262"/>
      <name val="Calibri"/>
      <family val="2"/>
      <scheme val="minor"/>
    </font>
    <font>
      <sz val="10"/>
      <color theme="0" tint="-0.499984740745262"/>
      <name val="Arial"/>
      <family val="2"/>
    </font>
    <font>
      <sz val="11"/>
      <color theme="3" tint="-0.499984740745262"/>
      <name val="Arial"/>
      <family val="2"/>
    </font>
    <font>
      <sz val="10"/>
      <color theme="2" tint="0.79998168889431442"/>
      <name val="Consolas"/>
      <family val="3"/>
    </font>
    <font>
      <b/>
      <sz val="8"/>
      <color theme="3" tint="-0.499984740745262"/>
      <name val="Arial"/>
      <family val="2"/>
    </font>
    <font>
      <sz val="8"/>
      <color theme="1" tint="0.499984740745262"/>
      <name val="Arial"/>
      <family val="2"/>
    </font>
    <font>
      <b/>
      <sz val="9"/>
      <color rgb="FFFF0000"/>
      <name val="Arial"/>
      <family val="2"/>
    </font>
    <font>
      <sz val="8"/>
      <color theme="0" tint="-0.34998626667073579"/>
      <name val="Arial"/>
      <family val="2"/>
    </font>
    <font>
      <sz val="9"/>
      <color theme="1"/>
      <name val="Consolas"/>
      <family val="3"/>
    </font>
    <font>
      <b/>
      <sz val="9"/>
      <color theme="1"/>
      <name val="Consolas"/>
      <family val="3"/>
    </font>
    <font>
      <b/>
      <sz val="8"/>
      <color theme="1"/>
      <name val="Arial"/>
      <family val="2"/>
    </font>
    <font>
      <b/>
      <sz val="8"/>
      <name val="Arial"/>
      <family val="2"/>
    </font>
    <font>
      <sz val="10"/>
      <color rgb="FF808080"/>
      <name val="Arial"/>
      <family val="2"/>
    </font>
    <font>
      <b/>
      <sz val="9"/>
      <color theme="3" tint="-0.499984740745262"/>
      <name val="Arial"/>
      <family val="2"/>
    </font>
    <font>
      <b/>
      <sz val="10"/>
      <color theme="2" tint="0.79998168889431442"/>
      <name val="Arial"/>
      <family val="2"/>
    </font>
    <font>
      <b/>
      <sz val="11"/>
      <color theme="2" tint="0.79998168889431442"/>
      <name val="Calibri"/>
      <family val="2"/>
      <scheme val="minor"/>
    </font>
    <font>
      <sz val="9"/>
      <color theme="0" tint="-0.499984740745262"/>
      <name val="Arial"/>
      <family val="2"/>
    </font>
    <font>
      <b/>
      <i/>
      <sz val="8"/>
      <color theme="3" tint="-0.499984740745262"/>
      <name val="Arial"/>
      <family val="2"/>
    </font>
    <font>
      <b/>
      <sz val="9"/>
      <color theme="0" tint="-0.249977111117893"/>
      <name val="Consolas"/>
      <family val="3"/>
    </font>
    <font>
      <sz val="9"/>
      <color indexed="81"/>
      <name val="Segoe UI"/>
      <family val="2"/>
    </font>
    <font>
      <b/>
      <sz val="9"/>
      <color indexed="81"/>
      <name val="Segoe UI"/>
      <family val="2"/>
    </font>
    <font>
      <i/>
      <sz val="9"/>
      <color theme="1"/>
      <name val="Calibri"/>
      <family val="2"/>
      <scheme val="minor"/>
    </font>
    <font>
      <b/>
      <i/>
      <sz val="9"/>
      <color theme="3" tint="-0.499984740745262"/>
      <name val="Arial"/>
      <family val="2"/>
    </font>
    <font>
      <i/>
      <sz val="9"/>
      <name val="Arial"/>
      <family val="2"/>
    </font>
    <font>
      <sz val="10"/>
      <color theme="1" tint="0.499984740745262"/>
      <name val="Arial"/>
      <family val="2"/>
    </font>
    <font>
      <sz val="14"/>
      <color theme="1"/>
      <name val="Arial"/>
      <family val="2"/>
    </font>
    <font>
      <sz val="14"/>
      <name val="Arial"/>
      <family val="2"/>
    </font>
    <font>
      <b/>
      <sz val="12"/>
      <color indexed="9"/>
      <name val="Arial"/>
      <family val="2"/>
    </font>
    <font>
      <b/>
      <i/>
      <sz val="9"/>
      <name val="Arial"/>
      <family val="2"/>
    </font>
    <font>
      <i/>
      <sz val="11"/>
      <color theme="1"/>
      <name val="Calibri"/>
      <family val="2"/>
      <scheme val="minor"/>
    </font>
    <font>
      <sz val="10"/>
      <color theme="0" tint="-0.249977111117893"/>
      <name val="Arial"/>
      <family val="2"/>
    </font>
    <font>
      <u/>
      <sz val="10"/>
      <color rgb="FF0000FF"/>
      <name val="Arial"/>
      <family val="2"/>
    </font>
    <font>
      <i/>
      <sz val="11"/>
      <color rgb="FFFF0000"/>
      <name val="Arial"/>
      <family val="2"/>
    </font>
    <font>
      <sz val="9"/>
      <color rgb="FFFF0000"/>
      <name val="Arial"/>
      <family val="2"/>
    </font>
    <font>
      <b/>
      <sz val="9"/>
      <color rgb="FF0070C0"/>
      <name val="Arial"/>
      <family val="2"/>
    </font>
    <font>
      <sz val="9"/>
      <color rgb="FF0070C0"/>
      <name val="Arial"/>
      <family val="2"/>
    </font>
    <font>
      <sz val="11"/>
      <color rgb="FF0070C0"/>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indexed="27"/>
        <bgColor indexed="64"/>
      </patternFill>
    </fill>
    <fill>
      <patternFill patternType="solid">
        <fgColor rgb="FFDDDDDD"/>
        <bgColor indexed="64"/>
      </patternFill>
    </fill>
    <fill>
      <patternFill patternType="solid">
        <fgColor rgb="FFCCFFFF"/>
        <bgColor indexed="64"/>
      </patternFill>
    </fill>
    <fill>
      <patternFill patternType="solid">
        <fgColor rgb="FFFF0000"/>
        <bgColor indexed="64"/>
      </patternFill>
    </fill>
    <fill>
      <patternFill patternType="solid">
        <fgColor theme="1" tint="0.34998626667073579"/>
        <bgColor indexed="64"/>
      </patternFill>
    </fill>
    <fill>
      <patternFill patternType="solid">
        <fgColor rgb="FFC0C0C0"/>
        <bgColor indexed="64"/>
      </patternFill>
    </fill>
    <fill>
      <patternFill patternType="solid">
        <fgColor indexed="9"/>
        <bgColor indexed="64"/>
      </patternFill>
    </fill>
    <fill>
      <patternFill patternType="solid">
        <fgColor rgb="FFFF9999"/>
        <bgColor indexed="64"/>
      </patternFill>
    </fill>
    <fill>
      <patternFill patternType="solid">
        <fgColor indexed="41"/>
        <bgColor indexed="64"/>
      </patternFill>
    </fill>
    <fill>
      <patternFill patternType="solid">
        <fgColor theme="0" tint="-0.14999847407452621"/>
        <bgColor indexed="64"/>
      </patternFill>
    </fill>
    <fill>
      <patternFill patternType="solid">
        <fgColor indexed="13"/>
        <bgColor indexed="64"/>
      </patternFill>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theme="2" tint="0.79998168889431442"/>
        <bgColor indexed="64"/>
      </patternFill>
    </fill>
    <fill>
      <patternFill patternType="solid">
        <fgColor theme="3" tint="-0.499984740745262"/>
        <bgColor indexed="64"/>
      </patternFill>
    </fill>
    <fill>
      <patternFill patternType="solid">
        <fgColor rgb="FF92D050"/>
        <bgColor indexed="64"/>
      </patternFill>
    </fill>
    <fill>
      <patternFill patternType="solid">
        <fgColor theme="3"/>
        <bgColor indexed="64"/>
      </patternFill>
    </fill>
  </fills>
  <borders count="1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style="thin">
        <color indexed="64"/>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right style="thin">
        <color auto="1"/>
      </right>
      <top/>
      <bottom style="thin">
        <color auto="1"/>
      </bottom>
      <diagonal/>
    </border>
    <border>
      <left/>
      <right/>
      <top style="hair">
        <color auto="1"/>
      </top>
      <bottom/>
      <diagonal/>
    </border>
    <border>
      <left style="thin">
        <color auto="1"/>
      </left>
      <right style="thin">
        <color auto="1"/>
      </right>
      <top style="hair">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theme="3" tint="-0.2499465926084170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medium">
        <color auto="1"/>
      </left>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style="hair">
        <color auto="1"/>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top style="medium">
        <color indexed="64"/>
      </top>
      <bottom style="thin">
        <color indexed="64"/>
      </bottom>
      <diagonal/>
    </border>
    <border>
      <left/>
      <right style="thin">
        <color auto="1"/>
      </right>
      <top style="medium">
        <color indexed="64"/>
      </top>
      <bottom style="thin">
        <color indexed="64"/>
      </bottom>
      <diagonal/>
    </border>
    <border>
      <left/>
      <right/>
      <top/>
      <bottom style="thin">
        <color auto="1"/>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hair">
        <color auto="1"/>
      </top>
      <bottom/>
      <diagonal/>
    </border>
    <border>
      <left style="medium">
        <color indexed="64"/>
      </left>
      <right style="thin">
        <color auto="1"/>
      </right>
      <top style="medium">
        <color indexed="64"/>
      </top>
      <bottom style="hair">
        <color auto="1"/>
      </bottom>
      <diagonal/>
    </border>
    <border>
      <left style="thin">
        <color auto="1"/>
      </left>
      <right style="medium">
        <color indexed="64"/>
      </right>
      <top style="medium">
        <color indexed="64"/>
      </top>
      <bottom style="hair">
        <color auto="1"/>
      </bottom>
      <diagonal/>
    </border>
    <border>
      <left style="medium">
        <color indexed="64"/>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medium">
        <color indexed="64"/>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thin">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style="thin">
        <color auto="1"/>
      </left>
      <right style="thin">
        <color auto="1"/>
      </right>
      <top style="medium">
        <color indexed="64"/>
      </top>
      <bottom style="hair">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auto="1"/>
      </top>
      <bottom style="hair">
        <color auto="1"/>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auto="1"/>
      </top>
      <bottom style="hair">
        <color auto="1"/>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theme="3" tint="-0.24994659260841701"/>
      </right>
      <top/>
      <bottom style="medium">
        <color theme="3" tint="-0.24994659260841701"/>
      </bottom>
      <diagonal/>
    </border>
    <border>
      <left/>
      <right style="medium">
        <color theme="3" tint="-0.24994659260841701"/>
      </right>
      <top/>
      <bottom/>
      <diagonal/>
    </border>
    <border>
      <left style="thin">
        <color auto="1"/>
      </left>
      <right style="medium">
        <color theme="3" tint="-0.24994659260841701"/>
      </right>
      <top style="thin">
        <color auto="1"/>
      </top>
      <bottom style="thin">
        <color auto="1"/>
      </bottom>
      <diagonal/>
    </border>
    <border>
      <left/>
      <right style="medium">
        <color theme="3" tint="-0.24994659260841701"/>
      </right>
      <top style="medium">
        <color theme="3" tint="-0.24994659260841701"/>
      </top>
      <bottom/>
      <diagonal/>
    </border>
    <border>
      <left style="medium">
        <color indexed="64"/>
      </left>
      <right/>
      <top style="medium">
        <color theme="3" tint="-0.24994659260841701"/>
      </top>
      <bottom/>
      <diagonal/>
    </border>
    <border>
      <left/>
      <right style="medium">
        <color indexed="64"/>
      </right>
      <top style="medium">
        <color theme="3" tint="-0.24994659260841701"/>
      </top>
      <bottom/>
      <diagonal/>
    </border>
    <border>
      <left/>
      <right/>
      <top style="medium">
        <color auto="1"/>
      </top>
      <bottom style="thin">
        <color indexed="64"/>
      </bottom>
      <diagonal/>
    </border>
    <border>
      <left/>
      <right style="medium">
        <color indexed="64"/>
      </right>
      <top style="thin">
        <color indexed="64"/>
      </top>
      <bottom/>
      <diagonal/>
    </border>
    <border>
      <left/>
      <right style="medium">
        <color indexed="64"/>
      </right>
      <top/>
      <bottom style="thin">
        <color auto="1"/>
      </bottom>
      <diagonal/>
    </border>
    <border>
      <left style="hair">
        <color indexed="64"/>
      </left>
      <right style="hair">
        <color indexed="64"/>
      </right>
      <top style="hair">
        <color indexed="64"/>
      </top>
      <bottom/>
      <diagonal/>
    </border>
  </borders>
  <cellStyleXfs count="3">
    <xf numFmtId="0" fontId="0" fillId="0" borderId="0"/>
    <xf numFmtId="0" fontId="1" fillId="0" borderId="0" applyNumberFormat="0" applyFill="0" applyBorder="0" applyAlignment="0" applyProtection="0">
      <alignment vertical="top"/>
      <protection locked="0"/>
    </xf>
    <xf numFmtId="9" fontId="6" fillId="0" borderId="0" applyFont="0" applyFill="0" applyBorder="0" applyAlignment="0" applyProtection="0"/>
  </cellStyleXfs>
  <cellXfs count="1471">
    <xf numFmtId="0" fontId="0" fillId="0" borderId="0" xfId="0"/>
    <xf numFmtId="0" fontId="3" fillId="7" borderId="0" xfId="0" applyFont="1" applyFill="1" applyProtection="1"/>
    <xf numFmtId="0" fontId="3" fillId="9" borderId="0" xfId="0" applyFont="1" applyFill="1" applyProtection="1"/>
    <xf numFmtId="0" fontId="3" fillId="15"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xf>
    <xf numFmtId="0" fontId="3" fillId="15" borderId="0" xfId="0" applyFont="1" applyFill="1" applyProtection="1"/>
    <xf numFmtId="0" fontId="2" fillId="15" borderId="0" xfId="0" applyFont="1" applyFill="1" applyProtection="1"/>
    <xf numFmtId="0" fontId="2" fillId="0" borderId="0" xfId="0" applyFont="1" applyProtection="1"/>
    <xf numFmtId="0" fontId="2" fillId="7" borderId="0" xfId="0" applyFont="1" applyFill="1" applyProtection="1"/>
    <xf numFmtId="0" fontId="2" fillId="0" borderId="0" xfId="0" applyFont="1" applyFill="1" applyProtection="1"/>
    <xf numFmtId="0" fontId="10" fillId="13" borderId="0" xfId="0" applyFont="1" applyFill="1" applyBorder="1" applyAlignment="1" applyProtection="1">
      <alignment horizontal="center" vertical="center"/>
    </xf>
    <xf numFmtId="0" fontId="3" fillId="13" borderId="0" xfId="0" applyNumberFormat="1" applyFont="1" applyFill="1" applyBorder="1" applyAlignment="1" applyProtection="1">
      <alignment horizontal="right" vertical="center"/>
    </xf>
    <xf numFmtId="0" fontId="3" fillId="13" borderId="0" xfId="0" applyFont="1" applyFill="1" applyAlignment="1" applyProtection="1"/>
    <xf numFmtId="0" fontId="2" fillId="13" borderId="0" xfId="0" applyNumberFormat="1" applyFont="1" applyFill="1" applyBorder="1" applyAlignment="1" applyProtection="1">
      <alignment vertical="top"/>
    </xf>
    <xf numFmtId="0" fontId="22" fillId="13" borderId="0" xfId="0" applyFont="1" applyFill="1" applyAlignment="1" applyProtection="1">
      <alignment horizontal="center"/>
    </xf>
    <xf numFmtId="0" fontId="16" fillId="13" borderId="0" xfId="0" applyFont="1" applyFill="1" applyAlignment="1" applyProtection="1">
      <alignment horizontal="left"/>
    </xf>
    <xf numFmtId="0" fontId="22" fillId="13" borderId="0" xfId="0" applyFont="1" applyFill="1" applyProtection="1"/>
    <xf numFmtId="0" fontId="20" fillId="3" borderId="28" xfId="0" quotePrefix="1" applyFont="1" applyFill="1" applyBorder="1" applyAlignment="1" applyProtection="1">
      <alignment horizontal="center"/>
    </xf>
    <xf numFmtId="0" fontId="20" fillId="3" borderId="29" xfId="0" applyFont="1" applyFill="1" applyBorder="1" applyProtection="1"/>
    <xf numFmtId="0" fontId="20" fillId="3" borderId="29" xfId="0" applyFont="1" applyFill="1" applyBorder="1" applyAlignment="1" applyProtection="1">
      <alignment horizontal="center" wrapText="1"/>
    </xf>
    <xf numFmtId="0" fontId="23" fillId="16" borderId="29" xfId="0" applyFont="1" applyFill="1" applyBorder="1" applyAlignment="1" applyProtection="1">
      <alignment horizontal="center" wrapText="1"/>
    </xf>
    <xf numFmtId="0" fontId="20" fillId="3" borderId="30" xfId="0" applyFont="1" applyFill="1" applyBorder="1" applyAlignment="1" applyProtection="1">
      <alignment horizontal="center" wrapText="1"/>
    </xf>
    <xf numFmtId="0" fontId="23" fillId="2" borderId="29" xfId="0" applyFont="1" applyFill="1" applyBorder="1" applyAlignment="1" applyProtection="1">
      <alignment horizontal="center" wrapText="1"/>
    </xf>
    <xf numFmtId="0" fontId="23" fillId="2" borderId="30" xfId="0" applyFont="1" applyFill="1" applyBorder="1" applyAlignment="1" applyProtection="1">
      <alignment horizontal="center" wrapText="1"/>
    </xf>
    <xf numFmtId="0" fontId="19" fillId="13" borderId="0" xfId="0" applyFont="1" applyFill="1" applyProtection="1"/>
    <xf numFmtId="0" fontId="19" fillId="9" borderId="0" xfId="0" applyFont="1" applyFill="1" applyProtection="1"/>
    <xf numFmtId="0" fontId="19" fillId="13" borderId="0" xfId="0" applyFont="1" applyFill="1" applyBorder="1" applyAlignment="1" applyProtection="1">
      <alignment horizontal="center"/>
    </xf>
    <xf numFmtId="0" fontId="19" fillId="13" borderId="0" xfId="0" applyFont="1" applyFill="1" applyBorder="1" applyProtection="1"/>
    <xf numFmtId="4" fontId="19" fillId="13" borderId="0" xfId="0" applyNumberFormat="1" applyFont="1" applyFill="1" applyBorder="1" applyAlignment="1" applyProtection="1">
      <alignment horizontal="center"/>
    </xf>
    <xf numFmtId="3" fontId="2" fillId="5" borderId="20" xfId="0" applyNumberFormat="1" applyFont="1" applyFill="1" applyBorder="1" applyAlignment="1" applyProtection="1">
      <alignment vertical="center"/>
      <protection locked="0"/>
    </xf>
    <xf numFmtId="3" fontId="2" fillId="5" borderId="22" xfId="0" applyNumberFormat="1" applyFont="1" applyFill="1" applyBorder="1" applyAlignment="1" applyProtection="1">
      <alignment vertical="center"/>
      <protection locked="0"/>
    </xf>
    <xf numFmtId="3" fontId="2" fillId="5" borderId="24" xfId="0" applyNumberFormat="1" applyFont="1" applyFill="1" applyBorder="1" applyAlignment="1" applyProtection="1">
      <alignment vertical="center"/>
      <protection locked="0"/>
    </xf>
    <xf numFmtId="0" fontId="3" fillId="13" borderId="0" xfId="0" applyFont="1" applyFill="1" applyAlignment="1" applyProtection="1">
      <alignment vertical="center"/>
    </xf>
    <xf numFmtId="3" fontId="2" fillId="4" borderId="24" xfId="0" applyNumberFormat="1" applyFont="1" applyFill="1" applyBorder="1" applyAlignment="1" applyProtection="1">
      <alignment vertical="center"/>
      <protection locked="0"/>
    </xf>
    <xf numFmtId="0" fontId="10" fillId="13" borderId="0" xfId="0" applyFont="1" applyFill="1" applyBorder="1" applyAlignment="1" applyProtection="1">
      <alignment horizontal="right" vertical="center"/>
    </xf>
    <xf numFmtId="0" fontId="10" fillId="0" borderId="0" xfId="0" applyFont="1" applyProtection="1"/>
    <xf numFmtId="0" fontId="10" fillId="0" borderId="0" xfId="0" applyFont="1" applyBorder="1" applyProtection="1"/>
    <xf numFmtId="0" fontId="3" fillId="20" borderId="0" xfId="0" applyFont="1" applyFill="1" applyProtection="1"/>
    <xf numFmtId="0" fontId="3" fillId="20" borderId="0" xfId="0" applyFont="1" applyFill="1" applyBorder="1" applyProtection="1"/>
    <xf numFmtId="0" fontId="10" fillId="0" borderId="15" xfId="0" applyFont="1" applyBorder="1" applyProtection="1"/>
    <xf numFmtId="0" fontId="10" fillId="0" borderId="16" xfId="0" applyFont="1" applyBorder="1" applyProtection="1"/>
    <xf numFmtId="0" fontId="3" fillId="19" borderId="68" xfId="0" applyFont="1" applyFill="1" applyBorder="1" applyProtection="1"/>
    <xf numFmtId="0" fontId="3" fillId="19" borderId="17" xfId="0" applyFont="1" applyFill="1" applyBorder="1" applyProtection="1"/>
    <xf numFmtId="0" fontId="10" fillId="0" borderId="0" xfId="0" applyFont="1" applyFill="1" applyProtection="1"/>
    <xf numFmtId="0" fontId="3" fillId="23" borderId="0" xfId="0" applyFont="1" applyFill="1" applyBorder="1" applyAlignment="1" applyProtection="1">
      <alignment horizontal="left" vertical="top" wrapText="1"/>
    </xf>
    <xf numFmtId="0" fontId="19" fillId="0" borderId="0" xfId="0" applyFont="1" applyProtection="1"/>
    <xf numFmtId="0" fontId="19" fillId="0" borderId="59" xfId="0" applyFont="1" applyBorder="1" applyProtection="1"/>
    <xf numFmtId="0" fontId="19" fillId="20" borderId="60" xfId="0" applyFont="1" applyFill="1" applyBorder="1" applyProtection="1"/>
    <xf numFmtId="0" fontId="19" fillId="0" borderId="61" xfId="0" applyFont="1" applyBorder="1" applyProtection="1"/>
    <xf numFmtId="14" fontId="19" fillId="21" borderId="62" xfId="0" applyNumberFormat="1" applyFont="1" applyFill="1" applyBorder="1" applyAlignment="1" applyProtection="1">
      <alignment horizontal="left"/>
    </xf>
    <xf numFmtId="0" fontId="19" fillId="19" borderId="4" xfId="0" applyFont="1" applyFill="1" applyBorder="1" applyProtection="1"/>
    <xf numFmtId="0" fontId="19" fillId="19" borderId="52" xfId="0" applyFont="1" applyFill="1" applyBorder="1" applyProtection="1"/>
    <xf numFmtId="0" fontId="19" fillId="19" borderId="5" xfId="0" applyFont="1" applyFill="1" applyBorder="1" applyProtection="1"/>
    <xf numFmtId="0" fontId="19" fillId="0" borderId="63" xfId="0" applyFont="1" applyBorder="1" applyProtection="1"/>
    <xf numFmtId="0" fontId="19" fillId="22" borderId="64" xfId="0" applyFont="1" applyFill="1" applyBorder="1" applyProtection="1"/>
    <xf numFmtId="0" fontId="19" fillId="0" borderId="65" xfId="0" applyFont="1" applyBorder="1" applyProtection="1"/>
    <xf numFmtId="0" fontId="19" fillId="23" borderId="66" xfId="0" applyFont="1" applyFill="1" applyBorder="1" applyProtection="1"/>
    <xf numFmtId="0" fontId="19" fillId="20" borderId="0" xfId="0" applyFont="1" applyFill="1" applyProtection="1"/>
    <xf numFmtId="0" fontId="19" fillId="0" borderId="0" xfId="0" applyFont="1" applyFill="1" applyBorder="1" applyProtection="1"/>
    <xf numFmtId="0" fontId="19" fillId="0" borderId="14" xfId="0" applyFont="1" applyBorder="1" applyProtection="1"/>
    <xf numFmtId="14" fontId="19" fillId="21" borderId="67" xfId="0" applyNumberFormat="1" applyFont="1" applyFill="1" applyBorder="1" applyAlignment="1" applyProtection="1">
      <alignment horizontal="center"/>
    </xf>
    <xf numFmtId="0" fontId="19" fillId="19" borderId="67" xfId="0" applyFont="1" applyFill="1" applyBorder="1" applyProtection="1"/>
    <xf numFmtId="0" fontId="19" fillId="19" borderId="69" xfId="0" applyFont="1" applyFill="1" applyBorder="1" applyProtection="1"/>
    <xf numFmtId="14" fontId="19" fillId="21" borderId="36" xfId="0" applyNumberFormat="1" applyFont="1" applyFill="1" applyBorder="1" applyAlignment="1" applyProtection="1">
      <alignment horizontal="center"/>
    </xf>
    <xf numFmtId="0" fontId="19" fillId="19" borderId="36" xfId="0" applyFont="1" applyFill="1" applyBorder="1" applyProtection="1"/>
    <xf numFmtId="0" fontId="19" fillId="19" borderId="44" xfId="0" applyFont="1" applyFill="1" applyBorder="1" applyProtection="1"/>
    <xf numFmtId="14" fontId="19" fillId="21" borderId="18" xfId="0" applyNumberFormat="1" applyFont="1" applyFill="1" applyBorder="1" applyAlignment="1" applyProtection="1">
      <alignment horizontal="center"/>
    </xf>
    <xf numFmtId="0" fontId="19" fillId="19" borderId="18" xfId="0" applyFont="1" applyFill="1" applyBorder="1" applyProtection="1"/>
    <xf numFmtId="0" fontId="19" fillId="19" borderId="70" xfId="0" applyFont="1" applyFill="1" applyBorder="1" applyProtection="1"/>
    <xf numFmtId="0" fontId="19" fillId="19" borderId="25" xfId="0" applyFont="1" applyFill="1" applyBorder="1" applyProtection="1"/>
    <xf numFmtId="0" fontId="19" fillId="22" borderId="0" xfId="0" applyFont="1" applyFill="1" applyProtection="1"/>
    <xf numFmtId="0" fontId="10" fillId="13" borderId="0" xfId="0" applyFont="1" applyFill="1" applyBorder="1" applyAlignment="1" applyProtection="1">
      <alignment vertical="top"/>
    </xf>
    <xf numFmtId="0" fontId="3" fillId="13" borderId="77" xfId="0" applyFont="1" applyFill="1" applyBorder="1" applyProtection="1"/>
    <xf numFmtId="0" fontId="2" fillId="13" borderId="71" xfId="0" applyFont="1" applyFill="1" applyBorder="1" applyAlignment="1" applyProtection="1">
      <alignment vertical="top"/>
    </xf>
    <xf numFmtId="0" fontId="2" fillId="13" borderId="72" xfId="0" applyFont="1" applyFill="1" applyBorder="1" applyAlignment="1" applyProtection="1">
      <alignment vertical="top"/>
    </xf>
    <xf numFmtId="0" fontId="2" fillId="13" borderId="73" xfId="0" applyFont="1" applyFill="1" applyBorder="1" applyAlignment="1" applyProtection="1">
      <alignment vertical="top"/>
    </xf>
    <xf numFmtId="0" fontId="2" fillId="19" borderId="72" xfId="0" applyFont="1" applyFill="1" applyBorder="1" applyAlignment="1" applyProtection="1">
      <alignment vertical="top"/>
    </xf>
    <xf numFmtId="0" fontId="2" fillId="19" borderId="74" xfId="0" applyFont="1" applyFill="1" applyBorder="1" applyAlignment="1" applyProtection="1">
      <alignment vertical="top"/>
    </xf>
    <xf numFmtId="0" fontId="2" fillId="13" borderId="9" xfId="0" applyFont="1" applyFill="1" applyBorder="1" applyAlignment="1" applyProtection="1">
      <alignment vertical="top"/>
    </xf>
    <xf numFmtId="0" fontId="2" fillId="13" borderId="10" xfId="0" applyFont="1" applyFill="1" applyBorder="1" applyAlignment="1" applyProtection="1">
      <alignment vertical="top"/>
    </xf>
    <xf numFmtId="0" fontId="2" fillId="13" borderId="75" xfId="0" applyFont="1" applyFill="1" applyBorder="1" applyAlignment="1" applyProtection="1">
      <alignment vertical="top"/>
    </xf>
    <xf numFmtId="0" fontId="2" fillId="19" borderId="10" xfId="0" applyFont="1" applyFill="1" applyBorder="1" applyAlignment="1" applyProtection="1">
      <alignment vertical="top"/>
    </xf>
    <xf numFmtId="0" fontId="2" fillId="19" borderId="11" xfId="0" applyFont="1" applyFill="1" applyBorder="1" applyAlignment="1" applyProtection="1">
      <alignment vertical="top"/>
    </xf>
    <xf numFmtId="0" fontId="2" fillId="13" borderId="0" xfId="0" applyFont="1" applyFill="1" applyBorder="1" applyAlignment="1" applyProtection="1">
      <alignment vertical="top"/>
    </xf>
    <xf numFmtId="0" fontId="2" fillId="13" borderId="78" xfId="0" applyFont="1" applyFill="1" applyBorder="1" applyAlignment="1" applyProtection="1">
      <alignment vertical="top"/>
    </xf>
    <xf numFmtId="0" fontId="2" fillId="13" borderId="79" xfId="0" applyFont="1" applyFill="1" applyBorder="1" applyAlignment="1" applyProtection="1">
      <alignment vertical="top"/>
    </xf>
    <xf numFmtId="0" fontId="2" fillId="2" borderId="78" xfId="0" applyFont="1" applyFill="1" applyBorder="1" applyAlignment="1" applyProtection="1">
      <alignment horizontal="right" vertical="top"/>
    </xf>
    <xf numFmtId="0" fontId="2" fillId="2" borderId="78" xfId="0" applyFont="1" applyFill="1" applyBorder="1" applyAlignment="1" applyProtection="1">
      <alignment horizontal="right"/>
    </xf>
    <xf numFmtId="14" fontId="2" fillId="6" borderId="78" xfId="0" applyNumberFormat="1" applyFont="1" applyFill="1" applyBorder="1" applyAlignment="1" applyProtection="1">
      <alignment horizontal="center" vertical="top"/>
    </xf>
    <xf numFmtId="14" fontId="2" fillId="6" borderId="80" xfId="0" applyNumberFormat="1" applyFont="1" applyFill="1" applyBorder="1" applyAlignment="1" applyProtection="1">
      <alignment horizontal="center" vertical="top"/>
    </xf>
    <xf numFmtId="0" fontId="21" fillId="2" borderId="0" xfId="0" applyFont="1" applyFill="1" applyAlignment="1" applyProtection="1">
      <alignment vertical="top" wrapText="1"/>
    </xf>
    <xf numFmtId="0" fontId="2" fillId="9" borderId="0" xfId="0" applyFont="1" applyFill="1" applyAlignment="1" applyProtection="1">
      <alignment vertical="center"/>
    </xf>
    <xf numFmtId="0" fontId="2" fillId="9" borderId="6" xfId="0" applyFont="1" applyFill="1" applyBorder="1" applyAlignment="1" applyProtection="1">
      <alignment vertical="center"/>
    </xf>
    <xf numFmtId="0" fontId="2" fillId="2" borderId="0" xfId="0" applyFont="1" applyFill="1" applyAlignment="1" applyProtection="1">
      <alignment vertical="center"/>
    </xf>
    <xf numFmtId="0" fontId="2" fillId="2" borderId="6" xfId="0" applyFont="1" applyFill="1" applyBorder="1" applyAlignment="1" applyProtection="1">
      <alignment vertical="center"/>
    </xf>
    <xf numFmtId="0" fontId="2" fillId="14" borderId="13" xfId="0" applyFont="1" applyFill="1" applyBorder="1" applyAlignment="1" applyProtection="1">
      <alignment horizontal="center" vertical="center"/>
    </xf>
    <xf numFmtId="0" fontId="11" fillId="9" borderId="0" xfId="0" applyFont="1" applyFill="1" applyAlignment="1" applyProtection="1">
      <alignment vertical="center"/>
    </xf>
    <xf numFmtId="0" fontId="11" fillId="2" borderId="0" xfId="0" applyFont="1" applyFill="1" applyAlignment="1" applyProtection="1">
      <alignment vertical="center"/>
    </xf>
    <xf numFmtId="0" fontId="11" fillId="2" borderId="6" xfId="0" applyFont="1" applyFill="1" applyBorder="1" applyAlignment="1" applyProtection="1">
      <alignment vertical="center"/>
    </xf>
    <xf numFmtId="0" fontId="4" fillId="9" borderId="0" xfId="0" applyFont="1" applyFill="1" applyAlignment="1" applyProtection="1">
      <alignment vertical="center"/>
    </xf>
    <xf numFmtId="0" fontId="4" fillId="2" borderId="0" xfId="0" applyFont="1" applyFill="1" applyAlignment="1" applyProtection="1">
      <alignment vertical="center"/>
    </xf>
    <xf numFmtId="0" fontId="4" fillId="2" borderId="6" xfId="0" applyFont="1" applyFill="1" applyBorder="1" applyAlignment="1" applyProtection="1">
      <alignment vertical="center"/>
    </xf>
    <xf numFmtId="0" fontId="2" fillId="9" borderId="12" xfId="0" applyFont="1" applyFill="1" applyBorder="1" applyAlignment="1" applyProtection="1">
      <alignment vertical="center"/>
    </xf>
    <xf numFmtId="0" fontId="2" fillId="2" borderId="0" xfId="0" applyFont="1" applyFill="1" applyAlignment="1" applyProtection="1">
      <alignment horizontal="center" vertical="center"/>
    </xf>
    <xf numFmtId="0" fontId="2" fillId="9" borderId="0" xfId="0" applyFont="1" applyFill="1" applyAlignment="1" applyProtection="1">
      <alignment horizontal="right" vertical="center"/>
    </xf>
    <xf numFmtId="0" fontId="2" fillId="9" borderId="12" xfId="0" applyFont="1" applyFill="1" applyBorder="1" applyAlignment="1" applyProtection="1">
      <alignment horizontal="center" vertical="center"/>
    </xf>
    <xf numFmtId="0" fontId="38" fillId="2" borderId="0" xfId="0" applyFont="1" applyFill="1" applyAlignment="1" applyProtection="1">
      <alignment vertical="center"/>
    </xf>
    <xf numFmtId="0" fontId="13" fillId="3" borderId="0" xfId="0" applyFont="1" applyFill="1" applyAlignment="1" applyProtection="1">
      <alignment horizontal="center" vertical="center"/>
    </xf>
    <xf numFmtId="0" fontId="13" fillId="3" borderId="0" xfId="0" applyFont="1" applyFill="1" applyAlignment="1" applyProtection="1">
      <alignment vertical="center"/>
    </xf>
    <xf numFmtId="0" fontId="14" fillId="3" borderId="0" xfId="0" applyFont="1" applyFill="1" applyAlignment="1" applyProtection="1">
      <alignment vertical="center"/>
    </xf>
    <xf numFmtId="0" fontId="2" fillId="9" borderId="0" xfId="0" applyFont="1" applyFill="1" applyProtection="1"/>
    <xf numFmtId="0" fontId="2" fillId="2" borderId="0" xfId="0" applyFont="1" applyFill="1" applyProtection="1"/>
    <xf numFmtId="0" fontId="4" fillId="2" borderId="12" xfId="0" applyFont="1" applyFill="1" applyBorder="1" applyAlignment="1" applyProtection="1">
      <alignment horizontal="center" vertical="center" wrapText="1"/>
    </xf>
    <xf numFmtId="0" fontId="4" fillId="2" borderId="12" xfId="0" applyFont="1" applyFill="1" applyBorder="1" applyAlignment="1" applyProtection="1">
      <alignment horizontal="center"/>
    </xf>
    <xf numFmtId="0" fontId="2" fillId="9" borderId="12" xfId="0" applyFont="1" applyFill="1" applyBorder="1" applyProtection="1"/>
    <xf numFmtId="0" fontId="4" fillId="9" borderId="12" xfId="0" applyFont="1" applyFill="1" applyBorder="1" applyAlignment="1" applyProtection="1">
      <alignment horizontal="center" vertical="center"/>
    </xf>
    <xf numFmtId="0" fontId="3" fillId="9" borderId="12" xfId="0" applyFont="1" applyFill="1" applyBorder="1" applyAlignment="1" applyProtection="1">
      <alignment vertical="center"/>
    </xf>
    <xf numFmtId="0" fontId="4" fillId="2" borderId="0" xfId="0" applyFont="1" applyFill="1" applyAlignment="1" applyProtection="1">
      <alignment horizontal="center" vertical="center"/>
    </xf>
    <xf numFmtId="0" fontId="2" fillId="6" borderId="12" xfId="0" applyFont="1" applyFill="1" applyBorder="1" applyAlignment="1" applyProtection="1">
      <alignment vertical="center"/>
    </xf>
    <xf numFmtId="0" fontId="4" fillId="2" borderId="12" xfId="0" applyFont="1" applyFill="1" applyBorder="1" applyProtection="1"/>
    <xf numFmtId="0" fontId="2" fillId="5" borderId="12" xfId="0" applyFont="1" applyFill="1" applyBorder="1" applyAlignment="1" applyProtection="1">
      <alignment vertical="center"/>
      <protection locked="0"/>
    </xf>
    <xf numFmtId="0" fontId="22" fillId="9" borderId="0" xfId="0" applyFont="1" applyFill="1" applyAlignment="1" applyProtection="1">
      <alignment vertical="center"/>
    </xf>
    <xf numFmtId="0" fontId="22" fillId="2" borderId="0" xfId="0" applyFont="1" applyFill="1" applyAlignment="1" applyProtection="1">
      <alignment vertical="center"/>
    </xf>
    <xf numFmtId="0" fontId="2" fillId="9" borderId="0" xfId="0" applyFont="1" applyFill="1" applyAlignment="1" applyProtection="1">
      <alignment horizontal="center" vertical="center"/>
    </xf>
    <xf numFmtId="3" fontId="2" fillId="9" borderId="12" xfId="0" applyNumberFormat="1" applyFont="1" applyFill="1" applyBorder="1" applyAlignment="1" applyProtection="1">
      <alignment vertical="center"/>
    </xf>
    <xf numFmtId="3" fontId="2" fillId="9" borderId="0" xfId="0" applyNumberFormat="1" applyFont="1" applyFill="1" applyBorder="1" applyAlignment="1" applyProtection="1">
      <alignment vertical="center"/>
    </xf>
    <xf numFmtId="0" fontId="2" fillId="9" borderId="0" xfId="0" applyFont="1" applyFill="1" applyAlignment="1" applyProtection="1"/>
    <xf numFmtId="4" fontId="2" fillId="9" borderId="12" xfId="0" applyNumberFormat="1" applyFont="1" applyFill="1" applyBorder="1" applyAlignment="1" applyProtection="1">
      <alignment vertical="center"/>
    </xf>
    <xf numFmtId="4" fontId="2" fillId="9" borderId="0" xfId="0" applyNumberFormat="1" applyFont="1" applyFill="1" applyAlignment="1" applyProtection="1">
      <alignment vertical="center"/>
    </xf>
    <xf numFmtId="0" fontId="2" fillId="9" borderId="0" xfId="0" applyFont="1" applyFill="1" applyAlignment="1" applyProtection="1">
      <alignment wrapText="1"/>
    </xf>
    <xf numFmtId="0" fontId="2" fillId="2" borderId="0" xfId="0" applyFont="1" applyFill="1" applyAlignment="1" applyProtection="1">
      <alignment wrapText="1"/>
    </xf>
    <xf numFmtId="0" fontId="2" fillId="2" borderId="6" xfId="0" applyFont="1" applyFill="1" applyBorder="1" applyAlignment="1" applyProtection="1">
      <alignment wrapText="1"/>
    </xf>
    <xf numFmtId="0" fontId="2" fillId="2" borderId="0" xfId="0" applyFont="1" applyFill="1" applyAlignment="1" applyProtection="1">
      <alignment horizontal="right" vertical="center"/>
    </xf>
    <xf numFmtId="0" fontId="2" fillId="2" borderId="19" xfId="0" applyFont="1" applyFill="1" applyBorder="1" applyAlignment="1" applyProtection="1">
      <alignment vertical="center"/>
    </xf>
    <xf numFmtId="0" fontId="2" fillId="2" borderId="20" xfId="0" applyFont="1" applyFill="1" applyBorder="1" applyAlignment="1" applyProtection="1">
      <alignment horizontal="center" vertical="center"/>
    </xf>
    <xf numFmtId="3" fontId="2" fillId="6" borderId="20" xfId="0" applyNumberFormat="1" applyFont="1" applyFill="1" applyBorder="1" applyAlignment="1" applyProtection="1">
      <alignment vertical="center"/>
    </xf>
    <xf numFmtId="0" fontId="2" fillId="2" borderId="23" xfId="0" applyFont="1" applyFill="1" applyBorder="1" applyAlignment="1" applyProtection="1">
      <alignment vertical="center"/>
    </xf>
    <xf numFmtId="0" fontId="2" fillId="2" borderId="24" xfId="0" applyFont="1" applyFill="1" applyBorder="1" applyAlignment="1" applyProtection="1">
      <alignment horizontal="center" vertical="center"/>
    </xf>
    <xf numFmtId="0" fontId="4" fillId="2" borderId="16" xfId="0" applyFont="1" applyFill="1" applyBorder="1" applyAlignment="1" applyProtection="1">
      <alignment vertical="center"/>
    </xf>
    <xf numFmtId="0" fontId="4" fillId="2" borderId="12" xfId="0" applyFont="1" applyFill="1" applyBorder="1" applyAlignment="1" applyProtection="1">
      <alignment horizontal="center" vertical="center"/>
    </xf>
    <xf numFmtId="3" fontId="4" fillId="6" borderId="12" xfId="0" applyNumberFormat="1" applyFont="1" applyFill="1" applyBorder="1" applyAlignment="1" applyProtection="1">
      <alignment vertical="center"/>
    </xf>
    <xf numFmtId="0" fontId="4" fillId="2" borderId="36" xfId="0" applyFont="1" applyFill="1" applyBorder="1" applyAlignment="1" applyProtection="1">
      <alignment horizontal="center"/>
    </xf>
    <xf numFmtId="0" fontId="2" fillId="2" borderId="26" xfId="0" applyFont="1" applyFill="1" applyBorder="1" applyAlignment="1" applyProtection="1">
      <alignment vertical="center"/>
    </xf>
    <xf numFmtId="0" fontId="2" fillId="2" borderId="27" xfId="0" applyFont="1" applyFill="1" applyBorder="1" applyAlignment="1" applyProtection="1">
      <alignment horizontal="center" vertical="center"/>
    </xf>
    <xf numFmtId="0" fontId="2" fillId="2" borderId="0" xfId="0" applyFont="1" applyFill="1" applyBorder="1" applyAlignment="1" applyProtection="1">
      <alignment vertical="center"/>
    </xf>
    <xf numFmtId="0" fontId="2" fillId="2" borderId="31" xfId="0" applyFont="1" applyFill="1" applyBorder="1" applyAlignment="1" applyProtection="1">
      <alignment vertical="center"/>
    </xf>
    <xf numFmtId="4" fontId="2" fillId="4" borderId="24" xfId="0" applyNumberFormat="1" applyFont="1" applyFill="1" applyBorder="1" applyAlignment="1" applyProtection="1">
      <alignment vertical="center"/>
      <protection locked="0"/>
    </xf>
    <xf numFmtId="0" fontId="26" fillId="2" borderId="13" xfId="0" applyFont="1" applyFill="1" applyBorder="1" applyAlignment="1" applyProtection="1">
      <alignment horizontal="center" vertical="center"/>
    </xf>
    <xf numFmtId="0" fontId="27" fillId="2" borderId="0" xfId="0" applyFont="1" applyFill="1" applyAlignment="1" applyProtection="1">
      <alignment horizontal="left" vertical="center" indent="1"/>
    </xf>
    <xf numFmtId="0" fontId="4" fillId="9" borderId="13" xfId="0" applyFont="1" applyFill="1" applyBorder="1" applyAlignment="1" applyProtection="1">
      <alignment horizontal="center" vertical="center"/>
    </xf>
    <xf numFmtId="0" fontId="2" fillId="9" borderId="13" xfId="0" applyFont="1" applyFill="1" applyBorder="1" applyAlignment="1" applyProtection="1">
      <alignment vertical="center"/>
    </xf>
    <xf numFmtId="0" fontId="4" fillId="2" borderId="17" xfId="0" applyFont="1" applyFill="1" applyBorder="1" applyAlignment="1" applyProtection="1">
      <alignment vertical="center"/>
    </xf>
    <xf numFmtId="0" fontId="4" fillId="2" borderId="18" xfId="0" applyFont="1" applyFill="1" applyBorder="1" applyAlignment="1" applyProtection="1">
      <alignment horizontal="center" vertical="center"/>
    </xf>
    <xf numFmtId="0" fontId="2" fillId="6" borderId="19" xfId="0" applyFont="1" applyFill="1" applyBorder="1" applyAlignment="1" applyProtection="1">
      <alignment vertical="center"/>
    </xf>
    <xf numFmtId="0" fontId="2" fillId="6" borderId="32" xfId="0" applyFont="1" applyFill="1" applyBorder="1" applyAlignment="1" applyProtection="1">
      <alignment vertical="center"/>
    </xf>
    <xf numFmtId="0" fontId="2" fillId="6" borderId="20" xfId="0" applyFont="1" applyFill="1" applyBorder="1" applyAlignment="1" applyProtection="1">
      <alignment horizontal="center" vertical="center"/>
    </xf>
    <xf numFmtId="0" fontId="2" fillId="9" borderId="0" xfId="0" applyFont="1" applyFill="1" applyBorder="1" applyAlignment="1" applyProtection="1">
      <alignment horizontal="center" vertical="center"/>
    </xf>
    <xf numFmtId="0" fontId="2" fillId="9" borderId="12" xfId="0" applyFont="1" applyFill="1" applyBorder="1" applyAlignment="1" applyProtection="1">
      <alignment horizontal="left" vertical="center"/>
    </xf>
    <xf numFmtId="0" fontId="2" fillId="6" borderId="21" xfId="0" applyFont="1" applyFill="1" applyBorder="1" applyAlignment="1" applyProtection="1">
      <alignment vertical="center"/>
    </xf>
    <xf numFmtId="0" fontId="2" fillId="6" borderId="33" xfId="0" applyFont="1" applyFill="1" applyBorder="1" applyAlignment="1" applyProtection="1">
      <alignment vertical="center"/>
    </xf>
    <xf numFmtId="0" fontId="2" fillId="6" borderId="22" xfId="0" applyFont="1" applyFill="1" applyBorder="1" applyAlignment="1" applyProtection="1">
      <alignment horizontal="center" vertical="center"/>
    </xf>
    <xf numFmtId="0" fontId="2" fillId="6" borderId="23" xfId="0" applyFont="1" applyFill="1" applyBorder="1" applyAlignment="1" applyProtection="1">
      <alignment vertical="center"/>
    </xf>
    <xf numFmtId="0" fontId="2" fillId="6" borderId="34" xfId="0" applyFont="1" applyFill="1" applyBorder="1" applyAlignment="1" applyProtection="1">
      <alignment vertical="center"/>
    </xf>
    <xf numFmtId="0" fontId="2" fillId="6" borderId="24" xfId="0" applyFont="1" applyFill="1" applyBorder="1" applyAlignment="1" applyProtection="1">
      <alignment horizontal="center" vertical="center"/>
    </xf>
    <xf numFmtId="0" fontId="4" fillId="2" borderId="15" xfId="0" applyFont="1" applyFill="1" applyBorder="1" applyAlignment="1" applyProtection="1">
      <alignment vertical="center"/>
    </xf>
    <xf numFmtId="0" fontId="4" fillId="6" borderId="12" xfId="0" applyFont="1" applyFill="1" applyBorder="1" applyAlignment="1" applyProtection="1">
      <alignment horizontal="center" vertical="center"/>
    </xf>
    <xf numFmtId="0" fontId="2" fillId="2" borderId="0" xfId="0" applyFont="1" applyFill="1" applyBorder="1" applyAlignment="1" applyProtection="1">
      <alignment horizontal="right" vertical="center"/>
    </xf>
    <xf numFmtId="0" fontId="4" fillId="2" borderId="0" xfId="0" applyFont="1" applyFill="1" applyBorder="1" applyAlignment="1" applyProtection="1">
      <alignment vertical="center"/>
    </xf>
    <xf numFmtId="0" fontId="4" fillId="2" borderId="0" xfId="0" applyFont="1" applyFill="1" applyBorder="1" applyAlignment="1" applyProtection="1">
      <alignment horizontal="center" vertical="center"/>
    </xf>
    <xf numFmtId="0" fontId="2" fillId="6" borderId="12" xfId="0" applyFont="1" applyFill="1" applyBorder="1" applyAlignment="1" applyProtection="1">
      <alignment horizontal="center" vertical="center"/>
    </xf>
    <xf numFmtId="0" fontId="2" fillId="2" borderId="16" xfId="0" applyFont="1" applyFill="1" applyBorder="1" applyAlignment="1" applyProtection="1">
      <alignment vertical="center"/>
    </xf>
    <xf numFmtId="0" fontId="2" fillId="9" borderId="0" xfId="0" applyFont="1" applyFill="1" applyBorder="1" applyAlignment="1" applyProtection="1">
      <alignment vertical="center"/>
    </xf>
    <xf numFmtId="0" fontId="2" fillId="9" borderId="0" xfId="0" applyFont="1" applyFill="1" applyBorder="1" applyAlignment="1" applyProtection="1">
      <alignment horizontal="left" vertical="center"/>
    </xf>
    <xf numFmtId="0" fontId="28" fillId="2" borderId="0" xfId="0" applyFont="1" applyFill="1" applyBorder="1" applyAlignment="1" applyProtection="1">
      <alignment horizontal="right" vertical="center"/>
    </xf>
    <xf numFmtId="0" fontId="2" fillId="6" borderId="19" xfId="0" applyNumberFormat="1" applyFont="1" applyFill="1" applyBorder="1" applyAlignment="1" applyProtection="1">
      <alignment horizontal="left" vertical="center" indent="1"/>
    </xf>
    <xf numFmtId="49" fontId="2" fillId="6" borderId="19" xfId="0" applyNumberFormat="1" applyFont="1" applyFill="1" applyBorder="1" applyAlignment="1" applyProtection="1">
      <alignment vertical="center"/>
    </xf>
    <xf numFmtId="0" fontId="2" fillId="6" borderId="19" xfId="0" applyNumberFormat="1" applyFont="1" applyFill="1" applyBorder="1" applyAlignment="1" applyProtection="1">
      <alignment horizontal="center" vertical="center"/>
    </xf>
    <xf numFmtId="49" fontId="2" fillId="6" borderId="21" xfId="0" applyNumberFormat="1" applyFont="1" applyFill="1" applyBorder="1" applyAlignment="1" applyProtection="1">
      <alignment horizontal="left" vertical="center" indent="1"/>
    </xf>
    <xf numFmtId="49" fontId="2" fillId="6" borderId="21" xfId="0" applyNumberFormat="1" applyFont="1" applyFill="1" applyBorder="1" applyAlignment="1" applyProtection="1">
      <alignment vertical="center"/>
    </xf>
    <xf numFmtId="49" fontId="2" fillId="6" borderId="21" xfId="0" applyNumberFormat="1" applyFont="1" applyFill="1" applyBorder="1" applyAlignment="1" applyProtection="1">
      <alignment horizontal="center" vertical="center"/>
    </xf>
    <xf numFmtId="49" fontId="2" fillId="6" borderId="26" xfId="0" applyNumberFormat="1" applyFont="1" applyFill="1" applyBorder="1" applyAlignment="1" applyProtection="1">
      <alignment horizontal="left" vertical="center" indent="1"/>
    </xf>
    <xf numFmtId="49" fontId="2" fillId="6" borderId="26" xfId="0" applyNumberFormat="1" applyFont="1" applyFill="1" applyBorder="1" applyAlignment="1" applyProtection="1">
      <alignment vertical="center"/>
    </xf>
    <xf numFmtId="49" fontId="2" fillId="6" borderId="26" xfId="0" applyNumberFormat="1" applyFont="1" applyFill="1" applyBorder="1" applyAlignment="1" applyProtection="1">
      <alignment horizontal="center" vertical="center"/>
    </xf>
    <xf numFmtId="0" fontId="2" fillId="6" borderId="27" xfId="0" applyFont="1" applyFill="1" applyBorder="1" applyAlignment="1" applyProtection="1">
      <alignment horizontal="center" vertical="center"/>
    </xf>
    <xf numFmtId="49" fontId="2" fillId="6" borderId="23" xfId="0" applyNumberFormat="1" applyFont="1" applyFill="1" applyBorder="1" applyAlignment="1" applyProtection="1">
      <alignment horizontal="left" vertical="center" indent="1"/>
    </xf>
    <xf numFmtId="49" fontId="2" fillId="6" borderId="23" xfId="0" applyNumberFormat="1" applyFont="1" applyFill="1" applyBorder="1" applyAlignment="1" applyProtection="1">
      <alignment vertical="center"/>
    </xf>
    <xf numFmtId="49" fontId="2" fillId="6" borderId="23" xfId="0" applyNumberFormat="1" applyFont="1" applyFill="1" applyBorder="1" applyAlignment="1" applyProtection="1">
      <alignment horizontal="center" vertical="center"/>
    </xf>
    <xf numFmtId="0" fontId="2" fillId="8" borderId="1" xfId="0" applyFont="1" applyFill="1" applyBorder="1" applyAlignment="1" applyProtection="1">
      <alignment vertical="center"/>
    </xf>
    <xf numFmtId="0" fontId="2" fillId="8" borderId="2" xfId="0" applyFont="1" applyFill="1" applyBorder="1" applyAlignment="1" applyProtection="1">
      <alignment horizontal="right" vertical="center"/>
    </xf>
    <xf numFmtId="0" fontId="4" fillId="8" borderId="2" xfId="0" applyFont="1" applyFill="1" applyBorder="1" applyAlignment="1" applyProtection="1">
      <alignment vertical="center"/>
    </xf>
    <xf numFmtId="0" fontId="2" fillId="8" borderId="2" xfId="0" applyFont="1" applyFill="1" applyBorder="1" applyAlignment="1" applyProtection="1">
      <alignment vertical="center"/>
    </xf>
    <xf numFmtId="0" fontId="2" fillId="8" borderId="3" xfId="0" applyFont="1" applyFill="1" applyBorder="1" applyAlignment="1" applyProtection="1">
      <alignment vertical="center"/>
    </xf>
    <xf numFmtId="0" fontId="2" fillId="8" borderId="6" xfId="0" applyFont="1" applyFill="1" applyBorder="1" applyAlignment="1" applyProtection="1">
      <alignment vertical="center"/>
    </xf>
    <xf numFmtId="0" fontId="39" fillId="8" borderId="0" xfId="0" applyFont="1" applyFill="1" applyBorder="1" applyAlignment="1" applyProtection="1">
      <alignment horizontal="left" vertical="center"/>
    </xf>
    <xf numFmtId="0" fontId="21" fillId="8" borderId="0" xfId="0" applyFont="1" applyFill="1" applyBorder="1" applyAlignment="1" applyProtection="1">
      <alignment vertical="center"/>
    </xf>
    <xf numFmtId="0" fontId="2" fillId="8" borderId="0" xfId="0" applyFont="1" applyFill="1" applyBorder="1" applyAlignment="1" applyProtection="1">
      <alignment vertical="center"/>
    </xf>
    <xf numFmtId="0" fontId="2" fillId="8" borderId="7" xfId="0" applyFont="1" applyFill="1" applyBorder="1" applyAlignment="1" applyProtection="1">
      <alignment vertical="center"/>
    </xf>
    <xf numFmtId="0" fontId="2" fillId="8" borderId="0" xfId="0" applyFont="1" applyFill="1" applyBorder="1" applyAlignment="1" applyProtection="1">
      <alignment horizontal="right" vertical="center"/>
    </xf>
    <xf numFmtId="0" fontId="4" fillId="8" borderId="0" xfId="0" applyFont="1" applyFill="1" applyBorder="1" applyAlignment="1" applyProtection="1">
      <alignment vertical="center"/>
    </xf>
    <xf numFmtId="0" fontId="4" fillId="8" borderId="0" xfId="0" applyFont="1" applyFill="1" applyBorder="1" applyAlignment="1" applyProtection="1">
      <alignment horizontal="center" vertical="center"/>
    </xf>
    <xf numFmtId="0" fontId="4" fillId="8" borderId="16" xfId="0" applyFont="1" applyFill="1" applyBorder="1" applyAlignment="1" applyProtection="1">
      <alignment vertical="center"/>
    </xf>
    <xf numFmtId="0" fontId="2" fillId="8" borderId="16" xfId="0" applyFont="1" applyFill="1" applyBorder="1" applyAlignment="1" applyProtection="1">
      <alignment vertical="center"/>
    </xf>
    <xf numFmtId="0" fontId="25" fillId="8" borderId="7" xfId="0" applyFont="1" applyFill="1" applyBorder="1" applyAlignment="1" applyProtection="1">
      <alignment horizontal="left" vertical="top" wrapText="1"/>
    </xf>
    <xf numFmtId="0" fontId="4" fillId="8" borderId="0" xfId="0" applyFont="1" applyFill="1" applyBorder="1" applyAlignment="1" applyProtection="1">
      <alignment horizontal="center" wrapText="1"/>
    </xf>
    <xf numFmtId="0" fontId="2" fillId="8" borderId="0" xfId="0" applyFont="1" applyFill="1" applyBorder="1" applyAlignment="1" applyProtection="1">
      <alignment horizontal="center" vertical="center"/>
    </xf>
    <xf numFmtId="0" fontId="2" fillId="8" borderId="14" xfId="0" applyFont="1" applyFill="1" applyBorder="1" applyAlignment="1" applyProtection="1">
      <alignment horizontal="center" vertical="center"/>
    </xf>
    <xf numFmtId="0" fontId="2" fillId="8" borderId="9" xfId="0" applyFont="1" applyFill="1" applyBorder="1" applyAlignment="1" applyProtection="1">
      <alignment vertical="center"/>
    </xf>
    <xf numFmtId="0" fontId="2" fillId="8" borderId="10" xfId="0" applyFont="1" applyFill="1" applyBorder="1" applyAlignment="1" applyProtection="1">
      <alignment horizontal="right" vertical="center"/>
    </xf>
    <xf numFmtId="0" fontId="4" fillId="8" borderId="10" xfId="0" applyFont="1" applyFill="1" applyBorder="1" applyAlignment="1" applyProtection="1">
      <alignment vertical="center"/>
    </xf>
    <xf numFmtId="0" fontId="2" fillId="8" borderId="10" xfId="0" applyFont="1" applyFill="1" applyBorder="1" applyAlignment="1" applyProtection="1">
      <alignment vertical="center"/>
    </xf>
    <xf numFmtId="0" fontId="2" fillId="8" borderId="11" xfId="0" applyFont="1" applyFill="1" applyBorder="1" applyAlignment="1" applyProtection="1">
      <alignment vertical="center"/>
    </xf>
    <xf numFmtId="3" fontId="2" fillId="5" borderId="12" xfId="0" applyNumberFormat="1" applyFont="1" applyFill="1" applyBorder="1" applyAlignment="1" applyProtection="1">
      <alignment vertical="center"/>
      <protection locked="0"/>
    </xf>
    <xf numFmtId="3" fontId="2" fillId="5" borderId="27" xfId="0" applyNumberFormat="1" applyFont="1" applyFill="1" applyBorder="1" applyAlignment="1" applyProtection="1">
      <alignment vertical="center"/>
      <protection locked="0"/>
    </xf>
    <xf numFmtId="3" fontId="2" fillId="5" borderId="12" xfId="0" applyNumberFormat="1" applyFont="1" applyFill="1" applyBorder="1" applyAlignment="1" applyProtection="1">
      <alignment horizontal="center" vertical="center"/>
      <protection locked="0"/>
    </xf>
    <xf numFmtId="2" fontId="2" fillId="5" borderId="12"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3" fontId="5" fillId="9" borderId="12" xfId="0" applyNumberFormat="1" applyFont="1" applyFill="1" applyBorder="1" applyAlignment="1" applyProtection="1">
      <alignment vertical="center"/>
    </xf>
    <xf numFmtId="0" fontId="2" fillId="6" borderId="14" xfId="0" applyFont="1" applyFill="1" applyBorder="1" applyAlignment="1" applyProtection="1">
      <alignment horizontal="center" vertical="center"/>
    </xf>
    <xf numFmtId="0" fontId="29" fillId="2" borderId="0" xfId="0" applyFont="1" applyFill="1" applyAlignment="1" applyProtection="1">
      <alignment vertical="center"/>
    </xf>
    <xf numFmtId="0" fontId="29" fillId="2" borderId="0" xfId="0" applyFont="1" applyFill="1" applyAlignment="1" applyProtection="1">
      <alignment horizontal="center" vertical="center"/>
    </xf>
    <xf numFmtId="0" fontId="29" fillId="9" borderId="0" xfId="0" applyFont="1" applyFill="1" applyAlignment="1" applyProtection="1">
      <alignment vertical="center"/>
    </xf>
    <xf numFmtId="0" fontId="29" fillId="2" borderId="0" xfId="0" applyFont="1" applyFill="1" applyAlignment="1" applyProtection="1">
      <alignment horizontal="left" vertical="center"/>
    </xf>
    <xf numFmtId="0" fontId="29" fillId="9" borderId="0" xfId="0" applyFont="1" applyFill="1" applyBorder="1" applyAlignment="1" applyProtection="1">
      <alignment vertical="center"/>
    </xf>
    <xf numFmtId="0" fontId="30" fillId="2" borderId="0" xfId="0" applyFont="1" applyFill="1" applyAlignment="1" applyProtection="1">
      <alignment vertical="center"/>
    </xf>
    <xf numFmtId="166" fontId="29" fillId="6" borderId="12" xfId="0" applyNumberFormat="1" applyFont="1" applyFill="1" applyBorder="1" applyAlignment="1" applyProtection="1">
      <alignment horizontal="center" vertical="center"/>
    </xf>
    <xf numFmtId="0" fontId="29" fillId="9" borderId="12" xfId="0" applyFont="1" applyFill="1" applyBorder="1" applyAlignment="1" applyProtection="1">
      <alignment horizontal="center" vertical="center"/>
    </xf>
    <xf numFmtId="0" fontId="29" fillId="9" borderId="0" xfId="0" applyFont="1" applyFill="1" applyBorder="1" applyAlignment="1" applyProtection="1">
      <alignment horizontal="center" vertical="center"/>
    </xf>
    <xf numFmtId="0" fontId="33" fillId="2" borderId="0" xfId="0" applyFont="1" applyFill="1" applyAlignment="1" applyProtection="1">
      <alignment vertical="center"/>
    </xf>
    <xf numFmtId="0" fontId="4" fillId="2" borderId="0" xfId="0" applyFont="1" applyFill="1" applyAlignment="1" applyProtection="1">
      <alignment horizontal="right" wrapText="1"/>
    </xf>
    <xf numFmtId="0" fontId="35" fillId="2" borderId="44" xfId="0" applyFont="1" applyFill="1" applyBorder="1" applyAlignment="1" applyProtection="1">
      <alignment horizontal="right" vertical="center"/>
    </xf>
    <xf numFmtId="0" fontId="2" fillId="2" borderId="32" xfId="0" applyFont="1" applyFill="1" applyBorder="1" applyAlignment="1" applyProtection="1">
      <alignment horizontal="center" vertical="center"/>
    </xf>
    <xf numFmtId="3" fontId="2" fillId="6" borderId="20" xfId="0" applyNumberFormat="1" applyFont="1" applyFill="1" applyBorder="1" applyAlignment="1" applyProtection="1">
      <alignment horizontal="center" vertical="center"/>
    </xf>
    <xf numFmtId="0" fontId="2" fillId="2" borderId="33" xfId="0" applyFont="1" applyFill="1" applyBorder="1" applyAlignment="1" applyProtection="1">
      <alignment horizontal="center" vertical="center"/>
    </xf>
    <xf numFmtId="3" fontId="2" fillId="6" borderId="22" xfId="0" applyNumberFormat="1" applyFont="1" applyFill="1" applyBorder="1" applyAlignment="1" applyProtection="1">
      <alignment horizontal="center" vertical="center"/>
    </xf>
    <xf numFmtId="0" fontId="2" fillId="2" borderId="34" xfId="0" applyFont="1" applyFill="1" applyBorder="1" applyAlignment="1" applyProtection="1">
      <alignment horizontal="center" vertical="center"/>
    </xf>
    <xf numFmtId="3" fontId="2" fillId="6" borderId="24" xfId="0" applyNumberFormat="1" applyFont="1" applyFill="1" applyBorder="1" applyAlignment="1" applyProtection="1">
      <alignment horizontal="center" vertical="center"/>
    </xf>
    <xf numFmtId="3" fontId="2" fillId="6" borderId="18" xfId="0" applyNumberFormat="1"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2" fillId="2" borderId="46" xfId="0" applyFont="1" applyFill="1" applyBorder="1" applyAlignment="1" applyProtection="1">
      <alignment horizontal="center" vertical="center"/>
    </xf>
    <xf numFmtId="0" fontId="2" fillId="2" borderId="48" xfId="0" quotePrefix="1" applyFont="1" applyFill="1" applyBorder="1" applyAlignment="1" applyProtection="1">
      <alignment horizontal="center" vertical="center"/>
    </xf>
    <xf numFmtId="9" fontId="2" fillId="6" borderId="24" xfId="2" applyFont="1" applyFill="1" applyBorder="1" applyAlignment="1" applyProtection="1">
      <alignment horizontal="center" vertical="center"/>
    </xf>
    <xf numFmtId="0" fontId="7" fillId="2" borderId="0" xfId="0" applyFont="1" applyFill="1" applyAlignment="1" applyProtection="1">
      <alignment vertical="center"/>
    </xf>
    <xf numFmtId="0" fontId="37" fillId="2" borderId="21" xfId="0" applyFont="1" applyFill="1" applyBorder="1" applyAlignment="1" applyProtection="1">
      <alignment vertical="top" wrapText="1"/>
    </xf>
    <xf numFmtId="0" fontId="37" fillId="2" borderId="23" xfId="0" applyFont="1" applyFill="1" applyBorder="1" applyAlignment="1" applyProtection="1">
      <alignment vertical="top" wrapText="1"/>
    </xf>
    <xf numFmtId="0" fontId="2" fillId="2" borderId="0" xfId="0" applyFont="1" applyFill="1" applyAlignment="1" applyProtection="1"/>
    <xf numFmtId="165" fontId="9" fillId="6" borderId="20" xfId="0" applyNumberFormat="1" applyFont="1" applyFill="1" applyBorder="1" applyAlignment="1" applyProtection="1">
      <alignment horizontal="center" vertical="center"/>
    </xf>
    <xf numFmtId="165" fontId="9" fillId="6" borderId="22" xfId="0" applyNumberFormat="1" applyFont="1" applyFill="1" applyBorder="1" applyAlignment="1" applyProtection="1">
      <alignment horizontal="center" vertical="center"/>
    </xf>
    <xf numFmtId="165" fontId="9" fillId="6" borderId="24" xfId="0" applyNumberFormat="1" applyFont="1" applyFill="1" applyBorder="1" applyAlignment="1" applyProtection="1">
      <alignment horizontal="center" vertical="center"/>
    </xf>
    <xf numFmtId="0" fontId="2" fillId="9" borderId="0" xfId="0" applyFont="1" applyFill="1" applyAlignment="1" applyProtection="1">
      <alignment vertical="center" wrapText="1"/>
    </xf>
    <xf numFmtId="0" fontId="2" fillId="2" borderId="0" xfId="0" applyFont="1" applyFill="1" applyAlignment="1" applyProtection="1">
      <alignment vertical="center" wrapText="1"/>
    </xf>
    <xf numFmtId="0" fontId="4" fillId="2" borderId="55" xfId="0"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0" fontId="4" fillId="2" borderId="57" xfId="0" applyFont="1" applyFill="1" applyBorder="1" applyAlignment="1" applyProtection="1">
      <alignment horizontal="center" vertical="center" wrapText="1"/>
    </xf>
    <xf numFmtId="0" fontId="4" fillId="6" borderId="29" xfId="0" applyFont="1" applyFill="1" applyBorder="1" applyAlignment="1" applyProtection="1">
      <alignment vertical="center" wrapText="1"/>
    </xf>
    <xf numFmtId="165" fontId="7" fillId="2" borderId="29" xfId="0" quotePrefix="1" applyNumberFormat="1" applyFont="1" applyFill="1" applyBorder="1" applyAlignment="1" applyProtection="1">
      <alignment horizontal="center" vertical="center"/>
    </xf>
    <xf numFmtId="3" fontId="2" fillId="6" borderId="29" xfId="0" applyNumberFormat="1" applyFont="1" applyFill="1" applyBorder="1" applyAlignment="1" applyProtection="1">
      <alignment horizontal="center" vertical="center"/>
    </xf>
    <xf numFmtId="165" fontId="7" fillId="2" borderId="18" xfId="0" applyNumberFormat="1" applyFont="1" applyFill="1" applyBorder="1" applyAlignment="1" applyProtection="1">
      <alignment horizontal="center" vertical="center"/>
    </xf>
    <xf numFmtId="3" fontId="7" fillId="6" borderId="18" xfId="0" applyNumberFormat="1" applyFont="1" applyFill="1" applyBorder="1" applyAlignment="1" applyProtection="1">
      <alignment horizontal="center" vertical="center"/>
    </xf>
    <xf numFmtId="3" fontId="2" fillId="9" borderId="13" xfId="0" applyNumberFormat="1" applyFont="1" applyFill="1" applyBorder="1" applyAlignment="1" applyProtection="1">
      <alignment vertical="center"/>
    </xf>
    <xf numFmtId="0" fontId="28" fillId="2" borderId="0" xfId="0" applyFont="1" applyFill="1" applyAlignment="1" applyProtection="1">
      <alignment vertical="center"/>
    </xf>
    <xf numFmtId="0" fontId="7" fillId="6" borderId="20" xfId="0" applyNumberFormat="1" applyFont="1" applyFill="1" applyBorder="1" applyAlignment="1" applyProtection="1">
      <alignment vertical="center"/>
    </xf>
    <xf numFmtId="165" fontId="7" fillId="6" borderId="20" xfId="0" applyNumberFormat="1" applyFont="1" applyFill="1" applyBorder="1" applyAlignment="1" applyProtection="1">
      <alignment horizontal="center" vertical="center"/>
    </xf>
    <xf numFmtId="3" fontId="7" fillId="6" borderId="20" xfId="0" applyNumberFormat="1" applyFont="1" applyFill="1" applyBorder="1" applyAlignment="1" applyProtection="1">
      <alignment horizontal="center" vertical="center"/>
    </xf>
    <xf numFmtId="0" fontId="2" fillId="9" borderId="37" xfId="0" applyFont="1" applyFill="1" applyBorder="1" applyAlignment="1" applyProtection="1">
      <alignment vertical="center"/>
    </xf>
    <xf numFmtId="3" fontId="2" fillId="9" borderId="40" xfId="0" applyNumberFormat="1" applyFont="1" applyFill="1" applyBorder="1" applyAlignment="1" applyProtection="1">
      <alignment vertical="center"/>
    </xf>
    <xf numFmtId="0" fontId="7" fillId="6" borderId="22" xfId="0" applyNumberFormat="1" applyFont="1" applyFill="1" applyBorder="1" applyAlignment="1" applyProtection="1">
      <alignment vertical="center"/>
    </xf>
    <xf numFmtId="165" fontId="7" fillId="6" borderId="22" xfId="0" applyNumberFormat="1" applyFont="1" applyFill="1" applyBorder="1" applyAlignment="1" applyProtection="1">
      <alignment horizontal="center" vertical="center"/>
    </xf>
    <xf numFmtId="3" fontId="7" fillId="6" borderId="22" xfId="0" applyNumberFormat="1" applyFont="1" applyFill="1" applyBorder="1" applyAlignment="1" applyProtection="1">
      <alignment horizontal="center" vertical="center"/>
    </xf>
    <xf numFmtId="0" fontId="2" fillId="9" borderId="38" xfId="0" applyFont="1" applyFill="1" applyBorder="1" applyAlignment="1" applyProtection="1">
      <alignment vertical="center"/>
    </xf>
    <xf numFmtId="3" fontId="2" fillId="9" borderId="35" xfId="0" applyNumberFormat="1" applyFont="1" applyFill="1" applyBorder="1" applyAlignment="1" applyProtection="1">
      <alignment vertical="center"/>
    </xf>
    <xf numFmtId="0" fontId="7" fillId="6" borderId="24" xfId="0" applyNumberFormat="1" applyFont="1" applyFill="1" applyBorder="1" applyAlignment="1" applyProtection="1">
      <alignment vertical="center"/>
    </xf>
    <xf numFmtId="165" fontId="7" fillId="6" borderId="24" xfId="0" applyNumberFormat="1" applyFont="1" applyFill="1" applyBorder="1" applyAlignment="1" applyProtection="1">
      <alignment horizontal="center" vertical="center"/>
    </xf>
    <xf numFmtId="3" fontId="7" fillId="6" borderId="24" xfId="0" applyNumberFormat="1" applyFont="1" applyFill="1" applyBorder="1" applyAlignment="1" applyProtection="1">
      <alignment horizontal="center" vertical="center"/>
    </xf>
    <xf numFmtId="0" fontId="2" fillId="9" borderId="39" xfId="0" applyFont="1" applyFill="1" applyBorder="1" applyAlignment="1" applyProtection="1">
      <alignment vertical="center"/>
    </xf>
    <xf numFmtId="3" fontId="2" fillId="9" borderId="41" xfId="0" applyNumberFormat="1" applyFont="1" applyFill="1" applyBorder="1" applyAlignment="1" applyProtection="1">
      <alignment vertical="center"/>
    </xf>
    <xf numFmtId="0" fontId="7" fillId="9" borderId="0" xfId="0" applyFont="1" applyFill="1" applyAlignment="1" applyProtection="1">
      <alignment vertical="center"/>
    </xf>
    <xf numFmtId="0" fontId="7" fillId="9" borderId="0" xfId="0" applyFont="1" applyFill="1" applyAlignment="1" applyProtection="1">
      <alignment wrapText="1"/>
    </xf>
    <xf numFmtId="0" fontId="7" fillId="2" borderId="0" xfId="0" applyFont="1" applyFill="1" applyAlignment="1" applyProtection="1">
      <alignment wrapText="1"/>
    </xf>
    <xf numFmtId="0" fontId="2" fillId="10" borderId="12" xfId="0" applyFont="1" applyFill="1" applyBorder="1" applyAlignment="1" applyProtection="1">
      <alignment vertical="center"/>
    </xf>
    <xf numFmtId="0" fontId="7" fillId="9" borderId="12" xfId="0" applyFont="1" applyFill="1" applyBorder="1" applyAlignment="1" applyProtection="1">
      <alignment vertical="center"/>
    </xf>
    <xf numFmtId="0" fontId="7" fillId="9" borderId="0" xfId="0" applyFont="1" applyFill="1" applyBorder="1" applyAlignment="1" applyProtection="1">
      <alignment vertical="center"/>
    </xf>
    <xf numFmtId="0" fontId="2" fillId="3" borderId="0" xfId="0" applyFont="1" applyFill="1" applyProtection="1"/>
    <xf numFmtId="0" fontId="19" fillId="2" borderId="0" xfId="0" applyFont="1" applyFill="1" applyProtection="1"/>
    <xf numFmtId="0" fontId="7" fillId="6" borderId="18" xfId="0" applyNumberFormat="1" applyFont="1" applyFill="1" applyBorder="1" applyAlignment="1" applyProtection="1">
      <alignment vertical="center"/>
    </xf>
    <xf numFmtId="0" fontId="7" fillId="0" borderId="18" xfId="0" quotePrefix="1" applyFont="1" applyFill="1" applyBorder="1" applyAlignment="1" applyProtection="1">
      <alignment horizontal="center" vertical="center"/>
    </xf>
    <xf numFmtId="0" fontId="7" fillId="6" borderId="20" xfId="0" applyFont="1" applyFill="1" applyBorder="1" applyAlignment="1" applyProtection="1">
      <alignment horizontal="center" vertical="center"/>
    </xf>
    <xf numFmtId="0" fontId="7" fillId="6" borderId="22" xfId="0" applyFont="1" applyFill="1" applyBorder="1" applyAlignment="1" applyProtection="1">
      <alignment horizontal="center" vertical="center"/>
    </xf>
    <xf numFmtId="0" fontId="7" fillId="6" borderId="24" xfId="0" applyFont="1" applyFill="1" applyBorder="1" applyAlignment="1" applyProtection="1">
      <alignment horizontal="center" vertical="center"/>
    </xf>
    <xf numFmtId="0" fontId="4" fillId="2" borderId="19" xfId="0" applyFont="1" applyFill="1" applyBorder="1" applyAlignment="1" applyProtection="1">
      <alignment vertical="center"/>
    </xf>
    <xf numFmtId="169" fontId="2" fillId="6" borderId="20" xfId="2" applyNumberFormat="1" applyFont="1" applyFill="1" applyBorder="1" applyAlignment="1" applyProtection="1">
      <alignment horizontal="center" vertical="center"/>
    </xf>
    <xf numFmtId="0" fontId="4" fillId="2" borderId="23" xfId="0" applyFont="1" applyFill="1" applyBorder="1" applyAlignment="1" applyProtection="1">
      <alignment vertical="center"/>
    </xf>
    <xf numFmtId="3" fontId="2" fillId="6" borderId="24" xfId="0" applyNumberFormat="1" applyFont="1" applyFill="1" applyBorder="1" applyAlignment="1" applyProtection="1">
      <alignment vertical="center"/>
    </xf>
    <xf numFmtId="0" fontId="2" fillId="2" borderId="83" xfId="0" applyFont="1" applyFill="1" applyBorder="1" applyAlignment="1" applyProtection="1">
      <alignment vertical="center"/>
    </xf>
    <xf numFmtId="0" fontId="2" fillId="2" borderId="70" xfId="0" applyFont="1" applyFill="1" applyBorder="1" applyAlignment="1" applyProtection="1">
      <alignment horizontal="center" vertical="center"/>
    </xf>
    <xf numFmtId="4" fontId="2" fillId="6" borderId="20" xfId="0" applyNumberFormat="1" applyFont="1" applyFill="1" applyBorder="1" applyAlignment="1" applyProtection="1">
      <alignment vertical="center"/>
    </xf>
    <xf numFmtId="4" fontId="2" fillId="2" borderId="20" xfId="0" applyNumberFormat="1" applyFont="1" applyFill="1" applyBorder="1" applyAlignment="1" applyProtection="1">
      <alignment vertical="center"/>
    </xf>
    <xf numFmtId="4" fontId="4" fillId="6" borderId="12" xfId="0" applyNumberFormat="1" applyFont="1" applyFill="1" applyBorder="1" applyAlignment="1" applyProtection="1">
      <alignment vertical="center"/>
    </xf>
    <xf numFmtId="0" fontId="2" fillId="6" borderId="18" xfId="0" applyFont="1" applyFill="1" applyBorder="1" applyAlignment="1" applyProtection="1">
      <alignment horizontal="center" vertical="center"/>
    </xf>
    <xf numFmtId="3" fontId="2" fillId="5" borderId="18" xfId="0" applyNumberFormat="1" applyFont="1" applyFill="1" applyBorder="1" applyAlignment="1" applyProtection="1">
      <alignment vertical="center"/>
      <protection locked="0"/>
    </xf>
    <xf numFmtId="0" fontId="2" fillId="8" borderId="14" xfId="0" quotePrefix="1" applyFont="1" applyFill="1" applyBorder="1" applyAlignment="1" applyProtection="1">
      <alignment horizontal="center" vertical="center"/>
    </xf>
    <xf numFmtId="2" fontId="2" fillId="4" borderId="12" xfId="0" applyNumberFormat="1" applyFont="1" applyFill="1" applyBorder="1" applyAlignment="1" applyProtection="1">
      <alignment horizontal="center" vertical="center"/>
      <protection locked="0"/>
    </xf>
    <xf numFmtId="0" fontId="2" fillId="14" borderId="49" xfId="0" applyFont="1" applyFill="1" applyBorder="1" applyAlignment="1" applyProtection="1">
      <alignment horizontal="center" vertical="center"/>
    </xf>
    <xf numFmtId="0" fontId="2" fillId="9" borderId="68" xfId="0" applyFont="1" applyFill="1" applyBorder="1" applyAlignment="1" applyProtection="1">
      <alignment horizontal="center" vertical="center"/>
    </xf>
    <xf numFmtId="0" fontId="2" fillId="9" borderId="42" xfId="0" applyFont="1" applyFill="1" applyBorder="1" applyAlignment="1" applyProtection="1">
      <alignment horizontal="center" vertical="center"/>
    </xf>
    <xf numFmtId="0" fontId="2" fillId="9" borderId="69" xfId="0" applyFont="1" applyFill="1" applyBorder="1" applyAlignment="1" applyProtection="1">
      <alignment horizontal="center" vertical="center"/>
    </xf>
    <xf numFmtId="0" fontId="2" fillId="9" borderId="17" xfId="0" applyFont="1" applyFill="1" applyBorder="1" applyAlignment="1" applyProtection="1">
      <alignment horizontal="center" vertical="center"/>
    </xf>
    <xf numFmtId="0" fontId="2" fillId="9" borderId="44" xfId="0" applyFont="1" applyFill="1" applyBorder="1" applyAlignment="1" applyProtection="1">
      <alignment horizontal="center" vertical="center"/>
    </xf>
    <xf numFmtId="0" fontId="2" fillId="9" borderId="70" xfId="0" applyFont="1" applyFill="1" applyBorder="1" applyAlignment="1" applyProtection="1">
      <alignment horizontal="center" vertical="center"/>
    </xf>
    <xf numFmtId="0" fontId="2" fillId="9" borderId="83" xfId="0" applyFont="1" applyFill="1" applyBorder="1" applyAlignment="1" applyProtection="1">
      <alignment horizontal="center" vertical="center"/>
    </xf>
    <xf numFmtId="0" fontId="2" fillId="9" borderId="25" xfId="0" applyFont="1" applyFill="1" applyBorder="1" applyAlignment="1" applyProtection="1">
      <alignment horizontal="center" vertical="center"/>
    </xf>
    <xf numFmtId="0" fontId="4" fillId="2" borderId="36" xfId="0" applyFont="1" applyFill="1" applyBorder="1" applyAlignment="1" applyProtection="1">
      <alignment horizontal="center" wrapText="1"/>
    </xf>
    <xf numFmtId="0" fontId="13" fillId="3" borderId="0" xfId="0" applyFont="1" applyFill="1" applyAlignment="1" applyProtection="1">
      <alignment horizontal="left" vertical="center"/>
    </xf>
    <xf numFmtId="0" fontId="38" fillId="2" borderId="0" xfId="0" applyFont="1" applyFill="1" applyAlignment="1" applyProtection="1">
      <alignment horizontal="left" vertical="center"/>
    </xf>
    <xf numFmtId="0" fontId="3" fillId="13" borderId="0" xfId="0" applyNumberFormat="1" applyFont="1" applyFill="1" applyBorder="1" applyAlignment="1" applyProtection="1">
      <alignment vertical="top"/>
    </xf>
    <xf numFmtId="0" fontId="10" fillId="13" borderId="83" xfId="0" applyNumberFormat="1" applyFont="1" applyFill="1" applyBorder="1" applyAlignment="1" applyProtection="1">
      <alignment vertical="top" wrapText="1"/>
    </xf>
    <xf numFmtId="170" fontId="3" fillId="6" borderId="12" xfId="0" applyNumberFormat="1" applyFont="1" applyFill="1" applyBorder="1" applyAlignment="1" applyProtection="1">
      <alignment vertical="top"/>
    </xf>
    <xf numFmtId="0" fontId="3" fillId="13" borderId="44" xfId="0" applyNumberFormat="1" applyFont="1" applyFill="1" applyBorder="1" applyAlignment="1" applyProtection="1">
      <alignment horizontal="right" vertical="top"/>
    </xf>
    <xf numFmtId="10" fontId="3" fillId="2" borderId="12" xfId="0" applyNumberFormat="1" applyFont="1" applyFill="1" applyBorder="1" applyAlignment="1" applyProtection="1">
      <alignment vertical="top"/>
    </xf>
    <xf numFmtId="170" fontId="3" fillId="19" borderId="12" xfId="0" applyNumberFormat="1" applyFont="1" applyFill="1" applyBorder="1" applyAlignment="1" applyProtection="1">
      <alignment vertical="top"/>
    </xf>
    <xf numFmtId="0" fontId="13" fillId="3" borderId="0" xfId="0" applyFont="1" applyFill="1" applyBorder="1" applyAlignment="1" applyProtection="1">
      <alignment horizontal="left" vertical="center"/>
    </xf>
    <xf numFmtId="0" fontId="19" fillId="0" borderId="83" xfId="0" applyFont="1" applyBorder="1" applyAlignment="1" applyProtection="1">
      <alignment vertical="top" wrapText="1"/>
    </xf>
    <xf numFmtId="0" fontId="43" fillId="2" borderId="18" xfId="0" applyFont="1" applyFill="1" applyBorder="1" applyAlignment="1" applyProtection="1">
      <alignment horizontal="center"/>
    </xf>
    <xf numFmtId="0" fontId="43" fillId="13" borderId="18" xfId="0" applyFont="1" applyFill="1" applyBorder="1" applyProtection="1"/>
    <xf numFmtId="4" fontId="43" fillId="13" borderId="18" xfId="0" applyNumberFormat="1" applyFont="1" applyFill="1" applyBorder="1" applyAlignment="1" applyProtection="1">
      <alignment horizontal="center"/>
    </xf>
    <xf numFmtId="0" fontId="43" fillId="13" borderId="18" xfId="0" applyFont="1" applyFill="1" applyBorder="1" applyAlignment="1" applyProtection="1">
      <alignment horizontal="center"/>
    </xf>
    <xf numFmtId="0" fontId="43" fillId="16" borderId="18" xfId="0" applyFont="1" applyFill="1" applyBorder="1" applyAlignment="1" applyProtection="1">
      <alignment horizontal="center"/>
    </xf>
    <xf numFmtId="3" fontId="43" fillId="13" borderId="18" xfId="0" applyNumberFormat="1" applyFont="1" applyFill="1" applyBorder="1" applyAlignment="1" applyProtection="1">
      <alignment horizontal="center"/>
    </xf>
    <xf numFmtId="0" fontId="29" fillId="9" borderId="0" xfId="0" applyFont="1" applyFill="1" applyAlignment="1" applyProtection="1">
      <alignment horizontal="center" vertical="center"/>
    </xf>
    <xf numFmtId="0" fontId="29" fillId="6" borderId="87" xfId="0" applyFont="1" applyFill="1" applyBorder="1" applyAlignment="1" applyProtection="1">
      <alignment horizontal="left" vertical="center"/>
    </xf>
    <xf numFmtId="0" fontId="29" fillId="6" borderId="88" xfId="0" applyFont="1" applyFill="1" applyBorder="1" applyAlignment="1" applyProtection="1">
      <alignment horizontal="left" vertical="center"/>
    </xf>
    <xf numFmtId="0" fontId="29" fillId="6" borderId="89" xfId="0" applyFont="1" applyFill="1" applyBorder="1" applyAlignment="1" applyProtection="1">
      <alignment horizontal="left" vertical="center"/>
    </xf>
    <xf numFmtId="166" fontId="29" fillId="6" borderId="90" xfId="0" applyNumberFormat="1" applyFont="1" applyFill="1" applyBorder="1" applyAlignment="1" applyProtection="1">
      <alignment horizontal="center" vertical="center"/>
    </xf>
    <xf numFmtId="166" fontId="29" fillId="6" borderId="91" xfId="0" applyNumberFormat="1" applyFont="1" applyFill="1" applyBorder="1" applyAlignment="1" applyProtection="1">
      <alignment horizontal="center" vertical="center"/>
    </xf>
    <xf numFmtId="166" fontId="29" fillId="6" borderId="92" xfId="0" applyNumberFormat="1" applyFont="1" applyFill="1" applyBorder="1" applyAlignment="1" applyProtection="1">
      <alignment horizontal="center" vertical="center"/>
    </xf>
    <xf numFmtId="166" fontId="29" fillId="6" borderId="93" xfId="0" applyNumberFormat="1" applyFont="1" applyFill="1" applyBorder="1" applyAlignment="1" applyProtection="1">
      <alignment horizontal="center" vertical="center"/>
    </xf>
    <xf numFmtId="166" fontId="29" fillId="6" borderId="94" xfId="0" applyNumberFormat="1" applyFont="1" applyFill="1" applyBorder="1" applyAlignment="1" applyProtection="1">
      <alignment horizontal="center" vertical="center"/>
    </xf>
    <xf numFmtId="0" fontId="29" fillId="6" borderId="38" xfId="0" applyNumberFormat="1" applyFont="1" applyFill="1" applyBorder="1" applyAlignment="1" applyProtection="1">
      <alignment vertical="center"/>
    </xf>
    <xf numFmtId="0" fontId="29" fillId="6" borderId="39" xfId="0" applyNumberFormat="1" applyFont="1" applyFill="1" applyBorder="1" applyAlignment="1" applyProtection="1">
      <alignment vertical="center"/>
    </xf>
    <xf numFmtId="0" fontId="31" fillId="2" borderId="87" xfId="0" applyFont="1" applyFill="1" applyBorder="1" applyAlignment="1" applyProtection="1">
      <alignment horizontal="center" vertical="center" wrapText="1"/>
    </xf>
    <xf numFmtId="0" fontId="31" fillId="2" borderId="89" xfId="0" applyFont="1" applyFill="1" applyBorder="1" applyAlignment="1" applyProtection="1">
      <alignment horizontal="center" vertical="center" wrapText="1"/>
    </xf>
    <xf numFmtId="165" fontId="29" fillId="6" borderId="90" xfId="0" applyNumberFormat="1" applyFont="1" applyFill="1" applyBorder="1" applyAlignment="1" applyProtection="1">
      <alignment horizontal="center" vertical="center"/>
    </xf>
    <xf numFmtId="168" fontId="29" fillId="6" borderId="91" xfId="0" applyNumberFormat="1" applyFont="1" applyFill="1" applyBorder="1" applyAlignment="1" applyProtection="1">
      <alignment horizontal="center" vertical="center"/>
    </xf>
    <xf numFmtId="165" fontId="29" fillId="6" borderId="92" xfId="0" applyNumberFormat="1" applyFont="1" applyFill="1" applyBorder="1" applyAlignment="1" applyProtection="1">
      <alignment horizontal="center" vertical="center"/>
    </xf>
    <xf numFmtId="168" fontId="29" fillId="6" borderId="94" xfId="0" applyNumberFormat="1" applyFont="1" applyFill="1" applyBorder="1" applyAlignment="1" applyProtection="1">
      <alignment horizontal="center" vertical="center"/>
    </xf>
    <xf numFmtId="168" fontId="29" fillId="6" borderId="90" xfId="0" applyNumberFormat="1" applyFont="1" applyFill="1" applyBorder="1" applyAlignment="1" applyProtection="1">
      <alignment horizontal="center" vertical="center"/>
    </xf>
    <xf numFmtId="168" fontId="29" fillId="6" borderId="92" xfId="0" applyNumberFormat="1" applyFont="1" applyFill="1" applyBorder="1" applyAlignment="1" applyProtection="1">
      <alignment horizontal="center" vertical="center"/>
    </xf>
    <xf numFmtId="0" fontId="29" fillId="9" borderId="87" xfId="0" applyFont="1" applyFill="1" applyBorder="1" applyAlignment="1" applyProtection="1">
      <alignment vertical="center"/>
    </xf>
    <xf numFmtId="0" fontId="29" fillId="9" borderId="88" xfId="0" applyFont="1" applyFill="1" applyBorder="1" applyAlignment="1" applyProtection="1">
      <alignment vertical="center"/>
    </xf>
    <xf numFmtId="0" fontId="29" fillId="9" borderId="89" xfId="0" applyFont="1" applyFill="1" applyBorder="1" applyAlignment="1" applyProtection="1">
      <alignment vertical="center"/>
    </xf>
    <xf numFmtId="0" fontId="29" fillId="9" borderId="90" xfId="0" applyFont="1" applyFill="1" applyBorder="1" applyAlignment="1" applyProtection="1">
      <alignment horizontal="center" vertical="center"/>
    </xf>
    <xf numFmtId="0" fontId="29" fillId="9" borderId="91" xfId="0" applyFont="1" applyFill="1" applyBorder="1" applyAlignment="1" applyProtection="1">
      <alignment horizontal="center" vertical="center"/>
    </xf>
    <xf numFmtId="0" fontId="29" fillId="9" borderId="92" xfId="0" applyFont="1" applyFill="1" applyBorder="1" applyAlignment="1" applyProtection="1">
      <alignment horizontal="center" vertical="center"/>
    </xf>
    <xf numFmtId="0" fontId="29" fillId="9" borderId="93" xfId="0" applyFont="1" applyFill="1" applyBorder="1" applyAlignment="1" applyProtection="1">
      <alignment horizontal="center" vertical="center"/>
    </xf>
    <xf numFmtId="0" fontId="29" fillId="9" borderId="94" xfId="0" applyFont="1" applyFill="1" applyBorder="1" applyAlignment="1" applyProtection="1">
      <alignment horizontal="center" vertical="center"/>
    </xf>
    <xf numFmtId="0" fontId="10" fillId="13" borderId="0" xfId="0" applyNumberFormat="1" applyFont="1" applyFill="1" applyBorder="1" applyAlignment="1" applyProtection="1">
      <alignment vertical="top" wrapText="1"/>
    </xf>
    <xf numFmtId="0" fontId="3" fillId="13" borderId="12" xfId="0" applyNumberFormat="1" applyFont="1" applyFill="1" applyBorder="1" applyAlignment="1" applyProtection="1">
      <alignment horizontal="center" vertical="top"/>
    </xf>
    <xf numFmtId="0" fontId="10" fillId="13" borderId="44" xfId="0" applyNumberFormat="1" applyFont="1" applyFill="1" applyBorder="1" applyAlignment="1" applyProtection="1">
      <alignment horizontal="center"/>
    </xf>
    <xf numFmtId="0" fontId="10" fillId="2" borderId="18" xfId="0" applyNumberFormat="1" applyFont="1" applyFill="1" applyBorder="1" applyAlignment="1" applyProtection="1">
      <alignment horizontal="center" wrapText="1"/>
    </xf>
    <xf numFmtId="0" fontId="2" fillId="2" borderId="6" xfId="0" applyFont="1" applyFill="1" applyBorder="1" applyAlignment="1" applyProtection="1"/>
    <xf numFmtId="0" fontId="10" fillId="13" borderId="25" xfId="0" applyNumberFormat="1" applyFont="1" applyFill="1" applyBorder="1" applyAlignment="1" applyProtection="1">
      <alignment horizontal="center"/>
    </xf>
    <xf numFmtId="0" fontId="10" fillId="13" borderId="14" xfId="0" applyNumberFormat="1" applyFont="1" applyFill="1" applyBorder="1" applyAlignment="1" applyProtection="1">
      <alignment horizontal="center"/>
    </xf>
    <xf numFmtId="0" fontId="19" fillId="2" borderId="16" xfId="0" applyFont="1" applyFill="1" applyBorder="1" applyAlignment="1" applyProtection="1">
      <alignment vertical="top" wrapText="1"/>
    </xf>
    <xf numFmtId="170" fontId="3" fillId="4" borderId="12" xfId="0" applyNumberFormat="1" applyFont="1" applyFill="1" applyBorder="1" applyAlignment="1" applyProtection="1">
      <alignment vertical="top"/>
      <protection locked="0"/>
    </xf>
    <xf numFmtId="10" fontId="3" fillId="4" borderId="12" xfId="0" applyNumberFormat="1" applyFont="1" applyFill="1" applyBorder="1" applyAlignment="1" applyProtection="1">
      <alignment vertical="top"/>
      <protection locked="0"/>
    </xf>
    <xf numFmtId="0" fontId="19" fillId="24" borderId="0" xfId="0" applyFont="1" applyFill="1" applyAlignment="1" applyProtection="1"/>
    <xf numFmtId="10" fontId="3" fillId="19" borderId="12" xfId="2" applyNumberFormat="1" applyFont="1" applyFill="1" applyBorder="1" applyAlignment="1" applyProtection="1">
      <alignment horizontal="center" vertical="top"/>
    </xf>
    <xf numFmtId="0" fontId="2" fillId="9" borderId="70" xfId="0" applyFont="1" applyFill="1" applyBorder="1" applyAlignment="1" applyProtection="1">
      <alignment horizontal="center" wrapText="1"/>
    </xf>
    <xf numFmtId="0" fontId="4" fillId="9" borderId="12" xfId="0" applyFont="1" applyFill="1" applyBorder="1" applyAlignment="1" applyProtection="1">
      <alignment horizontal="right" vertical="center"/>
    </xf>
    <xf numFmtId="0" fontId="2" fillId="9" borderId="12" xfId="0" applyFont="1" applyFill="1" applyBorder="1" applyAlignment="1" applyProtection="1">
      <alignment horizontal="right" vertical="center"/>
    </xf>
    <xf numFmtId="14" fontId="7" fillId="2" borderId="0" xfId="0" applyNumberFormat="1" applyFont="1" applyFill="1" applyAlignment="1" applyProtection="1">
      <alignment vertical="center"/>
    </xf>
    <xf numFmtId="0" fontId="3" fillId="9" borderId="0" xfId="0" applyFont="1" applyFill="1" applyAlignment="1" applyProtection="1">
      <alignment horizontal="right"/>
    </xf>
    <xf numFmtId="0" fontId="3" fillId="9" borderId="13" xfId="0" applyFont="1" applyFill="1" applyBorder="1" applyProtection="1"/>
    <xf numFmtId="0" fontId="4" fillId="9" borderId="0" xfId="0" applyFont="1" applyFill="1" applyProtection="1"/>
    <xf numFmtId="0" fontId="4" fillId="9" borderId="12" xfId="0" applyFont="1" applyFill="1" applyBorder="1" applyProtection="1"/>
    <xf numFmtId="0" fontId="4" fillId="9" borderId="12" xfId="0" applyFont="1" applyFill="1" applyBorder="1" applyAlignment="1" applyProtection="1">
      <alignment horizontal="center"/>
    </xf>
    <xf numFmtId="0" fontId="4" fillId="9" borderId="12" xfId="0" applyFont="1" applyFill="1" applyBorder="1" applyAlignment="1" applyProtection="1">
      <alignment horizontal="left"/>
    </xf>
    <xf numFmtId="0" fontId="2" fillId="9" borderId="12" xfId="0" applyFont="1" applyFill="1" applyBorder="1" applyAlignment="1" applyProtection="1">
      <alignment horizontal="center"/>
    </xf>
    <xf numFmtId="0" fontId="2" fillId="9" borderId="12" xfId="0" applyFont="1" applyFill="1" applyBorder="1" applyAlignment="1" applyProtection="1">
      <alignment horizontal="left"/>
    </xf>
    <xf numFmtId="0" fontId="2" fillId="9" borderId="0" xfId="0" applyFont="1" applyFill="1" applyAlignment="1" applyProtection="1">
      <alignment horizontal="right"/>
    </xf>
    <xf numFmtId="0" fontId="3" fillId="9" borderId="12" xfId="0" applyFont="1" applyFill="1" applyBorder="1" applyProtection="1"/>
    <xf numFmtId="0" fontId="4" fillId="2" borderId="18" xfId="0" applyFont="1" applyFill="1" applyBorder="1" applyAlignment="1" applyProtection="1">
      <alignment horizontal="center" vertical="center" wrapText="1"/>
    </xf>
    <xf numFmtId="14" fontId="2" fillId="6" borderId="12" xfId="0" applyNumberFormat="1" applyFont="1" applyFill="1" applyBorder="1" applyAlignment="1" applyProtection="1">
      <alignment horizontal="center" vertical="center"/>
    </xf>
    <xf numFmtId="0" fontId="7" fillId="9" borderId="0" xfId="0" applyFont="1" applyFill="1" applyAlignment="1" applyProtection="1"/>
    <xf numFmtId="0" fontId="4" fillId="2" borderId="14" xfId="0" applyFont="1" applyFill="1" applyBorder="1" applyAlignment="1" applyProtection="1">
      <alignment horizontal="center" vertical="center"/>
    </xf>
    <xf numFmtId="0" fontId="18" fillId="8" borderId="7" xfId="0" applyFont="1" applyFill="1" applyBorder="1" applyAlignment="1" applyProtection="1">
      <alignment vertical="top" wrapText="1"/>
    </xf>
    <xf numFmtId="0" fontId="2" fillId="5" borderId="12" xfId="0" applyFont="1" applyFill="1" applyBorder="1" applyAlignment="1" applyProtection="1">
      <alignment horizontal="center" vertical="center"/>
      <protection locked="0"/>
    </xf>
    <xf numFmtId="3" fontId="2" fillId="6" borderId="12" xfId="0" applyNumberFormat="1" applyFont="1" applyFill="1" applyBorder="1" applyAlignment="1" applyProtection="1">
      <alignment vertical="center"/>
    </xf>
    <xf numFmtId="165" fontId="29" fillId="6" borderId="102" xfId="0" applyNumberFormat="1" applyFont="1" applyFill="1" applyBorder="1" applyAlignment="1" applyProtection="1">
      <alignment horizontal="center" vertical="center"/>
    </xf>
    <xf numFmtId="168" fontId="29" fillId="6" borderId="103" xfId="0" applyNumberFormat="1" applyFont="1" applyFill="1" applyBorder="1" applyAlignment="1" applyProtection="1">
      <alignment horizontal="center" vertical="center"/>
    </xf>
    <xf numFmtId="168" fontId="29" fillId="6" borderId="102" xfId="0" applyNumberFormat="1" applyFont="1" applyFill="1" applyBorder="1" applyAlignment="1" applyProtection="1">
      <alignment horizontal="center" vertical="center"/>
    </xf>
    <xf numFmtId="165" fontId="29" fillId="6" borderId="87" xfId="0" applyNumberFormat="1" applyFont="1" applyFill="1" applyBorder="1" applyAlignment="1" applyProtection="1">
      <alignment horizontal="center" vertical="center"/>
    </xf>
    <xf numFmtId="168" fontId="29" fillId="6" borderId="89" xfId="0" applyNumberFormat="1" applyFont="1" applyFill="1" applyBorder="1" applyAlignment="1" applyProtection="1">
      <alignment horizontal="center" vertical="center"/>
    </xf>
    <xf numFmtId="168" fontId="29" fillId="6" borderId="87" xfId="0" applyNumberFormat="1" applyFont="1" applyFill="1" applyBorder="1" applyAlignment="1" applyProtection="1">
      <alignment horizontal="center" vertical="center"/>
    </xf>
    <xf numFmtId="0" fontId="29" fillId="6" borderId="104" xfId="0" applyNumberFormat="1" applyFont="1" applyFill="1" applyBorder="1" applyAlignment="1" applyProtection="1">
      <alignment vertical="center"/>
    </xf>
    <xf numFmtId="166" fontId="29" fillId="6" borderId="102" xfId="0" applyNumberFormat="1" applyFont="1" applyFill="1" applyBorder="1" applyAlignment="1" applyProtection="1">
      <alignment horizontal="center" vertical="center"/>
    </xf>
    <xf numFmtId="166" fontId="29" fillId="6" borderId="67" xfId="0" applyNumberFormat="1" applyFont="1" applyFill="1" applyBorder="1" applyAlignment="1" applyProtection="1">
      <alignment horizontal="center" vertical="center"/>
    </xf>
    <xf numFmtId="166" fontId="29" fillId="6" borderId="103" xfId="0" applyNumberFormat="1" applyFont="1" applyFill="1" applyBorder="1" applyAlignment="1" applyProtection="1">
      <alignment horizontal="center" vertical="center"/>
    </xf>
    <xf numFmtId="0" fontId="29" fillId="6" borderId="37" xfId="0" applyNumberFormat="1" applyFont="1" applyFill="1" applyBorder="1" applyAlignment="1" applyProtection="1">
      <alignment vertical="center"/>
    </xf>
    <xf numFmtId="166" fontId="29" fillId="6" borderId="87" xfId="0" applyNumberFormat="1" applyFont="1" applyFill="1" applyBorder="1" applyAlignment="1" applyProtection="1">
      <alignment horizontal="center" vertical="center"/>
    </xf>
    <xf numFmtId="166" fontId="29" fillId="6" borderId="88" xfId="0" applyNumberFormat="1" applyFont="1" applyFill="1" applyBorder="1" applyAlignment="1" applyProtection="1">
      <alignment horizontal="center" vertical="center"/>
    </xf>
    <xf numFmtId="166" fontId="29" fillId="6" borderId="89" xfId="0" applyNumberFormat="1" applyFont="1" applyFill="1" applyBorder="1" applyAlignment="1" applyProtection="1">
      <alignment horizontal="center" vertical="center"/>
    </xf>
    <xf numFmtId="0" fontId="37" fillId="8" borderId="0" xfId="0" applyFont="1" applyFill="1" applyBorder="1" applyAlignment="1" applyProtection="1">
      <alignment vertical="center"/>
    </xf>
    <xf numFmtId="0" fontId="53" fillId="13" borderId="0" xfId="0" applyFont="1" applyFill="1" applyBorder="1" applyAlignment="1" applyProtection="1">
      <alignment horizontal="right" vertical="center"/>
    </xf>
    <xf numFmtId="0" fontId="52" fillId="6" borderId="18" xfId="0" applyFont="1" applyFill="1" applyBorder="1" applyAlignment="1" applyProtection="1">
      <alignment horizontal="center" vertical="center" wrapText="1"/>
    </xf>
    <xf numFmtId="0" fontId="49" fillId="2" borderId="69" xfId="0" applyFont="1" applyFill="1" applyBorder="1" applyAlignment="1" applyProtection="1">
      <alignment horizontal="right" vertical="center"/>
    </xf>
    <xf numFmtId="0" fontId="9" fillId="6" borderId="19" xfId="0" applyFont="1" applyFill="1" applyBorder="1" applyAlignment="1" applyProtection="1">
      <alignment vertical="center"/>
    </xf>
    <xf numFmtId="0" fontId="49" fillId="2" borderId="44" xfId="0" applyFont="1" applyFill="1" applyBorder="1" applyAlignment="1" applyProtection="1">
      <alignment horizontal="right" vertical="center"/>
    </xf>
    <xf numFmtId="0" fontId="9" fillId="6" borderId="21" xfId="0" applyFont="1" applyFill="1" applyBorder="1" applyAlignment="1" applyProtection="1">
      <alignment vertical="center"/>
    </xf>
    <xf numFmtId="0" fontId="49" fillId="2" borderId="25" xfId="0" applyFont="1" applyFill="1" applyBorder="1" applyAlignment="1" applyProtection="1">
      <alignment horizontal="right" vertical="center"/>
    </xf>
    <xf numFmtId="0" fontId="9" fillId="6" borderId="95" xfId="0" applyFont="1" applyFill="1" applyBorder="1" applyAlignment="1" applyProtection="1">
      <alignment vertical="center"/>
    </xf>
    <xf numFmtId="0" fontId="9" fillId="6" borderId="32" xfId="0" applyFont="1" applyFill="1" applyBorder="1" applyAlignment="1" applyProtection="1">
      <alignment vertical="center"/>
    </xf>
    <xf numFmtId="0" fontId="9" fillId="6" borderId="33" xfId="0" applyFont="1" applyFill="1" applyBorder="1" applyAlignment="1" applyProtection="1">
      <alignment vertical="center"/>
    </xf>
    <xf numFmtId="0" fontId="9" fillId="6" borderId="34" xfId="0" applyFont="1" applyFill="1" applyBorder="1" applyAlignment="1" applyProtection="1">
      <alignment vertical="center"/>
    </xf>
    <xf numFmtId="0" fontId="37" fillId="2" borderId="26" xfId="0" applyFont="1" applyFill="1" applyBorder="1" applyAlignment="1" applyProtection="1">
      <alignment vertical="top" wrapText="1"/>
    </xf>
    <xf numFmtId="0" fontId="37" fillId="2" borderId="21" xfId="0" applyFont="1" applyFill="1" applyBorder="1" applyAlignment="1" applyProtection="1">
      <alignment horizontal="center" vertical="top" wrapText="1"/>
    </xf>
    <xf numFmtId="0" fontId="37" fillId="2" borderId="47" xfId="0" applyFont="1" applyFill="1" applyBorder="1" applyAlignment="1" applyProtection="1">
      <alignment vertical="top" wrapText="1"/>
    </xf>
    <xf numFmtId="0" fontId="37" fillId="2" borderId="47" xfId="0" applyFont="1" applyFill="1" applyBorder="1" applyAlignment="1" applyProtection="1">
      <alignment horizontal="center" vertical="top" wrapText="1"/>
    </xf>
    <xf numFmtId="0" fontId="37" fillId="2" borderId="26" xfId="0" applyFont="1" applyFill="1" applyBorder="1" applyAlignment="1" applyProtection="1">
      <alignment horizontal="center" vertical="top" wrapText="1"/>
    </xf>
    <xf numFmtId="0" fontId="35" fillId="2" borderId="0" xfId="0" applyFont="1" applyFill="1" applyBorder="1" applyAlignment="1" applyProtection="1">
      <alignment horizontal="right" vertical="center"/>
    </xf>
    <xf numFmtId="0" fontId="4" fillId="2" borderId="36" xfId="0" applyFont="1" applyFill="1" applyBorder="1" applyAlignment="1" applyProtection="1">
      <alignment wrapText="1"/>
    </xf>
    <xf numFmtId="0" fontId="2" fillId="6" borderId="20" xfId="0" applyFont="1" applyFill="1" applyBorder="1" applyAlignment="1" applyProtection="1">
      <alignment vertical="center"/>
    </xf>
    <xf numFmtId="0" fontId="2" fillId="6" borderId="22" xfId="0" applyFont="1" applyFill="1" applyBorder="1" applyAlignment="1" applyProtection="1">
      <alignment vertical="center"/>
    </xf>
    <xf numFmtId="0" fontId="2" fillId="6" borderId="24" xfId="0" applyFont="1" applyFill="1" applyBorder="1" applyAlignment="1" applyProtection="1">
      <alignment vertical="center"/>
    </xf>
    <xf numFmtId="0" fontId="4" fillId="2" borderId="44" xfId="0" applyFont="1" applyFill="1" applyBorder="1" applyAlignment="1" applyProtection="1">
      <alignment wrapText="1"/>
    </xf>
    <xf numFmtId="0" fontId="2" fillId="6" borderId="46" xfId="0" applyFont="1" applyFill="1" applyBorder="1" applyAlignment="1" applyProtection="1">
      <alignment vertical="center"/>
    </xf>
    <xf numFmtId="0" fontId="2" fillId="6" borderId="43" xfId="0" applyFont="1" applyFill="1" applyBorder="1" applyAlignment="1" applyProtection="1">
      <alignment vertical="center"/>
    </xf>
    <xf numFmtId="0" fontId="4" fillId="2" borderId="25" xfId="0" applyFont="1" applyFill="1" applyBorder="1" applyAlignment="1" applyProtection="1">
      <alignment wrapText="1"/>
    </xf>
    <xf numFmtId="0" fontId="2" fillId="9" borderId="7"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7" xfId="0" applyFont="1" applyFill="1" applyBorder="1" applyAlignment="1" applyProtection="1">
      <alignment wrapText="1"/>
    </xf>
    <xf numFmtId="0" fontId="2" fillId="2" borderId="7" xfId="0" applyFont="1" applyFill="1" applyBorder="1" applyAlignment="1" applyProtection="1"/>
    <xf numFmtId="0" fontId="2" fillId="2" borderId="7" xfId="0" applyFont="1" applyFill="1" applyBorder="1" applyAlignment="1" applyProtection="1">
      <alignment vertical="center" wrapText="1"/>
    </xf>
    <xf numFmtId="0" fontId="13" fillId="3" borderId="0" xfId="0" applyFont="1" applyFill="1" applyAlignment="1" applyProtection="1">
      <alignment horizontal="left" vertical="top"/>
    </xf>
    <xf numFmtId="0" fontId="2" fillId="2" borderId="12" xfId="0" applyFont="1" applyFill="1" applyBorder="1" applyAlignment="1" applyProtection="1">
      <alignment vertical="top"/>
    </xf>
    <xf numFmtId="0" fontId="2" fillId="26" borderId="12" xfId="0" applyFont="1" applyFill="1" applyBorder="1" applyAlignment="1" applyProtection="1">
      <alignment vertical="top"/>
    </xf>
    <xf numFmtId="0" fontId="2" fillId="10" borderId="12" xfId="0" applyFont="1" applyFill="1" applyBorder="1" applyAlignment="1" applyProtection="1">
      <alignment vertical="top"/>
    </xf>
    <xf numFmtId="0" fontId="4" fillId="9" borderId="0" xfId="0" applyFont="1" applyFill="1" applyBorder="1" applyAlignment="1" applyProtection="1">
      <alignment horizontal="center" vertical="center"/>
    </xf>
    <xf numFmtId="0" fontId="2" fillId="9" borderId="68" xfId="0" applyFont="1" applyFill="1" applyBorder="1" applyAlignment="1" applyProtection="1">
      <alignment vertical="center"/>
    </xf>
    <xf numFmtId="0" fontId="2" fillId="9" borderId="42" xfId="0" applyFont="1" applyFill="1" applyBorder="1" applyAlignment="1" applyProtection="1">
      <alignment vertical="center"/>
    </xf>
    <xf numFmtId="0" fontId="2" fillId="9" borderId="70" xfId="0" applyFont="1" applyFill="1" applyBorder="1" applyAlignment="1" applyProtection="1">
      <alignment vertical="center"/>
    </xf>
    <xf numFmtId="0" fontId="2" fillId="9" borderId="83" xfId="0" applyFont="1" applyFill="1" applyBorder="1" applyAlignment="1" applyProtection="1">
      <alignment vertical="center"/>
    </xf>
    <xf numFmtId="0" fontId="37" fillId="2" borderId="0" xfId="0" applyFont="1" applyFill="1" applyBorder="1" applyAlignment="1" applyProtection="1">
      <alignment vertical="top" wrapText="1"/>
    </xf>
    <xf numFmtId="0" fontId="37" fillId="2" borderId="0" xfId="0" applyFont="1" applyFill="1" applyBorder="1" applyAlignment="1" applyProtection="1">
      <alignment horizontal="center" vertical="top" wrapText="1"/>
    </xf>
    <xf numFmtId="0" fontId="55" fillId="2" borderId="47" xfId="0" applyFont="1" applyFill="1" applyBorder="1" applyAlignment="1" applyProtection="1">
      <alignment horizontal="center" wrapText="1"/>
    </xf>
    <xf numFmtId="0" fontId="36" fillId="2" borderId="26" xfId="0" applyFont="1" applyFill="1" applyBorder="1" applyAlignment="1" applyProtection="1">
      <alignment vertical="top" wrapText="1"/>
    </xf>
    <xf numFmtId="0" fontId="2" fillId="4" borderId="20" xfId="0" applyFont="1" applyFill="1" applyBorder="1" applyAlignment="1" applyProtection="1">
      <alignment vertical="center"/>
      <protection locked="0"/>
    </xf>
    <xf numFmtId="10" fontId="2" fillId="4" borderId="20" xfId="0" applyNumberFormat="1"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50" fillId="0" borderId="0" xfId="0" applyFont="1" applyProtection="1"/>
    <xf numFmtId="0" fontId="51" fillId="0" borderId="0" xfId="0" applyFont="1" applyProtection="1"/>
    <xf numFmtId="0" fontId="55" fillId="2" borderId="26" xfId="0" applyFont="1" applyFill="1" applyBorder="1" applyAlignment="1" applyProtection="1">
      <alignment horizontal="center" wrapText="1"/>
    </xf>
    <xf numFmtId="0" fontId="36" fillId="2" borderId="47" xfId="0" applyFont="1" applyFill="1" applyBorder="1" applyAlignment="1" applyProtection="1">
      <alignment vertical="top" wrapText="1"/>
    </xf>
    <xf numFmtId="0" fontId="8" fillId="2" borderId="70" xfId="0" applyFont="1" applyFill="1" applyBorder="1" applyAlignment="1" applyProtection="1">
      <alignment horizontal="left" wrapText="1"/>
    </xf>
    <xf numFmtId="0" fontId="8" fillId="2" borderId="18" xfId="0" applyFont="1" applyFill="1" applyBorder="1" applyAlignment="1" applyProtection="1">
      <alignment wrapText="1"/>
    </xf>
    <xf numFmtId="0" fontId="8" fillId="2" borderId="18" xfId="0" applyFont="1" applyFill="1" applyBorder="1" applyAlignment="1" applyProtection="1">
      <alignment horizontal="left" wrapText="1"/>
    </xf>
    <xf numFmtId="0" fontId="8" fillId="2" borderId="18" xfId="0" applyFont="1" applyFill="1" applyBorder="1" applyAlignment="1" applyProtection="1">
      <alignment horizontal="center" wrapText="1"/>
    </xf>
    <xf numFmtId="0" fontId="2" fillId="6" borderId="46" xfId="0" applyFont="1" applyFill="1" applyBorder="1" applyAlignment="1" applyProtection="1">
      <alignment vertical="center" shrinkToFit="1"/>
    </xf>
    <xf numFmtId="0" fontId="2" fillId="6" borderId="46" xfId="0" applyFont="1" applyFill="1" applyBorder="1" applyAlignment="1" applyProtection="1">
      <alignment horizontal="center" vertical="center"/>
    </xf>
    <xf numFmtId="165" fontId="2" fillId="6" borderId="46" xfId="0" applyNumberFormat="1" applyFont="1" applyFill="1" applyBorder="1" applyAlignment="1" applyProtection="1">
      <alignment horizontal="center" vertical="center"/>
    </xf>
    <xf numFmtId="165" fontId="2" fillId="6" borderId="32" xfId="0" applyNumberFormat="1" applyFont="1" applyFill="1" applyBorder="1" applyAlignment="1" applyProtection="1">
      <alignment horizontal="center" vertical="center"/>
    </xf>
    <xf numFmtId="2" fontId="2" fillId="6" borderId="32" xfId="0" applyNumberFormat="1" applyFont="1" applyFill="1" applyBorder="1" applyAlignment="1" applyProtection="1">
      <alignment horizontal="center" vertical="center"/>
    </xf>
    <xf numFmtId="2" fontId="2" fillId="4" borderId="32" xfId="0" applyNumberFormat="1" applyFont="1" applyFill="1" applyBorder="1" applyAlignment="1" applyProtection="1">
      <alignment horizontal="center" vertical="center"/>
      <protection locked="0"/>
    </xf>
    <xf numFmtId="0" fontId="7" fillId="5" borderId="20" xfId="0" applyFont="1" applyFill="1" applyBorder="1" applyAlignment="1" applyProtection="1">
      <alignment horizontal="left" vertical="center"/>
      <protection locked="0"/>
    </xf>
    <xf numFmtId="0" fontId="7" fillId="6" borderId="20" xfId="0" applyFont="1" applyFill="1" applyBorder="1" applyAlignment="1" applyProtection="1">
      <alignment vertical="center"/>
    </xf>
    <xf numFmtId="0" fontId="9" fillId="6" borderId="20" xfId="0" applyFont="1" applyFill="1" applyBorder="1" applyAlignment="1" applyProtection="1">
      <alignment horizontal="left" vertical="center"/>
    </xf>
    <xf numFmtId="0" fontId="7" fillId="5" borderId="20" xfId="0" applyFont="1" applyFill="1" applyBorder="1" applyAlignment="1" applyProtection="1">
      <alignment horizontal="center" vertical="center"/>
      <protection locked="0"/>
    </xf>
    <xf numFmtId="10" fontId="7" fillId="5" borderId="20" xfId="0" applyNumberFormat="1" applyFont="1" applyFill="1" applyBorder="1" applyAlignment="1" applyProtection="1">
      <alignment horizontal="center" vertical="center"/>
      <protection locked="0"/>
    </xf>
    <xf numFmtId="0" fontId="7" fillId="6" borderId="22" xfId="0" applyFont="1" applyFill="1" applyBorder="1" applyAlignment="1" applyProtection="1">
      <alignment vertical="center"/>
    </xf>
    <xf numFmtId="0" fontId="7" fillId="5" borderId="22" xfId="0" applyFont="1" applyFill="1" applyBorder="1" applyAlignment="1" applyProtection="1">
      <alignment horizontal="left" vertical="center"/>
      <protection locked="0"/>
    </xf>
    <xf numFmtId="0" fontId="7" fillId="5" borderId="22" xfId="0" applyFont="1" applyFill="1" applyBorder="1" applyAlignment="1" applyProtection="1">
      <alignment horizontal="center" vertical="center"/>
      <protection locked="0"/>
    </xf>
    <xf numFmtId="10" fontId="7" fillId="5" borderId="22" xfId="0" applyNumberFormat="1" applyFont="1" applyFill="1" applyBorder="1" applyAlignment="1" applyProtection="1">
      <alignment horizontal="center" vertical="center"/>
      <protection locked="0"/>
    </xf>
    <xf numFmtId="0" fontId="2" fillId="4" borderId="22" xfId="0" applyFont="1" applyFill="1" applyBorder="1" applyAlignment="1" applyProtection="1">
      <alignment vertical="center"/>
      <protection locked="0"/>
    </xf>
    <xf numFmtId="10" fontId="2" fillId="4" borderId="22" xfId="0" applyNumberFormat="1" applyFont="1" applyFill="1" applyBorder="1" applyAlignment="1" applyProtection="1">
      <alignment horizontal="center" vertical="center"/>
      <protection locked="0"/>
    </xf>
    <xf numFmtId="165" fontId="2" fillId="6" borderId="33" xfId="0" applyNumberFormat="1" applyFont="1" applyFill="1" applyBorder="1" applyAlignment="1" applyProtection="1">
      <alignment horizontal="center" vertical="center"/>
    </xf>
    <xf numFmtId="0" fontId="2" fillId="6" borderId="43" xfId="0" applyFont="1" applyFill="1" applyBorder="1" applyAlignment="1" applyProtection="1">
      <alignment horizontal="center" vertical="center"/>
    </xf>
    <xf numFmtId="0" fontId="2" fillId="4" borderId="22" xfId="0" applyFont="1" applyFill="1" applyBorder="1" applyAlignment="1" applyProtection="1">
      <alignment horizontal="center" vertical="center"/>
      <protection locked="0"/>
    </xf>
    <xf numFmtId="2" fontId="2" fillId="4" borderId="33" xfId="0" applyNumberFormat="1" applyFont="1" applyFill="1" applyBorder="1" applyAlignment="1" applyProtection="1">
      <alignment horizontal="center" vertical="center"/>
      <protection locked="0"/>
    </xf>
    <xf numFmtId="2" fontId="2" fillId="6" borderId="33" xfId="0" applyNumberFormat="1" applyFont="1" applyFill="1" applyBorder="1" applyAlignment="1" applyProtection="1">
      <alignment horizontal="center" vertical="center"/>
    </xf>
    <xf numFmtId="0" fontId="2" fillId="6" borderId="43" xfId="0" applyFont="1" applyFill="1" applyBorder="1" applyAlignment="1" applyProtection="1">
      <alignment vertical="center" shrinkToFit="1"/>
    </xf>
    <xf numFmtId="0" fontId="7" fillId="6" borderId="24" xfId="0" applyFont="1" applyFill="1" applyBorder="1" applyAlignment="1" applyProtection="1">
      <alignment vertical="center"/>
    </xf>
    <xf numFmtId="0" fontId="7" fillId="5" borderId="24" xfId="0" applyFont="1" applyFill="1" applyBorder="1" applyAlignment="1" applyProtection="1">
      <alignment horizontal="left" vertical="center"/>
      <protection locked="0"/>
    </xf>
    <xf numFmtId="0" fontId="7" fillId="5" borderId="24" xfId="0" applyFont="1" applyFill="1" applyBorder="1" applyAlignment="1" applyProtection="1">
      <alignment horizontal="center" vertical="center"/>
      <protection locked="0"/>
    </xf>
    <xf numFmtId="10" fontId="7" fillId="5" borderId="24" xfId="0" applyNumberFormat="1" applyFont="1" applyFill="1" applyBorder="1" applyAlignment="1" applyProtection="1">
      <alignment horizontal="center" vertical="center"/>
      <protection locked="0"/>
    </xf>
    <xf numFmtId="0" fontId="2" fillId="4" borderId="24" xfId="0" applyFont="1" applyFill="1" applyBorder="1" applyAlignment="1" applyProtection="1">
      <alignment vertical="center"/>
      <protection locked="0"/>
    </xf>
    <xf numFmtId="10" fontId="2" fillId="4" borderId="24" xfId="0" applyNumberFormat="1" applyFont="1" applyFill="1" applyBorder="1" applyAlignment="1" applyProtection="1">
      <alignment horizontal="center" vertical="center"/>
      <protection locked="0"/>
    </xf>
    <xf numFmtId="165" fontId="2" fillId="6" borderId="34" xfId="0" applyNumberFormat="1" applyFont="1" applyFill="1" applyBorder="1" applyAlignment="1" applyProtection="1">
      <alignment horizontal="center" vertical="center"/>
    </xf>
    <xf numFmtId="0" fontId="2" fillId="6" borderId="48" xfId="0" applyFont="1" applyFill="1" applyBorder="1" applyAlignment="1" applyProtection="1">
      <alignment horizontal="center" vertical="center"/>
    </xf>
    <xf numFmtId="0" fontId="2" fillId="4" borderId="24" xfId="0" applyFont="1" applyFill="1" applyBorder="1" applyAlignment="1" applyProtection="1">
      <alignment horizontal="center" vertical="center"/>
      <protection locked="0"/>
    </xf>
    <xf numFmtId="2" fontId="2" fillId="4" borderId="34" xfId="0" applyNumberFormat="1" applyFont="1" applyFill="1" applyBorder="1" applyAlignment="1" applyProtection="1">
      <alignment horizontal="center" vertical="center"/>
      <protection locked="0"/>
    </xf>
    <xf numFmtId="2" fontId="2" fillId="6" borderId="34" xfId="0" applyNumberFormat="1" applyFont="1" applyFill="1" applyBorder="1" applyAlignment="1" applyProtection="1">
      <alignment horizontal="center" vertical="center"/>
    </xf>
    <xf numFmtId="0" fontId="2" fillId="6" borderId="48" xfId="0" applyFont="1" applyFill="1" applyBorder="1" applyAlignment="1" applyProtection="1">
      <alignment vertical="center" shrinkToFit="1"/>
    </xf>
    <xf numFmtId="0" fontId="36" fillId="2" borderId="0" xfId="0" applyFont="1" applyFill="1" applyBorder="1" applyAlignment="1" applyProtection="1">
      <alignment vertical="top" wrapText="1"/>
    </xf>
    <xf numFmtId="0" fontId="37" fillId="2" borderId="23" xfId="0" applyFont="1" applyFill="1" applyBorder="1" applyAlignment="1" applyProtection="1">
      <alignment horizontal="center" vertical="top" wrapText="1"/>
    </xf>
    <xf numFmtId="0" fontId="4" fillId="9" borderId="0" xfId="0" applyFont="1" applyFill="1" applyBorder="1" applyAlignment="1" applyProtection="1">
      <alignment horizontal="right" vertical="center"/>
    </xf>
    <xf numFmtId="2" fontId="9" fillId="4" borderId="20" xfId="0" applyNumberFormat="1" applyFont="1" applyFill="1" applyBorder="1" applyAlignment="1" applyProtection="1">
      <alignment horizontal="center" vertical="center"/>
      <protection locked="0"/>
    </xf>
    <xf numFmtId="2" fontId="9" fillId="4" borderId="32" xfId="0" applyNumberFormat="1" applyFont="1" applyFill="1" applyBorder="1" applyAlignment="1" applyProtection="1">
      <alignment horizontal="center" vertical="center"/>
      <protection locked="0"/>
    </xf>
    <xf numFmtId="2" fontId="52" fillId="6" borderId="96" xfId="0" applyNumberFormat="1" applyFont="1" applyFill="1" applyBorder="1" applyAlignment="1" applyProtection="1">
      <alignment horizontal="center" vertical="center"/>
    </xf>
    <xf numFmtId="2" fontId="52" fillId="6" borderId="97" xfId="0" applyNumberFormat="1" applyFont="1" applyFill="1" applyBorder="1" applyAlignment="1" applyProtection="1">
      <alignment horizontal="center" vertical="center"/>
    </xf>
    <xf numFmtId="2" fontId="9" fillId="6" borderId="46" xfId="0" applyNumberFormat="1" applyFont="1" applyFill="1" applyBorder="1" applyAlignment="1" applyProtection="1">
      <alignment horizontal="center" vertical="center"/>
    </xf>
    <xf numFmtId="2" fontId="9" fillId="4" borderId="22" xfId="0" applyNumberFormat="1" applyFont="1" applyFill="1" applyBorder="1" applyAlignment="1" applyProtection="1">
      <alignment horizontal="center" vertical="center"/>
      <protection locked="0"/>
    </xf>
    <xf numFmtId="2" fontId="9" fillId="4" borderId="33" xfId="0" applyNumberFormat="1" applyFont="1" applyFill="1" applyBorder="1" applyAlignment="1" applyProtection="1">
      <alignment horizontal="center" vertical="center"/>
      <protection locked="0"/>
    </xf>
    <xf numFmtId="2" fontId="52" fillId="6" borderId="98" xfId="0" applyNumberFormat="1" applyFont="1" applyFill="1" applyBorder="1" applyAlignment="1" applyProtection="1">
      <alignment horizontal="center" vertical="center"/>
    </xf>
    <xf numFmtId="2" fontId="52" fillId="6" borderId="99" xfId="0" applyNumberFormat="1" applyFont="1" applyFill="1" applyBorder="1" applyAlignment="1" applyProtection="1">
      <alignment horizontal="center" vertical="center"/>
    </xf>
    <xf numFmtId="2" fontId="9" fillId="6" borderId="43" xfId="0" applyNumberFormat="1" applyFont="1" applyFill="1" applyBorder="1" applyAlignment="1" applyProtection="1">
      <alignment horizontal="center" vertical="center"/>
    </xf>
    <xf numFmtId="2" fontId="9" fillId="4" borderId="27" xfId="0" applyNumberFormat="1" applyFont="1" applyFill="1" applyBorder="1" applyAlignment="1" applyProtection="1">
      <alignment horizontal="center" vertical="center"/>
      <protection locked="0"/>
    </xf>
    <xf numFmtId="2" fontId="9" fillId="4" borderId="95" xfId="0" applyNumberFormat="1" applyFont="1" applyFill="1" applyBorder="1" applyAlignment="1" applyProtection="1">
      <alignment horizontal="center" vertical="center"/>
      <protection locked="0"/>
    </xf>
    <xf numFmtId="2" fontId="52" fillId="6" borderId="100" xfId="0" applyNumberFormat="1" applyFont="1" applyFill="1" applyBorder="1" applyAlignment="1" applyProtection="1">
      <alignment horizontal="center" vertical="center"/>
    </xf>
    <xf numFmtId="2" fontId="52" fillId="6" borderId="101" xfId="0" applyNumberFormat="1" applyFont="1" applyFill="1" applyBorder="1" applyAlignment="1" applyProtection="1">
      <alignment horizontal="center" vertical="center"/>
    </xf>
    <xf numFmtId="2" fontId="9" fillId="6" borderId="48" xfId="0" applyNumberFormat="1" applyFont="1" applyFill="1" applyBorder="1" applyAlignment="1" applyProtection="1">
      <alignment horizontal="center" vertical="center"/>
    </xf>
    <xf numFmtId="2" fontId="9" fillId="4" borderId="24" xfId="0" applyNumberFormat="1" applyFont="1" applyFill="1" applyBorder="1" applyAlignment="1" applyProtection="1">
      <alignment horizontal="center" vertical="center"/>
      <protection locked="0"/>
    </xf>
    <xf numFmtId="165" fontId="9" fillId="6" borderId="27" xfId="0" applyNumberFormat="1" applyFont="1" applyFill="1" applyBorder="1" applyAlignment="1" applyProtection="1">
      <alignment horizontal="center" vertical="center"/>
    </xf>
    <xf numFmtId="169" fontId="9" fillId="4" borderId="20" xfId="0" applyNumberFormat="1" applyFont="1" applyFill="1" applyBorder="1" applyAlignment="1" applyProtection="1">
      <alignment horizontal="center" vertical="center"/>
      <protection locked="0"/>
    </xf>
    <xf numFmtId="169" fontId="9" fillId="4" borderId="22" xfId="0" applyNumberFormat="1" applyFont="1" applyFill="1" applyBorder="1" applyAlignment="1" applyProtection="1">
      <alignment horizontal="center" vertical="center"/>
      <protection locked="0"/>
    </xf>
    <xf numFmtId="169" fontId="9" fillId="4" borderId="27" xfId="0" applyNumberFormat="1" applyFont="1" applyFill="1" applyBorder="1" applyAlignment="1" applyProtection="1">
      <alignment horizontal="center" vertical="center"/>
      <protection locked="0"/>
    </xf>
    <xf numFmtId="169" fontId="9" fillId="4" borderId="24" xfId="0" applyNumberFormat="1" applyFont="1" applyFill="1" applyBorder="1" applyAlignment="1" applyProtection="1">
      <alignment horizontal="center" vertical="center"/>
      <protection locked="0"/>
    </xf>
    <xf numFmtId="2" fontId="2" fillId="9" borderId="12" xfId="0" applyNumberFormat="1" applyFont="1" applyFill="1" applyBorder="1" applyAlignment="1" applyProtection="1">
      <alignment horizontal="center" vertical="center"/>
    </xf>
    <xf numFmtId="2" fontId="2" fillId="9" borderId="0" xfId="0" applyNumberFormat="1" applyFont="1" applyFill="1" applyAlignment="1" applyProtection="1">
      <alignment vertical="center"/>
    </xf>
    <xf numFmtId="0" fontId="7" fillId="9" borderId="12" xfId="0" applyFont="1" applyFill="1" applyBorder="1" applyAlignment="1" applyProtection="1">
      <alignment horizontal="center" vertical="center"/>
    </xf>
    <xf numFmtId="0" fontId="7" fillId="9" borderId="0" xfId="0" applyFont="1" applyFill="1" applyAlignment="1" applyProtection="1">
      <alignment horizontal="center" wrapText="1"/>
    </xf>
    <xf numFmtId="0" fontId="37" fillId="2" borderId="42" xfId="0" applyFont="1" applyFill="1" applyBorder="1" applyAlignment="1" applyProtection="1">
      <alignment vertical="top" wrapText="1"/>
    </xf>
    <xf numFmtId="0" fontId="9" fillId="6" borderId="20" xfId="0" applyFont="1" applyFill="1" applyBorder="1" applyAlignment="1" applyProtection="1">
      <alignment vertical="center"/>
    </xf>
    <xf numFmtId="0" fontId="9" fillId="6" borderId="22" xfId="0" applyFont="1" applyFill="1" applyBorder="1" applyAlignment="1" applyProtection="1">
      <alignment vertical="center"/>
    </xf>
    <xf numFmtId="0" fontId="9" fillId="6" borderId="27" xfId="0" applyFont="1" applyFill="1" applyBorder="1" applyAlignment="1" applyProtection="1">
      <alignment vertical="center"/>
    </xf>
    <xf numFmtId="0" fontId="9" fillId="6" borderId="24" xfId="0" applyFont="1" applyFill="1" applyBorder="1" applyAlignment="1" applyProtection="1">
      <alignment vertical="center"/>
    </xf>
    <xf numFmtId="0" fontId="2" fillId="9" borderId="20" xfId="0" applyFont="1" applyFill="1" applyBorder="1" applyProtection="1"/>
    <xf numFmtId="0" fontId="2" fillId="9" borderId="22" xfId="0" applyFont="1" applyFill="1" applyBorder="1" applyProtection="1"/>
    <xf numFmtId="0" fontId="2" fillId="9" borderId="24" xfId="0" applyFont="1" applyFill="1" applyBorder="1" applyProtection="1"/>
    <xf numFmtId="0" fontId="2" fillId="2" borderId="20" xfId="0" applyFont="1" applyFill="1" applyBorder="1" applyAlignment="1" applyProtection="1">
      <alignment horizontal="center"/>
    </xf>
    <xf numFmtId="0" fontId="2" fillId="5" borderId="20" xfId="0" applyFont="1" applyFill="1" applyBorder="1" applyProtection="1">
      <protection locked="0"/>
    </xf>
    <xf numFmtId="4" fontId="2" fillId="5" borderId="20" xfId="0" applyNumberFormat="1" applyFont="1" applyFill="1" applyBorder="1" applyAlignment="1" applyProtection="1">
      <alignment horizontal="center"/>
      <protection locked="0"/>
    </xf>
    <xf numFmtId="0" fontId="2" fillId="5" borderId="20" xfId="0" applyFont="1" applyFill="1" applyBorder="1" applyAlignment="1" applyProtection="1">
      <alignment horizontal="center"/>
      <protection locked="0"/>
    </xf>
    <xf numFmtId="0" fontId="2" fillId="6" borderId="20" xfId="0" applyFont="1" applyFill="1" applyBorder="1" applyAlignment="1" applyProtection="1">
      <alignment horizontal="center"/>
    </xf>
    <xf numFmtId="0" fontId="2" fillId="5" borderId="20" xfId="0" applyFont="1" applyFill="1" applyBorder="1" applyAlignment="1" applyProtection="1">
      <alignment horizontal="center" shrinkToFit="1"/>
      <protection locked="0"/>
    </xf>
    <xf numFmtId="0" fontId="2" fillId="6" borderId="20" xfId="0" applyFont="1" applyFill="1" applyBorder="1" applyAlignment="1" applyProtection="1">
      <alignment horizontal="center" shrinkToFit="1"/>
    </xf>
    <xf numFmtId="0" fontId="3" fillId="13" borderId="20" xfId="0" applyFont="1" applyFill="1" applyBorder="1" applyAlignment="1" applyProtection="1">
      <alignment horizontal="center"/>
    </xf>
    <xf numFmtId="0" fontId="24" fillId="16" borderId="20" xfId="0" applyFont="1" applyFill="1" applyBorder="1" applyAlignment="1" applyProtection="1">
      <alignment horizontal="center"/>
    </xf>
    <xf numFmtId="0" fontId="3" fillId="11" borderId="20" xfId="0" applyFont="1" applyFill="1" applyBorder="1" applyAlignment="1" applyProtection="1">
      <alignment horizontal="center"/>
    </xf>
    <xf numFmtId="3" fontId="2" fillId="6" borderId="20" xfId="0" applyNumberFormat="1" applyFont="1" applyFill="1" applyBorder="1" applyAlignment="1" applyProtection="1">
      <alignment horizontal="center"/>
    </xf>
    <xf numFmtId="164" fontId="2" fillId="6" borderId="20" xfId="0" applyNumberFormat="1" applyFont="1" applyFill="1" applyBorder="1" applyAlignment="1" applyProtection="1">
      <alignment horizontal="center"/>
    </xf>
    <xf numFmtId="0" fontId="2" fillId="2" borderId="22" xfId="0" applyFont="1" applyFill="1" applyBorder="1" applyAlignment="1" applyProtection="1">
      <alignment horizontal="center"/>
    </xf>
    <xf numFmtId="0" fontId="2" fillId="5" borderId="22" xfId="0" applyFont="1" applyFill="1" applyBorder="1" applyProtection="1">
      <protection locked="0"/>
    </xf>
    <xf numFmtId="4" fontId="2" fillId="5" borderId="22" xfId="0" applyNumberFormat="1" applyFont="1" applyFill="1" applyBorder="1" applyAlignment="1" applyProtection="1">
      <alignment horizontal="center"/>
      <protection locked="0"/>
    </xf>
    <xf numFmtId="0" fontId="2" fillId="5" borderId="22" xfId="0" applyFont="1" applyFill="1" applyBorder="1" applyAlignment="1" applyProtection="1">
      <alignment horizontal="center"/>
      <protection locked="0"/>
    </xf>
    <xf numFmtId="0" fontId="2" fillId="6" borderId="22" xfId="0" applyFont="1" applyFill="1" applyBorder="1" applyAlignment="1" applyProtection="1">
      <alignment horizontal="center"/>
    </xf>
    <xf numFmtId="0" fontId="2" fillId="5" borderId="22" xfId="0" applyFont="1" applyFill="1" applyBorder="1" applyAlignment="1" applyProtection="1">
      <alignment horizontal="center" shrinkToFit="1"/>
      <protection locked="0"/>
    </xf>
    <xf numFmtId="0" fontId="2" fillId="6" borderId="22" xfId="0" applyFont="1" applyFill="1" applyBorder="1" applyAlignment="1" applyProtection="1">
      <alignment horizontal="center" shrinkToFit="1"/>
    </xf>
    <xf numFmtId="0" fontId="3" fillId="13" borderId="22" xfId="0" applyFont="1" applyFill="1" applyBorder="1" applyAlignment="1" applyProtection="1">
      <alignment horizontal="center"/>
    </xf>
    <xf numFmtId="0" fontId="24" fillId="16" borderId="22" xfId="0" applyFont="1" applyFill="1" applyBorder="1" applyAlignment="1" applyProtection="1">
      <alignment horizontal="center"/>
    </xf>
    <xf numFmtId="0" fontId="3" fillId="11" borderId="22" xfId="0" applyFont="1" applyFill="1" applyBorder="1" applyAlignment="1" applyProtection="1">
      <alignment horizontal="center"/>
    </xf>
    <xf numFmtId="3" fontId="2" fillId="6" borderId="22" xfId="0" applyNumberFormat="1" applyFont="1" applyFill="1" applyBorder="1" applyAlignment="1" applyProtection="1">
      <alignment horizontal="center"/>
    </xf>
    <xf numFmtId="164" fontId="2" fillId="6" borderId="22" xfId="0" applyNumberFormat="1" applyFont="1" applyFill="1" applyBorder="1" applyAlignment="1" applyProtection="1">
      <alignment horizontal="center"/>
    </xf>
    <xf numFmtId="0" fontId="2" fillId="2" borderId="24" xfId="0" applyFont="1" applyFill="1" applyBorder="1" applyAlignment="1" applyProtection="1">
      <alignment horizontal="center"/>
    </xf>
    <xf numFmtId="0" fontId="2" fillId="5" borderId="24" xfId="0" applyFont="1" applyFill="1" applyBorder="1" applyProtection="1">
      <protection locked="0"/>
    </xf>
    <xf numFmtId="4" fontId="2" fillId="5" borderId="24" xfId="0" applyNumberFormat="1" applyFont="1" applyFill="1" applyBorder="1" applyAlignment="1" applyProtection="1">
      <alignment horizontal="center"/>
      <protection locked="0"/>
    </xf>
    <xf numFmtId="0" fontId="2" fillId="5" borderId="24" xfId="0" applyFont="1" applyFill="1" applyBorder="1" applyAlignment="1" applyProtection="1">
      <alignment horizontal="center"/>
      <protection locked="0"/>
    </xf>
    <xf numFmtId="0" fontId="2" fillId="6" borderId="24" xfId="0" applyFont="1" applyFill="1" applyBorder="1" applyAlignment="1" applyProtection="1">
      <alignment horizontal="center"/>
    </xf>
    <xf numFmtId="0" fontId="2" fillId="5" borderId="24" xfId="0" applyFont="1" applyFill="1" applyBorder="1" applyAlignment="1" applyProtection="1">
      <alignment horizontal="center" shrinkToFit="1"/>
      <protection locked="0"/>
    </xf>
    <xf numFmtId="0" fontId="2" fillId="6" borderId="24" xfId="0" applyFont="1" applyFill="1" applyBorder="1" applyAlignment="1" applyProtection="1">
      <alignment horizontal="center" shrinkToFit="1"/>
    </xf>
    <xf numFmtId="0" fontId="3" fillId="13" borderId="24" xfId="0" applyFont="1" applyFill="1" applyBorder="1" applyAlignment="1" applyProtection="1">
      <alignment horizontal="center"/>
    </xf>
    <xf numFmtId="0" fontId="24" fillId="16" borderId="24" xfId="0" applyFont="1" applyFill="1" applyBorder="1" applyAlignment="1" applyProtection="1">
      <alignment horizontal="center"/>
    </xf>
    <xf numFmtId="0" fontId="3" fillId="11" borderId="24" xfId="0" applyFont="1" applyFill="1" applyBorder="1" applyAlignment="1" applyProtection="1">
      <alignment horizontal="center"/>
    </xf>
    <xf numFmtId="3" fontId="2" fillId="6" borderId="24" xfId="0" applyNumberFormat="1" applyFont="1" applyFill="1" applyBorder="1" applyAlignment="1" applyProtection="1">
      <alignment horizontal="center"/>
    </xf>
    <xf numFmtId="164" fontId="2" fillId="6" borderId="24" xfId="0" applyNumberFormat="1" applyFont="1" applyFill="1" applyBorder="1" applyAlignment="1" applyProtection="1">
      <alignment horizontal="center"/>
    </xf>
    <xf numFmtId="0" fontId="2" fillId="13" borderId="20" xfId="0" applyFont="1" applyFill="1" applyBorder="1" applyAlignment="1" applyProtection="1">
      <alignment horizontal="center"/>
    </xf>
    <xf numFmtId="9" fontId="2" fillId="5" borderId="20" xfId="2" applyFont="1" applyFill="1" applyBorder="1" applyAlignment="1" applyProtection="1">
      <alignment horizontal="center"/>
      <protection locked="0"/>
    </xf>
    <xf numFmtId="0" fontId="2" fillId="13" borderId="22" xfId="0" applyFont="1" applyFill="1" applyBorder="1" applyAlignment="1" applyProtection="1">
      <alignment horizontal="center"/>
    </xf>
    <xf numFmtId="4" fontId="2" fillId="6" borderId="22" xfId="0" applyNumberFormat="1" applyFont="1" applyFill="1" applyBorder="1" applyAlignment="1" applyProtection="1">
      <alignment horizontal="center"/>
    </xf>
    <xf numFmtId="9" fontId="2" fillId="5" borderId="22" xfId="2" applyFont="1" applyFill="1" applyBorder="1" applyAlignment="1" applyProtection="1">
      <alignment horizontal="center"/>
      <protection locked="0"/>
    </xf>
    <xf numFmtId="0" fontId="2" fillId="13" borderId="24" xfId="0" applyFont="1" applyFill="1" applyBorder="1" applyAlignment="1" applyProtection="1">
      <alignment horizontal="center"/>
    </xf>
    <xf numFmtId="4" fontId="2" fillId="6" borderId="24" xfId="0" applyNumberFormat="1" applyFont="1" applyFill="1" applyBorder="1" applyAlignment="1" applyProtection="1">
      <alignment horizontal="center"/>
    </xf>
    <xf numFmtId="9" fontId="2" fillId="5" borderId="24" xfId="2" applyFont="1" applyFill="1" applyBorder="1" applyAlignment="1" applyProtection="1">
      <alignment horizontal="center"/>
      <protection locked="0"/>
    </xf>
    <xf numFmtId="3" fontId="2" fillId="5" borderId="20" xfId="0" applyNumberFormat="1" applyFont="1" applyFill="1" applyBorder="1" applyAlignment="1" applyProtection="1">
      <alignment horizontal="center"/>
      <protection locked="0"/>
    </xf>
    <xf numFmtId="166" fontId="2" fillId="5" borderId="20" xfId="0" applyNumberFormat="1" applyFont="1" applyFill="1" applyBorder="1" applyAlignment="1" applyProtection="1">
      <alignment horizontal="center"/>
      <protection locked="0"/>
    </xf>
    <xf numFmtId="3" fontId="2" fillId="11" borderId="20" xfId="0" applyNumberFormat="1" applyFont="1" applyFill="1" applyBorder="1" applyAlignment="1" applyProtection="1">
      <alignment horizontal="center"/>
    </xf>
    <xf numFmtId="3" fontId="2" fillId="4" borderId="20" xfId="0" applyNumberFormat="1" applyFont="1" applyFill="1" applyBorder="1" applyAlignment="1" applyProtection="1">
      <alignment horizontal="center"/>
      <protection locked="0"/>
    </xf>
    <xf numFmtId="3" fontId="2" fillId="5" borderId="22" xfId="0" applyNumberFormat="1" applyFont="1" applyFill="1" applyBorder="1" applyAlignment="1" applyProtection="1">
      <alignment horizontal="center"/>
      <protection locked="0"/>
    </xf>
    <xf numFmtId="166" fontId="2" fillId="5" borderId="22" xfId="0" applyNumberFormat="1" applyFont="1" applyFill="1" applyBorder="1" applyAlignment="1" applyProtection="1">
      <alignment horizontal="center"/>
      <protection locked="0"/>
    </xf>
    <xf numFmtId="3" fontId="2" fillId="11" borderId="22" xfId="0" applyNumberFormat="1" applyFont="1" applyFill="1" applyBorder="1" applyAlignment="1" applyProtection="1">
      <alignment horizontal="center"/>
    </xf>
    <xf numFmtId="3" fontId="2" fillId="4" borderId="22" xfId="0" applyNumberFormat="1" applyFont="1" applyFill="1" applyBorder="1" applyAlignment="1" applyProtection="1">
      <alignment horizontal="center"/>
      <protection locked="0"/>
    </xf>
    <xf numFmtId="3" fontId="2" fillId="5" borderId="24" xfId="0" applyNumberFormat="1" applyFont="1" applyFill="1" applyBorder="1" applyAlignment="1" applyProtection="1">
      <alignment horizontal="center"/>
      <protection locked="0"/>
    </xf>
    <xf numFmtId="166" fontId="2" fillId="5" borderId="24" xfId="0" applyNumberFormat="1" applyFont="1" applyFill="1" applyBorder="1" applyAlignment="1" applyProtection="1">
      <alignment horizontal="center"/>
      <protection locked="0"/>
    </xf>
    <xf numFmtId="3" fontId="2" fillId="11" borderId="24" xfId="0" applyNumberFormat="1" applyFont="1" applyFill="1" applyBorder="1" applyAlignment="1" applyProtection="1">
      <alignment horizontal="center"/>
    </xf>
    <xf numFmtId="3" fontId="2" fillId="4" borderId="24" xfId="0" applyNumberFormat="1" applyFont="1" applyFill="1" applyBorder="1" applyAlignment="1" applyProtection="1">
      <alignment horizontal="center"/>
      <protection locked="0"/>
    </xf>
    <xf numFmtId="0" fontId="43" fillId="2" borderId="108" xfId="0" applyFont="1" applyFill="1" applyBorder="1" applyAlignment="1" applyProtection="1">
      <alignment horizontal="center"/>
    </xf>
    <xf numFmtId="0" fontId="43" fillId="13" borderId="108" xfId="0" applyFont="1" applyFill="1" applyBorder="1" applyProtection="1"/>
    <xf numFmtId="4" fontId="43" fillId="13" borderId="108" xfId="0" applyNumberFormat="1" applyFont="1" applyFill="1" applyBorder="1" applyAlignment="1" applyProtection="1">
      <alignment horizontal="center"/>
    </xf>
    <xf numFmtId="0" fontId="43" fillId="13" borderId="108" xfId="0" applyFont="1" applyFill="1" applyBorder="1" applyAlignment="1" applyProtection="1">
      <alignment horizontal="center"/>
    </xf>
    <xf numFmtId="0" fontId="43" fillId="16" borderId="108" xfId="0" applyFont="1" applyFill="1" applyBorder="1" applyAlignment="1" applyProtection="1">
      <alignment horizontal="center"/>
    </xf>
    <xf numFmtId="0" fontId="43" fillId="11" borderId="108" xfId="0" applyFont="1" applyFill="1" applyBorder="1" applyAlignment="1" applyProtection="1">
      <alignment horizontal="center"/>
    </xf>
    <xf numFmtId="3" fontId="43" fillId="13" borderId="108" xfId="0" applyNumberFormat="1" applyFont="1" applyFill="1" applyBorder="1" applyAlignment="1" applyProtection="1">
      <alignment horizontal="center"/>
    </xf>
    <xf numFmtId="164" fontId="43" fillId="13" borderId="108" xfId="0" applyNumberFormat="1" applyFont="1" applyFill="1" applyBorder="1" applyAlignment="1" applyProtection="1">
      <alignment horizontal="center"/>
    </xf>
    <xf numFmtId="0" fontId="43" fillId="2" borderId="22" xfId="0" applyFont="1" applyFill="1" applyBorder="1" applyAlignment="1" applyProtection="1">
      <alignment horizontal="center"/>
    </xf>
    <xf numFmtId="0" fontId="43" fillId="13" borderId="22" xfId="0" applyFont="1" applyFill="1" applyBorder="1" applyProtection="1"/>
    <xf numFmtId="4" fontId="43" fillId="13" borderId="22" xfId="0" applyNumberFormat="1" applyFont="1" applyFill="1" applyBorder="1" applyAlignment="1" applyProtection="1">
      <alignment horizontal="center"/>
    </xf>
    <xf numFmtId="0" fontId="43" fillId="13" borderId="22" xfId="0" applyFont="1" applyFill="1" applyBorder="1" applyAlignment="1" applyProtection="1">
      <alignment horizontal="center"/>
    </xf>
    <xf numFmtId="0" fontId="43" fillId="16" borderId="22" xfId="0" applyFont="1" applyFill="1" applyBorder="1" applyAlignment="1" applyProtection="1">
      <alignment horizontal="center"/>
    </xf>
    <xf numFmtId="0" fontId="43" fillId="11" borderId="22" xfId="0" applyFont="1" applyFill="1" applyBorder="1" applyAlignment="1" applyProtection="1">
      <alignment horizontal="center"/>
    </xf>
    <xf numFmtId="3" fontId="43" fillId="13" borderId="22" xfId="0" applyNumberFormat="1" applyFont="1" applyFill="1" applyBorder="1" applyAlignment="1" applyProtection="1">
      <alignment horizontal="center"/>
    </xf>
    <xf numFmtId="164" fontId="43" fillId="13" borderId="22" xfId="0" applyNumberFormat="1" applyFont="1" applyFill="1" applyBorder="1" applyAlignment="1" applyProtection="1">
      <alignment horizontal="center"/>
    </xf>
    <xf numFmtId="0" fontId="43" fillId="2" borderId="24" xfId="0" applyFont="1" applyFill="1" applyBorder="1" applyAlignment="1" applyProtection="1">
      <alignment horizontal="center"/>
    </xf>
    <xf numFmtId="166" fontId="43" fillId="13" borderId="18" xfId="0" applyNumberFormat="1" applyFont="1" applyFill="1" applyBorder="1" applyAlignment="1" applyProtection="1">
      <alignment horizontal="center"/>
    </xf>
    <xf numFmtId="3" fontId="43" fillId="11" borderId="18" xfId="0" applyNumberFormat="1" applyFont="1" applyFill="1" applyBorder="1" applyAlignment="1" applyProtection="1">
      <alignment horizontal="center"/>
    </xf>
    <xf numFmtId="0" fontId="29" fillId="2" borderId="37" xfId="0" applyFont="1" applyFill="1" applyBorder="1" applyAlignment="1" applyProtection="1">
      <alignment horizontal="left" vertical="center"/>
    </xf>
    <xf numFmtId="0" fontId="31" fillId="6" borderId="37" xfId="0" applyFont="1" applyFill="1" applyBorder="1" applyAlignment="1" applyProtection="1">
      <alignment horizontal="left" vertical="center"/>
    </xf>
    <xf numFmtId="0" fontId="31" fillId="2" borderId="0" xfId="0" applyFont="1" applyFill="1" applyAlignment="1" applyProtection="1">
      <alignment vertical="center"/>
    </xf>
    <xf numFmtId="0" fontId="55" fillId="2" borderId="21" xfId="0" applyFont="1" applyFill="1" applyBorder="1" applyAlignment="1" applyProtection="1">
      <alignment horizontal="center" vertical="top" wrapText="1"/>
    </xf>
    <xf numFmtId="0" fontId="2" fillId="6" borderId="12" xfId="0" applyFont="1" applyFill="1" applyBorder="1" applyProtection="1"/>
    <xf numFmtId="0" fontId="2" fillId="2" borderId="22" xfId="0" applyFont="1" applyFill="1" applyBorder="1" applyAlignment="1" applyProtection="1">
      <alignment horizontal="center" vertical="center"/>
    </xf>
    <xf numFmtId="0" fontId="2" fillId="5" borderId="20" xfId="0" applyFont="1" applyFill="1" applyBorder="1" applyAlignment="1" applyProtection="1">
      <alignment vertical="center" shrinkToFit="1"/>
      <protection locked="0"/>
    </xf>
    <xf numFmtId="0" fontId="2" fillId="5" borderId="22" xfId="0" applyFont="1" applyFill="1" applyBorder="1" applyAlignment="1" applyProtection="1">
      <alignment vertical="center" shrinkToFit="1"/>
      <protection locked="0"/>
    </xf>
    <xf numFmtId="0" fontId="2" fillId="5" borderId="24" xfId="0" applyFont="1" applyFill="1" applyBorder="1" applyAlignment="1" applyProtection="1">
      <alignment vertical="center" shrinkToFit="1"/>
      <protection locked="0"/>
    </xf>
    <xf numFmtId="0" fontId="2" fillId="5" borderId="20" xfId="0" applyFont="1" applyFill="1" applyBorder="1" applyAlignment="1" applyProtection="1">
      <alignment horizontal="center" vertical="center" shrinkToFit="1"/>
      <protection locked="0"/>
    </xf>
    <xf numFmtId="0" fontId="2" fillId="5" borderId="22" xfId="0" applyFont="1" applyFill="1" applyBorder="1" applyAlignment="1" applyProtection="1">
      <alignment horizontal="center" vertical="center" shrinkToFit="1"/>
      <protection locked="0"/>
    </xf>
    <xf numFmtId="0" fontId="2" fillId="5" borderId="24" xfId="0" applyFont="1" applyFill="1" applyBorder="1" applyAlignment="1" applyProtection="1">
      <alignment horizontal="center" vertical="center" shrinkToFit="1"/>
      <protection locked="0"/>
    </xf>
    <xf numFmtId="10" fontId="2" fillId="6" borderId="20" xfId="0" applyNumberFormat="1" applyFont="1" applyFill="1" applyBorder="1" applyAlignment="1" applyProtection="1">
      <alignment horizontal="center" vertical="center"/>
    </xf>
    <xf numFmtId="10" fontId="2" fillId="6" borderId="22" xfId="0" applyNumberFormat="1" applyFont="1" applyFill="1" applyBorder="1" applyAlignment="1" applyProtection="1">
      <alignment horizontal="center" vertical="center"/>
    </xf>
    <xf numFmtId="10" fontId="2" fillId="6" borderId="24" xfId="0" applyNumberFormat="1" applyFont="1" applyFill="1" applyBorder="1" applyAlignment="1" applyProtection="1">
      <alignment horizontal="center" vertical="center"/>
    </xf>
    <xf numFmtId="0" fontId="2" fillId="2" borderId="19" xfId="0" applyFont="1" applyFill="1" applyBorder="1" applyAlignment="1" applyProtection="1">
      <alignment horizontal="left" vertical="center"/>
    </xf>
    <xf numFmtId="0" fontId="2" fillId="2" borderId="23" xfId="0" applyFont="1" applyFill="1" applyBorder="1" applyAlignment="1" applyProtection="1">
      <alignment horizontal="left" vertical="center"/>
    </xf>
    <xf numFmtId="0" fontId="2" fillId="2" borderId="46" xfId="0" applyFont="1" applyFill="1" applyBorder="1" applyAlignment="1" applyProtection="1">
      <alignment vertical="center"/>
    </xf>
    <xf numFmtId="0" fontId="2" fillId="2" borderId="21" xfId="0" applyFont="1" applyFill="1" applyBorder="1" applyAlignment="1" applyProtection="1">
      <alignment vertical="center"/>
    </xf>
    <xf numFmtId="0" fontId="2" fillId="2" borderId="43" xfId="0" applyFont="1" applyFill="1" applyBorder="1" applyAlignment="1" applyProtection="1">
      <alignment vertical="center"/>
    </xf>
    <xf numFmtId="0" fontId="2" fillId="2" borderId="48" xfId="0" applyFont="1" applyFill="1" applyBorder="1" applyAlignment="1" applyProtection="1">
      <alignment vertical="center"/>
    </xf>
    <xf numFmtId="0" fontId="28" fillId="2" borderId="0" xfId="0" applyFont="1" applyFill="1" applyAlignment="1" applyProtection="1">
      <alignment horizontal="right" vertical="center"/>
    </xf>
    <xf numFmtId="3" fontId="2" fillId="2" borderId="20" xfId="0" applyNumberFormat="1" applyFont="1" applyFill="1" applyBorder="1" applyAlignment="1" applyProtection="1">
      <alignment vertical="center"/>
    </xf>
    <xf numFmtId="3" fontId="2" fillId="2" borderId="24" xfId="0" applyNumberFormat="1" applyFont="1" applyFill="1" applyBorder="1" applyAlignment="1" applyProtection="1">
      <alignment vertical="center"/>
    </xf>
    <xf numFmtId="0" fontId="2" fillId="2" borderId="43" xfId="0" applyFont="1" applyFill="1" applyBorder="1" applyAlignment="1" applyProtection="1">
      <alignment horizontal="center" vertical="center"/>
    </xf>
    <xf numFmtId="0" fontId="2" fillId="2" borderId="48" xfId="0" applyFont="1" applyFill="1" applyBorder="1" applyAlignment="1" applyProtection="1">
      <alignment horizontal="center" vertical="center"/>
    </xf>
    <xf numFmtId="0" fontId="50" fillId="9" borderId="0" xfId="0" applyFont="1" applyFill="1" applyProtection="1"/>
    <xf numFmtId="0" fontId="51" fillId="9" borderId="0" xfId="0" applyFont="1" applyFill="1" applyProtection="1"/>
    <xf numFmtId="0" fontId="2" fillId="13" borderId="71" xfId="0" applyFont="1" applyFill="1" applyBorder="1" applyAlignment="1" applyProtection="1">
      <alignment horizontal="left" vertical="top"/>
    </xf>
    <xf numFmtId="0" fontId="2" fillId="13" borderId="9" xfId="0" applyFont="1" applyFill="1" applyBorder="1" applyAlignment="1" applyProtection="1">
      <alignment horizontal="left" vertical="top"/>
    </xf>
    <xf numFmtId="0" fontId="10" fillId="13" borderId="0" xfId="0" applyFont="1" applyFill="1" applyBorder="1" applyAlignment="1" applyProtection="1">
      <alignment horizontal="left" vertical="top"/>
    </xf>
    <xf numFmtId="0" fontId="2" fillId="2" borderId="78" xfId="0" applyFont="1" applyFill="1" applyBorder="1" applyAlignment="1" applyProtection="1">
      <alignment horizontal="left" vertical="top"/>
    </xf>
    <xf numFmtId="0" fontId="1" fillId="2" borderId="0" xfId="1" applyFont="1" applyFill="1" applyAlignment="1" applyProtection="1">
      <alignment horizontal="left" vertical="top"/>
    </xf>
    <xf numFmtId="0" fontId="3" fillId="13" borderId="44" xfId="0" applyNumberFormat="1" applyFont="1" applyFill="1" applyBorder="1" applyAlignment="1" applyProtection="1">
      <alignment horizontal="left" vertical="top"/>
    </xf>
    <xf numFmtId="0" fontId="33" fillId="2" borderId="0" xfId="0" applyFont="1" applyFill="1" applyAlignment="1" applyProtection="1">
      <alignment horizontal="left" vertical="top"/>
    </xf>
    <xf numFmtId="0" fontId="3" fillId="15" borderId="0" xfId="0" applyNumberFormat="1" applyFont="1" applyFill="1" applyBorder="1" applyAlignment="1" applyProtection="1">
      <alignment horizontal="left" vertical="top"/>
    </xf>
    <xf numFmtId="0" fontId="17" fillId="24" borderId="0" xfId="0" applyFont="1" applyFill="1" applyBorder="1" applyAlignment="1" applyProtection="1">
      <alignment horizontal="left" vertical="top"/>
    </xf>
    <xf numFmtId="0" fontId="59" fillId="24" borderId="0" xfId="0" applyFont="1" applyFill="1" applyBorder="1" applyAlignment="1" applyProtection="1">
      <alignment horizontal="left" vertical="top"/>
    </xf>
    <xf numFmtId="0" fontId="18" fillId="13" borderId="0" xfId="0" applyFont="1" applyFill="1" applyBorder="1" applyAlignment="1" applyProtection="1">
      <alignment horizontal="left" vertical="top"/>
    </xf>
    <xf numFmtId="0" fontId="37" fillId="2" borderId="0" xfId="0" applyFont="1" applyFill="1" applyAlignment="1" applyProtection="1">
      <alignment horizontal="left" vertical="top"/>
    </xf>
    <xf numFmtId="0" fontId="36" fillId="2" borderId="0" xfId="0" applyFont="1" applyFill="1" applyAlignment="1" applyProtection="1">
      <alignment horizontal="left" vertical="top"/>
    </xf>
    <xf numFmtId="0" fontId="18" fillId="8" borderId="0" xfId="0" applyFont="1" applyFill="1" applyBorder="1" applyAlignment="1" applyProtection="1">
      <alignment horizontal="left" vertical="top"/>
    </xf>
    <xf numFmtId="0" fontId="18" fillId="24" borderId="0" xfId="0" applyFont="1" applyFill="1" applyAlignment="1" applyProtection="1">
      <alignment horizontal="left" vertical="top"/>
    </xf>
    <xf numFmtId="0" fontId="10" fillId="13" borderId="0" xfId="0" applyFont="1" applyFill="1" applyAlignment="1" applyProtection="1">
      <alignment horizontal="left" vertical="top"/>
    </xf>
    <xf numFmtId="0" fontId="18" fillId="13" borderId="0" xfId="0" applyFont="1" applyFill="1" applyAlignment="1" applyProtection="1">
      <alignment horizontal="left" vertical="top"/>
    </xf>
    <xf numFmtId="0" fontId="18" fillId="2" borderId="0" xfId="0" applyFont="1" applyFill="1" applyAlignment="1" applyProtection="1">
      <alignment horizontal="left" vertical="top"/>
    </xf>
    <xf numFmtId="0" fontId="10" fillId="13" borderId="0" xfId="0" applyNumberFormat="1" applyFont="1" applyFill="1" applyBorder="1" applyAlignment="1" applyProtection="1">
      <alignment horizontal="left" vertical="top"/>
    </xf>
    <xf numFmtId="0" fontId="18" fillId="24" borderId="0" xfId="0" quotePrefix="1" applyFont="1" applyFill="1" applyAlignment="1" applyProtection="1">
      <alignment horizontal="left" vertical="top"/>
    </xf>
    <xf numFmtId="0" fontId="37" fillId="2" borderId="19" xfId="0" applyFont="1" applyFill="1" applyBorder="1" applyAlignment="1" applyProtection="1">
      <alignment horizontal="left" vertical="top"/>
    </xf>
    <xf numFmtId="0" fontId="37" fillId="2" borderId="21" xfId="0" applyFont="1" applyFill="1" applyBorder="1" applyAlignment="1" applyProtection="1">
      <alignment horizontal="left" vertical="top"/>
    </xf>
    <xf numFmtId="0" fontId="37" fillId="2" borderId="23" xfId="0" applyFont="1" applyFill="1" applyBorder="1" applyAlignment="1" applyProtection="1">
      <alignment horizontal="left" vertical="top"/>
    </xf>
    <xf numFmtId="0" fontId="46" fillId="24" borderId="0" xfId="0" applyFont="1" applyFill="1" applyAlignment="1" applyProtection="1">
      <alignment horizontal="left" vertical="top"/>
    </xf>
    <xf numFmtId="0" fontId="37" fillId="2" borderId="42" xfId="0" applyFont="1" applyFill="1" applyBorder="1" applyAlignment="1" applyProtection="1">
      <alignment horizontal="left" vertical="top"/>
    </xf>
    <xf numFmtId="0" fontId="55" fillId="2" borderId="19" xfId="0" applyFont="1" applyFill="1" applyBorder="1" applyAlignment="1" applyProtection="1">
      <alignment horizontal="left" vertical="top"/>
    </xf>
    <xf numFmtId="0" fontId="37" fillId="2" borderId="26" xfId="0" applyFont="1" applyFill="1" applyBorder="1" applyAlignment="1" applyProtection="1">
      <alignment horizontal="left" vertical="top"/>
    </xf>
    <xf numFmtId="0" fontId="37" fillId="2" borderId="47" xfId="0" applyFont="1" applyFill="1" applyBorder="1" applyAlignment="1" applyProtection="1">
      <alignment horizontal="left" vertical="top"/>
    </xf>
    <xf numFmtId="0" fontId="36" fillId="2" borderId="26" xfId="0" applyFont="1" applyFill="1" applyBorder="1" applyAlignment="1" applyProtection="1">
      <alignment horizontal="left" vertical="top"/>
    </xf>
    <xf numFmtId="0" fontId="37" fillId="0" borderId="23" xfId="0" applyFont="1" applyBorder="1" applyAlignment="1" applyProtection="1">
      <alignment horizontal="left" vertical="top"/>
    </xf>
    <xf numFmtId="0" fontId="36" fillId="2" borderId="42" xfId="0" applyFont="1" applyFill="1" applyBorder="1" applyAlignment="1" applyProtection="1">
      <alignment horizontal="left" vertical="top"/>
    </xf>
    <xf numFmtId="0" fontId="37" fillId="2" borderId="23" xfId="0" quotePrefix="1" applyFont="1" applyFill="1" applyBorder="1" applyAlignment="1" applyProtection="1">
      <alignment horizontal="left" vertical="top"/>
    </xf>
    <xf numFmtId="165" fontId="4" fillId="6" borderId="29" xfId="0" applyNumberFormat="1" applyFont="1" applyFill="1" applyBorder="1" applyAlignment="1" applyProtection="1">
      <alignment horizontal="center" vertical="center"/>
    </xf>
    <xf numFmtId="165" fontId="7" fillId="6" borderId="18" xfId="0" applyNumberFormat="1" applyFont="1" applyFill="1" applyBorder="1" applyAlignment="1" applyProtection="1">
      <alignment horizontal="center" vertical="center"/>
    </xf>
    <xf numFmtId="165" fontId="2" fillId="2" borderId="31" xfId="0" applyNumberFormat="1" applyFont="1" applyFill="1" applyBorder="1" applyAlignment="1" applyProtection="1">
      <alignment vertical="center"/>
    </xf>
    <xf numFmtId="0" fontId="60" fillId="9" borderId="0" xfId="0" applyFont="1" applyFill="1" applyProtection="1"/>
    <xf numFmtId="4" fontId="4" fillId="6" borderId="30" xfId="0" applyNumberFormat="1" applyFont="1" applyFill="1" applyBorder="1" applyAlignment="1" applyProtection="1">
      <alignment horizontal="center" vertical="center"/>
    </xf>
    <xf numFmtId="4" fontId="7" fillId="6" borderId="109" xfId="0" applyNumberFormat="1" applyFont="1" applyFill="1" applyBorder="1" applyAlignment="1" applyProtection="1">
      <alignment horizontal="center" vertical="center"/>
    </xf>
    <xf numFmtId="4" fontId="7" fillId="6" borderId="110" xfId="0" applyNumberFormat="1" applyFont="1" applyFill="1" applyBorder="1" applyAlignment="1" applyProtection="1">
      <alignment horizontal="center" vertical="center"/>
    </xf>
    <xf numFmtId="4" fontId="7" fillId="6" borderId="99" xfId="0" applyNumberFormat="1" applyFont="1" applyFill="1" applyBorder="1" applyAlignment="1" applyProtection="1">
      <alignment horizontal="center" vertical="center"/>
    </xf>
    <xf numFmtId="165" fontId="7" fillId="2" borderId="113" xfId="0" quotePrefix="1" applyNumberFormat="1" applyFont="1" applyFill="1" applyBorder="1" applyAlignment="1" applyProtection="1">
      <alignment horizontal="center" vertical="center"/>
    </xf>
    <xf numFmtId="0" fontId="8" fillId="2" borderId="70" xfId="0" applyFont="1" applyFill="1" applyBorder="1" applyAlignment="1" applyProtection="1">
      <alignment horizontal="center" vertical="center" wrapText="1"/>
    </xf>
    <xf numFmtId="0" fontId="8" fillId="6" borderId="32" xfId="0" applyFont="1" applyFill="1" applyBorder="1" applyAlignment="1" applyProtection="1">
      <alignment horizontal="center" vertical="center" wrapText="1"/>
    </xf>
    <xf numFmtId="0" fontId="8" fillId="6" borderId="33" xfId="0" applyFont="1" applyFill="1" applyBorder="1" applyAlignment="1" applyProtection="1">
      <alignment horizontal="center" vertical="center" wrapText="1"/>
    </xf>
    <xf numFmtId="0" fontId="8" fillId="6" borderId="34" xfId="0" applyFont="1" applyFill="1" applyBorder="1" applyAlignment="1" applyProtection="1">
      <alignment horizontal="center" vertical="center" wrapText="1"/>
    </xf>
    <xf numFmtId="4" fontId="4" fillId="6" borderId="28" xfId="0" applyNumberFormat="1" applyFont="1" applyFill="1" applyBorder="1" applyAlignment="1" applyProtection="1">
      <alignment horizontal="center" vertical="center"/>
    </xf>
    <xf numFmtId="4" fontId="7" fillId="6" borderId="114" xfId="0" applyNumberFormat="1" applyFont="1" applyFill="1" applyBorder="1" applyAlignment="1" applyProtection="1">
      <alignment horizontal="center" vertical="center"/>
    </xf>
    <xf numFmtId="4" fontId="7" fillId="6" borderId="115" xfId="0" applyNumberFormat="1" applyFont="1" applyFill="1" applyBorder="1" applyAlignment="1" applyProtection="1">
      <alignment horizontal="center" vertical="center"/>
    </xf>
    <xf numFmtId="4" fontId="7" fillId="6" borderId="98" xfId="0" applyNumberFormat="1" applyFont="1" applyFill="1" applyBorder="1" applyAlignment="1" applyProtection="1">
      <alignment horizontal="center" vertical="center"/>
    </xf>
    <xf numFmtId="4" fontId="7" fillId="6" borderId="100" xfId="0" applyNumberFormat="1" applyFont="1" applyFill="1" applyBorder="1" applyAlignment="1" applyProtection="1">
      <alignment horizontal="center" vertical="center"/>
    </xf>
    <xf numFmtId="4" fontId="7" fillId="6" borderId="101" xfId="0" applyNumberFormat="1" applyFont="1" applyFill="1" applyBorder="1" applyAlignment="1" applyProtection="1">
      <alignment horizontal="center" vertical="center"/>
    </xf>
    <xf numFmtId="9" fontId="2" fillId="9" borderId="12" xfId="0" applyNumberFormat="1" applyFont="1" applyFill="1" applyBorder="1" applyAlignment="1" applyProtection="1">
      <alignment horizontal="center" vertical="center"/>
    </xf>
    <xf numFmtId="9" fontId="7" fillId="6" borderId="20" xfId="2" applyFont="1" applyFill="1" applyBorder="1" applyAlignment="1" applyProtection="1">
      <alignment horizontal="center" vertical="center"/>
    </xf>
    <xf numFmtId="9" fontId="7" fillId="6" borderId="22" xfId="2" applyFont="1" applyFill="1" applyBorder="1" applyAlignment="1" applyProtection="1">
      <alignment horizontal="center" vertical="center"/>
    </xf>
    <xf numFmtId="9" fontId="7" fillId="6" borderId="24" xfId="2" applyFont="1" applyFill="1" applyBorder="1" applyAlignment="1" applyProtection="1">
      <alignment horizontal="center" vertical="center"/>
    </xf>
    <xf numFmtId="0" fontId="2" fillId="4" borderId="12" xfId="0" applyFont="1" applyFill="1" applyBorder="1" applyAlignment="1" applyProtection="1">
      <alignment horizontal="center" vertical="center"/>
      <protection locked="0"/>
    </xf>
    <xf numFmtId="0" fontId="2" fillId="6" borderId="32" xfId="0" applyFont="1" applyFill="1" applyBorder="1" applyAlignment="1" applyProtection="1">
      <alignment horizontal="left" vertical="center"/>
    </xf>
    <xf numFmtId="0" fontId="2" fillId="6" borderId="33" xfId="0" applyFont="1" applyFill="1" applyBorder="1" applyAlignment="1" applyProtection="1">
      <alignment horizontal="left" vertical="center"/>
    </xf>
    <xf numFmtId="0" fontId="2" fillId="6" borderId="34" xfId="0" applyFont="1" applyFill="1" applyBorder="1" applyAlignment="1" applyProtection="1">
      <alignment horizontal="left" vertical="center"/>
    </xf>
    <xf numFmtId="0" fontId="52" fillId="2" borderId="16" xfId="0" applyFont="1" applyFill="1" applyBorder="1" applyAlignment="1" applyProtection="1">
      <alignment vertical="center"/>
    </xf>
    <xf numFmtId="0" fontId="9" fillId="2" borderId="16" xfId="0" applyFont="1" applyFill="1" applyBorder="1" applyAlignment="1" applyProtection="1">
      <alignment vertical="center"/>
    </xf>
    <xf numFmtId="0" fontId="9" fillId="2" borderId="19" xfId="0" applyFont="1" applyFill="1" applyBorder="1" applyProtection="1"/>
    <xf numFmtId="0" fontId="9" fillId="2" borderId="19" xfId="0" applyFont="1" applyFill="1" applyBorder="1" applyAlignment="1" applyProtection="1">
      <alignment vertical="center"/>
    </xf>
    <xf numFmtId="0" fontId="9" fillId="2" borderId="21" xfId="0" applyFont="1" applyFill="1" applyBorder="1" applyProtection="1"/>
    <xf numFmtId="0" fontId="9" fillId="2" borderId="21" xfId="0" applyFont="1" applyFill="1" applyBorder="1" applyAlignment="1" applyProtection="1">
      <alignment vertical="center"/>
    </xf>
    <xf numFmtId="0" fontId="9" fillId="2" borderId="23" xfId="0" applyFont="1" applyFill="1" applyBorder="1" applyProtection="1"/>
    <xf numFmtId="0" fontId="9" fillId="2" borderId="23" xfId="0" applyFont="1" applyFill="1" applyBorder="1" applyAlignment="1" applyProtection="1">
      <alignment vertical="center"/>
    </xf>
    <xf numFmtId="0" fontId="9" fillId="2" borderId="21" xfId="0" applyFont="1" applyFill="1" applyBorder="1" applyAlignment="1" applyProtection="1">
      <alignment horizontal="left" indent="1"/>
    </xf>
    <xf numFmtId="0" fontId="9" fillId="2" borderId="23" xfId="0" applyFont="1" applyFill="1" applyBorder="1" applyAlignment="1" applyProtection="1">
      <alignment horizontal="left" indent="1"/>
    </xf>
    <xf numFmtId="0" fontId="2" fillId="6" borderId="15" xfId="0" applyFont="1" applyFill="1" applyBorder="1" applyAlignment="1" applyProtection="1">
      <alignment horizontal="left" vertical="center"/>
    </xf>
    <xf numFmtId="0" fontId="3" fillId="6" borderId="16" xfId="0" applyFont="1" applyFill="1" applyBorder="1" applyAlignment="1" applyProtection="1"/>
    <xf numFmtId="0" fontId="3" fillId="6" borderId="14" xfId="0" applyFont="1" applyFill="1" applyBorder="1" applyAlignment="1" applyProtection="1"/>
    <xf numFmtId="0" fontId="10" fillId="2" borderId="18" xfId="0" applyFont="1" applyFill="1" applyBorder="1" applyAlignment="1" applyProtection="1">
      <alignment horizontal="center" wrapText="1"/>
    </xf>
    <xf numFmtId="0" fontId="52" fillId="2" borderId="16" xfId="0" applyFont="1" applyFill="1" applyBorder="1" applyAlignment="1" applyProtection="1">
      <alignment horizontal="center" vertical="center"/>
    </xf>
    <xf numFmtId="0" fontId="9" fillId="2" borderId="19"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3" xfId="0" applyFont="1" applyFill="1" applyBorder="1" applyAlignment="1" applyProtection="1">
      <alignment horizontal="center" vertical="center"/>
    </xf>
    <xf numFmtId="0" fontId="9" fillId="2" borderId="47" xfId="0" applyFont="1" applyFill="1" applyBorder="1" applyAlignment="1" applyProtection="1">
      <alignment horizontal="left" indent="1"/>
    </xf>
    <xf numFmtId="0" fontId="2" fillId="2" borderId="47" xfId="0" applyFont="1" applyFill="1" applyBorder="1" applyAlignment="1" applyProtection="1">
      <alignment vertical="center"/>
    </xf>
    <xf numFmtId="0" fontId="52" fillId="2" borderId="16" xfId="0" applyFont="1" applyFill="1" applyBorder="1" applyAlignment="1" applyProtection="1">
      <alignment horizontal="left" vertical="center" indent="1"/>
    </xf>
    <xf numFmtId="14" fontId="2" fillId="6" borderId="20" xfId="0" applyNumberFormat="1" applyFont="1" applyFill="1" applyBorder="1" applyAlignment="1" applyProtection="1">
      <alignment horizontal="left" vertical="center"/>
    </xf>
    <xf numFmtId="14" fontId="2" fillId="6" borderId="24" xfId="0" applyNumberFormat="1" applyFont="1" applyFill="1" applyBorder="1" applyAlignment="1" applyProtection="1">
      <alignment horizontal="left" vertical="center"/>
    </xf>
    <xf numFmtId="3" fontId="2" fillId="9" borderId="0" xfId="0" applyNumberFormat="1" applyFont="1" applyFill="1" applyAlignment="1" applyProtection="1">
      <alignment vertical="center"/>
    </xf>
    <xf numFmtId="3" fontId="2" fillId="9" borderId="0" xfId="0" applyNumberFormat="1" applyFont="1" applyFill="1" applyBorder="1" applyAlignment="1" applyProtection="1">
      <alignment horizontal="center" vertical="center"/>
    </xf>
    <xf numFmtId="3" fontId="2" fillId="9" borderId="12" xfId="0" applyNumberFormat="1" applyFont="1" applyFill="1" applyBorder="1" applyAlignment="1" applyProtection="1">
      <alignment horizontal="center" vertical="center"/>
    </xf>
    <xf numFmtId="165" fontId="2" fillId="6" borderId="43" xfId="0" applyNumberFormat="1" applyFont="1" applyFill="1" applyBorder="1" applyAlignment="1" applyProtection="1">
      <alignment horizontal="center" vertical="center"/>
    </xf>
    <xf numFmtId="0" fontId="9" fillId="6" borderId="22" xfId="0" applyFont="1" applyFill="1" applyBorder="1" applyAlignment="1" applyProtection="1">
      <alignment horizontal="left" vertical="center"/>
    </xf>
    <xf numFmtId="0" fontId="9" fillId="6" borderId="24" xfId="0" applyFont="1" applyFill="1" applyBorder="1" applyAlignment="1" applyProtection="1">
      <alignment horizontal="left" vertical="center"/>
    </xf>
    <xf numFmtId="0" fontId="58" fillId="2" borderId="70" xfId="0" applyFont="1" applyFill="1" applyBorder="1" applyAlignment="1" applyProtection="1">
      <alignment horizontal="left" vertical="center" wrapText="1"/>
    </xf>
    <xf numFmtId="0" fontId="58" fillId="2" borderId="18" xfId="0" applyFont="1" applyFill="1" applyBorder="1" applyAlignment="1" applyProtection="1">
      <alignment horizontal="left" vertical="center" wrapText="1"/>
    </xf>
    <xf numFmtId="0" fontId="28" fillId="2" borderId="18" xfId="0" applyFont="1" applyFill="1" applyBorder="1" applyAlignment="1" applyProtection="1">
      <alignment horizontal="left" vertical="center"/>
    </xf>
    <xf numFmtId="165" fontId="58" fillId="2" borderId="18" xfId="0" applyNumberFormat="1" applyFont="1" applyFill="1" applyBorder="1" applyAlignment="1" applyProtection="1">
      <alignment horizontal="center" vertical="center" wrapText="1"/>
    </xf>
    <xf numFmtId="0" fontId="58" fillId="2" borderId="18" xfId="0" applyFont="1" applyFill="1" applyBorder="1" applyAlignment="1" applyProtection="1">
      <alignment horizontal="center" vertical="center" wrapText="1"/>
    </xf>
    <xf numFmtId="10" fontId="58" fillId="2" borderId="18" xfId="2" applyNumberFormat="1" applyFont="1" applyFill="1" applyBorder="1" applyAlignment="1" applyProtection="1">
      <alignment horizontal="center" vertical="center" wrapText="1"/>
    </xf>
    <xf numFmtId="0" fontId="43" fillId="2" borderId="36" xfId="0" applyFont="1" applyFill="1" applyBorder="1" applyAlignment="1" applyProtection="1">
      <alignment horizontal="left" vertical="center" wrapText="1"/>
    </xf>
    <xf numFmtId="169" fontId="43" fillId="2" borderId="36" xfId="2" applyNumberFormat="1" applyFont="1" applyFill="1" applyBorder="1" applyAlignment="1" applyProtection="1">
      <alignment horizontal="center" vertical="center" wrapText="1"/>
    </xf>
    <xf numFmtId="165" fontId="43" fillId="2" borderId="68" xfId="0" applyNumberFormat="1" applyFont="1" applyFill="1" applyBorder="1" applyAlignment="1" applyProtection="1">
      <alignment horizontal="center" vertical="center" wrapText="1"/>
    </xf>
    <xf numFmtId="0" fontId="43" fillId="2" borderId="69" xfId="0" applyFont="1" applyFill="1" applyBorder="1" applyAlignment="1" applyProtection="1">
      <alignment horizontal="center" vertical="center" wrapText="1"/>
    </xf>
    <xf numFmtId="0" fontId="43" fillId="2" borderId="36" xfId="0" applyFont="1" applyFill="1" applyBorder="1" applyAlignment="1" applyProtection="1">
      <alignment horizontal="center" vertical="center" wrapText="1"/>
    </xf>
    <xf numFmtId="0" fontId="43" fillId="2" borderId="17" xfId="0" applyFont="1" applyFill="1" applyBorder="1" applyAlignment="1" applyProtection="1">
      <alignment horizontal="center" vertical="center" wrapText="1"/>
    </xf>
    <xf numFmtId="2" fontId="43" fillId="2" borderId="68" xfId="0" applyNumberFormat="1" applyFont="1" applyFill="1" applyBorder="1" applyAlignment="1" applyProtection="1">
      <alignment horizontal="center" vertical="center" wrapText="1"/>
    </xf>
    <xf numFmtId="0" fontId="43" fillId="2" borderId="69" xfId="0" applyFont="1" applyFill="1" applyBorder="1" applyAlignment="1" applyProtection="1">
      <alignment horizontal="left" vertical="center" wrapText="1"/>
    </xf>
    <xf numFmtId="49" fontId="7" fillId="5" borderId="20" xfId="0" applyNumberFormat="1" applyFont="1" applyFill="1" applyBorder="1" applyAlignment="1" applyProtection="1">
      <alignment horizontal="left" vertical="center"/>
      <protection locked="0"/>
    </xf>
    <xf numFmtId="49" fontId="7" fillId="5" borderId="22" xfId="0" applyNumberFormat="1" applyFont="1" applyFill="1" applyBorder="1" applyAlignment="1" applyProtection="1">
      <alignment horizontal="left" vertical="center"/>
      <protection locked="0"/>
    </xf>
    <xf numFmtId="49" fontId="7" fillId="5" borderId="24" xfId="0" applyNumberFormat="1" applyFont="1" applyFill="1" applyBorder="1" applyAlignment="1" applyProtection="1">
      <alignment horizontal="left" vertical="center"/>
      <protection locked="0"/>
    </xf>
    <xf numFmtId="2" fontId="9" fillId="6" borderId="20" xfId="0" applyNumberFormat="1" applyFont="1" applyFill="1" applyBorder="1" applyAlignment="1" applyProtection="1">
      <alignment horizontal="center" vertical="center"/>
    </xf>
    <xf numFmtId="2" fontId="9" fillId="6" borderId="22" xfId="0" applyNumberFormat="1" applyFont="1" applyFill="1" applyBorder="1" applyAlignment="1" applyProtection="1">
      <alignment horizontal="center" vertical="center"/>
    </xf>
    <xf numFmtId="2" fontId="9" fillId="6" borderId="24" xfId="0" applyNumberFormat="1" applyFont="1" applyFill="1" applyBorder="1" applyAlignment="1" applyProtection="1">
      <alignment horizontal="center" vertical="center"/>
    </xf>
    <xf numFmtId="171" fontId="43" fillId="13" borderId="108" xfId="0" applyNumberFormat="1" applyFont="1" applyFill="1" applyBorder="1" applyAlignment="1" applyProtection="1">
      <alignment horizontal="center"/>
    </xf>
    <xf numFmtId="171" fontId="43" fillId="13" borderId="22" xfId="0" applyNumberFormat="1" applyFont="1" applyFill="1" applyBorder="1" applyAlignment="1" applyProtection="1">
      <alignment horizontal="center"/>
    </xf>
    <xf numFmtId="171" fontId="2" fillId="5" borderId="20" xfId="0" applyNumberFormat="1" applyFont="1" applyFill="1" applyBorder="1" applyAlignment="1" applyProtection="1">
      <alignment horizontal="center"/>
      <protection locked="0"/>
    </xf>
    <xf numFmtId="171" fontId="2" fillId="5" borderId="22" xfId="0" applyNumberFormat="1" applyFont="1" applyFill="1" applyBorder="1" applyAlignment="1" applyProtection="1">
      <alignment horizontal="center"/>
      <protection locked="0"/>
    </xf>
    <xf numFmtId="171" fontId="2" fillId="5" borderId="24" xfId="0" applyNumberFormat="1" applyFont="1" applyFill="1" applyBorder="1" applyAlignment="1" applyProtection="1">
      <alignment horizontal="center"/>
      <protection locked="0"/>
    </xf>
    <xf numFmtId="4" fontId="2" fillId="2" borderId="67" xfId="0" applyNumberFormat="1" applyFont="1" applyFill="1" applyBorder="1" applyAlignment="1" applyProtection="1">
      <alignment vertical="center"/>
    </xf>
    <xf numFmtId="4" fontId="2" fillId="2" borderId="24" xfId="0" applyNumberFormat="1" applyFont="1" applyFill="1" applyBorder="1" applyAlignment="1" applyProtection="1">
      <alignment vertical="center"/>
    </xf>
    <xf numFmtId="14" fontId="2" fillId="2" borderId="12" xfId="0" applyNumberFormat="1" applyFont="1" applyFill="1" applyBorder="1" applyAlignment="1" applyProtection="1">
      <alignment horizontal="center" vertical="top"/>
    </xf>
    <xf numFmtId="0" fontId="33" fillId="2" borderId="10" xfId="0" applyFont="1" applyFill="1" applyBorder="1" applyAlignment="1" applyProtection="1">
      <alignment horizontal="right" vertical="center"/>
    </xf>
    <xf numFmtId="0" fontId="2" fillId="2" borderId="10" xfId="0" applyFont="1" applyFill="1" applyBorder="1" applyAlignment="1" applyProtection="1">
      <alignment vertical="center"/>
    </xf>
    <xf numFmtId="0" fontId="2" fillId="2" borderId="11" xfId="0" applyFont="1" applyFill="1" applyBorder="1" applyAlignment="1" applyProtection="1">
      <alignment vertical="center"/>
    </xf>
    <xf numFmtId="49" fontId="2" fillId="2" borderId="12" xfId="0" applyNumberFormat="1" applyFont="1" applyFill="1" applyBorder="1" applyAlignment="1" applyProtection="1">
      <alignment horizontal="center" vertical="top"/>
    </xf>
    <xf numFmtId="0" fontId="17" fillId="24" borderId="0" xfId="0" applyFont="1" applyFill="1" applyBorder="1" applyAlignment="1" applyProtection="1">
      <alignment horizontal="left" vertical="top" wrapText="1"/>
    </xf>
    <xf numFmtId="0" fontId="4" fillId="2" borderId="18" xfId="0" applyFont="1" applyFill="1" applyBorder="1" applyAlignment="1" applyProtection="1">
      <alignment horizontal="center" wrapText="1"/>
    </xf>
    <xf numFmtId="9" fontId="43" fillId="13" borderId="18" xfId="2" applyFont="1" applyFill="1" applyBorder="1" applyAlignment="1" applyProtection="1">
      <alignment horizontal="center"/>
    </xf>
    <xf numFmtId="0" fontId="2" fillId="9" borderId="12" xfId="0" applyNumberFormat="1" applyFont="1" applyFill="1" applyBorder="1" applyAlignment="1" applyProtection="1">
      <alignment horizontal="center" vertical="center"/>
    </xf>
    <xf numFmtId="0" fontId="7" fillId="2" borderId="0" xfId="0" quotePrefix="1" applyFont="1" applyFill="1" applyAlignment="1" applyProtection="1">
      <alignment vertical="center"/>
    </xf>
    <xf numFmtId="10" fontId="7" fillId="4" borderId="20" xfId="0" applyNumberFormat="1" applyFont="1" applyFill="1" applyBorder="1" applyAlignment="1" applyProtection="1">
      <alignment horizontal="center" vertical="center"/>
      <protection locked="0"/>
    </xf>
    <xf numFmtId="10" fontId="7" fillId="4" borderId="22" xfId="0" applyNumberFormat="1" applyFont="1" applyFill="1" applyBorder="1" applyAlignment="1" applyProtection="1">
      <alignment horizontal="center" vertical="center"/>
      <protection locked="0"/>
    </xf>
    <xf numFmtId="10" fontId="7" fillId="4" borderId="24" xfId="0" applyNumberFormat="1" applyFont="1" applyFill="1" applyBorder="1" applyAlignment="1" applyProtection="1">
      <alignment horizontal="center" vertical="center"/>
      <protection locked="0"/>
    </xf>
    <xf numFmtId="0" fontId="2" fillId="8" borderId="17" xfId="0" applyFont="1" applyFill="1" applyBorder="1" applyAlignment="1" applyProtection="1">
      <alignment vertical="center"/>
    </xf>
    <xf numFmtId="0" fontId="2" fillId="8" borderId="19" xfId="0" applyFont="1" applyFill="1" applyBorder="1" applyAlignment="1" applyProtection="1">
      <alignment vertical="center"/>
    </xf>
    <xf numFmtId="165" fontId="2" fillId="5" borderId="20" xfId="0" applyNumberFormat="1" applyFont="1" applyFill="1" applyBorder="1" applyAlignment="1" applyProtection="1">
      <alignment horizontal="center" vertical="center"/>
      <protection locked="0"/>
    </xf>
    <xf numFmtId="0" fontId="2" fillId="5" borderId="20" xfId="0" applyFont="1" applyFill="1" applyBorder="1" applyAlignment="1" applyProtection="1">
      <alignment horizontal="center" vertical="center"/>
      <protection locked="0"/>
    </xf>
    <xf numFmtId="0" fontId="2" fillId="5" borderId="24" xfId="0" applyFont="1" applyFill="1" applyBorder="1" applyAlignment="1" applyProtection="1">
      <alignment horizontal="center" vertical="center"/>
      <protection locked="0"/>
    </xf>
    <xf numFmtId="165" fontId="2" fillId="6" borderId="24" xfId="0" applyNumberFormat="1" applyFont="1" applyFill="1" applyBorder="1" applyAlignment="1" applyProtection="1">
      <alignment horizontal="center" vertical="center"/>
    </xf>
    <xf numFmtId="3" fontId="2" fillId="9" borderId="0" xfId="0" applyNumberFormat="1" applyFont="1" applyFill="1" applyAlignment="1" applyProtection="1">
      <alignment horizontal="center" vertical="center"/>
    </xf>
    <xf numFmtId="0" fontId="2" fillId="6" borderId="20" xfId="0" applyFont="1" applyFill="1" applyBorder="1" applyAlignment="1" applyProtection="1">
      <alignment horizontal="left" vertical="center"/>
    </xf>
    <xf numFmtId="0" fontId="2" fillId="6" borderId="22" xfId="0" applyFont="1" applyFill="1" applyBorder="1" applyAlignment="1" applyProtection="1">
      <alignment horizontal="left" vertical="center"/>
    </xf>
    <xf numFmtId="0" fontId="2" fillId="6" borderId="24" xfId="0" applyFont="1" applyFill="1" applyBorder="1" applyAlignment="1" applyProtection="1">
      <alignment horizontal="left" vertical="center"/>
    </xf>
    <xf numFmtId="0" fontId="4" fillId="2" borderId="18" xfId="0" applyFont="1" applyFill="1" applyBorder="1" applyAlignment="1" applyProtection="1">
      <alignment horizontal="center" wrapText="1"/>
    </xf>
    <xf numFmtId="0" fontId="4" fillId="2" borderId="83" xfId="0" applyFont="1" applyFill="1" applyBorder="1" applyAlignment="1" applyProtection="1">
      <alignment horizontal="left" wrapText="1"/>
    </xf>
    <xf numFmtId="0" fontId="24" fillId="2" borderId="0" xfId="0" applyFont="1" applyFill="1" applyBorder="1" applyAlignment="1" applyProtection="1">
      <alignment horizontal="right" vertical="center"/>
    </xf>
    <xf numFmtId="0" fontId="24" fillId="2" borderId="44" xfId="0" applyFont="1" applyFill="1" applyBorder="1" applyAlignment="1" applyProtection="1">
      <alignment horizontal="right" vertical="center"/>
    </xf>
    <xf numFmtId="0" fontId="2" fillId="2" borderId="16" xfId="0" applyFont="1" applyFill="1" applyBorder="1" applyAlignment="1" applyProtection="1">
      <alignment horizontal="right" vertical="center"/>
    </xf>
    <xf numFmtId="0" fontId="2" fillId="2" borderId="14" xfId="0" applyFont="1" applyFill="1" applyBorder="1" applyAlignment="1" applyProtection="1">
      <alignment vertical="center"/>
    </xf>
    <xf numFmtId="0" fontId="4" fillId="2" borderId="70" xfId="0" applyFont="1" applyFill="1" applyBorder="1" applyAlignment="1" applyProtection="1">
      <alignment horizontal="left" wrapText="1"/>
    </xf>
    <xf numFmtId="0" fontId="4" fillId="2" borderId="18" xfId="0" applyFont="1" applyFill="1" applyBorder="1" applyAlignment="1" applyProtection="1">
      <alignment wrapText="1"/>
    </xf>
    <xf numFmtId="0" fontId="4" fillId="2" borderId="18" xfId="0" applyFont="1" applyFill="1" applyBorder="1" applyAlignment="1" applyProtection="1">
      <alignment horizontal="left" wrapText="1"/>
    </xf>
    <xf numFmtId="0" fontId="43" fillId="2" borderId="0" xfId="0" applyFont="1" applyFill="1" applyAlignment="1" applyProtection="1">
      <alignment vertical="center"/>
    </xf>
    <xf numFmtId="49" fontId="2" fillId="6" borderId="20" xfId="0" applyNumberFormat="1" applyFont="1" applyFill="1" applyBorder="1" applyAlignment="1" applyProtection="1">
      <alignment horizontal="left" vertical="center"/>
    </xf>
    <xf numFmtId="165" fontId="2" fillId="6" borderId="20" xfId="0" applyNumberFormat="1" applyFont="1" applyFill="1" applyBorder="1" applyAlignment="1" applyProtection="1">
      <alignment horizontal="center" vertical="center"/>
    </xf>
    <xf numFmtId="9" fontId="2" fillId="6" borderId="20" xfId="2" applyFont="1" applyFill="1" applyBorder="1" applyAlignment="1" applyProtection="1">
      <alignment horizontal="center" vertical="center"/>
    </xf>
    <xf numFmtId="49" fontId="2" fillId="6" borderId="22" xfId="0" applyNumberFormat="1" applyFont="1" applyFill="1" applyBorder="1" applyAlignment="1" applyProtection="1">
      <alignment horizontal="left" vertical="center"/>
    </xf>
    <xf numFmtId="165" fontId="2" fillId="6" borderId="22" xfId="0" applyNumberFormat="1" applyFont="1" applyFill="1" applyBorder="1" applyAlignment="1" applyProtection="1">
      <alignment horizontal="center" vertical="center"/>
    </xf>
    <xf numFmtId="9" fontId="2" fillId="6" borderId="22" xfId="2" applyFont="1" applyFill="1" applyBorder="1" applyAlignment="1" applyProtection="1">
      <alignment horizontal="center" vertical="center"/>
    </xf>
    <xf numFmtId="49" fontId="2" fillId="6" borderId="24" xfId="0" applyNumberFormat="1" applyFont="1" applyFill="1" applyBorder="1" applyAlignment="1" applyProtection="1">
      <alignment horizontal="left" vertical="center"/>
    </xf>
    <xf numFmtId="0" fontId="66" fillId="9" borderId="0" xfId="0" applyFont="1" applyFill="1" applyProtection="1"/>
    <xf numFmtId="4" fontId="43" fillId="11" borderId="18" xfId="0" applyNumberFormat="1" applyFont="1" applyFill="1" applyBorder="1" applyAlignment="1" applyProtection="1">
      <alignment horizontal="center"/>
    </xf>
    <xf numFmtId="0" fontId="43" fillId="11" borderId="18" xfId="0" applyFont="1" applyFill="1" applyBorder="1" applyAlignment="1" applyProtection="1">
      <alignment horizontal="center"/>
    </xf>
    <xf numFmtId="4" fontId="24" fillId="11" borderId="20" xfId="0" applyNumberFormat="1" applyFont="1" applyFill="1" applyBorder="1" applyAlignment="1" applyProtection="1">
      <alignment horizontal="center"/>
    </xf>
    <xf numFmtId="0" fontId="24" fillId="11" borderId="20" xfId="0" applyFont="1" applyFill="1" applyBorder="1" applyAlignment="1" applyProtection="1">
      <alignment horizontal="center"/>
    </xf>
    <xf numFmtId="4" fontId="24" fillId="11" borderId="22" xfId="0" applyNumberFormat="1" applyFont="1" applyFill="1" applyBorder="1" applyAlignment="1" applyProtection="1">
      <alignment horizontal="center"/>
    </xf>
    <xf numFmtId="0" fontId="24" fillId="11" borderId="22" xfId="0" applyFont="1" applyFill="1" applyBorder="1" applyAlignment="1" applyProtection="1">
      <alignment horizontal="center"/>
    </xf>
    <xf numFmtId="4" fontId="24" fillId="11" borderId="24" xfId="0" applyNumberFormat="1" applyFont="1" applyFill="1" applyBorder="1" applyAlignment="1" applyProtection="1">
      <alignment horizontal="center"/>
    </xf>
    <xf numFmtId="0" fontId="24" fillId="11" borderId="24" xfId="0" applyFont="1" applyFill="1" applyBorder="1" applyAlignment="1" applyProtection="1">
      <alignment horizontal="center"/>
    </xf>
    <xf numFmtId="164" fontId="43" fillId="11" borderId="18" xfId="0" applyNumberFormat="1" applyFont="1" applyFill="1" applyBorder="1" applyAlignment="1" applyProtection="1">
      <alignment horizontal="center"/>
    </xf>
    <xf numFmtId="164" fontId="24" fillId="11" borderId="20" xfId="0" applyNumberFormat="1" applyFont="1" applyFill="1" applyBorder="1" applyAlignment="1" applyProtection="1">
      <alignment horizontal="center"/>
    </xf>
    <xf numFmtId="164" fontId="24" fillId="11" borderId="22" xfId="0" applyNumberFormat="1" applyFont="1" applyFill="1" applyBorder="1" applyAlignment="1" applyProtection="1">
      <alignment horizontal="center"/>
    </xf>
    <xf numFmtId="164" fontId="24" fillId="11" borderId="24" xfId="0" applyNumberFormat="1" applyFont="1" applyFill="1" applyBorder="1" applyAlignment="1" applyProtection="1">
      <alignment horizontal="center"/>
    </xf>
    <xf numFmtId="167" fontId="2" fillId="9" borderId="0" xfId="0" applyNumberFormat="1" applyFont="1" applyFill="1" applyProtection="1"/>
    <xf numFmtId="0" fontId="37" fillId="2" borderId="83" xfId="0" applyFont="1" applyFill="1" applyBorder="1" applyAlignment="1" applyProtection="1">
      <alignment vertical="top" wrapText="1"/>
    </xf>
    <xf numFmtId="0" fontId="37" fillId="2" borderId="83" xfId="0" applyFont="1" applyFill="1" applyBorder="1" applyAlignment="1" applyProtection="1">
      <alignment horizontal="center" vertical="top" wrapText="1"/>
    </xf>
    <xf numFmtId="0" fontId="67" fillId="9" borderId="0" xfId="0" applyFont="1" applyFill="1" applyAlignment="1" applyProtection="1">
      <alignment vertical="center"/>
    </xf>
    <xf numFmtId="0" fontId="67" fillId="2" borderId="0" xfId="0" applyFont="1" applyFill="1" applyAlignment="1" applyProtection="1">
      <alignment vertical="center"/>
    </xf>
    <xf numFmtId="0" fontId="68" fillId="13" borderId="0" xfId="0" applyFont="1" applyFill="1" applyAlignment="1" applyProtection="1">
      <alignment vertical="center"/>
    </xf>
    <xf numFmtId="0" fontId="65" fillId="2" borderId="19" xfId="0" applyFont="1" applyFill="1" applyBorder="1" applyAlignment="1" applyProtection="1">
      <alignment vertical="top" wrapText="1"/>
    </xf>
    <xf numFmtId="0" fontId="65" fillId="2" borderId="21" xfId="0" applyFont="1" applyFill="1" applyBorder="1" applyAlignment="1" applyProtection="1">
      <alignment vertical="top" wrapText="1"/>
    </xf>
    <xf numFmtId="0" fontId="65" fillId="2" borderId="23" xfId="0" applyFont="1" applyFill="1" applyBorder="1" applyAlignment="1" applyProtection="1">
      <alignment vertical="top" wrapText="1"/>
    </xf>
    <xf numFmtId="0" fontId="69" fillId="3" borderId="0" xfId="0" applyFont="1" applyFill="1" applyBorder="1" applyAlignment="1" applyProtection="1">
      <alignment horizontal="left" vertical="center"/>
    </xf>
    <xf numFmtId="0" fontId="5" fillId="9" borderId="12" xfId="0" applyFont="1" applyFill="1" applyBorder="1" applyProtection="1"/>
    <xf numFmtId="0" fontId="4" fillId="9" borderId="12" xfId="0" applyFont="1" applyFill="1" applyBorder="1" applyAlignment="1" applyProtection="1">
      <alignment wrapText="1"/>
    </xf>
    <xf numFmtId="0" fontId="55" fillId="2" borderId="42" xfId="0" applyFont="1" applyFill="1" applyBorder="1" applyAlignment="1" applyProtection="1">
      <alignment horizontal="center" vertical="top" wrapText="1"/>
    </xf>
    <xf numFmtId="0" fontId="0" fillId="2" borderId="0" xfId="0" applyFill="1" applyBorder="1" applyAlignment="1">
      <alignment horizontal="left" vertical="top" wrapText="1"/>
    </xf>
    <xf numFmtId="0" fontId="2" fillId="2" borderId="20" xfId="0" applyFont="1" applyFill="1" applyBorder="1" applyAlignment="1" applyProtection="1">
      <alignment horizontal="right" vertical="center"/>
    </xf>
    <xf numFmtId="0" fontId="2" fillId="2" borderId="22" xfId="0" applyFont="1" applyFill="1" applyBorder="1" applyAlignment="1" applyProtection="1">
      <alignment horizontal="right" vertical="center"/>
    </xf>
    <xf numFmtId="0" fontId="2" fillId="2" borderId="24" xfId="0" applyFont="1" applyFill="1" applyBorder="1" applyAlignment="1" applyProtection="1">
      <alignment horizontal="right" vertical="center"/>
    </xf>
    <xf numFmtId="0" fontId="36" fillId="2" borderId="19" xfId="0" applyFont="1" applyFill="1" applyBorder="1" applyAlignment="1" applyProtection="1">
      <alignment vertical="top" wrapText="1"/>
    </xf>
    <xf numFmtId="0" fontId="36" fillId="2" borderId="21" xfId="0" applyFont="1" applyFill="1" applyBorder="1" applyAlignment="1" applyProtection="1">
      <alignment vertical="top" wrapText="1"/>
    </xf>
    <xf numFmtId="0" fontId="36" fillId="2" borderId="23" xfId="0" applyFont="1" applyFill="1" applyBorder="1" applyAlignment="1" applyProtection="1">
      <alignment vertical="top" wrapText="1"/>
    </xf>
    <xf numFmtId="9" fontId="58" fillId="2" borderId="18" xfId="0" applyNumberFormat="1" applyFont="1" applyFill="1" applyBorder="1" applyAlignment="1" applyProtection="1">
      <alignment horizontal="center" vertical="center" wrapText="1"/>
    </xf>
    <xf numFmtId="0" fontId="36" fillId="2" borderId="47" xfId="0" applyFont="1" applyFill="1" applyBorder="1" applyAlignment="1" applyProtection="1">
      <alignment horizontal="left" vertical="top" wrapText="1"/>
    </xf>
    <xf numFmtId="0" fontId="7" fillId="0" borderId="0" xfId="0" applyFont="1" applyAlignment="1" applyProtection="1">
      <alignment horizontal="center" vertical="top"/>
    </xf>
    <xf numFmtId="0" fontId="7" fillId="0" borderId="0" xfId="0" applyFont="1" applyAlignment="1" applyProtection="1">
      <alignment vertical="top"/>
    </xf>
    <xf numFmtId="0" fontId="8" fillId="0" borderId="0" xfId="0" applyFont="1" applyAlignment="1" applyProtection="1">
      <alignment vertical="top"/>
    </xf>
    <xf numFmtId="0" fontId="1" fillId="2" borderId="0" xfId="1" applyFill="1" applyAlignment="1" applyProtection="1">
      <alignment horizontal="left" vertical="top"/>
    </xf>
    <xf numFmtId="14" fontId="2" fillId="2" borderId="67" xfId="0" applyNumberFormat="1" applyFont="1" applyFill="1" applyBorder="1" applyAlignment="1" applyProtection="1">
      <alignment horizontal="center" vertical="top"/>
    </xf>
    <xf numFmtId="14" fontId="2" fillId="2" borderId="36" xfId="0" applyNumberFormat="1" applyFont="1" applyFill="1" applyBorder="1" applyAlignment="1" applyProtection="1">
      <alignment horizontal="center" vertical="top"/>
    </xf>
    <xf numFmtId="14" fontId="2" fillId="2" borderId="18" xfId="0" applyNumberFormat="1" applyFont="1" applyFill="1" applyBorder="1" applyAlignment="1" applyProtection="1">
      <alignment horizontal="center" vertical="top"/>
    </xf>
    <xf numFmtId="49" fontId="2" fillId="2" borderId="67" xfId="0" applyNumberFormat="1" applyFont="1" applyFill="1" applyBorder="1" applyAlignment="1" applyProtection="1">
      <alignment horizontal="center" vertical="top"/>
    </xf>
    <xf numFmtId="4" fontId="2" fillId="4" borderId="20" xfId="0" applyNumberFormat="1" applyFont="1" applyFill="1" applyBorder="1" applyAlignment="1" applyProtection="1">
      <alignment horizontal="center"/>
      <protection locked="0"/>
    </xf>
    <xf numFmtId="4" fontId="2" fillId="4" borderId="22" xfId="0" applyNumberFormat="1" applyFont="1" applyFill="1" applyBorder="1" applyAlignment="1" applyProtection="1">
      <alignment horizontal="center"/>
      <protection locked="0"/>
    </xf>
    <xf numFmtId="4" fontId="2" fillId="4" borderId="24" xfId="0" applyNumberFormat="1" applyFont="1" applyFill="1" applyBorder="1" applyAlignment="1" applyProtection="1">
      <alignment horizontal="center"/>
      <protection locked="0"/>
    </xf>
    <xf numFmtId="0" fontId="43" fillId="13" borderId="27" xfId="0" applyFont="1" applyFill="1" applyBorder="1" applyAlignment="1" applyProtection="1">
      <alignment horizontal="center"/>
    </xf>
    <xf numFmtId="172" fontId="43" fillId="13" borderId="27" xfId="0" applyNumberFormat="1" applyFont="1" applyFill="1" applyBorder="1" applyAlignment="1" applyProtection="1">
      <alignment horizontal="center"/>
    </xf>
    <xf numFmtId="4" fontId="43" fillId="13" borderId="27" xfId="0" applyNumberFormat="1" applyFont="1" applyFill="1" applyBorder="1" applyAlignment="1" applyProtection="1">
      <alignment horizontal="center"/>
    </xf>
    <xf numFmtId="3" fontId="43" fillId="13" borderId="27" xfId="0" applyNumberFormat="1" applyFont="1" applyFill="1" applyBorder="1" applyAlignment="1" applyProtection="1">
      <alignment horizontal="center"/>
    </xf>
    <xf numFmtId="0" fontId="43" fillId="13" borderId="27" xfId="0" applyFont="1" applyFill="1" applyBorder="1" applyProtection="1"/>
    <xf numFmtId="0" fontId="43" fillId="16" borderId="27" xfId="0" applyFont="1" applyFill="1" applyBorder="1" applyAlignment="1" applyProtection="1">
      <alignment horizontal="center"/>
    </xf>
    <xf numFmtId="0" fontId="43" fillId="11" borderId="27" xfId="0" applyFont="1" applyFill="1" applyBorder="1" applyAlignment="1" applyProtection="1">
      <alignment horizontal="center"/>
    </xf>
    <xf numFmtId="164" fontId="43" fillId="13" borderId="27" xfId="0" applyNumberFormat="1" applyFont="1" applyFill="1" applyBorder="1" applyAlignment="1" applyProtection="1">
      <alignment horizontal="center"/>
    </xf>
    <xf numFmtId="0" fontId="2" fillId="5" borderId="22" xfId="0" applyFont="1" applyFill="1" applyBorder="1" applyAlignment="1" applyProtection="1">
      <alignment horizontal="left"/>
      <protection locked="0"/>
    </xf>
    <xf numFmtId="0" fontId="2" fillId="6" borderId="22" xfId="0" applyFont="1" applyFill="1" applyBorder="1" applyAlignment="1" applyProtection="1">
      <alignment horizontal="left" vertical="center"/>
    </xf>
    <xf numFmtId="0" fontId="2" fillId="6" borderId="24" xfId="0" applyFont="1" applyFill="1" applyBorder="1" applyAlignment="1" applyProtection="1">
      <alignment horizontal="left" vertical="center"/>
    </xf>
    <xf numFmtId="0" fontId="2" fillId="5" borderId="24" xfId="0" applyFont="1" applyFill="1" applyBorder="1" applyAlignment="1" applyProtection="1">
      <alignment horizontal="left"/>
      <protection locked="0"/>
    </xf>
    <xf numFmtId="0" fontId="2" fillId="5" borderId="20" xfId="0" applyFont="1" applyFill="1" applyBorder="1" applyAlignment="1" applyProtection="1">
      <alignment horizontal="left"/>
      <protection locked="0"/>
    </xf>
    <xf numFmtId="0" fontId="2" fillId="6" borderId="20" xfId="0" applyFont="1" applyFill="1" applyBorder="1" applyAlignment="1" applyProtection="1">
      <alignment horizontal="left" vertical="center"/>
    </xf>
    <xf numFmtId="0" fontId="52" fillId="2" borderId="36" xfId="0" applyFont="1" applyFill="1" applyBorder="1" applyAlignment="1" applyProtection="1">
      <alignment horizontal="center" wrapText="1"/>
    </xf>
    <xf numFmtId="0" fontId="4" fillId="2" borderId="25" xfId="0" applyFont="1" applyFill="1" applyBorder="1" applyAlignment="1" applyProtection="1">
      <alignment horizontal="center" wrapText="1"/>
    </xf>
    <xf numFmtId="0" fontId="4" fillId="2" borderId="18" xfId="0" applyFont="1" applyFill="1" applyBorder="1" applyAlignment="1" applyProtection="1">
      <alignment horizontal="center" wrapText="1"/>
    </xf>
    <xf numFmtId="0" fontId="2" fillId="2" borderId="12" xfId="0" applyFont="1" applyFill="1" applyBorder="1" applyAlignment="1" applyProtection="1">
      <alignment horizontal="center" vertical="center"/>
    </xf>
    <xf numFmtId="3" fontId="2" fillId="6" borderId="12" xfId="0" applyNumberFormat="1" applyFont="1" applyFill="1" applyBorder="1" applyAlignment="1" applyProtection="1">
      <alignment horizontal="center" vertical="center"/>
    </xf>
    <xf numFmtId="0" fontId="72" fillId="9" borderId="0" xfId="0" applyFont="1" applyFill="1" applyAlignment="1" applyProtection="1">
      <alignment horizontal="center" vertical="center"/>
    </xf>
    <xf numFmtId="4" fontId="72" fillId="9" borderId="12" xfId="0" applyNumberFormat="1" applyFont="1" applyFill="1" applyBorder="1" applyAlignment="1" applyProtection="1">
      <alignment vertical="center"/>
    </xf>
    <xf numFmtId="4" fontId="72" fillId="9" borderId="14" xfId="0" applyNumberFormat="1" applyFont="1" applyFill="1" applyBorder="1" applyAlignment="1" applyProtection="1">
      <alignment vertical="center"/>
    </xf>
    <xf numFmtId="170" fontId="2" fillId="5" borderId="20" xfId="0" applyNumberFormat="1" applyFont="1" applyFill="1" applyBorder="1" applyAlignment="1" applyProtection="1">
      <alignment horizontal="center"/>
      <protection locked="0"/>
    </xf>
    <xf numFmtId="170" fontId="2" fillId="5" borderId="22" xfId="0" applyNumberFormat="1" applyFont="1" applyFill="1" applyBorder="1" applyAlignment="1" applyProtection="1">
      <alignment horizontal="center"/>
      <protection locked="0"/>
    </xf>
    <xf numFmtId="170" fontId="2" fillId="5" borderId="24" xfId="0" applyNumberFormat="1" applyFont="1" applyFill="1" applyBorder="1" applyAlignment="1" applyProtection="1">
      <alignment horizontal="center"/>
      <protection locked="0"/>
    </xf>
    <xf numFmtId="9" fontId="2" fillId="4" borderId="20" xfId="2" applyFont="1" applyFill="1" applyBorder="1" applyAlignment="1" applyProtection="1">
      <alignment horizontal="center"/>
      <protection locked="0"/>
    </xf>
    <xf numFmtId="9" fontId="2" fillId="4" borderId="22" xfId="2" applyFont="1" applyFill="1" applyBorder="1" applyAlignment="1" applyProtection="1">
      <alignment horizontal="center"/>
      <protection locked="0"/>
    </xf>
    <xf numFmtId="9" fontId="2" fillId="4" borderId="24" xfId="2" applyFont="1" applyFill="1" applyBorder="1" applyAlignment="1" applyProtection="1">
      <alignment horizontal="center"/>
      <protection locked="0"/>
    </xf>
    <xf numFmtId="0" fontId="4" fillId="2" borderId="12" xfId="0" applyFont="1" applyFill="1" applyBorder="1" applyAlignment="1" applyProtection="1">
      <alignment horizontal="left" vertical="center"/>
    </xf>
    <xf numFmtId="0" fontId="2" fillId="2" borderId="12" xfId="0" applyFont="1" applyFill="1" applyBorder="1" applyAlignment="1" applyProtection="1">
      <alignment horizontal="left" vertical="top"/>
    </xf>
    <xf numFmtId="0" fontId="2" fillId="2" borderId="12" xfId="0" applyFont="1" applyFill="1" applyBorder="1" applyAlignment="1" applyProtection="1">
      <alignment horizontal="left" vertical="center"/>
    </xf>
    <xf numFmtId="0" fontId="1" fillId="2" borderId="0" xfId="1" applyFill="1" applyAlignment="1" applyProtection="1">
      <alignment horizontal="left" vertical="center"/>
    </xf>
    <xf numFmtId="0" fontId="33" fillId="24" borderId="0" xfId="0" applyFont="1" applyFill="1" applyAlignment="1" applyProtection="1">
      <alignment horizontal="left" vertical="center"/>
    </xf>
    <xf numFmtId="0" fontId="39" fillId="2" borderId="0" xfId="0" applyFont="1" applyFill="1" applyAlignment="1" applyProtection="1">
      <alignment horizontal="left" vertical="center"/>
    </xf>
    <xf numFmtId="0" fontId="25" fillId="2" borderId="17" xfId="0" applyFont="1" applyFill="1" applyBorder="1" applyAlignment="1" applyProtection="1">
      <alignment horizontal="left" vertical="top"/>
    </xf>
    <xf numFmtId="0" fontId="25" fillId="2" borderId="0" xfId="0" applyFont="1" applyFill="1" applyAlignment="1" applyProtection="1">
      <alignment horizontal="left" vertical="top"/>
    </xf>
    <xf numFmtId="0" fontId="4" fillId="2" borderId="12" xfId="0" applyFont="1" applyFill="1" applyBorder="1" applyAlignment="1" applyProtection="1">
      <alignment horizontal="left"/>
    </xf>
    <xf numFmtId="0" fontId="4" fillId="2" borderId="68" xfId="0" applyFont="1" applyFill="1" applyBorder="1" applyAlignment="1" applyProtection="1">
      <alignment horizontal="left"/>
    </xf>
    <xf numFmtId="0" fontId="4" fillId="2" borderId="70" xfId="0" applyFont="1" applyFill="1" applyBorder="1" applyAlignment="1" applyProtection="1">
      <alignment horizontal="left"/>
    </xf>
    <xf numFmtId="0" fontId="4" fillId="2" borderId="25" xfId="0" applyFont="1" applyFill="1" applyBorder="1" applyAlignment="1" applyProtection="1">
      <alignment horizontal="left"/>
    </xf>
    <xf numFmtId="0" fontId="4" fillId="2" borderId="67" xfId="0" applyFont="1" applyFill="1" applyBorder="1" applyAlignment="1" applyProtection="1">
      <alignment horizontal="left"/>
    </xf>
    <xf numFmtId="0" fontId="52" fillId="2" borderId="36" xfId="0" applyFont="1" applyFill="1" applyBorder="1" applyAlignment="1" applyProtection="1">
      <alignment horizontal="left"/>
    </xf>
    <xf numFmtId="0" fontId="45" fillId="25" borderId="0" xfId="0" applyFont="1" applyFill="1" applyAlignment="1" applyProtection="1">
      <alignment horizontal="left" vertical="center"/>
    </xf>
    <xf numFmtId="0" fontId="2" fillId="6" borderId="0" xfId="0" applyFont="1" applyFill="1" applyProtection="1"/>
    <xf numFmtId="0" fontId="2" fillId="6" borderId="0" xfId="0" applyFont="1" applyFill="1" applyAlignment="1" applyProtection="1">
      <alignment horizontal="center"/>
    </xf>
    <xf numFmtId="0" fontId="4" fillId="6" borderId="0" xfId="0" applyFont="1" applyFill="1" applyAlignment="1" applyProtection="1">
      <alignment horizontal="center"/>
    </xf>
    <xf numFmtId="0" fontId="4" fillId="6" borderId="0" xfId="0" applyFont="1" applyFill="1" applyProtection="1"/>
    <xf numFmtId="0" fontId="2" fillId="6" borderId="12" xfId="0" applyFont="1" applyFill="1" applyBorder="1" applyAlignment="1" applyProtection="1">
      <alignment horizontal="center"/>
    </xf>
    <xf numFmtId="0" fontId="2" fillId="4" borderId="20" xfId="0" applyFont="1" applyFill="1" applyBorder="1" applyAlignment="1" applyProtection="1">
      <alignment horizontal="left"/>
      <protection locked="0"/>
    </xf>
    <xf numFmtId="0" fontId="2" fillId="4" borderId="22" xfId="0" applyFont="1" applyFill="1" applyBorder="1" applyAlignment="1" applyProtection="1">
      <alignment horizontal="left"/>
      <protection locked="0"/>
    </xf>
    <xf numFmtId="0" fontId="2" fillId="4" borderId="24" xfId="0" applyFont="1" applyFill="1" applyBorder="1" applyAlignment="1" applyProtection="1">
      <alignment horizontal="left"/>
      <protection locked="0"/>
    </xf>
    <xf numFmtId="0" fontId="2" fillId="4" borderId="20" xfId="0" applyFont="1" applyFill="1" applyBorder="1" applyProtection="1">
      <protection locked="0"/>
    </xf>
    <xf numFmtId="0" fontId="2" fillId="4" borderId="22" xfId="0" applyFont="1" applyFill="1" applyBorder="1" applyProtection="1">
      <protection locked="0"/>
    </xf>
    <xf numFmtId="0" fontId="2" fillId="4" borderId="24" xfId="0" applyFont="1" applyFill="1" applyBorder="1" applyProtection="1">
      <protection locked="0"/>
    </xf>
    <xf numFmtId="0" fontId="2" fillId="0" borderId="15" xfId="0" applyFont="1" applyBorder="1" applyProtection="1"/>
    <xf numFmtId="0" fontId="2" fillId="14" borderId="12" xfId="0" applyFont="1" applyFill="1" applyBorder="1" applyAlignment="1" applyProtection="1">
      <alignment vertical="center"/>
    </xf>
    <xf numFmtId="0" fontId="2" fillId="14" borderId="67" xfId="0" applyFont="1" applyFill="1" applyBorder="1" applyAlignment="1" applyProtection="1">
      <alignment vertical="center"/>
    </xf>
    <xf numFmtId="0" fontId="3" fillId="14" borderId="13" xfId="0" applyFont="1" applyFill="1" applyBorder="1" applyProtection="1"/>
    <xf numFmtId="0" fontId="2" fillId="14" borderId="13" xfId="0" applyFont="1" applyFill="1" applyBorder="1" applyProtection="1"/>
    <xf numFmtId="0" fontId="10" fillId="9" borderId="12" xfId="0" applyFont="1" applyFill="1" applyBorder="1" applyAlignment="1" applyProtection="1">
      <alignment horizontal="center" vertical="center"/>
    </xf>
    <xf numFmtId="0" fontId="3" fillId="9" borderId="12" xfId="0" applyFont="1" applyFill="1" applyBorder="1" applyAlignment="1" applyProtection="1">
      <alignment horizontal="center" vertical="center"/>
    </xf>
    <xf numFmtId="0" fontId="2" fillId="9" borderId="15" xfId="0" applyFont="1" applyFill="1" applyBorder="1" applyAlignment="1" applyProtection="1">
      <alignment horizontal="center" vertical="center"/>
    </xf>
    <xf numFmtId="0" fontId="73" fillId="16" borderId="4" xfId="1" applyFont="1" applyFill="1" applyBorder="1" applyAlignment="1" applyProtection="1">
      <alignment horizontal="center" vertical="center"/>
    </xf>
    <xf numFmtId="0" fontId="73" fillId="16" borderId="8" xfId="1" applyFont="1" applyFill="1" applyBorder="1" applyAlignment="1" applyProtection="1">
      <alignment horizontal="center" vertical="center" wrapText="1"/>
    </xf>
    <xf numFmtId="0" fontId="55" fillId="2" borderId="0" xfId="0" applyFont="1" applyFill="1" applyBorder="1" applyAlignment="1" applyProtection="1">
      <alignment horizontal="center" vertical="top" wrapText="1"/>
    </xf>
    <xf numFmtId="9" fontId="8" fillId="26" borderId="29" xfId="2" quotePrefix="1" applyFont="1" applyFill="1" applyBorder="1" applyAlignment="1" applyProtection="1">
      <alignment horizontal="center" vertical="center"/>
    </xf>
    <xf numFmtId="0" fontId="2" fillId="2" borderId="70" xfId="0" applyFont="1" applyFill="1" applyBorder="1" applyAlignment="1" applyProtection="1">
      <alignment vertical="center"/>
    </xf>
    <xf numFmtId="0" fontId="2" fillId="2" borderId="32" xfId="0" applyFont="1" applyFill="1" applyBorder="1" applyAlignment="1" applyProtection="1">
      <alignment vertical="center"/>
    </xf>
    <xf numFmtId="0" fontId="2" fillId="2" borderId="33" xfId="0" applyFont="1" applyFill="1" applyBorder="1" applyAlignment="1" applyProtection="1">
      <alignment vertical="center"/>
    </xf>
    <xf numFmtId="0" fontId="2" fillId="2" borderId="34" xfId="0" applyFont="1" applyFill="1" applyBorder="1" applyAlignment="1" applyProtection="1">
      <alignment vertical="center"/>
    </xf>
    <xf numFmtId="0" fontId="2" fillId="2" borderId="120" xfId="0" applyFont="1" applyFill="1" applyBorder="1" applyAlignment="1" applyProtection="1">
      <alignment vertical="center"/>
    </xf>
    <xf numFmtId="0" fontId="2" fillId="10" borderId="121" xfId="0" applyFont="1" applyFill="1" applyBorder="1" applyAlignment="1" applyProtection="1">
      <alignment vertical="center"/>
    </xf>
    <xf numFmtId="0" fontId="2" fillId="2" borderId="122" xfId="0" applyFont="1" applyFill="1" applyBorder="1" applyAlignment="1" applyProtection="1">
      <alignment vertical="center"/>
    </xf>
    <xf numFmtId="0" fontId="2" fillId="2" borderId="119" xfId="0" applyFont="1" applyFill="1" applyBorder="1" applyAlignment="1" applyProtection="1">
      <alignment vertical="center"/>
    </xf>
    <xf numFmtId="0" fontId="2" fillId="9" borderId="1" xfId="0" applyFont="1" applyFill="1" applyBorder="1" applyAlignment="1" applyProtection="1">
      <alignment vertical="center"/>
    </xf>
    <xf numFmtId="0" fontId="2" fillId="2" borderId="3" xfId="0" applyFont="1" applyFill="1" applyBorder="1" applyAlignment="1" applyProtection="1">
      <alignment vertical="center"/>
    </xf>
    <xf numFmtId="0" fontId="38" fillId="2" borderId="0" xfId="0" applyFont="1" applyFill="1" applyBorder="1" applyAlignment="1" applyProtection="1">
      <alignment vertical="center"/>
    </xf>
    <xf numFmtId="0" fontId="13" fillId="3" borderId="0" xfId="0" applyFont="1" applyFill="1" applyBorder="1" applyAlignment="1" applyProtection="1">
      <alignment horizontal="center" vertical="center"/>
    </xf>
    <xf numFmtId="0" fontId="13" fillId="3" borderId="0"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0" xfId="0" applyFont="1" applyFill="1" applyBorder="1" applyAlignment="1" applyProtection="1">
      <alignment horizontal="right" vertical="center"/>
    </xf>
    <xf numFmtId="0" fontId="2" fillId="9" borderId="90" xfId="0" applyFont="1" applyFill="1" applyBorder="1" applyAlignment="1" applyProtection="1">
      <alignment horizontal="center" vertical="center"/>
    </xf>
    <xf numFmtId="0" fontId="2" fillId="24" borderId="0" xfId="0" applyFont="1" applyFill="1" applyBorder="1" applyAlignment="1" applyProtection="1">
      <alignment vertical="center"/>
    </xf>
    <xf numFmtId="0" fontId="2" fillId="2" borderId="0" xfId="0" applyFont="1" applyFill="1" applyBorder="1" applyAlignment="1" applyProtection="1">
      <alignment horizontal="center" vertical="center"/>
    </xf>
    <xf numFmtId="0" fontId="2" fillId="2" borderId="0" xfId="0" applyFont="1" applyFill="1" applyBorder="1" applyProtection="1"/>
    <xf numFmtId="0" fontId="4" fillId="2" borderId="0" xfId="0" applyFont="1" applyFill="1" applyBorder="1" applyProtection="1"/>
    <xf numFmtId="0" fontId="4" fillId="2" borderId="0" xfId="0" applyFont="1" applyFill="1" applyBorder="1" applyAlignment="1" applyProtection="1">
      <alignment horizontal="right"/>
    </xf>
    <xf numFmtId="0" fontId="2" fillId="9" borderId="9" xfId="0" applyFont="1" applyFill="1" applyBorder="1" applyAlignment="1" applyProtection="1">
      <alignment vertical="center"/>
    </xf>
    <xf numFmtId="0" fontId="2" fillId="9" borderId="35" xfId="0" applyFont="1" applyFill="1" applyBorder="1" applyAlignment="1" applyProtection="1">
      <alignment horizontal="center" vertical="center"/>
    </xf>
    <xf numFmtId="0" fontId="2" fillId="2" borderId="1" xfId="0" applyFont="1" applyFill="1" applyBorder="1" applyAlignment="1" applyProtection="1">
      <alignment vertical="center"/>
    </xf>
    <xf numFmtId="0" fontId="2" fillId="2" borderId="2" xfId="0" applyFont="1" applyFill="1" applyBorder="1" applyAlignment="1" applyProtection="1">
      <alignment vertical="center"/>
    </xf>
    <xf numFmtId="0" fontId="2" fillId="9" borderId="2" xfId="0" applyFont="1" applyFill="1" applyBorder="1" applyAlignment="1" applyProtection="1">
      <alignment vertical="center"/>
    </xf>
    <xf numFmtId="0" fontId="2" fillId="14" borderId="88" xfId="0" applyFont="1" applyFill="1" applyBorder="1" applyAlignment="1" applyProtection="1">
      <alignment vertical="center"/>
    </xf>
    <xf numFmtId="0" fontId="2" fillId="9" borderId="3" xfId="0" applyFont="1" applyFill="1" applyBorder="1" applyAlignment="1" applyProtection="1">
      <alignment vertical="center"/>
    </xf>
    <xf numFmtId="0" fontId="2" fillId="9" borderId="0" xfId="0" applyFont="1" applyFill="1" applyBorder="1" applyAlignment="1" applyProtection="1">
      <alignment horizontal="right" vertical="center"/>
    </xf>
    <xf numFmtId="0" fontId="2" fillId="9" borderId="91" xfId="0" applyFont="1" applyFill="1" applyBorder="1" applyAlignment="1" applyProtection="1">
      <alignment horizontal="center" vertical="center"/>
    </xf>
    <xf numFmtId="0" fontId="2" fillId="9" borderId="0" xfId="0" applyFont="1" applyFill="1" applyBorder="1" applyProtection="1"/>
    <xf numFmtId="0" fontId="4" fillId="9" borderId="0" xfId="0" applyFont="1" applyFill="1" applyBorder="1" applyAlignment="1" applyProtection="1">
      <alignment vertical="center"/>
    </xf>
    <xf numFmtId="0" fontId="3" fillId="9" borderId="91" xfId="0" applyFont="1" applyFill="1" applyBorder="1" applyAlignment="1" applyProtection="1">
      <alignment vertical="center"/>
    </xf>
    <xf numFmtId="0" fontId="2" fillId="9" borderId="91" xfId="0" applyFont="1" applyFill="1" applyBorder="1" applyAlignment="1" applyProtection="1">
      <alignment vertical="center"/>
    </xf>
    <xf numFmtId="0" fontId="72" fillId="9" borderId="0" xfId="0" applyFont="1" applyFill="1" applyBorder="1" applyAlignment="1" applyProtection="1">
      <alignment vertical="center"/>
    </xf>
    <xf numFmtId="0" fontId="3" fillId="9" borderId="0" xfId="0" applyFont="1" applyFill="1" applyBorder="1" applyAlignment="1" applyProtection="1">
      <alignment vertical="center"/>
    </xf>
    <xf numFmtId="0" fontId="3" fillId="9" borderId="0" xfId="0" applyFont="1" applyFill="1" applyBorder="1" applyAlignment="1" applyProtection="1">
      <alignment horizontal="right" vertical="center"/>
    </xf>
    <xf numFmtId="0" fontId="2" fillId="2" borderId="9" xfId="0" applyFont="1" applyFill="1" applyBorder="1" applyAlignment="1" applyProtection="1">
      <alignment vertical="center"/>
    </xf>
    <xf numFmtId="0" fontId="2" fillId="9" borderId="10" xfId="0" applyFont="1" applyFill="1" applyBorder="1" applyAlignment="1" applyProtection="1">
      <alignment vertical="center"/>
    </xf>
    <xf numFmtId="0" fontId="2" fillId="9" borderId="11" xfId="0" applyFont="1" applyFill="1" applyBorder="1" applyAlignment="1" applyProtection="1">
      <alignment vertical="center"/>
    </xf>
    <xf numFmtId="0" fontId="2" fillId="2" borderId="0" xfId="0" applyFont="1" applyFill="1" applyBorder="1" applyAlignment="1" applyProtection="1">
      <alignment wrapText="1"/>
    </xf>
    <xf numFmtId="0" fontId="65" fillId="2" borderId="0" xfId="0" applyFont="1" applyFill="1" applyBorder="1" applyAlignment="1" applyProtection="1">
      <alignment vertical="center"/>
    </xf>
    <xf numFmtId="15" fontId="65" fillId="2" borderId="0" xfId="0" applyNumberFormat="1" applyFont="1" applyFill="1" applyBorder="1" applyAlignment="1" applyProtection="1">
      <alignment horizontal="right" vertical="top"/>
    </xf>
    <xf numFmtId="0" fontId="2" fillId="9" borderId="6" xfId="0" applyFont="1" applyFill="1" applyBorder="1" applyAlignment="1" applyProtection="1">
      <alignment wrapText="1"/>
    </xf>
    <xf numFmtId="0" fontId="4" fillId="2" borderId="0" xfId="0" applyFont="1" applyFill="1" applyBorder="1" applyAlignment="1" applyProtection="1">
      <alignment horizontal="center"/>
    </xf>
    <xf numFmtId="0" fontId="4" fillId="2" borderId="0" xfId="0" applyFont="1" applyFill="1" applyBorder="1" applyAlignment="1" applyProtection="1">
      <alignment wrapText="1"/>
    </xf>
    <xf numFmtId="0" fontId="4" fillId="2" borderId="0" xfId="0" applyFont="1" applyFill="1" applyBorder="1" applyAlignment="1" applyProtection="1"/>
    <xf numFmtId="0" fontId="27" fillId="2" borderId="0" xfId="0" applyFont="1" applyFill="1" applyBorder="1" applyAlignment="1" applyProtection="1">
      <alignment horizontal="left" vertical="center" indent="1"/>
    </xf>
    <xf numFmtId="0" fontId="2" fillId="10" borderId="91" xfId="0" applyFont="1" applyFill="1" applyBorder="1" applyAlignment="1" applyProtection="1">
      <alignment vertical="center"/>
    </xf>
    <xf numFmtId="0" fontId="2" fillId="2" borderId="123" xfId="0" applyFont="1" applyFill="1" applyBorder="1" applyAlignment="1" applyProtection="1">
      <alignment vertical="center"/>
    </xf>
    <xf numFmtId="0" fontId="2" fillId="2" borderId="124" xfId="0" applyFont="1" applyFill="1" applyBorder="1" applyAlignment="1" applyProtection="1">
      <alignment vertical="center"/>
    </xf>
    <xf numFmtId="0" fontId="19" fillId="13" borderId="0" xfId="0" applyFont="1" applyFill="1" applyBorder="1" applyAlignment="1" applyProtection="1"/>
    <xf numFmtId="0" fontId="3" fillId="13" borderId="0" xfId="0" applyFont="1" applyFill="1" applyBorder="1" applyAlignment="1" applyProtection="1"/>
    <xf numFmtId="0" fontId="19" fillId="24" borderId="0" xfId="0" applyFont="1" applyFill="1" applyBorder="1" applyAlignment="1" applyProtection="1"/>
    <xf numFmtId="0" fontId="3" fillId="24" borderId="0" xfId="0" applyFont="1" applyFill="1" applyBorder="1" applyAlignment="1" applyProtection="1">
      <alignment vertical="top"/>
    </xf>
    <xf numFmtId="0" fontId="32" fillId="13" borderId="0" xfId="0" applyFont="1" applyFill="1" applyBorder="1" applyAlignment="1" applyProtection="1">
      <alignment horizontal="center" vertical="center"/>
    </xf>
    <xf numFmtId="0" fontId="10" fillId="13" borderId="0" xfId="0" applyFont="1" applyFill="1" applyBorder="1" applyAlignment="1" applyProtection="1">
      <alignment horizontal="center" vertical="top"/>
    </xf>
    <xf numFmtId="0" fontId="2" fillId="2" borderId="0" xfId="0" applyFont="1" applyFill="1" applyBorder="1" applyAlignment="1" applyProtection="1"/>
    <xf numFmtId="0" fontId="3" fillId="13" borderId="0" xfId="0" applyFont="1" applyFill="1" applyBorder="1" applyAlignment="1" applyProtection="1">
      <alignment vertical="top"/>
    </xf>
    <xf numFmtId="0" fontId="10" fillId="13" borderId="0" xfId="0" applyFont="1" applyFill="1" applyBorder="1" applyAlignment="1" applyProtection="1">
      <alignment vertical="top" wrapText="1"/>
    </xf>
    <xf numFmtId="0" fontId="10" fillId="13" borderId="0" xfId="0" applyFont="1" applyFill="1" applyBorder="1" applyAlignment="1" applyProtection="1">
      <alignment horizontal="center"/>
    </xf>
    <xf numFmtId="0" fontId="10" fillId="13" borderId="0" xfId="0" applyFont="1" applyFill="1" applyBorder="1" applyAlignment="1" applyProtection="1"/>
    <xf numFmtId="0" fontId="10" fillId="13" borderId="0" xfId="0" applyFont="1" applyFill="1" applyBorder="1" applyAlignment="1" applyProtection="1">
      <alignment horizontal="center" vertical="top" wrapText="1"/>
    </xf>
    <xf numFmtId="0" fontId="65" fillId="24" borderId="0" xfId="0" applyFont="1" applyFill="1" applyBorder="1" applyAlignment="1" applyProtection="1">
      <alignment vertical="top" wrapText="1"/>
    </xf>
    <xf numFmtId="0" fontId="18" fillId="24" borderId="0" xfId="0" applyFont="1" applyFill="1" applyBorder="1" applyAlignment="1" applyProtection="1">
      <alignment vertical="top" wrapText="1"/>
    </xf>
    <xf numFmtId="0" fontId="44" fillId="24" borderId="0" xfId="0" applyFont="1" applyFill="1" applyBorder="1" applyAlignment="1" applyProtection="1">
      <alignment vertical="top" wrapText="1"/>
    </xf>
    <xf numFmtId="0" fontId="9" fillId="2" borderId="0" xfId="0" applyFont="1" applyFill="1" applyBorder="1" applyAlignment="1" applyProtection="1"/>
    <xf numFmtId="0" fontId="9" fillId="2" borderId="0" xfId="0" applyFont="1" applyFill="1" applyBorder="1" applyAlignment="1" applyProtection="1">
      <alignment vertical="center"/>
    </xf>
    <xf numFmtId="0" fontId="38" fillId="2" borderId="0" xfId="0" applyFont="1" applyFill="1" applyBorder="1" applyAlignment="1" applyProtection="1">
      <alignment horizontal="left" vertical="center"/>
    </xf>
    <xf numFmtId="0" fontId="33" fillId="2" borderId="0" xfId="0" applyFont="1" applyFill="1" applyBorder="1" applyAlignment="1" applyProtection="1">
      <alignment horizontal="center" vertical="top"/>
    </xf>
    <xf numFmtId="0" fontId="9" fillId="2" borderId="0" xfId="0" applyFont="1" applyFill="1" applyBorder="1" applyAlignment="1" applyProtection="1">
      <alignment horizontal="center" vertical="center"/>
    </xf>
    <xf numFmtId="0" fontId="25" fillId="2" borderId="0" xfId="0" applyFont="1" applyFill="1" applyBorder="1" applyAlignment="1" applyProtection="1">
      <alignment horizontal="right" vertical="top"/>
    </xf>
    <xf numFmtId="0" fontId="2" fillId="24" borderId="0" xfId="0" applyFont="1" applyFill="1" applyBorder="1" applyAlignment="1" applyProtection="1">
      <alignment horizontal="center" vertical="center"/>
    </xf>
    <xf numFmtId="0" fontId="2" fillId="24" borderId="0" xfId="0" applyFont="1" applyFill="1" applyBorder="1" applyProtection="1"/>
    <xf numFmtId="0" fontId="1" fillId="2" borderId="0" xfId="1" applyFill="1" applyBorder="1" applyAlignment="1" applyProtection="1">
      <alignment vertical="center"/>
    </xf>
    <xf numFmtId="0" fontId="32" fillId="2" borderId="0" xfId="0" applyFont="1" applyFill="1" applyBorder="1" applyAlignment="1" applyProtection="1">
      <alignment vertical="center"/>
    </xf>
    <xf numFmtId="0" fontId="33" fillId="2" borderId="0" xfId="0" applyFont="1" applyFill="1" applyBorder="1" applyAlignment="1" applyProtection="1">
      <alignment vertical="center"/>
    </xf>
    <xf numFmtId="0" fontId="4" fillId="2" borderId="0" xfId="0" applyFont="1" applyFill="1" applyBorder="1" applyAlignment="1" applyProtection="1">
      <alignment horizontal="right" wrapText="1"/>
    </xf>
    <xf numFmtId="0" fontId="2" fillId="9" borderId="6" xfId="0" applyFont="1" applyFill="1" applyBorder="1" applyAlignment="1" applyProtection="1"/>
    <xf numFmtId="0" fontId="70" fillId="2" borderId="0" xfId="0" applyFont="1" applyFill="1" applyBorder="1" applyAlignment="1" applyProtection="1">
      <alignment vertical="center"/>
    </xf>
    <xf numFmtId="0" fontId="2" fillId="9" borderId="6" xfId="0" applyFont="1" applyFill="1" applyBorder="1" applyAlignment="1" applyProtection="1">
      <alignment vertical="center" wrapText="1"/>
    </xf>
    <xf numFmtId="0" fontId="28" fillId="2" borderId="0" xfId="0" applyFont="1" applyFill="1" applyBorder="1" applyAlignment="1" applyProtection="1">
      <alignment vertical="center"/>
    </xf>
    <xf numFmtId="165" fontId="2" fillId="2" borderId="0" xfId="0" applyNumberFormat="1" applyFont="1" applyFill="1" applyBorder="1" applyAlignment="1" applyProtection="1">
      <alignment vertical="center"/>
    </xf>
    <xf numFmtId="165" fontId="2" fillId="2" borderId="10" xfId="0" applyNumberFormat="1" applyFont="1" applyFill="1" applyBorder="1" applyAlignment="1" applyProtection="1">
      <alignment vertical="center"/>
    </xf>
    <xf numFmtId="0" fontId="2" fillId="2" borderId="6" xfId="0" applyFont="1" applyFill="1" applyBorder="1" applyAlignment="1" applyProtection="1">
      <alignment vertical="center" wrapText="1"/>
    </xf>
    <xf numFmtId="0" fontId="11" fillId="2" borderId="0" xfId="0" applyFont="1" applyFill="1" applyBorder="1" applyAlignment="1" applyProtection="1">
      <alignment vertical="center"/>
    </xf>
    <xf numFmtId="0" fontId="33" fillId="2" borderId="0" xfId="0" applyFont="1" applyFill="1" applyBorder="1" applyAlignment="1" applyProtection="1">
      <alignment horizontal="right" vertical="center"/>
    </xf>
    <xf numFmtId="0" fontId="40" fillId="2" borderId="0" xfId="1" applyFont="1" applyFill="1" applyBorder="1" applyAlignment="1" applyProtection="1">
      <alignment vertical="center"/>
    </xf>
    <xf numFmtId="0" fontId="4" fillId="2" borderId="9" xfId="0" applyFont="1" applyFill="1" applyBorder="1" applyAlignment="1" applyProtection="1">
      <alignment vertical="center"/>
    </xf>
    <xf numFmtId="49" fontId="2" fillId="2" borderId="36" xfId="0" applyNumberFormat="1" applyFont="1" applyFill="1" applyBorder="1" applyAlignment="1" applyProtection="1">
      <alignment horizontal="center" vertical="top"/>
    </xf>
    <xf numFmtId="49" fontId="2" fillId="2" borderId="18" xfId="0" applyNumberFormat="1" applyFont="1" applyFill="1" applyBorder="1" applyAlignment="1" applyProtection="1">
      <alignment horizontal="center" vertical="top"/>
    </xf>
    <xf numFmtId="0" fontId="5" fillId="6" borderId="20" xfId="0" applyFont="1" applyFill="1" applyBorder="1" applyAlignment="1" applyProtection="1">
      <alignment vertical="center" shrinkToFit="1"/>
    </xf>
    <xf numFmtId="0" fontId="5" fillId="6" borderId="22" xfId="0" applyFont="1" applyFill="1" applyBorder="1" applyAlignment="1" applyProtection="1">
      <alignment vertical="center" shrinkToFit="1"/>
    </xf>
    <xf numFmtId="0" fontId="5" fillId="6" borderId="24" xfId="0" applyFont="1" applyFill="1" applyBorder="1" applyAlignment="1" applyProtection="1">
      <alignment vertical="center" shrinkToFit="1"/>
    </xf>
    <xf numFmtId="3" fontId="2" fillId="9" borderId="83" xfId="0" applyNumberFormat="1" applyFont="1" applyFill="1" applyBorder="1" applyAlignment="1" applyProtection="1">
      <alignment vertical="center"/>
    </xf>
    <xf numFmtId="0" fontId="2" fillId="2" borderId="20" xfId="0" applyFont="1" applyFill="1" applyBorder="1" applyAlignment="1" applyProtection="1">
      <alignment horizontal="center" shrinkToFit="1"/>
    </xf>
    <xf numFmtId="0" fontId="2" fillId="2" borderId="22" xfId="0" applyFont="1" applyFill="1" applyBorder="1" applyAlignment="1" applyProtection="1">
      <alignment horizontal="center" shrinkToFit="1"/>
    </xf>
    <xf numFmtId="0" fontId="2" fillId="2" borderId="24" xfId="0" applyFont="1" applyFill="1" applyBorder="1" applyAlignment="1" applyProtection="1">
      <alignment horizontal="center" shrinkToFit="1"/>
    </xf>
    <xf numFmtId="0" fontId="3" fillId="9" borderId="0" xfId="0" applyFont="1" applyFill="1" applyAlignment="1" applyProtection="1">
      <alignment vertical="center" wrapText="1"/>
    </xf>
    <xf numFmtId="4" fontId="3" fillId="6" borderId="22" xfId="0" applyNumberFormat="1" applyFont="1" applyFill="1" applyBorder="1" applyAlignment="1" applyProtection="1">
      <alignment horizontal="center"/>
    </xf>
    <xf numFmtId="4" fontId="3" fillId="6" borderId="24" xfId="0" applyNumberFormat="1" applyFont="1" applyFill="1" applyBorder="1" applyAlignment="1" applyProtection="1">
      <alignment horizontal="center"/>
    </xf>
    <xf numFmtId="0" fontId="48" fillId="0" borderId="125" xfId="0" applyFont="1" applyBorder="1" applyAlignment="1" applyProtection="1">
      <alignment vertical="top"/>
    </xf>
    <xf numFmtId="0" fontId="48" fillId="0" borderId="83" xfId="0" applyFont="1" applyBorder="1" applyAlignment="1" applyProtection="1">
      <alignment vertical="top"/>
    </xf>
    <xf numFmtId="0" fontId="47" fillId="2" borderId="0" xfId="0" applyFont="1" applyFill="1" applyBorder="1" applyAlignment="1" applyProtection="1">
      <alignment vertical="center"/>
    </xf>
    <xf numFmtId="0" fontId="13" fillId="25" borderId="0" xfId="0" applyFont="1" applyFill="1" applyBorder="1" applyAlignment="1" applyProtection="1">
      <alignment horizontal="left" vertical="center"/>
    </xf>
    <xf numFmtId="0" fontId="13" fillId="25" borderId="0" xfId="0" applyFont="1" applyFill="1" applyBorder="1" applyAlignment="1" applyProtection="1">
      <alignment vertical="center"/>
    </xf>
    <xf numFmtId="0" fontId="14" fillId="25" borderId="0" xfId="0" applyFont="1" applyFill="1" applyBorder="1" applyAlignment="1" applyProtection="1">
      <alignment vertical="center"/>
    </xf>
    <xf numFmtId="0" fontId="10" fillId="8" borderId="1" xfId="0" applyFont="1" applyFill="1" applyBorder="1" applyAlignment="1" applyProtection="1">
      <alignment horizontal="left" vertical="center"/>
    </xf>
    <xf numFmtId="0" fontId="4" fillId="2" borderId="12" xfId="0" applyFont="1" applyFill="1" applyBorder="1" applyAlignment="1" applyProtection="1">
      <alignment vertical="center"/>
    </xf>
    <xf numFmtId="0" fontId="10" fillId="8" borderId="4" xfId="0" applyFont="1" applyFill="1" applyBorder="1" applyAlignment="1" applyProtection="1">
      <alignment horizontal="left" vertical="center"/>
    </xf>
    <xf numFmtId="0" fontId="3" fillId="13" borderId="77" xfId="0" applyFont="1" applyFill="1" applyBorder="1" applyAlignment="1" applyProtection="1">
      <alignment horizontal="left"/>
    </xf>
    <xf numFmtId="0" fontId="2" fillId="2" borderId="78" xfId="0" applyFont="1" applyFill="1" applyBorder="1" applyAlignment="1" applyProtection="1">
      <alignment horizontal="left"/>
    </xf>
    <xf numFmtId="0" fontId="56" fillId="27" borderId="0" xfId="0" applyFont="1" applyFill="1" applyAlignment="1" applyProtection="1">
      <alignment horizontal="left" vertical="center"/>
    </xf>
    <xf numFmtId="0" fontId="3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15" fillId="3" borderId="0" xfId="0" applyFont="1" applyFill="1" applyAlignment="1" applyProtection="1">
      <alignment horizontal="left" vertical="center"/>
    </xf>
    <xf numFmtId="0" fontId="14" fillId="3" borderId="0" xfId="0" applyFont="1" applyFill="1" applyAlignment="1" applyProtection="1">
      <alignment horizontal="left" vertical="center"/>
    </xf>
    <xf numFmtId="0" fontId="3" fillId="13" borderId="19" xfId="0" applyFont="1" applyFill="1" applyBorder="1" applyAlignment="1" applyProtection="1">
      <alignment horizontal="left"/>
    </xf>
    <xf numFmtId="0" fontId="3" fillId="13" borderId="21" xfId="0" applyFont="1" applyFill="1" applyBorder="1" applyAlignment="1" applyProtection="1">
      <alignment horizontal="left"/>
    </xf>
    <xf numFmtId="0" fontId="3" fillId="13" borderId="26" xfId="0" applyFont="1" applyFill="1" applyBorder="1" applyAlignment="1" applyProtection="1">
      <alignment horizontal="left"/>
    </xf>
    <xf numFmtId="0" fontId="3" fillId="13" borderId="23" xfId="0" applyFont="1" applyFill="1" applyBorder="1" applyAlignment="1" applyProtection="1">
      <alignment horizontal="left"/>
    </xf>
    <xf numFmtId="0" fontId="4" fillId="2" borderId="0" xfId="0" applyFont="1" applyFill="1" applyAlignment="1" applyProtection="1">
      <alignment horizontal="left"/>
    </xf>
    <xf numFmtId="0" fontId="4" fillId="2" borderId="15" xfId="0" applyFont="1" applyFill="1" applyBorder="1" applyAlignment="1" applyProtection="1">
      <alignment horizontal="left"/>
    </xf>
    <xf numFmtId="0" fontId="20" fillId="3" borderId="0" xfId="0" applyFont="1" applyFill="1" applyBorder="1" applyAlignment="1" applyProtection="1">
      <alignment horizontal="left" vertical="center"/>
    </xf>
    <xf numFmtId="0" fontId="20" fillId="3" borderId="28" xfId="0" quotePrefix="1" applyFont="1" applyFill="1" applyBorder="1" applyAlignment="1" applyProtection="1">
      <alignment horizontal="left"/>
    </xf>
    <xf numFmtId="0" fontId="20" fillId="3" borderId="29" xfId="0" applyFont="1" applyFill="1" applyBorder="1" applyAlignment="1" applyProtection="1">
      <alignment horizontal="left"/>
    </xf>
    <xf numFmtId="0" fontId="23" fillId="16" borderId="29" xfId="0" applyFont="1" applyFill="1" applyBorder="1" applyAlignment="1" applyProtection="1">
      <alignment horizontal="left"/>
    </xf>
    <xf numFmtId="0" fontId="20" fillId="3" borderId="30" xfId="0" applyFont="1" applyFill="1" applyBorder="1" applyAlignment="1" applyProtection="1">
      <alignment horizontal="left"/>
    </xf>
    <xf numFmtId="0" fontId="43" fillId="2" borderId="108" xfId="0" applyFont="1" applyFill="1" applyBorder="1" applyAlignment="1" applyProtection="1">
      <alignment horizontal="left"/>
    </xf>
    <xf numFmtId="0" fontId="43" fillId="13" borderId="108" xfId="0" applyFont="1" applyFill="1" applyBorder="1" applyAlignment="1" applyProtection="1">
      <alignment horizontal="left"/>
    </xf>
    <xf numFmtId="0" fontId="43" fillId="2" borderId="22" xfId="0" applyFont="1" applyFill="1" applyBorder="1" applyAlignment="1" applyProtection="1">
      <alignment horizontal="left"/>
    </xf>
    <xf numFmtId="0" fontId="43" fillId="13" borderId="22" xfId="0" applyFont="1" applyFill="1" applyBorder="1" applyAlignment="1" applyProtection="1">
      <alignment horizontal="left"/>
    </xf>
    <xf numFmtId="0" fontId="43" fillId="2" borderId="24" xfId="0" applyFont="1" applyFill="1" applyBorder="1" applyAlignment="1" applyProtection="1">
      <alignment horizontal="left"/>
    </xf>
    <xf numFmtId="0" fontId="43" fillId="13" borderId="24" xfId="0" applyFont="1" applyFill="1" applyBorder="1" applyAlignment="1" applyProtection="1">
      <alignment horizontal="left"/>
    </xf>
    <xf numFmtId="0" fontId="2" fillId="9" borderId="0" xfId="0" applyFont="1" applyFill="1" applyAlignment="1" applyProtection="1">
      <alignment horizontal="left" vertical="center"/>
    </xf>
    <xf numFmtId="0" fontId="2" fillId="9" borderId="0" xfId="0" applyFont="1" applyFill="1" applyAlignment="1" applyProtection="1">
      <alignment horizontal="left"/>
    </xf>
    <xf numFmtId="0" fontId="43" fillId="2" borderId="18" xfId="0" applyFont="1" applyFill="1" applyBorder="1" applyAlignment="1" applyProtection="1">
      <alignment horizontal="left"/>
    </xf>
    <xf numFmtId="0" fontId="43" fillId="13" borderId="18" xfId="0" applyFont="1" applyFill="1" applyBorder="1" applyAlignment="1" applyProtection="1">
      <alignment horizontal="left"/>
    </xf>
    <xf numFmtId="0" fontId="37" fillId="2" borderId="0" xfId="0" applyFont="1" applyFill="1" applyAlignment="1" applyProtection="1">
      <alignment horizontal="left" vertical="center"/>
    </xf>
    <xf numFmtId="0" fontId="4" fillId="2" borderId="36" xfId="0" applyFont="1" applyFill="1" applyBorder="1" applyAlignment="1" applyProtection="1">
      <alignment horizontal="left"/>
    </xf>
    <xf numFmtId="0" fontId="4" fillId="2" borderId="16" xfId="0" applyFont="1" applyFill="1" applyBorder="1" applyAlignment="1" applyProtection="1">
      <alignment horizontal="left" vertical="center"/>
    </xf>
    <xf numFmtId="0" fontId="4" fillId="2" borderId="0" xfId="0" applyFont="1" applyFill="1" applyAlignment="1" applyProtection="1">
      <alignment horizontal="left" vertical="center"/>
    </xf>
    <xf numFmtId="0" fontId="4" fillId="2" borderId="17" xfId="0" applyFont="1" applyFill="1" applyBorder="1" applyAlignment="1" applyProtection="1">
      <alignment horizontal="left" vertical="center"/>
    </xf>
    <xf numFmtId="0" fontId="4" fillId="2" borderId="18"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4" fillId="8" borderId="0" xfId="0" applyFont="1" applyFill="1" applyBorder="1" applyAlignment="1" applyProtection="1">
      <alignment horizontal="left"/>
    </xf>
    <xf numFmtId="0" fontId="4" fillId="8" borderId="16" xfId="0" applyFont="1" applyFill="1" applyBorder="1" applyAlignment="1" applyProtection="1">
      <alignment horizontal="left" vertical="center"/>
    </xf>
    <xf numFmtId="0" fontId="37" fillId="8" borderId="0" xfId="0" applyFont="1" applyFill="1" applyBorder="1" applyAlignment="1" applyProtection="1">
      <alignment horizontal="left" vertical="center"/>
    </xf>
    <xf numFmtId="0" fontId="4" fillId="8" borderId="0" xfId="0" applyFont="1" applyFill="1" applyBorder="1" applyAlignment="1" applyProtection="1">
      <alignment horizontal="left" vertical="center"/>
    </xf>
    <xf numFmtId="0" fontId="2" fillId="8" borderId="16" xfId="0" applyFont="1" applyFill="1" applyBorder="1" applyAlignment="1" applyProtection="1">
      <alignment horizontal="left" vertical="center"/>
    </xf>
    <xf numFmtId="0" fontId="32" fillId="13" borderId="0" xfId="0" applyFont="1" applyFill="1" applyAlignment="1" applyProtection="1">
      <alignment horizontal="left" vertical="center"/>
    </xf>
    <xf numFmtId="0" fontId="10" fillId="13" borderId="25" xfId="0" applyNumberFormat="1" applyFont="1" applyFill="1" applyBorder="1" applyAlignment="1" applyProtection="1">
      <alignment horizontal="left"/>
    </xf>
    <xf numFmtId="0" fontId="10" fillId="2" borderId="18" xfId="0" applyNumberFormat="1" applyFont="1" applyFill="1" applyBorder="1" applyAlignment="1" applyProtection="1">
      <alignment horizontal="left"/>
    </xf>
    <xf numFmtId="0" fontId="2" fillId="2" borderId="16" xfId="0" applyFont="1" applyFill="1" applyBorder="1" applyAlignment="1" applyProtection="1">
      <alignment horizontal="left" vertical="center"/>
    </xf>
    <xf numFmtId="0" fontId="2" fillId="2" borderId="14" xfId="0" applyFont="1" applyFill="1" applyBorder="1" applyAlignment="1" applyProtection="1">
      <alignment horizontal="left" vertical="center"/>
    </xf>
    <xf numFmtId="0" fontId="52" fillId="2" borderId="17" xfId="0" applyFont="1" applyFill="1" applyBorder="1" applyAlignment="1" applyProtection="1">
      <alignment horizontal="left"/>
    </xf>
    <xf numFmtId="0" fontId="55" fillId="2" borderId="19" xfId="0" applyFont="1" applyFill="1" applyBorder="1" applyAlignment="1" applyProtection="1">
      <alignment horizontal="left"/>
    </xf>
    <xf numFmtId="0" fontId="55" fillId="2" borderId="0" xfId="0" applyFont="1" applyFill="1" applyBorder="1" applyAlignment="1" applyProtection="1">
      <alignment horizontal="left" vertical="center"/>
    </xf>
    <xf numFmtId="0" fontId="32" fillId="2" borderId="0" xfId="0" applyFont="1" applyFill="1" applyAlignment="1" applyProtection="1">
      <alignment horizontal="left" vertical="center"/>
    </xf>
    <xf numFmtId="0" fontId="2" fillId="2" borderId="0" xfId="0" applyFont="1" applyFill="1" applyAlignment="1" applyProtection="1">
      <alignment horizontal="left" vertical="center"/>
    </xf>
    <xf numFmtId="0" fontId="4" fillId="2" borderId="44" xfId="0" applyFont="1" applyFill="1" applyBorder="1" applyAlignment="1" applyProtection="1">
      <alignment horizontal="left"/>
    </xf>
    <xf numFmtId="0" fontId="4" fillId="2" borderId="28" xfId="0" applyNumberFormat="1" applyFont="1" applyFill="1" applyBorder="1" applyAlignment="1" applyProtection="1">
      <alignment horizontal="left" vertical="center"/>
    </xf>
    <xf numFmtId="0" fontId="8" fillId="2" borderId="70" xfId="0" applyFont="1" applyFill="1" applyBorder="1" applyAlignment="1" applyProtection="1">
      <alignment horizontal="left"/>
    </xf>
    <xf numFmtId="0" fontId="8" fillId="2" borderId="18" xfId="0" applyFont="1" applyFill="1" applyBorder="1" applyAlignment="1" applyProtection="1">
      <alignment horizontal="left"/>
    </xf>
    <xf numFmtId="0" fontId="58" fillId="2" borderId="70" xfId="0" applyFont="1" applyFill="1" applyBorder="1" applyAlignment="1" applyProtection="1">
      <alignment horizontal="left"/>
    </xf>
    <xf numFmtId="0" fontId="28" fillId="2" borderId="18" xfId="0" applyFont="1" applyFill="1" applyBorder="1" applyAlignment="1" applyProtection="1">
      <alignment horizontal="left"/>
    </xf>
    <xf numFmtId="0" fontId="58" fillId="2" borderId="18" xfId="0" applyFont="1" applyFill="1" applyBorder="1" applyAlignment="1" applyProtection="1">
      <alignment horizontal="left"/>
    </xf>
    <xf numFmtId="0" fontId="43" fillId="2" borderId="36" xfId="0" applyFont="1" applyFill="1" applyBorder="1" applyAlignment="1" applyProtection="1">
      <alignment horizontal="left"/>
    </xf>
    <xf numFmtId="0" fontId="43" fillId="2" borderId="69" xfId="0" applyFont="1" applyFill="1" applyBorder="1" applyAlignment="1" applyProtection="1">
      <alignment horizontal="left"/>
    </xf>
    <xf numFmtId="0" fontId="2" fillId="2" borderId="21" xfId="0" applyFont="1" applyFill="1" applyBorder="1" applyAlignment="1" applyProtection="1">
      <alignment horizontal="left" vertical="center"/>
    </xf>
    <xf numFmtId="0" fontId="3" fillId="9" borderId="0" xfId="0" applyFont="1" applyFill="1" applyAlignment="1" applyProtection="1">
      <alignment horizontal="left"/>
    </xf>
    <xf numFmtId="0" fontId="3" fillId="15" borderId="0" xfId="0" applyFont="1" applyFill="1" applyAlignment="1" applyProtection="1">
      <alignment horizontal="left"/>
    </xf>
    <xf numFmtId="0" fontId="50" fillId="9" borderId="0" xfId="0" applyFont="1" applyFill="1" applyAlignment="1" applyProtection="1">
      <alignment horizontal="left"/>
    </xf>
    <xf numFmtId="0" fontId="7" fillId="0" borderId="0" xfId="0" applyFont="1" applyProtection="1"/>
    <xf numFmtId="0" fontId="74" fillId="0" borderId="0" xfId="0" applyFont="1" applyAlignment="1" applyProtection="1">
      <alignment vertical="top"/>
    </xf>
    <xf numFmtId="0" fontId="11" fillId="5" borderId="13" xfId="0" applyFont="1" applyFill="1" applyBorder="1" applyAlignment="1" applyProtection="1">
      <alignment horizontal="center" vertical="top"/>
      <protection locked="0"/>
    </xf>
    <xf numFmtId="0" fontId="9" fillId="2" borderId="21" xfId="0" applyFont="1" applyFill="1" applyBorder="1" applyAlignment="1" applyProtection="1">
      <alignment horizontal="left" vertical="center"/>
    </xf>
    <xf numFmtId="0" fontId="4" fillId="2" borderId="0" xfId="0" applyFont="1" applyFill="1" applyBorder="1" applyAlignment="1" applyProtection="1">
      <alignment horizontal="left"/>
    </xf>
    <xf numFmtId="0" fontId="2" fillId="8" borderId="19" xfId="0" applyFont="1" applyFill="1" applyBorder="1" applyAlignment="1" applyProtection="1">
      <alignment horizontal="left" vertical="center"/>
    </xf>
    <xf numFmtId="0" fontId="2" fillId="8" borderId="21" xfId="0" applyFont="1" applyFill="1" applyBorder="1" applyAlignment="1" applyProtection="1">
      <alignment horizontal="left" vertical="center"/>
    </xf>
    <xf numFmtId="0" fontId="2" fillId="8" borderId="23" xfId="0" applyFont="1" applyFill="1" applyBorder="1" applyAlignment="1" applyProtection="1">
      <alignment horizontal="left" vertical="center"/>
    </xf>
    <xf numFmtId="0" fontId="3" fillId="7" borderId="0" xfId="0" applyFont="1" applyFill="1" applyAlignment="1" applyProtection="1">
      <alignment horizontal="left"/>
    </xf>
    <xf numFmtId="0" fontId="4" fillId="9" borderId="0" xfId="0" applyFont="1" applyFill="1" applyAlignment="1" applyProtection="1">
      <alignment horizontal="left"/>
    </xf>
    <xf numFmtId="0" fontId="48" fillId="0" borderId="0" xfId="0" applyFont="1" applyAlignment="1" applyProtection="1">
      <alignment horizontal="left" vertical="top"/>
    </xf>
    <xf numFmtId="0" fontId="48" fillId="0" borderId="0" xfId="0" quotePrefix="1" applyFont="1" applyAlignment="1" applyProtection="1">
      <alignment horizontal="left" vertical="top"/>
    </xf>
    <xf numFmtId="165" fontId="9" fillId="2" borderId="20" xfId="0" applyNumberFormat="1" applyFont="1" applyFill="1" applyBorder="1" applyAlignment="1" applyProtection="1">
      <alignment horizontal="center" vertical="center"/>
    </xf>
    <xf numFmtId="165" fontId="9" fillId="2" borderId="22" xfId="0" applyNumberFormat="1" applyFont="1" applyFill="1" applyBorder="1" applyAlignment="1" applyProtection="1">
      <alignment horizontal="center" vertical="center"/>
    </xf>
    <xf numFmtId="165" fontId="9" fillId="2" borderId="24" xfId="0" applyNumberFormat="1" applyFont="1" applyFill="1" applyBorder="1" applyAlignment="1" applyProtection="1">
      <alignment horizontal="center" vertical="center"/>
    </xf>
    <xf numFmtId="0" fontId="7" fillId="0" borderId="0" xfId="0" applyFont="1" applyAlignment="1" applyProtection="1"/>
    <xf numFmtId="0" fontId="2" fillId="2" borderId="68" xfId="0" quotePrefix="1" applyFont="1" applyFill="1" applyBorder="1" applyAlignment="1" applyProtection="1">
      <alignment horizontal="left" vertical="top"/>
    </xf>
    <xf numFmtId="0" fontId="2" fillId="2" borderId="17" xfId="0" quotePrefix="1" applyFont="1" applyFill="1" applyBorder="1" applyAlignment="1" applyProtection="1">
      <alignment horizontal="left" vertical="top"/>
    </xf>
    <xf numFmtId="0" fontId="2" fillId="2" borderId="70" xfId="0" quotePrefix="1" applyFont="1" applyFill="1" applyBorder="1" applyAlignment="1" applyProtection="1">
      <alignment horizontal="left" vertical="top"/>
    </xf>
    <xf numFmtId="0" fontId="2" fillId="2" borderId="68" xfId="0" applyFont="1" applyFill="1" applyBorder="1" applyAlignment="1" applyProtection="1">
      <alignment horizontal="left" vertical="top"/>
    </xf>
    <xf numFmtId="0" fontId="36" fillId="24" borderId="0" xfId="0" applyFont="1" applyFill="1" applyBorder="1" applyAlignment="1" applyProtection="1">
      <alignment horizontal="left" vertical="top"/>
    </xf>
    <xf numFmtId="0" fontId="65" fillId="2" borderId="0" xfId="0" applyFont="1" applyFill="1" applyBorder="1" applyAlignment="1" applyProtection="1">
      <alignment horizontal="left" vertical="top"/>
    </xf>
    <xf numFmtId="0" fontId="36" fillId="2" borderId="0" xfId="0" applyFont="1" applyFill="1" applyBorder="1" applyAlignment="1" applyProtection="1">
      <alignment horizontal="left" vertical="top"/>
    </xf>
    <xf numFmtId="0" fontId="65" fillId="24" borderId="0" xfId="0" applyFont="1" applyFill="1" applyBorder="1" applyAlignment="1" applyProtection="1">
      <alignment horizontal="left" vertical="top"/>
    </xf>
    <xf numFmtId="0" fontId="70" fillId="24" borderId="0" xfId="0" applyFont="1" applyFill="1" applyBorder="1" applyAlignment="1" applyProtection="1">
      <alignment horizontal="left" vertical="top"/>
    </xf>
    <xf numFmtId="0" fontId="36" fillId="2" borderId="21" xfId="0" applyFont="1" applyFill="1" applyBorder="1" applyAlignment="1" applyProtection="1">
      <alignment horizontal="left" vertical="top"/>
    </xf>
    <xf numFmtId="0" fontId="36" fillId="2" borderId="23" xfId="0" applyFont="1" applyFill="1" applyBorder="1" applyAlignment="1" applyProtection="1">
      <alignment horizontal="left" vertical="top"/>
    </xf>
    <xf numFmtId="0" fontId="37" fillId="24" borderId="0" xfId="0" applyFont="1" applyFill="1" applyBorder="1" applyAlignment="1" applyProtection="1">
      <alignment horizontal="left" vertical="top"/>
    </xf>
    <xf numFmtId="0" fontId="37" fillId="2" borderId="0" xfId="0" applyFont="1" applyFill="1" applyBorder="1" applyAlignment="1" applyProtection="1">
      <alignment horizontal="left" vertical="top"/>
    </xf>
    <xf numFmtId="0" fontId="37" fillId="0" borderId="21" xfId="0" applyFont="1" applyFill="1" applyBorder="1" applyAlignment="1" applyProtection="1">
      <alignment horizontal="left" vertical="top"/>
    </xf>
    <xf numFmtId="0" fontId="37" fillId="2" borderId="83" xfId="0" applyFont="1" applyFill="1" applyBorder="1" applyAlignment="1" applyProtection="1">
      <alignment horizontal="left" vertical="top"/>
    </xf>
    <xf numFmtId="0" fontId="55" fillId="2" borderId="42" xfId="0" applyFont="1" applyFill="1" applyBorder="1" applyAlignment="1" applyProtection="1">
      <alignment horizontal="left"/>
    </xf>
    <xf numFmtId="0" fontId="4" fillId="2" borderId="18" xfId="0" applyFont="1" applyFill="1" applyBorder="1" applyAlignment="1" applyProtection="1">
      <alignment horizontal="left"/>
    </xf>
    <xf numFmtId="0" fontId="65" fillId="2" borderId="21" xfId="0" applyFont="1" applyFill="1" applyBorder="1" applyAlignment="1" applyProtection="1">
      <alignment horizontal="left" vertical="top"/>
    </xf>
    <xf numFmtId="0" fontId="36" fillId="2" borderId="0" xfId="0" applyFont="1" applyFill="1" applyBorder="1" applyAlignment="1" applyProtection="1">
      <alignment horizontal="left" vertical="top" wrapText="1"/>
    </xf>
    <xf numFmtId="0" fontId="37" fillId="2" borderId="21" xfId="0" applyFont="1" applyFill="1" applyBorder="1" applyAlignment="1" applyProtection="1">
      <alignment horizontal="left" vertical="top" wrapText="1"/>
    </xf>
    <xf numFmtId="0" fontId="37" fillId="2" borderId="0" xfId="0" applyFont="1" applyFill="1" applyBorder="1" applyAlignment="1" applyProtection="1">
      <alignment horizontal="left" vertical="top" wrapText="1"/>
    </xf>
    <xf numFmtId="0" fontId="37" fillId="2" borderId="47" xfId="0" applyFont="1" applyFill="1" applyBorder="1" applyAlignment="1" applyProtection="1">
      <alignment horizontal="left" vertical="top" wrapText="1"/>
    </xf>
    <xf numFmtId="0" fontId="0" fillId="2" borderId="47" xfId="0" applyFill="1" applyBorder="1" applyAlignment="1">
      <alignment horizontal="left" vertical="top" wrapText="1"/>
    </xf>
    <xf numFmtId="0" fontId="36" fillId="2" borderId="26" xfId="0" applyFont="1" applyFill="1" applyBorder="1" applyAlignment="1" applyProtection="1">
      <alignment horizontal="left" vertical="top" wrapText="1"/>
    </xf>
    <xf numFmtId="0" fontId="5" fillId="9" borderId="0" xfId="0" applyFont="1" applyFill="1" applyAlignment="1" applyProtection="1">
      <alignment horizontal="left" vertical="center"/>
    </xf>
    <xf numFmtId="0" fontId="75" fillId="9" borderId="0" xfId="0" applyFont="1" applyFill="1" applyAlignment="1" applyProtection="1">
      <alignment vertical="center"/>
    </xf>
    <xf numFmtId="0" fontId="5" fillId="9" borderId="0" xfId="0" applyFont="1" applyFill="1" applyAlignment="1" applyProtection="1">
      <alignment horizontal="right" vertical="center"/>
    </xf>
    <xf numFmtId="0" fontId="11" fillId="9" borderId="0" xfId="0" applyFont="1" applyFill="1" applyBorder="1" applyAlignment="1" applyProtection="1">
      <alignment vertical="center"/>
    </xf>
    <xf numFmtId="0" fontId="11" fillId="9" borderId="7" xfId="0" applyFont="1" applyFill="1" applyBorder="1" applyAlignment="1" applyProtection="1">
      <alignment vertical="center"/>
    </xf>
    <xf numFmtId="0" fontId="25" fillId="2" borderId="0" xfId="0" applyFont="1" applyFill="1" applyBorder="1" applyAlignment="1" applyProtection="1">
      <alignment horizontal="center" vertical="center"/>
    </xf>
    <xf numFmtId="0" fontId="40" fillId="24" borderId="0" xfId="1" applyFont="1" applyFill="1" applyBorder="1" applyAlignment="1" applyProtection="1">
      <alignment vertical="center"/>
    </xf>
    <xf numFmtId="0" fontId="4" fillId="24" borderId="0" xfId="0" applyFont="1" applyFill="1" applyBorder="1" applyAlignment="1" applyProtection="1">
      <alignment vertical="center"/>
    </xf>
    <xf numFmtId="0" fontId="2" fillId="14" borderId="37" xfId="0" applyFont="1" applyFill="1" applyBorder="1" applyAlignment="1" applyProtection="1">
      <alignment vertical="center"/>
    </xf>
    <xf numFmtId="0" fontId="2" fillId="9" borderId="50" xfId="0" applyFont="1" applyFill="1" applyBorder="1" applyAlignment="1" applyProtection="1">
      <alignment vertical="center"/>
    </xf>
    <xf numFmtId="0" fontId="11" fillId="9" borderId="50" xfId="0" applyFont="1" applyFill="1" applyBorder="1" applyAlignment="1" applyProtection="1">
      <alignment vertical="center"/>
    </xf>
    <xf numFmtId="0" fontId="4" fillId="9" borderId="50" xfId="0" applyFont="1" applyFill="1" applyBorder="1" applyAlignment="1" applyProtection="1">
      <alignment vertical="center"/>
    </xf>
    <xf numFmtId="0" fontId="2" fillId="9" borderId="51" xfId="0" applyFont="1" applyFill="1" applyBorder="1" applyAlignment="1" applyProtection="1">
      <alignment vertical="center"/>
    </xf>
    <xf numFmtId="0" fontId="11" fillId="2" borderId="7" xfId="0" applyFont="1" applyFill="1" applyBorder="1" applyAlignment="1" applyProtection="1">
      <alignment vertical="center"/>
    </xf>
    <xf numFmtId="0" fontId="4" fillId="2" borderId="7" xfId="0" applyFont="1" applyFill="1" applyBorder="1" applyAlignment="1" applyProtection="1">
      <alignment vertical="center"/>
    </xf>
    <xf numFmtId="0" fontId="2" fillId="14" borderId="56" xfId="0" applyFont="1" applyFill="1" applyBorder="1" applyAlignment="1" applyProtection="1">
      <alignment vertical="center"/>
    </xf>
    <xf numFmtId="0" fontId="2" fillId="9" borderId="126" xfId="0" applyFont="1" applyFill="1" applyBorder="1" applyAlignment="1" applyProtection="1">
      <alignment vertical="center"/>
    </xf>
    <xf numFmtId="0" fontId="2" fillId="9" borderId="127" xfId="0" applyFont="1" applyFill="1" applyBorder="1" applyAlignment="1" applyProtection="1">
      <alignment vertical="center"/>
    </xf>
    <xf numFmtId="0" fontId="25" fillId="2" borderId="6" xfId="0" applyFont="1" applyFill="1" applyBorder="1" applyAlignment="1" applyProtection="1">
      <alignment vertical="center"/>
    </xf>
    <xf numFmtId="0" fontId="33" fillId="2" borderId="6" xfId="0" applyFont="1" applyFill="1" applyBorder="1" applyAlignment="1" applyProtection="1">
      <alignment vertical="top"/>
    </xf>
    <xf numFmtId="0" fontId="33" fillId="2" borderId="6" xfId="0" applyFont="1" applyFill="1" applyBorder="1" applyAlignment="1" applyProtection="1">
      <alignment vertical="center"/>
    </xf>
    <xf numFmtId="0" fontId="2" fillId="2" borderId="0" xfId="0" applyFont="1" applyFill="1" applyBorder="1" applyAlignment="1" applyProtection="1">
      <alignment vertical="top"/>
    </xf>
    <xf numFmtId="0" fontId="13" fillId="3" borderId="0" xfId="0" applyFont="1" applyFill="1" applyBorder="1" applyAlignment="1" applyProtection="1">
      <alignment horizontal="left" vertical="top"/>
    </xf>
    <xf numFmtId="0" fontId="13" fillId="3" borderId="0" xfId="0" applyFont="1" applyFill="1" applyBorder="1" applyAlignment="1" applyProtection="1">
      <alignment vertical="top"/>
    </xf>
    <xf numFmtId="0" fontId="14" fillId="3" borderId="0" xfId="0" applyFont="1" applyFill="1" applyBorder="1" applyAlignment="1" applyProtection="1">
      <alignment vertical="top"/>
    </xf>
    <xf numFmtId="0" fontId="25" fillId="2" borderId="0" xfId="0" applyFont="1" applyFill="1" applyBorder="1" applyAlignment="1" applyProtection="1">
      <alignment vertical="top"/>
    </xf>
    <xf numFmtId="0" fontId="2" fillId="2" borderId="0" xfId="0" applyFont="1" applyFill="1" applyBorder="1" applyAlignment="1" applyProtection="1">
      <alignment vertical="top" wrapText="1"/>
    </xf>
    <xf numFmtId="0" fontId="25" fillId="2" borderId="0" xfId="0" applyFont="1" applyFill="1" applyBorder="1" applyAlignment="1" applyProtection="1">
      <alignment vertical="center"/>
    </xf>
    <xf numFmtId="0" fontId="11" fillId="9" borderId="6" xfId="0" applyFont="1" applyFill="1" applyBorder="1" applyAlignment="1" applyProtection="1">
      <alignment vertical="center"/>
    </xf>
    <xf numFmtId="0" fontId="2" fillId="2" borderId="15" xfId="0" quotePrefix="1" applyFont="1" applyFill="1" applyBorder="1" applyAlignment="1" applyProtection="1">
      <alignment vertical="top" wrapText="1"/>
    </xf>
    <xf numFmtId="0" fontId="50" fillId="9" borderId="0" xfId="0" applyFont="1" applyFill="1" applyBorder="1" applyProtection="1"/>
    <xf numFmtId="0" fontId="37" fillId="2" borderId="42" xfId="0" applyFont="1" applyFill="1" applyBorder="1" applyAlignment="1" applyProtection="1">
      <alignment vertical="top"/>
    </xf>
    <xf numFmtId="0" fontId="2" fillId="2" borderId="0" xfId="0" applyFont="1" applyFill="1" applyBorder="1" applyAlignment="1" applyProtection="1">
      <alignment horizontal="left" vertical="center"/>
    </xf>
    <xf numFmtId="0" fontId="7" fillId="2" borderId="0" xfId="0" applyFont="1" applyFill="1" applyAlignment="1" applyProtection="1">
      <alignment horizontal="right" vertical="center"/>
    </xf>
    <xf numFmtId="0" fontId="2" fillId="8" borderId="26" xfId="0" applyFont="1" applyFill="1" applyBorder="1" applyAlignment="1" applyProtection="1">
      <alignment vertical="center"/>
    </xf>
    <xf numFmtId="0" fontId="2" fillId="6" borderId="45" xfId="0" applyFont="1" applyFill="1" applyBorder="1" applyAlignment="1" applyProtection="1">
      <alignment horizontal="center" vertical="center"/>
    </xf>
    <xf numFmtId="165" fontId="2" fillId="5" borderId="27" xfId="0" applyNumberFormat="1" applyFont="1" applyFill="1" applyBorder="1" applyAlignment="1" applyProtection="1">
      <alignment horizontal="center" vertical="center"/>
      <protection locked="0"/>
    </xf>
    <xf numFmtId="165" fontId="2" fillId="6" borderId="12" xfId="0" applyNumberFormat="1" applyFont="1" applyFill="1" applyBorder="1" applyAlignment="1" applyProtection="1">
      <alignment horizontal="center" vertical="center"/>
    </xf>
    <xf numFmtId="3" fontId="2" fillId="6" borderId="22" xfId="0" applyNumberFormat="1" applyFont="1" applyFill="1" applyBorder="1" applyAlignment="1" applyProtection="1">
      <alignment vertical="center"/>
    </xf>
    <xf numFmtId="0" fontId="4" fillId="2" borderId="18" xfId="0" applyFont="1" applyFill="1" applyBorder="1" applyAlignment="1" applyProtection="1">
      <alignment horizontal="center" wrapText="1"/>
    </xf>
    <xf numFmtId="0" fontId="2" fillId="9" borderId="0" xfId="0" applyFont="1" applyFill="1" applyAlignment="1" applyProtection="1">
      <alignment horizontal="center"/>
    </xf>
    <xf numFmtId="0" fontId="2" fillId="2" borderId="70" xfId="0" quotePrefix="1" applyFont="1" applyFill="1" applyBorder="1" applyAlignment="1" applyProtection="1">
      <alignment vertical="top" wrapText="1"/>
    </xf>
    <xf numFmtId="0" fontId="7" fillId="0" borderId="0" xfId="0" quotePrefix="1" applyFont="1" applyAlignment="1" applyProtection="1">
      <alignment vertical="top"/>
    </xf>
    <xf numFmtId="0" fontId="76" fillId="2" borderId="19" xfId="0" applyFont="1" applyFill="1" applyBorder="1" applyAlignment="1" applyProtection="1">
      <alignment horizontal="left"/>
    </xf>
    <xf numFmtId="0" fontId="77" fillId="2" borderId="26" xfId="0" applyFont="1" applyFill="1" applyBorder="1" applyAlignment="1" applyProtection="1">
      <alignment horizontal="left" vertical="top"/>
    </xf>
    <xf numFmtId="0" fontId="77" fillId="2" borderId="0" xfId="0" applyFont="1" applyFill="1" applyBorder="1" applyAlignment="1" applyProtection="1">
      <alignment horizontal="left" vertical="top"/>
    </xf>
    <xf numFmtId="0" fontId="77" fillId="2" borderId="47" xfId="0" applyFont="1" applyFill="1" applyBorder="1" applyAlignment="1" applyProtection="1">
      <alignment horizontal="left" vertical="top"/>
    </xf>
    <xf numFmtId="0" fontId="4" fillId="2" borderId="0" xfId="0" applyFont="1" applyFill="1" applyBorder="1" applyAlignment="1" applyProtection="1">
      <alignment horizontal="center" wrapText="1"/>
    </xf>
    <xf numFmtId="0" fontId="4" fillId="2" borderId="18" xfId="0" applyFont="1" applyFill="1" applyBorder="1" applyAlignment="1" applyProtection="1">
      <alignment horizontal="center" wrapText="1"/>
    </xf>
    <xf numFmtId="0" fontId="2" fillId="2" borderId="15" xfId="0" quotePrefix="1" applyFont="1" applyFill="1" applyBorder="1" applyAlignment="1" applyProtection="1">
      <alignment horizontal="lef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2" fillId="2" borderId="68" xfId="0" quotePrefix="1" applyFont="1" applyFill="1" applyBorder="1" applyAlignment="1" applyProtection="1">
      <alignment horizontal="left" vertical="top" wrapText="1"/>
    </xf>
    <xf numFmtId="0" fontId="0" fillId="0" borderId="42" xfId="0" applyBorder="1" applyAlignment="1">
      <alignment horizontal="left" vertical="top" wrapText="1"/>
    </xf>
    <xf numFmtId="0" fontId="0" fillId="0" borderId="69" xfId="0" applyBorder="1" applyAlignment="1">
      <alignment horizontal="left" vertical="top" wrapText="1"/>
    </xf>
    <xf numFmtId="0" fontId="2" fillId="2" borderId="70" xfId="0" quotePrefix="1" applyFont="1" applyFill="1" applyBorder="1" applyAlignment="1" applyProtection="1">
      <alignment horizontal="left" vertical="top" wrapText="1"/>
    </xf>
    <xf numFmtId="0" fontId="0" fillId="0" borderId="83" xfId="0" applyBorder="1" applyAlignment="1">
      <alignment horizontal="left" vertical="top" wrapText="1"/>
    </xf>
    <xf numFmtId="0" fontId="0" fillId="0" borderId="25" xfId="0" applyBorder="1" applyAlignment="1">
      <alignment horizontal="left" vertical="top" wrapText="1"/>
    </xf>
    <xf numFmtId="0" fontId="2" fillId="2" borderId="12" xfId="0" applyFont="1" applyFill="1" applyBorder="1" applyAlignment="1" applyProtection="1">
      <alignment horizontal="left" vertical="center"/>
    </xf>
    <xf numFmtId="0" fontId="0" fillId="0" borderId="12" xfId="0" applyBorder="1" applyAlignment="1" applyProtection="1">
      <alignment horizontal="left" vertical="center"/>
    </xf>
    <xf numFmtId="0" fontId="2" fillId="2" borderId="68" xfId="0" applyFont="1" applyFill="1" applyBorder="1" applyAlignment="1" applyProtection="1">
      <alignment horizontal="left" vertical="top" wrapText="1"/>
    </xf>
    <xf numFmtId="0" fontId="2" fillId="2" borderId="17" xfId="0" quotePrefix="1"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44" xfId="0" applyBorder="1" applyAlignment="1">
      <alignment horizontal="left" vertical="top" wrapText="1"/>
    </xf>
    <xf numFmtId="0" fontId="1" fillId="16" borderId="8" xfId="1" applyFont="1" applyFill="1" applyBorder="1" applyAlignment="1" applyProtection="1">
      <alignment horizontal="center" vertical="center" wrapText="1"/>
    </xf>
    <xf numFmtId="0" fontId="4" fillId="2" borderId="12" xfId="0" applyFont="1" applyFill="1" applyBorder="1" applyAlignment="1" applyProtection="1">
      <alignment horizontal="left" vertical="center"/>
    </xf>
    <xf numFmtId="0" fontId="2" fillId="2" borderId="12" xfId="0" applyFont="1" applyFill="1" applyBorder="1" applyAlignment="1" applyProtection="1">
      <alignment horizontal="left" vertical="top"/>
    </xf>
    <xf numFmtId="0" fontId="0" fillId="0" borderId="12" xfId="0" applyBorder="1" applyAlignment="1" applyProtection="1">
      <alignment horizontal="left" vertical="top"/>
    </xf>
    <xf numFmtId="0" fontId="10" fillId="16" borderId="1" xfId="0" applyFont="1" applyFill="1" applyBorder="1" applyAlignment="1" applyProtection="1">
      <alignment horizontal="center" vertical="center" wrapText="1"/>
    </xf>
    <xf numFmtId="0" fontId="10" fillId="16" borderId="2" xfId="0" applyFont="1" applyFill="1" applyBorder="1" applyAlignment="1" applyProtection="1">
      <alignment horizontal="center" vertical="center" wrapText="1"/>
    </xf>
    <xf numFmtId="0" fontId="10" fillId="16" borderId="3" xfId="0" applyFont="1" applyFill="1" applyBorder="1" applyAlignment="1" applyProtection="1">
      <alignment horizontal="center" vertical="center" wrapText="1"/>
    </xf>
    <xf numFmtId="0" fontId="10" fillId="16" borderId="6" xfId="0" applyFont="1" applyFill="1" applyBorder="1" applyAlignment="1" applyProtection="1">
      <alignment horizontal="center" vertical="center" wrapText="1"/>
    </xf>
    <xf numFmtId="0" fontId="10" fillId="16" borderId="0" xfId="0" applyFont="1" applyFill="1" applyBorder="1" applyAlignment="1" applyProtection="1">
      <alignment horizontal="center" vertical="center" wrapText="1"/>
    </xf>
    <xf numFmtId="0" fontId="10" fillId="16" borderId="7" xfId="0" applyFont="1" applyFill="1" applyBorder="1" applyAlignment="1" applyProtection="1">
      <alignment horizontal="center" vertical="center" wrapText="1"/>
    </xf>
    <xf numFmtId="0" fontId="10" fillId="16" borderId="9" xfId="0" applyFont="1" applyFill="1" applyBorder="1" applyAlignment="1" applyProtection="1">
      <alignment horizontal="center" vertical="center" wrapText="1"/>
    </xf>
    <xf numFmtId="0" fontId="10" fillId="16" borderId="10" xfId="0" applyFont="1" applyFill="1" applyBorder="1" applyAlignment="1" applyProtection="1">
      <alignment horizontal="center" vertical="center" wrapText="1"/>
    </xf>
    <xf numFmtId="0" fontId="10" fillId="16" borderId="11" xfId="0" applyFont="1" applyFill="1" applyBorder="1" applyAlignment="1" applyProtection="1">
      <alignment horizontal="center" vertical="center" wrapText="1"/>
    </xf>
    <xf numFmtId="0" fontId="10" fillId="16" borderId="4" xfId="0" applyFont="1" applyFill="1" applyBorder="1" applyAlignment="1" applyProtection="1">
      <alignment horizontal="center" vertical="center"/>
    </xf>
    <xf numFmtId="0" fontId="10" fillId="16" borderId="5" xfId="0" applyFont="1" applyFill="1" applyBorder="1" applyAlignment="1" applyProtection="1">
      <alignment horizontal="center" vertical="center"/>
    </xf>
    <xf numFmtId="0" fontId="1" fillId="16" borderId="4" xfId="1" applyFill="1" applyBorder="1" applyAlignment="1" applyProtection="1">
      <alignment horizontal="center" vertical="center"/>
    </xf>
    <xf numFmtId="0" fontId="1" fillId="16" borderId="5" xfId="1" applyFont="1" applyFill="1" applyBorder="1" applyAlignment="1" applyProtection="1">
      <alignment horizontal="center" vertical="center"/>
    </xf>
    <xf numFmtId="0" fontId="0" fillId="0" borderId="0" xfId="0" applyAlignment="1">
      <alignment horizontal="left" vertical="top" wrapText="1"/>
    </xf>
    <xf numFmtId="0" fontId="73" fillId="16" borderId="4" xfId="1" applyFont="1" applyFill="1" applyBorder="1" applyAlignment="1" applyProtection="1">
      <alignment horizontal="center" vertical="center"/>
    </xf>
    <xf numFmtId="0" fontId="73" fillId="16" borderId="5" xfId="1" applyFont="1" applyFill="1" applyBorder="1" applyAlignment="1" applyProtection="1">
      <alignment horizontal="center" vertical="center"/>
    </xf>
    <xf numFmtId="0" fontId="1" fillId="2" borderId="0" xfId="1" applyFill="1" applyBorder="1" applyAlignment="1" applyProtection="1">
      <alignment horizontal="left" vertical="center"/>
    </xf>
    <xf numFmtId="0" fontId="0" fillId="0" borderId="0" xfId="0" applyBorder="1" applyAlignment="1" applyProtection="1">
      <alignment horizontal="left" vertical="center"/>
    </xf>
    <xf numFmtId="0" fontId="40" fillId="24" borderId="0" xfId="1" applyFont="1" applyFill="1" applyBorder="1" applyAlignment="1" applyProtection="1">
      <alignment horizontal="left" vertical="center"/>
    </xf>
    <xf numFmtId="0" fontId="33" fillId="24" borderId="0" xfId="0" applyFont="1" applyFill="1" applyBorder="1" applyAlignment="1" applyProtection="1">
      <alignment horizontal="left" vertical="center"/>
    </xf>
    <xf numFmtId="0" fontId="40" fillId="2" borderId="0" xfId="1" applyFont="1" applyFill="1" applyBorder="1" applyAlignment="1" applyProtection="1">
      <alignment horizontal="left" vertical="center"/>
    </xf>
    <xf numFmtId="0" fontId="1" fillId="2" borderId="0" xfId="1" applyFont="1" applyFill="1" applyBorder="1" applyAlignment="1" applyProtection="1">
      <alignment horizontal="left" vertical="center"/>
    </xf>
    <xf numFmtId="0" fontId="56" fillId="27" borderId="0" xfId="0" applyFont="1" applyFill="1" applyBorder="1" applyAlignment="1" applyProtection="1">
      <alignment horizontal="left" vertical="center" wrapText="1" indent="1"/>
    </xf>
    <xf numFmtId="0" fontId="57" fillId="27" borderId="0" xfId="0" applyFont="1" applyFill="1" applyBorder="1" applyAlignment="1" applyProtection="1">
      <alignment horizontal="left" vertical="center" wrapText="1" indent="1"/>
    </xf>
    <xf numFmtId="0" fontId="25" fillId="2" borderId="17" xfId="0" applyFont="1" applyFill="1" applyBorder="1" applyAlignment="1" applyProtection="1">
      <alignment horizontal="left" vertical="top"/>
    </xf>
    <xf numFmtId="0" fontId="25" fillId="2" borderId="0" xfId="0" applyFont="1" applyFill="1" applyBorder="1" applyAlignment="1" applyProtection="1">
      <alignment horizontal="left" vertical="top"/>
    </xf>
    <xf numFmtId="0" fontId="19" fillId="16" borderId="42" xfId="0" applyFont="1" applyFill="1" applyBorder="1" applyAlignment="1" applyProtection="1">
      <alignment horizontal="center" vertical="top"/>
    </xf>
    <xf numFmtId="0" fontId="25" fillId="2" borderId="0" xfId="0" applyFont="1" applyFill="1" applyBorder="1" applyAlignment="1" applyProtection="1">
      <alignment horizontal="left" vertical="top" wrapText="1"/>
    </xf>
    <xf numFmtId="0" fontId="42" fillId="0" borderId="0" xfId="0" applyFont="1" applyBorder="1" applyAlignment="1" applyProtection="1">
      <alignment horizontal="left" vertical="top" wrapText="1"/>
    </xf>
    <xf numFmtId="0" fontId="19" fillId="17" borderId="15" xfId="0" applyFont="1" applyFill="1" applyBorder="1" applyAlignment="1" applyProtection="1">
      <alignment horizontal="center" vertical="top"/>
    </xf>
    <xf numFmtId="0" fontId="19" fillId="17" borderId="14" xfId="0" applyFont="1" applyFill="1" applyBorder="1" applyAlignment="1" applyProtection="1">
      <alignment horizontal="center" vertical="top"/>
    </xf>
    <xf numFmtId="167" fontId="19" fillId="18" borderId="15" xfId="0" applyNumberFormat="1" applyFont="1" applyFill="1" applyBorder="1" applyAlignment="1" applyProtection="1">
      <alignment horizontal="center" vertical="top"/>
    </xf>
    <xf numFmtId="167" fontId="19" fillId="18" borderId="14" xfId="0" applyNumberFormat="1" applyFont="1" applyFill="1" applyBorder="1" applyAlignment="1" applyProtection="1">
      <alignment horizontal="center" vertical="top"/>
    </xf>
    <xf numFmtId="167" fontId="19" fillId="19" borderId="15" xfId="0" applyNumberFormat="1" applyFont="1" applyFill="1" applyBorder="1" applyAlignment="1" applyProtection="1">
      <alignment horizontal="center" vertical="top"/>
    </xf>
    <xf numFmtId="167" fontId="19" fillId="19" borderId="14" xfId="0" applyNumberFormat="1" applyFont="1" applyFill="1" applyBorder="1" applyAlignment="1" applyProtection="1">
      <alignment horizontal="center" vertical="top"/>
    </xf>
    <xf numFmtId="0" fontId="54" fillId="2" borderId="15" xfId="0" applyFont="1" applyFill="1" applyBorder="1" applyAlignment="1" applyProtection="1">
      <alignment horizontal="center" vertical="top"/>
    </xf>
    <xf numFmtId="0" fontId="54" fillId="2" borderId="14" xfId="0" applyFont="1" applyFill="1" applyBorder="1" applyAlignment="1" applyProtection="1">
      <alignment horizontal="center" vertical="top"/>
    </xf>
    <xf numFmtId="0" fontId="73" fillId="16" borderId="8" xfId="1" applyFont="1" applyFill="1" applyBorder="1" applyAlignment="1" applyProtection="1">
      <alignment horizontal="center" vertical="center" wrapText="1"/>
    </xf>
    <xf numFmtId="0" fontId="39" fillId="2" borderId="0" xfId="0" applyFont="1" applyFill="1" applyBorder="1" applyAlignment="1" applyProtection="1">
      <alignment horizontal="left" vertical="center"/>
    </xf>
    <xf numFmtId="0" fontId="1" fillId="2" borderId="0" xfId="1" applyFill="1" applyBorder="1" applyAlignment="1" applyProtection="1">
      <alignment horizontal="left" vertical="top" wrapText="1"/>
    </xf>
    <xf numFmtId="0" fontId="33" fillId="2" borderId="0" xfId="0" applyFont="1" applyFill="1" applyBorder="1" applyAlignment="1" applyProtection="1">
      <alignment horizontal="left" vertical="top" wrapText="1"/>
    </xf>
    <xf numFmtId="0" fontId="36" fillId="2" borderId="83" xfId="0" applyFont="1" applyFill="1" applyBorder="1" applyAlignment="1" applyProtection="1">
      <alignment horizontal="left" vertical="top" wrapText="1"/>
    </xf>
    <xf numFmtId="0" fontId="63" fillId="0" borderId="83" xfId="0" applyFont="1" applyBorder="1" applyAlignment="1">
      <alignment horizontal="left" vertical="top" wrapText="1"/>
    </xf>
    <xf numFmtId="0" fontId="33" fillId="24" borderId="0" xfId="0" applyFont="1" applyFill="1" applyBorder="1" applyAlignment="1" applyProtection="1">
      <alignment vertical="top" wrapText="1"/>
    </xf>
    <xf numFmtId="0" fontId="3" fillId="13" borderId="21" xfId="0" applyFont="1" applyFill="1" applyBorder="1" applyAlignment="1" applyProtection="1">
      <alignment horizontal="left" wrapText="1"/>
    </xf>
    <xf numFmtId="0" fontId="3" fillId="13" borderId="23" xfId="0" applyFont="1" applyFill="1" applyBorder="1" applyAlignment="1" applyProtection="1">
      <alignment horizontal="left" wrapText="1"/>
    </xf>
    <xf numFmtId="0" fontId="3" fillId="13" borderId="19" xfId="0" applyFont="1" applyFill="1" applyBorder="1" applyAlignment="1" applyProtection="1">
      <alignment horizontal="left" wrapText="1"/>
    </xf>
    <xf numFmtId="49" fontId="3" fillId="4" borderId="33" xfId="0" applyNumberFormat="1" applyFont="1" applyFill="1" applyBorder="1" applyAlignment="1" applyProtection="1">
      <alignment horizontal="left" vertical="top" wrapText="1"/>
      <protection locked="0"/>
    </xf>
    <xf numFmtId="49" fontId="3" fillId="4" borderId="21" xfId="0" applyNumberFormat="1" applyFont="1" applyFill="1" applyBorder="1" applyAlignment="1" applyProtection="1">
      <alignment horizontal="left" vertical="top" wrapText="1"/>
      <protection locked="0"/>
    </xf>
    <xf numFmtId="49" fontId="3" fillId="4" borderId="43" xfId="0" applyNumberFormat="1" applyFont="1" applyFill="1" applyBorder="1" applyAlignment="1" applyProtection="1">
      <alignment horizontal="left" vertical="top" wrapText="1"/>
      <protection locked="0"/>
    </xf>
    <xf numFmtId="49" fontId="3" fillId="4" borderId="34" xfId="0" applyNumberFormat="1" applyFont="1" applyFill="1" applyBorder="1" applyAlignment="1" applyProtection="1">
      <alignment horizontal="left" vertical="top" wrapText="1"/>
      <protection locked="0"/>
    </xf>
    <xf numFmtId="49" fontId="3" fillId="4" borderId="23" xfId="0" applyNumberFormat="1" applyFont="1" applyFill="1" applyBorder="1" applyAlignment="1" applyProtection="1">
      <alignment horizontal="left" vertical="top" wrapText="1"/>
      <protection locked="0"/>
    </xf>
    <xf numFmtId="49" fontId="3" fillId="4" borderId="48" xfId="0" applyNumberFormat="1" applyFont="1" applyFill="1" applyBorder="1" applyAlignment="1" applyProtection="1">
      <alignment horizontal="left" vertical="top" wrapText="1"/>
      <protection locked="0"/>
    </xf>
    <xf numFmtId="49" fontId="3" fillId="4" borderId="32" xfId="0" applyNumberFormat="1" applyFont="1" applyFill="1" applyBorder="1" applyAlignment="1" applyProtection="1">
      <alignment horizontal="left" vertical="top" wrapText="1"/>
      <protection locked="0"/>
    </xf>
    <xf numFmtId="49" fontId="3" fillId="4" borderId="19" xfId="0" applyNumberFormat="1" applyFont="1" applyFill="1" applyBorder="1" applyAlignment="1" applyProtection="1">
      <alignment horizontal="left" vertical="top" wrapText="1"/>
      <protection locked="0"/>
    </xf>
    <xf numFmtId="49" fontId="3" fillId="4" borderId="46" xfId="0" applyNumberFormat="1" applyFont="1" applyFill="1" applyBorder="1" applyAlignment="1" applyProtection="1">
      <alignment horizontal="left" vertical="top" wrapText="1"/>
      <protection locked="0"/>
    </xf>
    <xf numFmtId="0" fontId="10" fillId="13" borderId="0" xfId="0" applyFont="1" applyFill="1" applyBorder="1" applyAlignment="1" applyProtection="1">
      <alignment horizontal="left" vertical="top" wrapText="1"/>
    </xf>
    <xf numFmtId="49" fontId="2" fillId="5" borderId="22" xfId="0" applyNumberFormat="1" applyFont="1" applyFill="1" applyBorder="1" applyAlignment="1" applyProtection="1">
      <alignment horizontal="left"/>
      <protection locked="0"/>
    </xf>
    <xf numFmtId="0" fontId="2" fillId="5" borderId="22" xfId="0" applyFont="1" applyFill="1" applyBorder="1" applyAlignment="1" applyProtection="1">
      <alignment horizontal="left"/>
      <protection locked="0"/>
    </xf>
    <xf numFmtId="0" fontId="65" fillId="2" borderId="0" xfId="0" applyFont="1" applyFill="1" applyBorder="1" applyAlignment="1" applyProtection="1">
      <alignment horizontal="left" vertical="top" wrapText="1"/>
    </xf>
    <xf numFmtId="0" fontId="2" fillId="6" borderId="22" xfId="0" applyFont="1" applyFill="1" applyBorder="1" applyAlignment="1" applyProtection="1">
      <alignment horizontal="left" vertical="center"/>
    </xf>
    <xf numFmtId="0" fontId="19" fillId="0" borderId="22" xfId="0" applyFont="1" applyBorder="1" applyAlignment="1" applyProtection="1">
      <alignment horizontal="left" vertical="center"/>
    </xf>
    <xf numFmtId="0" fontId="2" fillId="5" borderId="22" xfId="0" applyFont="1" applyFill="1" applyBorder="1" applyAlignment="1" applyProtection="1">
      <alignment horizontal="left" vertical="center" shrinkToFit="1"/>
      <protection locked="0"/>
    </xf>
    <xf numFmtId="0" fontId="19" fillId="0" borderId="22" xfId="0" applyFont="1" applyBorder="1" applyAlignment="1" applyProtection="1">
      <alignment horizontal="left" vertical="center" shrinkToFit="1"/>
      <protection locked="0"/>
    </xf>
    <xf numFmtId="0" fontId="2" fillId="5" borderId="24" xfId="0" applyFont="1" applyFill="1" applyBorder="1" applyAlignment="1" applyProtection="1">
      <alignment horizontal="left" vertical="center" shrinkToFit="1"/>
      <protection locked="0"/>
    </xf>
    <xf numFmtId="0" fontId="19" fillId="0" borderId="24" xfId="0" applyFont="1" applyBorder="1" applyAlignment="1" applyProtection="1">
      <alignment horizontal="left" vertical="center" shrinkToFit="1"/>
      <protection locked="0"/>
    </xf>
    <xf numFmtId="0" fontId="2" fillId="6" borderId="24" xfId="0" applyFont="1" applyFill="1" applyBorder="1" applyAlignment="1" applyProtection="1">
      <alignment horizontal="left" vertical="center"/>
    </xf>
    <xf numFmtId="0" fontId="19" fillId="0" borderId="24" xfId="0" applyFont="1" applyBorder="1" applyAlignment="1" applyProtection="1">
      <alignment horizontal="left" vertical="center"/>
    </xf>
    <xf numFmtId="0" fontId="4" fillId="2" borderId="15" xfId="0" applyFont="1" applyFill="1" applyBorder="1" applyAlignment="1" applyProtection="1">
      <alignment horizontal="center"/>
    </xf>
    <xf numFmtId="0" fontId="4" fillId="2" borderId="16" xfId="0" applyFont="1" applyFill="1" applyBorder="1" applyAlignment="1" applyProtection="1">
      <alignment horizontal="center"/>
    </xf>
    <xf numFmtId="0" fontId="4" fillId="2" borderId="14" xfId="0" applyFont="1" applyFill="1" applyBorder="1" applyAlignment="1" applyProtection="1">
      <alignment horizontal="center"/>
    </xf>
    <xf numFmtId="0" fontId="4" fillId="2" borderId="68" xfId="0" applyFont="1" applyFill="1" applyBorder="1" applyAlignment="1" applyProtection="1">
      <alignment horizontal="left"/>
    </xf>
    <xf numFmtId="0" fontId="4" fillId="2" borderId="69" xfId="0" applyFont="1" applyFill="1" applyBorder="1" applyAlignment="1" applyProtection="1">
      <alignment horizontal="left"/>
    </xf>
    <xf numFmtId="0" fontId="4" fillId="2" borderId="70" xfId="0" applyFont="1" applyFill="1" applyBorder="1" applyAlignment="1" applyProtection="1">
      <alignment horizontal="left"/>
    </xf>
    <xf numFmtId="0" fontId="4" fillId="2" borderId="25" xfId="0" applyFont="1" applyFill="1" applyBorder="1" applyAlignment="1" applyProtection="1">
      <alignment horizontal="left"/>
    </xf>
    <xf numFmtId="0" fontId="4" fillId="2" borderId="67" xfId="0" applyFont="1" applyFill="1" applyBorder="1" applyAlignment="1" applyProtection="1">
      <alignment horizontal="left" wrapText="1"/>
    </xf>
    <xf numFmtId="0" fontId="19" fillId="0" borderId="18" xfId="0" applyFont="1" applyBorder="1" applyAlignment="1" applyProtection="1">
      <alignment horizontal="left" wrapText="1"/>
    </xf>
    <xf numFmtId="0" fontId="3" fillId="13" borderId="46" xfId="0" applyFont="1" applyFill="1" applyBorder="1" applyAlignment="1" applyProtection="1">
      <alignment horizontal="left" wrapText="1"/>
    </xf>
    <xf numFmtId="49" fontId="3" fillId="5" borderId="33" xfId="0" applyNumberFormat="1" applyFont="1" applyFill="1" applyBorder="1" applyAlignment="1" applyProtection="1">
      <alignment horizontal="left" vertical="top" wrapText="1"/>
      <protection locked="0"/>
    </xf>
    <xf numFmtId="49" fontId="3" fillId="5" borderId="21" xfId="0" applyNumberFormat="1" applyFont="1" applyFill="1" applyBorder="1" applyAlignment="1" applyProtection="1">
      <alignment horizontal="left" vertical="top" wrapText="1"/>
      <protection locked="0"/>
    </xf>
    <xf numFmtId="49" fontId="3" fillId="5" borderId="43" xfId="0" applyNumberFormat="1" applyFont="1" applyFill="1" applyBorder="1" applyAlignment="1" applyProtection="1">
      <alignment horizontal="left" vertical="top" wrapText="1"/>
      <protection locked="0"/>
    </xf>
    <xf numFmtId="0" fontId="36" fillId="13" borderId="0" xfId="0" applyFont="1" applyFill="1" applyBorder="1" applyAlignment="1" applyProtection="1">
      <alignment horizontal="left" vertical="top" wrapText="1"/>
    </xf>
    <xf numFmtId="0" fontId="3" fillId="13" borderId="26" xfId="0" applyFont="1" applyFill="1" applyBorder="1" applyAlignment="1" applyProtection="1">
      <alignment horizontal="left" wrapText="1"/>
    </xf>
    <xf numFmtId="0" fontId="3" fillId="13" borderId="45" xfId="0" applyFont="1" applyFill="1" applyBorder="1" applyAlignment="1" applyProtection="1">
      <alignment horizontal="left" wrapText="1"/>
    </xf>
    <xf numFmtId="0" fontId="3" fillId="13" borderId="21" xfId="0" applyFont="1" applyFill="1" applyBorder="1" applyAlignment="1" applyProtection="1">
      <alignment horizontal="left" vertical="top"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3" fillId="13" borderId="23" xfId="0" applyFont="1" applyFill="1" applyBorder="1" applyAlignment="1" applyProtection="1">
      <alignment horizontal="left" vertical="top" wrapText="1"/>
    </xf>
    <xf numFmtId="0" fontId="0" fillId="0" borderId="23" xfId="0" applyBorder="1" applyAlignment="1">
      <alignment horizontal="left" vertical="top" wrapText="1"/>
    </xf>
    <xf numFmtId="0" fontId="0" fillId="0" borderId="48" xfId="0" applyBorder="1" applyAlignment="1">
      <alignment horizontal="left" vertical="top" wrapText="1"/>
    </xf>
    <xf numFmtId="49" fontId="2" fillId="5" borderId="24" xfId="0" applyNumberFormat="1" applyFont="1" applyFill="1" applyBorder="1" applyAlignment="1" applyProtection="1">
      <alignment horizontal="left"/>
      <protection locked="0"/>
    </xf>
    <xf numFmtId="0" fontId="2" fillId="5" borderId="24" xfId="0" applyFont="1" applyFill="1" applyBorder="1" applyAlignment="1" applyProtection="1">
      <alignment horizontal="left"/>
      <protection locked="0"/>
    </xf>
    <xf numFmtId="0" fontId="36" fillId="2" borderId="0" xfId="0" applyFont="1" applyFill="1" applyBorder="1" applyAlignment="1" applyProtection="1">
      <alignment horizontal="left" vertical="top" wrapText="1"/>
    </xf>
    <xf numFmtId="0" fontId="48" fillId="6" borderId="0" xfId="0" applyFont="1" applyFill="1" applyBorder="1" applyAlignment="1" applyProtection="1">
      <alignment horizontal="left"/>
    </xf>
    <xf numFmtId="0" fontId="4" fillId="2" borderId="12" xfId="0" applyFont="1" applyFill="1" applyBorder="1" applyAlignment="1" applyProtection="1">
      <alignment horizontal="left"/>
    </xf>
    <xf numFmtId="49" fontId="2" fillId="5" borderId="20" xfId="0" applyNumberFormat="1" applyFont="1" applyFill="1" applyBorder="1" applyAlignment="1" applyProtection="1">
      <alignment horizontal="left"/>
      <protection locked="0"/>
    </xf>
    <xf numFmtId="0" fontId="2" fillId="5" borderId="20" xfId="0" applyFont="1" applyFill="1" applyBorder="1" applyAlignment="1" applyProtection="1">
      <alignment horizontal="left"/>
      <protection locked="0"/>
    </xf>
    <xf numFmtId="0" fontId="1" fillId="16" borderId="8" xfId="1" applyFill="1" applyBorder="1" applyAlignment="1" applyProtection="1">
      <alignment horizontal="center" vertical="center" wrapText="1"/>
    </xf>
    <xf numFmtId="14" fontId="16" fillId="5" borderId="0" xfId="0" applyNumberFormat="1" applyFont="1" applyFill="1" applyBorder="1" applyAlignment="1" applyProtection="1">
      <alignment horizontal="center" vertical="center"/>
      <protection locked="0"/>
    </xf>
    <xf numFmtId="0" fontId="36" fillId="24" borderId="0" xfId="0" applyFont="1" applyFill="1" applyBorder="1" applyAlignment="1" applyProtection="1">
      <alignment horizontal="left" vertical="top" wrapText="1"/>
    </xf>
    <xf numFmtId="0" fontId="3" fillId="13" borderId="43" xfId="0" applyFont="1" applyFill="1" applyBorder="1" applyAlignment="1" applyProtection="1">
      <alignment horizontal="left" wrapText="1"/>
    </xf>
    <xf numFmtId="49" fontId="3" fillId="17" borderId="33" xfId="0" applyNumberFormat="1" applyFont="1" applyFill="1" applyBorder="1" applyAlignment="1" applyProtection="1">
      <alignment horizontal="left" vertical="top" wrapText="1"/>
      <protection locked="0"/>
    </xf>
    <xf numFmtId="49" fontId="3" fillId="17" borderId="21" xfId="0" applyNumberFormat="1" applyFont="1" applyFill="1" applyBorder="1" applyAlignment="1" applyProtection="1">
      <alignment horizontal="left" vertical="top" wrapText="1"/>
      <protection locked="0"/>
    </xf>
    <xf numFmtId="49" fontId="3" fillId="17" borderId="43" xfId="0" applyNumberFormat="1" applyFont="1" applyFill="1" applyBorder="1" applyAlignment="1" applyProtection="1">
      <alignment horizontal="left" vertical="top" wrapText="1"/>
      <protection locked="0"/>
    </xf>
    <xf numFmtId="0" fontId="64" fillId="24" borderId="0" xfId="0" applyFont="1" applyFill="1" applyBorder="1" applyAlignment="1" applyProtection="1">
      <alignment horizontal="left" vertical="top" wrapText="1"/>
    </xf>
    <xf numFmtId="0" fontId="4" fillId="2" borderId="67" xfId="0" applyFont="1" applyFill="1" applyBorder="1" applyAlignment="1" applyProtection="1">
      <alignment horizontal="center"/>
    </xf>
    <xf numFmtId="0" fontId="19" fillId="0" borderId="18" xfId="0" applyFont="1" applyBorder="1" applyAlignment="1" applyProtection="1">
      <alignment horizontal="center"/>
    </xf>
    <xf numFmtId="0" fontId="4" fillId="2" borderId="12" xfId="0" applyFont="1" applyFill="1" applyBorder="1" applyAlignment="1" applyProtection="1">
      <alignment horizontal="left" vertical="center" wrapText="1"/>
    </xf>
    <xf numFmtId="0" fontId="2" fillId="6" borderId="20" xfId="0" applyFont="1" applyFill="1" applyBorder="1" applyAlignment="1" applyProtection="1">
      <alignment horizontal="left" vertical="center"/>
    </xf>
    <xf numFmtId="0" fontId="12" fillId="0" borderId="12" xfId="0" applyFont="1" applyBorder="1" applyAlignment="1" applyProtection="1">
      <alignment horizontal="left" vertical="center"/>
    </xf>
    <xf numFmtId="0" fontId="2" fillId="5" borderId="20" xfId="0" applyFont="1" applyFill="1" applyBorder="1" applyAlignment="1" applyProtection="1">
      <alignment horizontal="left" vertical="center" shrinkToFit="1"/>
      <protection locked="0"/>
    </xf>
    <xf numFmtId="0" fontId="25" fillId="13" borderId="0" xfId="0" applyFont="1" applyFill="1" applyAlignment="1" applyProtection="1">
      <alignment horizontal="left" vertical="top" wrapText="1"/>
    </xf>
    <xf numFmtId="0" fontId="1" fillId="16" borderId="0" xfId="1" applyFill="1" applyBorder="1" applyAlignment="1" applyProtection="1">
      <alignment horizontal="left" vertical="top"/>
    </xf>
    <xf numFmtId="0" fontId="69" fillId="3" borderId="0" xfId="0" applyFont="1" applyFill="1" applyBorder="1" applyAlignment="1" applyProtection="1">
      <alignment vertical="center" wrapText="1"/>
    </xf>
    <xf numFmtId="0" fontId="65" fillId="2" borderId="0" xfId="0" applyFont="1" applyFill="1" applyBorder="1" applyAlignment="1" applyProtection="1">
      <alignment horizontal="left" vertical="center" wrapText="1"/>
    </xf>
    <xf numFmtId="0" fontId="65" fillId="2" borderId="0" xfId="0" applyFont="1" applyFill="1" applyBorder="1" applyAlignment="1" applyProtection="1">
      <alignment horizontal="left" vertical="center"/>
    </xf>
    <xf numFmtId="0" fontId="65" fillId="0" borderId="0" xfId="0" applyFont="1" applyBorder="1" applyAlignment="1" applyProtection="1">
      <alignment horizontal="left" vertical="center"/>
    </xf>
    <xf numFmtId="0" fontId="37" fillId="2" borderId="0" xfId="0" applyFont="1" applyFill="1" applyBorder="1" applyAlignment="1" applyProtection="1">
      <alignment horizontal="left" vertical="center" wrapText="1"/>
    </xf>
    <xf numFmtId="4" fontId="2" fillId="5" borderId="32" xfId="0" applyNumberFormat="1" applyFont="1" applyFill="1" applyBorder="1" applyAlignment="1" applyProtection="1">
      <alignment horizontal="left" vertical="center"/>
      <protection locked="0"/>
    </xf>
    <xf numFmtId="4" fontId="2" fillId="5" borderId="19" xfId="0" applyNumberFormat="1" applyFont="1" applyFill="1" applyBorder="1" applyAlignment="1" applyProtection="1">
      <alignment horizontal="left" vertical="center"/>
      <protection locked="0"/>
    </xf>
    <xf numFmtId="4" fontId="2" fillId="5" borderId="46" xfId="0" applyNumberFormat="1" applyFont="1" applyFill="1" applyBorder="1" applyAlignment="1" applyProtection="1">
      <alignment horizontal="left" vertical="center"/>
      <protection locked="0"/>
    </xf>
    <xf numFmtId="4" fontId="2" fillId="5" borderId="95" xfId="0" applyNumberFormat="1" applyFont="1" applyFill="1"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45" xfId="0" applyBorder="1" applyAlignment="1" applyProtection="1">
      <alignment horizontal="left" vertical="center"/>
      <protection locked="0"/>
    </xf>
    <xf numFmtId="4" fontId="2" fillId="5" borderId="12" xfId="0" applyNumberFormat="1" applyFont="1" applyFill="1" applyBorder="1" applyAlignment="1" applyProtection="1">
      <alignment horizontal="left" vertical="center"/>
      <protection locked="0"/>
    </xf>
    <xf numFmtId="0" fontId="0" fillId="0" borderId="12" xfId="0" applyFont="1" applyBorder="1" applyAlignment="1" applyProtection="1">
      <alignment horizontal="left" vertical="center"/>
      <protection locked="0"/>
    </xf>
    <xf numFmtId="0" fontId="65" fillId="2" borderId="19" xfId="0" applyFont="1" applyFill="1" applyBorder="1" applyAlignment="1" applyProtection="1">
      <alignment horizontal="left" vertical="top" wrapText="1"/>
    </xf>
    <xf numFmtId="0" fontId="65" fillId="0" borderId="19" xfId="0" applyFont="1" applyBorder="1" applyAlignment="1" applyProtection="1">
      <alignment horizontal="left" vertical="top" wrapText="1"/>
    </xf>
    <xf numFmtId="0" fontId="65" fillId="2" borderId="21" xfId="0" applyFont="1" applyFill="1" applyBorder="1" applyAlignment="1" applyProtection="1">
      <alignment horizontal="left" vertical="top" wrapText="1"/>
    </xf>
    <xf numFmtId="0" fontId="65" fillId="0" borderId="21" xfId="0" applyFont="1" applyBorder="1" applyAlignment="1" applyProtection="1">
      <alignment horizontal="left" vertical="top" wrapText="1"/>
    </xf>
    <xf numFmtId="0" fontId="65" fillId="2" borderId="23" xfId="0" applyFont="1" applyFill="1" applyBorder="1" applyAlignment="1" applyProtection="1">
      <alignment horizontal="left" vertical="top" wrapText="1"/>
    </xf>
    <xf numFmtId="0" fontId="65" fillId="0" borderId="23" xfId="0" applyFont="1" applyBorder="1" applyAlignment="1" applyProtection="1">
      <alignment horizontal="left" vertical="top" wrapText="1"/>
    </xf>
    <xf numFmtId="0" fontId="4" fillId="6" borderId="12" xfId="0" applyFont="1" applyFill="1" applyBorder="1" applyAlignment="1" applyProtection="1">
      <alignment horizontal="left" vertical="center"/>
    </xf>
    <xf numFmtId="0" fontId="1" fillId="12" borderId="0" xfId="1" applyFill="1" applyBorder="1" applyAlignment="1" applyProtection="1">
      <alignment horizontal="left" vertical="top"/>
    </xf>
    <xf numFmtId="0" fontId="1" fillId="12" borderId="0" xfId="1" applyFont="1" applyFill="1" applyBorder="1" applyAlignment="1" applyProtection="1">
      <alignment horizontal="left" vertical="top"/>
    </xf>
    <xf numFmtId="0" fontId="12" fillId="6" borderId="28" xfId="0" applyNumberFormat="1" applyFont="1" applyFill="1" applyBorder="1" applyAlignment="1" applyProtection="1">
      <alignment horizontal="left" vertical="center" indent="1" shrinkToFit="1"/>
    </xf>
    <xf numFmtId="0" fontId="12" fillId="6" borderId="29" xfId="0" applyNumberFormat="1" applyFont="1" applyFill="1" applyBorder="1" applyAlignment="1" applyProtection="1">
      <alignment horizontal="left" vertical="center" indent="1" shrinkToFit="1"/>
    </xf>
    <xf numFmtId="0" fontId="12" fillId="6" borderId="30" xfId="0" applyNumberFormat="1" applyFont="1" applyFill="1" applyBorder="1" applyAlignment="1" applyProtection="1">
      <alignment horizontal="left" vertical="center" indent="1" shrinkToFit="1"/>
    </xf>
    <xf numFmtId="0" fontId="12" fillId="6" borderId="28" xfId="0" applyFont="1" applyFill="1" applyBorder="1" applyAlignment="1" applyProtection="1">
      <alignment horizontal="center" vertical="center" shrinkToFit="1"/>
    </xf>
    <xf numFmtId="0" fontId="12" fillId="6" borderId="29" xfId="0" applyFont="1" applyFill="1" applyBorder="1" applyAlignment="1" applyProtection="1">
      <alignment horizontal="center" vertical="center" shrinkToFit="1"/>
    </xf>
    <xf numFmtId="0" fontId="12" fillId="6" borderId="30" xfId="0" applyFont="1" applyFill="1" applyBorder="1" applyAlignment="1" applyProtection="1">
      <alignment horizontal="center" vertical="center" shrinkToFit="1"/>
    </xf>
    <xf numFmtId="0" fontId="1" fillId="16" borderId="0" xfId="1" applyFont="1" applyFill="1" applyBorder="1" applyAlignment="1" applyProtection="1">
      <alignment horizontal="left" vertical="top"/>
    </xf>
    <xf numFmtId="0" fontId="1" fillId="16" borderId="84" xfId="1" applyFont="1" applyFill="1" applyBorder="1" applyAlignment="1" applyProtection="1">
      <alignment horizontal="center" vertical="center" wrapText="1"/>
    </xf>
    <xf numFmtId="0" fontId="1" fillId="16" borderId="85" xfId="1" applyFont="1" applyFill="1" applyBorder="1" applyAlignment="1" applyProtection="1">
      <alignment horizontal="center" vertical="center" wrapText="1"/>
    </xf>
    <xf numFmtId="0" fontId="1" fillId="16" borderId="85" xfId="1" applyFill="1" applyBorder="1" applyAlignment="1" applyProtection="1">
      <alignment horizontal="center" vertical="center" wrapText="1"/>
    </xf>
    <xf numFmtId="0" fontId="10" fillId="16" borderId="52" xfId="0" applyFont="1" applyFill="1" applyBorder="1" applyAlignment="1" applyProtection="1">
      <alignment horizontal="center" vertical="center"/>
    </xf>
    <xf numFmtId="0" fontId="1" fillId="16" borderId="63" xfId="1" applyFont="1" applyFill="1" applyBorder="1" applyAlignment="1" applyProtection="1">
      <alignment horizontal="center" vertical="center" wrapText="1"/>
    </xf>
    <xf numFmtId="0" fontId="1" fillId="0" borderId="0" xfId="1" applyFill="1" applyBorder="1" applyAlignment="1" applyProtection="1">
      <alignment horizontal="left" vertical="center"/>
    </xf>
    <xf numFmtId="0" fontId="1" fillId="0" borderId="0" xfId="1" applyFont="1" applyFill="1" applyBorder="1" applyAlignment="1" applyProtection="1">
      <alignment horizontal="left" vertical="center"/>
    </xf>
    <xf numFmtId="0" fontId="2" fillId="6" borderId="12" xfId="0" applyFont="1" applyFill="1" applyBorder="1" applyAlignment="1" applyProtection="1">
      <alignment horizontal="left" vertical="center"/>
    </xf>
    <xf numFmtId="0" fontId="65" fillId="8" borderId="0" xfId="0" applyFont="1" applyFill="1" applyBorder="1" applyAlignment="1" applyProtection="1">
      <alignment horizontal="left" vertical="top" wrapText="1"/>
    </xf>
    <xf numFmtId="165" fontId="2" fillId="5" borderId="12" xfId="0" applyNumberFormat="1" applyFont="1" applyFill="1" applyBorder="1" applyAlignment="1" applyProtection="1">
      <alignment horizontal="left" vertical="center"/>
      <protection locked="0"/>
    </xf>
    <xf numFmtId="0" fontId="1" fillId="16" borderId="105" xfId="1" applyFont="1" applyFill="1" applyBorder="1" applyAlignment="1" applyProtection="1">
      <alignment horizontal="center" vertical="top" wrapText="1"/>
    </xf>
    <xf numFmtId="0" fontId="0" fillId="0" borderId="106" xfId="0" applyBorder="1" applyAlignment="1">
      <alignment horizontal="center" vertical="top" wrapText="1"/>
    </xf>
    <xf numFmtId="0" fontId="0" fillId="0" borderId="74" xfId="0" applyBorder="1" applyAlignment="1">
      <alignment horizontal="center" vertical="top" wrapText="1"/>
    </xf>
    <xf numFmtId="0" fontId="1" fillId="16" borderId="118" xfId="1" applyFont="1" applyFill="1" applyBorder="1" applyAlignment="1" applyProtection="1">
      <alignment horizontal="center" vertical="top" wrapText="1"/>
    </xf>
    <xf numFmtId="0" fontId="0" fillId="0" borderId="117" xfId="0" applyBorder="1" applyAlignment="1">
      <alignment horizontal="center" vertical="top" wrapText="1"/>
    </xf>
    <xf numFmtId="0" fontId="0" fillId="0" borderId="80" xfId="0" applyBorder="1" applyAlignment="1">
      <alignment horizontal="center" vertical="top" wrapText="1"/>
    </xf>
    <xf numFmtId="0" fontId="1" fillId="16" borderId="77" xfId="1" applyFont="1" applyFill="1" applyBorder="1" applyAlignment="1" applyProtection="1">
      <alignment horizontal="center" vertical="top" wrapText="1"/>
    </xf>
    <xf numFmtId="0" fontId="1" fillId="16" borderId="76" xfId="1" applyFont="1" applyFill="1" applyBorder="1" applyAlignment="1" applyProtection="1">
      <alignment horizontal="center" vertical="top" wrapText="1"/>
    </xf>
    <xf numFmtId="0" fontId="0" fillId="0" borderId="86" xfId="0" applyBorder="1" applyAlignment="1">
      <alignment horizontal="center" vertical="top" wrapText="1"/>
    </xf>
    <xf numFmtId="0" fontId="1" fillId="16" borderId="107" xfId="1" applyFont="1" applyFill="1" applyBorder="1" applyAlignment="1" applyProtection="1">
      <alignment horizontal="center" vertical="top" wrapText="1"/>
    </xf>
    <xf numFmtId="0" fontId="0" fillId="0" borderId="116" xfId="0" applyBorder="1" applyAlignment="1">
      <alignment horizontal="center" vertical="top" wrapText="1"/>
    </xf>
    <xf numFmtId="0" fontId="1" fillId="16" borderId="71" xfId="1" applyFill="1" applyBorder="1" applyAlignment="1" applyProtection="1">
      <alignment horizontal="center" vertical="top" wrapText="1"/>
    </xf>
    <xf numFmtId="0" fontId="1" fillId="16" borderId="105" xfId="1" applyFill="1" applyBorder="1" applyAlignment="1" applyProtection="1">
      <alignment horizontal="center" vertical="top" wrapText="1"/>
    </xf>
    <xf numFmtId="0" fontId="52" fillId="2" borderId="36" xfId="0" applyFont="1" applyFill="1" applyBorder="1" applyAlignment="1" applyProtection="1">
      <alignment horizontal="left"/>
    </xf>
    <xf numFmtId="0" fontId="52" fillId="2" borderId="18" xfId="0" applyFont="1" applyFill="1" applyBorder="1" applyAlignment="1" applyProtection="1">
      <alignment horizontal="left"/>
    </xf>
    <xf numFmtId="0" fontId="32" fillId="13" borderId="0" xfId="0" applyFont="1" applyFill="1" applyBorder="1" applyAlignment="1" applyProtection="1">
      <alignment vertical="center" wrapText="1"/>
    </xf>
    <xf numFmtId="0" fontId="44" fillId="0" borderId="0" xfId="0" applyFont="1" applyBorder="1" applyAlignment="1" applyProtection="1">
      <alignment vertical="center" wrapText="1"/>
    </xf>
    <xf numFmtId="0" fontId="65" fillId="0" borderId="0" xfId="0" applyFont="1" applyBorder="1" applyAlignment="1" applyProtection="1">
      <alignment horizontal="left" vertical="top" wrapText="1"/>
    </xf>
    <xf numFmtId="0" fontId="65" fillId="24" borderId="0" xfId="0" quotePrefix="1" applyFont="1" applyFill="1" applyBorder="1" applyAlignment="1" applyProtection="1">
      <alignment horizontal="left" vertical="top" wrapText="1"/>
    </xf>
    <xf numFmtId="0" fontId="65" fillId="24" borderId="0" xfId="0" applyFont="1" applyFill="1" applyBorder="1" applyAlignment="1" applyProtection="1">
      <alignment horizontal="left" vertical="top" wrapText="1"/>
    </xf>
    <xf numFmtId="0" fontId="18" fillId="24" borderId="0" xfId="0" applyFont="1" applyFill="1" applyBorder="1" applyAlignment="1" applyProtection="1">
      <alignment vertical="top" wrapText="1"/>
    </xf>
    <xf numFmtId="0" fontId="44" fillId="24" borderId="0" xfId="0" applyFont="1" applyFill="1" applyBorder="1" applyAlignment="1" applyProtection="1">
      <alignment vertical="top" wrapText="1"/>
    </xf>
    <xf numFmtId="0" fontId="52" fillId="2" borderId="36" xfId="0" applyFont="1" applyFill="1" applyBorder="1" applyAlignment="1" applyProtection="1">
      <alignment horizontal="left" wrapText="1"/>
    </xf>
    <xf numFmtId="0" fontId="52" fillId="2" borderId="18" xfId="0" applyFont="1" applyFill="1" applyBorder="1" applyAlignment="1" applyProtection="1">
      <alignment horizontal="left" wrapText="1"/>
    </xf>
    <xf numFmtId="0" fontId="36" fillId="2" borderId="19" xfId="0" applyFont="1" applyFill="1" applyBorder="1" applyAlignment="1" applyProtection="1">
      <alignment horizontal="left" vertical="top" wrapText="1"/>
    </xf>
    <xf numFmtId="0" fontId="71" fillId="0" borderId="19" xfId="0" applyFont="1" applyBorder="1" applyAlignment="1" applyProtection="1">
      <alignment horizontal="left" vertical="top" wrapText="1"/>
    </xf>
    <xf numFmtId="0" fontId="36" fillId="2" borderId="21" xfId="0" applyFont="1" applyFill="1" applyBorder="1" applyAlignment="1" applyProtection="1">
      <alignment horizontal="left" vertical="top" wrapText="1"/>
    </xf>
    <xf numFmtId="0" fontId="71" fillId="0" borderId="21" xfId="0" applyFont="1" applyBorder="1" applyAlignment="1" applyProtection="1">
      <alignment horizontal="left" vertical="top" wrapText="1"/>
    </xf>
    <xf numFmtId="0" fontId="36" fillId="2" borderId="23" xfId="0" applyFont="1" applyFill="1" applyBorder="1" applyAlignment="1" applyProtection="1">
      <alignment horizontal="left" vertical="top" wrapText="1"/>
    </xf>
    <xf numFmtId="0" fontId="71" fillId="0" borderId="23" xfId="0" applyFont="1" applyBorder="1" applyAlignment="1" applyProtection="1">
      <alignment horizontal="left" vertical="top" wrapText="1"/>
    </xf>
    <xf numFmtId="0" fontId="52" fillId="2" borderId="36" xfId="0" applyFont="1" applyFill="1" applyBorder="1" applyAlignment="1" applyProtection="1">
      <alignment horizontal="center" wrapText="1"/>
    </xf>
    <xf numFmtId="0" fontId="52" fillId="2" borderId="57" xfId="0" applyFont="1" applyFill="1" applyBorder="1" applyAlignment="1" applyProtection="1">
      <alignment horizontal="center" wrapText="1"/>
    </xf>
    <xf numFmtId="0" fontId="0" fillId="0" borderId="57" xfId="0" applyBorder="1" applyAlignment="1" applyProtection="1">
      <alignment horizontal="center" wrapText="1"/>
    </xf>
    <xf numFmtId="0" fontId="52" fillId="2" borderId="17" xfId="0" applyFont="1" applyFill="1" applyBorder="1" applyAlignment="1" applyProtection="1">
      <alignment horizontal="center" wrapText="1"/>
    </xf>
    <xf numFmtId="0" fontId="0" fillId="0" borderId="70" xfId="0" applyBorder="1" applyAlignment="1" applyProtection="1">
      <alignment horizontal="center" wrapText="1"/>
    </xf>
    <xf numFmtId="0" fontId="52" fillId="2" borderId="18" xfId="0" applyFont="1" applyFill="1" applyBorder="1" applyAlignment="1" applyProtection="1">
      <alignment horizontal="center" wrapText="1"/>
    </xf>
    <xf numFmtId="0" fontId="2" fillId="6" borderId="15" xfId="0" applyFont="1" applyFill="1" applyBorder="1" applyAlignment="1" applyProtection="1">
      <alignment horizontal="left" vertical="center"/>
    </xf>
    <xf numFmtId="0" fontId="2" fillId="6" borderId="14" xfId="0" applyFont="1" applyFill="1" applyBorder="1" applyAlignment="1" applyProtection="1">
      <alignment horizontal="left" vertical="center"/>
    </xf>
    <xf numFmtId="0" fontId="0" fillId="0" borderId="0" xfId="0" applyBorder="1" applyAlignment="1" applyProtection="1">
      <alignment horizontal="left" vertical="top" wrapText="1"/>
    </xf>
    <xf numFmtId="0" fontId="65" fillId="24" borderId="0" xfId="0" applyFont="1" applyFill="1" applyBorder="1" applyAlignment="1" applyProtection="1">
      <alignment vertical="top" wrapText="1"/>
    </xf>
    <xf numFmtId="0" fontId="70" fillId="24" borderId="0" xfId="0" applyFont="1" applyFill="1" applyBorder="1" applyAlignment="1" applyProtection="1">
      <alignment vertical="top" wrapText="1"/>
    </xf>
    <xf numFmtId="0" fontId="10" fillId="13" borderId="0" xfId="0" applyNumberFormat="1" applyFont="1" applyFill="1" applyBorder="1" applyAlignment="1" applyProtection="1">
      <alignment horizontal="left" vertical="top" wrapText="1"/>
    </xf>
    <xf numFmtId="0" fontId="65" fillId="13" borderId="0" xfId="0" applyFont="1" applyFill="1" applyBorder="1" applyAlignment="1" applyProtection="1">
      <alignment horizontal="left" vertical="top" wrapText="1"/>
    </xf>
    <xf numFmtId="0" fontId="37" fillId="2" borderId="0" xfId="0" applyFont="1" applyFill="1" applyBorder="1" applyAlignment="1" applyProtection="1">
      <alignment horizontal="left" vertical="top" wrapText="1"/>
    </xf>
    <xf numFmtId="0" fontId="37" fillId="2" borderId="21" xfId="0" applyFont="1" applyFill="1" applyBorder="1" applyAlignment="1" applyProtection="1">
      <alignment horizontal="left" vertical="top" wrapText="1"/>
    </xf>
    <xf numFmtId="0" fontId="0" fillId="2" borderId="21" xfId="0" applyFont="1" applyFill="1" applyBorder="1" applyAlignment="1">
      <alignment horizontal="left" vertical="top" wrapText="1"/>
    </xf>
    <xf numFmtId="0" fontId="37" fillId="2" borderId="47" xfId="0" applyFont="1" applyFill="1" applyBorder="1" applyAlignment="1" applyProtection="1">
      <alignment horizontal="left" vertical="top" wrapText="1"/>
    </xf>
    <xf numFmtId="0" fontId="37" fillId="2" borderId="83" xfId="0" applyFont="1" applyFill="1" applyBorder="1" applyAlignment="1" applyProtection="1">
      <alignment horizontal="left" vertical="top" wrapText="1"/>
    </xf>
    <xf numFmtId="0" fontId="0" fillId="2" borderId="83" xfId="0" applyFill="1" applyBorder="1" applyAlignment="1">
      <alignment horizontal="left" vertical="top" wrapText="1"/>
    </xf>
    <xf numFmtId="0" fontId="0" fillId="2" borderId="21" xfId="0" applyFill="1" applyBorder="1" applyAlignment="1">
      <alignment horizontal="left" vertical="top" wrapText="1"/>
    </xf>
    <xf numFmtId="0" fontId="1" fillId="16" borderId="0" xfId="1" applyFill="1" applyBorder="1" applyAlignment="1" applyProtection="1">
      <alignment horizontal="center" vertical="top"/>
    </xf>
    <xf numFmtId="0" fontId="37" fillId="0" borderId="23" xfId="0" applyFont="1" applyBorder="1" applyAlignment="1" applyProtection="1">
      <alignment horizontal="left" vertical="top" wrapText="1"/>
    </xf>
    <xf numFmtId="0" fontId="37" fillId="2" borderId="42" xfId="0" applyFont="1" applyFill="1" applyBorder="1" applyAlignment="1" applyProtection="1">
      <alignment horizontal="left" vertical="top" wrapText="1"/>
    </xf>
    <xf numFmtId="0" fontId="37" fillId="2" borderId="26" xfId="0" applyFont="1" applyFill="1" applyBorder="1" applyAlignment="1" applyProtection="1">
      <alignment horizontal="left" vertical="top" wrapText="1"/>
    </xf>
    <xf numFmtId="0" fontId="55" fillId="24" borderId="0" xfId="0" applyFont="1" applyFill="1" applyBorder="1" applyAlignment="1" applyProtection="1">
      <alignment vertical="top" wrapText="1"/>
    </xf>
    <xf numFmtId="0" fontId="37" fillId="2" borderId="23" xfId="0" applyFont="1" applyFill="1" applyBorder="1" applyAlignment="1" applyProtection="1">
      <alignment horizontal="left" vertical="top" wrapText="1"/>
    </xf>
    <xf numFmtId="0" fontId="55" fillId="2" borderId="19" xfId="0" applyFont="1" applyFill="1" applyBorder="1" applyAlignment="1" applyProtection="1">
      <alignment horizontal="left" wrapText="1"/>
    </xf>
    <xf numFmtId="0" fontId="0" fillId="0" borderId="21" xfId="0" applyFont="1" applyBorder="1" applyAlignment="1">
      <alignment horizontal="left" vertical="top" wrapText="1"/>
    </xf>
    <xf numFmtId="0" fontId="37" fillId="24" borderId="0" xfId="0" applyFont="1" applyFill="1" applyBorder="1" applyAlignment="1" applyProtection="1">
      <alignment vertical="top" wrapText="1"/>
    </xf>
    <xf numFmtId="0" fontId="0" fillId="0" borderId="47" xfId="0" applyBorder="1" applyAlignment="1">
      <alignment horizontal="left" vertical="top" wrapText="1"/>
    </xf>
    <xf numFmtId="0" fontId="37" fillId="0" borderId="21" xfId="0" applyFont="1" applyFill="1" applyBorder="1" applyAlignment="1" applyProtection="1">
      <alignment horizontal="left" vertical="top" wrapText="1"/>
    </xf>
    <xf numFmtId="0" fontId="0" fillId="0" borderId="21" xfId="0" applyFill="1" applyBorder="1" applyAlignment="1">
      <alignment horizontal="left" vertical="top" wrapText="1"/>
    </xf>
    <xf numFmtId="0" fontId="1" fillId="16" borderId="128" xfId="1" applyFont="1" applyFill="1" applyBorder="1" applyAlignment="1" applyProtection="1">
      <alignment horizontal="center" vertical="center" wrapText="1"/>
    </xf>
    <xf numFmtId="0" fontId="36" fillId="2" borderId="26" xfId="0" applyFont="1" applyFill="1" applyBorder="1" applyAlignment="1" applyProtection="1">
      <alignment horizontal="left" vertical="top" wrapText="1"/>
    </xf>
    <xf numFmtId="0" fontId="1" fillId="2" borderId="47" xfId="1" applyFill="1" applyBorder="1" applyAlignment="1" applyProtection="1">
      <alignment horizontal="left" vertical="top" wrapText="1"/>
    </xf>
    <xf numFmtId="0" fontId="55" fillId="2" borderId="0" xfId="0" applyFont="1" applyFill="1" applyBorder="1" applyAlignment="1" applyProtection="1">
      <alignment horizontal="center" vertical="center" wrapText="1"/>
    </xf>
    <xf numFmtId="0" fontId="55" fillId="2" borderId="47" xfId="0" applyFont="1" applyFill="1" applyBorder="1" applyAlignment="1" applyProtection="1">
      <alignment horizontal="center" vertical="center" wrapText="1"/>
    </xf>
    <xf numFmtId="0" fontId="40" fillId="24" borderId="0" xfId="1" applyFont="1" applyFill="1" applyBorder="1" applyAlignment="1" applyProtection="1">
      <alignment vertical="top" wrapText="1"/>
    </xf>
    <xf numFmtId="0" fontId="48" fillId="24" borderId="0" xfId="0" applyFont="1" applyFill="1" applyBorder="1" applyAlignment="1" applyProtection="1">
      <alignment vertical="top" wrapText="1"/>
    </xf>
    <xf numFmtId="0" fontId="55" fillId="2" borderId="42" xfId="0" applyFont="1" applyFill="1" applyBorder="1" applyAlignment="1" applyProtection="1">
      <alignment horizontal="left" wrapText="1"/>
    </xf>
    <xf numFmtId="0" fontId="0" fillId="2" borderId="47" xfId="0" applyFont="1" applyFill="1" applyBorder="1" applyAlignment="1">
      <alignment horizontal="left" vertical="top" wrapText="1"/>
    </xf>
    <xf numFmtId="0" fontId="0" fillId="2" borderId="26" xfId="0" applyFill="1" applyBorder="1" applyAlignment="1">
      <alignment horizontal="left" vertical="top" wrapText="1"/>
    </xf>
    <xf numFmtId="0" fontId="0" fillId="2" borderId="23" xfId="0" applyFill="1" applyBorder="1" applyAlignment="1">
      <alignment horizontal="left" vertical="top" wrapText="1"/>
    </xf>
    <xf numFmtId="0" fontId="0" fillId="2" borderId="47" xfId="0" applyFill="1" applyBorder="1" applyAlignment="1">
      <alignment horizontal="left" vertical="top" wrapText="1"/>
    </xf>
    <xf numFmtId="0" fontId="76" fillId="2" borderId="19" xfId="0" applyFont="1" applyFill="1" applyBorder="1" applyAlignment="1" applyProtection="1">
      <alignment horizontal="left" wrapText="1"/>
    </xf>
    <xf numFmtId="0" fontId="77" fillId="2" borderId="47" xfId="0" applyFont="1" applyFill="1" applyBorder="1" applyAlignment="1" applyProtection="1">
      <alignment horizontal="left" vertical="top" wrapText="1"/>
    </xf>
    <xf numFmtId="0" fontId="78" fillId="2" borderId="47" xfId="0" applyFont="1" applyFill="1" applyBorder="1" applyAlignment="1">
      <alignment horizontal="left" vertical="top" wrapText="1"/>
    </xf>
    <xf numFmtId="0" fontId="77" fillId="2" borderId="26" xfId="0" applyFont="1" applyFill="1" applyBorder="1" applyAlignment="1" applyProtection="1">
      <alignment horizontal="left" vertical="top" wrapText="1"/>
    </xf>
    <xf numFmtId="0" fontId="78" fillId="2" borderId="26" xfId="0" applyFont="1" applyFill="1" applyBorder="1" applyAlignment="1">
      <alignment horizontal="left" vertical="top" wrapText="1"/>
    </xf>
    <xf numFmtId="0" fontId="77" fillId="2" borderId="0" xfId="0" applyFont="1" applyFill="1" applyBorder="1" applyAlignment="1" applyProtection="1">
      <alignment horizontal="left" vertical="top" wrapText="1"/>
    </xf>
    <xf numFmtId="0" fontId="78" fillId="2" borderId="0" xfId="0" applyFont="1" applyFill="1" applyBorder="1" applyAlignment="1">
      <alignment horizontal="left" vertical="top" wrapText="1"/>
    </xf>
    <xf numFmtId="0" fontId="65" fillId="2" borderId="42" xfId="0" applyFont="1" applyFill="1" applyBorder="1" applyAlignment="1" applyProtection="1">
      <alignment horizontal="left" vertical="top" wrapText="1"/>
    </xf>
    <xf numFmtId="0" fontId="65" fillId="0" borderId="42" xfId="0" applyFont="1" applyBorder="1" applyAlignment="1" applyProtection="1">
      <alignment horizontal="left" vertical="top" wrapText="1"/>
    </xf>
    <xf numFmtId="0" fontId="65" fillId="2" borderId="47" xfId="0" applyFont="1" applyFill="1" applyBorder="1" applyAlignment="1" applyProtection="1">
      <alignment horizontal="left" vertical="top" wrapText="1"/>
    </xf>
    <xf numFmtId="0" fontId="65" fillId="0" borderId="47" xfId="0" applyFont="1" applyBorder="1" applyAlignment="1" applyProtection="1">
      <alignment horizontal="left" vertical="top" wrapText="1"/>
    </xf>
    <xf numFmtId="0" fontId="10" fillId="2" borderId="111" xfId="0" applyFont="1" applyFill="1" applyBorder="1" applyAlignment="1" applyProtection="1">
      <alignment horizontal="center" vertical="center" wrapText="1"/>
    </xf>
    <xf numFmtId="0" fontId="10" fillId="2" borderId="112" xfId="0" applyFont="1" applyFill="1" applyBorder="1" applyAlignment="1" applyProtection="1">
      <alignment horizontal="center" vertical="center" wrapText="1"/>
    </xf>
    <xf numFmtId="0" fontId="34" fillId="6" borderId="33" xfId="0" applyNumberFormat="1" applyFont="1" applyFill="1" applyBorder="1" applyAlignment="1" applyProtection="1">
      <alignment horizontal="left" vertical="center" indent="1"/>
    </xf>
    <xf numFmtId="0" fontId="41" fillId="0" borderId="43" xfId="0" applyFont="1" applyBorder="1" applyAlignment="1" applyProtection="1">
      <alignment horizontal="left" vertical="center" indent="1"/>
    </xf>
    <xf numFmtId="0" fontId="4" fillId="2" borderId="53" xfId="0" applyFont="1" applyFill="1" applyBorder="1" applyAlignment="1" applyProtection="1">
      <alignment horizontal="center" vertical="center" wrapText="1"/>
    </xf>
    <xf numFmtId="0" fontId="4" fillId="2" borderId="54" xfId="0" applyFont="1" applyFill="1" applyBorder="1" applyAlignment="1" applyProtection="1">
      <alignment horizontal="center" vertical="center" wrapText="1"/>
    </xf>
    <xf numFmtId="0" fontId="11" fillId="6" borderId="1" xfId="0" applyNumberFormat="1" applyFont="1" applyFill="1" applyBorder="1" applyAlignment="1" applyProtection="1">
      <alignment horizontal="center" vertical="center" wrapText="1"/>
    </xf>
    <xf numFmtId="0" fontId="11" fillId="6" borderId="3" xfId="0" applyNumberFormat="1" applyFont="1" applyFill="1" applyBorder="1" applyAlignment="1" applyProtection="1">
      <alignment horizontal="center" vertical="center" wrapText="1"/>
    </xf>
    <xf numFmtId="0" fontId="11" fillId="6" borderId="6" xfId="0" applyNumberFormat="1" applyFont="1" applyFill="1" applyBorder="1" applyAlignment="1" applyProtection="1">
      <alignment horizontal="center" vertical="center" wrapText="1"/>
    </xf>
    <xf numFmtId="0" fontId="11" fillId="6" borderId="7" xfId="0" applyNumberFormat="1" applyFont="1" applyFill="1" applyBorder="1" applyAlignment="1" applyProtection="1">
      <alignment horizontal="center" vertical="center" wrapText="1"/>
    </xf>
    <xf numFmtId="0" fontId="65" fillId="2" borderId="26" xfId="0" applyFont="1" applyFill="1" applyBorder="1" applyAlignment="1" applyProtection="1">
      <alignment horizontal="right" vertical="top" wrapText="1" indent="1"/>
    </xf>
    <xf numFmtId="0" fontId="65" fillId="2" borderId="0" xfId="0" applyFont="1" applyFill="1" applyBorder="1" applyAlignment="1" applyProtection="1">
      <alignment horizontal="right" vertical="top" wrapText="1" indent="1"/>
    </xf>
    <xf numFmtId="0" fontId="65" fillId="2" borderId="47" xfId="0" applyFont="1" applyFill="1" applyBorder="1" applyAlignment="1" applyProtection="1">
      <alignment horizontal="right" vertical="top" wrapText="1" indent="1"/>
    </xf>
    <xf numFmtId="0" fontId="65" fillId="0" borderId="47" xfId="0" applyFont="1" applyBorder="1" applyAlignment="1" applyProtection="1">
      <alignment horizontal="right" vertical="top" wrapText="1" indent="1"/>
    </xf>
    <xf numFmtId="0" fontId="4" fillId="2" borderId="28" xfId="0" applyNumberFormat="1" applyFont="1" applyFill="1" applyBorder="1" applyAlignment="1" applyProtection="1">
      <alignment horizontal="left" vertical="center" wrapText="1"/>
    </xf>
    <xf numFmtId="0" fontId="4" fillId="2" borderId="29" xfId="0" applyNumberFormat="1" applyFont="1" applyFill="1" applyBorder="1" applyAlignment="1" applyProtection="1">
      <alignment horizontal="left" vertical="center" wrapText="1"/>
    </xf>
    <xf numFmtId="49" fontId="34" fillId="6" borderId="81" xfId="0" applyNumberFormat="1" applyFont="1" applyFill="1" applyBorder="1" applyAlignment="1" applyProtection="1">
      <alignment horizontal="left" vertical="center"/>
    </xf>
    <xf numFmtId="49" fontId="34" fillId="6" borderId="82" xfId="0" applyNumberFormat="1" applyFont="1" applyFill="1" applyBorder="1" applyAlignment="1" applyProtection="1">
      <alignment horizontal="left" vertical="center"/>
    </xf>
    <xf numFmtId="0" fontId="4" fillId="2" borderId="44" xfId="0" applyFont="1" applyFill="1" applyBorder="1" applyAlignment="1" applyProtection="1">
      <alignment horizontal="left" wrapText="1"/>
    </xf>
    <xf numFmtId="0" fontId="4" fillId="2" borderId="25" xfId="0" applyFont="1" applyFill="1" applyBorder="1" applyAlignment="1" applyProtection="1">
      <alignment horizontal="left" wrapText="1"/>
    </xf>
    <xf numFmtId="0" fontId="65" fillId="2" borderId="23" xfId="0" quotePrefix="1" applyFont="1" applyFill="1" applyBorder="1" applyAlignment="1" applyProtection="1">
      <alignment horizontal="left" vertical="top" wrapText="1"/>
    </xf>
    <xf numFmtId="0" fontId="2" fillId="5" borderId="15" xfId="0" applyFont="1" applyFill="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12" fillId="2" borderId="49" xfId="0" applyFont="1" applyFill="1" applyBorder="1" applyAlignment="1" applyProtection="1">
      <alignment horizontal="center" vertical="center" wrapText="1"/>
    </xf>
    <xf numFmtId="0" fontId="12" fillId="2" borderId="50" xfId="0" applyFont="1" applyFill="1" applyBorder="1" applyAlignment="1" applyProtection="1">
      <alignment horizontal="center" vertical="center" wrapText="1"/>
    </xf>
    <xf numFmtId="0" fontId="12" fillId="2" borderId="51" xfId="0" applyFont="1" applyFill="1" applyBorder="1" applyAlignment="1" applyProtection="1">
      <alignment horizontal="center" vertical="center" wrapText="1"/>
    </xf>
    <xf numFmtId="0" fontId="34" fillId="6" borderId="32" xfId="0" applyNumberFormat="1" applyFont="1" applyFill="1" applyBorder="1" applyAlignment="1" applyProtection="1">
      <alignment horizontal="left" vertical="center" indent="1"/>
    </xf>
    <xf numFmtId="0" fontId="41" fillId="0" borderId="46" xfId="0" applyFont="1" applyBorder="1" applyAlignment="1" applyProtection="1">
      <alignment horizontal="left" vertical="center" indent="1"/>
    </xf>
    <xf numFmtId="0" fontId="10" fillId="2" borderId="53" xfId="0" applyFont="1" applyFill="1" applyBorder="1" applyAlignment="1" applyProtection="1">
      <alignment horizontal="center" vertical="center" wrapText="1"/>
    </xf>
    <xf numFmtId="0" fontId="10" fillId="2" borderId="54" xfId="0" applyFont="1" applyFill="1" applyBorder="1" applyAlignment="1" applyProtection="1">
      <alignment horizontal="center" vertical="center" wrapText="1"/>
    </xf>
    <xf numFmtId="0" fontId="10" fillId="2" borderId="56" xfId="0" applyFont="1" applyFill="1" applyBorder="1" applyAlignment="1" applyProtection="1">
      <alignment horizontal="center" vertical="center" wrapText="1"/>
    </xf>
    <xf numFmtId="0" fontId="10" fillId="2" borderId="58" xfId="0" applyFont="1" applyFill="1" applyBorder="1" applyAlignment="1" applyProtection="1">
      <alignment horizontal="center" vertical="center" wrapText="1"/>
    </xf>
    <xf numFmtId="0" fontId="10" fillId="2" borderId="55" xfId="0" applyFont="1" applyFill="1" applyBorder="1" applyAlignment="1" applyProtection="1">
      <alignment horizontal="center" vertical="center" wrapText="1"/>
    </xf>
    <xf numFmtId="0" fontId="10" fillId="2" borderId="57" xfId="0" applyFont="1" applyFill="1" applyBorder="1" applyAlignment="1" applyProtection="1">
      <alignment horizontal="center" vertical="center" wrapText="1"/>
    </xf>
    <xf numFmtId="0" fontId="36" fillId="2" borderId="42" xfId="0" applyFont="1" applyFill="1" applyBorder="1" applyAlignment="1" applyProtection="1">
      <alignment horizontal="left" vertical="top" wrapText="1"/>
    </xf>
    <xf numFmtId="0" fontId="34" fillId="6" borderId="34" xfId="0" applyNumberFormat="1" applyFont="1" applyFill="1" applyBorder="1" applyAlignment="1" applyProtection="1">
      <alignment horizontal="left" vertical="center" indent="1"/>
    </xf>
    <xf numFmtId="0" fontId="41" fillId="0" borderId="48" xfId="0" applyFont="1" applyBorder="1" applyAlignment="1" applyProtection="1">
      <alignment horizontal="left" vertical="center" indent="1"/>
    </xf>
    <xf numFmtId="0" fontId="4" fillId="2" borderId="70" xfId="0" applyFont="1" applyFill="1" applyBorder="1" applyAlignment="1" applyProtection="1">
      <alignment horizontal="center" wrapText="1"/>
    </xf>
    <xf numFmtId="0" fontId="4" fillId="2" borderId="25" xfId="0" applyFont="1" applyFill="1" applyBorder="1" applyAlignment="1" applyProtection="1">
      <alignment horizontal="center" wrapText="1"/>
    </xf>
    <xf numFmtId="0" fontId="4" fillId="2" borderId="18" xfId="0" applyFont="1" applyFill="1" applyBorder="1" applyAlignment="1" applyProtection="1">
      <alignment horizontal="center" wrapText="1"/>
    </xf>
    <xf numFmtId="0" fontId="73" fillId="16" borderId="107" xfId="1" applyFont="1" applyFill="1" applyBorder="1" applyAlignment="1" applyProtection="1">
      <alignment horizontal="center" vertical="center" wrapText="1"/>
    </xf>
    <xf numFmtId="0" fontId="73" fillId="16" borderId="86" xfId="1" applyFont="1" applyFill="1" applyBorder="1" applyAlignment="1" applyProtection="1">
      <alignment horizontal="center" vertical="center" wrapText="1"/>
    </xf>
    <xf numFmtId="0" fontId="73" fillId="16" borderId="105" xfId="1" applyFont="1" applyFill="1" applyBorder="1" applyAlignment="1" applyProtection="1">
      <alignment horizontal="center" vertical="center" wrapText="1"/>
    </xf>
    <xf numFmtId="0" fontId="73" fillId="16" borderId="106" xfId="1" applyFont="1" applyFill="1" applyBorder="1" applyAlignment="1" applyProtection="1">
      <alignment horizontal="center" vertical="center" wrapText="1"/>
    </xf>
    <xf numFmtId="0" fontId="10" fillId="16" borderId="4" xfId="0" applyFont="1" applyFill="1" applyBorder="1" applyAlignment="1" applyProtection="1">
      <alignment horizontal="center" vertical="center" wrapText="1"/>
    </xf>
    <xf numFmtId="0" fontId="10" fillId="16" borderId="52" xfId="0" applyFont="1" applyFill="1" applyBorder="1" applyAlignment="1" applyProtection="1">
      <alignment horizontal="center" vertical="center" wrapText="1"/>
    </xf>
    <xf numFmtId="0" fontId="10" fillId="16" borderId="5" xfId="0" applyFont="1" applyFill="1" applyBorder="1" applyAlignment="1" applyProtection="1">
      <alignment horizontal="center" vertical="center" wrapText="1"/>
    </xf>
    <xf numFmtId="0" fontId="18" fillId="24" borderId="0" xfId="0" applyFont="1" applyFill="1" applyAlignment="1" applyProtection="1">
      <alignment vertical="top" wrapText="1"/>
    </xf>
    <xf numFmtId="0" fontId="44" fillId="24" borderId="0" xfId="0" applyFont="1" applyFill="1" applyAlignment="1" applyProtection="1">
      <alignment vertical="top" wrapText="1"/>
    </xf>
    <xf numFmtId="0" fontId="4" fillId="2" borderId="83" xfId="0" applyFont="1" applyFill="1" applyBorder="1" applyAlignment="1" applyProtection="1">
      <alignment horizontal="left" wrapText="1"/>
    </xf>
    <xf numFmtId="0" fontId="7" fillId="6" borderId="12" xfId="0" applyFont="1" applyFill="1" applyBorder="1" applyAlignment="1" applyProtection="1">
      <alignment horizontal="left" vertical="center"/>
    </xf>
    <xf numFmtId="0" fontId="2" fillId="2" borderId="12" xfId="0" applyFont="1" applyFill="1" applyBorder="1" applyAlignment="1" applyProtection="1">
      <alignment horizontal="center" vertical="center"/>
    </xf>
    <xf numFmtId="3" fontId="2" fillId="6" borderId="12" xfId="0" applyNumberFormat="1" applyFont="1" applyFill="1" applyBorder="1" applyAlignment="1" applyProtection="1">
      <alignment horizontal="center" vertical="center"/>
    </xf>
    <xf numFmtId="0" fontId="55" fillId="24" borderId="0" xfId="0" applyFont="1" applyFill="1" applyAlignment="1" applyProtection="1">
      <alignment horizontal="left" vertical="top" wrapText="1"/>
    </xf>
    <xf numFmtId="0" fontId="45" fillId="25" borderId="0" xfId="0" applyFont="1" applyFill="1" applyAlignment="1" applyProtection="1">
      <alignment horizontal="left" vertical="center"/>
    </xf>
  </cellXfs>
  <cellStyles count="3">
    <cellStyle name="Hyperlink" xfId="1" builtinId="8"/>
    <cellStyle name="Normal" xfId="0" builtinId="0"/>
    <cellStyle name="Percent" xfId="2" builtinId="5"/>
  </cellStyles>
  <dxfs count="553">
    <dxf>
      <font>
        <color theme="0" tint="-0.24994659260841701"/>
      </font>
    </dxf>
    <dxf>
      <font>
        <color theme="0" tint="-0.24994659260841701"/>
      </font>
    </dxf>
    <dxf>
      <font>
        <color rgb="FFC0C0C0"/>
      </font>
      <fill>
        <patternFill>
          <bgColor theme="0"/>
        </patternFill>
      </fill>
    </dxf>
    <dxf>
      <fill>
        <patternFill>
          <bgColor theme="0"/>
        </patternFill>
      </fill>
    </dxf>
    <dxf>
      <fill>
        <patternFill>
          <bgColor rgb="FF92D050"/>
        </patternFill>
      </fill>
    </dxf>
    <dxf>
      <font>
        <color rgb="FF808080"/>
      </font>
      <fill>
        <patternFill>
          <bgColor theme="0"/>
        </patternFill>
      </fill>
    </dxf>
    <dxf>
      <font>
        <color theme="0" tint="-0.24994659260841701"/>
      </font>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24994659260841701"/>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14996795556505021"/>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rgb="FFFF0000"/>
        </patternFill>
      </fill>
    </dxf>
    <dxf>
      <font>
        <color theme="0" tint="-0.24994659260841701"/>
      </font>
      <fill>
        <patternFill>
          <bgColor theme="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theme="0" tint="-0.499984740745262"/>
      </font>
      <fill>
        <patternFill>
          <bgColor rgb="FFDDDDDD"/>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rgb="FFFF0000"/>
        </patternFill>
      </fill>
    </dxf>
    <dxf>
      <fill>
        <patternFill>
          <bgColor theme="0"/>
        </patternFill>
      </fill>
    </dxf>
    <dxf>
      <fill>
        <patternFill>
          <bgColor rgb="FF92D050"/>
        </patternFill>
      </fill>
    </dxf>
    <dxf>
      <font>
        <color theme="0" tint="-0.499984740745262"/>
      </font>
      <fill>
        <patternFill>
          <bgColor rgb="FFDDDDDD"/>
        </patternFill>
      </fill>
    </dxf>
    <dxf>
      <font>
        <color theme="0" tint="-0.24994659260841701"/>
      </font>
      <fill>
        <patternFill>
          <bgColor theme="0"/>
        </patternFill>
      </fill>
    </dxf>
    <dxf>
      <font>
        <color theme="0" tint="-0.34998626667073579"/>
      </font>
      <fill>
        <patternFill>
          <bgColor theme="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ill>
        <patternFill>
          <bgColor theme="0"/>
        </patternFill>
      </fill>
    </dxf>
    <dxf>
      <fill>
        <patternFill>
          <bgColor rgb="FF92D050"/>
        </patternFill>
      </fill>
    </dxf>
    <dxf>
      <font>
        <color rgb="FF808080"/>
      </font>
      <fill>
        <patternFill>
          <bgColor theme="0"/>
        </patternFill>
      </fill>
    </dxf>
    <dxf>
      <font>
        <color theme="0" tint="-0.499984740745262"/>
      </font>
      <fill>
        <patternFill>
          <bgColor rgb="FFDDDDDD"/>
        </patternFill>
      </fill>
    </dxf>
    <dxf>
      <fill>
        <patternFill>
          <bgColor theme="0"/>
        </patternFill>
      </fill>
    </dxf>
    <dxf>
      <font>
        <color theme="0" tint="-0.24994659260841701"/>
      </font>
      <fill>
        <patternFill>
          <bgColor theme="0"/>
        </patternFill>
      </fill>
    </dxf>
    <dxf>
      <font>
        <color rgb="FFFF0000"/>
      </font>
    </dxf>
    <dxf>
      <font>
        <color theme="0" tint="-0.24994659260841701"/>
      </font>
      <fill>
        <patternFill>
          <bgColor theme="0"/>
        </patternFill>
      </fill>
    </dxf>
    <dxf>
      <fill>
        <patternFill>
          <bgColor rgb="FFFFFFCC"/>
        </patternFill>
      </fill>
    </dxf>
    <dxf>
      <font>
        <color rgb="FFFF0000"/>
      </font>
    </dxf>
    <dxf>
      <font>
        <color theme="0" tint="-0.34998626667073579"/>
      </font>
      <fill>
        <patternFill>
          <bgColor theme="0"/>
        </patternFill>
      </fill>
    </dxf>
    <dxf>
      <font>
        <color theme="0" tint="-0.34998626667073579"/>
      </font>
      <fill>
        <patternFill patternType="solid">
          <bgColor theme="0"/>
        </patternFill>
      </fill>
    </dxf>
    <dxf>
      <font>
        <color theme="0" tint="-0.34998626667073579"/>
      </font>
      <fill>
        <patternFill>
          <bgColor theme="0"/>
        </patternFill>
      </fill>
    </dxf>
    <dxf>
      <font>
        <color theme="0" tint="-0.24994659260841701"/>
      </font>
      <fill>
        <patternFill>
          <bgColor theme="0"/>
        </patternFill>
      </fill>
    </dxf>
    <dxf>
      <font>
        <color theme="0" tint="-0.24994659260841701"/>
      </font>
      <fill>
        <patternFill>
          <bgColor theme="0"/>
        </patternFill>
      </fill>
    </dxf>
    <dxf>
      <font>
        <color rgb="FFC0C0C0"/>
      </font>
      <fill>
        <patternFill>
          <bgColor theme="0"/>
        </patternFill>
      </fill>
    </dxf>
    <dxf>
      <font>
        <color rgb="FFC0C0C0"/>
      </font>
      <fill>
        <patternFill>
          <bgColor theme="0"/>
        </patternFill>
      </fill>
    </dxf>
    <dxf>
      <font>
        <color rgb="FFC0C0C0"/>
      </font>
      <fill>
        <patternFill>
          <bgColor theme="0"/>
        </patternFill>
      </fill>
    </dxf>
    <dxf>
      <font>
        <color theme="0" tint="-0.24994659260841701"/>
      </font>
      <fill>
        <patternFill>
          <bgColor theme="0"/>
        </patternFill>
      </fill>
    </dxf>
    <dxf>
      <font>
        <color rgb="FFC0C0C0"/>
      </font>
      <fill>
        <patternFill>
          <bgColor theme="0"/>
        </patternFill>
      </fill>
    </dxf>
    <dxf>
      <fill>
        <patternFill>
          <bgColor rgb="FFFF0000"/>
        </patternFill>
      </fill>
    </dxf>
    <dxf>
      <font>
        <color theme="0" tint="-0.24994659260841701"/>
      </font>
      <fill>
        <patternFill>
          <bgColor theme="0"/>
        </patternFill>
      </fill>
    </dxf>
    <dxf>
      <font>
        <color rgb="FFC0C0C0"/>
      </font>
      <fill>
        <patternFill>
          <bgColor theme="0"/>
        </patternFill>
      </fill>
    </dxf>
    <dxf>
      <fill>
        <patternFill>
          <bgColor theme="0"/>
        </patternFill>
      </fill>
    </dxf>
    <dxf>
      <fill>
        <patternFill>
          <bgColor rgb="FFFF0000"/>
        </patternFill>
      </fill>
    </dxf>
  </dxfs>
  <tableStyles count="0" defaultTableStyle="TableStyleMedium2" defaultPivotStyle="PivotStyleLight16"/>
  <colors>
    <mruColors>
      <color rgb="FFDDDDDD"/>
      <color rgb="FFCCFFCC"/>
      <color rgb="FFC0C0C0"/>
      <color rgb="FF0000FF"/>
      <color rgb="FFCCFFFF"/>
      <color rgb="FFFF9999"/>
      <color rgb="FFFFFFCC"/>
      <color rgb="FFFFFF00"/>
      <color rgb="FF80808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U-Farbschema_2021">
      <a:dk1>
        <a:sysClr val="windowText" lastClr="000000"/>
      </a:dk1>
      <a:lt1>
        <a:sysClr val="window" lastClr="FFFFFF"/>
      </a:lt1>
      <a:dk2>
        <a:srgbClr val="4A8588"/>
      </a:dk2>
      <a:lt2>
        <a:srgbClr val="81B8BB"/>
      </a:lt2>
      <a:accent1>
        <a:srgbClr val="4EA288"/>
      </a:accent1>
      <a:accent2>
        <a:srgbClr val="BDD31D"/>
      </a:accent2>
      <a:accent3>
        <a:srgbClr val="FFE85F"/>
      </a:accent3>
      <a:accent4>
        <a:srgbClr val="C22424"/>
      </a:accent4>
      <a:accent5>
        <a:srgbClr val="4497BC"/>
      </a:accent5>
      <a:accent6>
        <a:srgbClr val="255165"/>
      </a:accent6>
      <a:hlink>
        <a:srgbClr val="008080"/>
      </a:hlink>
      <a:folHlink>
        <a:srgbClr val="008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taxation-customs.ec.europa.eu/carbon-border-adjustment-mechanism_en"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eur-lex.europa.eu/en/index.htm" TargetMode="External"/><Relationship Id="rId1" Type="http://schemas.openxmlformats.org/officeDocument/2006/relationships/hyperlink" Target="https://eur-lex.europa.eu/eli/reg/2023/956/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9"/>
  <dimension ref="A1:U53"/>
  <sheetViews>
    <sheetView tabSelected="1" zoomScaleNormal="100" workbookViewId="0">
      <pane ySplit="4" topLeftCell="A5" activePane="bottomLeft" state="frozen"/>
      <selection pane="bottomLeft" activeCell="B2" sqref="B2:D4"/>
    </sheetView>
  </sheetViews>
  <sheetFormatPr defaultColWidth="11.453125" defaultRowHeight="12.5" x14ac:dyDescent="0.25"/>
  <cols>
    <col min="1" max="1" width="4.7265625" style="91" hidden="1" customWidth="1"/>
    <col min="2" max="4" width="3.7265625" style="93" customWidth="1"/>
    <col min="5" max="5" width="20.7265625" style="93" customWidth="1"/>
    <col min="6" max="14" width="12.7265625" style="93" customWidth="1"/>
    <col min="15" max="15" width="1.7265625" style="93" customWidth="1"/>
    <col min="16" max="17" width="11.453125" style="111" hidden="1" customWidth="1"/>
    <col min="18" max="21" width="11.453125" style="110" hidden="1" customWidth="1"/>
    <col min="22" max="16384" width="11.453125" style="111"/>
  </cols>
  <sheetData>
    <row r="1" spans="1:21" s="91" customFormat="1" ht="14.15" hidden="1" customHeight="1" thickBot="1" x14ac:dyDescent="0.4">
      <c r="A1" s="91" t="s">
        <v>3</v>
      </c>
      <c r="P1" s="91" t="s">
        <v>3</v>
      </c>
      <c r="Q1" s="91" t="s">
        <v>3</v>
      </c>
      <c r="R1" s="91" t="s">
        <v>3</v>
      </c>
      <c r="S1" s="91" t="s">
        <v>3</v>
      </c>
      <c r="T1" s="91" t="s">
        <v>3</v>
      </c>
      <c r="U1" s="91" t="s">
        <v>3</v>
      </c>
    </row>
    <row r="2" spans="1:21" s="93" customFormat="1" ht="14.15" customHeight="1" thickBot="1" x14ac:dyDescent="0.4">
      <c r="A2" s="91"/>
      <c r="B2" s="1178" t="str">
        <f>Translations!$B$5</f>
        <v>Version history</v>
      </c>
      <c r="C2" s="1179"/>
      <c r="D2" s="1180"/>
      <c r="E2" s="1187" t="str">
        <f>Translations!$B$11</f>
        <v>Navigation Area:</v>
      </c>
      <c r="F2" s="1188"/>
      <c r="G2" s="1189" t="str">
        <f ca="1">HYPERLINK("#"&amp;ADDRESS(2,3,,,a_Contents!$U$2),a_Contents!$B$2)</f>
        <v>Table of contents</v>
      </c>
      <c r="H2" s="1190"/>
      <c r="I2" s="1189" t="str">
        <f ca="1">HYPERLINK("#"&amp;ADDRESS(2,3,,,G_FurtherGuidance!$U$2),G_FurtherGuidance!$B$2)</f>
        <v>Further Guidance</v>
      </c>
      <c r="J2" s="1190"/>
      <c r="K2" s="1189" t="str">
        <f ca="1">HYPERLINK("#"&amp;ADDRESS(2,3,,,Summary_Processes!$Y$2),Summary_Processes!$Y$2)</f>
        <v>Summary_Processes</v>
      </c>
      <c r="L2" s="1190"/>
      <c r="M2" s="1189" t="str">
        <f ca="1">HYPERLINK("#"&amp;ADDRESS(2,3,,,Summary_Products!$BF$2),Summary_Products!$BF$2)</f>
        <v>Summary_Products</v>
      </c>
      <c r="N2" s="1190"/>
      <c r="O2" s="906"/>
      <c r="P2" s="94"/>
      <c r="R2" s="91" t="s">
        <v>114</v>
      </c>
      <c r="S2" s="95" t="str">
        <f>ADDRESS(ROW($B$6),COLUMN($B$6)) &amp; ":" &amp; ADDRESS(MATCH("PRINT",$P:$P,0),COLUMN($O$6))</f>
        <v>$B$6:$O$53</v>
      </c>
      <c r="T2" s="91" t="s">
        <v>25</v>
      </c>
      <c r="U2" s="886" t="str">
        <f ca="1">IF(ISERROR(CELL("filename",V2)),"0_Versions",MID(CELL("filename",V2),FIND("]",CELL("filename",V2))+1,1024))</f>
        <v>0_Versions</v>
      </c>
    </row>
    <row r="3" spans="1:21" s="93" customFormat="1" ht="14.15" customHeight="1" x14ac:dyDescent="0.35">
      <c r="A3" s="91"/>
      <c r="B3" s="1181"/>
      <c r="C3" s="1182"/>
      <c r="D3" s="1183"/>
      <c r="E3" s="1174"/>
      <c r="F3" s="1174"/>
      <c r="G3" s="1174"/>
      <c r="H3" s="1174"/>
      <c r="I3" s="1174"/>
      <c r="J3" s="1174"/>
      <c r="K3" s="1174"/>
      <c r="L3" s="1174"/>
      <c r="M3" s="1174"/>
      <c r="N3" s="1174"/>
      <c r="O3" s="428"/>
      <c r="P3" s="94"/>
      <c r="R3" s="91"/>
      <c r="S3" s="91"/>
      <c r="T3" s="91"/>
      <c r="U3" s="91"/>
    </row>
    <row r="4" spans="1:21" s="93" customFormat="1" ht="14.15" customHeight="1" thickBot="1" x14ac:dyDescent="0.4">
      <c r="A4" s="91"/>
      <c r="B4" s="1184"/>
      <c r="C4" s="1185"/>
      <c r="D4" s="1186"/>
      <c r="E4" s="1174"/>
      <c r="F4" s="1174"/>
      <c r="G4" s="1174"/>
      <c r="H4" s="1174"/>
      <c r="I4" s="1174"/>
      <c r="J4" s="1174"/>
      <c r="K4" s="1174"/>
      <c r="L4" s="1174"/>
      <c r="M4" s="1174"/>
      <c r="N4" s="1174"/>
      <c r="O4" s="428"/>
      <c r="P4" s="94"/>
      <c r="R4" s="91"/>
      <c r="S4" s="91"/>
      <c r="T4" s="91"/>
      <c r="U4" s="91"/>
    </row>
    <row r="5" spans="1:21" s="93" customFormat="1" ht="5.15" customHeight="1" x14ac:dyDescent="0.35">
      <c r="A5" s="91"/>
      <c r="B5" s="94"/>
      <c r="C5" s="144"/>
      <c r="D5" s="144"/>
      <c r="E5" s="144"/>
      <c r="F5" s="144"/>
      <c r="G5" s="144"/>
      <c r="H5" s="144"/>
      <c r="I5" s="144"/>
      <c r="J5" s="144"/>
      <c r="K5" s="144"/>
      <c r="L5" s="144"/>
      <c r="M5" s="144"/>
      <c r="N5" s="144"/>
      <c r="O5" s="428"/>
      <c r="P5" s="94"/>
      <c r="R5" s="91"/>
      <c r="S5" s="91"/>
      <c r="T5" s="91"/>
      <c r="U5" s="91"/>
    </row>
    <row r="6" spans="1:21" s="97" customFormat="1" ht="20.149999999999999" customHeight="1" x14ac:dyDescent="0.35">
      <c r="A6" s="96"/>
      <c r="B6" s="98"/>
      <c r="C6" s="907" t="str">
        <f>Translations!$B$6</f>
        <v>Sheet "Version history"</v>
      </c>
      <c r="D6" s="982"/>
      <c r="E6" s="982"/>
      <c r="F6" s="982"/>
      <c r="G6" s="982"/>
      <c r="H6" s="982"/>
      <c r="I6" s="982"/>
      <c r="J6" s="982"/>
      <c r="K6" s="982"/>
      <c r="L6" s="982"/>
      <c r="M6" s="982"/>
      <c r="N6" s="982"/>
      <c r="O6" s="428"/>
      <c r="P6" s="94"/>
      <c r="R6" s="96"/>
      <c r="S6" s="96"/>
      <c r="T6" s="96"/>
      <c r="U6" s="96"/>
    </row>
    <row r="7" spans="1:21" x14ac:dyDescent="0.25">
      <c r="B7" s="94"/>
      <c r="C7" s="144"/>
      <c r="D7" s="144"/>
      <c r="E7" s="144"/>
      <c r="F7" s="144"/>
      <c r="G7" s="144"/>
      <c r="H7" s="144"/>
      <c r="I7" s="144"/>
      <c r="J7" s="144"/>
      <c r="K7" s="144"/>
      <c r="L7" s="144"/>
      <c r="M7" s="144"/>
      <c r="N7" s="144"/>
      <c r="O7" s="428"/>
      <c r="P7" s="94"/>
    </row>
    <row r="8" spans="1:21" ht="12.75" customHeight="1" x14ac:dyDescent="0.25">
      <c r="B8" s="94"/>
      <c r="C8" s="144"/>
      <c r="D8" s="144"/>
      <c r="E8" s="139" t="str">
        <f>Translations!$B$7</f>
        <v>Version</v>
      </c>
      <c r="F8" s="139" t="str">
        <f>Translations!$B$8</f>
        <v>Date</v>
      </c>
      <c r="G8" s="1175" t="str">
        <f>Translations!$B$9</f>
        <v>Description</v>
      </c>
      <c r="H8" s="1175"/>
      <c r="I8" s="1175"/>
      <c r="J8" s="1175"/>
      <c r="K8" s="1175"/>
      <c r="L8" s="1175"/>
      <c r="M8" s="1175"/>
      <c r="N8" s="1175"/>
      <c r="O8" s="428"/>
      <c r="P8" s="94"/>
    </row>
    <row r="9" spans="1:21" ht="12.75" customHeight="1" x14ac:dyDescent="0.25">
      <c r="A9" s="99"/>
      <c r="B9" s="101"/>
      <c r="C9" s="983"/>
      <c r="D9" s="984"/>
      <c r="E9" s="749" t="s">
        <v>3898</v>
      </c>
      <c r="F9" s="745">
        <v>45159</v>
      </c>
      <c r="G9" s="1176" t="str">
        <f>Translations!$B$1889</f>
        <v>first preliminary published version</v>
      </c>
      <c r="H9" s="1177"/>
      <c r="I9" s="1177"/>
      <c r="J9" s="1177"/>
      <c r="K9" s="1177"/>
      <c r="L9" s="1177"/>
      <c r="M9" s="1177"/>
      <c r="N9" s="1177"/>
      <c r="O9" s="428"/>
      <c r="P9" s="94"/>
    </row>
    <row r="10" spans="1:21" ht="13.15" customHeight="1" x14ac:dyDescent="0.25">
      <c r="B10" s="94"/>
      <c r="C10" s="144"/>
      <c r="D10" s="144"/>
      <c r="E10" s="827" t="s">
        <v>3899</v>
      </c>
      <c r="F10" s="824">
        <v>45222</v>
      </c>
      <c r="G10" s="1162" t="str">
        <f>Translations!$B$1890</f>
        <v>Sheet A: UNLOCODE made mandatory</v>
      </c>
      <c r="H10" s="1163"/>
      <c r="I10" s="1163"/>
      <c r="J10" s="1163"/>
      <c r="K10" s="1163"/>
      <c r="L10" s="1163"/>
      <c r="M10" s="1163"/>
      <c r="N10" s="1164"/>
      <c r="O10" s="428"/>
      <c r="P10" s="94"/>
    </row>
    <row r="11" spans="1:21" ht="13.15" customHeight="1" x14ac:dyDescent="0.25">
      <c r="B11" s="94"/>
      <c r="C11" s="144"/>
      <c r="D11" s="144"/>
      <c r="E11" s="986"/>
      <c r="F11" s="825"/>
      <c r="G11" s="1171" t="str">
        <f>Translations!$B$1891</f>
        <v>Sheet B: Calculation of emissions corrected (incl. adding missing factor of 3.664 in the mass balance)</v>
      </c>
      <c r="H11" s="1172"/>
      <c r="I11" s="1172"/>
      <c r="J11" s="1172"/>
      <c r="K11" s="1172"/>
      <c r="L11" s="1172"/>
      <c r="M11" s="1172"/>
      <c r="N11" s="1173"/>
      <c r="O11" s="428"/>
      <c r="P11" s="94"/>
    </row>
    <row r="12" spans="1:21" ht="13.15" customHeight="1" x14ac:dyDescent="0.25">
      <c r="B12" s="94"/>
      <c r="C12" s="144"/>
      <c r="D12" s="144"/>
      <c r="E12" s="986"/>
      <c r="F12" s="825"/>
      <c r="G12" s="1171" t="str">
        <f>Translations!$B$1892</f>
        <v>Sheet C: Inconsistency between cells L16 and L17 fixed</v>
      </c>
      <c r="H12" s="1172"/>
      <c r="I12" s="1172"/>
      <c r="J12" s="1172"/>
      <c r="K12" s="1172"/>
      <c r="L12" s="1172"/>
      <c r="M12" s="1172"/>
      <c r="N12" s="1173"/>
      <c r="O12" s="428"/>
      <c r="P12" s="94"/>
    </row>
    <row r="13" spans="1:21" ht="13.15" customHeight="1" x14ac:dyDescent="0.25">
      <c r="B13" s="94"/>
      <c r="C13" s="144"/>
      <c r="D13" s="144"/>
      <c r="E13" s="986"/>
      <c r="F13" s="825"/>
      <c r="G13" s="1171" t="str">
        <f>Translations!$B$1893</f>
        <v>Sheet D: Electricity exported bug fixed</v>
      </c>
      <c r="H13" s="1172"/>
      <c r="I13" s="1172"/>
      <c r="J13" s="1172"/>
      <c r="K13" s="1172"/>
      <c r="L13" s="1172"/>
      <c r="M13" s="1172"/>
      <c r="N13" s="1173"/>
      <c r="O13" s="428"/>
      <c r="P13" s="94"/>
    </row>
    <row r="14" spans="1:21" ht="13.15" customHeight="1" x14ac:dyDescent="0.25">
      <c r="B14" s="94"/>
      <c r="C14" s="144"/>
      <c r="D14" s="144"/>
      <c r="E14" s="986"/>
      <c r="F14" s="825"/>
      <c r="G14" s="1171" t="str">
        <f>Translations!$B$1894</f>
        <v>Sheet Summary processes: broken references to “production process 1” fixed</v>
      </c>
      <c r="H14" s="1172"/>
      <c r="I14" s="1172"/>
      <c r="J14" s="1172"/>
      <c r="K14" s="1172"/>
      <c r="L14" s="1172"/>
      <c r="M14" s="1172"/>
      <c r="N14" s="1173"/>
      <c r="O14" s="428"/>
      <c r="P14" s="94"/>
    </row>
    <row r="15" spans="1:21" ht="13.15" customHeight="1" x14ac:dyDescent="0.25">
      <c r="B15" s="94"/>
      <c r="C15" s="144"/>
      <c r="D15" s="144"/>
      <c r="E15" s="987"/>
      <c r="F15" s="826"/>
      <c r="G15" s="1165" t="str">
        <f>Translations!$B$1895</f>
        <v>Sheet Summary products: Scrap per t steel/aluminium: values &gt;100% can be entered now</v>
      </c>
      <c r="H15" s="1166"/>
      <c r="I15" s="1166"/>
      <c r="J15" s="1166"/>
      <c r="K15" s="1166"/>
      <c r="L15" s="1166"/>
      <c r="M15" s="1166"/>
      <c r="N15" s="1167"/>
      <c r="O15" s="428"/>
      <c r="P15" s="94"/>
    </row>
    <row r="16" spans="1:21" ht="12.75" customHeight="1" x14ac:dyDescent="0.25">
      <c r="B16" s="94"/>
      <c r="C16" s="144"/>
      <c r="D16" s="144"/>
      <c r="E16" s="749" t="s">
        <v>3904</v>
      </c>
      <c r="F16" s="745">
        <v>45237</v>
      </c>
      <c r="G16" s="1168" t="str">
        <f>Translations!$B$1896</f>
        <v>Fixed bug 'CN code ranges' in sheet Summary_Products</v>
      </c>
      <c r="H16" s="1169"/>
      <c r="I16" s="1169"/>
      <c r="J16" s="1169"/>
      <c r="K16" s="1169"/>
      <c r="L16" s="1169"/>
      <c r="M16" s="1169"/>
      <c r="N16" s="1169"/>
      <c r="O16" s="428"/>
      <c r="P16" s="94"/>
    </row>
    <row r="17" spans="2:16" ht="13.15" customHeight="1" x14ac:dyDescent="0.25">
      <c r="B17" s="94"/>
      <c r="C17" s="144"/>
      <c r="D17" s="144"/>
      <c r="E17" s="827" t="s">
        <v>3923</v>
      </c>
      <c r="F17" s="824">
        <v>45370</v>
      </c>
      <c r="G17" s="1170" t="str">
        <f>Translations!$B$1897</f>
        <v>Improvements and fixed bugs:</v>
      </c>
      <c r="H17" s="1163"/>
      <c r="I17" s="1163"/>
      <c r="J17" s="1163"/>
      <c r="K17" s="1163"/>
      <c r="L17" s="1163"/>
      <c r="M17" s="1163"/>
      <c r="N17" s="1164"/>
      <c r="O17" s="428"/>
      <c r="P17" s="94"/>
    </row>
    <row r="18" spans="2:16" ht="13.15" customHeight="1" x14ac:dyDescent="0.25">
      <c r="B18" s="94"/>
      <c r="C18" s="144"/>
      <c r="D18" s="144"/>
      <c r="E18" s="986"/>
      <c r="F18" s="825"/>
      <c r="G18" s="1171" t="str">
        <f>Translations!$B$1898</f>
        <v>Sheet a_contents: Error in sheet names in table of contents for certain Excel versions</v>
      </c>
      <c r="H18" s="1172"/>
      <c r="I18" s="1172"/>
      <c r="J18" s="1172"/>
      <c r="K18" s="1172"/>
      <c r="L18" s="1172"/>
      <c r="M18" s="1172"/>
      <c r="N18" s="1173"/>
      <c r="O18" s="428"/>
      <c r="P18" s="94"/>
    </row>
    <row r="19" spans="2:16" ht="13.15" customHeight="1" x14ac:dyDescent="0.25">
      <c r="B19" s="94"/>
      <c r="C19" s="144"/>
      <c r="D19" s="144"/>
      <c r="E19" s="986"/>
      <c r="F19" s="825"/>
      <c r="G19" s="1171" t="str">
        <f>Translations!$B$1899</f>
        <v>Sheet b: Link to implementing act corrected</v>
      </c>
      <c r="H19" s="1172"/>
      <c r="I19" s="1172"/>
      <c r="J19" s="1172"/>
      <c r="K19" s="1172"/>
      <c r="L19" s="1172"/>
      <c r="M19" s="1172"/>
      <c r="N19" s="1173"/>
      <c r="O19" s="428"/>
      <c r="P19" s="94"/>
    </row>
    <row r="20" spans="2:16" ht="13.15" customHeight="1" x14ac:dyDescent="0.25">
      <c r="B20" s="94"/>
      <c r="C20" s="144"/>
      <c r="D20" s="144"/>
      <c r="E20" s="986"/>
      <c r="F20" s="825"/>
      <c r="G20" s="1171" t="str">
        <f>Translations!$B$1900</f>
        <v>Sheet A: Inconsistency warning for production routes added</v>
      </c>
      <c r="H20" s="1191"/>
      <c r="I20" s="1191"/>
      <c r="J20" s="1191"/>
      <c r="K20" s="1191"/>
      <c r="L20" s="1191"/>
      <c r="M20" s="1191"/>
      <c r="N20" s="1173"/>
      <c r="O20" s="428"/>
      <c r="P20" s="94"/>
    </row>
    <row r="21" spans="2:16" ht="26.5" customHeight="1" x14ac:dyDescent="0.25">
      <c r="B21" s="94"/>
      <c r="C21" s="144"/>
      <c r="D21" s="144"/>
      <c r="E21" s="986"/>
      <c r="F21" s="825"/>
      <c r="G21" s="1171" t="str">
        <f>Translations!$B$1901</f>
        <v>Sheet B: Source stream calculation corrected (all percentage values need to be entered as numbers [0..100]). A warning for incomplete data has been added.</v>
      </c>
      <c r="H21" s="1172"/>
      <c r="I21" s="1172"/>
      <c r="J21" s="1172"/>
      <c r="K21" s="1172"/>
      <c r="L21" s="1172"/>
      <c r="M21" s="1172"/>
      <c r="N21" s="1173"/>
      <c r="O21" s="428"/>
      <c r="P21" s="94"/>
    </row>
    <row r="22" spans="2:16" ht="13.15" customHeight="1" x14ac:dyDescent="0.25">
      <c r="B22" s="94"/>
      <c r="C22" s="144"/>
      <c r="D22" s="144"/>
      <c r="E22" s="986"/>
      <c r="F22" s="825"/>
      <c r="G22" s="1171" t="str">
        <f>Translations!$B$1902</f>
        <v>Sheet B: PFC emissions (2nd source stream) incl. further improvements</v>
      </c>
      <c r="H22" s="1172"/>
      <c r="I22" s="1172"/>
      <c r="J22" s="1172"/>
      <c r="K22" s="1172"/>
      <c r="L22" s="1172"/>
      <c r="M22" s="1172"/>
      <c r="N22" s="1173"/>
      <c r="O22" s="428"/>
      <c r="P22" s="94"/>
    </row>
    <row r="23" spans="2:16" ht="13.15" customHeight="1" x14ac:dyDescent="0.25">
      <c r="B23" s="94"/>
      <c r="C23" s="144"/>
      <c r="D23" s="144"/>
      <c r="E23" s="986"/>
      <c r="F23" s="825"/>
      <c r="G23" s="1171" t="str">
        <f>Translations!$B$1903</f>
        <v>Sheet C: Fixed inputs and formulae in L25 and L26</v>
      </c>
      <c r="H23" s="1172"/>
      <c r="I23" s="1172"/>
      <c r="J23" s="1172"/>
      <c r="K23" s="1172"/>
      <c r="L23" s="1172"/>
      <c r="M23" s="1172"/>
      <c r="N23" s="1173"/>
      <c r="O23" s="428"/>
      <c r="P23" s="94"/>
    </row>
    <row r="24" spans="2:16" ht="39.65" customHeight="1" x14ac:dyDescent="0.25">
      <c r="B24" s="94"/>
      <c r="C24" s="144"/>
      <c r="D24" s="144"/>
      <c r="E24" s="986"/>
      <c r="F24" s="825"/>
      <c r="G24" s="1171" t="str">
        <f>Translations!$B$1904</f>
        <v>Sheet E: Decomposed SEE (indirect) into entries for electricity consumption and emission factor. Consequently, in the summary sheets there is now consistent display of "specific embedded electricity consumption" taking into account the electricity consumption of precursors for consistent and complete calculation of embedded indirect emissions.</v>
      </c>
      <c r="H24" s="1172"/>
      <c r="I24" s="1172"/>
      <c r="J24" s="1172"/>
      <c r="K24" s="1172"/>
      <c r="L24" s="1172"/>
      <c r="M24" s="1172"/>
      <c r="N24" s="1173"/>
      <c r="O24" s="428"/>
      <c r="P24" s="94"/>
    </row>
    <row r="25" spans="2:16" ht="13.15" customHeight="1" x14ac:dyDescent="0.25">
      <c r="B25" s="94"/>
      <c r="C25" s="144"/>
      <c r="D25" s="144"/>
      <c r="E25" s="986"/>
      <c r="F25" s="825"/>
      <c r="G25" s="1171" t="str">
        <f>Translations!$B$1905</f>
        <v>Sheet E: More completeness indicators added.</v>
      </c>
      <c r="H25" s="1172"/>
      <c r="I25" s="1172"/>
      <c r="J25" s="1172"/>
      <c r="K25" s="1172"/>
      <c r="L25" s="1172"/>
      <c r="M25" s="1172"/>
      <c r="N25" s="1173"/>
      <c r="O25" s="428"/>
      <c r="P25" s="94"/>
    </row>
    <row r="26" spans="2:16" ht="13.15" customHeight="1" x14ac:dyDescent="0.25">
      <c r="B26" s="94"/>
      <c r="C26" s="144"/>
      <c r="D26" s="144"/>
      <c r="E26" s="986"/>
      <c r="F26" s="825"/>
      <c r="G26" s="1171" t="str">
        <f>Translations!$B$1906</f>
        <v>Sheet E: Navigation area extended to cover all 20 possible precursors</v>
      </c>
      <c r="H26" s="1172"/>
      <c r="I26" s="1172"/>
      <c r="J26" s="1172"/>
      <c r="K26" s="1172"/>
      <c r="L26" s="1172"/>
      <c r="M26" s="1172"/>
      <c r="N26" s="1173"/>
      <c r="O26" s="428"/>
      <c r="P26" s="94"/>
    </row>
    <row r="27" spans="2:16" ht="13.15" customHeight="1" x14ac:dyDescent="0.25">
      <c r="B27" s="94"/>
      <c r="C27" s="144"/>
      <c r="D27" s="144"/>
      <c r="E27" s="986"/>
      <c r="F27" s="825"/>
      <c r="G27" s="1171" t="str">
        <f>Translations!$B$1907</f>
        <v>Sheet F: CHP tool corrected for taking into account emissions from flue gas cleaning.</v>
      </c>
      <c r="H27" s="1191"/>
      <c r="I27" s="1191"/>
      <c r="J27" s="1191"/>
      <c r="K27" s="1191"/>
      <c r="L27" s="1191"/>
      <c r="M27" s="1191"/>
      <c r="N27" s="1173"/>
      <c r="O27" s="428"/>
      <c r="P27" s="94"/>
    </row>
    <row r="28" spans="2:16" ht="13.15" customHeight="1" x14ac:dyDescent="0.25">
      <c r="B28" s="94"/>
      <c r="C28" s="144"/>
      <c r="D28" s="144"/>
      <c r="E28" s="986"/>
      <c r="F28" s="825"/>
      <c r="G28" s="1171" t="str">
        <f>Translations!$B$1908</f>
        <v>Sheet G: Guidance texts have been revised. An additional guidance section for sheet E has been added.</v>
      </c>
      <c r="H28" s="1191"/>
      <c r="I28" s="1191"/>
      <c r="J28" s="1191"/>
      <c r="K28" s="1191"/>
      <c r="L28" s="1191"/>
      <c r="M28" s="1191"/>
      <c r="N28" s="1173"/>
      <c r="O28" s="428"/>
      <c r="P28" s="94"/>
    </row>
    <row r="29" spans="2:16" ht="25.5" customHeight="1" x14ac:dyDescent="0.25">
      <c r="B29" s="94"/>
      <c r="C29" s="144"/>
      <c r="D29" s="144"/>
      <c r="E29" s="986"/>
      <c r="F29" s="825"/>
      <c r="G29" s="1171" t="str">
        <f>Translations!$B$1909</f>
        <v>Sheet Summary_Processes: The processes' activity levels have been added in Table 2.1.a. Corrected  CP due and rebate in the sectio 3 tables.</v>
      </c>
      <c r="H29" s="1172"/>
      <c r="I29" s="1172"/>
      <c r="J29" s="1172"/>
      <c r="K29" s="1172"/>
      <c r="L29" s="1172"/>
      <c r="M29" s="1172"/>
      <c r="N29" s="1173"/>
      <c r="O29" s="428"/>
      <c r="P29" s="94"/>
    </row>
    <row r="30" spans="2:16" ht="13.15" customHeight="1" x14ac:dyDescent="0.25">
      <c r="B30" s="94"/>
      <c r="C30" s="144"/>
      <c r="D30" s="144"/>
      <c r="E30" s="986"/>
      <c r="F30" s="825"/>
      <c r="G30" s="1171" t="str">
        <f>Translations!$B$1910</f>
        <v>Sheet Summary_Products: Consistent units for carbon price due</v>
      </c>
      <c r="H30" s="1172"/>
      <c r="I30" s="1172"/>
      <c r="J30" s="1172"/>
      <c r="K30" s="1172"/>
      <c r="L30" s="1172"/>
      <c r="M30" s="1172"/>
      <c r="N30" s="1173"/>
      <c r="O30" s="428"/>
      <c r="P30" s="94"/>
    </row>
    <row r="31" spans="2:16" ht="13.15" customHeight="1" x14ac:dyDescent="0.25">
      <c r="B31" s="94"/>
      <c r="C31" s="144"/>
      <c r="D31" s="144"/>
      <c r="E31" s="986"/>
      <c r="F31" s="825"/>
      <c r="G31" s="1171" t="str">
        <f>Translations!$B$1911</f>
        <v>Sheet Summary_Products: Qualifying parameters (columns R to AA) made optional</v>
      </c>
      <c r="H31" s="1172"/>
      <c r="I31" s="1172"/>
      <c r="J31" s="1172"/>
      <c r="K31" s="1172"/>
      <c r="L31" s="1172"/>
      <c r="M31" s="1172"/>
      <c r="N31" s="1173"/>
      <c r="O31" s="428"/>
      <c r="P31" s="94"/>
    </row>
    <row r="32" spans="2:16" ht="13.15" customHeight="1" x14ac:dyDescent="0.25">
      <c r="B32" s="94"/>
      <c r="C32" s="144"/>
      <c r="D32" s="144"/>
      <c r="E32" s="986"/>
      <c r="F32" s="825"/>
      <c r="G32" s="1171" t="str">
        <f>Translations!$B$1912</f>
        <v>General: Consistent units for the good "Electricity" expressed as MWh</v>
      </c>
      <c r="H32" s="1172"/>
      <c r="I32" s="1172"/>
      <c r="J32" s="1172"/>
      <c r="K32" s="1172"/>
      <c r="L32" s="1172"/>
      <c r="M32" s="1172"/>
      <c r="N32" s="1173"/>
      <c r="O32" s="428"/>
      <c r="P32" s="94"/>
    </row>
    <row r="33" spans="2:16" ht="13.15" customHeight="1" x14ac:dyDescent="0.25">
      <c r="B33" s="94"/>
      <c r="C33" s="144"/>
      <c r="D33" s="144"/>
      <c r="E33" s="986"/>
      <c r="F33" s="825"/>
      <c r="G33" s="1171" t="str">
        <f>Translations!$B$1913</f>
        <v>General: Further clarification in guidance texts at several locations</v>
      </c>
      <c r="H33" s="1172"/>
      <c r="I33" s="1172"/>
      <c r="J33" s="1172"/>
      <c r="K33" s="1172"/>
      <c r="L33" s="1172"/>
      <c r="M33" s="1172"/>
      <c r="N33" s="1173"/>
      <c r="O33" s="428"/>
      <c r="P33" s="94"/>
    </row>
    <row r="34" spans="2:16" ht="13.15" customHeight="1" x14ac:dyDescent="0.25">
      <c r="B34" s="94"/>
      <c r="C34" s="144"/>
      <c r="D34" s="144"/>
      <c r="E34" s="986"/>
      <c r="F34" s="825"/>
      <c r="G34" s="1171" t="str">
        <f>Translations!$B$1914</f>
        <v>General: Uniform formatting, conditional formats improved</v>
      </c>
      <c r="H34" s="1172"/>
      <c r="I34" s="1172"/>
      <c r="J34" s="1172"/>
      <c r="K34" s="1172"/>
      <c r="L34" s="1172"/>
      <c r="M34" s="1172"/>
      <c r="N34" s="1173"/>
      <c r="O34" s="428"/>
      <c r="P34" s="94"/>
    </row>
    <row r="35" spans="2:16" ht="56.25" customHeight="1" x14ac:dyDescent="0.25">
      <c r="B35" s="94"/>
      <c r="C35" s="144"/>
      <c r="D35" s="144"/>
      <c r="E35" s="749" t="s">
        <v>4212</v>
      </c>
      <c r="F35" s="745">
        <v>45390</v>
      </c>
      <c r="G35" s="1159" t="str">
        <f>Translations!$B$2104</f>
        <v>Minor errors corrected:
Sheet a_contents: Broken hyperlinks fixed
Sheet A: Double reference to PP17 (section 5) corrected
Sheet E: Wrong guidance text under item v. corrected</v>
      </c>
      <c r="H35" s="1160"/>
      <c r="I35" s="1160"/>
      <c r="J35" s="1160"/>
      <c r="K35" s="1160"/>
      <c r="L35" s="1160"/>
      <c r="M35" s="1160"/>
      <c r="N35" s="1161"/>
      <c r="O35" s="428"/>
      <c r="P35" s="94"/>
    </row>
    <row r="36" spans="2:16" ht="13.15" customHeight="1" x14ac:dyDescent="0.25">
      <c r="B36" s="94"/>
      <c r="C36" s="144"/>
      <c r="D36" s="144"/>
      <c r="E36" s="827" t="s">
        <v>4250</v>
      </c>
      <c r="F36" s="824">
        <v>45448</v>
      </c>
      <c r="G36" s="1162" t="str">
        <f>Translations!$B$2116</f>
        <v>Minor revision of the CN code list, field for further information on carbon price instruments added</v>
      </c>
      <c r="H36" s="1163"/>
      <c r="I36" s="1163"/>
      <c r="J36" s="1163"/>
      <c r="K36" s="1163"/>
      <c r="L36" s="1163"/>
      <c r="M36" s="1163"/>
      <c r="N36" s="1164"/>
      <c r="O36" s="428"/>
      <c r="P36" s="94"/>
    </row>
    <row r="37" spans="2:16" ht="13.15" customHeight="1" x14ac:dyDescent="0.25">
      <c r="B37" s="94"/>
      <c r="C37" s="144"/>
      <c r="D37" s="144"/>
      <c r="E37" s="987"/>
      <c r="F37" s="826"/>
      <c r="G37" s="1165" t="str">
        <f>Translations!$B$2118</f>
        <v>Conditional format bug in sheet Summary_Products corrected</v>
      </c>
      <c r="H37" s="1166"/>
      <c r="I37" s="1166"/>
      <c r="J37" s="1166"/>
      <c r="K37" s="1166"/>
      <c r="L37" s="1166"/>
      <c r="M37" s="1166"/>
      <c r="N37" s="1167"/>
      <c r="O37" s="428"/>
      <c r="P37" s="94"/>
    </row>
    <row r="38" spans="2:16" ht="13.15" customHeight="1" x14ac:dyDescent="0.25">
      <c r="B38" s="94"/>
      <c r="C38" s="144"/>
      <c r="D38" s="144"/>
      <c r="E38" s="749" t="s">
        <v>4260</v>
      </c>
      <c r="F38" s="745">
        <v>45639</v>
      </c>
      <c r="G38" s="1159" t="s">
        <v>4261</v>
      </c>
      <c r="H38" s="1160"/>
      <c r="I38" s="1160"/>
      <c r="J38" s="1160"/>
      <c r="K38" s="1160"/>
      <c r="L38" s="1160"/>
      <c r="M38" s="1160"/>
      <c r="N38" s="1161"/>
      <c r="O38" s="428"/>
      <c r="P38" s="94"/>
    </row>
    <row r="39" spans="2:16" ht="13.15" customHeight="1" x14ac:dyDescent="0.25">
      <c r="B39" s="94"/>
      <c r="C39" s="144"/>
      <c r="D39" s="144"/>
      <c r="E39" s="749"/>
      <c r="F39" s="745"/>
      <c r="G39" s="1159"/>
      <c r="H39" s="1160"/>
      <c r="I39" s="1160"/>
      <c r="J39" s="1160"/>
      <c r="K39" s="1160"/>
      <c r="L39" s="1160"/>
      <c r="M39" s="1160"/>
      <c r="N39" s="1161"/>
      <c r="O39" s="428"/>
      <c r="P39" s="94"/>
    </row>
    <row r="40" spans="2:16" ht="13.15" customHeight="1" x14ac:dyDescent="0.25">
      <c r="B40" s="94"/>
      <c r="C40" s="144"/>
      <c r="D40" s="144"/>
      <c r="E40" s="749"/>
      <c r="F40" s="745"/>
      <c r="G40" s="1159"/>
      <c r="H40" s="1160"/>
      <c r="I40" s="1160"/>
      <c r="J40" s="1160"/>
      <c r="K40" s="1160"/>
      <c r="L40" s="1160"/>
      <c r="M40" s="1160"/>
      <c r="N40" s="1161"/>
      <c r="O40" s="428"/>
      <c r="P40" s="94"/>
    </row>
    <row r="41" spans="2:16" ht="13.15" customHeight="1" x14ac:dyDescent="0.25">
      <c r="B41" s="94"/>
      <c r="C41" s="144"/>
      <c r="D41" s="144"/>
      <c r="E41" s="749"/>
      <c r="F41" s="745"/>
      <c r="G41" s="1159"/>
      <c r="H41" s="1160"/>
      <c r="I41" s="1160"/>
      <c r="J41" s="1160"/>
      <c r="K41" s="1160"/>
      <c r="L41" s="1160"/>
      <c r="M41" s="1160"/>
      <c r="N41" s="1161"/>
      <c r="O41" s="428"/>
      <c r="P41" s="94"/>
    </row>
    <row r="42" spans="2:16" ht="13.15" customHeight="1" x14ac:dyDescent="0.25">
      <c r="B42" s="94"/>
      <c r="C42" s="144"/>
      <c r="D42" s="144"/>
      <c r="E42" s="749"/>
      <c r="F42" s="745"/>
      <c r="G42" s="1159"/>
      <c r="H42" s="1160"/>
      <c r="I42" s="1160"/>
      <c r="J42" s="1160"/>
      <c r="K42" s="1160"/>
      <c r="L42" s="1160"/>
      <c r="M42" s="1160"/>
      <c r="N42" s="1161"/>
      <c r="O42" s="428"/>
      <c r="P42" s="94"/>
    </row>
    <row r="43" spans="2:16" ht="13.15" customHeight="1" x14ac:dyDescent="0.25">
      <c r="B43" s="94"/>
      <c r="C43" s="144"/>
      <c r="D43" s="144"/>
      <c r="E43" s="749"/>
      <c r="F43" s="745"/>
      <c r="G43" s="1159"/>
      <c r="H43" s="1160"/>
      <c r="I43" s="1160"/>
      <c r="J43" s="1160"/>
      <c r="K43" s="1160"/>
      <c r="L43" s="1160"/>
      <c r="M43" s="1160"/>
      <c r="N43" s="1161"/>
      <c r="O43" s="428"/>
      <c r="P43" s="94"/>
    </row>
    <row r="44" spans="2:16" ht="13.15" customHeight="1" x14ac:dyDescent="0.25">
      <c r="B44" s="94"/>
      <c r="C44" s="144"/>
      <c r="D44" s="144"/>
      <c r="E44" s="749"/>
      <c r="F44" s="745"/>
      <c r="G44" s="1159"/>
      <c r="H44" s="1160"/>
      <c r="I44" s="1160"/>
      <c r="J44" s="1160"/>
      <c r="K44" s="1160"/>
      <c r="L44" s="1160"/>
      <c r="M44" s="1160"/>
      <c r="N44" s="1161"/>
      <c r="O44" s="428"/>
      <c r="P44" s="94"/>
    </row>
    <row r="45" spans="2:16" ht="13.15" customHeight="1" x14ac:dyDescent="0.25">
      <c r="B45" s="94"/>
      <c r="C45" s="144"/>
      <c r="D45" s="144"/>
      <c r="E45" s="749"/>
      <c r="F45" s="745"/>
      <c r="G45" s="1159"/>
      <c r="H45" s="1160"/>
      <c r="I45" s="1160"/>
      <c r="J45" s="1160"/>
      <c r="K45" s="1160"/>
      <c r="L45" s="1160"/>
      <c r="M45" s="1160"/>
      <c r="N45" s="1161"/>
      <c r="O45" s="428"/>
      <c r="P45" s="94"/>
    </row>
    <row r="46" spans="2:16" ht="13.15" customHeight="1" x14ac:dyDescent="0.25">
      <c r="B46" s="94"/>
      <c r="C46" s="144"/>
      <c r="D46" s="144"/>
      <c r="E46" s="749"/>
      <c r="F46" s="745"/>
      <c r="G46" s="1159"/>
      <c r="H46" s="1160"/>
      <c r="I46" s="1160"/>
      <c r="J46" s="1160"/>
      <c r="K46" s="1160"/>
      <c r="L46" s="1160"/>
      <c r="M46" s="1160"/>
      <c r="N46" s="1161"/>
      <c r="O46" s="428"/>
      <c r="P46" s="94"/>
    </row>
    <row r="47" spans="2:16" ht="12.75" customHeight="1" x14ac:dyDescent="0.25">
      <c r="B47" s="94"/>
      <c r="C47" s="144"/>
      <c r="D47" s="144"/>
      <c r="E47" s="749"/>
      <c r="F47" s="745"/>
      <c r="G47" s="1168"/>
      <c r="H47" s="1169"/>
      <c r="I47" s="1169"/>
      <c r="J47" s="1169"/>
      <c r="K47" s="1169"/>
      <c r="L47" s="1169"/>
      <c r="M47" s="1169"/>
      <c r="N47" s="1169"/>
      <c r="O47" s="428"/>
      <c r="P47" s="94"/>
    </row>
    <row r="48" spans="2:16" ht="12.75" customHeight="1" x14ac:dyDescent="0.25">
      <c r="B48" s="94"/>
      <c r="C48" s="144"/>
      <c r="D48" s="144"/>
      <c r="E48" s="749"/>
      <c r="F48" s="745"/>
      <c r="G48" s="1168"/>
      <c r="H48" s="1169"/>
      <c r="I48" s="1169"/>
      <c r="J48" s="1169"/>
      <c r="K48" s="1169"/>
      <c r="L48" s="1169"/>
      <c r="M48" s="1169"/>
      <c r="N48" s="1169"/>
      <c r="O48" s="428"/>
      <c r="P48" s="94"/>
    </row>
    <row r="49" spans="1:16" ht="12.75" customHeight="1" x14ac:dyDescent="0.25">
      <c r="B49" s="94"/>
      <c r="C49" s="144"/>
      <c r="D49" s="144"/>
      <c r="E49" s="749"/>
      <c r="F49" s="745"/>
      <c r="G49" s="1168"/>
      <c r="H49" s="1169"/>
      <c r="I49" s="1169"/>
      <c r="J49" s="1169"/>
      <c r="K49" s="1169"/>
      <c r="L49" s="1169"/>
      <c r="M49" s="1169"/>
      <c r="N49" s="1169"/>
      <c r="O49" s="428"/>
      <c r="P49" s="94"/>
    </row>
    <row r="50" spans="1:16" ht="12.75" customHeight="1" x14ac:dyDescent="0.25">
      <c r="B50" s="94"/>
      <c r="C50" s="144"/>
      <c r="D50" s="144"/>
      <c r="E50" s="749"/>
      <c r="F50" s="745"/>
      <c r="G50" s="1168"/>
      <c r="H50" s="1169"/>
      <c r="I50" s="1169"/>
      <c r="J50" s="1169"/>
      <c r="K50" s="1169"/>
      <c r="L50" s="1169"/>
      <c r="M50" s="1169"/>
      <c r="N50" s="1169"/>
      <c r="O50" s="428"/>
      <c r="P50" s="94"/>
    </row>
    <row r="51" spans="1:16" ht="12.75" customHeight="1" x14ac:dyDescent="0.25">
      <c r="B51" s="94"/>
      <c r="C51" s="144"/>
      <c r="D51" s="144"/>
      <c r="E51" s="144"/>
      <c r="F51" s="144"/>
      <c r="G51" s="144"/>
      <c r="H51" s="144"/>
      <c r="I51" s="144"/>
      <c r="J51" s="144"/>
      <c r="K51" s="144"/>
      <c r="L51" s="144"/>
      <c r="M51" s="144"/>
      <c r="N51" s="144"/>
      <c r="O51" s="428"/>
      <c r="P51" s="94"/>
    </row>
    <row r="52" spans="1:16" ht="12.75" customHeight="1" thickBot="1" x14ac:dyDescent="0.3">
      <c r="A52" s="99"/>
      <c r="B52" s="985"/>
      <c r="C52" s="746"/>
      <c r="D52" s="747"/>
      <c r="E52" s="747"/>
      <c r="F52" s="747"/>
      <c r="G52" s="747"/>
      <c r="H52" s="747"/>
      <c r="I52" s="747"/>
      <c r="J52" s="747"/>
      <c r="K52" s="747"/>
      <c r="L52" s="747"/>
      <c r="M52" s="747"/>
      <c r="N52" s="747"/>
      <c r="O52" s="748"/>
      <c r="P52" s="94"/>
    </row>
    <row r="53" spans="1:16" s="91" customFormat="1" ht="12.75" hidden="1" customHeight="1" x14ac:dyDescent="0.35">
      <c r="A53" s="91" t="s">
        <v>3</v>
      </c>
      <c r="O53" s="922"/>
      <c r="P53" s="171" t="s">
        <v>116</v>
      </c>
    </row>
  </sheetData>
  <sheetProtection sheet="1" objects="1" scenarios="1" formatCells="0" formatColumns="0" formatRows="0"/>
  <mergeCells count="59">
    <mergeCell ref="G29:N29"/>
    <mergeCell ref="G21:N21"/>
    <mergeCell ref="G25:N25"/>
    <mergeCell ref="G20:N20"/>
    <mergeCell ref="G28:N28"/>
    <mergeCell ref="G24:N24"/>
    <mergeCell ref="G27:N27"/>
    <mergeCell ref="M2:N2"/>
    <mergeCell ref="E3:F3"/>
    <mergeCell ref="G3:H3"/>
    <mergeCell ref="I3:J3"/>
    <mergeCell ref="K3:L3"/>
    <mergeCell ref="M3:N3"/>
    <mergeCell ref="B2:D4"/>
    <mergeCell ref="E2:F2"/>
    <mergeCell ref="G2:H2"/>
    <mergeCell ref="I2:J2"/>
    <mergeCell ref="K2:L2"/>
    <mergeCell ref="E4:F4"/>
    <mergeCell ref="G4:H4"/>
    <mergeCell ref="I4:J4"/>
    <mergeCell ref="K4:L4"/>
    <mergeCell ref="M4:N4"/>
    <mergeCell ref="G8:N8"/>
    <mergeCell ref="G9:N9"/>
    <mergeCell ref="G10:N10"/>
    <mergeCell ref="G16:N16"/>
    <mergeCell ref="G11:N11"/>
    <mergeCell ref="G12:N12"/>
    <mergeCell ref="G13:N13"/>
    <mergeCell ref="G14:N14"/>
    <mergeCell ref="G15:N15"/>
    <mergeCell ref="G50:N50"/>
    <mergeCell ref="G49:N49"/>
    <mergeCell ref="G17:N17"/>
    <mergeCell ref="G47:N47"/>
    <mergeCell ref="G48:N48"/>
    <mergeCell ref="G18:N18"/>
    <mergeCell ref="G19:N19"/>
    <mergeCell ref="G22:N22"/>
    <mergeCell ref="G23:N23"/>
    <mergeCell ref="G26:N26"/>
    <mergeCell ref="G30:N30"/>
    <mergeCell ref="G31:N31"/>
    <mergeCell ref="G32:N32"/>
    <mergeCell ref="G33:N33"/>
    <mergeCell ref="G34:N34"/>
    <mergeCell ref="G35:N35"/>
    <mergeCell ref="G36:N36"/>
    <mergeCell ref="G37:N37"/>
    <mergeCell ref="G43:N43"/>
    <mergeCell ref="G44:N44"/>
    <mergeCell ref="G45:N45"/>
    <mergeCell ref="G46:N46"/>
    <mergeCell ref="G38:N38"/>
    <mergeCell ref="G39:N39"/>
    <mergeCell ref="G40:N40"/>
    <mergeCell ref="G41:N41"/>
    <mergeCell ref="G42:N4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dimension ref="A1:X134"/>
  <sheetViews>
    <sheetView zoomScaleNormal="100" workbookViewId="0">
      <pane ySplit="4" topLeftCell="A5" activePane="bottomLeft" state="frozen"/>
      <selection pane="bottomLeft" activeCell="B5" sqref="B5"/>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4" width="11.453125" style="91" hidden="1" customWidth="1"/>
    <col min="25" max="16384" width="11.453125" style="93"/>
  </cols>
  <sheetData>
    <row r="1" spans="1:24" s="91" customFormat="1" ht="14.15" hidden="1" customHeight="1" thickBot="1" x14ac:dyDescent="0.4">
      <c r="A1" s="91" t="s">
        <v>3</v>
      </c>
      <c r="P1" s="91" t="s">
        <v>3</v>
      </c>
      <c r="Q1" s="91" t="s">
        <v>3</v>
      </c>
      <c r="R1" s="91" t="s">
        <v>3</v>
      </c>
      <c r="S1" s="91" t="s">
        <v>3</v>
      </c>
      <c r="T1" s="91" t="s">
        <v>3</v>
      </c>
      <c r="U1" s="91" t="s">
        <v>3</v>
      </c>
      <c r="V1" s="91" t="s">
        <v>3</v>
      </c>
      <c r="W1" s="91" t="s">
        <v>3</v>
      </c>
      <c r="X1" s="91" t="s">
        <v>3</v>
      </c>
    </row>
    <row r="2" spans="1:24" ht="14.15" customHeight="1" thickBot="1" x14ac:dyDescent="0.4">
      <c r="B2" s="1178" t="str">
        <f>Translations!$B$288</f>
        <v>Tools</v>
      </c>
      <c r="C2" s="1179"/>
      <c r="D2" s="1180"/>
      <c r="E2" s="1187" t="str">
        <f>Translations!$B$11</f>
        <v>Navigation Area:</v>
      </c>
      <c r="F2" s="1188"/>
      <c r="G2" s="1189" t="str">
        <f ca="1">HYPERLINK("#"&amp;ADDRESS(2,3,,,a_Contents!$U$2),a_Contents!$B$2)</f>
        <v>Table of contents</v>
      </c>
      <c r="H2" s="1190"/>
      <c r="I2" s="1189" t="str">
        <f ca="1">HYPERLINK("#"&amp;ADDRESS(2,3,,,G_FurtherGuidance!$U$2),G_FurtherGuidance!$B$2)</f>
        <v>Further Guidance</v>
      </c>
      <c r="J2" s="1190"/>
      <c r="K2" s="1189" t="str">
        <f ca="1">HYPERLINK("#"&amp;ADDRESS(2,3,,,Summary_Processes!$Y$2),Summary_Processes!$Y$2)</f>
        <v>Summary_Processes</v>
      </c>
      <c r="L2" s="1190"/>
      <c r="M2" s="1189" t="str">
        <f ca="1">HYPERLINK("#"&amp;ADDRESS(2,3,,,Summary_Products!$BF$2),Summary_Products!$BF$2)</f>
        <v>Summary_Products</v>
      </c>
      <c r="N2" s="1190"/>
      <c r="O2" s="906"/>
      <c r="R2" s="91" t="s">
        <v>114</v>
      </c>
      <c r="S2" s="95" t="str">
        <f>ADDRESS(ROW($B$2),COLUMN(B2)) &amp; ":" &amp; ADDRESS(MATCH("PRINT",$P:$P,0),COLUMN(O4))</f>
        <v>$B$2:$O$132</v>
      </c>
      <c r="T2" s="91" t="s">
        <v>25</v>
      </c>
      <c r="U2" s="886" t="str">
        <f ca="1">IF(ISERROR(CELL("filename",V2)),"F_Tools",MID(CELL("filename",V2),FIND("]",CELL("filename",V2))+1,1024))</f>
        <v>F_Tools</v>
      </c>
    </row>
    <row r="3" spans="1:24" ht="14.15" customHeight="1" x14ac:dyDescent="0.35">
      <c r="B3" s="1181"/>
      <c r="C3" s="1182"/>
      <c r="D3" s="1183"/>
      <c r="E3" s="1174"/>
      <c r="F3" s="1174"/>
      <c r="G3" s="1174" t="str">
        <f>IFERROR(HYPERLINK("#"&amp;ADDRESS(ROW($A$1)+MATCH(R3,$A:$A,0)-1,3),INDEX($R:$R,MATCH(R3,$A:$A,0))),"")</f>
        <v>Cogeneration Tool</v>
      </c>
      <c r="H3" s="1174"/>
      <c r="I3" s="1174" t="str">
        <f>IFERROR(HYPERLINK("#"&amp;ADDRESS(ROW($A$1)+MATCH(T3,$A:$A,0)-1,3),INDEX($R:$R,MATCH(T3,$A:$A,0))),"")</f>
        <v>Tool for carbon price due</v>
      </c>
      <c r="J3" s="1174"/>
      <c r="K3" s="1174" t="str">
        <f>IFERROR(HYPERLINK("#"&amp;ADDRESS(ROW($A$1)+MATCH(V3,$A:$A,0)-1,3),INDEX($R:$R,MATCH(V3,$A:$A,0))),"")</f>
        <v/>
      </c>
      <c r="L3" s="1174"/>
      <c r="M3" s="1174" t="str">
        <f>IFERROR(HYPERLINK("#"&amp;ADDRESS(ROW($A$1)+MATCH(X3,$A:$A,0)-1,3),INDEX($R:$R,MATCH(X3,$A:$A,0))),"")</f>
        <v/>
      </c>
      <c r="N3" s="1174"/>
      <c r="O3" s="428"/>
      <c r="R3" s="302">
        <v>1</v>
      </c>
      <c r="S3" s="303"/>
      <c r="T3" s="303">
        <v>2</v>
      </c>
      <c r="U3" s="303"/>
      <c r="V3" s="303">
        <v>3</v>
      </c>
      <c r="W3" s="303"/>
      <c r="X3" s="304">
        <v>4</v>
      </c>
    </row>
    <row r="4" spans="1:24" ht="14.15" customHeight="1" thickBot="1" x14ac:dyDescent="0.4">
      <c r="B4" s="1184"/>
      <c r="C4" s="1185"/>
      <c r="D4" s="1186"/>
      <c r="E4" s="1174"/>
      <c r="F4" s="1174"/>
      <c r="G4" s="1174" t="str">
        <f>IFERROR(HYPERLINK("#"&amp;ADDRESS(ROW($A$1)+MATCH(R4,$A:$A,0)-1,3),INDEX($R:$R,MATCH(R4,$A:$A,0))),"")</f>
        <v/>
      </c>
      <c r="H4" s="1174"/>
      <c r="I4" s="1174" t="str">
        <f>IFERROR(HYPERLINK("#"&amp;ADDRESS(ROW($A$1)+MATCH(T4,$A:$A,0)-1,3),INDEX($R:$R,MATCH(T4,$A:$A,0))),"")</f>
        <v/>
      </c>
      <c r="J4" s="1174"/>
      <c r="K4" s="1174" t="str">
        <f>IFERROR(HYPERLINK("#"&amp;ADDRESS(ROW($A$1)+MATCH(V4,$A:$A,0)-1,3),INDEX($R:$R,MATCH(V4,$A:$A,0))),"")</f>
        <v/>
      </c>
      <c r="L4" s="1174"/>
      <c r="M4" s="1174" t="str">
        <f>IFERROR(HYPERLINK("#"&amp;ADDRESS(ROW($A$1)+MATCH(X4,$A:$A,0)-1,3),INDEX($R:$R,MATCH(X4,$A:$A,0))),"")</f>
        <v/>
      </c>
      <c r="N4" s="1174"/>
      <c r="O4" s="428"/>
      <c r="R4" s="305">
        <v>5</v>
      </c>
      <c r="S4" s="156"/>
      <c r="T4" s="156">
        <v>6</v>
      </c>
      <c r="U4" s="156"/>
      <c r="V4" s="156">
        <v>7</v>
      </c>
      <c r="W4" s="156"/>
      <c r="X4" s="306">
        <v>8</v>
      </c>
    </row>
    <row r="5" spans="1:24" ht="5.15" customHeight="1" x14ac:dyDescent="0.35">
      <c r="B5" s="94"/>
      <c r="C5" s="144"/>
      <c r="D5" s="144"/>
      <c r="E5" s="144"/>
      <c r="F5" s="144"/>
      <c r="G5" s="144"/>
      <c r="H5" s="144"/>
      <c r="I5" s="144"/>
      <c r="J5" s="144"/>
      <c r="K5" s="144"/>
      <c r="L5" s="144"/>
      <c r="M5" s="144"/>
      <c r="N5" s="144"/>
      <c r="O5" s="428"/>
    </row>
    <row r="6" spans="1:24" ht="25.5" customHeight="1" x14ac:dyDescent="0.35">
      <c r="B6" s="94"/>
      <c r="C6" s="907" t="s">
        <v>2822</v>
      </c>
      <c r="D6" s="144"/>
      <c r="E6" s="907" t="str">
        <f>Translations!$B$289</f>
        <v>Sheet "F_Tools" - Tools for facilitating reporting</v>
      </c>
      <c r="F6" s="144"/>
      <c r="G6" s="144"/>
      <c r="H6" s="144"/>
      <c r="I6" s="144"/>
      <c r="J6" s="144"/>
      <c r="K6" s="144"/>
      <c r="L6" s="144"/>
      <c r="M6" s="144"/>
      <c r="N6" s="144"/>
      <c r="O6" s="428"/>
      <c r="R6" s="105" t="s">
        <v>328</v>
      </c>
      <c r="S6" s="105" t="s">
        <v>152</v>
      </c>
      <c r="T6" s="123"/>
      <c r="U6" s="123"/>
      <c r="V6" s="105" t="s">
        <v>154</v>
      </c>
      <c r="W6" s="123"/>
      <c r="X6" s="105" t="s">
        <v>138</v>
      </c>
    </row>
    <row r="7" spans="1:24" ht="5.15" customHeight="1" x14ac:dyDescent="0.35">
      <c r="B7" s="94"/>
      <c r="C7" s="144"/>
      <c r="D7" s="144"/>
      <c r="E7" s="144"/>
      <c r="F7" s="144"/>
      <c r="G7" s="144"/>
      <c r="H7" s="144"/>
      <c r="I7" s="144"/>
      <c r="J7" s="144"/>
      <c r="K7" s="144"/>
      <c r="L7" s="144"/>
      <c r="M7" s="144"/>
      <c r="N7" s="144"/>
      <c r="O7" s="428"/>
    </row>
    <row r="8" spans="1:24" ht="18" customHeight="1" x14ac:dyDescent="0.35">
      <c r="A8" s="892">
        <f>C8</f>
        <v>1</v>
      </c>
      <c r="B8" s="94"/>
      <c r="C8" s="319">
        <v>1</v>
      </c>
      <c r="D8" s="909" t="str">
        <f>Translations!$B$290</f>
        <v>Cogeneration Tool</v>
      </c>
      <c r="E8" s="909"/>
      <c r="F8" s="910"/>
      <c r="G8" s="910"/>
      <c r="H8" s="910"/>
      <c r="I8" s="910"/>
      <c r="J8" s="910"/>
      <c r="K8" s="910"/>
      <c r="L8" s="910"/>
      <c r="M8" s="910"/>
      <c r="N8" s="910"/>
      <c r="O8" s="428"/>
      <c r="R8" s="102" t="str">
        <f>D8</f>
        <v>Cogeneration Tool</v>
      </c>
      <c r="S8" s="105">
        <f>C8</f>
        <v>1</v>
      </c>
    </row>
    <row r="9" spans="1:24" ht="5.15" customHeight="1" x14ac:dyDescent="0.3">
      <c r="B9" s="94"/>
      <c r="C9" s="948"/>
      <c r="D9" s="948"/>
      <c r="E9" s="948"/>
      <c r="F9" s="948"/>
      <c r="G9" s="948"/>
      <c r="H9" s="948"/>
      <c r="I9" s="948"/>
      <c r="J9" s="948"/>
      <c r="K9" s="948"/>
      <c r="L9" s="948"/>
      <c r="M9" s="949"/>
      <c r="N9" s="949"/>
      <c r="O9" s="428"/>
    </row>
    <row r="10" spans="1:24" ht="12.75" customHeight="1" x14ac:dyDescent="0.3">
      <c r="B10" s="94"/>
      <c r="C10" s="948"/>
      <c r="D10" s="950"/>
      <c r="E10" s="1369" t="str">
        <f>Translations!$B$291</f>
        <v>This is a tool for attributing fuels and emissions of CHPs to heat and electricity output.</v>
      </c>
      <c r="F10" s="1369"/>
      <c r="G10" s="1369"/>
      <c r="H10" s="1369"/>
      <c r="I10" s="1369"/>
      <c r="J10" s="1369"/>
      <c r="K10" s="1369"/>
      <c r="L10" s="1369"/>
      <c r="M10" s="1369"/>
      <c r="N10" s="1369"/>
      <c r="O10" s="428"/>
    </row>
    <row r="11" spans="1:24" ht="25.9" customHeight="1" x14ac:dyDescent="0.3">
      <c r="B11" s="94"/>
      <c r="C11" s="948"/>
      <c r="D11" s="951"/>
      <c r="E11" s="1369" t="str">
        <f>Translations!$B$1973</f>
        <v>This tool exists twofold in this template and each tool should only be used for one CHP. If more CHPs are relevant, you must aggregate energy amounts and emissions from multiple CHPs, as appropriate, or perform separate calculations using additional copies of this template.</v>
      </c>
      <c r="F11" s="1369"/>
      <c r="G11" s="1369"/>
      <c r="H11" s="1369"/>
      <c r="I11" s="1369"/>
      <c r="J11" s="1369"/>
      <c r="K11" s="1369"/>
      <c r="L11" s="1369"/>
      <c r="M11" s="1369"/>
      <c r="N11" s="1369"/>
      <c r="O11" s="428"/>
    </row>
    <row r="12" spans="1:24" ht="25.5" customHeight="1" x14ac:dyDescent="0.3">
      <c r="B12" s="94"/>
      <c r="C12" s="948"/>
      <c r="D12" s="951"/>
      <c r="E12" s="1369" t="str">
        <f>Translations!$B$293</f>
        <v>Periods during which the CHP is operated in heat-only or electricity-only generation mode (i.e. periods during which only one of the two products was produced) should be excluded and assignment of fuels and emissions should be calculated separately.</v>
      </c>
      <c r="F12" s="1369"/>
      <c r="G12" s="1369"/>
      <c r="H12" s="1369"/>
      <c r="I12" s="1369"/>
      <c r="J12" s="1369"/>
      <c r="K12" s="1369"/>
      <c r="L12" s="1369"/>
      <c r="M12" s="1369"/>
      <c r="N12" s="1369"/>
      <c r="O12" s="428"/>
    </row>
    <row r="13" spans="1:24" ht="5.15" customHeight="1" x14ac:dyDescent="0.3">
      <c r="B13" s="94"/>
      <c r="C13" s="948"/>
      <c r="D13" s="948"/>
      <c r="E13" s="948"/>
      <c r="F13" s="948"/>
      <c r="G13" s="948"/>
      <c r="H13" s="948"/>
      <c r="I13" s="948"/>
      <c r="J13" s="948"/>
      <c r="K13" s="948"/>
      <c r="L13" s="948"/>
      <c r="M13" s="949"/>
      <c r="N13" s="949"/>
      <c r="O13" s="428"/>
    </row>
    <row r="14" spans="1:24" ht="12.75" customHeight="1" x14ac:dyDescent="0.35">
      <c r="B14" s="94"/>
      <c r="C14" s="952">
        <v>1</v>
      </c>
      <c r="D14" s="1345" t="str">
        <f>Translations!$B$294</f>
        <v>Tool to calculate the emissions attributable to heat production in combined heat and power units (CHP)</v>
      </c>
      <c r="E14" s="1346"/>
      <c r="F14" s="1346"/>
      <c r="G14" s="1346"/>
      <c r="H14" s="1346"/>
      <c r="I14" s="1346"/>
      <c r="J14" s="1346"/>
      <c r="K14" s="1346"/>
      <c r="L14" s="1346"/>
      <c r="M14" s="1346"/>
      <c r="N14" s="1346"/>
      <c r="O14" s="428"/>
    </row>
    <row r="15" spans="1:24" ht="5.15" customHeight="1" x14ac:dyDescent="0.3">
      <c r="B15" s="94"/>
      <c r="C15" s="948"/>
      <c r="D15" s="948"/>
      <c r="E15" s="948"/>
      <c r="F15" s="948"/>
      <c r="G15" s="948"/>
      <c r="H15" s="948"/>
      <c r="I15" s="948"/>
      <c r="J15" s="948"/>
      <c r="K15" s="948"/>
      <c r="L15" s="948"/>
      <c r="M15" s="949"/>
      <c r="N15" s="949"/>
      <c r="O15" s="428"/>
    </row>
    <row r="16" spans="1:24" ht="12.75" customHeight="1" x14ac:dyDescent="0.3">
      <c r="B16" s="94"/>
      <c r="C16" s="948"/>
      <c r="D16" s="953" t="s">
        <v>4</v>
      </c>
      <c r="E16" s="1234" t="str">
        <f>Translations!$B$295</f>
        <v>Total amount of fuel input into CHP units</v>
      </c>
      <c r="F16" s="1234"/>
      <c r="G16" s="1234"/>
      <c r="H16" s="1234"/>
      <c r="I16" s="1234"/>
      <c r="J16" s="1234"/>
      <c r="K16" s="1234"/>
      <c r="L16" s="1234"/>
      <c r="M16" s="1234"/>
      <c r="N16" s="1234"/>
      <c r="O16" s="428"/>
    </row>
    <row r="17" spans="1:24" ht="25.9" customHeight="1" x14ac:dyDescent="0.3">
      <c r="B17" s="94"/>
      <c r="C17" s="948"/>
      <c r="D17" s="948"/>
      <c r="E17" s="1372" t="str">
        <f>Translations!$B$296</f>
        <v>Please enter here the annual fuel input into the CHP unit, the net amount of heat produced and the net amount of electricity (or mechanical energy, where applicable) produced by the CHP.</v>
      </c>
      <c r="F17" s="1347"/>
      <c r="G17" s="1347"/>
      <c r="H17" s="1347"/>
      <c r="I17" s="1347"/>
      <c r="J17" s="1347"/>
      <c r="K17" s="1347"/>
      <c r="L17" s="1347"/>
      <c r="M17" s="1347"/>
      <c r="N17" s="1347"/>
      <c r="O17" s="428"/>
    </row>
    <row r="18" spans="1:24" ht="5.15" customHeight="1" x14ac:dyDescent="0.3">
      <c r="B18" s="94"/>
      <c r="C18" s="948"/>
      <c r="D18" s="144"/>
      <c r="E18" s="144"/>
      <c r="F18" s="144"/>
      <c r="G18" s="144"/>
      <c r="H18" s="144"/>
      <c r="I18" s="144"/>
      <c r="J18" s="144"/>
      <c r="K18" s="144"/>
      <c r="L18" s="144"/>
      <c r="M18" s="144"/>
      <c r="N18" s="144"/>
      <c r="O18" s="428"/>
    </row>
    <row r="19" spans="1:24" s="244" customFormat="1" ht="38.9" customHeight="1" x14ac:dyDescent="0.3">
      <c r="A19" s="126"/>
      <c r="B19" s="358"/>
      <c r="C19" s="948"/>
      <c r="D19" s="949"/>
      <c r="E19" s="954"/>
      <c r="F19" s="954"/>
      <c r="G19" s="954"/>
      <c r="H19" s="954"/>
      <c r="I19" s="359" t="str">
        <f>Translations!$B$297</f>
        <v>Parameter</v>
      </c>
      <c r="J19" s="357" t="str">
        <f>Translations!$B$298</f>
        <v>Fuel input into CHP</v>
      </c>
      <c r="K19" s="357" t="str">
        <f>Translations!$B$299</f>
        <v>Heat output from CHP</v>
      </c>
      <c r="L19" s="357" t="str">
        <f>Translations!$B$300</f>
        <v>Electricity output from CHP</v>
      </c>
      <c r="M19" s="357" t="str">
        <f>Translations!$B$300</f>
        <v>Electricity output from CHP</v>
      </c>
      <c r="N19" s="144"/>
      <c r="O19" s="430"/>
      <c r="P19" s="358"/>
      <c r="R19" s="126"/>
      <c r="S19" s="126"/>
      <c r="T19" s="126"/>
      <c r="U19" s="126"/>
      <c r="V19" s="126"/>
      <c r="W19" s="126"/>
      <c r="X19" s="126"/>
    </row>
    <row r="20" spans="1:24" ht="12.75" customHeight="1" x14ac:dyDescent="0.3">
      <c r="B20" s="94"/>
      <c r="C20" s="313"/>
      <c r="D20" s="313"/>
      <c r="E20" s="354"/>
      <c r="F20" s="954"/>
      <c r="G20" s="144"/>
      <c r="H20" s="144"/>
      <c r="I20" s="360" t="str">
        <f>Translations!$B$221</f>
        <v>Unit</v>
      </c>
      <c r="J20" s="355" t="str">
        <f>CONST_TJ</f>
        <v>TJ</v>
      </c>
      <c r="K20" s="355" t="str">
        <f>CONST_TJ</f>
        <v>TJ</v>
      </c>
      <c r="L20" s="355" t="str">
        <f>CONST_MWh</f>
        <v>MWh</v>
      </c>
      <c r="M20" s="355" t="str">
        <f>CONST_TJ</f>
        <v>TJ</v>
      </c>
      <c r="N20" s="144"/>
      <c r="O20" s="428"/>
    </row>
    <row r="21" spans="1:24" ht="12.75" customHeight="1" x14ac:dyDescent="0.35">
      <c r="B21" s="94"/>
      <c r="C21" s="313"/>
      <c r="D21" s="313"/>
      <c r="E21" s="170" t="str">
        <f>Translations!$B$301</f>
        <v>Inputs and outputs</v>
      </c>
      <c r="F21" s="361"/>
      <c r="G21" s="361"/>
      <c r="H21" s="361"/>
      <c r="I21" s="383" t="str">
        <f>Translations!$B$260</f>
        <v>Value</v>
      </c>
      <c r="J21" s="362"/>
      <c r="K21" s="362"/>
      <c r="L21" s="362"/>
      <c r="M21" s="315" t="str">
        <f>IF(ISBLANK(L21),"",L21*3.6/1000)</f>
        <v/>
      </c>
      <c r="N21" s="144"/>
      <c r="O21" s="428"/>
    </row>
    <row r="22" spans="1:24" ht="5.15" customHeight="1" x14ac:dyDescent="0.35">
      <c r="B22" s="94"/>
      <c r="C22" s="313"/>
      <c r="D22" s="313"/>
      <c r="E22" s="313"/>
      <c r="F22" s="313"/>
      <c r="G22" s="313"/>
      <c r="H22" s="313"/>
      <c r="I22" s="144"/>
      <c r="J22" s="144"/>
      <c r="K22" s="144"/>
      <c r="L22" s="144"/>
      <c r="M22" s="144"/>
      <c r="N22" s="144"/>
      <c r="O22" s="428"/>
    </row>
    <row r="23" spans="1:24" ht="12.75" customHeight="1" x14ac:dyDescent="0.3">
      <c r="B23" s="94"/>
      <c r="C23" s="948"/>
      <c r="D23" s="953" t="s">
        <v>48</v>
      </c>
      <c r="E23" s="1234" t="str">
        <f>Translations!$B$302</f>
        <v>Total emissions from CHP</v>
      </c>
      <c r="F23" s="1234"/>
      <c r="G23" s="1234"/>
      <c r="H23" s="1234"/>
      <c r="I23" s="1234"/>
      <c r="J23" s="1234"/>
      <c r="K23" s="1234"/>
      <c r="L23" s="1234"/>
      <c r="M23" s="1234"/>
      <c r="N23" s="1234"/>
      <c r="O23" s="428"/>
    </row>
    <row r="24" spans="1:24" ht="12.75" customHeight="1" x14ac:dyDescent="0.3">
      <c r="B24" s="94"/>
      <c r="C24" s="948"/>
      <c r="D24" s="955"/>
      <c r="E24" s="1237" t="str">
        <f>Translations!$B$303</f>
        <v>Values should distinguish between emissions from fuel input and from flue gas cleaning.</v>
      </c>
      <c r="F24" s="1347"/>
      <c r="G24" s="1347"/>
      <c r="H24" s="1347"/>
      <c r="I24" s="1347"/>
      <c r="J24" s="1347"/>
      <c r="K24" s="1347"/>
      <c r="L24" s="1347"/>
      <c r="M24" s="1347"/>
      <c r="N24" s="1347"/>
      <c r="O24" s="428"/>
    </row>
    <row r="25" spans="1:24" ht="38.9" customHeight="1" x14ac:dyDescent="0.3">
      <c r="B25" s="94"/>
      <c r="C25" s="948"/>
      <c r="D25" s="955"/>
      <c r="E25" s="314"/>
      <c r="F25" s="320"/>
      <c r="G25" s="144"/>
      <c r="H25" s="144"/>
      <c r="I25" s="356" t="str">
        <f>Translations!$B$221</f>
        <v>Unit</v>
      </c>
      <c r="J25" s="357" t="str">
        <f>Translations!$B$304</f>
        <v>From fuel input to CHP</v>
      </c>
      <c r="K25" s="357" t="str">
        <f>Translations!$B$305</f>
        <v>From flue gas cleaning</v>
      </c>
      <c r="L25" s="357" t="str">
        <f>Translations!$B$239</f>
        <v>Total emissions</v>
      </c>
      <c r="M25" s="144"/>
      <c r="N25" s="144"/>
      <c r="O25" s="428"/>
    </row>
    <row r="26" spans="1:24" ht="12.75" customHeight="1" x14ac:dyDescent="0.35">
      <c r="B26" s="94"/>
      <c r="C26" s="313"/>
      <c r="D26" s="313"/>
      <c r="E26" s="170" t="str">
        <f>Translations!$B$306</f>
        <v>GHG emissions</v>
      </c>
      <c r="F26" s="361"/>
      <c r="G26" s="361"/>
      <c r="H26" s="361"/>
      <c r="I26" s="237" t="str">
        <f>CONST_tCO2</f>
        <v>tCO2</v>
      </c>
      <c r="J26" s="362"/>
      <c r="K26" s="362"/>
      <c r="L26" s="315" t="str">
        <f>IF(COUNT(J26:K26)&gt;0,SUM(J26:K26),"")</f>
        <v/>
      </c>
      <c r="M26" s="144"/>
      <c r="N26" s="144"/>
      <c r="O26" s="428"/>
    </row>
    <row r="27" spans="1:24" ht="5.15" customHeight="1" x14ac:dyDescent="0.35">
      <c r="B27" s="94"/>
      <c r="C27" s="313"/>
      <c r="D27" s="313"/>
      <c r="E27" s="313"/>
      <c r="F27" s="313"/>
      <c r="G27" s="313"/>
      <c r="H27" s="313"/>
      <c r="I27" s="313"/>
      <c r="J27" s="313"/>
      <c r="K27" s="313"/>
      <c r="L27" s="313"/>
      <c r="M27" s="313"/>
      <c r="N27" s="313"/>
      <c r="O27" s="428"/>
    </row>
    <row r="28" spans="1:24" ht="12.75" customHeight="1" x14ac:dyDescent="0.35">
      <c r="B28" s="94"/>
      <c r="C28" s="313"/>
      <c r="D28" s="953" t="s">
        <v>49</v>
      </c>
      <c r="E28" s="1371" t="str">
        <f>Translations!$B$308</f>
        <v>Default efficiencies:</v>
      </c>
      <c r="F28" s="1371"/>
      <c r="G28" s="1371"/>
      <c r="H28" s="1371"/>
      <c r="I28" s="1371"/>
      <c r="J28" s="316" t="str">
        <f>Translations!$B$309</f>
        <v>Heat:</v>
      </c>
      <c r="K28" s="317">
        <v>0.55000000000000004</v>
      </c>
      <c r="L28" s="316" t="str">
        <f>Translations!$B$310</f>
        <v>Electricity:</v>
      </c>
      <c r="M28" s="317">
        <v>0.25</v>
      </c>
      <c r="N28" s="144"/>
      <c r="O28" s="428"/>
    </row>
    <row r="29" spans="1:24" ht="5.15" customHeight="1" x14ac:dyDescent="0.35">
      <c r="B29" s="94"/>
      <c r="C29" s="313"/>
      <c r="D29" s="313"/>
      <c r="E29" s="313"/>
      <c r="F29" s="313"/>
      <c r="G29" s="313"/>
      <c r="H29" s="313"/>
      <c r="I29" s="144"/>
      <c r="J29" s="144"/>
      <c r="K29" s="144"/>
      <c r="L29" s="144"/>
      <c r="M29" s="144"/>
      <c r="N29" s="144"/>
      <c r="O29" s="428"/>
    </row>
    <row r="30" spans="1:24" ht="12.75" customHeight="1" x14ac:dyDescent="0.3">
      <c r="B30" s="94"/>
      <c r="C30" s="948"/>
      <c r="D30" s="953" t="s">
        <v>377</v>
      </c>
      <c r="E30" s="1234" t="str">
        <f>Translations!$B$311</f>
        <v>Efficiencies for heat and electricity</v>
      </c>
      <c r="F30" s="1368"/>
      <c r="G30" s="1368"/>
      <c r="H30" s="1368"/>
      <c r="I30" s="1368"/>
      <c r="J30" s="1368"/>
      <c r="K30" s="1368"/>
      <c r="L30" s="1368"/>
      <c r="M30" s="1368"/>
      <c r="N30" s="1368"/>
      <c r="O30" s="428"/>
    </row>
    <row r="31" spans="1:24" ht="12.75" customHeight="1" x14ac:dyDescent="0.3">
      <c r="B31" s="94"/>
      <c r="C31" s="948"/>
      <c r="D31" s="955"/>
      <c r="E31" s="1237" t="str">
        <f>Translations!$B$312</f>
        <v>These values are dimensionless and automatically calculated from inputs in (a) to (c) above.</v>
      </c>
      <c r="F31" s="1347"/>
      <c r="G31" s="1347"/>
      <c r="H31" s="1347"/>
      <c r="I31" s="1347"/>
      <c r="J31" s="1347"/>
      <c r="K31" s="1347"/>
      <c r="L31" s="1347"/>
      <c r="M31" s="1347"/>
      <c r="N31" s="1347"/>
      <c r="O31" s="428"/>
    </row>
    <row r="32" spans="1:24" ht="38.65" customHeight="1" x14ac:dyDescent="0.3">
      <c r="B32" s="94"/>
      <c r="C32" s="948"/>
      <c r="D32" s="955"/>
      <c r="E32" s="1237" t="str">
        <f>Translations!$B$313</f>
        <v>If no values are displayed here but total emissions under (b) above, default efficiencies from (c) will be used here. Please note that this should only be done if the determination of the efficiencies is technically not feasible or would incur unreasonable costs, and values based on technical documentation (design values) of the installation are not available as well.</v>
      </c>
      <c r="F32" s="1347"/>
      <c r="G32" s="1347"/>
      <c r="H32" s="1347"/>
      <c r="I32" s="1347"/>
      <c r="J32" s="1347"/>
      <c r="K32" s="1347"/>
      <c r="L32" s="1347"/>
      <c r="M32" s="1347"/>
      <c r="N32" s="1347"/>
      <c r="O32" s="428"/>
    </row>
    <row r="33" spans="2:15" ht="38.9" customHeight="1" x14ac:dyDescent="0.3">
      <c r="B33" s="94"/>
      <c r="C33" s="313"/>
      <c r="D33" s="313"/>
      <c r="E33" s="314"/>
      <c r="F33" s="320"/>
      <c r="G33" s="144"/>
      <c r="H33" s="144"/>
      <c r="I33" s="356" t="str">
        <f>Translations!$B$221</f>
        <v>Unit</v>
      </c>
      <c r="J33" s="357" t="str">
        <f>Translations!$B$314</f>
        <v>Heat production</v>
      </c>
      <c r="K33" s="357" t="str">
        <f>Translations!$B$315</f>
        <v>Electricity production</v>
      </c>
      <c r="L33" s="357" t="str">
        <f>Translations!$B$316</f>
        <v>Total</v>
      </c>
      <c r="M33" s="144"/>
      <c r="N33" s="144"/>
      <c r="O33" s="428"/>
    </row>
    <row r="34" spans="2:15" ht="12.75" customHeight="1" x14ac:dyDescent="0.35">
      <c r="B34" s="94"/>
      <c r="C34" s="313"/>
      <c r="D34" s="313"/>
      <c r="E34" s="170" t="str">
        <f>Translations!$B$317</f>
        <v>Efficiencies</v>
      </c>
      <c r="F34" s="361"/>
      <c r="G34" s="361"/>
      <c r="H34" s="361"/>
      <c r="I34" s="237" t="s">
        <v>206</v>
      </c>
      <c r="J34" s="365" t="str">
        <f>IF(AND(ISNUMBER(J21),ISNUMBER(K21)),IF(J21=0,0,K21/J21),IF(ISNUMBER(L26),$K28,""))</f>
        <v/>
      </c>
      <c r="K34" s="365" t="str">
        <f>IF(AND(ISNUMBER(J21),ISNUMBER(M21)),IF(J21=0,0,M21/J21),IF(ISNUMBER(L26),$M28,""))</f>
        <v/>
      </c>
      <c r="L34" s="365" t="str">
        <f>IF(COUNT(J34:K34)&gt;0,SUM(J34:K34),"")</f>
        <v/>
      </c>
      <c r="M34" s="144"/>
      <c r="N34" s="144"/>
      <c r="O34" s="428"/>
    </row>
    <row r="35" spans="2:15" ht="5.15" customHeight="1" x14ac:dyDescent="0.35">
      <c r="B35" s="94"/>
      <c r="C35" s="313"/>
      <c r="D35" s="313"/>
      <c r="E35" s="313"/>
      <c r="F35" s="313"/>
      <c r="G35" s="313"/>
      <c r="H35" s="313"/>
      <c r="I35" s="144"/>
      <c r="J35" s="144"/>
      <c r="K35" s="144"/>
      <c r="L35" s="144"/>
      <c r="M35" s="144"/>
      <c r="N35" s="144"/>
      <c r="O35" s="428"/>
    </row>
    <row r="36" spans="2:15" ht="12.75" customHeight="1" x14ac:dyDescent="0.3">
      <c r="B36" s="94"/>
      <c r="C36" s="948"/>
      <c r="D36" s="953" t="s">
        <v>411</v>
      </c>
      <c r="E36" s="1234" t="str">
        <f>Translations!$B$318</f>
        <v>Reference efficiencies</v>
      </c>
      <c r="F36" s="1368"/>
      <c r="G36" s="1368"/>
      <c r="H36" s="1368"/>
      <c r="I36" s="1368"/>
      <c r="J36" s="1368"/>
      <c r="K36" s="1368"/>
      <c r="L36" s="1368"/>
      <c r="M36" s="1368"/>
      <c r="N36" s="1368"/>
      <c r="O36" s="428"/>
    </row>
    <row r="37" spans="2:15" ht="12.75" customHeight="1" x14ac:dyDescent="0.3">
      <c r="B37" s="94"/>
      <c r="C37" s="948"/>
      <c r="D37" s="955"/>
      <c r="E37" s="1237" t="str">
        <f>Translations!$B$319</f>
        <v xml:space="preserve">These are the reference efficiency for heat production in a stand-alone boiler, and the reference efficiency of electricity production without cogeneration. </v>
      </c>
      <c r="F37" s="1347"/>
      <c r="G37" s="1347"/>
      <c r="H37" s="1347"/>
      <c r="I37" s="1347"/>
      <c r="J37" s="1347"/>
      <c r="K37" s="1347"/>
      <c r="L37" s="1347"/>
      <c r="M37" s="1347"/>
      <c r="N37" s="1347"/>
      <c r="O37" s="428"/>
    </row>
    <row r="38" spans="2:15" ht="13.15" customHeight="1" x14ac:dyDescent="0.3">
      <c r="B38" s="94"/>
      <c r="C38" s="948"/>
      <c r="D38" s="955"/>
      <c r="E38" s="1237" t="str">
        <f>Translations!$B$1974</f>
        <v>For the reference efficiencies the appropriate fuel-specific values from Annex IX of the Implementing Act should be used.</v>
      </c>
      <c r="F38" s="1347"/>
      <c r="G38" s="1347"/>
      <c r="H38" s="1347"/>
      <c r="I38" s="1347"/>
      <c r="J38" s="1347"/>
      <c r="K38" s="1347"/>
      <c r="L38" s="1347"/>
      <c r="M38" s="1347"/>
      <c r="N38" s="1347"/>
      <c r="O38" s="428"/>
    </row>
    <row r="39" spans="2:15" ht="12.75" customHeight="1" x14ac:dyDescent="0.3">
      <c r="B39" s="94"/>
      <c r="C39" s="948"/>
      <c r="D39" s="955"/>
      <c r="E39" s="1237" t="str">
        <f>Translations!$B$1975</f>
        <v>Below the default efficiencies for hard coal CHPs producing electricity and hot water are entered as an example.</v>
      </c>
      <c r="F39" s="1347"/>
      <c r="G39" s="1347"/>
      <c r="H39" s="1347"/>
      <c r="I39" s="1347"/>
      <c r="J39" s="1347"/>
      <c r="K39" s="1347"/>
      <c r="L39" s="1347"/>
      <c r="M39" s="1347"/>
      <c r="N39" s="1347"/>
      <c r="O39" s="428"/>
    </row>
    <row r="40" spans="2:15" ht="38.9" customHeight="1" x14ac:dyDescent="0.3">
      <c r="B40" s="94"/>
      <c r="C40" s="313"/>
      <c r="D40" s="313"/>
      <c r="E40" s="314"/>
      <c r="F40" s="320"/>
      <c r="G40" s="144"/>
      <c r="H40" s="144"/>
      <c r="I40" s="356" t="str">
        <f>Translations!$B$221</f>
        <v>Unit</v>
      </c>
      <c r="J40" s="357" t="str">
        <f>Translations!$B$314</f>
        <v>Heat production</v>
      </c>
      <c r="K40" s="357" t="str">
        <f>Translations!$B$315</f>
        <v>Electricity production</v>
      </c>
      <c r="L40" s="144"/>
      <c r="M40" s="144"/>
      <c r="N40" s="144"/>
      <c r="O40" s="428"/>
    </row>
    <row r="41" spans="2:15" ht="12.75" customHeight="1" x14ac:dyDescent="0.35">
      <c r="B41" s="94"/>
      <c r="C41" s="313"/>
      <c r="D41" s="313"/>
      <c r="E41" s="170" t="str">
        <f>Translations!$B$318</f>
        <v>Reference efficiencies</v>
      </c>
      <c r="F41" s="361"/>
      <c r="G41" s="361"/>
      <c r="H41" s="361"/>
      <c r="I41" s="237" t="s">
        <v>206</v>
      </c>
      <c r="J41" s="363">
        <v>0.88</v>
      </c>
      <c r="K41" s="363">
        <v>0.442</v>
      </c>
      <c r="L41" s="144"/>
      <c r="M41" s="144"/>
      <c r="N41" s="144"/>
      <c r="O41" s="428"/>
    </row>
    <row r="42" spans="2:15" ht="5.15" customHeight="1" x14ac:dyDescent="0.35">
      <c r="B42" s="94"/>
      <c r="C42" s="313"/>
      <c r="D42" s="313"/>
      <c r="E42" s="313"/>
      <c r="F42" s="313"/>
      <c r="G42" s="313"/>
      <c r="H42" s="313"/>
      <c r="I42" s="144"/>
      <c r="J42" s="144"/>
      <c r="K42" s="144"/>
      <c r="L42" s="144"/>
      <c r="M42" s="144"/>
      <c r="N42" s="144"/>
      <c r="O42" s="428"/>
    </row>
    <row r="43" spans="2:15" ht="12.75" customHeight="1" x14ac:dyDescent="0.3">
      <c r="B43" s="94"/>
      <c r="C43" s="948"/>
      <c r="D43" s="953" t="s">
        <v>412</v>
      </c>
      <c r="E43" s="1234" t="str">
        <f>Translations!$B$1976</f>
        <v>Emissions attributable to heat and electricity production from CHP</v>
      </c>
      <c r="F43" s="1368"/>
      <c r="G43" s="1368"/>
      <c r="H43" s="1368"/>
      <c r="I43" s="1368"/>
      <c r="J43" s="1368"/>
      <c r="K43" s="1368"/>
      <c r="L43" s="1368"/>
      <c r="M43" s="1368"/>
      <c r="N43" s="1368"/>
      <c r="O43" s="428"/>
    </row>
    <row r="44" spans="2:15" ht="25.9" customHeight="1" x14ac:dyDescent="0.3">
      <c r="B44" s="94"/>
      <c r="C44" s="948"/>
      <c r="D44" s="955"/>
      <c r="E44" s="1237" t="str">
        <f>Translations!$B$323</f>
        <v>This is the final result of this tool. The values displayed here should be entered in sheets D or E for the attributable emissions for the appropriate production process or precursor.</v>
      </c>
      <c r="F44" s="1347"/>
      <c r="G44" s="1347"/>
      <c r="H44" s="1347"/>
      <c r="I44" s="1347"/>
      <c r="J44" s="1347"/>
      <c r="K44" s="1347"/>
      <c r="L44" s="1347"/>
      <c r="M44" s="1347"/>
      <c r="N44" s="1347"/>
      <c r="O44" s="428"/>
    </row>
    <row r="45" spans="2:15" ht="13.15" customHeight="1" x14ac:dyDescent="0.3">
      <c r="B45" s="94"/>
      <c r="C45" s="948"/>
      <c r="D45" s="955"/>
      <c r="E45" s="1237" t="str">
        <f>Translations!$B$324</f>
        <v>For example, this may include attributable emissions to be taken into account for the total direct emissions, or use of the emission factor for any measurable heat imported.</v>
      </c>
      <c r="F45" s="1347"/>
      <c r="G45" s="1347"/>
      <c r="H45" s="1347"/>
      <c r="I45" s="1347"/>
      <c r="J45" s="1347"/>
      <c r="K45" s="1347"/>
      <c r="L45" s="1347"/>
      <c r="M45" s="1347"/>
      <c r="N45" s="1347"/>
      <c r="O45" s="428"/>
    </row>
    <row r="46" spans="2:15" ht="12.75" customHeight="1" x14ac:dyDescent="0.3">
      <c r="B46" s="94"/>
      <c r="C46" s="948"/>
      <c r="D46" s="955"/>
      <c r="E46" s="1237" t="str">
        <f>Translations!$B$1977</f>
        <v>Calculation results can only be considered correct if complete and consistent data have been reported in sections above.</v>
      </c>
      <c r="F46" s="1347"/>
      <c r="G46" s="1347"/>
      <c r="H46" s="1347"/>
      <c r="I46" s="1347"/>
      <c r="J46" s="1347"/>
      <c r="K46" s="1347"/>
      <c r="L46" s="1347"/>
      <c r="M46" s="1347"/>
      <c r="N46" s="1347"/>
      <c r="O46" s="428"/>
    </row>
    <row r="47" spans="2:15" ht="38.9" customHeight="1" x14ac:dyDescent="0.3">
      <c r="B47" s="94"/>
      <c r="C47" s="313"/>
      <c r="D47" s="313"/>
      <c r="E47" s="144"/>
      <c r="F47" s="144"/>
      <c r="G47" s="144"/>
      <c r="H47" s="144"/>
      <c r="I47" s="359" t="str">
        <f>Translations!$B$297</f>
        <v>Parameter</v>
      </c>
      <c r="J47" s="357" t="str">
        <f>Translations!$B$326</f>
        <v>Emissions attributable to heat output</v>
      </c>
      <c r="K47" s="357" t="str">
        <f>Translations!$B$327</f>
        <v>Emission factor, heat</v>
      </c>
      <c r="L47" s="357" t="str">
        <f>Translations!$B$328</f>
        <v>Emissions attributable to electricity</v>
      </c>
      <c r="M47" s="357" t="str">
        <f>Translations!$B$329</f>
        <v>Emission factor, electricity</v>
      </c>
      <c r="N47" s="144"/>
      <c r="O47" s="428"/>
    </row>
    <row r="48" spans="2:15" ht="12.75" customHeight="1" x14ac:dyDescent="0.3">
      <c r="B48" s="94"/>
      <c r="C48" s="313"/>
      <c r="D48" s="313"/>
      <c r="E48" s="314"/>
      <c r="F48" s="320"/>
      <c r="G48" s="144"/>
      <c r="H48" s="144"/>
      <c r="I48" s="360" t="str">
        <f>Translations!$B$221</f>
        <v>Unit</v>
      </c>
      <c r="J48" s="355" t="str">
        <f>CONST_tCO2</f>
        <v>tCO2</v>
      </c>
      <c r="K48" s="355" t="str">
        <f>CONST_tCO2pTJ</f>
        <v>tCO2/TJ</v>
      </c>
      <c r="L48" s="355" t="str">
        <f>CONST_tCO2</f>
        <v>tCO2</v>
      </c>
      <c r="M48" s="355" t="str">
        <f>CONST_tCO2pTJ</f>
        <v>tCO2/TJ</v>
      </c>
      <c r="N48" s="144"/>
      <c r="O48" s="428"/>
    </row>
    <row r="49" spans="1:24" ht="12.75" customHeight="1" x14ac:dyDescent="0.35">
      <c r="B49" s="94"/>
      <c r="C49" s="313"/>
      <c r="D49" s="313"/>
      <c r="E49" s="170" t="str">
        <f>Translations!$B$330</f>
        <v>Attributable emissions</v>
      </c>
      <c r="F49" s="361"/>
      <c r="G49" s="361"/>
      <c r="H49" s="361"/>
      <c r="I49" s="383" t="str">
        <f>Translations!$B$260</f>
        <v>Value</v>
      </c>
      <c r="J49" s="318" t="str">
        <f>IF(AND(ISNUMBER(J34),ISNUMBER(K34),ISNUMBER(J41),ISNUMBER(K41)),IFERROR(J34/J41/(J34/J41+K34/K41),0)*SUM(L26),"")</f>
        <v/>
      </c>
      <c r="K49" s="318" t="str">
        <f>IF(AND(ISNUMBER(K21),ISNUMBER(J49)),IFERROR(J49/K21,""),"")</f>
        <v/>
      </c>
      <c r="L49" s="318" t="str">
        <f>IF(AND(ISNUMBER(J34),ISNUMBER(K34),ISNUMBER(J41),ISNUMBER(K41)),IFERROR(K34/K41/(J34/J41+K34/K41),0)*SUM(L26),"")</f>
        <v/>
      </c>
      <c r="M49" s="318" t="str">
        <f>IF(AND(ISNUMBER(M21),ISNUMBER(L49)),IFERROR(L49/M21,""),"")</f>
        <v/>
      </c>
      <c r="N49" s="144"/>
      <c r="O49" s="428"/>
    </row>
    <row r="50" spans="1:24" ht="5.15" customHeight="1" x14ac:dyDescent="0.35">
      <c r="B50" s="94"/>
      <c r="C50" s="313"/>
      <c r="D50" s="313"/>
      <c r="E50" s="313"/>
      <c r="F50" s="313"/>
      <c r="G50" s="313"/>
      <c r="H50" s="313"/>
      <c r="I50" s="144"/>
      <c r="J50" s="144"/>
      <c r="K50" s="144"/>
      <c r="L50" s="144"/>
      <c r="M50" s="144"/>
      <c r="N50" s="144"/>
      <c r="O50" s="428"/>
    </row>
    <row r="51" spans="1:24" ht="12.75" customHeight="1" x14ac:dyDescent="0.3">
      <c r="B51" s="94"/>
      <c r="C51" s="948"/>
      <c r="D51" s="953" t="s">
        <v>413</v>
      </c>
      <c r="E51" s="1234" t="str">
        <f>Translations!$B$331</f>
        <v>Fuel input attributable to heat and electricity production</v>
      </c>
      <c r="F51" s="1368"/>
      <c r="G51" s="1368"/>
      <c r="H51" s="1368"/>
      <c r="I51" s="1368"/>
      <c r="J51" s="1368"/>
      <c r="K51" s="1368"/>
      <c r="L51" s="1368"/>
      <c r="M51" s="1368"/>
      <c r="N51" s="1368"/>
      <c r="O51" s="428"/>
    </row>
    <row r="52" spans="1:24" ht="12.75" customHeight="1" x14ac:dyDescent="0.3">
      <c r="B52" s="94"/>
      <c r="C52" s="948"/>
      <c r="D52" s="955"/>
      <c r="E52" s="1237" t="str">
        <f>Translations!$B$332</f>
        <v>This is the final result of this tool. The values displayed here should be used in section C.1.</v>
      </c>
      <c r="F52" s="1347"/>
      <c r="G52" s="1347"/>
      <c r="H52" s="1347"/>
      <c r="I52" s="1347"/>
      <c r="J52" s="1347"/>
      <c r="K52" s="1347"/>
      <c r="L52" s="1347"/>
      <c r="M52" s="1347"/>
      <c r="N52" s="1347"/>
      <c r="O52" s="428"/>
    </row>
    <row r="53" spans="1:24" ht="38.9" customHeight="1" x14ac:dyDescent="0.3">
      <c r="B53" s="94"/>
      <c r="C53" s="313"/>
      <c r="D53" s="313"/>
      <c r="E53" s="314"/>
      <c r="F53" s="320"/>
      <c r="G53" s="144"/>
      <c r="H53" s="144"/>
      <c r="I53" s="356" t="str">
        <f>Translations!$B$221</f>
        <v>Unit</v>
      </c>
      <c r="J53" s="357" t="str">
        <f>Translations!$B$333</f>
        <v>Fuel input for heat</v>
      </c>
      <c r="K53" s="357" t="str">
        <f>Translations!$B$334</f>
        <v>Fuel input for electricity</v>
      </c>
      <c r="L53" s="144"/>
      <c r="M53" s="144"/>
      <c r="N53" s="144"/>
      <c r="O53" s="428"/>
    </row>
    <row r="54" spans="1:24" ht="12.75" customHeight="1" x14ac:dyDescent="0.35">
      <c r="B54" s="94"/>
      <c r="C54" s="313"/>
      <c r="D54" s="313"/>
      <c r="E54" s="170" t="str">
        <f>Translations!$B$335</f>
        <v>Attributable fuel input</v>
      </c>
      <c r="F54" s="361"/>
      <c r="G54" s="361"/>
      <c r="H54" s="361"/>
      <c r="I54" s="237" t="str">
        <f>CONST_TJ</f>
        <v>TJ</v>
      </c>
      <c r="J54" s="318" t="str">
        <f>IF(ISNUMBER(J49),IFERROR(J34/J41/(J34/J41+K34/K41)*SUM(J21),0),"")</f>
        <v/>
      </c>
      <c r="K54" s="318" t="str">
        <f>IF(ISNUMBER(J54),SUM(J21)-SUM(J54),"")</f>
        <v/>
      </c>
      <c r="L54" s="144"/>
      <c r="M54" s="144"/>
      <c r="N54" s="144"/>
      <c r="O54" s="428"/>
    </row>
    <row r="55" spans="1:24" ht="12.75" customHeight="1" x14ac:dyDescent="0.25">
      <c r="B55" s="94"/>
      <c r="C55" s="144"/>
      <c r="D55" s="914"/>
      <c r="E55" s="915"/>
      <c r="F55" s="915"/>
      <c r="G55" s="915"/>
      <c r="H55" s="915"/>
      <c r="I55" s="915"/>
      <c r="J55" s="915"/>
      <c r="K55" s="915"/>
      <c r="L55" s="915"/>
      <c r="M55" s="915"/>
      <c r="N55" s="144"/>
      <c r="O55" s="428"/>
      <c r="S55" s="110"/>
    </row>
    <row r="56" spans="1:24" ht="5.15" customHeight="1" x14ac:dyDescent="0.3">
      <c r="B56" s="94"/>
      <c r="C56" s="948"/>
      <c r="D56" s="948"/>
      <c r="E56" s="948"/>
      <c r="F56" s="948"/>
      <c r="G56" s="948"/>
      <c r="H56" s="948"/>
      <c r="I56" s="948"/>
      <c r="J56" s="948"/>
      <c r="K56" s="948"/>
      <c r="L56" s="948"/>
      <c r="M56" s="949"/>
      <c r="N56" s="949"/>
      <c r="O56" s="428"/>
    </row>
    <row r="57" spans="1:24" ht="12.75" customHeight="1" x14ac:dyDescent="0.35">
      <c r="B57" s="94"/>
      <c r="C57" s="952">
        <v>2</v>
      </c>
      <c r="D57" s="1345" t="str">
        <f>Translations!$B$294</f>
        <v>Tool to calculate the emissions attributable to heat production in combined heat and power units (CHP)</v>
      </c>
      <c r="E57" s="1346"/>
      <c r="F57" s="1346"/>
      <c r="G57" s="1346"/>
      <c r="H57" s="1346"/>
      <c r="I57" s="1346"/>
      <c r="J57" s="1346"/>
      <c r="K57" s="1346"/>
      <c r="L57" s="1346"/>
      <c r="M57" s="1346"/>
      <c r="N57" s="1346"/>
      <c r="O57" s="428"/>
    </row>
    <row r="58" spans="1:24" ht="5.15" customHeight="1" x14ac:dyDescent="0.3">
      <c r="B58" s="94"/>
      <c r="C58" s="948"/>
      <c r="D58" s="948"/>
      <c r="E58" s="948"/>
      <c r="F58" s="948"/>
      <c r="G58" s="948"/>
      <c r="H58" s="948"/>
      <c r="I58" s="948"/>
      <c r="J58" s="948"/>
      <c r="K58" s="948"/>
      <c r="L58" s="948"/>
      <c r="M58" s="949"/>
      <c r="N58" s="949"/>
      <c r="O58" s="428"/>
    </row>
    <row r="59" spans="1:24" s="244" customFormat="1" ht="38.9" customHeight="1" x14ac:dyDescent="0.3">
      <c r="A59" s="126"/>
      <c r="B59" s="358"/>
      <c r="C59" s="948"/>
      <c r="D59" s="949"/>
      <c r="E59" s="954"/>
      <c r="F59" s="954"/>
      <c r="G59" s="954"/>
      <c r="H59" s="954"/>
      <c r="I59" s="359" t="str">
        <f>Translations!$B$297</f>
        <v>Parameter</v>
      </c>
      <c r="J59" s="357" t="str">
        <f>Translations!$B$298</f>
        <v>Fuel input into CHP</v>
      </c>
      <c r="K59" s="357" t="str">
        <f>Translations!$B$299</f>
        <v>Heat output from CHP</v>
      </c>
      <c r="L59" s="357" t="str">
        <f>Translations!$B$300</f>
        <v>Electricity output from CHP</v>
      </c>
      <c r="M59" s="357" t="str">
        <f>Translations!$B$300</f>
        <v>Electricity output from CHP</v>
      </c>
      <c r="N59" s="144"/>
      <c r="O59" s="430"/>
      <c r="P59" s="358"/>
      <c r="R59" s="126"/>
      <c r="S59" s="126"/>
      <c r="T59" s="126"/>
      <c r="U59" s="126"/>
      <c r="V59" s="126"/>
      <c r="W59" s="126"/>
      <c r="X59" s="126"/>
    </row>
    <row r="60" spans="1:24" ht="12.75" customHeight="1" x14ac:dyDescent="0.3">
      <c r="B60" s="94"/>
      <c r="C60" s="313"/>
      <c r="D60" s="953" t="s">
        <v>4</v>
      </c>
      <c r="E60" s="956" t="str">
        <f>Translations!$B$295</f>
        <v>Total amount of fuel input into CHP units</v>
      </c>
      <c r="F60" s="954"/>
      <c r="G60" s="144"/>
      <c r="H60" s="144"/>
      <c r="I60" s="360" t="str">
        <f>Translations!$B$221</f>
        <v>Unit</v>
      </c>
      <c r="J60" s="355" t="str">
        <f>CONST_TJ</f>
        <v>TJ</v>
      </c>
      <c r="K60" s="355" t="str">
        <f>CONST_TJ</f>
        <v>TJ</v>
      </c>
      <c r="L60" s="355" t="str">
        <f>CONST_MWh</f>
        <v>MWh</v>
      </c>
      <c r="M60" s="355" t="str">
        <f>CONST_TJ</f>
        <v>TJ</v>
      </c>
      <c r="N60" s="144"/>
      <c r="O60" s="428"/>
    </row>
    <row r="61" spans="1:24" ht="12.75" customHeight="1" x14ac:dyDescent="0.35">
      <c r="B61" s="94"/>
      <c r="C61" s="313"/>
      <c r="D61" s="313"/>
      <c r="E61" s="170" t="str">
        <f>Translations!$B$301</f>
        <v>Inputs and outputs</v>
      </c>
      <c r="F61" s="361"/>
      <c r="G61" s="361"/>
      <c r="H61" s="361"/>
      <c r="I61" s="383" t="str">
        <f>Translations!$B$260</f>
        <v>Value</v>
      </c>
      <c r="J61" s="362"/>
      <c r="K61" s="362"/>
      <c r="L61" s="362"/>
      <c r="M61" s="315" t="str">
        <f>IF(ISBLANK(L61),"",L61*3.6/1000)</f>
        <v/>
      </c>
      <c r="N61" s="144"/>
      <c r="O61" s="428"/>
    </row>
    <row r="62" spans="1:24" ht="5.15" customHeight="1" x14ac:dyDescent="0.35">
      <c r="B62" s="94"/>
      <c r="C62" s="313"/>
      <c r="D62" s="313"/>
      <c r="E62" s="313"/>
      <c r="F62" s="313"/>
      <c r="G62" s="313"/>
      <c r="H62" s="313"/>
      <c r="I62" s="144"/>
      <c r="J62" s="144"/>
      <c r="K62" s="144"/>
      <c r="L62" s="144"/>
      <c r="M62" s="144"/>
      <c r="N62" s="144"/>
      <c r="O62" s="428"/>
    </row>
    <row r="63" spans="1:24" ht="38.9" customHeight="1" x14ac:dyDescent="0.3">
      <c r="B63" s="94"/>
      <c r="C63" s="948"/>
      <c r="D63" s="957" t="s">
        <v>48</v>
      </c>
      <c r="E63" s="958" t="str">
        <f>Translations!$B$302</f>
        <v>Total emissions from CHP</v>
      </c>
      <c r="F63" s="320"/>
      <c r="G63" s="144"/>
      <c r="H63" s="144"/>
      <c r="I63" s="356" t="str">
        <f>Translations!$B$221</f>
        <v>Unit</v>
      </c>
      <c r="J63" s="357" t="str">
        <f>Translations!$B$304</f>
        <v>From fuel input to CHP</v>
      </c>
      <c r="K63" s="357" t="str">
        <f>Translations!$B$305</f>
        <v>From flue gas cleaning</v>
      </c>
      <c r="L63" s="357" t="str">
        <f>Translations!$B$239</f>
        <v>Total emissions</v>
      </c>
      <c r="M63" s="144"/>
      <c r="N63" s="144"/>
      <c r="O63" s="428"/>
    </row>
    <row r="64" spans="1:24" ht="12.75" customHeight="1" x14ac:dyDescent="0.35">
      <c r="B64" s="94"/>
      <c r="C64" s="313"/>
      <c r="D64" s="313"/>
      <c r="E64" s="170" t="str">
        <f>Translations!$B$306</f>
        <v>GHG emissions</v>
      </c>
      <c r="F64" s="361"/>
      <c r="G64" s="361"/>
      <c r="H64" s="361"/>
      <c r="I64" s="237" t="str">
        <f>CONST_tCO2</f>
        <v>tCO2</v>
      </c>
      <c r="J64" s="362"/>
      <c r="K64" s="362"/>
      <c r="L64" s="315" t="str">
        <f>IF(COUNT(J64:K64)&gt;0,SUM(J64:K64),"")</f>
        <v/>
      </c>
      <c r="M64" s="144"/>
      <c r="N64" s="144"/>
      <c r="O64" s="428"/>
    </row>
    <row r="65" spans="2:19" ht="5.15" customHeight="1" x14ac:dyDescent="0.35">
      <c r="B65" s="94"/>
      <c r="C65" s="313"/>
      <c r="D65" s="313"/>
      <c r="E65" s="313"/>
      <c r="F65" s="313"/>
      <c r="G65" s="313"/>
      <c r="H65" s="313"/>
      <c r="I65" s="313"/>
      <c r="J65" s="313"/>
      <c r="K65" s="313"/>
      <c r="L65" s="313"/>
      <c r="M65" s="313"/>
      <c r="N65" s="313"/>
      <c r="O65" s="428"/>
    </row>
    <row r="66" spans="2:19" ht="12.75" customHeight="1" x14ac:dyDescent="0.35">
      <c r="B66" s="94"/>
      <c r="C66" s="313"/>
      <c r="D66" s="953" t="s">
        <v>49</v>
      </c>
      <c r="E66" s="1371" t="str">
        <f>Translations!$B$308</f>
        <v>Default efficiencies:</v>
      </c>
      <c r="F66" s="1371"/>
      <c r="G66" s="1371"/>
      <c r="H66" s="1371"/>
      <c r="I66" s="1371"/>
      <c r="J66" s="316" t="str">
        <f>Translations!$B$309</f>
        <v>Heat:</v>
      </c>
      <c r="K66" s="317">
        <v>0.55000000000000004</v>
      </c>
      <c r="L66" s="316" t="str">
        <f>Translations!$B$310</f>
        <v>Electricity:</v>
      </c>
      <c r="M66" s="317">
        <v>0.25</v>
      </c>
      <c r="N66" s="144"/>
      <c r="O66" s="428"/>
    </row>
    <row r="67" spans="2:19" ht="5.15" customHeight="1" x14ac:dyDescent="0.35">
      <c r="B67" s="94"/>
      <c r="C67" s="313"/>
      <c r="D67" s="313"/>
      <c r="E67" s="313"/>
      <c r="F67" s="313"/>
      <c r="G67" s="313"/>
      <c r="H67" s="313"/>
      <c r="I67" s="144"/>
      <c r="J67" s="144"/>
      <c r="K67" s="144"/>
      <c r="L67" s="144"/>
      <c r="M67" s="144"/>
      <c r="N67" s="144"/>
      <c r="O67" s="428"/>
    </row>
    <row r="68" spans="2:19" ht="38.9" customHeight="1" x14ac:dyDescent="0.3">
      <c r="B68" s="94"/>
      <c r="C68" s="313"/>
      <c r="D68" s="957" t="s">
        <v>377</v>
      </c>
      <c r="E68" s="958" t="str">
        <f>Translations!$B$311</f>
        <v>Efficiencies for heat and electricity</v>
      </c>
      <c r="F68" s="320"/>
      <c r="G68" s="144"/>
      <c r="H68" s="144"/>
      <c r="I68" s="356" t="str">
        <f>Translations!$B$221</f>
        <v>Unit</v>
      </c>
      <c r="J68" s="357" t="str">
        <f>Translations!$B$314</f>
        <v>Heat production</v>
      </c>
      <c r="K68" s="357" t="str">
        <f>Translations!$B$315</f>
        <v>Electricity production</v>
      </c>
      <c r="L68" s="357" t="str">
        <f>Translations!$B$316</f>
        <v>Total</v>
      </c>
      <c r="M68" s="144"/>
      <c r="N68" s="144"/>
      <c r="O68" s="428"/>
    </row>
    <row r="69" spans="2:19" ht="12.75" customHeight="1" x14ac:dyDescent="0.35">
      <c r="B69" s="94"/>
      <c r="C69" s="313"/>
      <c r="D69" s="313"/>
      <c r="E69" s="170" t="str">
        <f>Translations!$B$317</f>
        <v>Efficiencies</v>
      </c>
      <c r="F69" s="361"/>
      <c r="G69" s="361"/>
      <c r="H69" s="361"/>
      <c r="I69" s="237" t="s">
        <v>206</v>
      </c>
      <c r="J69" s="365" t="str">
        <f>IF(AND(ISNUMBER(J61),ISNUMBER(K61)),IF(J61=0,0,K61/J61),IF(ISNUMBER(L64),$K66,""))</f>
        <v/>
      </c>
      <c r="K69" s="365" t="str">
        <f>IF(AND(ISNUMBER(J61),ISNUMBER(M61)),IF(J61=0,0,M61/J61),IF(ISNUMBER(L64),$M66,""))</f>
        <v/>
      </c>
      <c r="L69" s="365" t="str">
        <f>IF(COUNT(J69:K69)&gt;0,SUM(J69:K69),"")</f>
        <v/>
      </c>
      <c r="M69" s="144"/>
      <c r="N69" s="144"/>
      <c r="O69" s="428"/>
    </row>
    <row r="70" spans="2:19" ht="5.15" customHeight="1" x14ac:dyDescent="0.35">
      <c r="B70" s="94"/>
      <c r="C70" s="313"/>
      <c r="D70" s="313"/>
      <c r="E70" s="313"/>
      <c r="F70" s="313"/>
      <c r="G70" s="313"/>
      <c r="H70" s="313"/>
      <c r="I70" s="144"/>
      <c r="J70" s="144"/>
      <c r="K70" s="144"/>
      <c r="L70" s="144"/>
      <c r="M70" s="144"/>
      <c r="N70" s="144"/>
      <c r="O70" s="428"/>
    </row>
    <row r="71" spans="2:19" ht="38.9" customHeight="1" x14ac:dyDescent="0.3">
      <c r="B71" s="94"/>
      <c r="C71" s="313"/>
      <c r="D71" s="957" t="s">
        <v>411</v>
      </c>
      <c r="E71" s="958" t="str">
        <f>Translations!$B$318</f>
        <v>Reference efficiencies</v>
      </c>
      <c r="F71" s="320"/>
      <c r="G71" s="144"/>
      <c r="H71" s="144"/>
      <c r="I71" s="356" t="str">
        <f>Translations!$B$221</f>
        <v>Unit</v>
      </c>
      <c r="J71" s="357" t="str">
        <f>Translations!$B$314</f>
        <v>Heat production</v>
      </c>
      <c r="K71" s="357" t="str">
        <f>Translations!$B$315</f>
        <v>Electricity production</v>
      </c>
      <c r="L71" s="144"/>
      <c r="M71" s="144"/>
      <c r="N71" s="144"/>
      <c r="O71" s="428"/>
    </row>
    <row r="72" spans="2:19" ht="12.75" customHeight="1" x14ac:dyDescent="0.35">
      <c r="B72" s="94"/>
      <c r="C72" s="313"/>
      <c r="D72" s="313"/>
      <c r="E72" s="170" t="str">
        <f>Translations!$B$318</f>
        <v>Reference efficiencies</v>
      </c>
      <c r="F72" s="361"/>
      <c r="G72" s="361"/>
      <c r="H72" s="361"/>
      <c r="I72" s="237" t="s">
        <v>206</v>
      </c>
      <c r="J72" s="363">
        <v>0.88</v>
      </c>
      <c r="K72" s="363">
        <v>0.442</v>
      </c>
      <c r="L72" s="144"/>
      <c r="M72" s="144"/>
      <c r="N72" s="144"/>
      <c r="O72" s="428"/>
    </row>
    <row r="73" spans="2:19" ht="5.15" customHeight="1" x14ac:dyDescent="0.35">
      <c r="B73" s="94"/>
      <c r="C73" s="313"/>
      <c r="D73" s="313"/>
      <c r="E73" s="313"/>
      <c r="F73" s="313"/>
      <c r="G73" s="313"/>
      <c r="H73" s="313"/>
      <c r="I73" s="144"/>
      <c r="J73" s="144"/>
      <c r="K73" s="144"/>
      <c r="L73" s="144"/>
      <c r="M73" s="144"/>
      <c r="N73" s="144"/>
      <c r="O73" s="428"/>
    </row>
    <row r="74" spans="2:19" ht="38.9" customHeight="1" x14ac:dyDescent="0.3">
      <c r="B74" s="94"/>
      <c r="C74" s="313"/>
      <c r="D74" s="313"/>
      <c r="E74" s="144"/>
      <c r="F74" s="144"/>
      <c r="G74" s="144"/>
      <c r="H74" s="144"/>
      <c r="I74" s="359" t="str">
        <f>Translations!$B$297</f>
        <v>Parameter</v>
      </c>
      <c r="J74" s="357" t="str">
        <f>Translations!$B$326</f>
        <v>Emissions attributable to heat output</v>
      </c>
      <c r="K74" s="357" t="str">
        <f>Translations!$B$327</f>
        <v>Emission factor, heat</v>
      </c>
      <c r="L74" s="357" t="str">
        <f>Translations!$B$328</f>
        <v>Emissions attributable to electricity</v>
      </c>
      <c r="M74" s="357" t="str">
        <f>Translations!$B$329</f>
        <v>Emission factor, electricity</v>
      </c>
      <c r="N74" s="144"/>
      <c r="O74" s="428"/>
    </row>
    <row r="75" spans="2:19" ht="12.75" customHeight="1" x14ac:dyDescent="0.3">
      <c r="B75" s="94"/>
      <c r="C75" s="313"/>
      <c r="D75" s="959" t="s">
        <v>412</v>
      </c>
      <c r="E75" s="71" t="str">
        <f>Translations!$B$1976</f>
        <v>Emissions attributable to heat and electricity production from CHP</v>
      </c>
      <c r="F75" s="320"/>
      <c r="G75" s="144"/>
      <c r="H75" s="144"/>
      <c r="I75" s="360" t="str">
        <f>Translations!$B$221</f>
        <v>Unit</v>
      </c>
      <c r="J75" s="355" t="str">
        <f>CONST_tCO2</f>
        <v>tCO2</v>
      </c>
      <c r="K75" s="355" t="str">
        <f>CONST_tCO2pTJ</f>
        <v>tCO2/TJ</v>
      </c>
      <c r="L75" s="355" t="str">
        <f>CONST_tCO2</f>
        <v>tCO2</v>
      </c>
      <c r="M75" s="355" t="str">
        <f>CONST_tCO2pTJ</f>
        <v>tCO2/TJ</v>
      </c>
      <c r="N75" s="144"/>
      <c r="O75" s="428"/>
    </row>
    <row r="76" spans="2:19" ht="12.75" customHeight="1" x14ac:dyDescent="0.35">
      <c r="B76" s="94"/>
      <c r="C76" s="313"/>
      <c r="D76" s="313"/>
      <c r="E76" s="170" t="str">
        <f>Translations!$B$330</f>
        <v>Attributable emissions</v>
      </c>
      <c r="F76" s="361"/>
      <c r="G76" s="361"/>
      <c r="H76" s="361"/>
      <c r="I76" s="383" t="str">
        <f>Translations!$B$260</f>
        <v>Value</v>
      </c>
      <c r="J76" s="318" t="str">
        <f>IF(AND(ISNUMBER(J69),ISNUMBER(K69),ISNUMBER(J72),ISNUMBER(K72)),IFERROR(J69/J72/(J69/J72+K69/K72),0)*SUM(L64),"")</f>
        <v/>
      </c>
      <c r="K76" s="318" t="str">
        <f>IF(AND(ISNUMBER(K61),ISNUMBER(J76)),IFERROR(J76/K61,""),"")</f>
        <v/>
      </c>
      <c r="L76" s="318" t="str">
        <f>IF(AND(ISNUMBER(J69),ISNUMBER(K69),ISNUMBER(J72),ISNUMBER(K72)),IFERROR(K69/K72/(J69/J72+K69/K72),0)*SUM(L64),"")</f>
        <v/>
      </c>
      <c r="M76" s="318" t="str">
        <f>IF(AND(ISNUMBER(M61),ISNUMBER(L76)),IFERROR(L76/M61,""),"")</f>
        <v/>
      </c>
      <c r="N76" s="144"/>
      <c r="O76" s="428"/>
    </row>
    <row r="77" spans="2:19" ht="5.15" customHeight="1" x14ac:dyDescent="0.35">
      <c r="B77" s="94"/>
      <c r="C77" s="313"/>
      <c r="D77" s="313"/>
      <c r="E77" s="313"/>
      <c r="F77" s="313"/>
      <c r="G77" s="313"/>
      <c r="H77" s="313"/>
      <c r="I77" s="144"/>
      <c r="J77" s="144"/>
      <c r="K77" s="144"/>
      <c r="L77" s="144"/>
      <c r="M77" s="144"/>
      <c r="N77" s="144"/>
      <c r="O77" s="428"/>
    </row>
    <row r="78" spans="2:19" ht="38.9" customHeight="1" x14ac:dyDescent="0.3">
      <c r="B78" s="94"/>
      <c r="C78" s="313"/>
      <c r="D78" s="957" t="s">
        <v>413</v>
      </c>
      <c r="E78" s="958" t="str">
        <f>Translations!$B$331</f>
        <v>Fuel input attributable to heat and electricity production</v>
      </c>
      <c r="F78" s="320"/>
      <c r="G78" s="144"/>
      <c r="H78" s="144"/>
      <c r="I78" s="356" t="str">
        <f>Translations!$B$221</f>
        <v>Unit</v>
      </c>
      <c r="J78" s="357" t="str">
        <f>Translations!$B$333</f>
        <v>Fuel input for heat</v>
      </c>
      <c r="K78" s="357" t="str">
        <f>Translations!$B$334</f>
        <v>Fuel input for electricity</v>
      </c>
      <c r="L78" s="144"/>
      <c r="M78" s="144"/>
      <c r="N78" s="144"/>
      <c r="O78" s="428"/>
    </row>
    <row r="79" spans="2:19" ht="12.75" customHeight="1" x14ac:dyDescent="0.35">
      <c r="B79" s="94"/>
      <c r="C79" s="313"/>
      <c r="D79" s="313"/>
      <c r="E79" s="170" t="str">
        <f>Translations!$B$335</f>
        <v>Attributable fuel input</v>
      </c>
      <c r="F79" s="361"/>
      <c r="G79" s="361"/>
      <c r="H79" s="361"/>
      <c r="I79" s="237" t="str">
        <f>CONST_TJ</f>
        <v>TJ</v>
      </c>
      <c r="J79" s="318" t="str">
        <f>IF(ISNUMBER(J76),IFERROR(J69/J72/(J69/J72+K69/K72)*SUM(J61),0),"")</f>
        <v/>
      </c>
      <c r="K79" s="318" t="str">
        <f>IF(ISNUMBER(J79),SUM(J61)-SUM(J79),"")</f>
        <v/>
      </c>
      <c r="L79" s="144"/>
      <c r="M79" s="144"/>
      <c r="N79" s="144"/>
      <c r="O79" s="428"/>
    </row>
    <row r="80" spans="2:19" ht="12.75" customHeight="1" x14ac:dyDescent="0.25">
      <c r="B80" s="94"/>
      <c r="C80" s="144"/>
      <c r="D80" s="914"/>
      <c r="E80" s="915"/>
      <c r="F80" s="915"/>
      <c r="G80" s="915"/>
      <c r="H80" s="915"/>
      <c r="I80" s="915"/>
      <c r="J80" s="915"/>
      <c r="K80" s="915"/>
      <c r="L80" s="915"/>
      <c r="M80" s="915"/>
      <c r="N80" s="144"/>
      <c r="O80" s="428"/>
      <c r="S80" s="110"/>
    </row>
    <row r="81" spans="1:19" ht="18" customHeight="1" x14ac:dyDescent="0.35">
      <c r="A81" s="892">
        <f>C81</f>
        <v>2</v>
      </c>
      <c r="B81" s="94"/>
      <c r="C81" s="319">
        <v>2</v>
      </c>
      <c r="D81" s="909" t="str">
        <f>Translations!$B$336</f>
        <v>Tool to calculate the carbon price due</v>
      </c>
      <c r="E81" s="909"/>
      <c r="F81" s="910"/>
      <c r="G81" s="910"/>
      <c r="H81" s="910"/>
      <c r="I81" s="910"/>
      <c r="J81" s="910"/>
      <c r="K81" s="910"/>
      <c r="L81" s="910"/>
      <c r="M81" s="910"/>
      <c r="N81" s="910"/>
      <c r="O81" s="428"/>
      <c r="R81" s="102" t="s">
        <v>3022</v>
      </c>
      <c r="S81" s="105">
        <f>C81</f>
        <v>2</v>
      </c>
    </row>
    <row r="82" spans="1:19" ht="5.15" customHeight="1" x14ac:dyDescent="0.3">
      <c r="B82" s="94"/>
      <c r="C82" s="948"/>
      <c r="D82" s="948"/>
      <c r="E82" s="948"/>
      <c r="F82" s="948"/>
      <c r="G82" s="948"/>
      <c r="H82" s="948"/>
      <c r="I82" s="948"/>
      <c r="J82" s="948"/>
      <c r="K82" s="948"/>
      <c r="L82" s="948"/>
      <c r="M82" s="949"/>
      <c r="N82" s="949"/>
      <c r="O82" s="428"/>
    </row>
    <row r="83" spans="1:19" ht="5.15" customHeight="1" x14ac:dyDescent="0.3">
      <c r="B83" s="94"/>
      <c r="C83" s="948"/>
      <c r="D83" s="950"/>
      <c r="E83" s="1350"/>
      <c r="F83" s="1351"/>
      <c r="G83" s="1351"/>
      <c r="H83" s="1351"/>
      <c r="I83" s="1351"/>
      <c r="J83" s="1351"/>
      <c r="K83" s="1351"/>
      <c r="L83" s="1351"/>
      <c r="M83" s="1351"/>
      <c r="N83" s="1351"/>
      <c r="O83" s="428"/>
    </row>
    <row r="84" spans="1:19" ht="25.5" customHeight="1" x14ac:dyDescent="0.3">
      <c r="B84" s="94"/>
      <c r="C84" s="948"/>
      <c r="D84" s="950"/>
      <c r="E84" s="1369" t="str">
        <f>Translations!$B$338</f>
        <v>This tool aims to help you with the calculation of the carbon price due. Similar to the calculation of the specific embedded emissions in sheets D + E, please only enter the carbon price due and any rebate received in respect of the system boundaries of the production process.</v>
      </c>
      <c r="F84" s="1369"/>
      <c r="G84" s="1369"/>
      <c r="H84" s="1369"/>
      <c r="I84" s="1369"/>
      <c r="J84" s="1369"/>
      <c r="K84" s="1369"/>
      <c r="L84" s="1369"/>
      <c r="M84" s="1369"/>
      <c r="N84" s="1369"/>
      <c r="O84" s="428"/>
    </row>
    <row r="85" spans="1:19" ht="25.9" customHeight="1" x14ac:dyDescent="0.3">
      <c r="B85" s="94"/>
      <c r="C85" s="948"/>
      <c r="D85" s="950"/>
      <c r="E85" s="1370" t="str">
        <f>Translations!$B$1978</f>
        <v>The results obtained here in columns L and M have to be manually entered into the respective fields in sheet "Summary_Products", columns AR and AX, respectively.</v>
      </c>
      <c r="F85" s="1370"/>
      <c r="G85" s="1370"/>
      <c r="H85" s="1370"/>
      <c r="I85" s="1370"/>
      <c r="J85" s="1370"/>
      <c r="K85" s="1370"/>
      <c r="L85" s="1370"/>
      <c r="M85" s="1370"/>
      <c r="N85" s="1370"/>
      <c r="O85" s="428"/>
    </row>
    <row r="86" spans="1:19" ht="12.75" customHeight="1" x14ac:dyDescent="0.3">
      <c r="B86" s="94"/>
      <c r="C86" s="948"/>
      <c r="D86" s="950"/>
      <c r="E86" s="1349" t="str">
        <f>Translations!$B$340</f>
        <v>The following conditions apply:</v>
      </c>
      <c r="F86" s="1172"/>
      <c r="G86" s="1172"/>
      <c r="H86" s="1172"/>
      <c r="I86" s="1172"/>
      <c r="J86" s="1172"/>
      <c r="K86" s="1172"/>
      <c r="L86" s="1172"/>
      <c r="M86" s="1172"/>
      <c r="N86" s="1172"/>
      <c r="O86" s="428"/>
    </row>
    <row r="87" spans="1:19" ht="12.75" customHeight="1" x14ac:dyDescent="0.3">
      <c r="B87" s="94"/>
      <c r="C87" s="948"/>
      <c r="D87" s="950"/>
      <c r="E87" s="960"/>
      <c r="F87" s="1348" t="str">
        <f>Translations!$B$341</f>
        <v>- the carbon price used for each production process has to be converted into one common currency.</v>
      </c>
      <c r="G87" s="1348"/>
      <c r="H87" s="1348"/>
      <c r="I87" s="1348"/>
      <c r="J87" s="1348"/>
      <c r="K87" s="1348"/>
      <c r="L87" s="1348"/>
      <c r="M87" s="1348"/>
      <c r="N87" s="1348"/>
      <c r="O87" s="428"/>
    </row>
    <row r="88" spans="1:19" ht="12.75" customHeight="1" x14ac:dyDescent="0.3">
      <c r="B88" s="94"/>
      <c r="C88" s="948"/>
      <c r="D88" s="950"/>
      <c r="E88" s="960"/>
      <c r="F88" s="1348" t="str">
        <f>Translations!$B$342</f>
        <v>- the system boundaries of carbon pricing have to be consistent with the boundaries of the production process and precursors.</v>
      </c>
      <c r="G88" s="1347"/>
      <c r="H88" s="1347"/>
      <c r="I88" s="1347"/>
      <c r="J88" s="1347"/>
      <c r="K88" s="1347"/>
      <c r="L88" s="1347"/>
      <c r="M88" s="1347"/>
      <c r="N88" s="1347"/>
      <c r="O88" s="428"/>
    </row>
    <row r="89" spans="1:19" ht="13.15" customHeight="1" x14ac:dyDescent="0.3">
      <c r="B89" s="94"/>
      <c r="C89" s="948"/>
      <c r="D89" s="950"/>
      <c r="E89" s="1369" t="str">
        <f>Translations!$B$343</f>
        <v>If the conditions above are not satisfied, this tool can only be used to support you with the calculation of the carbon price, but results cannot be used directly.</v>
      </c>
      <c r="F89" s="1369"/>
      <c r="G89" s="1369"/>
      <c r="H89" s="1369"/>
      <c r="I89" s="1369"/>
      <c r="J89" s="1369"/>
      <c r="K89" s="1369"/>
      <c r="L89" s="1369"/>
      <c r="M89" s="1369"/>
      <c r="N89" s="1369"/>
      <c r="O89" s="428"/>
    </row>
    <row r="90" spans="1:19" ht="5.15" customHeight="1" x14ac:dyDescent="0.3">
      <c r="B90" s="94"/>
      <c r="C90" s="948"/>
      <c r="D90" s="950"/>
      <c r="E90" s="961"/>
      <c r="F90" s="962"/>
      <c r="G90" s="962"/>
      <c r="H90" s="962"/>
      <c r="I90" s="962"/>
      <c r="J90" s="962"/>
      <c r="K90" s="962"/>
      <c r="L90" s="962"/>
      <c r="M90" s="962"/>
      <c r="N90" s="962"/>
      <c r="O90" s="428"/>
    </row>
    <row r="91" spans="1:19" ht="12.75" customHeight="1" x14ac:dyDescent="0.25">
      <c r="B91" s="94"/>
      <c r="C91" s="144"/>
      <c r="D91" s="914"/>
      <c r="E91" s="915"/>
      <c r="F91" s="915"/>
      <c r="G91" s="915"/>
      <c r="H91" s="915"/>
      <c r="I91" s="915"/>
      <c r="J91" s="915"/>
      <c r="K91" s="915"/>
      <c r="L91" s="915"/>
      <c r="M91" s="915"/>
      <c r="N91" s="144"/>
      <c r="O91" s="428"/>
      <c r="S91" s="110"/>
    </row>
    <row r="92" spans="1:19" ht="25.5" customHeight="1" x14ac:dyDescent="0.25">
      <c r="B92" s="94"/>
      <c r="C92" s="144"/>
      <c r="D92" s="144"/>
      <c r="E92" s="815" t="str">
        <f>Translations!$B$1861</f>
        <v>SE (total)</v>
      </c>
      <c r="F92" s="1354" t="str">
        <f>Translations!$B$1862</f>
        <v>Specific direct + indirect emissions of the production process, i.e. excluding any embedded emissions from any precursors consumed in the process.</v>
      </c>
      <c r="G92" s="1354"/>
      <c r="H92" s="1354"/>
      <c r="I92" s="1354"/>
      <c r="J92" s="1354"/>
      <c r="K92" s="1354"/>
      <c r="L92" s="1354"/>
      <c r="M92" s="1355"/>
      <c r="N92" s="1355"/>
      <c r="O92" s="428"/>
      <c r="S92" s="110"/>
    </row>
    <row r="93" spans="1:19" ht="38.25" customHeight="1" x14ac:dyDescent="0.25">
      <c r="B93" s="94"/>
      <c r="C93" s="144"/>
      <c r="D93" s="144"/>
      <c r="E93" s="816" t="str">
        <f>Translations!$B$346</f>
        <v>Share of emissions covered by the carbon price</v>
      </c>
      <c r="F93" s="1356" t="str">
        <f>Translations!$B$1979</f>
        <v>Please enter here the share of the TOTAL (direct + indirect) specific emissions that are subject to carbon pricing. For instance, if only direct emissions are covered by a carbon pricing system, the share to be provided here would be exactly the share in the direct emissions of the total emissions.</v>
      </c>
      <c r="G93" s="1357"/>
      <c r="H93" s="1357"/>
      <c r="I93" s="1357"/>
      <c r="J93" s="1357"/>
      <c r="K93" s="1357"/>
      <c r="L93" s="1357"/>
      <c r="M93" s="1357"/>
      <c r="N93" s="1357"/>
      <c r="O93" s="428"/>
      <c r="S93" s="110"/>
    </row>
    <row r="94" spans="1:19" ht="38.25" customHeight="1" x14ac:dyDescent="0.25">
      <c r="B94" s="94"/>
      <c r="C94" s="144"/>
      <c r="D94" s="144"/>
      <c r="E94" s="816" t="str">
        <f>Translations!$B$350</f>
        <v>Carbon price (CP) due (local currency)</v>
      </c>
      <c r="F94" s="1356" t="str">
        <f>Translations!$B$1980</f>
        <v>Please enter here the carbon price due per tonne of CO2e in the relevant currency. This value shall be the carbon price before application of any rebate such as free allocation or financial compensation. It shall furthermore exclude any carbon price due for any precursors outside the production process to avoid double counting.</v>
      </c>
      <c r="G94" s="1357"/>
      <c r="H94" s="1357"/>
      <c r="I94" s="1357"/>
      <c r="J94" s="1357"/>
      <c r="K94" s="1357"/>
      <c r="L94" s="1357"/>
      <c r="M94" s="1357"/>
      <c r="N94" s="1357"/>
      <c r="O94" s="428"/>
      <c r="S94" s="110"/>
    </row>
    <row r="95" spans="1:19" ht="25.5" customHeight="1" x14ac:dyDescent="0.25">
      <c r="B95" s="94"/>
      <c r="C95" s="144"/>
      <c r="D95" s="144"/>
      <c r="E95" s="817" t="str">
        <f>Translations!$B$348</f>
        <v>Amount of rebate (local currency)</v>
      </c>
      <c r="F95" s="1358" t="str">
        <f>Translations!$B$1981</f>
        <v>Please enter here the rebate per tonne of CO2e covered by the rebate in the relevant currency. Again, it shall exclude any rebate for any precursors outside the production process to avoid double counting.</v>
      </c>
      <c r="G95" s="1359"/>
      <c r="H95" s="1359"/>
      <c r="I95" s="1359"/>
      <c r="J95" s="1359"/>
      <c r="K95" s="1359"/>
      <c r="L95" s="1359"/>
      <c r="M95" s="1359"/>
      <c r="N95" s="1359"/>
      <c r="O95" s="428"/>
      <c r="S95" s="110"/>
    </row>
    <row r="96" spans="1:19" ht="5.15" customHeight="1" x14ac:dyDescent="0.25">
      <c r="B96" s="94"/>
      <c r="C96" s="144"/>
      <c r="D96" s="144"/>
      <c r="E96" s="144"/>
      <c r="F96" s="144"/>
      <c r="G96" s="144"/>
      <c r="H96" s="144"/>
      <c r="I96" s="144"/>
      <c r="J96" s="144"/>
      <c r="K96" s="144"/>
      <c r="L96" s="144"/>
      <c r="M96" s="144"/>
      <c r="N96" s="954"/>
      <c r="O96" s="428"/>
      <c r="S96" s="110"/>
    </row>
    <row r="97" spans="2:23" ht="12.75" customHeight="1" x14ac:dyDescent="0.25">
      <c r="B97" s="94"/>
      <c r="C97" s="144"/>
      <c r="D97" s="144"/>
      <c r="E97" s="144"/>
      <c r="F97" s="144"/>
      <c r="G97" s="144"/>
      <c r="H97" s="144"/>
      <c r="I97" s="166" t="str">
        <f>Translations!$B$1866</f>
        <v>Currency:</v>
      </c>
      <c r="J97" s="685"/>
      <c r="K97" s="1366" t="str">
        <f>IF(J97="","",INDEX(CNTR_ListCurrenciesName,MATCH(J97,CNTR_ListCurrenciesCode,0)))</f>
        <v/>
      </c>
      <c r="L97" s="1367"/>
      <c r="M97" s="144"/>
      <c r="N97" s="954"/>
      <c r="O97" s="428"/>
      <c r="S97" s="110"/>
    </row>
    <row r="98" spans="2:23" ht="5.15" customHeight="1" x14ac:dyDescent="0.25">
      <c r="B98" s="94"/>
      <c r="C98" s="144"/>
      <c r="D98" s="144"/>
      <c r="E98" s="144"/>
      <c r="F98" s="144"/>
      <c r="G98" s="144"/>
      <c r="H98" s="144"/>
      <c r="I98" s="144"/>
      <c r="J98" s="144"/>
      <c r="K98" s="144"/>
      <c r="L98" s="144"/>
      <c r="M98" s="144"/>
      <c r="N98" s="954"/>
      <c r="O98" s="428"/>
      <c r="S98" s="110"/>
    </row>
    <row r="99" spans="2:23" ht="50.15" customHeight="1" x14ac:dyDescent="0.25">
      <c r="B99" s="94"/>
      <c r="C99" s="144"/>
      <c r="D99" s="963"/>
      <c r="E99" s="1343" t="str">
        <f>Translations!$B$120</f>
        <v>Production process</v>
      </c>
      <c r="F99" s="1352" t="str">
        <f>Translations!$B$107</f>
        <v>Aggregated goods category</v>
      </c>
      <c r="G99" s="845" t="str">
        <f>Translations!$B$1861</f>
        <v>SE (total)</v>
      </c>
      <c r="H99" s="1360" t="str">
        <f>Translations!$B$346</f>
        <v>Share of emissions covered by the carbon price</v>
      </c>
      <c r="I99" s="845" t="str">
        <f>Translations!$B$1867</f>
        <v>Covered SE</v>
      </c>
      <c r="J99" s="845" t="str">
        <f>Translations!$B$350</f>
        <v>Carbon price (CP) due (local currency)</v>
      </c>
      <c r="K99" s="845" t="str">
        <f>Translations!$B$348</f>
        <v>Amount of rebate (local currency)</v>
      </c>
      <c r="L99" s="1360" t="str">
        <f>Translations!$B$351</f>
        <v>CP due (per produced t or MWh)</v>
      </c>
      <c r="M99" s="1360" t="str">
        <f>Translations!$B$352</f>
        <v>Rebate (per produced t or MWh)</v>
      </c>
      <c r="N99" s="1363" t="str">
        <f>Translations!$B$353</f>
        <v>Result: Effective CP due (per produced t or MWh)</v>
      </c>
      <c r="O99" s="428"/>
      <c r="S99" s="110"/>
    </row>
    <row r="100" spans="2:23" ht="12.75" customHeight="1" thickBot="1" x14ac:dyDescent="0.3">
      <c r="B100" s="94"/>
      <c r="C100" s="144"/>
      <c r="D100" s="402"/>
      <c r="E100" s="1344"/>
      <c r="F100" s="1353"/>
      <c r="G100" s="403" t="str">
        <f>CONST_tCO2eq &amp; "/" &amp; IF(F101="",CONST_t,INDEX(CONST_LIST_GoodsUnit,MATCH(F101,CONST_LIST_Goods,0)))</f>
        <v>tCO2e/t</v>
      </c>
      <c r="H100" s="1365"/>
      <c r="I100" s="403" t="str">
        <f>G100</f>
        <v>tCO2e/t</v>
      </c>
      <c r="J100" s="403" t="str">
        <f>IF(J97="","",J97)&amp;"/" &amp; CONST_tCO2eq</f>
        <v>/tCO2e</v>
      </c>
      <c r="K100" s="403" t="str">
        <f>J100</f>
        <v>/tCO2e</v>
      </c>
      <c r="L100" s="1361"/>
      <c r="M100" s="1362"/>
      <c r="N100" s="1364"/>
      <c r="O100" s="428"/>
      <c r="S100" s="110"/>
      <c r="T100" s="123" t="s">
        <v>602</v>
      </c>
      <c r="U100" s="123" t="s">
        <v>647</v>
      </c>
      <c r="V100" s="366" t="s">
        <v>648</v>
      </c>
      <c r="W100" s="366" t="s">
        <v>649</v>
      </c>
    </row>
    <row r="101" spans="2:23" ht="12.75" customHeight="1" x14ac:dyDescent="0.25">
      <c r="B101" s="94"/>
      <c r="C101" s="144"/>
      <c r="D101" s="404" t="str">
        <f>INDEX(CNTR_ListProdProcID,ROWS(D$101:D101))</f>
        <v>P1</v>
      </c>
      <c r="E101" s="405" t="str">
        <f>IF(INDEX(CNTR_List_ExistProdProcNames,ROWS(D$101:D101))=CONST_NA,"",INDEX(CNTR_List_ExistProdProcNames,ROWS(D$101:D101)))</f>
        <v/>
      </c>
      <c r="F101" s="520" t="str">
        <f t="shared" ref="F101:F110" si="0">IF(E101="","",INDEX(CNTR_List_ExistProdProc,MATCH(E101,CNTR_List_ExistProdProcNames,0)))</f>
        <v/>
      </c>
      <c r="G101" s="245" t="str">
        <f>IF($E101="","",SUM(InputOutput!AJ71,InputOutput!AL71))</f>
        <v/>
      </c>
      <c r="H101" s="511"/>
      <c r="I101" s="245" t="str">
        <f>IF(G101="","",G101*H101)</f>
        <v/>
      </c>
      <c r="J101" s="494"/>
      <c r="K101" s="495"/>
      <c r="L101" s="496" t="str">
        <f>IF($F101="","",IFERROR(V101,0))</f>
        <v/>
      </c>
      <c r="M101" s="497" t="str">
        <f>IF($F101="","",IFERROR(W101,0))</f>
        <v/>
      </c>
      <c r="N101" s="498" t="str">
        <f>IF($F101="","",L101-M101)</f>
        <v/>
      </c>
      <c r="O101" s="428"/>
      <c r="S101" s="110"/>
      <c r="T101" s="515">
        <f>SUM($I101)*SUM(J101)</f>
        <v>0</v>
      </c>
      <c r="U101" s="515">
        <f>SUM($I101)*SUM(K101)</f>
        <v>0</v>
      </c>
      <c r="V101" s="515">
        <f t="array" ref="V101:V110">MMULT(CNTR_Matrix_Inv,T101:T130)</f>
        <v>0</v>
      </c>
      <c r="W101" s="515">
        <f t="array" ref="W101:W110">MMULT(CNTR_Matrix_Inv,U101:U130)</f>
        <v>0</v>
      </c>
    </row>
    <row r="102" spans="2:23" ht="12.75" customHeight="1" x14ac:dyDescent="0.25">
      <c r="B102" s="94"/>
      <c r="C102" s="144"/>
      <c r="D102" s="406" t="str">
        <f>INDEX(CNTR_ListProdProcID,ROWS(D$101:D102))</f>
        <v>P2</v>
      </c>
      <c r="E102" s="407" t="str">
        <f>IF(INDEX(CNTR_List_ExistProdProcNames,ROWS(D$101:D102))=CONST_NA,"",INDEX(CNTR_List_ExistProdProcNames,ROWS(D$101:D102)))</f>
        <v/>
      </c>
      <c r="F102" s="521" t="str">
        <f t="shared" si="0"/>
        <v/>
      </c>
      <c r="G102" s="246" t="str">
        <f>IF($E102="","",SUM(InputOutput!AJ72,InputOutput!AL72))</f>
        <v/>
      </c>
      <c r="H102" s="512"/>
      <c r="I102" s="246" t="str">
        <f>IF(G102="","",G102*H102)</f>
        <v/>
      </c>
      <c r="J102" s="499"/>
      <c r="K102" s="500"/>
      <c r="L102" s="501" t="str">
        <f t="shared" ref="L102:L110" si="1">IF($F102="","",IFERROR(V102,0))</f>
        <v/>
      </c>
      <c r="M102" s="502" t="str">
        <f t="shared" ref="M102:M110" si="2">IF($F102="","",IFERROR(W102,0))</f>
        <v/>
      </c>
      <c r="N102" s="503" t="str">
        <f t="shared" ref="N102:N110" si="3">IF($F102="","",L102-M102)</f>
        <v/>
      </c>
      <c r="O102" s="428"/>
      <c r="S102" s="110"/>
      <c r="T102" s="515">
        <f t="shared" ref="T102:T130" si="4">SUM($I102)*SUM(J102)</f>
        <v>0</v>
      </c>
      <c r="U102" s="515">
        <f t="shared" ref="U102:U130" si="5">SUM($I102)*SUM(K102)</f>
        <v>0</v>
      </c>
      <c r="V102" s="515">
        <v>0</v>
      </c>
      <c r="W102" s="515">
        <v>0</v>
      </c>
    </row>
    <row r="103" spans="2:23" ht="12.75" customHeight="1" x14ac:dyDescent="0.25">
      <c r="B103" s="94"/>
      <c r="C103" s="144"/>
      <c r="D103" s="406" t="str">
        <f>INDEX(CNTR_ListProdProcID,ROWS(D$101:D103))</f>
        <v>P3</v>
      </c>
      <c r="E103" s="407" t="str">
        <f>IF(INDEX(CNTR_List_ExistProdProcNames,ROWS(D$101:D103))=CONST_NA,"",INDEX(CNTR_List_ExistProdProcNames,ROWS(D$101:D103)))</f>
        <v/>
      </c>
      <c r="F103" s="521" t="str">
        <f t="shared" si="0"/>
        <v/>
      </c>
      <c r="G103" s="246" t="str">
        <f>IF($E103="","",SUM(InputOutput!AJ73,InputOutput!AL73))</f>
        <v/>
      </c>
      <c r="H103" s="512"/>
      <c r="I103" s="246" t="str">
        <f t="shared" ref="I103:I128" si="6">IF(G103="","",G103*H103)</f>
        <v/>
      </c>
      <c r="J103" s="499"/>
      <c r="K103" s="500"/>
      <c r="L103" s="501" t="str">
        <f t="shared" si="1"/>
        <v/>
      </c>
      <c r="M103" s="502" t="str">
        <f t="shared" si="2"/>
        <v/>
      </c>
      <c r="N103" s="503" t="str">
        <f t="shared" si="3"/>
        <v/>
      </c>
      <c r="O103" s="428"/>
      <c r="S103" s="110"/>
      <c r="T103" s="515">
        <f t="shared" si="4"/>
        <v>0</v>
      </c>
      <c r="U103" s="515">
        <f t="shared" si="5"/>
        <v>0</v>
      </c>
      <c r="V103" s="515">
        <v>0</v>
      </c>
      <c r="W103" s="515">
        <v>0</v>
      </c>
    </row>
    <row r="104" spans="2:23" ht="12.75" customHeight="1" x14ac:dyDescent="0.25">
      <c r="B104" s="94"/>
      <c r="C104" s="144"/>
      <c r="D104" s="406" t="str">
        <f>INDEX(CNTR_ListProdProcID,ROWS(D$101:D104))</f>
        <v>P4</v>
      </c>
      <c r="E104" s="407" t="str">
        <f>IF(INDEX(CNTR_List_ExistProdProcNames,ROWS(D$101:D104))=CONST_NA,"",INDEX(CNTR_List_ExistProdProcNames,ROWS(D$101:D104)))</f>
        <v/>
      </c>
      <c r="F104" s="521" t="str">
        <f t="shared" si="0"/>
        <v/>
      </c>
      <c r="G104" s="246" t="str">
        <f>IF($E104="","",SUM(InputOutput!AJ74,InputOutput!AL74))</f>
        <v/>
      </c>
      <c r="H104" s="512"/>
      <c r="I104" s="246" t="str">
        <f t="shared" si="6"/>
        <v/>
      </c>
      <c r="J104" s="499"/>
      <c r="K104" s="500"/>
      <c r="L104" s="501" t="str">
        <f t="shared" si="1"/>
        <v/>
      </c>
      <c r="M104" s="502" t="str">
        <f t="shared" si="2"/>
        <v/>
      </c>
      <c r="N104" s="503" t="str">
        <f t="shared" si="3"/>
        <v/>
      </c>
      <c r="O104" s="428"/>
      <c r="S104" s="110"/>
      <c r="T104" s="515">
        <f t="shared" si="4"/>
        <v>0</v>
      </c>
      <c r="U104" s="515">
        <f t="shared" si="5"/>
        <v>0</v>
      </c>
      <c r="V104" s="515">
        <v>0</v>
      </c>
      <c r="W104" s="515">
        <v>0</v>
      </c>
    </row>
    <row r="105" spans="2:23" ht="12.75" customHeight="1" x14ac:dyDescent="0.25">
      <c r="B105" s="94"/>
      <c r="C105" s="144"/>
      <c r="D105" s="406" t="str">
        <f>INDEX(CNTR_ListProdProcID,ROWS(D$101:D105))</f>
        <v>P5</v>
      </c>
      <c r="E105" s="407" t="str">
        <f>IF(INDEX(CNTR_List_ExistProdProcNames,ROWS(D$101:D105))=CONST_NA,"",INDEX(CNTR_List_ExistProdProcNames,ROWS(D$101:D105)))</f>
        <v/>
      </c>
      <c r="F105" s="521" t="str">
        <f t="shared" si="0"/>
        <v/>
      </c>
      <c r="G105" s="246" t="str">
        <f>IF($E105="","",SUM(InputOutput!AJ75,InputOutput!AL75))</f>
        <v/>
      </c>
      <c r="H105" s="512"/>
      <c r="I105" s="246" t="str">
        <f t="shared" si="6"/>
        <v/>
      </c>
      <c r="J105" s="499"/>
      <c r="K105" s="500"/>
      <c r="L105" s="501" t="str">
        <f t="shared" si="1"/>
        <v/>
      </c>
      <c r="M105" s="502" t="str">
        <f t="shared" si="2"/>
        <v/>
      </c>
      <c r="N105" s="503" t="str">
        <f t="shared" si="3"/>
        <v/>
      </c>
      <c r="O105" s="428"/>
      <c r="S105" s="110"/>
      <c r="T105" s="515">
        <f t="shared" si="4"/>
        <v>0</v>
      </c>
      <c r="U105" s="515">
        <f t="shared" si="5"/>
        <v>0</v>
      </c>
      <c r="V105" s="515">
        <v>0</v>
      </c>
      <c r="W105" s="515">
        <v>0</v>
      </c>
    </row>
    <row r="106" spans="2:23" ht="12.75" customHeight="1" x14ac:dyDescent="0.25">
      <c r="B106" s="94"/>
      <c r="C106" s="144"/>
      <c r="D106" s="406" t="str">
        <f>INDEX(CNTR_ListProdProcID,ROWS(D$101:D106))</f>
        <v>P6</v>
      </c>
      <c r="E106" s="407" t="str">
        <f>IF(INDEX(CNTR_List_ExistProdProcNames,ROWS(D$101:D106))=CONST_NA,"",INDEX(CNTR_List_ExistProdProcNames,ROWS(D$101:D106)))</f>
        <v/>
      </c>
      <c r="F106" s="521" t="str">
        <f t="shared" si="0"/>
        <v/>
      </c>
      <c r="G106" s="246" t="str">
        <f>IF($E106="","",SUM(InputOutput!AJ76,InputOutput!AL76))</f>
        <v/>
      </c>
      <c r="H106" s="512"/>
      <c r="I106" s="246" t="str">
        <f t="shared" si="6"/>
        <v/>
      </c>
      <c r="J106" s="499"/>
      <c r="K106" s="500"/>
      <c r="L106" s="501" t="str">
        <f t="shared" si="1"/>
        <v/>
      </c>
      <c r="M106" s="502" t="str">
        <f t="shared" si="2"/>
        <v/>
      </c>
      <c r="N106" s="503" t="str">
        <f t="shared" si="3"/>
        <v/>
      </c>
      <c r="O106" s="428"/>
      <c r="S106" s="110"/>
      <c r="T106" s="515">
        <f t="shared" si="4"/>
        <v>0</v>
      </c>
      <c r="U106" s="515">
        <f t="shared" si="5"/>
        <v>0</v>
      </c>
      <c r="V106" s="515">
        <v>0</v>
      </c>
      <c r="W106" s="515">
        <v>0</v>
      </c>
    </row>
    <row r="107" spans="2:23" ht="12.75" customHeight="1" x14ac:dyDescent="0.25">
      <c r="B107" s="94"/>
      <c r="C107" s="144"/>
      <c r="D107" s="406" t="str">
        <f>INDEX(CNTR_ListProdProcID,ROWS(D$101:D107))</f>
        <v>P7</v>
      </c>
      <c r="E107" s="407" t="str">
        <f>IF(INDEX(CNTR_List_ExistProdProcNames,ROWS(D$101:D107))=CONST_NA,"",INDEX(CNTR_List_ExistProdProcNames,ROWS(D$101:D107)))</f>
        <v/>
      </c>
      <c r="F107" s="521" t="str">
        <f t="shared" si="0"/>
        <v/>
      </c>
      <c r="G107" s="246" t="str">
        <f>IF($E107="","",SUM(InputOutput!AJ77,InputOutput!AL77))</f>
        <v/>
      </c>
      <c r="H107" s="512"/>
      <c r="I107" s="246" t="str">
        <f t="shared" si="6"/>
        <v/>
      </c>
      <c r="J107" s="499"/>
      <c r="K107" s="500"/>
      <c r="L107" s="501" t="str">
        <f t="shared" si="1"/>
        <v/>
      </c>
      <c r="M107" s="502" t="str">
        <f t="shared" si="2"/>
        <v/>
      </c>
      <c r="N107" s="503" t="str">
        <f t="shared" si="3"/>
        <v/>
      </c>
      <c r="O107" s="428"/>
      <c r="S107" s="110"/>
      <c r="T107" s="515">
        <f t="shared" si="4"/>
        <v>0</v>
      </c>
      <c r="U107" s="515">
        <f t="shared" si="5"/>
        <v>0</v>
      </c>
      <c r="V107" s="515">
        <v>0</v>
      </c>
      <c r="W107" s="515">
        <v>0</v>
      </c>
    </row>
    <row r="108" spans="2:23" ht="12.75" customHeight="1" x14ac:dyDescent="0.25">
      <c r="B108" s="94"/>
      <c r="C108" s="144"/>
      <c r="D108" s="406" t="str">
        <f>INDEX(CNTR_ListProdProcID,ROWS(D$101:D108))</f>
        <v>P8</v>
      </c>
      <c r="E108" s="407" t="str">
        <f>IF(INDEX(CNTR_List_ExistProdProcNames,ROWS(D$101:D108))=CONST_NA,"",INDEX(CNTR_List_ExistProdProcNames,ROWS(D$101:D108)))</f>
        <v/>
      </c>
      <c r="F108" s="521" t="str">
        <f t="shared" si="0"/>
        <v/>
      </c>
      <c r="G108" s="246" t="str">
        <f>IF($E108="","",SUM(InputOutput!AJ78,InputOutput!AL78))</f>
        <v/>
      </c>
      <c r="H108" s="512"/>
      <c r="I108" s="246" t="str">
        <f t="shared" si="6"/>
        <v/>
      </c>
      <c r="J108" s="499"/>
      <c r="K108" s="500"/>
      <c r="L108" s="501" t="str">
        <f t="shared" si="1"/>
        <v/>
      </c>
      <c r="M108" s="502" t="str">
        <f t="shared" si="2"/>
        <v/>
      </c>
      <c r="N108" s="503" t="str">
        <f t="shared" si="3"/>
        <v/>
      </c>
      <c r="O108" s="428"/>
      <c r="S108" s="110"/>
      <c r="T108" s="515">
        <f t="shared" si="4"/>
        <v>0</v>
      </c>
      <c r="U108" s="515">
        <f t="shared" si="5"/>
        <v>0</v>
      </c>
      <c r="V108" s="515">
        <v>0</v>
      </c>
      <c r="W108" s="515">
        <v>0</v>
      </c>
    </row>
    <row r="109" spans="2:23" ht="12.75" customHeight="1" x14ac:dyDescent="0.25">
      <c r="B109" s="94"/>
      <c r="C109" s="144"/>
      <c r="D109" s="406" t="str">
        <f>INDEX(CNTR_ListProdProcID,ROWS(D$101:D109))</f>
        <v>P9</v>
      </c>
      <c r="E109" s="407" t="str">
        <f>IF(INDEX(CNTR_List_ExistProdProcNames,ROWS(D$101:D109))=CONST_NA,"",INDEX(CNTR_List_ExistProdProcNames,ROWS(D$101:D109)))</f>
        <v/>
      </c>
      <c r="F109" s="521" t="str">
        <f t="shared" si="0"/>
        <v/>
      </c>
      <c r="G109" s="246" t="str">
        <f>IF($E109="","",SUM(InputOutput!AJ79,InputOutput!AL79))</f>
        <v/>
      </c>
      <c r="H109" s="512"/>
      <c r="I109" s="246" t="str">
        <f t="shared" si="6"/>
        <v/>
      </c>
      <c r="J109" s="499"/>
      <c r="K109" s="500"/>
      <c r="L109" s="501" t="str">
        <f t="shared" si="1"/>
        <v/>
      </c>
      <c r="M109" s="502" t="str">
        <f t="shared" si="2"/>
        <v/>
      </c>
      <c r="N109" s="503" t="str">
        <f t="shared" si="3"/>
        <v/>
      </c>
      <c r="O109" s="428"/>
      <c r="S109" s="110"/>
      <c r="T109" s="515">
        <f t="shared" si="4"/>
        <v>0</v>
      </c>
      <c r="U109" s="515">
        <f t="shared" si="5"/>
        <v>0</v>
      </c>
      <c r="V109" s="515">
        <v>0</v>
      </c>
      <c r="W109" s="515">
        <v>0</v>
      </c>
    </row>
    <row r="110" spans="2:23" ht="12.75" customHeight="1" thickBot="1" x14ac:dyDescent="0.3">
      <c r="B110" s="94"/>
      <c r="C110" s="144"/>
      <c r="D110" s="408" t="str">
        <f>INDEX(CNTR_ListProdProcID,ROWS(D$101:D110))</f>
        <v>P10</v>
      </c>
      <c r="E110" s="409" t="str">
        <f>IF(INDEX(CNTR_List_ExistProdProcNames,ROWS(D$101:D110))=CONST_NA,"",INDEX(CNTR_List_ExistProdProcNames,ROWS(D$101:D110)))</f>
        <v/>
      </c>
      <c r="F110" s="522" t="str">
        <f t="shared" si="0"/>
        <v/>
      </c>
      <c r="G110" s="510" t="str">
        <f>IF($E110="","",SUM(InputOutput!AJ80,InputOutput!AL80))</f>
        <v/>
      </c>
      <c r="H110" s="513"/>
      <c r="I110" s="510" t="str">
        <f t="shared" si="6"/>
        <v/>
      </c>
      <c r="J110" s="504"/>
      <c r="K110" s="505"/>
      <c r="L110" s="506" t="str">
        <f t="shared" si="1"/>
        <v/>
      </c>
      <c r="M110" s="507" t="str">
        <f t="shared" si="2"/>
        <v/>
      </c>
      <c r="N110" s="508" t="str">
        <f t="shared" si="3"/>
        <v/>
      </c>
      <c r="O110" s="428"/>
      <c r="S110" s="110"/>
      <c r="T110" s="515">
        <f t="shared" si="4"/>
        <v>0</v>
      </c>
      <c r="U110" s="515">
        <f t="shared" si="5"/>
        <v>0</v>
      </c>
      <c r="V110" s="515">
        <v>0</v>
      </c>
      <c r="W110" s="515">
        <v>0</v>
      </c>
    </row>
    <row r="111" spans="2:23" ht="12.75" customHeight="1" x14ac:dyDescent="0.25">
      <c r="B111" s="94"/>
      <c r="C111" s="144"/>
      <c r="D111" s="404" t="str">
        <f>INDEX(CNTR_ListPurchPrecID,ROWS(D$111:D111))</f>
        <v>PP1</v>
      </c>
      <c r="E111" s="410" t="str">
        <f>IF(INDEX(CNTR_List_ExistPurchPrecNames,ROWS(D$111:D111))=CONST_NA,"",INDEX(CNTR_List_ExistPurchPrecNames,ROWS(D$111:D111)))</f>
        <v/>
      </c>
      <c r="F111" s="520" t="str">
        <f t="shared" ref="F111:F130" si="7">IF(E111="","",INDEX(CNTR_List_ExistPurchPrec,MATCH(D111,CNTR_ListPurchPrecID,0)))</f>
        <v/>
      </c>
      <c r="G111" s="245" t="str">
        <f>IF($E111="","",SUM(InputOutput!AJ81,InputOutput!AL81))</f>
        <v/>
      </c>
      <c r="H111" s="511"/>
      <c r="I111" s="245" t="str">
        <f t="shared" si="6"/>
        <v/>
      </c>
      <c r="J111" s="494"/>
      <c r="K111" s="494"/>
      <c r="L111" s="963"/>
      <c r="M111" s="963"/>
      <c r="N111" s="964"/>
      <c r="O111" s="428"/>
      <c r="R111" s="516"/>
      <c r="S111" s="110"/>
      <c r="T111" s="515">
        <f t="shared" si="4"/>
        <v>0</v>
      </c>
      <c r="U111" s="515">
        <f t="shared" si="5"/>
        <v>0</v>
      </c>
      <c r="V111" s="516"/>
      <c r="W111" s="516"/>
    </row>
    <row r="112" spans="2:23" ht="12.75" customHeight="1" x14ac:dyDescent="0.25">
      <c r="B112" s="94"/>
      <c r="C112" s="144"/>
      <c r="D112" s="406" t="str">
        <f>INDEX(CNTR_ListPurchPrecID,ROWS(D$111:D112))</f>
        <v>PP2</v>
      </c>
      <c r="E112" s="411" t="str">
        <f>IF(INDEX(CNTR_List_ExistPurchPrecNames,ROWS(D$111:D112))=CONST_NA,"",INDEX(CNTR_List_ExistPurchPrecNames,ROWS(D$111:D112)))</f>
        <v/>
      </c>
      <c r="F112" s="521" t="str">
        <f t="shared" si="7"/>
        <v/>
      </c>
      <c r="G112" s="246" t="str">
        <f>IF($E112="","",SUM(InputOutput!AJ82,InputOutput!AL82))</f>
        <v/>
      </c>
      <c r="H112" s="512"/>
      <c r="I112" s="246" t="str">
        <f t="shared" si="6"/>
        <v/>
      </c>
      <c r="J112" s="499"/>
      <c r="K112" s="499"/>
      <c r="L112" s="963"/>
      <c r="M112" s="964"/>
      <c r="N112" s="964"/>
      <c r="O112" s="428"/>
      <c r="S112" s="110"/>
      <c r="T112" s="515">
        <f t="shared" si="4"/>
        <v>0</v>
      </c>
      <c r="U112" s="515">
        <f t="shared" si="5"/>
        <v>0</v>
      </c>
      <c r="V112" s="516"/>
      <c r="W112" s="516"/>
    </row>
    <row r="113" spans="2:23" ht="12.75" customHeight="1" x14ac:dyDescent="0.25">
      <c r="B113" s="94"/>
      <c r="C113" s="144"/>
      <c r="D113" s="406" t="str">
        <f>INDEX(CNTR_ListPurchPrecID,ROWS(D$111:D113))</f>
        <v>PP3</v>
      </c>
      <c r="E113" s="411" t="str">
        <f>IF(INDEX(CNTR_List_ExistPurchPrecNames,ROWS(D$111:D113))=CONST_NA,"",INDEX(CNTR_List_ExistPurchPrecNames,ROWS(D$111:D113)))</f>
        <v/>
      </c>
      <c r="F113" s="521" t="str">
        <f t="shared" si="7"/>
        <v/>
      </c>
      <c r="G113" s="246" t="str">
        <f>IF($E113="","",SUM(InputOutput!AJ83,InputOutput!AL83))</f>
        <v/>
      </c>
      <c r="H113" s="512"/>
      <c r="I113" s="246" t="str">
        <f t="shared" si="6"/>
        <v/>
      </c>
      <c r="J113" s="499"/>
      <c r="K113" s="499"/>
      <c r="L113" s="963"/>
      <c r="M113" s="964"/>
      <c r="N113" s="964"/>
      <c r="O113" s="428"/>
      <c r="S113" s="110"/>
      <c r="T113" s="515">
        <f t="shared" si="4"/>
        <v>0</v>
      </c>
      <c r="U113" s="515">
        <f t="shared" si="5"/>
        <v>0</v>
      </c>
      <c r="V113" s="516"/>
      <c r="W113" s="516"/>
    </row>
    <row r="114" spans="2:23" ht="12.75" customHeight="1" x14ac:dyDescent="0.25">
      <c r="B114" s="94"/>
      <c r="C114" s="144"/>
      <c r="D114" s="406" t="str">
        <f>INDEX(CNTR_ListPurchPrecID,ROWS(D$111:D114))</f>
        <v>PP4</v>
      </c>
      <c r="E114" s="411" t="str">
        <f>IF(INDEX(CNTR_List_ExistPurchPrecNames,ROWS(D$111:D114))=CONST_NA,"",INDEX(CNTR_List_ExistPurchPrecNames,ROWS(D$111:D114)))</f>
        <v/>
      </c>
      <c r="F114" s="521" t="str">
        <f t="shared" si="7"/>
        <v/>
      </c>
      <c r="G114" s="246" t="str">
        <f>IF($E114="","",SUM(InputOutput!AJ84,InputOutput!AL84))</f>
        <v/>
      </c>
      <c r="H114" s="512"/>
      <c r="I114" s="246" t="str">
        <f t="shared" si="6"/>
        <v/>
      </c>
      <c r="J114" s="499"/>
      <c r="K114" s="499"/>
      <c r="L114" s="963"/>
      <c r="M114" s="964"/>
      <c r="N114" s="964"/>
      <c r="O114" s="428"/>
      <c r="S114" s="110"/>
      <c r="T114" s="515">
        <f t="shared" si="4"/>
        <v>0</v>
      </c>
      <c r="U114" s="515">
        <f t="shared" si="5"/>
        <v>0</v>
      </c>
      <c r="V114" s="516"/>
      <c r="W114" s="516"/>
    </row>
    <row r="115" spans="2:23" ht="12.75" customHeight="1" x14ac:dyDescent="0.25">
      <c r="B115" s="94"/>
      <c r="C115" s="144"/>
      <c r="D115" s="406" t="str">
        <f>INDEX(CNTR_ListPurchPrecID,ROWS(D$111:D115))</f>
        <v>PP5</v>
      </c>
      <c r="E115" s="411" t="str">
        <f>IF(INDEX(CNTR_List_ExistPurchPrecNames,ROWS(D$111:D115))=CONST_NA,"",INDEX(CNTR_List_ExistPurchPrecNames,ROWS(D$111:D115)))</f>
        <v/>
      </c>
      <c r="F115" s="521" t="str">
        <f t="shared" si="7"/>
        <v/>
      </c>
      <c r="G115" s="246" t="str">
        <f>IF($E115="","",SUM(InputOutput!AJ85,InputOutput!AL85))</f>
        <v/>
      </c>
      <c r="H115" s="512"/>
      <c r="I115" s="246" t="str">
        <f t="shared" si="6"/>
        <v/>
      </c>
      <c r="J115" s="499"/>
      <c r="K115" s="499"/>
      <c r="L115" s="963"/>
      <c r="M115" s="964"/>
      <c r="N115" s="964"/>
      <c r="O115" s="428"/>
      <c r="S115" s="110"/>
      <c r="T115" s="515">
        <f t="shared" si="4"/>
        <v>0</v>
      </c>
      <c r="U115" s="515">
        <f t="shared" si="5"/>
        <v>0</v>
      </c>
      <c r="V115" s="516"/>
      <c r="W115" s="516"/>
    </row>
    <row r="116" spans="2:23" ht="12.75" customHeight="1" x14ac:dyDescent="0.25">
      <c r="B116" s="94"/>
      <c r="C116" s="144"/>
      <c r="D116" s="406" t="str">
        <f>INDEX(CNTR_ListPurchPrecID,ROWS(D$111:D116))</f>
        <v>PP6</v>
      </c>
      <c r="E116" s="411" t="str">
        <f>IF(INDEX(CNTR_List_ExistPurchPrecNames,ROWS(D$111:D116))=CONST_NA,"",INDEX(CNTR_List_ExistPurchPrecNames,ROWS(D$111:D116)))</f>
        <v/>
      </c>
      <c r="F116" s="521" t="str">
        <f t="shared" si="7"/>
        <v/>
      </c>
      <c r="G116" s="246" t="str">
        <f>IF($E116="","",SUM(InputOutput!AJ86,InputOutput!AL86))</f>
        <v/>
      </c>
      <c r="H116" s="512"/>
      <c r="I116" s="246" t="str">
        <f t="shared" si="6"/>
        <v/>
      </c>
      <c r="J116" s="499"/>
      <c r="K116" s="499"/>
      <c r="L116" s="963"/>
      <c r="M116" s="964"/>
      <c r="N116" s="964"/>
      <c r="O116" s="428"/>
      <c r="S116" s="110"/>
      <c r="T116" s="515">
        <f t="shared" si="4"/>
        <v>0</v>
      </c>
      <c r="U116" s="515">
        <f t="shared" si="5"/>
        <v>0</v>
      </c>
      <c r="V116" s="516"/>
      <c r="W116" s="516"/>
    </row>
    <row r="117" spans="2:23" ht="12.75" customHeight="1" x14ac:dyDescent="0.25">
      <c r="B117" s="94"/>
      <c r="C117" s="144"/>
      <c r="D117" s="406" t="str">
        <f>INDEX(CNTR_ListPurchPrecID,ROWS(D$111:D117))</f>
        <v>PP7</v>
      </c>
      <c r="E117" s="411" t="str">
        <f>IF(INDEX(CNTR_List_ExistPurchPrecNames,ROWS(D$111:D117))=CONST_NA,"",INDEX(CNTR_List_ExistPurchPrecNames,ROWS(D$111:D117)))</f>
        <v/>
      </c>
      <c r="F117" s="521" t="str">
        <f t="shared" si="7"/>
        <v/>
      </c>
      <c r="G117" s="246" t="str">
        <f>IF($E117="","",SUM(InputOutput!AJ87,InputOutput!AL87))</f>
        <v/>
      </c>
      <c r="H117" s="512"/>
      <c r="I117" s="246" t="str">
        <f t="shared" si="6"/>
        <v/>
      </c>
      <c r="J117" s="499"/>
      <c r="K117" s="499"/>
      <c r="L117" s="963"/>
      <c r="M117" s="964"/>
      <c r="N117" s="964"/>
      <c r="O117" s="428"/>
      <c r="S117" s="110"/>
      <c r="T117" s="515">
        <f t="shared" si="4"/>
        <v>0</v>
      </c>
      <c r="U117" s="515">
        <f t="shared" si="5"/>
        <v>0</v>
      </c>
      <c r="V117" s="516"/>
      <c r="W117" s="516"/>
    </row>
    <row r="118" spans="2:23" ht="12.75" customHeight="1" x14ac:dyDescent="0.25">
      <c r="B118" s="94"/>
      <c r="C118" s="144"/>
      <c r="D118" s="406" t="str">
        <f>INDEX(CNTR_ListPurchPrecID,ROWS(D$111:D118))</f>
        <v>PP8</v>
      </c>
      <c r="E118" s="411" t="str">
        <f>IF(INDEX(CNTR_List_ExistPurchPrecNames,ROWS(D$111:D118))=CONST_NA,"",INDEX(CNTR_List_ExistPurchPrecNames,ROWS(D$111:D118)))</f>
        <v/>
      </c>
      <c r="F118" s="521" t="str">
        <f t="shared" si="7"/>
        <v/>
      </c>
      <c r="G118" s="246" t="str">
        <f>IF($E118="","",SUM(InputOutput!AJ88,InputOutput!AL88))</f>
        <v/>
      </c>
      <c r="H118" s="512"/>
      <c r="I118" s="246" t="str">
        <f t="shared" si="6"/>
        <v/>
      </c>
      <c r="J118" s="499"/>
      <c r="K118" s="499"/>
      <c r="L118" s="963"/>
      <c r="M118" s="964"/>
      <c r="N118" s="964"/>
      <c r="O118" s="428"/>
      <c r="S118" s="110"/>
      <c r="T118" s="515">
        <f t="shared" si="4"/>
        <v>0</v>
      </c>
      <c r="U118" s="515">
        <f t="shared" si="5"/>
        <v>0</v>
      </c>
      <c r="V118" s="516"/>
      <c r="W118" s="516"/>
    </row>
    <row r="119" spans="2:23" ht="12.75" customHeight="1" x14ac:dyDescent="0.25">
      <c r="B119" s="94"/>
      <c r="C119" s="144"/>
      <c r="D119" s="406" t="str">
        <f>INDEX(CNTR_ListPurchPrecID,ROWS(D$111:D119))</f>
        <v>PP9</v>
      </c>
      <c r="E119" s="411" t="str">
        <f>IF(INDEX(CNTR_List_ExistPurchPrecNames,ROWS(D$111:D119))=CONST_NA,"",INDEX(CNTR_List_ExistPurchPrecNames,ROWS(D$111:D119)))</f>
        <v/>
      </c>
      <c r="F119" s="521" t="str">
        <f t="shared" si="7"/>
        <v/>
      </c>
      <c r="G119" s="246" t="str">
        <f>IF($E119="","",SUM(InputOutput!AJ89,InputOutput!AL89))</f>
        <v/>
      </c>
      <c r="H119" s="512"/>
      <c r="I119" s="246" t="str">
        <f t="shared" si="6"/>
        <v/>
      </c>
      <c r="J119" s="499"/>
      <c r="K119" s="499"/>
      <c r="L119" s="963"/>
      <c r="M119" s="964"/>
      <c r="N119" s="964"/>
      <c r="O119" s="428"/>
      <c r="S119" s="110"/>
      <c r="T119" s="515">
        <f t="shared" si="4"/>
        <v>0</v>
      </c>
      <c r="U119" s="515">
        <f t="shared" si="5"/>
        <v>0</v>
      </c>
      <c r="V119" s="516"/>
      <c r="W119" s="516"/>
    </row>
    <row r="120" spans="2:23" ht="12.75" customHeight="1" x14ac:dyDescent="0.25">
      <c r="B120" s="94"/>
      <c r="C120" s="144"/>
      <c r="D120" s="406" t="str">
        <f>INDEX(CNTR_ListPurchPrecID,ROWS(D$111:D120))</f>
        <v>PP10</v>
      </c>
      <c r="E120" s="411" t="str">
        <f>IF(INDEX(CNTR_List_ExistPurchPrecNames,ROWS(D$111:D120))=CONST_NA,"",INDEX(CNTR_List_ExistPurchPrecNames,ROWS(D$111:D120)))</f>
        <v/>
      </c>
      <c r="F120" s="521" t="str">
        <f t="shared" si="7"/>
        <v/>
      </c>
      <c r="G120" s="246" t="str">
        <f>IF($E120="","",SUM(InputOutput!AJ90,InputOutput!AL90))</f>
        <v/>
      </c>
      <c r="H120" s="512"/>
      <c r="I120" s="246" t="str">
        <f t="shared" si="6"/>
        <v/>
      </c>
      <c r="J120" s="499"/>
      <c r="K120" s="499"/>
      <c r="L120" s="963"/>
      <c r="M120" s="964"/>
      <c r="N120" s="964"/>
      <c r="O120" s="428"/>
      <c r="S120" s="110"/>
      <c r="T120" s="515">
        <f t="shared" si="4"/>
        <v>0</v>
      </c>
      <c r="U120" s="515">
        <f t="shared" si="5"/>
        <v>0</v>
      </c>
      <c r="V120" s="516"/>
      <c r="W120" s="516"/>
    </row>
    <row r="121" spans="2:23" ht="12.75" customHeight="1" x14ac:dyDescent="0.25">
      <c r="B121" s="94"/>
      <c r="C121" s="144"/>
      <c r="D121" s="406" t="str">
        <f>INDEX(CNTR_ListPurchPrecID,ROWS(D$111:D121))</f>
        <v>PP11</v>
      </c>
      <c r="E121" s="411" t="str">
        <f>IF(INDEX(CNTR_List_ExistPurchPrecNames,ROWS(D$111:D121))=CONST_NA,"",INDEX(CNTR_List_ExistPurchPrecNames,ROWS(D$111:D121)))</f>
        <v/>
      </c>
      <c r="F121" s="521" t="str">
        <f t="shared" si="7"/>
        <v/>
      </c>
      <c r="G121" s="246" t="str">
        <f>IF($E121="","",SUM(InputOutput!AJ91,InputOutput!AL91))</f>
        <v/>
      </c>
      <c r="H121" s="512"/>
      <c r="I121" s="246" t="str">
        <f t="shared" si="6"/>
        <v/>
      </c>
      <c r="J121" s="499"/>
      <c r="K121" s="499"/>
      <c r="L121" s="963"/>
      <c r="M121" s="964"/>
      <c r="N121" s="964"/>
      <c r="O121" s="428"/>
      <c r="S121" s="110"/>
      <c r="T121" s="515">
        <f t="shared" si="4"/>
        <v>0</v>
      </c>
      <c r="U121" s="515">
        <f t="shared" si="5"/>
        <v>0</v>
      </c>
      <c r="V121" s="516"/>
      <c r="W121" s="516"/>
    </row>
    <row r="122" spans="2:23" ht="12.75" customHeight="1" x14ac:dyDescent="0.25">
      <c r="B122" s="94"/>
      <c r="C122" s="144"/>
      <c r="D122" s="406" t="str">
        <f>INDEX(CNTR_ListPurchPrecID,ROWS(D$111:D122))</f>
        <v>PP12</v>
      </c>
      <c r="E122" s="411" t="str">
        <f>IF(INDEX(CNTR_List_ExistPurchPrecNames,ROWS(D$111:D122))=CONST_NA,"",INDEX(CNTR_List_ExistPurchPrecNames,ROWS(D$111:D122)))</f>
        <v/>
      </c>
      <c r="F122" s="521" t="str">
        <f t="shared" si="7"/>
        <v/>
      </c>
      <c r="G122" s="246" t="str">
        <f>IF($E122="","",SUM(InputOutput!AJ92,InputOutput!AL92))</f>
        <v/>
      </c>
      <c r="H122" s="512"/>
      <c r="I122" s="246" t="str">
        <f t="shared" si="6"/>
        <v/>
      </c>
      <c r="J122" s="499"/>
      <c r="K122" s="499"/>
      <c r="L122" s="963"/>
      <c r="M122" s="964"/>
      <c r="N122" s="964"/>
      <c r="O122" s="428"/>
      <c r="S122" s="110"/>
      <c r="T122" s="515">
        <f t="shared" si="4"/>
        <v>0</v>
      </c>
      <c r="U122" s="515">
        <f t="shared" si="5"/>
        <v>0</v>
      </c>
      <c r="V122" s="516"/>
      <c r="W122" s="516"/>
    </row>
    <row r="123" spans="2:23" ht="12.75" customHeight="1" x14ac:dyDescent="0.25">
      <c r="B123" s="94"/>
      <c r="C123" s="144"/>
      <c r="D123" s="406" t="str">
        <f>INDEX(CNTR_ListPurchPrecID,ROWS(D$111:D123))</f>
        <v>PP13</v>
      </c>
      <c r="E123" s="411" t="str">
        <f>IF(INDEX(CNTR_List_ExistPurchPrecNames,ROWS(D$111:D123))=CONST_NA,"",INDEX(CNTR_List_ExistPurchPrecNames,ROWS(D$111:D123)))</f>
        <v/>
      </c>
      <c r="F123" s="521" t="str">
        <f t="shared" si="7"/>
        <v/>
      </c>
      <c r="G123" s="246" t="str">
        <f>IF($E123="","",SUM(InputOutput!AJ93,InputOutput!AL93))</f>
        <v/>
      </c>
      <c r="H123" s="512"/>
      <c r="I123" s="246" t="str">
        <f t="shared" si="6"/>
        <v/>
      </c>
      <c r="J123" s="499"/>
      <c r="K123" s="499"/>
      <c r="L123" s="963"/>
      <c r="M123" s="964"/>
      <c r="N123" s="964"/>
      <c r="O123" s="428"/>
      <c r="S123" s="110"/>
      <c r="T123" s="515">
        <f t="shared" si="4"/>
        <v>0</v>
      </c>
      <c r="U123" s="515">
        <f t="shared" si="5"/>
        <v>0</v>
      </c>
      <c r="V123" s="516"/>
      <c r="W123" s="516"/>
    </row>
    <row r="124" spans="2:23" ht="12.75" customHeight="1" x14ac:dyDescent="0.25">
      <c r="B124" s="94"/>
      <c r="C124" s="144"/>
      <c r="D124" s="406" t="str">
        <f>INDEX(CNTR_ListPurchPrecID,ROWS(D$111:D124))</f>
        <v>PP14</v>
      </c>
      <c r="E124" s="411" t="str">
        <f>IF(INDEX(CNTR_List_ExistPurchPrecNames,ROWS(D$111:D124))=CONST_NA,"",INDEX(CNTR_List_ExistPurchPrecNames,ROWS(D$111:D124)))</f>
        <v/>
      </c>
      <c r="F124" s="521" t="str">
        <f t="shared" si="7"/>
        <v/>
      </c>
      <c r="G124" s="246" t="str">
        <f>IF($E124="","",SUM(InputOutput!AJ94,InputOutput!AL94))</f>
        <v/>
      </c>
      <c r="H124" s="512"/>
      <c r="I124" s="246" t="str">
        <f t="shared" si="6"/>
        <v/>
      </c>
      <c r="J124" s="499"/>
      <c r="K124" s="499"/>
      <c r="L124" s="963"/>
      <c r="M124" s="964"/>
      <c r="N124" s="964"/>
      <c r="O124" s="428"/>
      <c r="S124" s="110"/>
      <c r="T124" s="515">
        <f t="shared" si="4"/>
        <v>0</v>
      </c>
      <c r="U124" s="515">
        <f t="shared" si="5"/>
        <v>0</v>
      </c>
      <c r="V124" s="516"/>
      <c r="W124" s="516"/>
    </row>
    <row r="125" spans="2:23" ht="12.75" customHeight="1" x14ac:dyDescent="0.25">
      <c r="B125" s="94"/>
      <c r="C125" s="144"/>
      <c r="D125" s="406" t="str">
        <f>INDEX(CNTR_ListPurchPrecID,ROWS(D$111:D125))</f>
        <v>PP15</v>
      </c>
      <c r="E125" s="411" t="str">
        <f>IF(INDEX(CNTR_List_ExistPurchPrecNames,ROWS(D$111:D125))=CONST_NA,"",INDEX(CNTR_List_ExistPurchPrecNames,ROWS(D$111:D125)))</f>
        <v/>
      </c>
      <c r="F125" s="521" t="str">
        <f t="shared" si="7"/>
        <v/>
      </c>
      <c r="G125" s="246" t="str">
        <f>IF($E125="","",SUM(InputOutput!AJ95,InputOutput!AL95))</f>
        <v/>
      </c>
      <c r="H125" s="512"/>
      <c r="I125" s="246" t="str">
        <f t="shared" si="6"/>
        <v/>
      </c>
      <c r="J125" s="499"/>
      <c r="K125" s="499"/>
      <c r="L125" s="963"/>
      <c r="M125" s="964"/>
      <c r="N125" s="964"/>
      <c r="O125" s="428"/>
      <c r="S125" s="110"/>
      <c r="T125" s="515">
        <f t="shared" si="4"/>
        <v>0</v>
      </c>
      <c r="U125" s="515">
        <f t="shared" si="5"/>
        <v>0</v>
      </c>
      <c r="V125" s="516"/>
      <c r="W125" s="516"/>
    </row>
    <row r="126" spans="2:23" ht="12.75" customHeight="1" x14ac:dyDescent="0.25">
      <c r="B126" s="94"/>
      <c r="C126" s="144"/>
      <c r="D126" s="406" t="str">
        <f>INDEX(CNTR_ListPurchPrecID,ROWS(D$111:D126))</f>
        <v>PP16</v>
      </c>
      <c r="E126" s="411" t="str">
        <f>IF(INDEX(CNTR_List_ExistPurchPrecNames,ROWS(D$111:D126))=CONST_NA,"",INDEX(CNTR_List_ExistPurchPrecNames,ROWS(D$111:D126)))</f>
        <v/>
      </c>
      <c r="F126" s="521" t="str">
        <f t="shared" si="7"/>
        <v/>
      </c>
      <c r="G126" s="246" t="str">
        <f>IF($E126="","",SUM(InputOutput!AJ96,InputOutput!AL96))</f>
        <v/>
      </c>
      <c r="H126" s="512"/>
      <c r="I126" s="246" t="str">
        <f t="shared" si="6"/>
        <v/>
      </c>
      <c r="J126" s="499"/>
      <c r="K126" s="499"/>
      <c r="L126" s="963"/>
      <c r="M126" s="964"/>
      <c r="N126" s="964"/>
      <c r="O126" s="428"/>
      <c r="S126" s="110"/>
      <c r="T126" s="515">
        <f t="shared" si="4"/>
        <v>0</v>
      </c>
      <c r="U126" s="515">
        <f t="shared" si="5"/>
        <v>0</v>
      </c>
      <c r="V126" s="516"/>
      <c r="W126" s="516"/>
    </row>
    <row r="127" spans="2:23" ht="12.75" customHeight="1" x14ac:dyDescent="0.25">
      <c r="B127" s="94"/>
      <c r="C127" s="144"/>
      <c r="D127" s="406" t="str">
        <f>INDEX(CNTR_ListPurchPrecID,ROWS(D$111:D127))</f>
        <v>PP17</v>
      </c>
      <c r="E127" s="411" t="str">
        <f>IF(INDEX(CNTR_List_ExistPurchPrecNames,ROWS(D$111:D127))=CONST_NA,"",INDEX(CNTR_List_ExistPurchPrecNames,ROWS(D$111:D127)))</f>
        <v/>
      </c>
      <c r="F127" s="521" t="str">
        <f t="shared" si="7"/>
        <v/>
      </c>
      <c r="G127" s="246" t="str">
        <f>IF($E127="","",SUM(InputOutput!AJ97,InputOutput!AL97))</f>
        <v/>
      </c>
      <c r="H127" s="512"/>
      <c r="I127" s="246" t="str">
        <f t="shared" si="6"/>
        <v/>
      </c>
      <c r="J127" s="499"/>
      <c r="K127" s="499"/>
      <c r="L127" s="963"/>
      <c r="M127" s="964"/>
      <c r="N127" s="964"/>
      <c r="O127" s="428"/>
      <c r="S127" s="110"/>
      <c r="T127" s="515">
        <f t="shared" si="4"/>
        <v>0</v>
      </c>
      <c r="U127" s="515">
        <f t="shared" si="5"/>
        <v>0</v>
      </c>
      <c r="V127" s="516"/>
      <c r="W127" s="516"/>
    </row>
    <row r="128" spans="2:23" ht="12.75" customHeight="1" x14ac:dyDescent="0.25">
      <c r="B128" s="94"/>
      <c r="C128" s="144"/>
      <c r="D128" s="406" t="str">
        <f>INDEX(CNTR_ListPurchPrecID,ROWS(D$111:D128))</f>
        <v>PP18</v>
      </c>
      <c r="E128" s="411" t="str">
        <f>IF(INDEX(CNTR_List_ExistPurchPrecNames,ROWS(D$111:D128))=CONST_NA,"",INDEX(CNTR_List_ExistPurchPrecNames,ROWS(D$111:D128)))</f>
        <v/>
      </c>
      <c r="F128" s="521" t="str">
        <f t="shared" si="7"/>
        <v/>
      </c>
      <c r="G128" s="246" t="str">
        <f>IF($E128="","",SUM(InputOutput!AJ98,InputOutput!AL98))</f>
        <v/>
      </c>
      <c r="H128" s="512"/>
      <c r="I128" s="246" t="str">
        <f t="shared" si="6"/>
        <v/>
      </c>
      <c r="J128" s="499"/>
      <c r="K128" s="499"/>
      <c r="L128" s="963"/>
      <c r="M128" s="964"/>
      <c r="N128" s="964"/>
      <c r="O128" s="428"/>
      <c r="S128" s="110"/>
      <c r="T128" s="515">
        <f t="shared" si="4"/>
        <v>0</v>
      </c>
      <c r="U128" s="515">
        <f t="shared" si="5"/>
        <v>0</v>
      </c>
      <c r="V128" s="516"/>
      <c r="W128" s="516"/>
    </row>
    <row r="129" spans="1:23" ht="12.75" customHeight="1" x14ac:dyDescent="0.25">
      <c r="B129" s="94"/>
      <c r="C129" s="144"/>
      <c r="D129" s="406" t="str">
        <f>INDEX(CNTR_ListPurchPrecID,ROWS(D$111:D129))</f>
        <v>PP19</v>
      </c>
      <c r="E129" s="411" t="str">
        <f>IF(INDEX(CNTR_List_ExistPurchPrecNames,ROWS(D$111:D129))=CONST_NA,"",INDEX(CNTR_List_ExistPurchPrecNames,ROWS(D$111:D129)))</f>
        <v/>
      </c>
      <c r="F129" s="521" t="str">
        <f t="shared" si="7"/>
        <v/>
      </c>
      <c r="G129" s="246" t="str">
        <f>IF($E129="","",SUM(InputOutput!AJ99,InputOutput!AL99))</f>
        <v/>
      </c>
      <c r="H129" s="512"/>
      <c r="I129" s="246" t="str">
        <f>IF(G129="","",G129*H129)</f>
        <v/>
      </c>
      <c r="J129" s="499"/>
      <c r="K129" s="499"/>
      <c r="L129" s="963"/>
      <c r="M129" s="964"/>
      <c r="N129" s="964"/>
      <c r="O129" s="428"/>
      <c r="S129" s="110"/>
      <c r="T129" s="515">
        <f t="shared" si="4"/>
        <v>0</v>
      </c>
      <c r="U129" s="515">
        <f t="shared" si="5"/>
        <v>0</v>
      </c>
      <c r="V129" s="516"/>
      <c r="W129" s="516"/>
    </row>
    <row r="130" spans="1:23" ht="12.75" customHeight="1" x14ac:dyDescent="0.25">
      <c r="B130" s="94"/>
      <c r="C130" s="144"/>
      <c r="D130" s="408" t="str">
        <f>INDEX(CNTR_ListPurchPrecID,ROWS(D$111:D130))</f>
        <v>PP20</v>
      </c>
      <c r="E130" s="412" t="str">
        <f>IF(INDEX(CNTR_List_ExistPurchPrecNames,ROWS(D$111:D130))=CONST_NA,"",INDEX(CNTR_List_ExistPurchPrecNames,ROWS(D$111:D130)))</f>
        <v/>
      </c>
      <c r="F130" s="523" t="str">
        <f t="shared" si="7"/>
        <v/>
      </c>
      <c r="G130" s="247" t="str">
        <f>IF($E130="","",SUM(InputOutput!AJ100,InputOutput!AL100))</f>
        <v/>
      </c>
      <c r="H130" s="514"/>
      <c r="I130" s="247" t="str">
        <f>IF(G130="","",G130*H130)</f>
        <v/>
      </c>
      <c r="J130" s="509"/>
      <c r="K130" s="509"/>
      <c r="L130" s="963"/>
      <c r="M130" s="964"/>
      <c r="N130" s="964"/>
      <c r="O130" s="428"/>
      <c r="S130" s="110"/>
      <c r="T130" s="515">
        <f t="shared" si="4"/>
        <v>0</v>
      </c>
      <c r="U130" s="515">
        <f t="shared" si="5"/>
        <v>0</v>
      </c>
    </row>
    <row r="131" spans="1:23" ht="12.75" customHeight="1" thickBot="1" x14ac:dyDescent="0.4">
      <c r="B131" s="934"/>
      <c r="C131" s="747"/>
      <c r="D131" s="747"/>
      <c r="E131" s="747"/>
      <c r="F131" s="747"/>
      <c r="G131" s="747"/>
      <c r="H131" s="747"/>
      <c r="I131" s="747"/>
      <c r="J131" s="747"/>
      <c r="K131" s="747"/>
      <c r="L131" s="747"/>
      <c r="M131" s="747"/>
      <c r="N131" s="747"/>
      <c r="O131" s="748"/>
    </row>
    <row r="132" spans="1:23" s="91" customFormat="1" ht="12.75" hidden="1" customHeight="1" x14ac:dyDescent="0.35">
      <c r="A132" s="91" t="s">
        <v>3</v>
      </c>
      <c r="P132" s="92" t="s">
        <v>116</v>
      </c>
    </row>
    <row r="133" spans="1:23" s="91" customFormat="1" ht="12.75" hidden="1" customHeight="1" x14ac:dyDescent="0.35">
      <c r="A133" s="91" t="s">
        <v>3</v>
      </c>
      <c r="P133" s="92"/>
    </row>
    <row r="134" spans="1:23" s="91" customFormat="1" ht="12.75" hidden="1" customHeight="1" x14ac:dyDescent="0.35">
      <c r="A134" s="91" t="s">
        <v>3</v>
      </c>
      <c r="P134" s="92"/>
    </row>
  </sheetData>
  <sheetProtection sheet="1" objects="1" scenarios="1" formatCells="0" formatColumns="0" formatRows="0"/>
  <mergeCells count="58">
    <mergeCell ref="M4:N4"/>
    <mergeCell ref="E24:N24"/>
    <mergeCell ref="E11:N11"/>
    <mergeCell ref="E12:N12"/>
    <mergeCell ref="D14:N14"/>
    <mergeCell ref="E10:N10"/>
    <mergeCell ref="B2:D4"/>
    <mergeCell ref="E2:F2"/>
    <mergeCell ref="G2:H2"/>
    <mergeCell ref="I2:J2"/>
    <mergeCell ref="K2:L2"/>
    <mergeCell ref="E4:F4"/>
    <mergeCell ref="G4:H4"/>
    <mergeCell ref="I4:J4"/>
    <mergeCell ref="K4:L4"/>
    <mergeCell ref="M2:N2"/>
    <mergeCell ref="E3:F3"/>
    <mergeCell ref="G3:H3"/>
    <mergeCell ref="I3:J3"/>
    <mergeCell ref="K3:L3"/>
    <mergeCell ref="M3:N3"/>
    <mergeCell ref="E37:N37"/>
    <mergeCell ref="E46:N46"/>
    <mergeCell ref="E38:N38"/>
    <mergeCell ref="E30:N30"/>
    <mergeCell ref="E31:N31"/>
    <mergeCell ref="E45:N45"/>
    <mergeCell ref="E39:N39"/>
    <mergeCell ref="E43:N43"/>
    <mergeCell ref="E44:N44"/>
    <mergeCell ref="E16:N16"/>
    <mergeCell ref="E17:N17"/>
    <mergeCell ref="E28:I28"/>
    <mergeCell ref="E32:N32"/>
    <mergeCell ref="E36:N36"/>
    <mergeCell ref="E23:N23"/>
    <mergeCell ref="E51:N51"/>
    <mergeCell ref="E84:N84"/>
    <mergeCell ref="E89:N89"/>
    <mergeCell ref="E85:N85"/>
    <mergeCell ref="F88:N88"/>
    <mergeCell ref="E66:I66"/>
    <mergeCell ref="E99:E100"/>
    <mergeCell ref="D57:N57"/>
    <mergeCell ref="E52:N52"/>
    <mergeCell ref="F87:N87"/>
    <mergeCell ref="E86:N86"/>
    <mergeCell ref="E83:N83"/>
    <mergeCell ref="F99:F100"/>
    <mergeCell ref="F92:N92"/>
    <mergeCell ref="F93:N93"/>
    <mergeCell ref="F94:N94"/>
    <mergeCell ref="F95:N95"/>
    <mergeCell ref="L99:L100"/>
    <mergeCell ref="M99:M100"/>
    <mergeCell ref="N99:N100"/>
    <mergeCell ref="H99:H100"/>
    <mergeCell ref="K97:L97"/>
  </mergeCells>
  <conditionalFormatting sqref="L101:N110">
    <cfRule type="dataBar" priority="190">
      <dataBar>
        <cfvo type="min"/>
        <cfvo type="max"/>
        <color theme="9" tint="0.59999389629810485"/>
      </dataBar>
      <extLst>
        <ext xmlns:x14="http://schemas.microsoft.com/office/spreadsheetml/2009/9/main" uri="{B025F937-C7B1-47D3-B67F-A62EFF666E3E}">
          <x14:id>{ACAA1DE1-974F-4B4C-80F0-F9B0E87D95A1}</x14:id>
        </ext>
      </extLst>
    </cfRule>
  </conditionalFormatting>
  <dataValidations count="2">
    <dataValidation type="decimal" allowBlank="1" showInputMessage="1" showErrorMessage="1" sqref="H101:H130" xr:uid="{00000000-0002-0000-0900-000000000000}">
      <formula1>0</formula1>
      <formula2>1</formula2>
    </dataValidation>
    <dataValidation type="list" allowBlank="1" showInputMessage="1" showErrorMessage="1" sqref="J97" xr:uid="{00000000-0002-0000-0900-000001000000}">
      <formula1>CNTR_ListCurrenciesCode</formula1>
    </dataValidation>
  </dataValidation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ACAA1DE1-974F-4B4C-80F0-F9B0E87D95A1}">
            <x14:dataBar minLength="0" maxLength="100" gradient="0">
              <x14:cfvo type="autoMin"/>
              <x14:cfvo type="autoMax"/>
              <x14:negativeFillColor rgb="FFFF0000"/>
              <x14:axisColor rgb="FF000000"/>
            </x14:dataBar>
          </x14:cfRule>
          <xm:sqref>L101:N110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4"/>
  <dimension ref="A1:X262"/>
  <sheetViews>
    <sheetView zoomScaleNormal="100" workbookViewId="0">
      <pane ySplit="4" topLeftCell="A5" activePane="bottomLeft" state="frozen"/>
      <selection pane="bottomLeft" activeCell="B2" sqref="B2:D4"/>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4" width="11.453125" style="91" hidden="1" customWidth="1"/>
    <col min="25" max="16384" width="11.453125" style="93"/>
  </cols>
  <sheetData>
    <row r="1" spans="1:24" s="91" customFormat="1" ht="14.15" hidden="1" customHeight="1" thickBot="1" x14ac:dyDescent="0.4">
      <c r="A1" s="91" t="s">
        <v>3</v>
      </c>
      <c r="P1" s="91" t="s">
        <v>3</v>
      </c>
      <c r="Q1" s="91" t="s">
        <v>3</v>
      </c>
      <c r="R1" s="91" t="s">
        <v>3</v>
      </c>
      <c r="S1" s="91" t="s">
        <v>3</v>
      </c>
      <c r="T1" s="91" t="s">
        <v>3</v>
      </c>
      <c r="U1" s="91" t="s">
        <v>3</v>
      </c>
      <c r="V1" s="91" t="s">
        <v>3</v>
      </c>
      <c r="W1" s="91" t="s">
        <v>3</v>
      </c>
      <c r="X1" s="91" t="s">
        <v>3</v>
      </c>
    </row>
    <row r="2" spans="1:24" ht="14.15" customHeight="1" thickBot="1" x14ac:dyDescent="0.4">
      <c r="B2" s="1178" t="str">
        <f>Translations!$B$354</f>
        <v>Further Guidance</v>
      </c>
      <c r="C2" s="1179"/>
      <c r="D2" s="1180"/>
      <c r="E2" s="1187" t="str">
        <f>Translations!$B$11</f>
        <v>Navigation Area:</v>
      </c>
      <c r="F2" s="1188"/>
      <c r="G2" s="1189" t="str">
        <f ca="1">HYPERLINK("#"&amp;ADDRESS(2,3,,,a_Contents!$U$2),a_Contents!$B$2)</f>
        <v>Table of contents</v>
      </c>
      <c r="H2" s="1190"/>
      <c r="I2" s="1189"/>
      <c r="J2" s="1190"/>
      <c r="K2" s="1189" t="str">
        <f ca="1">HYPERLINK("#"&amp;ADDRESS(2,3,,,Summary_Processes!$Y$2),Summary_Processes!$Y$2)</f>
        <v>Summary_Processes</v>
      </c>
      <c r="L2" s="1190"/>
      <c r="M2" s="1189" t="str">
        <f ca="1">HYPERLINK("#"&amp;ADDRESS(2,3,,,Summary_Products!$BF$2),Summary_Products!$BF$2)</f>
        <v>Summary_Products</v>
      </c>
      <c r="N2" s="1190"/>
      <c r="O2" s="906"/>
      <c r="R2" s="91" t="s">
        <v>114</v>
      </c>
      <c r="S2" s="95" t="str">
        <f>ADDRESS(ROW($B$2),COLUMN(B2)) &amp; ":" &amp; ADDRESS(MATCH("PRINT",$P:$P,0),COLUMN(O4))</f>
        <v>$B$2:$O$260</v>
      </c>
      <c r="T2" s="91" t="s">
        <v>25</v>
      </c>
      <c r="U2" s="886" t="str">
        <f ca="1">IF(ISERROR(CELL("filename",V2)),"G_FurtherGuidance",MID(CELL("filename",V2),FIND("]",CELL("filename",V2))+1,1024))</f>
        <v>G_FurtherGuidance</v>
      </c>
    </row>
    <row r="3" spans="1:24" ht="14.15" customHeight="1" x14ac:dyDescent="0.35">
      <c r="B3" s="1181"/>
      <c r="C3" s="1182"/>
      <c r="D3" s="1183"/>
      <c r="E3" s="1174"/>
      <c r="F3" s="1174"/>
      <c r="G3" s="1174" t="str">
        <f>IFERROR(HYPERLINK("#"&amp;ADDRESS(ROW($A$1)+MATCH(R3,$A:$A,0)-1,3),INDEX($R:$R,MATCH(R3,$A:$A,0))),"")</f>
        <v>General guidance</v>
      </c>
      <c r="H3" s="1174"/>
      <c r="I3" s="1174" t="str">
        <f>IFERROR(HYPERLINK("#"&amp;ADDRESS(ROW($A$1)+MATCH(T3,$A:$A,0)-1,3),INDEX($R:$R,MATCH(T3,$A:$A,0))),"")</f>
        <v>Source streams and emission sources</v>
      </c>
      <c r="J3" s="1174"/>
      <c r="K3" s="1174" t="str">
        <f>IFERROR(HYPERLINK("#"&amp;ADDRESS(ROW($A$1)+MATCH(V3,$A:$A,0)-1,3),INDEX($R:$R,MATCH(V3,$A:$A,0))),"")</f>
        <v>Attribution of emissions to production processes</v>
      </c>
      <c r="L3" s="1174"/>
      <c r="M3" s="1174" t="str">
        <f>IFERROR(HYPERLINK("#"&amp;ADDRESS(ROW($A$1)+MATCH(X3,$A:$A,0)-1,3),INDEX($R:$R,MATCH(X3,$A:$A,0))),"")</f>
        <v>Data input for the determination of the specific embedded emissions</v>
      </c>
      <c r="N3" s="1174"/>
      <c r="O3" s="428"/>
      <c r="R3" s="302">
        <v>1</v>
      </c>
      <c r="S3" s="303"/>
      <c r="T3" s="303">
        <v>2</v>
      </c>
      <c r="U3" s="303"/>
      <c r="V3" s="303">
        <v>3</v>
      </c>
      <c r="W3" s="303"/>
      <c r="X3" s="304">
        <v>4</v>
      </c>
    </row>
    <row r="4" spans="1:24" ht="14.15" customHeight="1" thickBot="1" x14ac:dyDescent="0.4">
      <c r="B4" s="1181"/>
      <c r="C4" s="1182"/>
      <c r="D4" s="1183"/>
      <c r="E4" s="1392"/>
      <c r="F4" s="1392"/>
      <c r="G4" s="1392" t="str">
        <f>IFERROR(HYPERLINK("#"&amp;ADDRESS(ROW($A$1)+MATCH(R4,$A:$A,0)-1,3),INDEX($R:$R,MATCH(R4,$A:$A,0))),"")</f>
        <v>Summary of products</v>
      </c>
      <c r="H4" s="1392"/>
      <c r="I4" s="1392"/>
      <c r="J4" s="1392"/>
      <c r="K4" s="1392"/>
      <c r="L4" s="1392"/>
      <c r="M4" s="1392"/>
      <c r="N4" s="1392"/>
      <c r="O4" s="428"/>
      <c r="R4" s="307">
        <v>5</v>
      </c>
      <c r="S4" s="308"/>
      <c r="T4" s="308"/>
      <c r="U4" s="308"/>
      <c r="V4" s="308"/>
      <c r="W4" s="308"/>
      <c r="X4" s="309"/>
    </row>
    <row r="5" spans="1:24" ht="5.15" customHeight="1" x14ac:dyDescent="0.35">
      <c r="A5" s="905"/>
      <c r="B5" s="920"/>
      <c r="C5" s="921"/>
      <c r="D5" s="921"/>
      <c r="E5" s="921"/>
      <c r="F5" s="921"/>
      <c r="G5" s="921"/>
      <c r="H5" s="921"/>
      <c r="I5" s="921"/>
      <c r="J5" s="921"/>
      <c r="K5" s="921"/>
      <c r="L5" s="921"/>
      <c r="M5" s="921"/>
      <c r="N5" s="921"/>
      <c r="O5" s="906"/>
      <c r="W5" s="104"/>
    </row>
    <row r="6" spans="1:24" ht="25.5" customHeight="1" x14ac:dyDescent="0.35">
      <c r="A6" s="92"/>
      <c r="B6" s="94"/>
      <c r="C6" s="965" t="s">
        <v>2821</v>
      </c>
      <c r="D6" s="144"/>
      <c r="E6" s="907" t="str">
        <f>Translations!$B$355</f>
        <v>Sheet "G_FurtherGuidance" - Further guidance on specific sections in this template</v>
      </c>
      <c r="F6" s="144"/>
      <c r="G6" s="144"/>
      <c r="H6" s="144"/>
      <c r="I6" s="144"/>
      <c r="J6" s="144"/>
      <c r="K6" s="144"/>
      <c r="L6" s="144"/>
      <c r="M6" s="144"/>
      <c r="N6" s="144"/>
      <c r="O6" s="428"/>
      <c r="R6" s="105" t="s">
        <v>328</v>
      </c>
      <c r="S6" s="105" t="s">
        <v>152</v>
      </c>
      <c r="T6" s="123"/>
      <c r="U6" s="123"/>
      <c r="V6" s="105" t="s">
        <v>154</v>
      </c>
      <c r="W6" s="104"/>
      <c r="X6" s="105" t="s">
        <v>138</v>
      </c>
    </row>
    <row r="7" spans="1:24" ht="5.15" customHeight="1" x14ac:dyDescent="0.35">
      <c r="A7" s="92"/>
      <c r="B7" s="94"/>
      <c r="C7" s="144"/>
      <c r="D7" s="144"/>
      <c r="E7" s="144"/>
      <c r="F7" s="144"/>
      <c r="G7" s="144"/>
      <c r="H7" s="144"/>
      <c r="I7" s="144"/>
      <c r="J7" s="144"/>
      <c r="K7" s="144"/>
      <c r="L7" s="144"/>
      <c r="M7" s="144"/>
      <c r="N7" s="144"/>
      <c r="O7" s="428"/>
      <c r="W7" s="104"/>
    </row>
    <row r="8" spans="1:24" ht="18" customHeight="1" x14ac:dyDescent="0.35">
      <c r="A8" s="919">
        <f>C8</f>
        <v>1</v>
      </c>
      <c r="B8" s="94"/>
      <c r="C8" s="319">
        <v>1</v>
      </c>
      <c r="D8" s="909" t="str">
        <f>Translations!$B$356</f>
        <v>General guidance</v>
      </c>
      <c r="E8" s="909"/>
      <c r="F8" s="910"/>
      <c r="G8" s="910"/>
      <c r="H8" s="910"/>
      <c r="I8" s="910"/>
      <c r="J8" s="910"/>
      <c r="K8" s="910"/>
      <c r="L8" s="910"/>
      <c r="M8" s="910"/>
      <c r="N8" s="910"/>
      <c r="O8" s="428"/>
      <c r="R8" s="102" t="str">
        <f>D8</f>
        <v>General guidance</v>
      </c>
      <c r="S8" s="105">
        <f>C8</f>
        <v>1</v>
      </c>
      <c r="W8" s="104"/>
    </row>
    <row r="9" spans="1:24" ht="5.15" customHeight="1" x14ac:dyDescent="0.35">
      <c r="A9" s="92"/>
      <c r="B9" s="94"/>
      <c r="C9" s="144"/>
      <c r="D9" s="10"/>
      <c r="E9" s="10"/>
      <c r="F9" s="10"/>
      <c r="G9" s="10"/>
      <c r="H9" s="10"/>
      <c r="I9" s="10"/>
      <c r="J9" s="10"/>
      <c r="K9" s="10"/>
      <c r="L9" s="10"/>
      <c r="M9" s="10"/>
      <c r="N9" s="10"/>
      <c r="O9" s="428"/>
    </row>
    <row r="10" spans="1:24" ht="5.15" customHeight="1" x14ac:dyDescent="0.3">
      <c r="A10" s="92"/>
      <c r="B10" s="94"/>
      <c r="C10" s="948"/>
      <c r="D10" s="950"/>
      <c r="E10" s="1350"/>
      <c r="F10" s="1351"/>
      <c r="G10" s="1351"/>
      <c r="H10" s="1351"/>
      <c r="I10" s="1351"/>
      <c r="J10" s="1351"/>
      <c r="K10" s="1351"/>
      <c r="L10" s="1351"/>
      <c r="M10" s="1351"/>
      <c r="N10" s="1351"/>
      <c r="O10" s="428"/>
    </row>
    <row r="11" spans="1:24" ht="38.25" customHeight="1" x14ac:dyDescent="0.3">
      <c r="A11" s="92"/>
      <c r="B11" s="94"/>
      <c r="C11" s="948"/>
      <c r="D11" s="950"/>
      <c r="E11" s="1384" t="str">
        <f>Translations!$B$357</f>
        <v>Each section of this template contains guidance on how to complete the required inputs in that section. However, for some sections the amount of guidance needed could distract the user from relevant inputs and make the format of the template less user-friendly. Where this is the case, the sections below provide the said further detailed guidance.</v>
      </c>
      <c r="F11" s="1384"/>
      <c r="G11" s="1384"/>
      <c r="H11" s="1384"/>
      <c r="I11" s="1384"/>
      <c r="J11" s="1384"/>
      <c r="K11" s="1384"/>
      <c r="L11" s="1384"/>
      <c r="M11" s="1384"/>
      <c r="N11" s="1384"/>
      <c r="O11" s="428"/>
    </row>
    <row r="12" spans="1:24" ht="25.5" customHeight="1" x14ac:dyDescent="0.3">
      <c r="A12" s="92"/>
      <c r="B12" s="94"/>
      <c r="C12" s="948"/>
      <c r="D12" s="951"/>
      <c r="E12" s="1384" t="str">
        <f>Translations!$B$358</f>
        <v>You do however not have to read the sections below from top to bottom. It is better if you go through the template from start to end (as also recommended in sheet "b_Guidelines&amp;Conditions") and relevant sections will contain a hyperlink that will direct you to the relevant guidance in this sheet anyway.</v>
      </c>
      <c r="F12" s="1384"/>
      <c r="G12" s="1384"/>
      <c r="H12" s="1384"/>
      <c r="I12" s="1384"/>
      <c r="J12" s="1384"/>
      <c r="K12" s="1384"/>
      <c r="L12" s="1384"/>
      <c r="M12" s="1384"/>
      <c r="N12" s="1384"/>
      <c r="O12" s="428"/>
    </row>
    <row r="13" spans="1:24" ht="12.75" customHeight="1" x14ac:dyDescent="0.3">
      <c r="A13" s="92"/>
      <c r="B13" s="94"/>
      <c r="C13" s="948"/>
      <c r="D13" s="951"/>
      <c r="E13" s="1388" t="str">
        <f>Translations!$B$359</f>
        <v>You can also find further guidance, including examples, in the guidance document published on the European Commission's website, which can be found here:</v>
      </c>
      <c r="F13" s="1388"/>
      <c r="G13" s="1388"/>
      <c r="H13" s="1388"/>
      <c r="I13" s="1388"/>
      <c r="J13" s="1388"/>
      <c r="K13" s="1388"/>
      <c r="L13" s="1388"/>
      <c r="M13" s="1388"/>
      <c r="N13" s="1388"/>
      <c r="O13" s="428"/>
    </row>
    <row r="14" spans="1:24" ht="12.75" customHeight="1" x14ac:dyDescent="0.3">
      <c r="A14" s="92"/>
      <c r="B14" s="94"/>
      <c r="C14" s="948"/>
      <c r="D14" s="951"/>
      <c r="E14" s="1397" t="str">
        <f>HYPERLINK(Translations!$B$61,Translations!$B$61)</f>
        <v>https://taxation-customs.ec.europa.eu/carbon-border-adjustment-mechanism_en</v>
      </c>
      <c r="F14" s="1398"/>
      <c r="G14" s="1398"/>
      <c r="H14" s="1398"/>
      <c r="I14" s="1398"/>
      <c r="J14" s="1398"/>
      <c r="K14" s="1398"/>
      <c r="L14" s="1398"/>
      <c r="M14" s="1398"/>
      <c r="N14" s="1398"/>
      <c r="O14" s="428"/>
    </row>
    <row r="15" spans="1:24" ht="5.15" customHeight="1" x14ac:dyDescent="0.3">
      <c r="A15" s="92"/>
      <c r="B15" s="94"/>
      <c r="C15" s="948"/>
      <c r="D15" s="951"/>
      <c r="E15" s="1350"/>
      <c r="F15" s="1351"/>
      <c r="G15" s="1351"/>
      <c r="H15" s="1351"/>
      <c r="I15" s="1351"/>
      <c r="J15" s="1351"/>
      <c r="K15" s="1351"/>
      <c r="L15" s="1351"/>
      <c r="M15" s="1351"/>
      <c r="N15" s="1351"/>
      <c r="O15" s="428"/>
    </row>
    <row r="16" spans="1:24" ht="12.75" customHeight="1" x14ac:dyDescent="0.35">
      <c r="A16" s="92"/>
      <c r="B16" s="94"/>
      <c r="C16" s="144"/>
      <c r="D16" s="144"/>
      <c r="E16" s="144"/>
      <c r="F16" s="144"/>
      <c r="G16" s="144"/>
      <c r="H16" s="144"/>
      <c r="I16" s="144"/>
      <c r="J16" s="144"/>
      <c r="K16" s="144"/>
      <c r="L16" s="144"/>
      <c r="M16" s="144"/>
      <c r="N16" s="144"/>
      <c r="O16" s="428"/>
      <c r="W16" s="104"/>
    </row>
    <row r="17" spans="1:23" ht="18" customHeight="1" x14ac:dyDescent="0.35">
      <c r="A17" s="919">
        <f>C17</f>
        <v>2</v>
      </c>
      <c r="B17" s="94"/>
      <c r="C17" s="319">
        <v>2</v>
      </c>
      <c r="D17" s="909" t="str">
        <f>Translations!$B$129</f>
        <v>Source streams and emission sources</v>
      </c>
      <c r="E17" s="909"/>
      <c r="F17" s="910"/>
      <c r="G17" s="910"/>
      <c r="H17" s="910"/>
      <c r="I17" s="910"/>
      <c r="J17" s="910"/>
      <c r="K17" s="910"/>
      <c r="L17" s="910"/>
      <c r="M17" s="910"/>
      <c r="N17" s="910"/>
      <c r="O17" s="428"/>
      <c r="R17" s="102" t="str">
        <f>D17</f>
        <v>Source streams and emission sources</v>
      </c>
      <c r="S17" s="105">
        <f>C17</f>
        <v>2</v>
      </c>
      <c r="W17" s="104"/>
    </row>
    <row r="18" spans="1:23" ht="5.15" customHeight="1" x14ac:dyDescent="0.35">
      <c r="A18" s="92"/>
      <c r="B18" s="94"/>
      <c r="C18" s="144"/>
      <c r="D18" s="10"/>
      <c r="E18" s="10"/>
      <c r="F18" s="10"/>
      <c r="G18" s="10"/>
      <c r="H18" s="10"/>
      <c r="I18" s="10"/>
      <c r="J18" s="10"/>
      <c r="K18" s="10"/>
      <c r="L18" s="10"/>
      <c r="M18" s="10"/>
      <c r="N18" s="10"/>
      <c r="O18" s="428"/>
    </row>
    <row r="19" spans="1:23" ht="5.15" customHeight="1" x14ac:dyDescent="0.3">
      <c r="A19" s="92"/>
      <c r="B19" s="94"/>
      <c r="C19" s="948"/>
      <c r="D19" s="950"/>
      <c r="E19" s="1350"/>
      <c r="F19" s="1351"/>
      <c r="G19" s="1351"/>
      <c r="H19" s="1351"/>
      <c r="I19" s="1351"/>
      <c r="J19" s="1351"/>
      <c r="K19" s="1351"/>
      <c r="L19" s="1351"/>
      <c r="M19" s="1351"/>
      <c r="N19" s="1351"/>
      <c r="O19" s="428"/>
    </row>
    <row r="20" spans="1:23" ht="12.75" customHeight="1" x14ac:dyDescent="0.3">
      <c r="A20" s="92"/>
      <c r="B20" s="94"/>
      <c r="C20" s="948"/>
      <c r="D20" s="950"/>
      <c r="E20" s="1388" t="str">
        <f>Translations!$B$360</f>
        <v>In sheet "B_EmInst" the energy content and the greenhouse gas (GHG) emissions are calculated for each source stream and emission source.</v>
      </c>
      <c r="F20" s="1388"/>
      <c r="G20" s="1388"/>
      <c r="H20" s="1388"/>
      <c r="I20" s="1388"/>
      <c r="J20" s="1388"/>
      <c r="K20" s="1388"/>
      <c r="L20" s="1388"/>
      <c r="M20" s="1388"/>
      <c r="N20" s="1388"/>
      <c r="O20" s="428"/>
    </row>
    <row r="21" spans="1:23" ht="25.9" customHeight="1" x14ac:dyDescent="0.3">
      <c r="A21" s="92"/>
      <c r="B21" s="94"/>
      <c r="C21" s="948"/>
      <c r="D21" s="951"/>
      <c r="E21" s="1388" t="str">
        <f>Translations!$B$361</f>
        <v>At the top of each block in that sheet you can find examples on how to complete data inputs in order to calculate the corresponding emissions for each source stream and emission source.</v>
      </c>
      <c r="F21" s="1388"/>
      <c r="G21" s="1388"/>
      <c r="H21" s="1388"/>
      <c r="I21" s="1388"/>
      <c r="J21" s="1388"/>
      <c r="K21" s="1388"/>
      <c r="L21" s="1388"/>
      <c r="M21" s="1388"/>
      <c r="N21" s="1388"/>
      <c r="O21" s="428"/>
    </row>
    <row r="22" spans="1:23" ht="25.9" customHeight="1" x14ac:dyDescent="0.3">
      <c r="A22" s="92"/>
      <c r="B22" s="94"/>
      <c r="C22" s="948"/>
      <c r="D22" s="951"/>
      <c r="E22" s="1388" t="str">
        <f>Translations!$B$1982</f>
        <v>Because this sheet is provided in a database-like format covering all monitoring approaches, each monitored item is corresponding to one row, and each parameter to be monitored is corresponding to one column. The columns not applicable to a specific monitoring approach are greyed out.</v>
      </c>
      <c r="F22" s="1388"/>
      <c r="G22" s="1388"/>
      <c r="H22" s="1388"/>
      <c r="I22" s="1388"/>
      <c r="J22" s="1388"/>
      <c r="K22" s="1388"/>
      <c r="L22" s="1388"/>
      <c r="M22" s="1388"/>
      <c r="N22" s="1388"/>
      <c r="O22" s="428"/>
    </row>
    <row r="23" spans="1:23" ht="13.15" customHeight="1" x14ac:dyDescent="0.3">
      <c r="A23" s="92"/>
      <c r="B23" s="94"/>
      <c r="C23" s="948"/>
      <c r="D23" s="951"/>
      <c r="E23" s="1388" t="str">
        <f>Translations!$B$362</f>
        <v>Guidance on each parameter below aims to help you with filling all input fields in sheet "B_EmInst".</v>
      </c>
      <c r="F23" s="1388"/>
      <c r="G23" s="1388"/>
      <c r="H23" s="1388"/>
      <c r="I23" s="1388"/>
      <c r="J23" s="1388"/>
      <c r="K23" s="1388"/>
      <c r="L23" s="1388"/>
      <c r="M23" s="1388"/>
      <c r="N23" s="1388"/>
      <c r="O23" s="428"/>
    </row>
    <row r="24" spans="1:23" ht="5.15" customHeight="1" x14ac:dyDescent="0.3">
      <c r="A24" s="92"/>
      <c r="B24" s="94"/>
      <c r="C24" s="948"/>
      <c r="D24" s="951"/>
      <c r="E24" s="1350"/>
      <c r="F24" s="1351"/>
      <c r="G24" s="1351"/>
      <c r="H24" s="1351"/>
      <c r="I24" s="1351"/>
      <c r="J24" s="1351"/>
      <c r="K24" s="1351"/>
      <c r="L24" s="1351"/>
      <c r="M24" s="1351"/>
      <c r="N24" s="1351"/>
      <c r="O24" s="428"/>
    </row>
    <row r="25" spans="1:23" ht="5.15" customHeight="1" x14ac:dyDescent="0.25">
      <c r="A25" s="92"/>
      <c r="B25" s="94"/>
      <c r="C25" s="144"/>
      <c r="D25" s="914"/>
      <c r="E25" s="915"/>
      <c r="F25" s="915"/>
      <c r="G25" s="915"/>
      <c r="H25" s="915"/>
      <c r="I25" s="915"/>
      <c r="J25" s="915"/>
      <c r="K25" s="915"/>
      <c r="L25" s="915"/>
      <c r="M25" s="915"/>
      <c r="N25" s="144"/>
      <c r="O25" s="428"/>
      <c r="S25" s="110"/>
    </row>
    <row r="26" spans="1:23" ht="12.75" customHeight="1" x14ac:dyDescent="0.25">
      <c r="A26" s="92"/>
      <c r="B26" s="94"/>
      <c r="C26" s="144"/>
      <c r="D26" s="914"/>
      <c r="E26" s="1380" t="str">
        <f ca="1">HYPERLINK("#"&amp;S26,CONST_LinkFromGuidance)</f>
        <v>Please click on this link if you want to go back to the relevant section for data entry.</v>
      </c>
      <c r="F26" s="1380"/>
      <c r="G26" s="1380"/>
      <c r="H26" s="1380"/>
      <c r="I26" s="1380"/>
      <c r="J26" s="1380"/>
      <c r="K26" s="1380"/>
      <c r="L26" s="1380"/>
      <c r="M26" s="1380"/>
      <c r="N26" s="1380"/>
      <c r="O26" s="428"/>
      <c r="R26" s="91" t="s">
        <v>2836</v>
      </c>
      <c r="S26" s="114" t="str">
        <f ca="1">ADDRESS(17,4,,,B_EmInst!$BD$2)</f>
        <v>B_EmInst!$D$17</v>
      </c>
    </row>
    <row r="27" spans="1:23" ht="5.15" customHeight="1" x14ac:dyDescent="0.35">
      <c r="A27" s="92"/>
      <c r="B27" s="94"/>
      <c r="C27" s="144"/>
      <c r="D27" s="144"/>
      <c r="E27" s="144"/>
      <c r="F27" s="144"/>
      <c r="G27" s="144"/>
      <c r="H27" s="144"/>
      <c r="I27" s="144"/>
      <c r="J27" s="144"/>
      <c r="K27" s="144"/>
      <c r="L27" s="144"/>
      <c r="M27" s="144"/>
      <c r="N27" s="144"/>
      <c r="O27" s="428"/>
      <c r="W27" s="104"/>
    </row>
    <row r="28" spans="1:23" ht="25.5" customHeight="1" x14ac:dyDescent="0.25">
      <c r="A28" s="92"/>
      <c r="B28" s="94"/>
      <c r="C28" s="144"/>
      <c r="D28" s="914"/>
      <c r="E28" s="1386" t="str">
        <f>Translations!$B$1958</f>
        <v>Calculation based approaches: Source Streams (excluding PFC emissions)</v>
      </c>
      <c r="F28" s="1386"/>
      <c r="G28" s="1386"/>
      <c r="H28" s="1386"/>
      <c r="I28" s="1386"/>
      <c r="J28" s="1386"/>
      <c r="K28" s="1386"/>
      <c r="L28" s="1386"/>
      <c r="M28" s="1386"/>
      <c r="N28" s="1386"/>
      <c r="O28" s="428"/>
      <c r="S28" s="110"/>
    </row>
    <row r="29" spans="1:23" ht="25.5" customHeight="1" x14ac:dyDescent="0.25">
      <c r="A29" s="92"/>
      <c r="B29" s="94"/>
      <c r="C29" s="144"/>
      <c r="D29" s="914"/>
      <c r="E29" s="1374" t="str">
        <f>Translations!$B$1983</f>
        <v xml:space="preserve">This block is used for entering all emissions monitored using a "calculation-based approach" (Implementing Act Annex III section B.3). </v>
      </c>
      <c r="F29" s="1387"/>
      <c r="G29" s="1387"/>
      <c r="H29" s="1387"/>
      <c r="I29" s="1387"/>
      <c r="J29" s="1387"/>
      <c r="K29" s="1387"/>
      <c r="L29" s="1387"/>
      <c r="M29" s="1387"/>
      <c r="N29" s="1387"/>
      <c r="O29" s="428"/>
      <c r="S29" s="110"/>
    </row>
    <row r="30" spans="1:23" ht="25.5" customHeight="1" x14ac:dyDescent="0.25">
      <c r="A30" s="92"/>
      <c r="B30" s="94"/>
      <c r="C30" s="144"/>
      <c r="D30" s="914"/>
      <c r="E30" s="415" t="str">
        <f>Translations!$B$132</f>
        <v>Method</v>
      </c>
      <c r="F30" s="416"/>
      <c r="G30" s="1374" t="str">
        <f>Translations!$B$364</f>
        <v>Please select from the drop-down list the monitoring method applied for the relevant source stream: "combustion", "process emissions" or "mass balance".</v>
      </c>
      <c r="H30" s="1374"/>
      <c r="I30" s="1374"/>
      <c r="J30" s="1374"/>
      <c r="K30" s="1374"/>
      <c r="L30" s="1374"/>
      <c r="M30" s="1374"/>
      <c r="N30" s="1374"/>
      <c r="O30" s="428"/>
      <c r="S30" s="110"/>
    </row>
    <row r="31" spans="1:23" ht="25.9" customHeight="1" x14ac:dyDescent="0.25">
      <c r="A31" s="92"/>
      <c r="B31" s="94"/>
      <c r="C31" s="144"/>
      <c r="D31" s="914"/>
      <c r="E31" s="242" t="str">
        <f>Translations!$B$133</f>
        <v>Source stream name</v>
      </c>
      <c r="F31" s="414"/>
      <c r="G31" s="1374" t="str">
        <f>Translations!$B$365</f>
        <v>Please enter here the name of the source stream, e.g. coal, natural gas, clinker raw meal, limestone, iron ore, steel, scrap iron, scrap aluminium.</v>
      </c>
      <c r="H31" s="1374"/>
      <c r="I31" s="1374"/>
      <c r="J31" s="1374"/>
      <c r="K31" s="1374"/>
      <c r="L31" s="1374"/>
      <c r="M31" s="1374"/>
      <c r="N31" s="1374"/>
      <c r="O31" s="428"/>
      <c r="S31" s="110"/>
    </row>
    <row r="32" spans="1:23" ht="38.25" customHeight="1" x14ac:dyDescent="0.25">
      <c r="A32" s="92"/>
      <c r="B32" s="94"/>
      <c r="C32" s="144"/>
      <c r="D32" s="914"/>
      <c r="E32" s="242" t="str">
        <f>Translations!$B$134</f>
        <v>Activity data (AD)</v>
      </c>
      <c r="F32" s="414"/>
      <c r="G32" s="1374" t="str">
        <f>Translations!$B$1984</f>
        <v>The activity data is the data on the amount of fuels or materials consumed or produced by a process as relevant for the calculation-based monitoring methodology, expressed as mass in tonnes (t), or for gases as volume in normal cubic metres (Nm³), as appropriate.</v>
      </c>
      <c r="H32" s="1374"/>
      <c r="I32" s="1374"/>
      <c r="J32" s="1374"/>
      <c r="K32" s="1374"/>
      <c r="L32" s="1374"/>
      <c r="M32" s="1374"/>
      <c r="N32" s="1374"/>
      <c r="O32" s="428"/>
      <c r="S32" s="110"/>
    </row>
    <row r="33" spans="1:19" ht="25.5" customHeight="1" x14ac:dyDescent="0.25">
      <c r="A33" s="92"/>
      <c r="B33" s="94"/>
      <c r="C33" s="144"/>
      <c r="D33" s="914"/>
      <c r="E33" s="242" t="str">
        <f>Translations!$B$368</f>
        <v>AD unit</v>
      </c>
      <c r="F33" s="414"/>
      <c r="G33" s="1374" t="str">
        <f>Translations!$B$1985</f>
        <v>The corresponding units in which the amounts above are provided. Please select tonnes (t) for mass of solid, liquid or gaseous materials and fuels, or 1000 normal cubic metres (Nm³) for gases.</v>
      </c>
      <c r="H33" s="1374"/>
      <c r="I33" s="1374"/>
      <c r="J33" s="1374"/>
      <c r="K33" s="1374"/>
      <c r="L33" s="1374"/>
      <c r="M33" s="1374"/>
      <c r="N33" s="1374"/>
      <c r="O33" s="428"/>
      <c r="S33" s="110"/>
    </row>
    <row r="34" spans="1:19" ht="25.5" customHeight="1" x14ac:dyDescent="0.25">
      <c r="A34" s="92"/>
      <c r="B34" s="94"/>
      <c r="C34" s="144"/>
      <c r="D34" s="914"/>
      <c r="E34" s="413" t="str">
        <f>Translations!$B$136</f>
        <v>Net calorific value (NCV)</v>
      </c>
      <c r="F34" s="417"/>
      <c r="G34" s="1383" t="str">
        <f>Translations!$B$1986</f>
        <v>The net calorific value is the specific amount of energy released as heat when a fuel or material undergoes complete combustion with oxygen under standard conditions less the heat of vaporisation of any water formed.</v>
      </c>
      <c r="H34" s="1383"/>
      <c r="I34" s="1383"/>
      <c r="J34" s="1383"/>
      <c r="K34" s="1383"/>
      <c r="L34" s="1383"/>
      <c r="M34" s="1383"/>
      <c r="N34" s="1383"/>
      <c r="O34" s="428"/>
      <c r="S34" s="110"/>
    </row>
    <row r="35" spans="1:19" ht="39.65" customHeight="1" x14ac:dyDescent="0.25">
      <c r="A35" s="92"/>
      <c r="B35" s="94"/>
      <c r="C35" s="144"/>
      <c r="D35" s="914"/>
      <c r="E35" s="441"/>
      <c r="F35" s="442"/>
      <c r="G35" s="1373" t="str">
        <f>Translations!$B$1987</f>
        <v>The input of NCV is mandatory for combustion emissions in order for the emission calculation to give meaningful results. However, in exceptional cases (where the emission factor is available as tCO2/t or tCO2/1000Nm3, the NCV is not taken into account for emission calculation, but only for the calculation of energy input.</v>
      </c>
      <c r="H35" s="1172"/>
      <c r="I35" s="1172"/>
      <c r="J35" s="1172"/>
      <c r="K35" s="1172"/>
      <c r="L35" s="1172"/>
      <c r="M35" s="1172"/>
      <c r="N35" s="1172"/>
      <c r="O35" s="428"/>
      <c r="S35" s="110"/>
    </row>
    <row r="36" spans="1:19" ht="26.5" customHeight="1" x14ac:dyDescent="0.25">
      <c r="A36" s="92"/>
      <c r="B36" s="94"/>
      <c r="C36" s="144"/>
      <c r="D36" s="914"/>
      <c r="E36" s="441"/>
      <c r="F36" s="442"/>
      <c r="G36" s="1373" t="str">
        <f>Translations!$B$1988</f>
        <v>For process emissions, the NCV can be entered for fuels used as process material. In this case, the unit for the emission factor must be chosen as "tCO2/TJ". Otherwise the NCV is ignored in the calculation of emissions.</v>
      </c>
      <c r="H36" s="1172"/>
      <c r="I36" s="1172"/>
      <c r="J36" s="1172"/>
      <c r="K36" s="1172"/>
      <c r="L36" s="1172"/>
      <c r="M36" s="1172"/>
      <c r="N36" s="1172"/>
      <c r="O36" s="428"/>
      <c r="S36" s="110"/>
    </row>
    <row r="37" spans="1:19" ht="13.15" customHeight="1" x14ac:dyDescent="0.25">
      <c r="A37" s="92"/>
      <c r="B37" s="94"/>
      <c r="C37" s="144"/>
      <c r="D37" s="914"/>
      <c r="E37" s="415"/>
      <c r="F37" s="416"/>
      <c r="G37" s="1376" t="str">
        <f>Translations!$B$1989</f>
        <v>For mass balances, the NCV can be entered for informative purposes, but it is not used for emission calculation.</v>
      </c>
      <c r="H37" s="1389"/>
      <c r="I37" s="1389"/>
      <c r="J37" s="1389"/>
      <c r="K37" s="1389"/>
      <c r="L37" s="1389"/>
      <c r="M37" s="1389"/>
      <c r="N37" s="1389"/>
      <c r="O37" s="428"/>
      <c r="S37" s="110"/>
    </row>
    <row r="38" spans="1:19" ht="38.65" customHeight="1" x14ac:dyDescent="0.25">
      <c r="A38" s="92"/>
      <c r="B38" s="94"/>
      <c r="C38" s="144"/>
      <c r="D38" s="914"/>
      <c r="E38" s="242" t="str">
        <f>Translations!$B$137</f>
        <v>NCV Unit</v>
      </c>
      <c r="F38" s="414"/>
      <c r="G38" s="1374" t="str">
        <f>Translations!$B$1990</f>
        <v>The appropriate unit for the NCV is automatically displayed based on the selection of the AD unit. Note, however, that in accordance with what has been said on the NCV above, in case of process emissions, the unit of the NCV will only be displayed if the unit for the EF is selected to be tCO2/TJ.</v>
      </c>
      <c r="H38" s="1379"/>
      <c r="I38" s="1379"/>
      <c r="J38" s="1379"/>
      <c r="K38" s="1379"/>
      <c r="L38" s="1379"/>
      <c r="M38" s="1379"/>
      <c r="N38" s="1379"/>
      <c r="O38" s="428"/>
      <c r="S38" s="110"/>
    </row>
    <row r="39" spans="1:19" ht="51.4" customHeight="1" x14ac:dyDescent="0.25">
      <c r="A39" s="92"/>
      <c r="B39" s="94"/>
      <c r="C39" s="144"/>
      <c r="D39" s="914"/>
      <c r="E39" s="242" t="str">
        <f>Translations!$B$138</f>
        <v>Emission factor (EF)</v>
      </c>
      <c r="F39" s="414"/>
      <c r="G39" s="1374" t="str">
        <f>Translations!$B$1991</f>
        <v>The emission factor is used to calculate emissions under the "standard methodology" (section B.3.1 of Annex III of the implementing Act), but not for the mass balance approach. For biomass and mixed materials, the "preliminary" emission factor must be used. This is the assumed total emission factor of a mixed fuel or material based on the total carbon content composed of biomass fraction and fossil fraction before multiplying it with the fossil fraction to result in the emission factor.</v>
      </c>
      <c r="H39" s="1374"/>
      <c r="I39" s="1374"/>
      <c r="J39" s="1374"/>
      <c r="K39" s="1374"/>
      <c r="L39" s="1374"/>
      <c r="M39" s="1374"/>
      <c r="N39" s="1374"/>
      <c r="O39" s="428"/>
      <c r="S39" s="110"/>
    </row>
    <row r="40" spans="1:19" ht="38.65" customHeight="1" x14ac:dyDescent="0.25">
      <c r="A40" s="92"/>
      <c r="B40" s="94"/>
      <c r="C40" s="144"/>
      <c r="D40" s="914"/>
      <c r="E40" s="242" t="str">
        <f>Translations!$B$139</f>
        <v>EF Unit</v>
      </c>
      <c r="F40" s="414"/>
      <c r="G40" s="1390" t="str">
        <f>Translations!$B$1992</f>
        <v>Please select here either "tCO2/TJ" (default for fuels), or "tCO2/t" or "tCO2/1000Nm3" if the NCV is not to be used for the calculation of emissions. The latter applies to process emissions or in exceptional cases to fuels, if the determination of NCV is not possible without incurring unreasonable costs.</v>
      </c>
      <c r="H40" s="1391"/>
      <c r="I40" s="1391"/>
      <c r="J40" s="1391"/>
      <c r="K40" s="1391"/>
      <c r="L40" s="1391"/>
      <c r="M40" s="1391"/>
      <c r="N40" s="1391"/>
      <c r="O40" s="428"/>
      <c r="S40" s="110"/>
    </row>
    <row r="41" spans="1:19" ht="25.9" customHeight="1" x14ac:dyDescent="0.25">
      <c r="A41" s="92"/>
      <c r="B41" s="94"/>
      <c r="C41" s="144"/>
      <c r="D41" s="914"/>
      <c r="E41" s="242" t="str">
        <f>Translations!$B$140</f>
        <v>Carbon content</v>
      </c>
      <c r="F41" s="414"/>
      <c r="G41" s="1374" t="str">
        <f>Translations!$B$1993</f>
        <v>The carbon content of the fuel or material. This parameter is used only for the mass balance approach (Section B.3.2 of Annex III of the implementing act).</v>
      </c>
      <c r="H41" s="1374"/>
      <c r="I41" s="1374"/>
      <c r="J41" s="1374"/>
      <c r="K41" s="1374"/>
      <c r="L41" s="1374"/>
      <c r="M41" s="1374"/>
      <c r="N41" s="1374"/>
      <c r="O41" s="428"/>
      <c r="S41" s="110"/>
    </row>
    <row r="42" spans="1:19" ht="26.5" customHeight="1" x14ac:dyDescent="0.25">
      <c r="A42" s="92"/>
      <c r="B42" s="94"/>
      <c r="C42" s="144"/>
      <c r="D42" s="914"/>
      <c r="E42" s="242" t="str">
        <f>Translations!$B$141</f>
        <v>C-Content Unit</v>
      </c>
      <c r="F42" s="414"/>
      <c r="G42" s="1374" t="str">
        <f>Translations!$B$1994</f>
        <v xml:space="preserve">Depending on the selected unit for the activity data, the correct unit for the carbon content (either "tC/t material", or "tC/1000Nm3" for gases) is automatically displayed. </v>
      </c>
      <c r="H42" s="1374"/>
      <c r="I42" s="1374"/>
      <c r="J42" s="1374"/>
      <c r="K42" s="1374"/>
      <c r="L42" s="1374"/>
      <c r="M42" s="1374"/>
      <c r="N42" s="1374"/>
      <c r="O42" s="428"/>
      <c r="S42" s="110"/>
    </row>
    <row r="43" spans="1:19" ht="25.5" customHeight="1" x14ac:dyDescent="0.25">
      <c r="A43" s="92"/>
      <c r="B43" s="94"/>
      <c r="C43" s="144"/>
      <c r="D43" s="914"/>
      <c r="E43" s="413" t="str">
        <f>Translations!$B$142</f>
        <v>Oxidation factor (OxF)</v>
      </c>
      <c r="F43" s="417"/>
      <c r="G43" s="1383" t="str">
        <f>Translations!$B$373</f>
        <v>Oxidation factor: the ratio of carbon oxidised to CO2 as a consequence of combustion to the total carbon contained in the fuel, expressed as a fraction, considering carbon monoxide (CO) emitted to the atmosphere as the molar equivalent amount of CO2.</v>
      </c>
      <c r="H43" s="1383"/>
      <c r="I43" s="1383"/>
      <c r="J43" s="1383"/>
      <c r="K43" s="1383"/>
      <c r="L43" s="1383"/>
      <c r="M43" s="1383"/>
      <c r="N43" s="1383"/>
      <c r="O43" s="428"/>
      <c r="S43" s="110"/>
    </row>
    <row r="44" spans="1:19" ht="25.5" customHeight="1" x14ac:dyDescent="0.25">
      <c r="A44" s="92"/>
      <c r="B44" s="94"/>
      <c r="C44" s="144"/>
      <c r="D44" s="914"/>
      <c r="E44" s="441"/>
      <c r="F44" s="442"/>
      <c r="G44" s="1376" t="str">
        <f>Translations!$B$1995</f>
        <v>In order for the emission calculation to work properly, a standard value of 100% is used if the field is left empty. Note that the unit is fixed to percent (see next point). Therefore, the value entered here must be between 100 (full oxidation) and 0 (no oxidation at all).</v>
      </c>
      <c r="H44" s="1376"/>
      <c r="I44" s="1376"/>
      <c r="J44" s="1376"/>
      <c r="K44" s="1376"/>
      <c r="L44" s="1376"/>
      <c r="M44" s="1376"/>
      <c r="N44" s="1376"/>
      <c r="O44" s="428"/>
      <c r="S44" s="110"/>
    </row>
    <row r="45" spans="1:19" ht="13.15" customHeight="1" x14ac:dyDescent="0.25">
      <c r="A45" s="92"/>
      <c r="B45" s="94"/>
      <c r="C45" s="144"/>
      <c r="D45" s="914"/>
      <c r="E45" s="415"/>
      <c r="F45" s="416"/>
      <c r="G45" s="1376" t="str">
        <f>Translations!$B$1996</f>
        <v>Due to the way how Excel handles percentage values, only numbers WITHOUT percentage sign ("%") must be entered.</v>
      </c>
      <c r="H45" s="1376"/>
      <c r="I45" s="1376"/>
      <c r="J45" s="1376"/>
      <c r="K45" s="1376"/>
      <c r="L45" s="1376"/>
      <c r="M45" s="1376"/>
      <c r="N45" s="1376"/>
      <c r="O45" s="428"/>
      <c r="S45" s="110"/>
    </row>
    <row r="46" spans="1:19" ht="13.15" customHeight="1" x14ac:dyDescent="0.25">
      <c r="A46" s="92"/>
      <c r="B46" s="94"/>
      <c r="C46" s="144"/>
      <c r="D46" s="914"/>
      <c r="E46" s="242" t="str">
        <f>Translations!$B$143</f>
        <v>OxF Unit</v>
      </c>
      <c r="F46" s="414"/>
      <c r="G46" s="1374" t="str">
        <f>Translations!$B$1997</f>
        <v>The unit of the oxidation factor is always percent (%).</v>
      </c>
      <c r="H46" s="1374"/>
      <c r="I46" s="1374"/>
      <c r="J46" s="1374"/>
      <c r="K46" s="1374"/>
      <c r="L46" s="1374"/>
      <c r="M46" s="1374"/>
      <c r="N46" s="1374"/>
      <c r="O46" s="428"/>
      <c r="S46" s="110"/>
    </row>
    <row r="47" spans="1:19" ht="25.5" customHeight="1" x14ac:dyDescent="0.25">
      <c r="A47" s="92"/>
      <c r="B47" s="94"/>
      <c r="C47" s="144"/>
      <c r="D47" s="914"/>
      <c r="E47" s="413" t="str">
        <f>Translations!$B$144</f>
        <v>Conversion factor (ConvF)</v>
      </c>
      <c r="F47" s="417"/>
      <c r="G47" s="1374" t="str">
        <f>Translations!$B$374</f>
        <v>Conversion factor: the ratio of carbon emitted as CO2 to the total carbon contained in the source stream before the emitting process takes place, expressed as a fraction, considering CO emitted to the atmosphere as the molar equivalent amount of CO2.</v>
      </c>
      <c r="H47" s="1374"/>
      <c r="I47" s="1374"/>
      <c r="J47" s="1374"/>
      <c r="K47" s="1374"/>
      <c r="L47" s="1374"/>
      <c r="M47" s="1374"/>
      <c r="N47" s="1374"/>
      <c r="O47" s="428"/>
      <c r="S47" s="110"/>
    </row>
    <row r="48" spans="1:19" ht="25.5" customHeight="1" x14ac:dyDescent="0.25">
      <c r="A48" s="92"/>
      <c r="B48" s="94"/>
      <c r="C48" s="144"/>
      <c r="D48" s="914"/>
      <c r="E48" s="441"/>
      <c r="F48" s="442"/>
      <c r="G48" s="1376" t="str">
        <f>Translations!$B$1998</f>
        <v>In order for the emission calculation to work properly, a standard value of 100% is used if the field is left empty. Note that the unit is fixed to percent (see next point). Therefore, the value entered here must be between 100 (full yield of the process) and 0 (no reaction at all).</v>
      </c>
      <c r="H48" s="1376"/>
      <c r="I48" s="1376"/>
      <c r="J48" s="1376"/>
      <c r="K48" s="1376"/>
      <c r="L48" s="1376"/>
      <c r="M48" s="1376"/>
      <c r="N48" s="1376"/>
      <c r="O48" s="428"/>
      <c r="S48" s="110"/>
    </row>
    <row r="49" spans="1:19" ht="13.15" customHeight="1" x14ac:dyDescent="0.25">
      <c r="A49" s="92"/>
      <c r="B49" s="94"/>
      <c r="C49" s="144"/>
      <c r="D49" s="914"/>
      <c r="E49" s="415"/>
      <c r="F49" s="416"/>
      <c r="G49" s="1376" t="str">
        <f>Translations!$B$1996</f>
        <v>Due to the way how Excel handles percentage values, only numbers WITHOUT percentage sign ("%") must be entered.</v>
      </c>
      <c r="H49" s="1376"/>
      <c r="I49" s="1376"/>
      <c r="J49" s="1376"/>
      <c r="K49" s="1376"/>
      <c r="L49" s="1376"/>
      <c r="M49" s="1376"/>
      <c r="N49" s="1376"/>
      <c r="O49" s="428"/>
      <c r="S49" s="110"/>
    </row>
    <row r="50" spans="1:19" ht="13.15" customHeight="1" x14ac:dyDescent="0.25">
      <c r="A50" s="92"/>
      <c r="B50" s="94"/>
      <c r="C50" s="144"/>
      <c r="D50" s="914"/>
      <c r="E50" s="242" t="str">
        <f>Translations!$B$145</f>
        <v>ConvF Unit</v>
      </c>
      <c r="F50" s="414"/>
      <c r="G50" s="1374" t="str">
        <f>Translations!$B$1999</f>
        <v>The unit of the conversion factor is always percent (%).</v>
      </c>
      <c r="H50" s="1374"/>
      <c r="I50" s="1374"/>
      <c r="J50" s="1374"/>
      <c r="K50" s="1374"/>
      <c r="L50" s="1374"/>
      <c r="M50" s="1374"/>
      <c r="N50" s="1374"/>
      <c r="O50" s="428"/>
      <c r="S50" s="110"/>
    </row>
    <row r="51" spans="1:19" ht="25.5" customHeight="1" x14ac:dyDescent="0.25">
      <c r="A51" s="92"/>
      <c r="B51" s="94"/>
      <c r="C51" s="144"/>
      <c r="D51" s="914"/>
      <c r="E51" s="413" t="str">
        <f>Translations!$B$146</f>
        <v>Biomass content (BioC)</v>
      </c>
      <c r="F51" s="417"/>
      <c r="G51" s="1383" t="str">
        <f>Translations!$B$378</f>
        <v>The biomass fraction is the ratio of carbon stemming from biomass to the total carbon content of a fuel or material, expressed as percentage.</v>
      </c>
      <c r="H51" s="1383"/>
      <c r="I51" s="1383"/>
      <c r="J51" s="1383"/>
      <c r="K51" s="1383"/>
      <c r="L51" s="1383"/>
      <c r="M51" s="1383"/>
      <c r="N51" s="1383"/>
      <c r="O51" s="428"/>
      <c r="S51" s="110"/>
    </row>
    <row r="52" spans="1:19" ht="38.65" customHeight="1" x14ac:dyDescent="0.25">
      <c r="A52" s="92"/>
      <c r="B52" s="94"/>
      <c r="C52" s="144"/>
      <c r="D52" s="914"/>
      <c r="E52" s="441"/>
      <c r="F52" s="442"/>
      <c r="G52" s="1373" t="str">
        <f>Translations!$B$2000</f>
        <v>The entry of a biomass fraction is voluntary. If there is no biomass fraction, or if 0 is entered, the emission calculation gives automatically the result of a purely fossil fuel or material. Note that the unit is fixed to percent (see next point). Therefore, any value entered here must be between 100 (pure biomass) and 0 (no biomass at all).</v>
      </c>
      <c r="H52" s="1373"/>
      <c r="I52" s="1373"/>
      <c r="J52" s="1373"/>
      <c r="K52" s="1373"/>
      <c r="L52" s="1373"/>
      <c r="M52" s="1373"/>
      <c r="N52" s="1373"/>
      <c r="O52" s="428"/>
      <c r="S52" s="110"/>
    </row>
    <row r="53" spans="1:19" ht="13.15" customHeight="1" x14ac:dyDescent="0.25">
      <c r="A53" s="92"/>
      <c r="B53" s="94"/>
      <c r="C53" s="144"/>
      <c r="D53" s="914"/>
      <c r="E53" s="415"/>
      <c r="F53" s="416"/>
      <c r="G53" s="1376" t="str">
        <f>Translations!$B$1996</f>
        <v>Due to the way how Excel handles percentage values, only numbers WITHOUT percentage sign ("%") must be entered.</v>
      </c>
      <c r="H53" s="1376"/>
      <c r="I53" s="1376"/>
      <c r="J53" s="1376"/>
      <c r="K53" s="1376"/>
      <c r="L53" s="1376"/>
      <c r="M53" s="1376"/>
      <c r="N53" s="1376"/>
      <c r="O53" s="428"/>
      <c r="S53" s="110"/>
    </row>
    <row r="54" spans="1:19" ht="13.15" customHeight="1" x14ac:dyDescent="0.25">
      <c r="A54" s="92"/>
      <c r="B54" s="94"/>
      <c r="C54" s="144"/>
      <c r="D54" s="914"/>
      <c r="E54" s="242" t="str">
        <f>Translations!$B$147</f>
        <v>BioC Unit</v>
      </c>
      <c r="F54" s="414"/>
      <c r="G54" s="1374" t="str">
        <f>Translations!$B$2001</f>
        <v>The unit of the biomass fraction is always percent (%).</v>
      </c>
      <c r="H54" s="1374"/>
      <c r="I54" s="1374"/>
      <c r="J54" s="1374"/>
      <c r="K54" s="1374"/>
      <c r="L54" s="1374"/>
      <c r="M54" s="1374"/>
      <c r="N54" s="1374"/>
      <c r="O54" s="428"/>
      <c r="S54" s="110"/>
    </row>
    <row r="55" spans="1:19" ht="25.5" customHeight="1" x14ac:dyDescent="0.25">
      <c r="A55" s="92"/>
      <c r="B55" s="94"/>
      <c r="C55" s="144"/>
      <c r="D55" s="914"/>
      <c r="E55" s="242" t="str">
        <f>Translations!$B$379</f>
        <v>Further columns greyed out</v>
      </c>
      <c r="F55" s="414"/>
      <c r="G55" s="1374" t="str">
        <f>Translations!$B$380</f>
        <v>Further columns are relevant for PFC emissions or emission sources (measurement-based approaches), but not for source streams. For source streams they are therefore greyed out.</v>
      </c>
      <c r="H55" s="1374"/>
      <c r="I55" s="1374"/>
      <c r="J55" s="1374"/>
      <c r="K55" s="1374"/>
      <c r="L55" s="1374"/>
      <c r="M55" s="1374"/>
      <c r="N55" s="1374"/>
      <c r="O55" s="428"/>
      <c r="S55" s="110"/>
    </row>
    <row r="56" spans="1:19" ht="25.5" customHeight="1" x14ac:dyDescent="0.25">
      <c r="A56" s="92"/>
      <c r="B56" s="94"/>
      <c r="C56" s="144"/>
      <c r="D56" s="914"/>
      <c r="E56" s="413" t="str">
        <f>Translations!$B$381</f>
        <v>Energy and emissions</v>
      </c>
      <c r="F56" s="417"/>
      <c r="G56" s="1383" t="str">
        <f>Translations!$B$2002</f>
        <v>On the far right side of each block the total energy content and GHG emissions (fossil and biogenic) are calculated automatically for each source stream.</v>
      </c>
      <c r="H56" s="1383"/>
      <c r="I56" s="1383"/>
      <c r="J56" s="1383"/>
      <c r="K56" s="1383"/>
      <c r="L56" s="1383"/>
      <c r="M56" s="1383"/>
      <c r="N56" s="1383"/>
      <c r="O56" s="428"/>
      <c r="S56" s="110"/>
    </row>
    <row r="57" spans="1:19" ht="25.5" customHeight="1" x14ac:dyDescent="0.25">
      <c r="A57" s="92"/>
      <c r="B57" s="94"/>
      <c r="C57" s="144"/>
      <c r="D57" s="914"/>
      <c r="E57" s="441"/>
      <c r="F57" s="442"/>
      <c r="G57" s="1373" t="str">
        <f>Translations!$B$2003</f>
        <v>If the units of activity data and emission factor are inconsistent, the message "Inconsistent!" is displayed. If the inputs are incomplete, the message "Incomplete!" is shown.</v>
      </c>
      <c r="H57" s="1172"/>
      <c r="I57" s="1172"/>
      <c r="J57" s="1172"/>
      <c r="K57" s="1172"/>
      <c r="L57" s="1172"/>
      <c r="M57" s="1172"/>
      <c r="N57" s="1172"/>
      <c r="O57" s="428"/>
      <c r="S57" s="110"/>
    </row>
    <row r="58" spans="1:19" ht="26.5" customHeight="1" x14ac:dyDescent="0.25">
      <c r="A58" s="92"/>
      <c r="B58" s="94"/>
      <c r="C58" s="144"/>
      <c r="D58" s="914"/>
      <c r="E58" s="415"/>
      <c r="F58" s="416"/>
      <c r="G58" s="1377" t="str">
        <f>Translations!$B$2004</f>
        <v>The fossil emissions are the necessary basis for determining the embedded emissions of CBAM goods. The results are automatically transferred into sheet C_Emissions&amp;Energy.</v>
      </c>
      <c r="H58" s="1166"/>
      <c r="I58" s="1166"/>
      <c r="J58" s="1166"/>
      <c r="K58" s="1166"/>
      <c r="L58" s="1166"/>
      <c r="M58" s="1166"/>
      <c r="N58" s="1166"/>
      <c r="O58" s="428"/>
      <c r="S58" s="110"/>
    </row>
    <row r="59" spans="1:19" ht="25.5" customHeight="1" x14ac:dyDescent="0.25">
      <c r="A59" s="92"/>
      <c r="B59" s="94"/>
      <c r="C59" s="144"/>
      <c r="D59" s="914"/>
      <c r="E59" s="1386" t="str">
        <f>Translations!$B$1962</f>
        <v>PFC (perfluorocarbon) emissions</v>
      </c>
      <c r="F59" s="1386"/>
      <c r="G59" s="1386"/>
      <c r="H59" s="1386"/>
      <c r="I59" s="1386"/>
      <c r="J59" s="1386"/>
      <c r="K59" s="1386"/>
      <c r="L59" s="1386"/>
      <c r="M59" s="1386"/>
      <c r="N59" s="1386"/>
      <c r="O59" s="428"/>
      <c r="S59" s="110"/>
    </row>
    <row r="60" spans="1:19" ht="25.5" customHeight="1" x14ac:dyDescent="0.25">
      <c r="A60" s="92"/>
      <c r="B60" s="94"/>
      <c r="C60" s="144"/>
      <c r="D60" s="914"/>
      <c r="E60" s="1374" t="str">
        <f>Translations!$B$2005</f>
        <v xml:space="preserve">This block is used for entering all emissions monitored using the specific approach for PFC emissions (Implementing Act Annex III section B.7). </v>
      </c>
      <c r="F60" s="1375"/>
      <c r="G60" s="1375"/>
      <c r="H60" s="1375"/>
      <c r="I60" s="1375"/>
      <c r="J60" s="1375"/>
      <c r="K60" s="1375"/>
      <c r="L60" s="1375"/>
      <c r="M60" s="1375"/>
      <c r="N60" s="1375"/>
      <c r="O60" s="428"/>
      <c r="S60" s="110"/>
    </row>
    <row r="61" spans="1:19" ht="13.15" customHeight="1" x14ac:dyDescent="0.25">
      <c r="A61" s="92"/>
      <c r="B61" s="94"/>
      <c r="C61" s="144"/>
      <c r="D61" s="914"/>
      <c r="E61" s="415" t="str">
        <f>Translations!$B$132</f>
        <v>Method</v>
      </c>
      <c r="F61" s="414"/>
      <c r="G61" s="1374" t="str">
        <f>Translations!$B$384</f>
        <v>Please select from the drop-down list the monitoring method applied: "slope" (Method A) or "overvoltage" (Method B).</v>
      </c>
      <c r="H61" s="1374"/>
      <c r="I61" s="1374"/>
      <c r="J61" s="1374"/>
      <c r="K61" s="1374"/>
      <c r="L61" s="1374"/>
      <c r="M61" s="1374"/>
      <c r="N61" s="1374"/>
      <c r="O61" s="428"/>
      <c r="S61" s="110"/>
    </row>
    <row r="62" spans="1:19" ht="12.75" customHeight="1" x14ac:dyDescent="0.25">
      <c r="A62" s="92"/>
      <c r="B62" s="94"/>
      <c r="C62" s="144"/>
      <c r="D62" s="914"/>
      <c r="E62" s="242" t="str">
        <f>Translations!$B$1963</f>
        <v>Technology type</v>
      </c>
      <c r="F62" s="414"/>
      <c r="G62" s="1374" t="str">
        <f>Translations!$B$2006</f>
        <v>Please provide here the type of anode technology such as Centre Worked Pre-Bake (CWPB), Vertical Stud Søderberg (VSS), etc.</v>
      </c>
      <c r="H62" s="1374"/>
      <c r="I62" s="1374"/>
      <c r="J62" s="1374"/>
      <c r="K62" s="1374"/>
      <c r="L62" s="1374"/>
      <c r="M62" s="1374"/>
      <c r="N62" s="1374"/>
      <c r="O62" s="428"/>
      <c r="S62" s="110"/>
    </row>
    <row r="63" spans="1:19" ht="12.75" customHeight="1" x14ac:dyDescent="0.25">
      <c r="A63" s="92"/>
      <c r="B63" s="94"/>
      <c r="C63" s="144"/>
      <c r="D63" s="914"/>
      <c r="E63" s="242" t="str">
        <f>B_EmInst!$F$13</f>
        <v>Activity data (AD)</v>
      </c>
      <c r="F63" s="414"/>
      <c r="G63" s="1374" t="str">
        <f>Translations!$B$386</f>
        <v>Activity data = annual production of primary Aluminium</v>
      </c>
      <c r="H63" s="1374"/>
      <c r="I63" s="1374"/>
      <c r="J63" s="1374"/>
      <c r="K63" s="1374"/>
      <c r="L63" s="1374"/>
      <c r="M63" s="1374"/>
      <c r="N63" s="1374"/>
      <c r="O63" s="428"/>
      <c r="S63" s="110"/>
    </row>
    <row r="64" spans="1:19" ht="12.75" customHeight="1" x14ac:dyDescent="0.25">
      <c r="A64" s="92"/>
      <c r="B64" s="94"/>
      <c r="C64" s="144"/>
      <c r="D64" s="914"/>
      <c r="E64" s="242" t="str">
        <f>Translations!$B$135</f>
        <v>AD Unit</v>
      </c>
      <c r="F64" s="414"/>
      <c r="G64" s="1374" t="str">
        <f>Translations!$B$2007</f>
        <v>The unit of activity data (default: Tonnes)</v>
      </c>
      <c r="H64" s="1263"/>
      <c r="I64" s="1263"/>
      <c r="J64" s="1263"/>
      <c r="K64" s="1263"/>
      <c r="L64" s="1263"/>
      <c r="M64" s="1263"/>
      <c r="N64" s="1263"/>
      <c r="O64" s="428"/>
      <c r="S64" s="110"/>
    </row>
    <row r="65" spans="1:19" ht="25.5" customHeight="1" x14ac:dyDescent="0.25">
      <c r="A65" s="92"/>
      <c r="B65" s="94"/>
      <c r="C65" s="144"/>
      <c r="D65" s="914"/>
      <c r="E65" s="242" t="str">
        <f>Translations!$B$379</f>
        <v>Further columns greyed out</v>
      </c>
      <c r="F65" s="414"/>
      <c r="G65" s="1374" t="str">
        <f>Translations!$B$2008</f>
        <v>Further columns which are irrelevant for PFC emissions are greyed out in this table. Please scroll to the right until you reach columns relevant for PFCs.</v>
      </c>
      <c r="H65" s="1374"/>
      <c r="I65" s="1374"/>
      <c r="J65" s="1374"/>
      <c r="K65" s="1374"/>
      <c r="L65" s="1374"/>
      <c r="M65" s="1374"/>
      <c r="N65" s="1374"/>
      <c r="O65" s="428"/>
      <c r="S65" s="110"/>
    </row>
    <row r="66" spans="1:19" ht="12.75" customHeight="1" x14ac:dyDescent="0.25">
      <c r="A66" s="92"/>
      <c r="B66" s="94"/>
      <c r="C66" s="144"/>
      <c r="D66" s="914"/>
      <c r="E66" s="242" t="str">
        <f>Translations!$B$161</f>
        <v>A: Frequency</v>
      </c>
      <c r="F66" s="414"/>
      <c r="G66" s="1374" t="str">
        <f>Translations!$B$387</f>
        <v>Method A: The frequency of anode effects (number of anode effects/cell-day)</v>
      </c>
      <c r="H66" s="1374"/>
      <c r="I66" s="1374"/>
      <c r="J66" s="1374"/>
      <c r="K66" s="1374"/>
      <c r="L66" s="1374"/>
      <c r="M66" s="1374"/>
      <c r="N66" s="1374"/>
      <c r="O66" s="428"/>
      <c r="S66" s="110"/>
    </row>
    <row r="67" spans="1:19" ht="12.75" customHeight="1" x14ac:dyDescent="0.25">
      <c r="A67" s="92"/>
      <c r="B67" s="94"/>
      <c r="C67" s="144"/>
      <c r="D67" s="914"/>
      <c r="E67" s="242" t="str">
        <f>Translations!$B$162</f>
        <v>A: Duration</v>
      </c>
      <c r="F67" s="414"/>
      <c r="G67" s="1374" t="str">
        <f>Translations!$B$388</f>
        <v>Method A: The average duration of anode effects (anode effect minutes/occurrence)</v>
      </c>
      <c r="H67" s="1374"/>
      <c r="I67" s="1374"/>
      <c r="J67" s="1374"/>
      <c r="K67" s="1374"/>
      <c r="L67" s="1374"/>
      <c r="M67" s="1374"/>
      <c r="N67" s="1374"/>
      <c r="O67" s="428"/>
      <c r="S67" s="110"/>
    </row>
    <row r="68" spans="1:19" ht="12.75" customHeight="1" x14ac:dyDescent="0.25">
      <c r="A68" s="92"/>
      <c r="B68" s="94"/>
      <c r="C68" s="144"/>
      <c r="D68" s="914"/>
      <c r="E68" s="242" t="str">
        <f>Translations!$B$163</f>
        <v>A: SEF(CF4)</v>
      </c>
      <c r="F68" s="414"/>
      <c r="G68" s="1374" t="str">
        <f>Translations!$B$2009</f>
        <v>Method A: The slope emission factor (kgCF4/tAl)/(min/cell-day)</v>
      </c>
      <c r="H68" s="1374"/>
      <c r="I68" s="1374"/>
      <c r="J68" s="1374"/>
      <c r="K68" s="1374"/>
      <c r="L68" s="1374"/>
      <c r="M68" s="1374"/>
      <c r="N68" s="1374"/>
      <c r="O68" s="428"/>
      <c r="S68" s="110"/>
    </row>
    <row r="69" spans="1:19" ht="12.75" customHeight="1" x14ac:dyDescent="0.25">
      <c r="A69" s="92"/>
      <c r="B69" s="94"/>
      <c r="C69" s="144"/>
      <c r="D69" s="914"/>
      <c r="E69" s="242" t="str">
        <f>Translations!$B$164</f>
        <v>B: AEO</v>
      </c>
      <c r="F69" s="414"/>
      <c r="G69" s="1374" t="str">
        <f>Translations!$B$2010</f>
        <v>Method B: The anode effect overvoltage per cell (mV)</v>
      </c>
      <c r="H69" s="1374"/>
      <c r="I69" s="1374"/>
      <c r="J69" s="1374"/>
      <c r="K69" s="1374"/>
      <c r="L69" s="1374"/>
      <c r="M69" s="1374"/>
      <c r="N69" s="1374"/>
      <c r="O69" s="428"/>
      <c r="S69" s="110"/>
    </row>
    <row r="70" spans="1:19" ht="12.75" customHeight="1" x14ac:dyDescent="0.25">
      <c r="A70" s="92"/>
      <c r="B70" s="94"/>
      <c r="C70" s="144"/>
      <c r="D70" s="914"/>
      <c r="E70" s="242" t="str">
        <f>Translations!$B$165</f>
        <v>B: CE</v>
      </c>
      <c r="F70" s="414"/>
      <c r="G70" s="1374" t="str">
        <f>Translations!$B$2011</f>
        <v>Method B: The average current efficiency (as % or values between 0 and 1)</v>
      </c>
      <c r="H70" s="1374"/>
      <c r="I70" s="1374"/>
      <c r="J70" s="1374"/>
      <c r="K70" s="1374"/>
      <c r="L70" s="1374"/>
      <c r="M70" s="1374"/>
      <c r="N70" s="1374"/>
      <c r="O70" s="428"/>
      <c r="S70" s="110"/>
    </row>
    <row r="71" spans="1:19" ht="12.75" customHeight="1" x14ac:dyDescent="0.25">
      <c r="A71" s="92"/>
      <c r="B71" s="94"/>
      <c r="C71" s="144"/>
      <c r="D71" s="914"/>
      <c r="E71" s="242" t="str">
        <f>Translations!$B$166</f>
        <v>B: OVC</v>
      </c>
      <c r="F71" s="414"/>
      <c r="G71" s="1374" t="str">
        <f>Translations!$B$2012</f>
        <v>Method B: The overvoltage coefficient (‘emission factor’) (kg CF4)/(t Al mV)</v>
      </c>
      <c r="H71" s="1374"/>
      <c r="I71" s="1374"/>
      <c r="J71" s="1374"/>
      <c r="K71" s="1374"/>
      <c r="L71" s="1374"/>
      <c r="M71" s="1374"/>
      <c r="N71" s="1374"/>
      <c r="O71" s="428"/>
      <c r="S71" s="110"/>
    </row>
    <row r="72" spans="1:19" ht="12.75" customHeight="1" x14ac:dyDescent="0.25">
      <c r="A72" s="92"/>
      <c r="B72" s="94"/>
      <c r="C72" s="144"/>
      <c r="D72" s="914"/>
      <c r="E72" s="242" t="str">
        <f>Translations!$B$167</f>
        <v>F(C2F6)</v>
      </c>
      <c r="F72" s="414"/>
      <c r="G72" s="1374" t="str">
        <f>Translations!$B$2013</f>
        <v>The weight fraction of C2F6 (t C2F6/t CF4) (both methods A and B)</v>
      </c>
      <c r="H72" s="1374"/>
      <c r="I72" s="1374"/>
      <c r="J72" s="1374"/>
      <c r="K72" s="1374"/>
      <c r="L72" s="1374"/>
      <c r="M72" s="1374"/>
      <c r="N72" s="1374"/>
      <c r="O72" s="428"/>
      <c r="S72" s="110"/>
    </row>
    <row r="73" spans="1:19" ht="12.75" customHeight="1" x14ac:dyDescent="0.25">
      <c r="A73" s="92"/>
      <c r="B73" s="94"/>
      <c r="C73" s="144"/>
      <c r="D73" s="914"/>
      <c r="E73" s="242" t="str">
        <f>Translations!$B$168</f>
        <v>CF4 Emissions (t CF4)</v>
      </c>
      <c r="F73" s="414"/>
      <c r="G73" s="1374" t="str">
        <f>Translations!$B$2014</f>
        <v>The emissions of CF4 calculated automatically from the previous inputs as tonnes CF4</v>
      </c>
      <c r="H73" s="1379"/>
      <c r="I73" s="1379"/>
      <c r="J73" s="1379"/>
      <c r="K73" s="1379"/>
      <c r="L73" s="1379"/>
      <c r="M73" s="1379"/>
      <c r="N73" s="1379"/>
      <c r="O73" s="428"/>
      <c r="S73" s="110"/>
    </row>
    <row r="74" spans="1:19" ht="12.75" customHeight="1" x14ac:dyDescent="0.25">
      <c r="A74" s="92"/>
      <c r="B74" s="94"/>
      <c r="C74" s="144"/>
      <c r="D74" s="914"/>
      <c r="E74" s="242" t="str">
        <f>Translations!$B$169</f>
        <v>C2F6 Emissions (t C2F6)</v>
      </c>
      <c r="F74" s="414"/>
      <c r="G74" s="1374" t="str">
        <f>Translations!$B$2015</f>
        <v>The emissions of C2F6 calculated automatically from the previous inputs as tonnes C2F6</v>
      </c>
      <c r="H74" s="1379"/>
      <c r="I74" s="1379"/>
      <c r="J74" s="1379"/>
      <c r="K74" s="1379"/>
      <c r="L74" s="1379"/>
      <c r="M74" s="1379"/>
      <c r="N74" s="1379"/>
      <c r="O74" s="428"/>
      <c r="S74" s="110"/>
    </row>
    <row r="75" spans="1:19" ht="12.75" customHeight="1" x14ac:dyDescent="0.25">
      <c r="A75" s="92"/>
      <c r="B75" s="94"/>
      <c r="C75" s="144"/>
      <c r="D75" s="914"/>
      <c r="E75" s="242" t="str">
        <f>Translations!$B$394</f>
        <v>GWP (CF4)</v>
      </c>
      <c r="F75" s="414"/>
      <c r="G75" s="1374" t="str">
        <f>Translations!$B$395</f>
        <v>The global warming potential of CF4</v>
      </c>
      <c r="H75" s="1374"/>
      <c r="I75" s="1374"/>
      <c r="J75" s="1374"/>
      <c r="K75" s="1374"/>
      <c r="L75" s="1374"/>
      <c r="M75" s="1374"/>
      <c r="N75" s="1374"/>
      <c r="O75" s="428"/>
      <c r="S75" s="110"/>
    </row>
    <row r="76" spans="1:19" ht="12.75" customHeight="1" x14ac:dyDescent="0.25">
      <c r="A76" s="92"/>
      <c r="B76" s="94"/>
      <c r="C76" s="144"/>
      <c r="D76" s="914"/>
      <c r="E76" s="242" t="str">
        <f>Translations!$B$396</f>
        <v>GWP (C2F6)</v>
      </c>
      <c r="F76" s="414"/>
      <c r="G76" s="1374" t="str">
        <f>Translations!$B$397</f>
        <v>The global warming potential of C2F6</v>
      </c>
      <c r="H76" s="1374"/>
      <c r="I76" s="1374"/>
      <c r="J76" s="1374"/>
      <c r="K76" s="1374"/>
      <c r="L76" s="1374"/>
      <c r="M76" s="1374"/>
      <c r="N76" s="1374"/>
      <c r="O76" s="428"/>
      <c r="S76" s="110"/>
    </row>
    <row r="77" spans="1:19" ht="12.75" customHeight="1" x14ac:dyDescent="0.25">
      <c r="A77" s="92"/>
      <c r="B77" s="94"/>
      <c r="C77" s="144"/>
      <c r="D77" s="914"/>
      <c r="E77" s="242" t="str">
        <f>Translations!$B$398</f>
        <v>Collection efficiency</v>
      </c>
      <c r="F77" s="414"/>
      <c r="G77" s="1374" t="str">
        <f>Translations!$B$2016</f>
        <v>Efficiency of the collection of the fugitive PFC emissions (%)</v>
      </c>
      <c r="H77" s="1374"/>
      <c r="I77" s="1374"/>
      <c r="J77" s="1374"/>
      <c r="K77" s="1374"/>
      <c r="L77" s="1374"/>
      <c r="M77" s="1374"/>
      <c r="N77" s="1374"/>
      <c r="O77" s="428"/>
      <c r="S77" s="110"/>
    </row>
    <row r="78" spans="1:19" ht="12.75" customHeight="1" x14ac:dyDescent="0.25">
      <c r="A78" s="92"/>
      <c r="B78" s="94"/>
      <c r="C78" s="144"/>
      <c r="D78" s="914"/>
      <c r="E78" s="415" t="str">
        <f>Translations!$B$175</f>
        <v>CO2e fossil (t)</v>
      </c>
      <c r="F78" s="416"/>
      <c r="G78" s="1374" t="str">
        <f>Translations!$B$2017</f>
        <v>The PFC emissions converted into t CO2e</v>
      </c>
      <c r="H78" s="1379"/>
      <c r="I78" s="1379"/>
      <c r="J78" s="1379"/>
      <c r="K78" s="1379"/>
      <c r="L78" s="1379"/>
      <c r="M78" s="1379"/>
      <c r="N78" s="1379"/>
      <c r="O78" s="428"/>
      <c r="S78" s="110"/>
    </row>
    <row r="79" spans="1:19" ht="25.5" customHeight="1" x14ac:dyDescent="0.25">
      <c r="A79" s="92"/>
      <c r="B79" s="94"/>
      <c r="C79" s="144"/>
      <c r="D79" s="914"/>
      <c r="E79" s="1386" t="str">
        <f>Translations!$B$1964</f>
        <v>Measurement-Based Approaches: Emissions Sources</v>
      </c>
      <c r="F79" s="1386"/>
      <c r="G79" s="1386"/>
      <c r="H79" s="1386"/>
      <c r="I79" s="1386"/>
      <c r="J79" s="1386"/>
      <c r="K79" s="1386"/>
      <c r="L79" s="1386"/>
      <c r="M79" s="1386"/>
      <c r="N79" s="1386"/>
      <c r="O79" s="428"/>
      <c r="S79" s="110"/>
    </row>
    <row r="80" spans="1:19" ht="25.5" customHeight="1" x14ac:dyDescent="0.25">
      <c r="A80" s="92"/>
      <c r="B80" s="94"/>
      <c r="C80" s="144"/>
      <c r="D80" s="914"/>
      <c r="E80" s="1374" t="str">
        <f>Translations!$B$2018</f>
        <v>This block is used for entering all emissions monitored using the measurement-based approach using Continuous Emission Monitoring Systems / CEMS (Implementing Act Annex III section B.6).</v>
      </c>
      <c r="F80" s="1375"/>
      <c r="G80" s="1375"/>
      <c r="H80" s="1375"/>
      <c r="I80" s="1375"/>
      <c r="J80" s="1375"/>
      <c r="K80" s="1375"/>
      <c r="L80" s="1375"/>
      <c r="M80" s="1375"/>
      <c r="N80" s="1375"/>
      <c r="O80" s="428"/>
      <c r="S80" s="110"/>
    </row>
    <row r="81" spans="1:19" ht="12.75" customHeight="1" x14ac:dyDescent="0.25">
      <c r="A81" s="92"/>
      <c r="B81" s="94"/>
      <c r="C81" s="144"/>
      <c r="D81" s="914"/>
      <c r="E81" s="415" t="str">
        <f>Translations!$B$122</f>
        <v>Name</v>
      </c>
      <c r="F81" s="414"/>
      <c r="G81" s="1374" t="str">
        <f>Translations!$B$401</f>
        <v>Please enter here a name for the emission source or the point of emission, e.g. Stack xyz.</v>
      </c>
      <c r="H81" s="1374"/>
      <c r="I81" s="1374"/>
      <c r="J81" s="1374"/>
      <c r="K81" s="1374"/>
      <c r="L81" s="1374"/>
      <c r="M81" s="1374"/>
      <c r="N81" s="1374"/>
      <c r="O81" s="428"/>
      <c r="S81" s="110"/>
    </row>
    <row r="82" spans="1:19" ht="12.75" customHeight="1" x14ac:dyDescent="0.25">
      <c r="A82" s="92"/>
      <c r="B82" s="94"/>
      <c r="C82" s="144"/>
      <c r="D82" s="914"/>
      <c r="E82" s="242" t="str">
        <f>Translations!$B$209</f>
        <v>Type of GHG</v>
      </c>
      <c r="F82" s="414"/>
      <c r="G82" s="1374" t="str">
        <f>Translations!$B$402</f>
        <v>Please provide here the type of greenhouse gas (GHG) measured in the flue gas: CO2 or N2O.</v>
      </c>
      <c r="H82" s="1374"/>
      <c r="I82" s="1374"/>
      <c r="J82" s="1374"/>
      <c r="K82" s="1374"/>
      <c r="L82" s="1374"/>
      <c r="M82" s="1374"/>
      <c r="N82" s="1374"/>
      <c r="O82" s="428"/>
      <c r="S82" s="110"/>
    </row>
    <row r="83" spans="1:19" ht="25.5" customHeight="1" x14ac:dyDescent="0.25">
      <c r="A83" s="92"/>
      <c r="B83" s="94"/>
      <c r="C83" s="144"/>
      <c r="D83" s="914"/>
      <c r="E83" s="242" t="str">
        <f>Translations!$B$379</f>
        <v>Further columns greyed out</v>
      </c>
      <c r="F83" s="414"/>
      <c r="G83" s="1374" t="str">
        <f>Translations!$B$2019</f>
        <v>Further columns which are relevant for calculation-based approaches only are greyed out in this table. Please scroll to the right until you reach columns relevant for CEMS.</v>
      </c>
      <c r="H83" s="1374"/>
      <c r="I83" s="1374"/>
      <c r="J83" s="1374"/>
      <c r="K83" s="1374"/>
      <c r="L83" s="1374"/>
      <c r="M83" s="1374"/>
      <c r="N83" s="1374"/>
      <c r="O83" s="428"/>
      <c r="S83" s="110"/>
    </row>
    <row r="84" spans="1:19" ht="25.5" customHeight="1" x14ac:dyDescent="0.25">
      <c r="A84" s="92"/>
      <c r="B84" s="94"/>
      <c r="C84" s="144"/>
      <c r="D84" s="914"/>
      <c r="E84" s="413" t="str">
        <f>Translations!$B$2019</f>
        <v>Further columns which are relevant for calculation-based approaches only are greyed out in this table. Please scroll to the right until you reach columns relevant for CEMS.</v>
      </c>
      <c r="F84" s="417"/>
      <c r="G84" s="1383" t="str">
        <f>Translations!$B$2020</f>
        <v>The biomass fraction is the ratio of carbon stemming from biomass to the total carbon content of a fuel or material, expressed as percentage. In case of CEMS, it is the ratio of carbon stemming from biomass to the total carbon contained in the flue gas.</v>
      </c>
      <c r="H84" s="1383"/>
      <c r="I84" s="1383"/>
      <c r="J84" s="1383"/>
      <c r="K84" s="1383"/>
      <c r="L84" s="1383"/>
      <c r="M84" s="1383"/>
      <c r="N84" s="1383"/>
      <c r="O84" s="428"/>
      <c r="S84" s="110"/>
    </row>
    <row r="85" spans="1:19" ht="38.65" customHeight="1" x14ac:dyDescent="0.25">
      <c r="A85" s="92"/>
      <c r="B85" s="94"/>
      <c r="C85" s="144"/>
      <c r="D85" s="914"/>
      <c r="E85" s="441"/>
      <c r="F85" s="442"/>
      <c r="G85" s="1373" t="str">
        <f>Translations!$B$2021</f>
        <v>The entry of a biomass fraction is voluntary. If there is no biomass fraction, or if 0 is entered, the emission calculation gives automatically the result of purely fossil emissions. for N2O emissions, no biomass is irrelevant. Note that the unit is fixed to percent (see next point). Therefore, any value entered here must be between 100 (pure biomass) and 0 (no biomass at all).</v>
      </c>
      <c r="H85" s="1373"/>
      <c r="I85" s="1373"/>
      <c r="J85" s="1373"/>
      <c r="K85" s="1373"/>
      <c r="L85" s="1373"/>
      <c r="M85" s="1373"/>
      <c r="N85" s="1373"/>
      <c r="O85" s="428"/>
      <c r="S85" s="110"/>
    </row>
    <row r="86" spans="1:19" ht="13.15" customHeight="1" x14ac:dyDescent="0.25">
      <c r="A86" s="92"/>
      <c r="B86" s="94"/>
      <c r="C86" s="144"/>
      <c r="D86" s="914"/>
      <c r="E86" s="415"/>
      <c r="F86" s="416"/>
      <c r="G86" s="1376" t="str">
        <f>Translations!$B$1996</f>
        <v>Due to the way how Excel handles percentage values, only numbers WITHOUT percentage sign ("%") must be entered.</v>
      </c>
      <c r="H86" s="1376"/>
      <c r="I86" s="1376"/>
      <c r="J86" s="1376"/>
      <c r="K86" s="1376"/>
      <c r="L86" s="1376"/>
      <c r="M86" s="1376"/>
      <c r="N86" s="1376"/>
      <c r="O86" s="428"/>
      <c r="S86" s="110"/>
    </row>
    <row r="87" spans="1:19" ht="13.15" customHeight="1" x14ac:dyDescent="0.25">
      <c r="A87" s="92"/>
      <c r="B87" s="94"/>
      <c r="C87" s="144"/>
      <c r="D87" s="914"/>
      <c r="E87" s="242" t="str">
        <f>Translations!$B$147</f>
        <v>BioC Unit</v>
      </c>
      <c r="F87" s="414"/>
      <c r="G87" s="1374" t="str">
        <f>Translations!$B$2001</f>
        <v>The unit of the biomass fraction is always percent (%).</v>
      </c>
      <c r="H87" s="1374"/>
      <c r="I87" s="1374"/>
      <c r="J87" s="1374"/>
      <c r="K87" s="1374"/>
      <c r="L87" s="1374"/>
      <c r="M87" s="1374"/>
      <c r="N87" s="1374"/>
      <c r="O87" s="428"/>
      <c r="S87" s="110"/>
    </row>
    <row r="88" spans="1:19" ht="12.75" customHeight="1" x14ac:dyDescent="0.25">
      <c r="A88" s="92"/>
      <c r="B88" s="94"/>
      <c r="C88" s="144"/>
      <c r="D88" s="914"/>
      <c r="E88" s="242" t="str">
        <f>Translations!$B$150</f>
        <v>hourly GHG conc. Average</v>
      </c>
      <c r="F88" s="414"/>
      <c r="G88" s="1374" t="str">
        <f>Translations!$B$2022</f>
        <v>The weighted average hourly concentration of the GHG measured.</v>
      </c>
      <c r="H88" s="1374"/>
      <c r="I88" s="1374"/>
      <c r="J88" s="1374"/>
      <c r="K88" s="1374"/>
      <c r="L88" s="1374"/>
      <c r="M88" s="1374"/>
      <c r="N88" s="1374"/>
      <c r="O88" s="428"/>
      <c r="S88" s="110"/>
    </row>
    <row r="89" spans="1:19" ht="13.15" customHeight="1" x14ac:dyDescent="0.25">
      <c r="A89" s="92"/>
      <c r="B89" s="94"/>
      <c r="C89" s="144"/>
      <c r="D89" s="914"/>
      <c r="E89" s="242" t="str">
        <f>Translations!$B$151</f>
        <v>hourly GHG conc. Unit</v>
      </c>
      <c r="F89" s="414"/>
      <c r="G89" s="1374" t="str">
        <f>Translations!$B$2023</f>
        <v>The unit in which the hourly average concentration is to be entered in this table. It is always set to g/Nm³.</v>
      </c>
      <c r="H89" s="1374"/>
      <c r="I89" s="1374"/>
      <c r="J89" s="1374"/>
      <c r="K89" s="1374"/>
      <c r="L89" s="1374"/>
      <c r="M89" s="1374"/>
      <c r="N89" s="1374"/>
      <c r="O89" s="428"/>
      <c r="S89" s="110"/>
    </row>
    <row r="90" spans="1:19" ht="12.75" customHeight="1" x14ac:dyDescent="0.25">
      <c r="A90" s="92"/>
      <c r="B90" s="94"/>
      <c r="C90" s="144"/>
      <c r="D90" s="914"/>
      <c r="E90" s="242" t="str">
        <f>Translations!$B$152</f>
        <v>hours operating</v>
      </c>
      <c r="F90" s="414"/>
      <c r="G90" s="1374" t="str">
        <f>Translations!$B$2024</f>
        <v>The total hours of operation of the continuous emission measurement during the reporting period.</v>
      </c>
      <c r="H90" s="1374"/>
      <c r="I90" s="1374"/>
      <c r="J90" s="1374"/>
      <c r="K90" s="1374"/>
      <c r="L90" s="1374"/>
      <c r="M90" s="1374"/>
      <c r="N90" s="1374"/>
      <c r="O90" s="428"/>
      <c r="S90" s="110"/>
    </row>
    <row r="91" spans="1:19" ht="13.15" customHeight="1" x14ac:dyDescent="0.25">
      <c r="A91" s="92"/>
      <c r="B91" s="94"/>
      <c r="C91" s="144"/>
      <c r="D91" s="914"/>
      <c r="E91" s="242" t="str">
        <f>Translations!$B$153</f>
        <v>hours operating Unit</v>
      </c>
      <c r="F91" s="414"/>
      <c r="G91" s="1374" t="str">
        <f>Translations!$B$2025</f>
        <v>The unit in which the operating hours are to be entered in this table. It is always set to h/period.</v>
      </c>
      <c r="H91" s="1374"/>
      <c r="I91" s="1374"/>
      <c r="J91" s="1374"/>
      <c r="K91" s="1374"/>
      <c r="L91" s="1374"/>
      <c r="M91" s="1374"/>
      <c r="N91" s="1374"/>
      <c r="O91" s="428"/>
      <c r="S91" s="110"/>
    </row>
    <row r="92" spans="1:19" ht="12.75" customHeight="1" x14ac:dyDescent="0.25">
      <c r="A92" s="92"/>
      <c r="B92" s="94"/>
      <c r="C92" s="144"/>
      <c r="D92" s="914"/>
      <c r="E92" s="242" t="str">
        <f>Translations!$B$1959</f>
        <v>Flue gas flow (average)</v>
      </c>
      <c r="F92" s="414"/>
      <c r="G92" s="1374" t="str">
        <f>Translations!$B$408</f>
        <v>The total volume of the flue gas</v>
      </c>
      <c r="H92" s="1374"/>
      <c r="I92" s="1374"/>
      <c r="J92" s="1374"/>
      <c r="K92" s="1374"/>
      <c r="L92" s="1374"/>
      <c r="M92" s="1374"/>
      <c r="N92" s="1374"/>
      <c r="O92" s="428"/>
      <c r="S92" s="110"/>
    </row>
    <row r="93" spans="1:19" ht="25.15" customHeight="1" x14ac:dyDescent="0.25">
      <c r="A93" s="92"/>
      <c r="B93" s="94"/>
      <c r="C93" s="144"/>
      <c r="D93" s="914"/>
      <c r="E93" s="242" t="str">
        <f>Translations!$B$1960</f>
        <v>Flue gas flow (average), Unit</v>
      </c>
      <c r="F93" s="414"/>
      <c r="G93" s="1374" t="str">
        <f>Translations!$B$2026</f>
        <v>The unit in which the flue gas flow is to be entered in this table. It is always set to 1000Nm3/h.</v>
      </c>
      <c r="H93" s="1374"/>
      <c r="I93" s="1374"/>
      <c r="J93" s="1374"/>
      <c r="K93" s="1374"/>
      <c r="L93" s="1374"/>
      <c r="M93" s="1374"/>
      <c r="N93" s="1374"/>
      <c r="O93" s="428"/>
      <c r="S93" s="110"/>
    </row>
    <row r="94" spans="1:19" ht="13.15" customHeight="1" x14ac:dyDescent="0.25">
      <c r="A94" s="92"/>
      <c r="B94" s="94"/>
      <c r="C94" s="144"/>
      <c r="D94" s="914"/>
      <c r="E94" s="242" t="str">
        <f>Translations!$B$158</f>
        <v>Annual amount of GHG</v>
      </c>
      <c r="F94" s="414"/>
      <c r="G94" s="1374" t="str">
        <f>Translations!$B$2027</f>
        <v>The total quantity (mass) of the GHG monitored using CEMS in the reporting period.</v>
      </c>
      <c r="H94" s="1374"/>
      <c r="I94" s="1374"/>
      <c r="J94" s="1374"/>
      <c r="K94" s="1374"/>
      <c r="L94" s="1374"/>
      <c r="M94" s="1374"/>
      <c r="N94" s="1374"/>
      <c r="O94" s="428"/>
      <c r="S94" s="110"/>
    </row>
    <row r="95" spans="1:19" ht="26.5" customHeight="1" x14ac:dyDescent="0.25">
      <c r="A95" s="92"/>
      <c r="B95" s="94"/>
      <c r="C95" s="144"/>
      <c r="D95" s="914"/>
      <c r="E95" s="242" t="str">
        <f>Translations!$B$159</f>
        <v>Annual amount of GHG Unit</v>
      </c>
      <c r="F95" s="414"/>
      <c r="G95" s="1374" t="str">
        <f>Translations!$B$2028</f>
        <v>The unit in which the mass of GHG emitted is calculated in this table. It is always set to tonnes.</v>
      </c>
      <c r="H95" s="1374"/>
      <c r="I95" s="1374"/>
      <c r="J95" s="1374"/>
      <c r="K95" s="1374"/>
      <c r="L95" s="1374"/>
      <c r="M95" s="1374"/>
      <c r="N95" s="1374"/>
      <c r="O95" s="428"/>
      <c r="S95" s="110"/>
    </row>
    <row r="96" spans="1:19" ht="13.15" customHeight="1" x14ac:dyDescent="0.25">
      <c r="A96" s="92"/>
      <c r="B96" s="94"/>
      <c r="C96" s="144"/>
      <c r="D96" s="914"/>
      <c r="E96" s="242" t="str">
        <f>Translations!$B$1961</f>
        <v>GWP (tCO2e/t)</v>
      </c>
      <c r="F96" s="414"/>
      <c r="G96" s="1374" t="str">
        <f>Translations!$B$2029</f>
        <v>The GWP (global warming potential) of the GHG monitored.</v>
      </c>
      <c r="H96" s="1374"/>
      <c r="I96" s="1374"/>
      <c r="J96" s="1374"/>
      <c r="K96" s="1374"/>
      <c r="L96" s="1374"/>
      <c r="M96" s="1374"/>
      <c r="N96" s="1374"/>
      <c r="O96" s="428"/>
      <c r="S96" s="110"/>
    </row>
    <row r="97" spans="1:23" ht="25.9" customHeight="1" x14ac:dyDescent="0.25">
      <c r="A97" s="92"/>
      <c r="B97" s="94"/>
      <c r="C97" s="144"/>
      <c r="D97" s="914"/>
      <c r="E97" s="242" t="str">
        <f>Translations!$B$409</f>
        <v>Energy content</v>
      </c>
      <c r="F97" s="414"/>
      <c r="G97" s="1374" t="str">
        <f>Translations!$B$2030</f>
        <v>The energy content of the fuels or materials entering the production process during the reporting period. In case of CEMS this cannot be automatically determined but needs to be input by the user.</v>
      </c>
      <c r="H97" s="1374"/>
      <c r="I97" s="1374"/>
      <c r="J97" s="1374"/>
      <c r="K97" s="1374"/>
      <c r="L97" s="1374"/>
      <c r="M97" s="1374"/>
      <c r="N97" s="1374"/>
      <c r="O97" s="428"/>
      <c r="S97" s="110"/>
    </row>
    <row r="98" spans="1:23" ht="26.5" customHeight="1" x14ac:dyDescent="0.25">
      <c r="A98" s="92"/>
      <c r="B98" s="94"/>
      <c r="C98" s="144"/>
      <c r="D98" s="914"/>
      <c r="E98" s="799" t="str">
        <f>Translations!$B$2031</f>
        <v>Emissions (tCO2e)</v>
      </c>
      <c r="F98" s="800"/>
      <c r="G98" s="1377" t="str">
        <f>Translations!$B$2004</f>
        <v>The fossil emissions are the necessary basis for determining the embedded emissions of CBAM goods. The results are automatically transferred into sheet C_Emissions&amp;Energy.</v>
      </c>
      <c r="H98" s="1378"/>
      <c r="I98" s="1378"/>
      <c r="J98" s="1378"/>
      <c r="K98" s="1378"/>
      <c r="L98" s="1378"/>
      <c r="M98" s="1378"/>
      <c r="N98" s="1378"/>
      <c r="O98" s="428"/>
      <c r="S98" s="110"/>
    </row>
    <row r="99" spans="1:23" ht="5.15" customHeight="1" x14ac:dyDescent="0.25">
      <c r="A99" s="92"/>
      <c r="B99" s="94"/>
      <c r="C99" s="144"/>
      <c r="D99" s="914"/>
      <c r="E99" s="915"/>
      <c r="F99" s="915"/>
      <c r="G99" s="915"/>
      <c r="H99" s="915"/>
      <c r="I99" s="915"/>
      <c r="J99" s="915"/>
      <c r="K99" s="915"/>
      <c r="L99" s="915"/>
      <c r="M99" s="915"/>
      <c r="N99" s="144"/>
      <c r="O99" s="428"/>
      <c r="S99" s="110"/>
    </row>
    <row r="100" spans="1:23" ht="12.75" customHeight="1" x14ac:dyDescent="0.25">
      <c r="A100" s="92"/>
      <c r="B100" s="94"/>
      <c r="C100" s="144"/>
      <c r="D100" s="914"/>
      <c r="E100" s="1380" t="str">
        <f ca="1">HYPERLINK("#"&amp;S100,CONST_LinkFromGuidance)</f>
        <v>Please click on this link if you want to go back to the relevant section for data entry.</v>
      </c>
      <c r="F100" s="1380"/>
      <c r="G100" s="1380"/>
      <c r="H100" s="1380"/>
      <c r="I100" s="1380"/>
      <c r="J100" s="1380"/>
      <c r="K100" s="1380"/>
      <c r="L100" s="1380"/>
      <c r="M100" s="1380"/>
      <c r="N100" s="1380"/>
      <c r="O100" s="428"/>
      <c r="R100" s="91" t="s">
        <v>2836</v>
      </c>
      <c r="S100" s="114" t="str">
        <f ca="1">ADDRESS(17,4,,,B_EmInst!$BD$2)</f>
        <v>B_EmInst!$D$17</v>
      </c>
    </row>
    <row r="101" spans="1:23" ht="12.75" customHeight="1" x14ac:dyDescent="0.25">
      <c r="A101" s="92"/>
      <c r="B101" s="94"/>
      <c r="C101" s="144"/>
      <c r="D101" s="914"/>
      <c r="E101" s="915"/>
      <c r="F101" s="915"/>
      <c r="G101" s="915"/>
      <c r="H101" s="915"/>
      <c r="I101" s="915"/>
      <c r="J101" s="915"/>
      <c r="K101" s="915"/>
      <c r="L101" s="915"/>
      <c r="M101" s="915"/>
      <c r="N101" s="144"/>
      <c r="O101" s="428"/>
      <c r="S101" s="110"/>
    </row>
    <row r="102" spans="1:23" ht="18" customHeight="1" x14ac:dyDescent="0.35">
      <c r="A102" s="919">
        <f>C102</f>
        <v>3</v>
      </c>
      <c r="B102" s="94"/>
      <c r="C102" s="319">
        <v>3</v>
      </c>
      <c r="D102" s="909" t="str">
        <f>Translations!$B$411</f>
        <v>Attribution of emissions to production processes</v>
      </c>
      <c r="E102" s="909"/>
      <c r="F102" s="910"/>
      <c r="G102" s="910"/>
      <c r="H102" s="910"/>
      <c r="I102" s="910"/>
      <c r="J102" s="910"/>
      <c r="K102" s="910"/>
      <c r="L102" s="910"/>
      <c r="M102" s="910"/>
      <c r="N102" s="910"/>
      <c r="O102" s="428"/>
      <c r="R102" s="102" t="str">
        <f>D102</f>
        <v>Attribution of emissions to production processes</v>
      </c>
      <c r="S102" s="105">
        <f>C102</f>
        <v>3</v>
      </c>
      <c r="W102" s="104"/>
    </row>
    <row r="103" spans="1:23" ht="5.15" customHeight="1" x14ac:dyDescent="0.25">
      <c r="A103" s="92"/>
      <c r="B103" s="94"/>
      <c r="C103" s="144"/>
      <c r="D103" s="914"/>
      <c r="E103" s="915"/>
      <c r="F103" s="915"/>
      <c r="G103" s="915"/>
      <c r="H103" s="915"/>
      <c r="I103" s="915"/>
      <c r="J103" s="915"/>
      <c r="K103" s="915"/>
      <c r="L103" s="915"/>
      <c r="M103" s="915"/>
      <c r="N103" s="144"/>
      <c r="O103" s="428"/>
      <c r="S103" s="110"/>
    </row>
    <row r="104" spans="1:23" ht="5.15" customHeight="1" x14ac:dyDescent="0.3">
      <c r="A104" s="92"/>
      <c r="B104" s="94"/>
      <c r="C104" s="948"/>
      <c r="D104" s="950"/>
      <c r="E104" s="1350"/>
      <c r="F104" s="1351"/>
      <c r="G104" s="1351"/>
      <c r="H104" s="1351"/>
      <c r="I104" s="1351"/>
      <c r="J104" s="1351"/>
      <c r="K104" s="1351"/>
      <c r="L104" s="1351"/>
      <c r="M104" s="1351"/>
      <c r="N104" s="1351"/>
      <c r="O104" s="428"/>
    </row>
    <row r="105" spans="1:23" ht="25.5" customHeight="1" x14ac:dyDescent="0.3">
      <c r="A105" s="92"/>
      <c r="B105" s="94"/>
      <c r="C105" s="948"/>
      <c r="D105" s="950"/>
      <c r="E105" s="1388" t="str">
        <f>Translations!$B$2032</f>
        <v>In sheet "D_Processes" the required data inputs are necessary to calculate the emissions attributed to each production process, based on which the specific embedded emissions of the goods category are calculated in this template.</v>
      </c>
      <c r="F105" s="1388"/>
      <c r="G105" s="1388"/>
      <c r="H105" s="1388"/>
      <c r="I105" s="1388"/>
      <c r="J105" s="1388"/>
      <c r="K105" s="1388"/>
      <c r="L105" s="1388"/>
      <c r="M105" s="1388"/>
      <c r="N105" s="1388"/>
      <c r="O105" s="428"/>
    </row>
    <row r="106" spans="1:23" ht="5.15" customHeight="1" x14ac:dyDescent="0.3">
      <c r="A106" s="92"/>
      <c r="B106" s="94"/>
      <c r="C106" s="948"/>
      <c r="D106" s="951"/>
      <c r="E106" s="1388"/>
      <c r="F106" s="1388"/>
      <c r="G106" s="1388"/>
      <c r="H106" s="1388"/>
      <c r="I106" s="1388"/>
      <c r="J106" s="1388"/>
      <c r="K106" s="1388"/>
      <c r="L106" s="1388"/>
      <c r="M106" s="1388"/>
      <c r="N106" s="1388"/>
      <c r="O106" s="428"/>
    </row>
    <row r="107" spans="1:23" ht="5.15" customHeight="1" x14ac:dyDescent="0.25">
      <c r="A107" s="92"/>
      <c r="B107" s="94"/>
      <c r="C107" s="144"/>
      <c r="D107" s="914"/>
      <c r="E107" s="915"/>
      <c r="F107" s="915"/>
      <c r="G107" s="915"/>
      <c r="H107" s="915"/>
      <c r="I107" s="915"/>
      <c r="J107" s="915"/>
      <c r="K107" s="915"/>
      <c r="L107" s="915"/>
      <c r="M107" s="915"/>
      <c r="N107" s="144"/>
      <c r="O107" s="428"/>
      <c r="S107" s="110"/>
    </row>
    <row r="108" spans="1:23" ht="12.75" customHeight="1" x14ac:dyDescent="0.25">
      <c r="A108" s="92"/>
      <c r="B108" s="94"/>
      <c r="C108" s="144"/>
      <c r="D108" s="914"/>
      <c r="E108" s="1380" t="str">
        <f ca="1">HYPERLINK("#"&amp;S108,CONST_LinkFromGuidance)</f>
        <v>Please click on this link if you want to go back to the relevant section for data entry.</v>
      </c>
      <c r="F108" s="1380"/>
      <c r="G108" s="1380"/>
      <c r="H108" s="1380"/>
      <c r="I108" s="1380"/>
      <c r="J108" s="1380"/>
      <c r="K108" s="1380"/>
      <c r="L108" s="1380"/>
      <c r="M108" s="1380"/>
      <c r="N108" s="1380"/>
      <c r="O108" s="428"/>
      <c r="R108" s="91" t="s">
        <v>2836</v>
      </c>
      <c r="S108" s="114" t="str">
        <f ca="1">ADDRESS(11,10,,,D_Processes!$U$2)</f>
        <v>D_Processes!$J$11</v>
      </c>
    </row>
    <row r="109" spans="1:23" ht="12.75" customHeight="1" x14ac:dyDescent="0.25">
      <c r="A109" s="92"/>
      <c r="B109" s="94"/>
      <c r="C109" s="144"/>
      <c r="D109" s="914"/>
      <c r="E109" s="915"/>
      <c r="F109" s="915"/>
      <c r="G109" s="915"/>
      <c r="H109" s="915"/>
      <c r="I109" s="915"/>
      <c r="J109" s="915"/>
      <c r="K109" s="915"/>
      <c r="L109" s="915"/>
      <c r="M109" s="915"/>
      <c r="N109" s="144"/>
      <c r="O109" s="428"/>
      <c r="S109" s="110"/>
    </row>
    <row r="110" spans="1:23" ht="25.5" customHeight="1" x14ac:dyDescent="0.25">
      <c r="A110" s="92"/>
      <c r="B110" s="94"/>
      <c r="C110" s="144"/>
      <c r="D110" s="914"/>
      <c r="E110" s="1399" t="str">
        <f>Translations!$B$2033</f>
        <v>General information on each production process</v>
      </c>
      <c r="F110" s="1399"/>
      <c r="G110" s="1399"/>
      <c r="H110" s="1399"/>
      <c r="I110" s="1399"/>
      <c r="J110" s="1399"/>
      <c r="K110" s="1399"/>
      <c r="L110" s="1399"/>
      <c r="M110" s="1399"/>
      <c r="N110" s="1399"/>
      <c r="O110" s="428"/>
      <c r="S110" s="110"/>
    </row>
    <row r="111" spans="1:23" ht="25.5" customHeight="1" x14ac:dyDescent="0.25">
      <c r="A111" s="92"/>
      <c r="B111" s="94"/>
      <c r="C111" s="144"/>
      <c r="D111" s="914"/>
      <c r="E111" s="1376" t="str">
        <f>Translations!$B$2034</f>
        <v>This block is used to input production amounts ("Activity levels") of each production process, and to provide the material balance in case goods produced in the installation are used as precursors in other production processes within the installation.</v>
      </c>
      <c r="F111" s="1400"/>
      <c r="G111" s="1400"/>
      <c r="H111" s="1400"/>
      <c r="I111" s="1400"/>
      <c r="J111" s="1400"/>
      <c r="K111" s="1400"/>
      <c r="L111" s="1400"/>
      <c r="M111" s="1400"/>
      <c r="N111" s="1400"/>
      <c r="O111" s="428"/>
      <c r="S111" s="110"/>
    </row>
    <row r="112" spans="1:23" ht="25.5" customHeight="1" x14ac:dyDescent="0.25">
      <c r="A112" s="92"/>
      <c r="B112" s="94"/>
      <c r="C112" s="144"/>
      <c r="D112" s="966" t="s">
        <v>2870</v>
      </c>
      <c r="E112" s="519" t="str">
        <f>Translations!$B$415</f>
        <v>Total production</v>
      </c>
      <c r="F112" s="810" t="str">
        <f>Translations!$B$416</f>
        <v>SEE Denominator</v>
      </c>
      <c r="G112" s="1382" t="str">
        <f>Translations!$B$417</f>
        <v>Please provide here the total amount of goods produced in the relevant production process, distinguishing amounts by the relevant production route. This is the denominator for the calculation of the specific embedded emissions.</v>
      </c>
      <c r="H112" s="1382"/>
      <c r="I112" s="1382"/>
      <c r="J112" s="1382"/>
      <c r="K112" s="1382"/>
      <c r="L112" s="1382"/>
      <c r="M112" s="1382"/>
      <c r="N112" s="1382"/>
      <c r="O112" s="428"/>
      <c r="S112" s="110"/>
    </row>
    <row r="113" spans="1:19" ht="25.5" customHeight="1" x14ac:dyDescent="0.25">
      <c r="A113" s="92"/>
      <c r="B113" s="94"/>
      <c r="C113" s="144"/>
      <c r="D113" s="966"/>
      <c r="E113" s="441"/>
      <c r="F113" s="895"/>
      <c r="G113" s="1373" t="str">
        <f>Translations!$B$2035</f>
        <v>Note: According to the current text of Section A.4, point (b) of Annex III of the Implementing act, separate production processes must be defined where separate production routes are used for the same aggregated goods category.</v>
      </c>
      <c r="H113" s="1373"/>
      <c r="I113" s="1373"/>
      <c r="J113" s="1373"/>
      <c r="K113" s="1373"/>
      <c r="L113" s="1373"/>
      <c r="M113" s="1373"/>
      <c r="N113" s="1373"/>
      <c r="O113" s="428"/>
      <c r="S113" s="110"/>
    </row>
    <row r="114" spans="1:19" ht="26.5" customHeight="1" x14ac:dyDescent="0.25">
      <c r="A114" s="92"/>
      <c r="B114" s="94"/>
      <c r="C114" s="144"/>
      <c r="D114" s="966"/>
      <c r="E114" s="441"/>
      <c r="F114" s="416"/>
      <c r="G114" s="1376" t="str">
        <f>Translations!$B$2036</f>
        <v>Because production processes can be defined in sheet "A_InstData" in a very flexible way, it is not possible to automatically select the appropriate production route here. Please enter zero for routes that do not apply in your installation's situation.</v>
      </c>
      <c r="H114" s="1376"/>
      <c r="I114" s="1376"/>
      <c r="J114" s="1376"/>
      <c r="K114" s="1376"/>
      <c r="L114" s="1376"/>
      <c r="M114" s="1376"/>
      <c r="N114" s="1376"/>
      <c r="O114" s="428"/>
      <c r="S114" s="110"/>
    </row>
    <row r="115" spans="1:19" ht="25.5" customHeight="1" x14ac:dyDescent="0.25">
      <c r="A115" s="92"/>
      <c r="B115" s="94"/>
      <c r="C115" s="144"/>
      <c r="D115" s="966" t="s">
        <v>2871</v>
      </c>
      <c r="E115" s="413" t="str">
        <f>Translations!$B$419</f>
        <v>Production for the market</v>
      </c>
      <c r="F115" s="417"/>
      <c r="G115" s="1383" t="str">
        <f>Translations!$B$420</f>
        <v>Please provide here the total amount of goods that are placed on the market (any market, not only the European Union) and not further processed into goods within another production process of the installation.</v>
      </c>
      <c r="H115" s="1383"/>
      <c r="I115" s="1383"/>
      <c r="J115" s="1383"/>
      <c r="K115" s="1383"/>
      <c r="L115" s="1383"/>
      <c r="M115" s="1383"/>
      <c r="N115" s="1383"/>
      <c r="O115" s="428"/>
      <c r="S115" s="110"/>
    </row>
    <row r="116" spans="1:19" ht="26.5" customHeight="1" x14ac:dyDescent="0.25">
      <c r="A116" s="92"/>
      <c r="B116" s="94"/>
      <c r="C116" s="144"/>
      <c r="D116" s="966"/>
      <c r="E116" s="441"/>
      <c r="F116" s="416"/>
      <c r="G116" s="1376" t="str">
        <f>Translations!$B$2037</f>
        <v>Under point ii. the share put on the market is displayed for control purposes. Furthermore point iii. tells you if this is the complete amount (100%) of product. If it is 100%, the next section (consumed within the installation) is not relevant.</v>
      </c>
      <c r="H116" s="1376"/>
      <c r="I116" s="1376"/>
      <c r="J116" s="1376"/>
      <c r="K116" s="1376"/>
      <c r="L116" s="1376"/>
      <c r="M116" s="1376"/>
      <c r="N116" s="1376"/>
      <c r="O116" s="428"/>
      <c r="S116" s="110"/>
    </row>
    <row r="117" spans="1:19" ht="51" customHeight="1" x14ac:dyDescent="0.25">
      <c r="A117" s="92"/>
      <c r="B117" s="94"/>
      <c r="C117" s="144"/>
      <c r="D117" s="966" t="s">
        <v>2872</v>
      </c>
      <c r="E117" s="413" t="str">
        <f>Translations!$B$422</f>
        <v>Consumed in other 'production processes'</v>
      </c>
      <c r="F117" s="414"/>
      <c r="G117" s="1374" t="str">
        <f>Translations!$B$2038</f>
        <v>Please provide here the total amount of goods that are consumed in each listed production process as input to be further processed into the goods produced in those processes. Please do not leave any yellow cells empty. Enter zero ("0") if the good is not consumed by the specific process. Where all of the goods are reported as placed on the market under point b), this section will be greyed out and no inputs are required here.</v>
      </c>
      <c r="H117" s="1374"/>
      <c r="I117" s="1374"/>
      <c r="J117" s="1374"/>
      <c r="K117" s="1374"/>
      <c r="L117" s="1374"/>
      <c r="M117" s="1374"/>
      <c r="N117" s="1374"/>
      <c r="O117" s="428"/>
      <c r="S117" s="110"/>
    </row>
    <row r="118" spans="1:19" ht="25.5" customHeight="1" x14ac:dyDescent="0.25">
      <c r="A118" s="92"/>
      <c r="B118" s="94"/>
      <c r="C118" s="144"/>
      <c r="D118" s="966" t="s">
        <v>2873</v>
      </c>
      <c r="E118" s="413" t="str">
        <f>Translations!$B$425</f>
        <v>Consumed for non-CBAM goods</v>
      </c>
      <c r="F118" s="417"/>
      <c r="G118" s="1383" t="str">
        <f>Translations!$B$2039</f>
        <v>Please provide here the total amount of goods that are consumed in production processes within the installation which produce goods that are not covered by the scope of the CBAM. Do not leave empty, but enter 0 if applicable.</v>
      </c>
      <c r="H118" s="1383"/>
      <c r="I118" s="1383"/>
      <c r="J118" s="1383"/>
      <c r="K118" s="1383"/>
      <c r="L118" s="1383"/>
      <c r="M118" s="1383"/>
      <c r="N118" s="1383"/>
      <c r="O118" s="428"/>
      <c r="S118" s="110"/>
    </row>
    <row r="119" spans="1:19" ht="12.75" customHeight="1" x14ac:dyDescent="0.25">
      <c r="A119" s="92"/>
      <c r="B119" s="94"/>
      <c r="C119" s="144"/>
      <c r="D119" s="966" t="s">
        <v>2874</v>
      </c>
      <c r="E119" s="413" t="str">
        <f>Translations!$B$428</f>
        <v>Control</v>
      </c>
      <c r="F119" s="414"/>
      <c r="G119" s="1374" t="str">
        <f>Translations!$B$429</f>
        <v>This is an automatic calculation "a-(b+c+d)". Please ensure that this value is zero.</v>
      </c>
      <c r="H119" s="1374"/>
      <c r="I119" s="1374"/>
      <c r="J119" s="1374"/>
      <c r="K119" s="1374"/>
      <c r="L119" s="1374"/>
      <c r="M119" s="1374"/>
      <c r="N119" s="1374"/>
      <c r="O119" s="428"/>
      <c r="S119" s="110"/>
    </row>
    <row r="120" spans="1:19" ht="25.5" customHeight="1" x14ac:dyDescent="0.25">
      <c r="A120" s="92"/>
      <c r="B120" s="94"/>
      <c r="C120" s="144"/>
      <c r="D120" s="914"/>
      <c r="E120" s="1386" t="str">
        <f>Translations!$B$254</f>
        <v>Calculation of the attributed emissions:</v>
      </c>
      <c r="F120" s="1386"/>
      <c r="G120" s="1386"/>
      <c r="H120" s="1386"/>
      <c r="I120" s="1386"/>
      <c r="J120" s="1386"/>
      <c r="K120" s="1386"/>
      <c r="L120" s="1386"/>
      <c r="M120" s="1386"/>
      <c r="N120" s="1386"/>
      <c r="O120" s="428"/>
      <c r="S120" s="110"/>
    </row>
    <row r="121" spans="1:19" ht="25.5" customHeight="1" x14ac:dyDescent="0.25">
      <c r="A121" s="92"/>
      <c r="B121" s="94"/>
      <c r="C121" s="144"/>
      <c r="D121" s="914"/>
      <c r="E121" s="1374" t="str">
        <f>Translations!$B$2040</f>
        <v>This block is used for entering parameters necessary to calculate attributed emissions of the production process in accordance with the Implementing Act, Annex III section F.1.</v>
      </c>
      <c r="F121" s="1375"/>
      <c r="G121" s="1375"/>
      <c r="H121" s="1375"/>
      <c r="I121" s="1375"/>
      <c r="J121" s="1375"/>
      <c r="K121" s="1375"/>
      <c r="L121" s="1375"/>
      <c r="M121" s="1375"/>
      <c r="N121" s="1375"/>
      <c r="O121" s="428"/>
      <c r="S121" s="110"/>
    </row>
    <row r="122" spans="1:19" ht="25.5" customHeight="1" x14ac:dyDescent="0.25">
      <c r="A122" s="92"/>
      <c r="B122" s="94"/>
      <c r="C122" s="144"/>
      <c r="D122" s="966" t="str">
        <f>Translations!$B$430</f>
        <v>f)</v>
      </c>
      <c r="E122" s="1383" t="str">
        <f>Translations!$B$431</f>
        <v>Applicable elements</v>
      </c>
      <c r="F122" s="417"/>
      <c r="G122" s="1383" t="str">
        <f>Translations!$B$432</f>
        <v>Please select here whether measurable heat (e.g. steam) or waste gases are imported to or exported from the relevant production process. The relevance of indirect emissions from electricity are shown automatically here.</v>
      </c>
      <c r="H122" s="1383"/>
      <c r="I122" s="1383"/>
      <c r="J122" s="1383"/>
      <c r="K122" s="1383"/>
      <c r="L122" s="1383"/>
      <c r="M122" s="1383"/>
      <c r="N122" s="1383"/>
      <c r="O122" s="428"/>
      <c r="S122" s="110"/>
    </row>
    <row r="123" spans="1:19" ht="38.25" customHeight="1" x14ac:dyDescent="0.25">
      <c r="A123" s="92"/>
      <c r="B123" s="94"/>
      <c r="C123" s="144"/>
      <c r="D123" s="966"/>
      <c r="E123" s="1376"/>
      <c r="F123" s="416"/>
      <c r="G123" s="1376" t="str">
        <f>Translations!$B$2041</f>
        <v>Waste gases are particularly relevant in integrated iron &amp; steel production. They are flue gases containing high concentrations of incompletely oxidised carbon, for example, any coke oven gas imported into the blast furnace, or blast furnace gas exported from the production process to produce electricity.</v>
      </c>
      <c r="H123" s="1376"/>
      <c r="I123" s="1376"/>
      <c r="J123" s="1376"/>
      <c r="K123" s="1376"/>
      <c r="L123" s="1376"/>
      <c r="M123" s="1376"/>
      <c r="N123" s="1376"/>
      <c r="O123" s="428"/>
      <c r="S123" s="110"/>
    </row>
    <row r="124" spans="1:19" ht="25.5" customHeight="1" x14ac:dyDescent="0.25">
      <c r="A124" s="92"/>
      <c r="B124" s="94"/>
      <c r="C124" s="144"/>
      <c r="D124" s="966" t="str">
        <f>Translations!$B$434</f>
        <v>g)</v>
      </c>
      <c r="E124" s="413" t="str">
        <f>Translations!$B$435</f>
        <v>DirEm*</v>
      </c>
      <c r="F124" s="605"/>
      <c r="G124" s="1374" t="str">
        <f>Translations!$B$2042</f>
        <v>Please enter here the amount of direct emissions of the production process within the reporting period. Include all emissions directly linked to and therefore attributable to the production process taking into consideration the further provisions below.</v>
      </c>
      <c r="H124" s="1374"/>
      <c r="I124" s="1374"/>
      <c r="J124" s="1374"/>
      <c r="K124" s="1374"/>
      <c r="L124" s="1374"/>
      <c r="M124" s="1374"/>
      <c r="N124" s="1374"/>
      <c r="O124" s="428"/>
      <c r="S124" s="110"/>
    </row>
    <row r="125" spans="1:19" ht="38.25" customHeight="1" x14ac:dyDescent="0.25">
      <c r="A125" s="92"/>
      <c r="B125" s="94"/>
      <c r="C125" s="144"/>
      <c r="D125" s="966"/>
      <c r="E125" s="441"/>
      <c r="F125" s="1395" t="str">
        <f>Translations!$B$437</f>
        <v>Avoidance of double counting</v>
      </c>
      <c r="G125" s="1374" t="str">
        <f>Translations!$B$2043</f>
        <v>Emissions shall only be attributed to ONE production process reported for this installation. Values entered here must therefore NOT include any emissions linked to the production of the precursors that defined as another 'production process'. Otherwise the template would double-count the embedded emissions.</v>
      </c>
      <c r="H125" s="1374"/>
      <c r="I125" s="1374"/>
      <c r="J125" s="1374"/>
      <c r="K125" s="1374"/>
      <c r="L125" s="1374"/>
      <c r="M125" s="1374"/>
      <c r="N125" s="1374"/>
      <c r="O125" s="428"/>
      <c r="S125" s="110"/>
    </row>
    <row r="126" spans="1:19" ht="25.15" customHeight="1" x14ac:dyDescent="0.25">
      <c r="A126" s="92"/>
      <c r="B126" s="94"/>
      <c r="C126" s="144"/>
      <c r="D126" s="966"/>
      <c r="E126" s="441"/>
      <c r="F126" s="1395"/>
      <c r="G126" s="1374" t="str">
        <f>Translations!$B$2044</f>
        <v>Measureable heat (e.g. steam): Emissions associated with fuel input into boilers can be either included here as DirEm* or via the 'import of measurable heat' below, but must not be reported twice.</v>
      </c>
      <c r="H126" s="1374"/>
      <c r="I126" s="1374"/>
      <c r="J126" s="1374"/>
      <c r="K126" s="1374"/>
      <c r="L126" s="1374"/>
      <c r="M126" s="1374"/>
      <c r="N126" s="1374"/>
      <c r="O126" s="428"/>
      <c r="S126" s="110"/>
    </row>
    <row r="127" spans="1:19" ht="38.25" customHeight="1" x14ac:dyDescent="0.25">
      <c r="A127" s="92"/>
      <c r="B127" s="94"/>
      <c r="C127" s="144"/>
      <c r="D127" s="966"/>
      <c r="E127" s="441"/>
      <c r="F127" s="1395"/>
      <c r="G127" s="1374" t="str">
        <f>Translations!$B$2045</f>
        <v>If a boiler or CHP supplies heat to several production processes or other installations, the approach to report "imported heat" is preferred. If the heat is produced in a CHP, the emissions have to be split between heat and electricity. The CHP Tool can help in calculating this split.</v>
      </c>
      <c r="H127" s="1374"/>
      <c r="I127" s="1374"/>
      <c r="J127" s="1374"/>
      <c r="K127" s="1374"/>
      <c r="L127" s="1374"/>
      <c r="M127" s="1374"/>
      <c r="N127" s="1374"/>
      <c r="O127" s="428"/>
      <c r="S127" s="110"/>
    </row>
    <row r="128" spans="1:19" ht="12.75" customHeight="1" x14ac:dyDescent="0.35">
      <c r="A128" s="92"/>
      <c r="B128" s="94"/>
      <c r="C128" s="144"/>
      <c r="D128" s="967"/>
      <c r="E128" s="491"/>
      <c r="F128" s="1395"/>
      <c r="G128" s="1394" t="str">
        <f ca="1">HYPERLINK("#"&amp;ADDRESS(MATCH($S128,F_Tools!$S:$S,0),3,,,F_Tools!$U$2),CONST_LinkToCHPTool)</f>
        <v>Please click on this link to go to the "CHP Tool for attributing emissions between heat and electricity".</v>
      </c>
      <c r="H128" s="1376"/>
      <c r="I128" s="1376"/>
      <c r="J128" s="1376"/>
      <c r="K128" s="1376"/>
      <c r="L128" s="1376"/>
      <c r="M128" s="1376"/>
      <c r="N128" s="1376"/>
      <c r="O128" s="428"/>
      <c r="R128" s="104" t="s">
        <v>4016</v>
      </c>
      <c r="S128" s="105">
        <v>1</v>
      </c>
    </row>
    <row r="129" spans="1:19" ht="25.5" customHeight="1" x14ac:dyDescent="0.25">
      <c r="A129" s="92"/>
      <c r="B129" s="94"/>
      <c r="C129" s="144"/>
      <c r="D129" s="966"/>
      <c r="E129" s="441"/>
      <c r="F129" s="1395"/>
      <c r="G129" s="1374" t="str">
        <f>Translations!$B$440</f>
        <v>Waste gases: special rules apply here. Emissions from waste gases produced in another production process and consumed in this process should NOT be reported under DirEm*, but under 'Waste gas imported' below.</v>
      </c>
      <c r="H129" s="1374"/>
      <c r="I129" s="1374"/>
      <c r="J129" s="1374"/>
      <c r="K129" s="1374"/>
      <c r="L129" s="1374"/>
      <c r="M129" s="1374"/>
      <c r="N129" s="1374"/>
      <c r="O129" s="428"/>
      <c r="S129" s="110"/>
    </row>
    <row r="130" spans="1:19" ht="63.75" customHeight="1" x14ac:dyDescent="0.25">
      <c r="A130" s="92"/>
      <c r="B130" s="94"/>
      <c r="C130" s="144"/>
      <c r="D130" s="966"/>
      <c r="E130" s="415"/>
      <c r="F130" s="1396"/>
      <c r="G130" s="1374" t="str">
        <f>Translations!$B$441</f>
        <v>Emissions from waste gases produced in the production process, but exported for combustion outside the production process MUST be included here. The corresponding deduction of emissions will be done by entering the relevant data under 'waste gas exported' below. An example would be the export of blast furnace gas from the crude steel production to the adjacent power plants. The emissions associated with the combustion of the blast furnace gas should be attributed to the crude steel production here under DirEm*.</v>
      </c>
      <c r="H130" s="1374"/>
      <c r="I130" s="1374"/>
      <c r="J130" s="1374"/>
      <c r="K130" s="1374"/>
      <c r="L130" s="1374"/>
      <c r="M130" s="1374"/>
      <c r="N130" s="1374"/>
      <c r="O130" s="428"/>
      <c r="S130" s="110"/>
    </row>
    <row r="131" spans="1:19" ht="38.25" customHeight="1" x14ac:dyDescent="0.25">
      <c r="A131" s="92"/>
      <c r="B131" s="94"/>
      <c r="C131" s="144"/>
      <c r="D131" s="966" t="str">
        <f>Translations!$B$442</f>
        <v>h)</v>
      </c>
      <c r="E131" s="1383" t="str">
        <f>Translations!$B$262</f>
        <v>Import and export of measurable heat</v>
      </c>
      <c r="F131" s="417"/>
      <c r="G131" s="1374" t="str">
        <f>Translations!$B$2046</f>
        <v>Please enter here the amounts of net measurable heat (e.g. steam) being imported to (e.g. from connected heat supplying installations) or exported from the production process (e.g. heat recovery from the furnace and exported from the production process).</v>
      </c>
      <c r="H131" s="1374"/>
      <c r="I131" s="1374"/>
      <c r="J131" s="1374"/>
      <c r="K131" s="1374"/>
      <c r="L131" s="1374"/>
      <c r="M131" s="1374"/>
      <c r="N131" s="1374"/>
      <c r="O131" s="428"/>
      <c r="S131" s="110"/>
    </row>
    <row r="132" spans="1:19" ht="38.65" customHeight="1" x14ac:dyDescent="0.25">
      <c r="A132" s="92"/>
      <c r="B132" s="94"/>
      <c r="C132" s="144"/>
      <c r="D132" s="966"/>
      <c r="E132" s="1373"/>
      <c r="F132" s="442"/>
      <c r="G132" s="1374" t="str">
        <f>Translations!$B$2047</f>
        <v>For the emission factor (EF) of the heat, please take into account the efficiency of the boiler. For example: The EF of the fuel from which the heat is produced is 96 t CO2/TJ; the boiler efficiency is 90%. Therefore, the EF to be reported here would be 96 divided by 90% = 106.67 t CO2/TJ.</v>
      </c>
      <c r="H132" s="1374"/>
      <c r="I132" s="1374"/>
      <c r="J132" s="1374"/>
      <c r="K132" s="1374"/>
      <c r="L132" s="1374"/>
      <c r="M132" s="1374"/>
      <c r="N132" s="1374"/>
      <c r="O132" s="428"/>
      <c r="S132" s="110"/>
    </row>
    <row r="133" spans="1:19" ht="12.75" customHeight="1" x14ac:dyDescent="0.25">
      <c r="A133" s="92"/>
      <c r="B133" s="94"/>
      <c r="C133" s="144"/>
      <c r="D133" s="966"/>
      <c r="E133" s="1373"/>
      <c r="F133" s="442"/>
      <c r="G133" s="1374" t="str">
        <f>Translations!$B$445</f>
        <v>For the EF of heat produced in a CHP, please see the reference to the "CHP Tool" above.</v>
      </c>
      <c r="H133" s="1374"/>
      <c r="I133" s="1374"/>
      <c r="J133" s="1374"/>
      <c r="K133" s="1374"/>
      <c r="L133" s="1374"/>
      <c r="M133" s="1374"/>
      <c r="N133" s="1374"/>
      <c r="O133" s="428"/>
      <c r="S133" s="110"/>
    </row>
    <row r="134" spans="1:19" ht="38.25" customHeight="1" x14ac:dyDescent="0.25">
      <c r="A134" s="92"/>
      <c r="B134" s="94"/>
      <c r="C134" s="144"/>
      <c r="D134" s="966"/>
      <c r="E134" s="1373"/>
      <c r="F134" s="442"/>
      <c r="G134" s="1374" t="str">
        <f>Translations!$B$2048</f>
        <v>Where the EF of exported heat is unknown or not clearly defined (e.g. heat recovery from furnaces or from exothermic chemical processes), the standard emission factor of the fuel most commonly used in the country and industrial sector, assuming a boiler efficiency of 90%, should be used.</v>
      </c>
      <c r="H134" s="1374"/>
      <c r="I134" s="1374"/>
      <c r="J134" s="1374"/>
      <c r="K134" s="1374"/>
      <c r="L134" s="1374"/>
      <c r="M134" s="1374"/>
      <c r="N134" s="1374"/>
      <c r="O134" s="428"/>
      <c r="S134" s="110"/>
    </row>
    <row r="135" spans="1:19" ht="12.75" customHeight="1" x14ac:dyDescent="0.25">
      <c r="A135" s="92"/>
      <c r="B135" s="94"/>
      <c r="C135" s="144"/>
      <c r="D135" s="966"/>
      <c r="E135" s="1376"/>
      <c r="F135" s="416"/>
      <c r="G135" s="1374" t="str">
        <f>Translations!$B$447</f>
        <v>Heat recovered and NOT exported but used within the production process shall not be reported under exported heat.</v>
      </c>
      <c r="H135" s="1374"/>
      <c r="I135" s="1374"/>
      <c r="J135" s="1374"/>
      <c r="K135" s="1374"/>
      <c r="L135" s="1374"/>
      <c r="M135" s="1374"/>
      <c r="N135" s="1374"/>
      <c r="O135" s="428"/>
      <c r="S135" s="110"/>
    </row>
    <row r="136" spans="1:19" ht="38.25" customHeight="1" x14ac:dyDescent="0.25">
      <c r="A136" s="92"/>
      <c r="B136" s="94"/>
      <c r="C136" s="144"/>
      <c r="D136" s="966" t="str">
        <f>Translations!$B$448</f>
        <v>i)</v>
      </c>
      <c r="E136" s="1383" t="str">
        <f>Translations!$B$449</f>
        <v>Import and export of waste gases</v>
      </c>
      <c r="F136" s="417"/>
      <c r="G136" s="1374" t="str">
        <f>Translations!$B$2049</f>
        <v>Further to the waste gas related provisions described above under DirEm*, please provide here the net amounts of waste gases imported from other processes or installations and consumed in this production process, as well as any amounts of waste gases exported from and consumed outside the production process.</v>
      </c>
      <c r="H136" s="1374"/>
      <c r="I136" s="1374"/>
      <c r="J136" s="1374"/>
      <c r="K136" s="1374"/>
      <c r="L136" s="1374"/>
      <c r="M136" s="1374"/>
      <c r="N136" s="1374"/>
      <c r="O136" s="428"/>
      <c r="S136" s="110"/>
    </row>
    <row r="137" spans="1:19" ht="25.5" customHeight="1" x14ac:dyDescent="0.25">
      <c r="A137" s="92"/>
      <c r="B137" s="94"/>
      <c r="C137" s="144"/>
      <c r="D137" s="966"/>
      <c r="E137" s="1376"/>
      <c r="F137" s="416"/>
      <c r="G137" s="1374" t="str">
        <f>Translations!$B$2050</f>
        <v>The emission factor of the waste gases will not impact the emissions attributed to this production process, due to the special rules for waste gases. Their input here is therefore optional.</v>
      </c>
      <c r="H137" s="1374"/>
      <c r="I137" s="1374"/>
      <c r="J137" s="1374"/>
      <c r="K137" s="1374"/>
      <c r="L137" s="1374"/>
      <c r="M137" s="1374"/>
      <c r="N137" s="1374"/>
      <c r="O137" s="428"/>
      <c r="S137" s="110"/>
    </row>
    <row r="138" spans="1:19" ht="12.75" customHeight="1" x14ac:dyDescent="0.25">
      <c r="A138" s="92"/>
      <c r="B138" s="94"/>
      <c r="C138" s="144"/>
      <c r="D138" s="966" t="str">
        <f>Translations!$B$452</f>
        <v>j)</v>
      </c>
      <c r="E138" s="1383" t="str">
        <f>Translations!$B$269</f>
        <v>Indirect emissions from electricity consumption</v>
      </c>
      <c r="F138" s="417"/>
      <c r="G138" s="1374" t="str">
        <f>Translations!$B$453</f>
        <v>Please enter the total amount of electricity consumed within the system boundaries of the production process.</v>
      </c>
      <c r="H138" s="1374"/>
      <c r="I138" s="1374"/>
      <c r="J138" s="1374"/>
      <c r="K138" s="1374"/>
      <c r="L138" s="1374"/>
      <c r="M138" s="1374"/>
      <c r="N138" s="1374"/>
      <c r="O138" s="428"/>
      <c r="S138" s="110"/>
    </row>
    <row r="139" spans="1:19" ht="25.5" customHeight="1" x14ac:dyDescent="0.25">
      <c r="A139" s="92"/>
      <c r="B139" s="94"/>
      <c r="C139" s="144"/>
      <c r="D139" s="966"/>
      <c r="E139" s="1373"/>
      <c r="F139" s="442"/>
      <c r="G139" s="1374" t="str">
        <f>Translations!$B$2051</f>
        <v>Please enter the weighted average emission factor of the electricity consumed using one of the methods for determination of this factor listed below (referencing the applicable section in Annex III of the Implementing Act).</v>
      </c>
      <c r="H139" s="1374"/>
      <c r="I139" s="1374"/>
      <c r="J139" s="1374"/>
      <c r="K139" s="1374"/>
      <c r="L139" s="1374"/>
      <c r="M139" s="1374"/>
      <c r="N139" s="1374"/>
      <c r="O139" s="428"/>
      <c r="S139" s="110"/>
    </row>
    <row r="140" spans="1:19" ht="12.75" customHeight="1" x14ac:dyDescent="0.25">
      <c r="A140" s="92"/>
      <c r="B140" s="94"/>
      <c r="C140" s="144"/>
      <c r="D140" s="966"/>
      <c r="E140" s="1373"/>
      <c r="F140" s="416"/>
      <c r="G140" s="1374" t="str">
        <f>Translations!$B$2052</f>
        <v>The EF of the electricity can be determined by the following methods:</v>
      </c>
      <c r="H140" s="1374"/>
      <c r="I140" s="1374"/>
      <c r="J140" s="1374"/>
      <c r="K140" s="1374"/>
      <c r="L140" s="1374"/>
      <c r="M140" s="1374"/>
      <c r="N140" s="1374"/>
      <c r="O140" s="428"/>
      <c r="S140" s="110"/>
    </row>
    <row r="141" spans="1:19" ht="12.75" customHeight="1" x14ac:dyDescent="0.25">
      <c r="A141" s="92"/>
      <c r="B141" s="94"/>
      <c r="C141" s="144"/>
      <c r="D141" s="966"/>
      <c r="E141" s="1373"/>
      <c r="F141" s="416" t="s">
        <v>3925</v>
      </c>
      <c r="G141" s="1376" t="str">
        <f>Translations!$B$2053</f>
        <v>EF based on IEA data, provided by the European Commission</v>
      </c>
      <c r="H141" s="1376"/>
      <c r="I141" s="1376"/>
      <c r="J141" s="1376"/>
      <c r="K141" s="1376"/>
      <c r="L141" s="1376"/>
      <c r="M141" s="1376"/>
      <c r="N141" s="1376"/>
      <c r="O141" s="428"/>
      <c r="S141" s="110"/>
    </row>
    <row r="142" spans="1:19" ht="25.9" customHeight="1" x14ac:dyDescent="0.25">
      <c r="A142" s="92"/>
      <c r="B142" s="94"/>
      <c r="C142" s="144"/>
      <c r="D142" s="966"/>
      <c r="E142" s="1373"/>
      <c r="F142" s="414" t="s">
        <v>3926</v>
      </c>
      <c r="G142" s="1374" t="str">
        <f>Translations!$B$2054</f>
        <v>EF based on other publicly available data representing either the average EF or the CO2 emission factor as in section 4.3 of Annex IV of the CBAM Regulation.</v>
      </c>
      <c r="H142" s="1374"/>
      <c r="I142" s="1374"/>
      <c r="J142" s="1374"/>
      <c r="K142" s="1374"/>
      <c r="L142" s="1374"/>
      <c r="M142" s="1374"/>
      <c r="N142" s="1374"/>
      <c r="O142" s="428"/>
      <c r="S142" s="110"/>
    </row>
    <row r="143" spans="1:19" ht="12.75" customHeight="1" x14ac:dyDescent="0.25">
      <c r="A143" s="92"/>
      <c r="B143" s="94"/>
      <c r="C143" s="144"/>
      <c r="D143" s="966"/>
      <c r="E143" s="1373"/>
      <c r="F143" s="414" t="s">
        <v>3927</v>
      </c>
      <c r="G143" s="1374" t="str">
        <f>Translations!$B$2055</f>
        <v>EF of electricity produced in the installation other than by cogeneration</v>
      </c>
      <c r="H143" s="1374"/>
      <c r="I143" s="1374"/>
      <c r="J143" s="1374"/>
      <c r="K143" s="1374"/>
      <c r="L143" s="1374"/>
      <c r="M143" s="1374"/>
      <c r="N143" s="1374"/>
      <c r="O143" s="428"/>
      <c r="S143" s="110"/>
    </row>
    <row r="144" spans="1:19" ht="12.75" customHeight="1" x14ac:dyDescent="0.25">
      <c r="A144" s="92"/>
      <c r="B144" s="94"/>
      <c r="C144" s="144"/>
      <c r="D144" s="966"/>
      <c r="E144" s="1373"/>
      <c r="F144" s="414" t="s">
        <v>3928</v>
      </c>
      <c r="G144" s="1374" t="str">
        <f>Translations!$B$2056</f>
        <v>EF of electricity produced in the installation by cogeneration</v>
      </c>
      <c r="H144" s="1374"/>
      <c r="I144" s="1374"/>
      <c r="J144" s="1374"/>
      <c r="K144" s="1374"/>
      <c r="L144" s="1374"/>
      <c r="M144" s="1374"/>
      <c r="N144" s="1374"/>
      <c r="O144" s="428"/>
      <c r="S144" s="110"/>
    </row>
    <row r="145" spans="1:23" ht="12.75" customHeight="1" x14ac:dyDescent="0.25">
      <c r="A145" s="92"/>
      <c r="B145" s="94"/>
      <c r="C145" s="144"/>
      <c r="D145" s="966"/>
      <c r="E145" s="1373"/>
      <c r="F145" s="414" t="s">
        <v>3929</v>
      </c>
      <c r="G145" s="1374" t="str">
        <f>Translations!$B$2057</f>
        <v>EF of electricity produced outside the installation (received from a source with a direct technical link)</v>
      </c>
      <c r="H145" s="1374"/>
      <c r="I145" s="1374"/>
      <c r="J145" s="1374"/>
      <c r="K145" s="1374"/>
      <c r="L145" s="1374"/>
      <c r="M145" s="1374"/>
      <c r="N145" s="1374"/>
      <c r="O145" s="428"/>
      <c r="S145" s="110"/>
    </row>
    <row r="146" spans="1:23" ht="12.75" customHeight="1" x14ac:dyDescent="0.25">
      <c r="A146" s="92"/>
      <c r="B146" s="94"/>
      <c r="C146" s="144"/>
      <c r="D146" s="966"/>
      <c r="E146" s="1373"/>
      <c r="F146" s="417" t="s">
        <v>3930</v>
      </c>
      <c r="G146" s="1374" t="str">
        <f>Translations!$B$2058</f>
        <v>EF of electricity produced outside the installation (received from a producer under a power purchase agreement)</v>
      </c>
      <c r="H146" s="1374"/>
      <c r="I146" s="1374"/>
      <c r="J146" s="1374"/>
      <c r="K146" s="1374"/>
      <c r="L146" s="1374"/>
      <c r="M146" s="1374"/>
      <c r="N146" s="1374"/>
      <c r="O146" s="428"/>
      <c r="S146" s="110"/>
    </row>
    <row r="147" spans="1:23" ht="25.5" customHeight="1" x14ac:dyDescent="0.25">
      <c r="A147" s="92"/>
      <c r="B147" s="94"/>
      <c r="C147" s="144"/>
      <c r="D147" s="966"/>
      <c r="E147" s="1376"/>
      <c r="F147" s="417" t="str">
        <f>Translations!$B$460</f>
        <v>Mix</v>
      </c>
      <c r="G147" s="1374" t="str">
        <f>Translations!$B$461</f>
        <v>Where the electricity is not predominantly obtained from one source or the EF determined by more than one of the above sources, the EF is determined as a mix of the methods above.</v>
      </c>
      <c r="H147" s="1374"/>
      <c r="I147" s="1374"/>
      <c r="J147" s="1374"/>
      <c r="K147" s="1374"/>
      <c r="L147" s="1374"/>
      <c r="M147" s="1374"/>
      <c r="N147" s="1374"/>
      <c r="O147" s="428"/>
      <c r="S147" s="110"/>
    </row>
    <row r="148" spans="1:23" ht="38.25" customHeight="1" x14ac:dyDescent="0.25">
      <c r="A148" s="92"/>
      <c r="B148" s="94"/>
      <c r="C148" s="144"/>
      <c r="D148" s="966" t="str">
        <f>Translations!$B$462</f>
        <v>k)</v>
      </c>
      <c r="E148" s="243" t="str">
        <f>Translations!$B$463</f>
        <v>Electricity exported</v>
      </c>
      <c r="F148" s="492"/>
      <c r="G148" s="1385" t="str">
        <f>Translations!$B$464</f>
        <v>This concerns special forms of electricity production being produced within the production process but exported outside the process. It concerns electricity produced via other forms than in gas turbines or via steam in turbines, but - for instance - via expansion of compressed gases in expansion turbines.</v>
      </c>
      <c r="H148" s="1385"/>
      <c r="I148" s="1385"/>
      <c r="J148" s="1385"/>
      <c r="K148" s="1385"/>
      <c r="L148" s="1385"/>
      <c r="M148" s="1385"/>
      <c r="N148" s="1385"/>
      <c r="O148" s="428"/>
      <c r="S148" s="110"/>
    </row>
    <row r="149" spans="1:23" ht="5.15" customHeight="1" x14ac:dyDescent="0.25">
      <c r="A149" s="92"/>
      <c r="B149" s="94"/>
      <c r="C149" s="144"/>
      <c r="D149" s="914"/>
      <c r="E149" s="915"/>
      <c r="F149" s="915"/>
      <c r="G149" s="915"/>
      <c r="H149" s="915"/>
      <c r="I149" s="915"/>
      <c r="J149" s="915"/>
      <c r="K149" s="915"/>
      <c r="L149" s="915"/>
      <c r="M149" s="915"/>
      <c r="N149" s="144"/>
      <c r="O149" s="428"/>
      <c r="S149" s="110"/>
    </row>
    <row r="150" spans="1:23" ht="12.75" customHeight="1" x14ac:dyDescent="0.25">
      <c r="A150" s="92"/>
      <c r="B150" s="94"/>
      <c r="C150" s="144"/>
      <c r="D150" s="914"/>
      <c r="E150" s="1380" t="str">
        <f ca="1">HYPERLINK("#"&amp;S150,CONST_LinkFromGuidance)</f>
        <v>Please click on this link if you want to go back to the relevant section for data entry.</v>
      </c>
      <c r="F150" s="1380"/>
      <c r="G150" s="1380"/>
      <c r="H150" s="1380"/>
      <c r="I150" s="1380"/>
      <c r="J150" s="1380"/>
      <c r="K150" s="1380"/>
      <c r="L150" s="1380"/>
      <c r="M150" s="1380"/>
      <c r="N150" s="1380"/>
      <c r="O150" s="428"/>
      <c r="R150" s="91" t="s">
        <v>2836</v>
      </c>
      <c r="S150" s="114" t="str">
        <f ca="1">S108</f>
        <v>D_Processes!$J$11</v>
      </c>
    </row>
    <row r="151" spans="1:23" ht="12.75" customHeight="1" x14ac:dyDescent="0.25">
      <c r="A151" s="92"/>
      <c r="B151" s="94"/>
      <c r="C151" s="144"/>
      <c r="D151" s="914"/>
      <c r="E151" s="915"/>
      <c r="F151" s="915"/>
      <c r="G151" s="915"/>
      <c r="H151" s="915"/>
      <c r="I151" s="915"/>
      <c r="J151" s="915"/>
      <c r="K151" s="915"/>
      <c r="L151" s="915"/>
      <c r="M151" s="915"/>
      <c r="N151" s="144"/>
      <c r="O151" s="428"/>
      <c r="S151" s="110"/>
    </row>
    <row r="152" spans="1:23" ht="18" customHeight="1" x14ac:dyDescent="0.35">
      <c r="A152" s="919">
        <v>4</v>
      </c>
      <c r="B152" s="94"/>
      <c r="C152" s="319">
        <v>4</v>
      </c>
      <c r="D152" s="909" t="str">
        <f>Translations!$B$242</f>
        <v>Data input for the determination of the specific embedded emissions</v>
      </c>
      <c r="E152" s="909"/>
      <c r="F152" s="910"/>
      <c r="G152" s="910"/>
      <c r="H152" s="910"/>
      <c r="I152" s="910"/>
      <c r="J152" s="910"/>
      <c r="K152" s="910"/>
      <c r="L152" s="910"/>
      <c r="M152" s="910"/>
      <c r="N152" s="910"/>
      <c r="O152" s="428"/>
      <c r="R152" s="102" t="str">
        <f>D152</f>
        <v>Data input for the determination of the specific embedded emissions</v>
      </c>
      <c r="S152" s="105">
        <f>C152</f>
        <v>4</v>
      </c>
      <c r="W152" s="104"/>
    </row>
    <row r="153" spans="1:23" ht="5.15" customHeight="1" x14ac:dyDescent="0.25">
      <c r="A153" s="92"/>
      <c r="B153" s="94"/>
      <c r="C153" s="144"/>
      <c r="D153" s="914"/>
      <c r="E153" s="915"/>
      <c r="F153" s="915"/>
      <c r="G153" s="915"/>
      <c r="H153" s="915"/>
      <c r="I153" s="915"/>
      <c r="J153" s="915"/>
      <c r="K153" s="915"/>
      <c r="L153" s="915"/>
      <c r="M153" s="915"/>
      <c r="N153" s="144"/>
      <c r="O153" s="428"/>
      <c r="S153" s="110"/>
    </row>
    <row r="154" spans="1:23" ht="5.15" customHeight="1" x14ac:dyDescent="0.3">
      <c r="A154" s="92"/>
      <c r="B154" s="94"/>
      <c r="C154" s="948"/>
      <c r="D154" s="950"/>
      <c r="E154" s="1350"/>
      <c r="F154" s="1351"/>
      <c r="G154" s="1351"/>
      <c r="H154" s="1351"/>
      <c r="I154" s="1351"/>
      <c r="J154" s="1351"/>
      <c r="K154" s="1351"/>
      <c r="L154" s="1351"/>
      <c r="M154" s="1351"/>
      <c r="N154" s="1351"/>
      <c r="O154" s="428"/>
    </row>
    <row r="155" spans="1:23" ht="25.5" customHeight="1" x14ac:dyDescent="0.3">
      <c r="A155" s="92"/>
      <c r="B155" s="94"/>
      <c r="C155" s="948"/>
      <c r="D155" s="950"/>
      <c r="E155" s="1388" t="str">
        <f>Translations!$B$2059</f>
        <v>In sheet "E_PurchPrec" the required data inputs are necessary to calculate the embedded emissions of the goods produced in the installation using purchased precursors. The sheet serves for listing the information required in line with section E of Annex III of the Implementing Act.</v>
      </c>
      <c r="F155" s="1388"/>
      <c r="G155" s="1388"/>
      <c r="H155" s="1388"/>
      <c r="I155" s="1388"/>
      <c r="J155" s="1388"/>
      <c r="K155" s="1388"/>
      <c r="L155" s="1388"/>
      <c r="M155" s="1388"/>
      <c r="N155" s="1388"/>
      <c r="O155" s="428"/>
    </row>
    <row r="156" spans="1:23" ht="5.15" customHeight="1" x14ac:dyDescent="0.3">
      <c r="A156" s="92"/>
      <c r="B156" s="94"/>
      <c r="C156" s="948"/>
      <c r="D156" s="951"/>
      <c r="E156" s="1388"/>
      <c r="F156" s="1388"/>
      <c r="G156" s="1388"/>
      <c r="H156" s="1388"/>
      <c r="I156" s="1388"/>
      <c r="J156" s="1388"/>
      <c r="K156" s="1388"/>
      <c r="L156" s="1388"/>
      <c r="M156" s="1388"/>
      <c r="N156" s="1388"/>
      <c r="O156" s="428"/>
    </row>
    <row r="157" spans="1:23" ht="5.15" customHeight="1" x14ac:dyDescent="0.25">
      <c r="A157" s="92"/>
      <c r="B157" s="94"/>
      <c r="C157" s="144"/>
      <c r="D157" s="914"/>
      <c r="E157" s="915"/>
      <c r="F157" s="915"/>
      <c r="G157" s="915"/>
      <c r="H157" s="915"/>
      <c r="I157" s="915"/>
      <c r="J157" s="915"/>
      <c r="K157" s="915"/>
      <c r="L157" s="915"/>
      <c r="M157" s="915"/>
      <c r="N157" s="144"/>
      <c r="O157" s="428"/>
      <c r="S157" s="110"/>
    </row>
    <row r="158" spans="1:23" ht="12.75" customHeight="1" x14ac:dyDescent="0.25">
      <c r="A158" s="92"/>
      <c r="B158" s="94"/>
      <c r="C158" s="144"/>
      <c r="D158" s="914"/>
      <c r="E158" s="1380" t="str">
        <f ca="1">HYPERLINK("#"&amp;S158,CONST_LinkFromGuidance)</f>
        <v>Please click on this link if you want to go back to the relevant section for data entry.</v>
      </c>
      <c r="F158" s="1380"/>
      <c r="G158" s="1380"/>
      <c r="H158" s="1380"/>
      <c r="I158" s="1380"/>
      <c r="J158" s="1380"/>
      <c r="K158" s="1380"/>
      <c r="L158" s="1380"/>
      <c r="M158" s="1380"/>
      <c r="N158" s="1380"/>
      <c r="O158" s="428"/>
      <c r="R158" s="91" t="s">
        <v>2836</v>
      </c>
      <c r="S158" s="114" t="str">
        <f ca="1">ADDRESS(11,4,,,E_PurchPrec!$U$2)</f>
        <v>E_PurchPrec!$D$11</v>
      </c>
    </row>
    <row r="159" spans="1:23" ht="12.75" customHeight="1" x14ac:dyDescent="0.25">
      <c r="A159" s="92"/>
      <c r="B159" s="94"/>
      <c r="C159" s="144"/>
      <c r="D159" s="914"/>
      <c r="E159" s="915"/>
      <c r="F159" s="915"/>
      <c r="G159" s="915"/>
      <c r="H159" s="915"/>
      <c r="I159" s="915"/>
      <c r="J159" s="915"/>
      <c r="K159" s="915"/>
      <c r="L159" s="915"/>
      <c r="M159" s="915"/>
      <c r="N159" s="144"/>
      <c r="O159" s="428"/>
      <c r="S159" s="110"/>
    </row>
    <row r="160" spans="1:23" ht="25.5" customHeight="1" x14ac:dyDescent="0.25">
      <c r="A160" s="92"/>
      <c r="B160" s="94"/>
      <c r="C160" s="144"/>
      <c r="D160" s="914"/>
      <c r="E160" s="1386" t="str">
        <f>Translations!$B$2033</f>
        <v>General information on each production process</v>
      </c>
      <c r="F160" s="1386"/>
      <c r="G160" s="1386"/>
      <c r="H160" s="1386"/>
      <c r="I160" s="1386"/>
      <c r="J160" s="1386"/>
      <c r="K160" s="1386"/>
      <c r="L160" s="1386"/>
      <c r="M160" s="1386"/>
      <c r="N160" s="1386"/>
      <c r="O160" s="428"/>
      <c r="S160" s="110"/>
    </row>
    <row r="161" spans="1:19" ht="25.5" customHeight="1" x14ac:dyDescent="0.25">
      <c r="A161" s="92"/>
      <c r="B161" s="94"/>
      <c r="C161" s="144"/>
      <c r="D161" s="914"/>
      <c r="E161" s="1374" t="str">
        <f>Translations!$B$2034</f>
        <v>This block is used to input production amounts ("Activity levels") of each production process, and to provide the material balance in case goods produced in the installation are used as precursors in other production processes within the installation.</v>
      </c>
      <c r="F161" s="1375"/>
      <c r="G161" s="1375"/>
      <c r="H161" s="1375"/>
      <c r="I161" s="1375"/>
      <c r="J161" s="1375"/>
      <c r="K161" s="1375"/>
      <c r="L161" s="1375"/>
      <c r="M161" s="1375"/>
      <c r="N161" s="1375"/>
      <c r="O161" s="428"/>
      <c r="S161" s="110"/>
    </row>
    <row r="162" spans="1:19" ht="25.5" customHeight="1" x14ac:dyDescent="0.25">
      <c r="A162" s="92"/>
      <c r="B162" s="94"/>
      <c r="C162" s="144"/>
      <c r="D162" s="966" t="s">
        <v>2870</v>
      </c>
      <c r="E162" s="1374" t="str">
        <f>Translations!$B$276</f>
        <v>Total purchased levels:</v>
      </c>
      <c r="F162" s="1263"/>
      <c r="G162" s="1374" t="str">
        <f>Translations!$B$2060</f>
        <v xml:space="preserve">Please provide here the total amount of purchased precursor consumed in the reporting period, distinguishing amounts by the relevant production route by which the precursor was produced, if known. </v>
      </c>
      <c r="H162" s="1374"/>
      <c r="I162" s="1374"/>
      <c r="J162" s="1374"/>
      <c r="K162" s="1374"/>
      <c r="L162" s="1374"/>
      <c r="M162" s="1374"/>
      <c r="N162" s="1374"/>
      <c r="O162" s="428"/>
      <c r="S162" s="110"/>
    </row>
    <row r="163" spans="1:19" ht="25.5" customHeight="1" x14ac:dyDescent="0.25">
      <c r="A163" s="92"/>
      <c r="B163" s="94"/>
      <c r="C163" s="144"/>
      <c r="D163" s="966" t="s">
        <v>2871</v>
      </c>
      <c r="E163" s="1374" t="str">
        <f>Translations!$B$1967</f>
        <v>Consumed in 'production processes' within the installation:</v>
      </c>
      <c r="F163" s="1263"/>
      <c r="G163" s="1374" t="str">
        <f>Translations!$B$2061</f>
        <v>Under this point, please provide information how much of the precursor has been consumed during the reporting period in each production process within the installation.</v>
      </c>
      <c r="H163" s="1374"/>
      <c r="I163" s="1374"/>
      <c r="J163" s="1374"/>
      <c r="K163" s="1374"/>
      <c r="L163" s="1374"/>
      <c r="M163" s="1374"/>
      <c r="N163" s="1374"/>
      <c r="O163" s="428"/>
      <c r="S163" s="110"/>
    </row>
    <row r="164" spans="1:19" ht="25.5" customHeight="1" x14ac:dyDescent="0.25">
      <c r="A164" s="92"/>
      <c r="B164" s="94"/>
      <c r="C164" s="144"/>
      <c r="D164" s="966" t="s">
        <v>2872</v>
      </c>
      <c r="E164" s="1374" t="str">
        <f>Translations!$B$1968</f>
        <v>Consumed for other purposes, e.g. sold or used for non-CBAM goods:</v>
      </c>
      <c r="F164" s="1263"/>
      <c r="G164" s="1374" t="str">
        <f>Translations!$B$2062</f>
        <v>For completeness of data, please enter here the amount of the precursor not used for the production of CBAM goods within the installation. This includes transfer to other installations or sale of the precursor.</v>
      </c>
      <c r="H164" s="1374"/>
      <c r="I164" s="1374"/>
      <c r="J164" s="1374"/>
      <c r="K164" s="1374"/>
      <c r="L164" s="1374"/>
      <c r="M164" s="1374"/>
      <c r="N164" s="1374"/>
      <c r="O164" s="428"/>
      <c r="S164" s="110"/>
    </row>
    <row r="165" spans="1:19" ht="13.15" customHeight="1" x14ac:dyDescent="0.25">
      <c r="A165" s="92"/>
      <c r="B165" s="94"/>
      <c r="C165" s="144"/>
      <c r="D165" s="966" t="s">
        <v>2873</v>
      </c>
      <c r="E165" s="1374" t="str">
        <f>Translations!$B$253</f>
        <v>Control:</v>
      </c>
      <c r="F165" s="1263"/>
      <c r="G165" s="1374" t="str">
        <f>Translations!$B$2063</f>
        <v>This is an automatic calculation "a-(b+c)". Please ensure that this value is zero.</v>
      </c>
      <c r="H165" s="1374"/>
      <c r="I165" s="1374"/>
      <c r="J165" s="1374"/>
      <c r="K165" s="1374"/>
      <c r="L165" s="1374"/>
      <c r="M165" s="1374"/>
      <c r="N165" s="1374"/>
      <c r="O165" s="428"/>
      <c r="S165" s="110"/>
    </row>
    <row r="166" spans="1:19" ht="13.15" customHeight="1" x14ac:dyDescent="0.25">
      <c r="A166" s="92"/>
      <c r="B166" s="94"/>
      <c r="C166" s="144"/>
      <c r="D166" s="966"/>
      <c r="E166" s="1374"/>
      <c r="F166" s="1263"/>
      <c r="G166" s="1374"/>
      <c r="H166" s="1374"/>
      <c r="I166" s="1374"/>
      <c r="J166" s="1374"/>
      <c r="K166" s="1374"/>
      <c r="L166" s="1374"/>
      <c r="M166" s="1374"/>
      <c r="N166" s="1374"/>
      <c r="O166" s="428"/>
      <c r="S166" s="110"/>
    </row>
    <row r="167" spans="1:19" ht="25.5" customHeight="1" x14ac:dyDescent="0.25">
      <c r="A167" s="92"/>
      <c r="B167" s="94"/>
      <c r="C167" s="144"/>
      <c r="D167" s="966" t="s">
        <v>2874</v>
      </c>
      <c r="E167" s="1383" t="str">
        <f>Translations!$B$280</f>
        <v>Emissions embedded in this purchased precursor</v>
      </c>
      <c r="F167" s="1401"/>
      <c r="G167" s="1383" t="str">
        <f>Translations!$B$2064</f>
        <v>Please enter here the values obtained from the supplier of the precursor, and the data source given by the supplier.</v>
      </c>
      <c r="H167" s="1383"/>
      <c r="I167" s="1383"/>
      <c r="J167" s="1383"/>
      <c r="K167" s="1383"/>
      <c r="L167" s="1383"/>
      <c r="M167" s="1383"/>
      <c r="N167" s="1383"/>
      <c r="O167" s="428"/>
      <c r="S167" s="110"/>
    </row>
    <row r="168" spans="1:19" ht="25.5" customHeight="1" x14ac:dyDescent="0.25">
      <c r="A168" s="92"/>
      <c r="B168" s="94"/>
      <c r="C168" s="144"/>
      <c r="D168" s="966"/>
      <c r="E168" s="1106"/>
      <c r="F168" s="811"/>
      <c r="G168" s="1373" t="str">
        <f>Translations!$B$2065</f>
        <v>As information source you may choose whether the producer has determined (measured) the data, or whether the default value provided by the European Commission was used.</v>
      </c>
      <c r="H168" s="1172"/>
      <c r="I168" s="1172"/>
      <c r="J168" s="1172"/>
      <c r="K168" s="1172"/>
      <c r="L168" s="1172"/>
      <c r="M168" s="1172"/>
      <c r="N168" s="1172"/>
      <c r="O168" s="428"/>
      <c r="S168" s="110"/>
    </row>
    <row r="169" spans="1:19" ht="25.5" customHeight="1" x14ac:dyDescent="0.25">
      <c r="A169" s="92"/>
      <c r="B169" s="94"/>
      <c r="C169" s="144"/>
      <c r="D169" s="966"/>
      <c r="E169" s="1107"/>
      <c r="F169" s="1108"/>
      <c r="G169" s="1376" t="str">
        <f>Translations!$B$283</f>
        <v>In order to obtain these data and information, you may want to ask your supplier to fill in an empty copy of this communication template.</v>
      </c>
      <c r="H169" s="1389"/>
      <c r="I169" s="1389"/>
      <c r="J169" s="1389"/>
      <c r="K169" s="1389"/>
      <c r="L169" s="1389"/>
      <c r="M169" s="1389"/>
      <c r="N169" s="1389"/>
      <c r="O169" s="428"/>
      <c r="S169" s="110"/>
    </row>
    <row r="170" spans="1:19" ht="39.65" customHeight="1" x14ac:dyDescent="0.25">
      <c r="A170" s="92"/>
      <c r="B170" s="94"/>
      <c r="C170" s="144"/>
      <c r="D170" s="968" t="s">
        <v>41</v>
      </c>
      <c r="E170" s="1374" t="str">
        <f>Translations!$B$1969</f>
        <v>Specific embedded direct emissions (SEE (direct))</v>
      </c>
      <c r="F170" s="1379"/>
      <c r="G170" s="1374" t="str">
        <f>Translations!$B$2066</f>
        <v>Please enter the specific direct embedded emissions, i.e. the embedded emissions value per tonne of precursor. If obtained from the supplier, use the most recent available data. Values are to be expressed as tCO2e per tonne precursor, i.e. covering all greenhouse gases relevant.</v>
      </c>
      <c r="H170" s="1374"/>
      <c r="I170" s="1374"/>
      <c r="J170" s="1374"/>
      <c r="K170" s="1374"/>
      <c r="L170" s="1374"/>
      <c r="M170" s="1374"/>
      <c r="N170" s="1374"/>
      <c r="O170" s="428"/>
      <c r="S170" s="110"/>
    </row>
    <row r="171" spans="1:19" ht="25.5" customHeight="1" x14ac:dyDescent="0.25">
      <c r="A171" s="92"/>
      <c r="B171" s="94"/>
      <c r="C171" s="144"/>
      <c r="D171" s="968" t="s">
        <v>42</v>
      </c>
      <c r="E171" s="1374" t="str">
        <f>Translations!$B$1970</f>
        <v>Specific electricity consumption (for SEE (indirect))</v>
      </c>
      <c r="F171" s="1379"/>
      <c r="G171" s="1374" t="str">
        <f>Translations!$B$2067</f>
        <v>Please enter the value for the electricity consumption per tonne of precursor. If obtained from the supplier, use the most recent available data.</v>
      </c>
      <c r="H171" s="1374"/>
      <c r="I171" s="1374"/>
      <c r="J171" s="1374"/>
      <c r="K171" s="1374"/>
      <c r="L171" s="1374"/>
      <c r="M171" s="1374"/>
      <c r="N171" s="1374"/>
      <c r="O171" s="428"/>
      <c r="S171" s="110"/>
    </row>
    <row r="172" spans="1:19" ht="26.5" customHeight="1" x14ac:dyDescent="0.25">
      <c r="A172" s="92"/>
      <c r="B172" s="94"/>
      <c r="C172" s="144"/>
      <c r="D172" s="968" t="s">
        <v>43</v>
      </c>
      <c r="E172" s="1374" t="str">
        <f>Translations!$B$1971</f>
        <v>Electricity emission factor (for SEE (indirect))</v>
      </c>
      <c r="F172" s="1379"/>
      <c r="G172" s="1374" t="str">
        <f>Translations!$B$2068</f>
        <v>Please enter the applicable emission factor (EF) for electricity used for the production of the precursor. The following options can be chosen as data source:</v>
      </c>
      <c r="H172" s="1374"/>
      <c r="I172" s="1374"/>
      <c r="J172" s="1374"/>
      <c r="K172" s="1374"/>
      <c r="L172" s="1374"/>
      <c r="M172" s="1374"/>
      <c r="N172" s="1374"/>
      <c r="O172" s="428"/>
      <c r="S172" s="110"/>
    </row>
    <row r="173" spans="1:19" ht="12.75" customHeight="1" x14ac:dyDescent="0.25">
      <c r="A173" s="92"/>
      <c r="B173" s="94"/>
      <c r="C173" s="144"/>
      <c r="D173" s="966"/>
      <c r="E173" s="1105"/>
      <c r="F173" s="416" t="s">
        <v>3925</v>
      </c>
      <c r="G173" s="1376" t="str">
        <f>Translations!$B$2053</f>
        <v>EF based on IEA data, provided by the European Commission</v>
      </c>
      <c r="H173" s="1376"/>
      <c r="I173" s="1376"/>
      <c r="J173" s="1376"/>
      <c r="K173" s="1376"/>
      <c r="L173" s="1376"/>
      <c r="M173" s="1376"/>
      <c r="N173" s="1376"/>
      <c r="O173" s="428"/>
      <c r="S173" s="110"/>
    </row>
    <row r="174" spans="1:19" ht="25.9" customHeight="1" x14ac:dyDescent="0.25">
      <c r="A174" s="92"/>
      <c r="B174" s="94"/>
      <c r="C174" s="144"/>
      <c r="D174" s="966"/>
      <c r="E174" s="1105"/>
      <c r="F174" s="414" t="s">
        <v>3926</v>
      </c>
      <c r="G174" s="1374" t="str">
        <f>Translations!$B$2054</f>
        <v>EF based on other publicly available data representing either the average EF or the CO2 emission factor as in section 4.3 of Annex IV of the CBAM Regulation.</v>
      </c>
      <c r="H174" s="1374"/>
      <c r="I174" s="1374"/>
      <c r="J174" s="1374"/>
      <c r="K174" s="1374"/>
      <c r="L174" s="1374"/>
      <c r="M174" s="1374"/>
      <c r="N174" s="1374"/>
      <c r="O174" s="428"/>
      <c r="S174" s="110"/>
    </row>
    <row r="175" spans="1:19" ht="12.75" customHeight="1" x14ac:dyDescent="0.25">
      <c r="A175" s="92"/>
      <c r="B175" s="94"/>
      <c r="C175" s="144"/>
      <c r="D175" s="966"/>
      <c r="E175" s="1105"/>
      <c r="F175" s="414" t="s">
        <v>3927</v>
      </c>
      <c r="G175" s="1374" t="str">
        <f>Translations!$B$2055</f>
        <v>EF of electricity produced in the installation other than by cogeneration</v>
      </c>
      <c r="H175" s="1374"/>
      <c r="I175" s="1374"/>
      <c r="J175" s="1374"/>
      <c r="K175" s="1374"/>
      <c r="L175" s="1374"/>
      <c r="M175" s="1374"/>
      <c r="N175" s="1374"/>
      <c r="O175" s="428"/>
      <c r="S175" s="110"/>
    </row>
    <row r="176" spans="1:19" ht="12.75" customHeight="1" x14ac:dyDescent="0.25">
      <c r="A176" s="92"/>
      <c r="B176" s="94"/>
      <c r="C176" s="144"/>
      <c r="D176" s="966"/>
      <c r="E176" s="1105"/>
      <c r="F176" s="414" t="s">
        <v>3928</v>
      </c>
      <c r="G176" s="1374" t="str">
        <f>Translations!$B$2056</f>
        <v>EF of electricity produced in the installation by cogeneration</v>
      </c>
      <c r="H176" s="1374"/>
      <c r="I176" s="1374"/>
      <c r="J176" s="1374"/>
      <c r="K176" s="1374"/>
      <c r="L176" s="1374"/>
      <c r="M176" s="1374"/>
      <c r="N176" s="1374"/>
      <c r="O176" s="428"/>
      <c r="S176" s="110"/>
    </row>
    <row r="177" spans="1:23" ht="12.75" customHeight="1" x14ac:dyDescent="0.25">
      <c r="A177" s="92"/>
      <c r="B177" s="94"/>
      <c r="C177" s="144"/>
      <c r="D177" s="966"/>
      <c r="E177" s="1105"/>
      <c r="F177" s="414" t="s">
        <v>3929</v>
      </c>
      <c r="G177" s="1374" t="str">
        <f>Translations!$B$2057</f>
        <v>EF of electricity produced outside the installation (received from a source with a direct technical link)</v>
      </c>
      <c r="H177" s="1374"/>
      <c r="I177" s="1374"/>
      <c r="J177" s="1374"/>
      <c r="K177" s="1374"/>
      <c r="L177" s="1374"/>
      <c r="M177" s="1374"/>
      <c r="N177" s="1374"/>
      <c r="O177" s="428"/>
      <c r="S177" s="110"/>
    </row>
    <row r="178" spans="1:23" ht="12.75" customHeight="1" x14ac:dyDescent="0.25">
      <c r="A178" s="92"/>
      <c r="B178" s="94"/>
      <c r="C178" s="144"/>
      <c r="D178" s="966"/>
      <c r="E178" s="1105"/>
      <c r="F178" s="417" t="s">
        <v>3930</v>
      </c>
      <c r="G178" s="1374" t="str">
        <f>Translations!$B$2058</f>
        <v>EF of electricity produced outside the installation (received from a producer under a power purchase agreement)</v>
      </c>
      <c r="H178" s="1374"/>
      <c r="I178" s="1374"/>
      <c r="J178" s="1374"/>
      <c r="K178" s="1374"/>
      <c r="L178" s="1374"/>
      <c r="M178" s="1374"/>
      <c r="N178" s="1374"/>
      <c r="O178" s="428"/>
      <c r="S178" s="110"/>
    </row>
    <row r="179" spans="1:23" ht="25.5" customHeight="1" x14ac:dyDescent="0.25">
      <c r="A179" s="92"/>
      <c r="B179" s="94"/>
      <c r="C179" s="144"/>
      <c r="D179" s="966"/>
      <c r="E179" s="1105"/>
      <c r="F179" s="417" t="str">
        <f>Translations!$B$460</f>
        <v>Mix</v>
      </c>
      <c r="G179" s="1374" t="str">
        <f>Translations!$B$461</f>
        <v>Where the electricity is not predominantly obtained from one source or the EF determined by more than one of the above sources, the EF is determined as a mix of the methods above.</v>
      </c>
      <c r="H179" s="1374"/>
      <c r="I179" s="1374"/>
      <c r="J179" s="1374"/>
      <c r="K179" s="1374"/>
      <c r="L179" s="1374"/>
      <c r="M179" s="1374"/>
      <c r="N179" s="1374"/>
      <c r="O179" s="428"/>
      <c r="S179" s="110"/>
    </row>
    <row r="180" spans="1:23" ht="25.5" customHeight="1" x14ac:dyDescent="0.25">
      <c r="A180" s="92"/>
      <c r="B180" s="94"/>
      <c r="C180" s="144"/>
      <c r="D180" s="968" t="s">
        <v>44</v>
      </c>
      <c r="E180" s="1374" t="str">
        <f>Translations!$B$1972</f>
        <v>Specific embedded indirect emissions (SEE (indirect))</v>
      </c>
      <c r="F180" s="1379"/>
      <c r="G180" s="1374" t="str">
        <f>Translations!$B$2069</f>
        <v>The specific embedded indirect emissions are calculated by the template as electricity consumed times the emission factor.</v>
      </c>
      <c r="H180" s="1374"/>
      <c r="I180" s="1374"/>
      <c r="J180" s="1374"/>
      <c r="K180" s="1374"/>
      <c r="L180" s="1374"/>
      <c r="M180" s="1374"/>
      <c r="N180" s="1374"/>
      <c r="O180" s="428"/>
      <c r="S180" s="110"/>
    </row>
    <row r="181" spans="1:23" ht="25.5" customHeight="1" x14ac:dyDescent="0.25">
      <c r="A181" s="92"/>
      <c r="B181" s="94"/>
      <c r="C181" s="144"/>
      <c r="D181" s="968" t="s">
        <v>45</v>
      </c>
      <c r="E181" s="1385" t="str">
        <f>Translations!$B$1858</f>
        <v>Justification for use of default values (if relevant):</v>
      </c>
      <c r="F181" s="1402"/>
      <c r="G181" s="1385" t="str">
        <f>Translations!$B$2070</f>
        <v>If you used default values for at least one parameter, you have to provide a justification for the use of the default value. Please select one from the drop-down list.</v>
      </c>
      <c r="H181" s="1385"/>
      <c r="I181" s="1385"/>
      <c r="J181" s="1385"/>
      <c r="K181" s="1385"/>
      <c r="L181" s="1385"/>
      <c r="M181" s="1385"/>
      <c r="N181" s="1385"/>
      <c r="O181" s="428"/>
      <c r="S181" s="110"/>
    </row>
    <row r="182" spans="1:23" ht="25.5" customHeight="1" x14ac:dyDescent="0.25">
      <c r="A182" s="92"/>
      <c r="B182" s="94"/>
      <c r="C182" s="144"/>
      <c r="D182" s="914"/>
      <c r="E182" s="1404" t="str">
        <f>Translations!$B$2119</f>
        <v>Remark on how to enter default values for indirect embedded emissions</v>
      </c>
      <c r="F182" s="1404"/>
      <c r="G182" s="1404"/>
      <c r="H182" s="1404"/>
      <c r="I182" s="1404"/>
      <c r="J182" s="1404"/>
      <c r="K182" s="1404"/>
      <c r="L182" s="1404"/>
      <c r="M182" s="1404"/>
      <c r="N182" s="1404"/>
      <c r="O182" s="428"/>
      <c r="S182" s="110"/>
    </row>
    <row r="183" spans="1:23" ht="25.5" customHeight="1" x14ac:dyDescent="0.25">
      <c r="A183" s="92"/>
      <c r="B183" s="94"/>
      <c r="C183" s="144"/>
      <c r="D183" s="914"/>
      <c r="E183" s="1407" t="str">
        <f>Translations!$B$2120</f>
        <v>With regard to indirect specific embedded emissions, the Commission published default values. If the operator wants to make use of these values, the following approach has to be taken for correctly report also the specific electricity consumption:</v>
      </c>
      <c r="F183" s="1408"/>
      <c r="G183" s="1408"/>
      <c r="H183" s="1408"/>
      <c r="I183" s="1408"/>
      <c r="J183" s="1408"/>
      <c r="K183" s="1408"/>
      <c r="L183" s="1408"/>
      <c r="M183" s="1408"/>
      <c r="N183" s="1408"/>
      <c r="O183" s="428"/>
      <c r="S183" s="110"/>
    </row>
    <row r="184" spans="1:23" ht="13.15" customHeight="1" x14ac:dyDescent="0.25">
      <c r="A184" s="92"/>
      <c r="B184" s="94"/>
      <c r="C184" s="144"/>
      <c r="D184" s="914"/>
      <c r="E184" s="1409" t="str">
        <f>Translations!$B$2121</f>
        <v xml:space="preserve">First determine the applicable emission factor for electricity in the country of origin of the purchased precursor (options in accordance with point iii. above). </v>
      </c>
      <c r="F184" s="1410"/>
      <c r="G184" s="1410"/>
      <c r="H184" s="1410"/>
      <c r="I184" s="1410"/>
      <c r="J184" s="1410"/>
      <c r="K184" s="1410"/>
      <c r="L184" s="1410"/>
      <c r="M184" s="1410"/>
      <c r="N184" s="1410"/>
      <c r="O184" s="428"/>
      <c r="S184" s="110"/>
    </row>
    <row r="185" spans="1:23" ht="13.15" customHeight="1" x14ac:dyDescent="0.25">
      <c r="A185" s="92"/>
      <c r="B185" s="94"/>
      <c r="C185" s="144"/>
      <c r="D185" s="914"/>
      <c r="E185" s="1409" t="str">
        <f>Translations!$B$2122</f>
        <v>Secondly, divide the default value for the indirect specific embedded emissions by that emission factor. The result is the specific electricity consumption that is to be entered in field ii.</v>
      </c>
      <c r="F185" s="1410"/>
      <c r="G185" s="1410"/>
      <c r="H185" s="1410"/>
      <c r="I185" s="1410"/>
      <c r="J185" s="1410"/>
      <c r="K185" s="1410"/>
      <c r="L185" s="1410"/>
      <c r="M185" s="1410"/>
      <c r="N185" s="1410"/>
      <c r="O185" s="428"/>
      <c r="S185" s="110"/>
    </row>
    <row r="186" spans="1:23" ht="13.15" customHeight="1" x14ac:dyDescent="0.25">
      <c r="A186" s="92"/>
      <c r="B186" s="94"/>
      <c r="C186" s="144"/>
      <c r="D186" s="914"/>
      <c r="E186" s="1409" t="str">
        <f>Translations!$B$2123</f>
        <v>Enter the emission factor determined in the first step in field iii.</v>
      </c>
      <c r="F186" s="1410"/>
      <c r="G186" s="1410"/>
      <c r="H186" s="1410"/>
      <c r="I186" s="1410"/>
      <c r="J186" s="1410"/>
      <c r="K186" s="1410"/>
      <c r="L186" s="1410"/>
      <c r="M186" s="1410"/>
      <c r="N186" s="1410"/>
      <c r="O186" s="428"/>
      <c r="S186" s="110"/>
    </row>
    <row r="187" spans="1:23" ht="25.5" customHeight="1" x14ac:dyDescent="0.25">
      <c r="A187" s="92"/>
      <c r="B187" s="94"/>
      <c r="C187" s="144"/>
      <c r="D187" s="914"/>
      <c r="E187" s="1405" t="str">
        <f>Translations!$B$2124</f>
        <v>As a result, the default value for the indirect specific embedded emissions should be displayed under point iv. Please make sure that the units used in your calculation, in particular for the emission factor for electricity is consistent with the units displayed in the template.</v>
      </c>
      <c r="F187" s="1406"/>
      <c r="G187" s="1406"/>
      <c r="H187" s="1406"/>
      <c r="I187" s="1406"/>
      <c r="J187" s="1406"/>
      <c r="K187" s="1406"/>
      <c r="L187" s="1406"/>
      <c r="M187" s="1406"/>
      <c r="N187" s="1406"/>
      <c r="O187" s="428"/>
      <c r="S187" s="110"/>
    </row>
    <row r="188" spans="1:23" ht="12.75" customHeight="1" x14ac:dyDescent="0.25">
      <c r="A188" s="92"/>
      <c r="B188" s="94"/>
      <c r="C188" s="144"/>
      <c r="D188" s="914"/>
      <c r="E188" s="915"/>
      <c r="F188" s="915"/>
      <c r="G188" s="915"/>
      <c r="H188" s="915"/>
      <c r="I188" s="915"/>
      <c r="J188" s="915"/>
      <c r="K188" s="915"/>
      <c r="L188" s="915"/>
      <c r="M188" s="915"/>
      <c r="N188" s="144"/>
      <c r="O188" s="428"/>
      <c r="S188" s="110"/>
    </row>
    <row r="189" spans="1:23" ht="18" customHeight="1" x14ac:dyDescent="0.35">
      <c r="A189" s="919">
        <v>5</v>
      </c>
      <c r="B189" s="94"/>
      <c r="C189" s="319">
        <v>5</v>
      </c>
      <c r="D189" s="909" t="str">
        <f>Translations!$B$465</f>
        <v>Summary of products</v>
      </c>
      <c r="E189" s="909"/>
      <c r="F189" s="910"/>
      <c r="G189" s="910"/>
      <c r="H189" s="910"/>
      <c r="I189" s="910"/>
      <c r="J189" s="910"/>
      <c r="K189" s="910"/>
      <c r="L189" s="910"/>
      <c r="M189" s="910"/>
      <c r="N189" s="910"/>
      <c r="O189" s="428"/>
      <c r="R189" s="102" t="str">
        <f>D189</f>
        <v>Summary of products</v>
      </c>
      <c r="S189" s="105">
        <f>C189</f>
        <v>5</v>
      </c>
      <c r="W189" s="104"/>
    </row>
    <row r="190" spans="1:23" ht="5.15" customHeight="1" x14ac:dyDescent="0.25">
      <c r="A190" s="92"/>
      <c r="B190" s="94"/>
      <c r="C190" s="144"/>
      <c r="D190" s="914"/>
      <c r="E190" s="915"/>
      <c r="F190" s="915"/>
      <c r="G190" s="915"/>
      <c r="H190" s="915"/>
      <c r="I190" s="915"/>
      <c r="J190" s="915"/>
      <c r="K190" s="915"/>
      <c r="L190" s="915"/>
      <c r="M190" s="915"/>
      <c r="N190" s="144"/>
      <c r="O190" s="428"/>
      <c r="S190" s="110"/>
    </row>
    <row r="191" spans="1:23" ht="5.15" customHeight="1" x14ac:dyDescent="0.25">
      <c r="A191" s="92"/>
      <c r="B191" s="94"/>
      <c r="C191" s="144"/>
      <c r="D191" s="969"/>
      <c r="E191" s="970"/>
      <c r="F191" s="970"/>
      <c r="G191" s="970"/>
      <c r="H191" s="970"/>
      <c r="I191" s="970"/>
      <c r="J191" s="970"/>
      <c r="K191" s="970"/>
      <c r="L191" s="970"/>
      <c r="M191" s="970"/>
      <c r="N191" s="913"/>
      <c r="O191" s="428"/>
      <c r="S191" s="110"/>
    </row>
    <row r="192" spans="1:23" ht="13.15" customHeight="1" x14ac:dyDescent="0.3">
      <c r="A192" s="92"/>
      <c r="B192" s="94"/>
      <c r="C192" s="948"/>
      <c r="D192" s="950"/>
      <c r="E192" s="1388" t="str">
        <f>Translations!$B$466</f>
        <v>Please find below the detailed guidance on how to complete the sheet "Summary_Products".</v>
      </c>
      <c r="F192" s="1388"/>
      <c r="G192" s="1388"/>
      <c r="H192" s="1388"/>
      <c r="I192" s="1388"/>
      <c r="J192" s="1388"/>
      <c r="K192" s="1388"/>
      <c r="L192" s="1388"/>
      <c r="M192" s="1388"/>
      <c r="N192" s="1388"/>
      <c r="O192" s="428"/>
    </row>
    <row r="193" spans="1:19" ht="25.5" customHeight="1" x14ac:dyDescent="0.3">
      <c r="A193" s="92"/>
      <c r="B193" s="94"/>
      <c r="C193" s="948"/>
      <c r="D193" s="950"/>
      <c r="E193" s="1384" t="str">
        <f>Translations!$B$467</f>
        <v>Sheet "Summary_Products" will be crucial for the communication with the 'reporting declarant' as it contains the main information required in order to correctly fill in the 'CBAM report' for importing the goods into the European Union.</v>
      </c>
      <c r="F193" s="1384"/>
      <c r="G193" s="1384"/>
      <c r="H193" s="1384"/>
      <c r="I193" s="1384"/>
      <c r="J193" s="1384"/>
      <c r="K193" s="1384"/>
      <c r="L193" s="1384"/>
      <c r="M193" s="1384"/>
      <c r="N193" s="1384"/>
      <c r="O193" s="428"/>
    </row>
    <row r="194" spans="1:19" ht="25.5" customHeight="1" x14ac:dyDescent="0.3">
      <c r="A194" s="92"/>
      <c r="B194" s="94"/>
      <c r="C194" s="948"/>
      <c r="D194" s="950"/>
      <c r="E194" s="1388" t="str">
        <f>Translations!$B$2071</f>
        <v>Information should be provided for each type of good imported into the EU. The type of goods should be listed as disaggregated as possible, i.e. splitting type of goods by their CN codes using as many digits as possible.</v>
      </c>
      <c r="F194" s="1388"/>
      <c r="G194" s="1388"/>
      <c r="H194" s="1388"/>
      <c r="I194" s="1388"/>
      <c r="J194" s="1388"/>
      <c r="K194" s="1388"/>
      <c r="L194" s="1388"/>
      <c r="M194" s="1388"/>
      <c r="N194" s="1388"/>
      <c r="O194" s="428"/>
    </row>
    <row r="195" spans="1:19" ht="13.15" customHeight="1" x14ac:dyDescent="0.3">
      <c r="A195" s="92"/>
      <c r="B195" s="94"/>
      <c r="C195" s="948"/>
      <c r="D195" s="950"/>
      <c r="E195" s="1384" t="str">
        <f>Translations!$B$469</f>
        <v>All information provided (specific embedded emissions, carbon price due, etc.) shall relate to the same reference period as entered in sheet A, section 1.</v>
      </c>
      <c r="F195" s="1384"/>
      <c r="G195" s="1384"/>
      <c r="H195" s="1384"/>
      <c r="I195" s="1384"/>
      <c r="J195" s="1384"/>
      <c r="K195" s="1384"/>
      <c r="L195" s="1384"/>
      <c r="M195" s="1384"/>
      <c r="N195" s="1384"/>
      <c r="O195" s="428"/>
    </row>
    <row r="196" spans="1:19" ht="13.15" customHeight="1" x14ac:dyDescent="0.3">
      <c r="A196" s="92"/>
      <c r="B196" s="94"/>
      <c r="C196" s="948"/>
      <c r="D196" s="950"/>
      <c r="E196" s="1388" t="str">
        <f>Translations!$B$469</f>
        <v>All information provided (specific embedded emissions, carbon price due, etc.) shall relate to the same reference period as entered in sheet A, section 1.</v>
      </c>
      <c r="F196" s="1388"/>
      <c r="G196" s="1388"/>
      <c r="H196" s="1388"/>
      <c r="I196" s="1388"/>
      <c r="J196" s="1388"/>
      <c r="K196" s="1388"/>
      <c r="L196" s="1388"/>
      <c r="M196" s="1388"/>
      <c r="N196" s="1388"/>
      <c r="O196" s="428"/>
    </row>
    <row r="197" spans="1:19" ht="5.15" customHeight="1" x14ac:dyDescent="0.25">
      <c r="A197" s="92"/>
      <c r="B197" s="94"/>
      <c r="C197" s="144"/>
      <c r="D197" s="969"/>
      <c r="E197" s="970"/>
      <c r="F197" s="970"/>
      <c r="G197" s="970"/>
      <c r="H197" s="970"/>
      <c r="I197" s="970"/>
      <c r="J197" s="970"/>
      <c r="K197" s="970"/>
      <c r="L197" s="970"/>
      <c r="M197" s="970"/>
      <c r="N197" s="913"/>
      <c r="O197" s="428"/>
      <c r="S197" s="110"/>
    </row>
    <row r="198" spans="1:19" ht="5.15" customHeight="1" x14ac:dyDescent="0.25">
      <c r="A198" s="92"/>
      <c r="B198" s="94"/>
      <c r="C198" s="144"/>
      <c r="D198" s="914"/>
      <c r="E198" s="915"/>
      <c r="F198" s="915"/>
      <c r="G198" s="915"/>
      <c r="H198" s="915"/>
      <c r="I198" s="915"/>
      <c r="J198" s="915"/>
      <c r="K198" s="915"/>
      <c r="L198" s="915"/>
      <c r="M198" s="915"/>
      <c r="N198" s="144"/>
      <c r="O198" s="428"/>
      <c r="S198" s="110"/>
    </row>
    <row r="199" spans="1:19" ht="12.75" customHeight="1" x14ac:dyDescent="0.25">
      <c r="A199" s="92"/>
      <c r="B199" s="94"/>
      <c r="C199" s="144"/>
      <c r="D199" s="914"/>
      <c r="E199" s="1380" t="str">
        <f ca="1">HYPERLINK("#"&amp;S199,CONST_LinkFromGuidance)</f>
        <v>Please click on this link if you want to go back to the relevant section for data entry.</v>
      </c>
      <c r="F199" s="1380"/>
      <c r="G199" s="1380"/>
      <c r="H199" s="1380"/>
      <c r="I199" s="1380"/>
      <c r="J199" s="1380"/>
      <c r="K199" s="1380"/>
      <c r="L199" s="1380"/>
      <c r="M199" s="1380"/>
      <c r="N199" s="1380"/>
      <c r="O199" s="428"/>
      <c r="R199" s="91" t="s">
        <v>2836</v>
      </c>
      <c r="S199" s="114" t="str">
        <f ca="1">ADDRESS(9,4,,,Summary_Products!$BF$2)</f>
        <v>Summary_Products!$D$9</v>
      </c>
    </row>
    <row r="200" spans="1:19" ht="5.15" customHeight="1" x14ac:dyDescent="0.25">
      <c r="A200" s="92"/>
      <c r="B200" s="94"/>
      <c r="C200" s="144"/>
      <c r="D200" s="914"/>
      <c r="E200" s="915"/>
      <c r="F200" s="915"/>
      <c r="G200" s="915"/>
      <c r="H200" s="915"/>
      <c r="I200" s="915"/>
      <c r="J200" s="915"/>
      <c r="K200" s="915"/>
      <c r="L200" s="915"/>
      <c r="M200" s="915"/>
      <c r="N200" s="144"/>
      <c r="O200" s="428"/>
      <c r="S200" s="110"/>
    </row>
    <row r="201" spans="1:19" ht="25.5" customHeight="1" x14ac:dyDescent="0.25">
      <c r="A201" s="92"/>
      <c r="B201" s="94"/>
      <c r="C201" s="144"/>
      <c r="D201" s="914"/>
      <c r="E201" s="1386" t="str">
        <f>Translations!$B$471</f>
        <v>General parameters</v>
      </c>
      <c r="F201" s="1386"/>
      <c r="G201" s="1386"/>
      <c r="H201" s="1386"/>
      <c r="I201" s="1386"/>
      <c r="J201" s="1386"/>
      <c r="K201" s="1386"/>
      <c r="L201" s="1386"/>
      <c r="M201" s="1386"/>
      <c r="N201" s="1386"/>
      <c r="O201" s="428"/>
      <c r="S201" s="110"/>
    </row>
    <row r="202" spans="1:19" ht="25.15" customHeight="1" x14ac:dyDescent="0.25">
      <c r="A202" s="92"/>
      <c r="B202" s="94"/>
      <c r="C202" s="144"/>
      <c r="D202" s="967"/>
      <c r="E202" s="415" t="str">
        <f>Translations!$B$472</f>
        <v>Production process from which the products arise</v>
      </c>
      <c r="F202" s="416"/>
      <c r="G202" s="1383" t="str">
        <f>Translations!$B$473</f>
        <v>This contains a drop-down list with all production processes listed in sheet A, section 4.b. The type of aggregated good will be displayed automatically and the drop-down list for the relevant CN codes (see below) will only contain the codes relevant for this type of aggregated good.</v>
      </c>
      <c r="H202" s="1383"/>
      <c r="I202" s="1383"/>
      <c r="J202" s="1383"/>
      <c r="K202" s="1383"/>
      <c r="L202" s="1383"/>
      <c r="M202" s="1383"/>
      <c r="N202" s="1383"/>
      <c r="O202" s="428"/>
      <c r="S202" s="110"/>
    </row>
    <row r="203" spans="1:19" ht="12.75" customHeight="1" x14ac:dyDescent="0.25">
      <c r="A203" s="92"/>
      <c r="B203" s="94"/>
      <c r="C203" s="144"/>
      <c r="D203" s="967"/>
      <c r="E203" s="242" t="str">
        <f>Translations!$B$603</f>
        <v>Type of aggregated good or precursor</v>
      </c>
      <c r="F203" s="414"/>
      <c r="G203" s="1389"/>
      <c r="H203" s="1389"/>
      <c r="I203" s="1389"/>
      <c r="J203" s="1389"/>
      <c r="K203" s="1389"/>
      <c r="L203" s="1389"/>
      <c r="M203" s="1389"/>
      <c r="N203" s="1389"/>
      <c r="O203" s="428"/>
      <c r="S203" s="110"/>
    </row>
    <row r="204" spans="1:19" ht="12.75" customHeight="1" x14ac:dyDescent="0.25">
      <c r="A204" s="92"/>
      <c r="B204" s="94"/>
      <c r="C204" s="144"/>
      <c r="D204" s="967"/>
      <c r="E204" s="242" t="str">
        <f>Translations!$B$474</f>
        <v>CN Codes</v>
      </c>
      <c r="F204" s="414"/>
      <c r="G204" s="1374" t="str">
        <f>Translations!$B$475</f>
        <v>Please select here the relevant CN code, as disaggregated as possible (i.e. 8-digit code, if possible)</v>
      </c>
      <c r="H204" s="1374"/>
      <c r="I204" s="1374"/>
      <c r="J204" s="1374"/>
      <c r="K204" s="1374"/>
      <c r="L204" s="1374"/>
      <c r="M204" s="1374"/>
      <c r="N204" s="1374"/>
      <c r="O204" s="428"/>
      <c r="S204" s="110"/>
    </row>
    <row r="205" spans="1:19" ht="13.15" customHeight="1" x14ac:dyDescent="0.25">
      <c r="A205" s="92"/>
      <c r="B205" s="94"/>
      <c r="C205" s="144"/>
      <c r="D205" s="967"/>
      <c r="E205" s="242" t="str">
        <f>Translations!$B$604</f>
        <v>CN Name</v>
      </c>
      <c r="F205" s="414"/>
      <c r="G205" s="1374" t="str">
        <f>Translations!$B$2072</f>
        <v>The full text name of the selected CN category will be displayed here automatically after selecting the CN code.</v>
      </c>
      <c r="H205" s="1374"/>
      <c r="I205" s="1374"/>
      <c r="J205" s="1374"/>
      <c r="K205" s="1374"/>
      <c r="L205" s="1374"/>
      <c r="M205" s="1374"/>
      <c r="N205" s="1374"/>
      <c r="O205" s="428"/>
      <c r="S205" s="110"/>
    </row>
    <row r="206" spans="1:19" ht="38.25" customHeight="1" x14ac:dyDescent="0.25">
      <c r="A206" s="92"/>
      <c r="B206" s="94"/>
      <c r="C206" s="144"/>
      <c r="D206" s="967"/>
      <c r="E206" s="242" t="str">
        <f>Translations!$B$476</f>
        <v>Product name 
(used for communication with reporting declarant)</v>
      </c>
      <c r="F206" s="414"/>
      <c r="G206" s="1374" t="str">
        <f>Translations!$B$477</f>
        <v>Please enter here a unique name for the product which you typically use in communication with your customers, in this case the reporting declarants, such as on product specification sheets or invoices. This will help the reporting declarant with matching the products with the information in this list.</v>
      </c>
      <c r="H206" s="1374"/>
      <c r="I206" s="1374"/>
      <c r="J206" s="1374"/>
      <c r="K206" s="1374"/>
      <c r="L206" s="1374"/>
      <c r="M206" s="1374"/>
      <c r="N206" s="1374"/>
      <c r="O206" s="428"/>
      <c r="S206" s="110"/>
    </row>
    <row r="207" spans="1:19" ht="13.15" customHeight="1" x14ac:dyDescent="0.25">
      <c r="A207" s="92"/>
      <c r="B207" s="94"/>
      <c r="C207" s="144"/>
      <c r="D207" s="967"/>
      <c r="E207" s="413" t="str">
        <f>Translations!$B$478</f>
        <v>Embedded emissions</v>
      </c>
      <c r="F207" s="1109" t="str">
        <f>Translations!$B$570</f>
        <v>SEE (direct)</v>
      </c>
      <c r="G207" s="1383" t="str">
        <f>Translations!$B$2073</f>
        <v>Data related to the specific embedded emissions (SEE, direct/indirect/total) will be displayed automatically based on entries in previous sheets, including the embedded electricity and the source based on which the emission factor (EF) of the electricity consumption is determined.</v>
      </c>
      <c r="H207" s="1383"/>
      <c r="I207" s="1383"/>
      <c r="J207" s="1383"/>
      <c r="K207" s="1383"/>
      <c r="L207" s="1383"/>
      <c r="M207" s="1383"/>
      <c r="N207" s="1383"/>
      <c r="O207" s="428"/>
      <c r="S207" s="110"/>
    </row>
    <row r="208" spans="1:19" ht="13.15" customHeight="1" x14ac:dyDescent="0.25">
      <c r="A208" s="92"/>
      <c r="B208" s="94"/>
      <c r="C208" s="144"/>
      <c r="D208" s="967"/>
      <c r="E208" s="441"/>
      <c r="F208" s="1104" t="str">
        <f>Translations!$B$574</f>
        <v>SEE (indirect)</v>
      </c>
      <c r="G208" s="1373"/>
      <c r="H208" s="1373"/>
      <c r="I208" s="1373"/>
      <c r="J208" s="1373"/>
      <c r="K208" s="1373"/>
      <c r="L208" s="1373"/>
      <c r="M208" s="1373"/>
      <c r="N208" s="1373"/>
      <c r="O208" s="428"/>
      <c r="S208" s="110"/>
    </row>
    <row r="209" spans="1:19" ht="13.15" customHeight="1" x14ac:dyDescent="0.25">
      <c r="A209" s="92"/>
      <c r="B209" s="94"/>
      <c r="C209" s="144"/>
      <c r="D209" s="967"/>
      <c r="E209" s="441"/>
      <c r="F209" s="1104" t="str">
        <f>Translations!$B$344</f>
        <v>SEE (total)</v>
      </c>
      <c r="G209" s="1373"/>
      <c r="H209" s="1373"/>
      <c r="I209" s="1373"/>
      <c r="J209" s="1373"/>
      <c r="K209" s="1373"/>
      <c r="L209" s="1373"/>
      <c r="M209" s="1373"/>
      <c r="N209" s="1373"/>
      <c r="O209" s="428"/>
      <c r="S209" s="110"/>
    </row>
    <row r="210" spans="1:19" ht="13.15" customHeight="1" x14ac:dyDescent="0.25">
      <c r="A210" s="92"/>
      <c r="B210" s="94"/>
      <c r="C210" s="144"/>
      <c r="D210" s="967"/>
      <c r="E210" s="415"/>
      <c r="F210" s="819" t="str">
        <f>Translations!$B$221</f>
        <v>Unit</v>
      </c>
      <c r="G210" s="1376" t="str">
        <f>Translations!$B$2074</f>
        <v>The unit for all SEE values is t CO2e per tonne of product. For electricity as product SEE is in the unit of t CO2e per MWh.</v>
      </c>
      <c r="H210" s="1403"/>
      <c r="I210" s="1403"/>
      <c r="J210" s="1403"/>
      <c r="K210" s="1403"/>
      <c r="L210" s="1403"/>
      <c r="M210" s="1403"/>
      <c r="N210" s="1403"/>
      <c r="O210" s="428"/>
      <c r="S210" s="110"/>
    </row>
    <row r="211" spans="1:19" ht="25.5" customHeight="1" x14ac:dyDescent="0.25">
      <c r="A211" s="92"/>
      <c r="B211" s="94"/>
      <c r="C211" s="144"/>
      <c r="D211" s="967"/>
      <c r="E211" s="413" t="str">
        <f>Translations!$B$1868</f>
        <v>Share of emissions by default value</v>
      </c>
      <c r="F211" s="417"/>
      <c r="G211" s="1374" t="str">
        <f>Translations!$B$1869</f>
        <v>Share of direct embedded emissions embedded in purchased precursors and determined by default values.</v>
      </c>
      <c r="H211" s="1374"/>
      <c r="I211" s="1374"/>
      <c r="J211" s="1374"/>
      <c r="K211" s="1374"/>
      <c r="L211" s="1374"/>
      <c r="M211" s="1374"/>
      <c r="N211" s="1374"/>
      <c r="O211" s="428"/>
      <c r="S211" s="110"/>
    </row>
    <row r="212" spans="1:19" ht="25.5" customHeight="1" x14ac:dyDescent="0.25">
      <c r="A212" s="92"/>
      <c r="B212" s="94"/>
      <c r="C212" s="144"/>
      <c r="D212" s="967"/>
      <c r="E212" s="413" t="str">
        <f>Translations!$B$606</f>
        <v>Source for electricity EF</v>
      </c>
      <c r="F212" s="417"/>
      <c r="G212" s="1383" t="str">
        <f>Translations!$B$2075</f>
        <v>The source of the emission factor for electricity. The following options (based on the related sections of Annex III of the Implementing Act) are available:</v>
      </c>
      <c r="H212" s="1383"/>
      <c r="I212" s="1383"/>
      <c r="J212" s="1383"/>
      <c r="K212" s="1383"/>
      <c r="L212" s="1383"/>
      <c r="M212" s="1383"/>
      <c r="N212" s="1383"/>
      <c r="O212" s="428"/>
      <c r="S212" s="110"/>
    </row>
    <row r="213" spans="1:19" ht="12.75" customHeight="1" x14ac:dyDescent="0.25">
      <c r="A213" s="92"/>
      <c r="B213" s="94"/>
      <c r="C213" s="144"/>
      <c r="D213" s="966"/>
      <c r="E213" s="1106"/>
      <c r="F213" s="442" t="s">
        <v>3925</v>
      </c>
      <c r="G213" s="1376" t="str">
        <f>Translations!$B$2053</f>
        <v>EF based on IEA data, provided by the European Commission</v>
      </c>
      <c r="H213" s="1376"/>
      <c r="I213" s="1376"/>
      <c r="J213" s="1376"/>
      <c r="K213" s="1376"/>
      <c r="L213" s="1376"/>
      <c r="M213" s="1376"/>
      <c r="N213" s="1376"/>
      <c r="O213" s="428"/>
      <c r="S213" s="110"/>
    </row>
    <row r="214" spans="1:19" ht="25.9" customHeight="1" x14ac:dyDescent="0.25">
      <c r="A214" s="92"/>
      <c r="B214" s="94"/>
      <c r="C214" s="144"/>
      <c r="D214" s="966"/>
      <c r="E214" s="1106"/>
      <c r="F214" s="442" t="s">
        <v>3926</v>
      </c>
      <c r="G214" s="1374" t="str">
        <f>Translations!$B$2054</f>
        <v>EF based on other publicly available data representing either the average EF or the CO2 emission factor as in section 4.3 of Annex IV of the CBAM Regulation.</v>
      </c>
      <c r="H214" s="1374"/>
      <c r="I214" s="1374"/>
      <c r="J214" s="1374"/>
      <c r="K214" s="1374"/>
      <c r="L214" s="1374"/>
      <c r="M214" s="1374"/>
      <c r="N214" s="1374"/>
      <c r="O214" s="428"/>
      <c r="S214" s="110"/>
    </row>
    <row r="215" spans="1:19" ht="12.75" customHeight="1" x14ac:dyDescent="0.25">
      <c r="A215" s="92"/>
      <c r="B215" s="94"/>
      <c r="C215" s="144"/>
      <c r="D215" s="966"/>
      <c r="E215" s="1106"/>
      <c r="F215" s="442" t="s">
        <v>3927</v>
      </c>
      <c r="G215" s="1374" t="str">
        <f>Translations!$B$2055</f>
        <v>EF of electricity produced in the installation other than by cogeneration</v>
      </c>
      <c r="H215" s="1374"/>
      <c r="I215" s="1374"/>
      <c r="J215" s="1374"/>
      <c r="K215" s="1374"/>
      <c r="L215" s="1374"/>
      <c r="M215" s="1374"/>
      <c r="N215" s="1374"/>
      <c r="O215" s="428"/>
      <c r="S215" s="110"/>
    </row>
    <row r="216" spans="1:19" ht="12.75" customHeight="1" x14ac:dyDescent="0.25">
      <c r="A216" s="92"/>
      <c r="B216" s="94"/>
      <c r="C216" s="144"/>
      <c r="D216" s="966"/>
      <c r="E216" s="1106"/>
      <c r="F216" s="442" t="s">
        <v>3928</v>
      </c>
      <c r="G216" s="1374" t="str">
        <f>Translations!$B$2056</f>
        <v>EF of electricity produced in the installation by cogeneration</v>
      </c>
      <c r="H216" s="1374"/>
      <c r="I216" s="1374"/>
      <c r="J216" s="1374"/>
      <c r="K216" s="1374"/>
      <c r="L216" s="1374"/>
      <c r="M216" s="1374"/>
      <c r="N216" s="1374"/>
      <c r="O216" s="428"/>
      <c r="S216" s="110"/>
    </row>
    <row r="217" spans="1:19" ht="12.75" customHeight="1" x14ac:dyDescent="0.25">
      <c r="A217" s="92"/>
      <c r="B217" s="94"/>
      <c r="C217" s="144"/>
      <c r="D217" s="966"/>
      <c r="E217" s="1106"/>
      <c r="F217" s="442" t="s">
        <v>3929</v>
      </c>
      <c r="G217" s="1374" t="str">
        <f>Translations!$B$2057</f>
        <v>EF of electricity produced outside the installation (received from a source with a direct technical link)</v>
      </c>
      <c r="H217" s="1374"/>
      <c r="I217" s="1374"/>
      <c r="J217" s="1374"/>
      <c r="K217" s="1374"/>
      <c r="L217" s="1374"/>
      <c r="M217" s="1374"/>
      <c r="N217" s="1374"/>
      <c r="O217" s="428"/>
      <c r="S217" s="110"/>
    </row>
    <row r="218" spans="1:19" ht="12.75" customHeight="1" x14ac:dyDescent="0.25">
      <c r="A218" s="92"/>
      <c r="B218" s="94"/>
      <c r="C218" s="144"/>
      <c r="D218" s="966"/>
      <c r="E218" s="1106"/>
      <c r="F218" s="442" t="s">
        <v>3930</v>
      </c>
      <c r="G218" s="1374" t="str">
        <f>Translations!$B$2058</f>
        <v>EF of electricity produced outside the installation (received from a producer under a power purchase agreement)</v>
      </c>
      <c r="H218" s="1374"/>
      <c r="I218" s="1374"/>
      <c r="J218" s="1374"/>
      <c r="K218" s="1374"/>
      <c r="L218" s="1374"/>
      <c r="M218" s="1374"/>
      <c r="N218" s="1374"/>
      <c r="O218" s="428"/>
      <c r="S218" s="110"/>
    </row>
    <row r="219" spans="1:19" ht="25.5" customHeight="1" x14ac:dyDescent="0.25">
      <c r="A219" s="92"/>
      <c r="B219" s="94"/>
      <c r="C219" s="144"/>
      <c r="D219" s="966"/>
      <c r="E219" s="1107"/>
      <c r="F219" s="416" t="str">
        <f>Translations!$B$460</f>
        <v>Mix</v>
      </c>
      <c r="G219" s="1374" t="str">
        <f>Translations!$B$461</f>
        <v>Where the electricity is not predominantly obtained from one source or the EF determined by more than one of the above sources, the EF is determined as a mix of the methods above.</v>
      </c>
      <c r="H219" s="1374"/>
      <c r="I219" s="1374"/>
      <c r="J219" s="1374"/>
      <c r="K219" s="1374"/>
      <c r="L219" s="1374"/>
      <c r="M219" s="1374"/>
      <c r="N219" s="1374"/>
      <c r="O219" s="428"/>
      <c r="S219" s="110"/>
    </row>
    <row r="220" spans="1:19" ht="25.5" customHeight="1" x14ac:dyDescent="0.25">
      <c r="A220" s="92"/>
      <c r="B220" s="94"/>
      <c r="C220" s="144"/>
      <c r="D220" s="967"/>
      <c r="E220" s="413" t="str">
        <f>Translations!$B$480</f>
        <v>Embedded electricity</v>
      </c>
      <c r="F220" s="417"/>
      <c r="G220" s="1383" t="str">
        <f>Translations!$B$2076</f>
        <v>Specific embedded electricity consumption of the production process, i.e. including any embedded electricity consumption in other production processes within the installation and purchased precursors.</v>
      </c>
      <c r="H220" s="1383"/>
      <c r="I220" s="1383"/>
      <c r="J220" s="1383"/>
      <c r="K220" s="1383"/>
      <c r="L220" s="1383"/>
      <c r="M220" s="1383"/>
      <c r="N220" s="1383"/>
      <c r="O220" s="428"/>
      <c r="S220" s="110"/>
    </row>
    <row r="221" spans="1:19" ht="25.5" customHeight="1" x14ac:dyDescent="0.25">
      <c r="A221" s="92"/>
      <c r="B221" s="94"/>
      <c r="C221" s="144"/>
      <c r="D221" s="967"/>
      <c r="E221" s="1386" t="str">
        <f>Translations!$B$482</f>
        <v>Special parameters for certain aggregated good types</v>
      </c>
      <c r="F221" s="1386"/>
      <c r="G221" s="1386"/>
      <c r="H221" s="1386"/>
      <c r="I221" s="1386"/>
      <c r="J221" s="1386"/>
      <c r="K221" s="1386"/>
      <c r="L221" s="1386"/>
      <c r="M221" s="1386"/>
      <c r="N221" s="1386"/>
      <c r="O221" s="428"/>
      <c r="S221" s="110"/>
    </row>
    <row r="222" spans="1:19" ht="25.5" customHeight="1" x14ac:dyDescent="0.25">
      <c r="A222" s="92"/>
      <c r="B222" s="94"/>
      <c r="C222" s="144"/>
      <c r="D222" s="967"/>
      <c r="E222" s="413" t="str">
        <f>Translations!$B$483</f>
        <v>The main reducing agent of the precursor, if known</v>
      </c>
      <c r="F222" s="414"/>
      <c r="G222" s="1374" t="str">
        <f>Translations!$B$484</f>
        <v>This parameter is relevant for the production of pig iron, direct reduced iron, crude steel and iron and steel products. Please select from the drop-down list the main reducing agent (coke or coal, natural gas, etc.) used to reduce the iron ores.</v>
      </c>
      <c r="H222" s="1374"/>
      <c r="I222" s="1374"/>
      <c r="J222" s="1374"/>
      <c r="K222" s="1374"/>
      <c r="L222" s="1374"/>
      <c r="M222" s="1374"/>
      <c r="N222" s="1374"/>
      <c r="O222" s="428"/>
      <c r="S222" s="110"/>
    </row>
    <row r="223" spans="1:19" ht="38.25" customHeight="1" x14ac:dyDescent="0.25">
      <c r="A223" s="92"/>
      <c r="B223" s="94"/>
      <c r="C223" s="144"/>
      <c r="D223" s="967"/>
      <c r="E223" s="413" t="str">
        <f>Translations!$B$485</f>
        <v>Steel mill identification number</v>
      </c>
      <c r="F223" s="414"/>
      <c r="G223" s="1374" t="str">
        <f>Translations!$B$2077</f>
        <v>For steel goods, the identification number of the specific steel mill (also known as the "heat number") where a particular batch of raw materials was produced, where known. Information provided here may just refer to the parts of this number identifying the steel mill, not the individual batches as well.</v>
      </c>
      <c r="H223" s="1374"/>
      <c r="I223" s="1374"/>
      <c r="J223" s="1374"/>
      <c r="K223" s="1374"/>
      <c r="L223" s="1374"/>
      <c r="M223" s="1374"/>
      <c r="N223" s="1374"/>
      <c r="O223" s="428"/>
      <c r="S223" s="110"/>
    </row>
    <row r="224" spans="1:19" ht="25.5" customHeight="1" x14ac:dyDescent="0.25">
      <c r="A224" s="92"/>
      <c r="B224" s="94"/>
      <c r="C224" s="144"/>
      <c r="D224" s="967"/>
      <c r="E224" s="413" t="str">
        <f>Translations!$B$487</f>
        <v>% Mn</v>
      </c>
      <c r="F224" s="414"/>
      <c r="G224" s="1374" t="str">
        <f>Translations!$B$488</f>
        <v>This parameter is relevant for the production of pig iron, direct reduced iron, crude steel, iron and steel products and ferro-manganese. Please provide here the mass % of Mn in the product.</v>
      </c>
      <c r="H224" s="1374"/>
      <c r="I224" s="1374"/>
      <c r="J224" s="1374"/>
      <c r="K224" s="1374"/>
      <c r="L224" s="1374"/>
      <c r="M224" s="1374"/>
      <c r="N224" s="1374"/>
      <c r="O224" s="428"/>
      <c r="S224" s="110"/>
    </row>
    <row r="225" spans="1:19" ht="25.5" customHeight="1" x14ac:dyDescent="0.25">
      <c r="A225" s="92"/>
      <c r="B225" s="94"/>
      <c r="C225" s="144"/>
      <c r="D225" s="967"/>
      <c r="E225" s="413" t="str">
        <f>Translations!$B$489</f>
        <v>% Cr</v>
      </c>
      <c r="F225" s="414"/>
      <c r="G225" s="1374" t="str">
        <f>Translations!$B$490</f>
        <v>This parameter is relevant for the production of pig iron, direct reduced iron, crude steel, iron and steel products and ferro-chromium. Please provide here the mass % of Cr in the product.</v>
      </c>
      <c r="H225" s="1374"/>
      <c r="I225" s="1374"/>
      <c r="J225" s="1374"/>
      <c r="K225" s="1374"/>
      <c r="L225" s="1374"/>
      <c r="M225" s="1374"/>
      <c r="N225" s="1374"/>
      <c r="O225" s="428"/>
      <c r="S225" s="110"/>
    </row>
    <row r="226" spans="1:19" ht="25.5" customHeight="1" x14ac:dyDescent="0.25">
      <c r="A226" s="92"/>
      <c r="B226" s="94"/>
      <c r="C226" s="144"/>
      <c r="D226" s="967"/>
      <c r="E226" s="413" t="str">
        <f>Translations!$B$491</f>
        <v>% Ni</v>
      </c>
      <c r="F226" s="414"/>
      <c r="G226" s="1374" t="str">
        <f>Translations!$B$492</f>
        <v>This parameter is relevant for the production of pig iron, direct reduced iron, crude steel, iron and steel products and ferro-nickel. Please provide here the mass % of Ni in the product.</v>
      </c>
      <c r="H226" s="1374"/>
      <c r="I226" s="1374"/>
      <c r="J226" s="1374"/>
      <c r="K226" s="1374"/>
      <c r="L226" s="1374"/>
      <c r="M226" s="1374"/>
      <c r="N226" s="1374"/>
      <c r="O226" s="428"/>
      <c r="S226" s="110"/>
    </row>
    <row r="227" spans="1:19" ht="25.5" customHeight="1" x14ac:dyDescent="0.25">
      <c r="A227" s="92"/>
      <c r="B227" s="94"/>
      <c r="C227" s="144"/>
      <c r="D227" s="967"/>
      <c r="E227" s="413" t="str">
        <f>Translations!$B$493</f>
        <v>% other alloys</v>
      </c>
      <c r="F227" s="414"/>
      <c r="G227" s="1374" t="str">
        <f>Translations!$B$494</f>
        <v>This parameter is relevant for the production of pig iron, direct reduced iron, crude steel and iron and steel products. Please provide here the mass % of other alloy elements in the product.</v>
      </c>
      <c r="H227" s="1374"/>
      <c r="I227" s="1374"/>
      <c r="J227" s="1374"/>
      <c r="K227" s="1374"/>
      <c r="L227" s="1374"/>
      <c r="M227" s="1374"/>
      <c r="N227" s="1374"/>
      <c r="O227" s="428"/>
      <c r="S227" s="110"/>
    </row>
    <row r="228" spans="1:19" ht="25.5" customHeight="1" x14ac:dyDescent="0.25">
      <c r="A228" s="92"/>
      <c r="B228" s="94"/>
      <c r="C228" s="144"/>
      <c r="D228" s="967"/>
      <c r="E228" s="413" t="str">
        <f>Translations!$B$495</f>
        <v>% carbon</v>
      </c>
      <c r="F228" s="414"/>
      <c r="G228" s="1374" t="str">
        <f>Translations!$B$496</f>
        <v>This parameter is relevant for the production of ferro-manganese, ferro-chromium and ferro-nickel. Please provide here the mass % of carbon in the product.</v>
      </c>
      <c r="H228" s="1374"/>
      <c r="I228" s="1374"/>
      <c r="J228" s="1374"/>
      <c r="K228" s="1374"/>
      <c r="L228" s="1374"/>
      <c r="M228" s="1374"/>
      <c r="N228" s="1374"/>
      <c r="O228" s="428"/>
      <c r="S228" s="110"/>
    </row>
    <row r="229" spans="1:19" ht="25.5" customHeight="1" x14ac:dyDescent="0.25">
      <c r="A229" s="92"/>
      <c r="B229" s="94"/>
      <c r="C229" s="144"/>
      <c r="D229" s="967"/>
      <c r="E229" s="413" t="str">
        <f>Translations!$B$497</f>
        <v>t scrap per t steel</v>
      </c>
      <c r="F229" s="414"/>
      <c r="G229" s="1374" t="str">
        <f>Translations!$B$498</f>
        <v>This parameter is relevant for the production of crude steel and iron and steel products. Please provide here the mass % of tonne scrap used per tonne of steel produced.</v>
      </c>
      <c r="H229" s="1374"/>
      <c r="I229" s="1374"/>
      <c r="J229" s="1374"/>
      <c r="K229" s="1374"/>
      <c r="L229" s="1374"/>
      <c r="M229" s="1374"/>
      <c r="N229" s="1374"/>
      <c r="O229" s="428"/>
      <c r="S229" s="110"/>
    </row>
    <row r="230" spans="1:19" ht="25.5" customHeight="1" x14ac:dyDescent="0.25">
      <c r="A230" s="92"/>
      <c r="B230" s="94"/>
      <c r="C230" s="144"/>
      <c r="D230" s="967"/>
      <c r="E230" s="413" t="str">
        <f>Translations!$B$499</f>
        <v>% other materials</v>
      </c>
      <c r="F230" s="414"/>
      <c r="G230" s="1374" t="str">
        <f>Translations!$B$500</f>
        <v>This parameter is relevant for the production of the aggregated good iron and steel products. Please provide here the mass % of materials contained which are not iron or steel, if their mass is more than 1-5% of the total good’s mass.</v>
      </c>
      <c r="H230" s="1374"/>
      <c r="I230" s="1374"/>
      <c r="J230" s="1374"/>
      <c r="K230" s="1374"/>
      <c r="L230" s="1374"/>
      <c r="M230" s="1374"/>
      <c r="N230" s="1374"/>
      <c r="O230" s="428"/>
      <c r="S230" s="110"/>
    </row>
    <row r="231" spans="1:19" ht="25.5" customHeight="1" x14ac:dyDescent="0.25">
      <c r="A231" s="92"/>
      <c r="B231" s="94"/>
      <c r="C231" s="144"/>
      <c r="D231" s="967"/>
      <c r="E231" s="413" t="str">
        <f>Translations!$B$503</f>
        <v>% pre-consumer scrap</v>
      </c>
      <c r="F231" s="414"/>
      <c r="G231" s="1374" t="str">
        <f>Translations!$B$504</f>
        <v>This parameter is relevant for the production of crude steel, unwrought aluminium and aluminium products. Please provide here the mass % of tonne pre-consumer scrap used per tonne of steel/aluminium produced.</v>
      </c>
      <c r="H231" s="1374"/>
      <c r="I231" s="1374"/>
      <c r="J231" s="1374"/>
      <c r="K231" s="1374"/>
      <c r="L231" s="1374"/>
      <c r="M231" s="1374"/>
      <c r="N231" s="1374"/>
      <c r="O231" s="428"/>
      <c r="S231" s="110"/>
    </row>
    <row r="232" spans="1:19" ht="25.5" customHeight="1" x14ac:dyDescent="0.25">
      <c r="A232" s="92"/>
      <c r="B232" s="94"/>
      <c r="C232" s="144"/>
      <c r="D232" s="967"/>
      <c r="E232" s="413" t="str">
        <f>Translations!$B$501</f>
        <v>t scrap per t aluminium</v>
      </c>
      <c r="F232" s="414"/>
      <c r="G232" s="1374" t="str">
        <f>Translations!$B$502</f>
        <v>This parameter is relevant for the production of unwrought aluminium and aluminium products. Please provide here the mass % of tonne scrap used per tonne of aluminium produced.</v>
      </c>
      <c r="H232" s="1374"/>
      <c r="I232" s="1374"/>
      <c r="J232" s="1374"/>
      <c r="K232" s="1374"/>
      <c r="L232" s="1374"/>
      <c r="M232" s="1374"/>
      <c r="N232" s="1374"/>
      <c r="O232" s="428"/>
      <c r="S232" s="110"/>
    </row>
    <row r="233" spans="1:19" ht="25.5" customHeight="1" x14ac:dyDescent="0.25">
      <c r="A233" s="92"/>
      <c r="B233" s="94"/>
      <c r="C233" s="144"/>
      <c r="D233" s="967"/>
      <c r="E233" s="413" t="str">
        <f>Translations!$B$505</f>
        <v>% non-aluminium elements</v>
      </c>
      <c r="F233" s="414"/>
      <c r="G233" s="1374" t="str">
        <f>Translations!$B$506</f>
        <v>This parameter is relevant for the production of unwrought aluminium and aluminium products. Please provide here the mass % of elements contained which are not aluminium, if their mass is more than 1% of the total good’s mass.</v>
      </c>
      <c r="H233" s="1374"/>
      <c r="I233" s="1374"/>
      <c r="J233" s="1374"/>
      <c r="K233" s="1374"/>
      <c r="L233" s="1374"/>
      <c r="M233" s="1374"/>
      <c r="N233" s="1374"/>
      <c r="O233" s="428"/>
      <c r="S233" s="110"/>
    </row>
    <row r="234" spans="1:19" ht="25.9" customHeight="1" x14ac:dyDescent="0.25">
      <c r="A234" s="92"/>
      <c r="B234" s="94"/>
      <c r="C234" s="144"/>
      <c r="D234" s="967"/>
      <c r="E234" s="413" t="str">
        <f>Translations!$B$507</f>
        <v>Clinker factor</v>
      </c>
      <c r="F234" s="414"/>
      <c r="G234" s="1374" t="str">
        <f>Translations!$B$2078</f>
        <v>This parameter is relevant for the production of cement. Please provide here the clinker factor (i.e. clinker to cement ratio), expressed as mass % of clinker content in the cement.</v>
      </c>
      <c r="H234" s="1374"/>
      <c r="I234" s="1374"/>
      <c r="J234" s="1374"/>
      <c r="K234" s="1374"/>
      <c r="L234" s="1374"/>
      <c r="M234" s="1374"/>
      <c r="N234" s="1374"/>
      <c r="O234" s="428"/>
      <c r="S234" s="110"/>
    </row>
    <row r="235" spans="1:19" ht="25.5" customHeight="1" x14ac:dyDescent="0.25">
      <c r="A235" s="92"/>
      <c r="B235" s="94"/>
      <c r="C235" s="144"/>
      <c r="D235" s="967"/>
      <c r="E235" s="413" t="str">
        <f>Translations!$B$509</f>
        <v>Calcined or not</v>
      </c>
      <c r="F235" s="414"/>
      <c r="G235" s="1374" t="str">
        <f>Translations!$B$510</f>
        <v>This parameter is relevant for the production of calcined clay. Please select here from the drop-down list whether the clay is calcined or not.</v>
      </c>
      <c r="H235" s="1374"/>
      <c r="I235" s="1374"/>
      <c r="J235" s="1374"/>
      <c r="K235" s="1374"/>
      <c r="L235" s="1374"/>
      <c r="M235" s="1374"/>
      <c r="N235" s="1374"/>
      <c r="O235" s="428"/>
      <c r="S235" s="110"/>
    </row>
    <row r="236" spans="1:19" ht="25.5" customHeight="1" x14ac:dyDescent="0.25">
      <c r="A236" s="92"/>
      <c r="B236" s="94"/>
      <c r="C236" s="144"/>
      <c r="D236" s="967"/>
      <c r="E236" s="413" t="str">
        <f>Translations!$B$511</f>
        <v>Concentration, if hydrous solution</v>
      </c>
      <c r="F236" s="414"/>
      <c r="G236" s="1374" t="str">
        <f>Translations!$B$2079</f>
        <v>This parameter is relevant for the production of ammonia. Please provide here the concentration of ammonia, if in hydrous solution, expressed as %, or enter 100% for pure/anhydrous ammonia.</v>
      </c>
      <c r="H236" s="1374"/>
      <c r="I236" s="1374"/>
      <c r="J236" s="1374"/>
      <c r="K236" s="1374"/>
      <c r="L236" s="1374"/>
      <c r="M236" s="1374"/>
      <c r="N236" s="1374"/>
      <c r="O236" s="428"/>
      <c r="S236" s="110"/>
    </row>
    <row r="237" spans="1:19" ht="25.5" customHeight="1" x14ac:dyDescent="0.25">
      <c r="A237" s="92"/>
      <c r="B237" s="94"/>
      <c r="C237" s="144"/>
      <c r="D237" s="967"/>
      <c r="E237" s="413" t="str">
        <f>Translations!$B$513</f>
        <v>% nitric acid</v>
      </c>
      <c r="F237" s="414"/>
      <c r="G237" s="1374" t="str">
        <f>Translations!$B$514</f>
        <v>This parameter is relevant for the production of nitric acid. Please provide here the mass % of nitric acid in the product (i.e. the purity).</v>
      </c>
      <c r="H237" s="1374"/>
      <c r="I237" s="1374"/>
      <c r="J237" s="1374"/>
      <c r="K237" s="1374"/>
      <c r="L237" s="1374"/>
      <c r="M237" s="1374"/>
      <c r="N237" s="1374"/>
      <c r="O237" s="428"/>
      <c r="S237" s="110"/>
    </row>
    <row r="238" spans="1:19" x14ac:dyDescent="0.25">
      <c r="A238" s="92"/>
      <c r="B238" s="94"/>
      <c r="C238" s="144"/>
      <c r="D238" s="967"/>
      <c r="E238" s="413" t="str">
        <f>Translations!$B$515</f>
        <v>% urea</v>
      </c>
      <c r="F238" s="414"/>
      <c r="G238" s="1374" t="str">
        <f>Translations!$B$516</f>
        <v>This parameter is relevant for the production of urea. Please provide here the mass % of urea in the product (i.e. the purity).</v>
      </c>
      <c r="H238" s="1374"/>
      <c r="I238" s="1374"/>
      <c r="J238" s="1374"/>
      <c r="K238" s="1374"/>
      <c r="L238" s="1374"/>
      <c r="M238" s="1374"/>
      <c r="N238" s="1374"/>
      <c r="O238" s="428"/>
      <c r="S238" s="110"/>
    </row>
    <row r="239" spans="1:19" x14ac:dyDescent="0.25">
      <c r="A239" s="92"/>
      <c r="B239" s="94"/>
      <c r="C239" s="144"/>
      <c r="D239" s="967"/>
      <c r="E239" s="413" t="str">
        <f>Translations!$B$517</f>
        <v>% N contained</v>
      </c>
      <c r="F239" s="414"/>
      <c r="G239" s="1374" t="str">
        <f>Translations!$B$518</f>
        <v>This parameter is relevant for the production of urea. Please provide here the mass % nitrogen in the product.</v>
      </c>
      <c r="H239" s="1374"/>
      <c r="I239" s="1374"/>
      <c r="J239" s="1374"/>
      <c r="K239" s="1374"/>
      <c r="L239" s="1374"/>
      <c r="M239" s="1374"/>
      <c r="N239" s="1374"/>
      <c r="O239" s="428"/>
      <c r="S239" s="110"/>
    </row>
    <row r="240" spans="1:19" ht="25.5" customHeight="1" x14ac:dyDescent="0.25">
      <c r="A240" s="92"/>
      <c r="B240" s="94"/>
      <c r="C240" s="144"/>
      <c r="D240" s="967"/>
      <c r="E240" s="413" t="str">
        <f>Translations!$B$519</f>
        <v>% N as ammonium (NH4+)</v>
      </c>
      <c r="F240" s="414"/>
      <c r="G240" s="1374" t="str">
        <f>Translations!$B$520</f>
        <v>This parameter is relevant for the production of mixed fertilisers. Please provide here the mass % content of nitrogen as ammonium ion.</v>
      </c>
      <c r="H240" s="1374"/>
      <c r="I240" s="1374"/>
      <c r="J240" s="1374"/>
      <c r="K240" s="1374"/>
      <c r="L240" s="1374"/>
      <c r="M240" s="1374"/>
      <c r="N240" s="1374"/>
      <c r="O240" s="428"/>
      <c r="S240" s="110"/>
    </row>
    <row r="241" spans="1:19" ht="25.5" customHeight="1" x14ac:dyDescent="0.25">
      <c r="A241" s="92"/>
      <c r="B241" s="94"/>
      <c r="C241" s="144"/>
      <c r="D241" s="967"/>
      <c r="E241" s="413" t="str">
        <f>Translations!$B$521</f>
        <v>% N as nitrate (NO3–)</v>
      </c>
      <c r="F241" s="414"/>
      <c r="G241" s="1374" t="str">
        <f>Translations!$B$522</f>
        <v>This parameter is relevant for the production of mixed fertilisers. Please provide here the mass % content of nitrogen as nitrate ion.</v>
      </c>
      <c r="H241" s="1374"/>
      <c r="I241" s="1374"/>
      <c r="J241" s="1374"/>
      <c r="K241" s="1374"/>
      <c r="L241" s="1374"/>
      <c r="M241" s="1374"/>
      <c r="N241" s="1374"/>
      <c r="O241" s="428"/>
      <c r="S241" s="110"/>
    </row>
    <row r="242" spans="1:19" ht="12.75" customHeight="1" x14ac:dyDescent="0.25">
      <c r="A242" s="92"/>
      <c r="B242" s="94"/>
      <c r="C242" s="144"/>
      <c r="D242" s="967"/>
      <c r="E242" s="413" t="str">
        <f>Translations!$B$523</f>
        <v>% N as Urea</v>
      </c>
      <c r="F242" s="414"/>
      <c r="G242" s="1374" t="str">
        <f>Translations!$B$524</f>
        <v>This parameter is relevant for the production of mixed fertilisers. Please provide here the mass % content of urea.</v>
      </c>
      <c r="H242" s="1374"/>
      <c r="I242" s="1374"/>
      <c r="J242" s="1374"/>
      <c r="K242" s="1374"/>
      <c r="L242" s="1374"/>
      <c r="M242" s="1374"/>
      <c r="N242" s="1374"/>
      <c r="O242" s="428"/>
      <c r="S242" s="110"/>
    </row>
    <row r="243" spans="1:19" ht="25.5" customHeight="1" x14ac:dyDescent="0.25">
      <c r="A243" s="92"/>
      <c r="B243" s="94"/>
      <c r="C243" s="144"/>
      <c r="D243" s="967"/>
      <c r="E243" s="413" t="str">
        <f>Translations!$B$525</f>
        <v>% N in other (organic) forms</v>
      </c>
      <c r="F243" s="417"/>
      <c r="G243" s="1374" t="str">
        <f>Translations!$B$526</f>
        <v>This parameter is relevant for the production of mixed fertilisers. Please provide here the mass % content of nitrogen in other forms.</v>
      </c>
      <c r="H243" s="1374"/>
      <c r="I243" s="1374"/>
      <c r="J243" s="1374"/>
      <c r="K243" s="1374"/>
      <c r="L243" s="1374"/>
      <c r="M243" s="1374"/>
      <c r="N243" s="1374"/>
      <c r="O243" s="428"/>
      <c r="S243" s="110"/>
    </row>
    <row r="244" spans="1:19" ht="25.5" customHeight="1" x14ac:dyDescent="0.25">
      <c r="A244" s="92"/>
      <c r="B244" s="94"/>
      <c r="C244" s="144"/>
      <c r="D244" s="967"/>
      <c r="E244" s="1386" t="str">
        <f>Translations!$B$527</f>
        <v>Information on carbon price due</v>
      </c>
      <c r="F244" s="1386"/>
      <c r="G244" s="1386"/>
      <c r="H244" s="1386"/>
      <c r="I244" s="1386"/>
      <c r="J244" s="1386"/>
      <c r="K244" s="1386"/>
      <c r="L244" s="1386"/>
      <c r="M244" s="1386"/>
      <c r="N244" s="1386"/>
      <c r="O244" s="428"/>
      <c r="S244" s="110"/>
    </row>
    <row r="245" spans="1:19" ht="38.25" customHeight="1" x14ac:dyDescent="0.25">
      <c r="A245" s="92"/>
      <c r="B245" s="94"/>
      <c r="C245" s="144"/>
      <c r="D245" s="967"/>
      <c r="E245" s="444" t="str">
        <f>Translations!$B$2080</f>
        <v>General note:</v>
      </c>
      <c r="F245" s="450"/>
      <c r="G245" s="1393" t="str">
        <f>Translations!$B$529</f>
        <v>Where precursors are subject to carbon pricing and the system boundaries of the carbon price correspond to the system boundaries of the relevant production process of the precursor, you can use the "tool for calculation of the carbon price due" and use the results of that tool and enter them here.</v>
      </c>
      <c r="H245" s="1393"/>
      <c r="I245" s="1393"/>
      <c r="J245" s="1393"/>
      <c r="K245" s="1393"/>
      <c r="L245" s="1393"/>
      <c r="M245" s="1393"/>
      <c r="N245" s="1393"/>
      <c r="O245" s="428"/>
      <c r="S245" s="110"/>
    </row>
    <row r="246" spans="1:19" ht="12.75" customHeight="1" x14ac:dyDescent="0.25">
      <c r="A246" s="92"/>
      <c r="B246" s="94"/>
      <c r="C246" s="144"/>
      <c r="D246" s="967"/>
      <c r="E246" s="451"/>
      <c r="F246" s="443"/>
      <c r="G246" s="1394" t="str">
        <f ca="1">HYPERLINK("#"&amp;ADDRESS(MATCH($S246,F_Tools!$S:$S,0),3,,,F_Tools!$U$2),CONST_LinkToCPTool)</f>
        <v>Please click on this link to go to the "tool for calculation of the carbon price due".</v>
      </c>
      <c r="H246" s="1376"/>
      <c r="I246" s="1376"/>
      <c r="J246" s="1376"/>
      <c r="K246" s="1376"/>
      <c r="L246" s="1376"/>
      <c r="M246" s="1376"/>
      <c r="N246" s="1376"/>
      <c r="O246" s="428"/>
      <c r="R246" s="104" t="s">
        <v>4016</v>
      </c>
      <c r="S246" s="105">
        <v>2</v>
      </c>
    </row>
    <row r="247" spans="1:19" ht="25.5" customHeight="1" x14ac:dyDescent="0.25">
      <c r="A247" s="92"/>
      <c r="B247" s="94"/>
      <c r="C247" s="144"/>
      <c r="D247" s="967"/>
      <c r="E247" s="413" t="str">
        <f>Translations!$B$530</f>
        <v>Type of instrument (carbon pricing)</v>
      </c>
      <c r="F247" s="414"/>
      <c r="G247" s="1374" t="str">
        <f>Translations!$B$531</f>
        <v>Please select from the drop-down list whether the type of carbon price is an emissions trading system (ETS), a carbon tax, a combination of instruments, or other type of carbon pricing instrument.</v>
      </c>
      <c r="H247" s="1374"/>
      <c r="I247" s="1374"/>
      <c r="J247" s="1374"/>
      <c r="K247" s="1374"/>
      <c r="L247" s="1374"/>
      <c r="M247" s="1374"/>
      <c r="N247" s="1374"/>
      <c r="O247" s="428"/>
      <c r="S247" s="110"/>
    </row>
    <row r="248" spans="1:19" ht="34.5" x14ac:dyDescent="0.25">
      <c r="A248" s="92"/>
      <c r="B248" s="94"/>
      <c r="C248" s="144"/>
      <c r="D248" s="967"/>
      <c r="E248" s="413" t="str">
        <f>Translations!$B$532</f>
        <v>Share of total embedded emissions covered by the carbon price</v>
      </c>
      <c r="F248" s="414"/>
      <c r="G248" s="1374" t="str">
        <f>Translations!$B$533</f>
        <v>Please enter here the share of the TOTAL (direct + indirect) embedded emissions that are subject to carbon pricing. For instance, if only direct emissions are covered by a carbon pricing system, the share to be provided here would be exactly the share of the direct emissions of the total emissions.</v>
      </c>
      <c r="H248" s="1374"/>
      <c r="I248" s="1374"/>
      <c r="J248" s="1374"/>
      <c r="K248" s="1374"/>
      <c r="L248" s="1374"/>
      <c r="M248" s="1374"/>
      <c r="N248" s="1374"/>
      <c r="O248" s="428"/>
      <c r="S248" s="110"/>
    </row>
    <row r="249" spans="1:19" ht="34.5" x14ac:dyDescent="0.25">
      <c r="A249" s="92"/>
      <c r="B249" s="94"/>
      <c r="C249" s="144"/>
      <c r="D249" s="967"/>
      <c r="E249" s="413" t="str">
        <f>Translations!$B$608</f>
        <v>Embedded emissions covered by the carbon price</v>
      </c>
      <c r="F249" s="414"/>
      <c r="G249" s="1374" t="str">
        <f>Translations!$B$2081</f>
        <v>Based on your input on the share of embedded emissions covered by a carbon price, the related part of the specific embedded emissions of the good are displayed here in t CO2e per tonne product (or per MWh electricity).</v>
      </c>
      <c r="H249" s="1379"/>
      <c r="I249" s="1379"/>
      <c r="J249" s="1379"/>
      <c r="K249" s="1379"/>
      <c r="L249" s="1379"/>
      <c r="M249" s="1379"/>
      <c r="N249" s="1379"/>
      <c r="O249" s="428"/>
      <c r="S249" s="110"/>
    </row>
    <row r="250" spans="1:19" ht="25.5" customHeight="1" x14ac:dyDescent="0.25">
      <c r="A250" s="92"/>
      <c r="B250" s="94"/>
      <c r="C250" s="144"/>
      <c r="D250" s="967"/>
      <c r="E250" s="413" t="str">
        <f>Translations!$B$534</f>
        <v>Currency</v>
      </c>
      <c r="F250" s="414"/>
      <c r="G250" s="1374" t="str">
        <f>Translations!$B$2082</f>
        <v>Please select the code for the applicable currency in which the carbon price is being due. The next column displays the full name of the currency.</v>
      </c>
      <c r="H250" s="1374"/>
      <c r="I250" s="1374"/>
      <c r="J250" s="1374"/>
      <c r="K250" s="1374"/>
      <c r="L250" s="1374"/>
      <c r="M250" s="1374"/>
      <c r="N250" s="1374"/>
      <c r="O250" s="428"/>
      <c r="S250" s="110"/>
    </row>
    <row r="251" spans="1:19" ht="36" customHeight="1" x14ac:dyDescent="0.25">
      <c r="A251" s="92"/>
      <c r="B251" s="94"/>
      <c r="C251" s="144"/>
      <c r="D251" s="967"/>
      <c r="E251" s="413" t="str">
        <f>Translations!$B$350</f>
        <v>Carbon price (CP) due (local currency)</v>
      </c>
      <c r="F251" s="414"/>
      <c r="G251" s="1374" t="str">
        <f>Translations!$B$2083</f>
        <v>Please enter here the carbon price due per tonne or MWh (as applicable) of product in the relevant currency. This value shall not include any rebate such as free allocation or financial compensation. Where the tool in sheet F was used, values should equal results displayed in column L there.</v>
      </c>
      <c r="H251" s="1374"/>
      <c r="I251" s="1374"/>
      <c r="J251" s="1374"/>
      <c r="K251" s="1374"/>
      <c r="L251" s="1374"/>
      <c r="M251" s="1374"/>
      <c r="N251" s="1374"/>
      <c r="O251" s="428"/>
      <c r="S251" s="110"/>
    </row>
    <row r="252" spans="1:19" ht="25.75" customHeight="1" x14ac:dyDescent="0.25">
      <c r="A252" s="92"/>
      <c r="B252" s="94"/>
      <c r="C252" s="144"/>
      <c r="D252" s="967"/>
      <c r="E252" s="413" t="str">
        <f>Translations!$B$537</f>
        <v>Type of rebate</v>
      </c>
      <c r="F252" s="414"/>
      <c r="G252" s="1374" t="str">
        <f>Translations!$B$538</f>
        <v>Please select from the drop-down list whether the type of rebate or other form of compensation is via free allocation, financial compensation, tax deduction, a combination or any other type of rebate or compensation.</v>
      </c>
      <c r="H252" s="1374"/>
      <c r="I252" s="1374"/>
      <c r="J252" s="1374"/>
      <c r="K252" s="1374"/>
      <c r="L252" s="1374"/>
      <c r="M252" s="1374"/>
      <c r="N252" s="1374"/>
      <c r="O252" s="428"/>
      <c r="S252" s="110"/>
    </row>
    <row r="253" spans="1:19" ht="36" customHeight="1" x14ac:dyDescent="0.25">
      <c r="A253" s="92"/>
      <c r="B253" s="94"/>
      <c r="C253" s="144"/>
      <c r="D253" s="967"/>
      <c r="E253" s="413" t="str">
        <f>Translations!$B$539</f>
        <v>Share of embedded emissions covered by the rebate</v>
      </c>
      <c r="F253" s="414"/>
      <c r="G253" s="1374" t="str">
        <f>Translations!$B$540</f>
        <v>Please enter here the share of the TOTAL (direct + indirect) embedded emissions that are subject to rebate. For instance, if only indirect emissions are covered by the rebate, the share to be provided here would be exactly the share of the indirect emissions of the total emissions.</v>
      </c>
      <c r="H253" s="1374"/>
      <c r="I253" s="1374"/>
      <c r="J253" s="1374"/>
      <c r="K253" s="1374"/>
      <c r="L253" s="1374"/>
      <c r="M253" s="1374"/>
      <c r="N253" s="1374"/>
      <c r="O253" s="428"/>
      <c r="S253" s="110"/>
    </row>
    <row r="254" spans="1:19" ht="25.5" customHeight="1" x14ac:dyDescent="0.25">
      <c r="A254" s="92"/>
      <c r="B254" s="94"/>
      <c r="C254" s="144"/>
      <c r="D254" s="967"/>
      <c r="E254" s="413" t="str">
        <f>Translations!$B$609</f>
        <v>Embedded emissions covered by rebate</v>
      </c>
      <c r="F254" s="414"/>
      <c r="G254" s="1374" t="str">
        <f>Translations!$B$2084</f>
        <v>Based on your input on the share of embedded emissions covered by a carbon price rebate, the related part of the specific embedded emissions of the good are displayed here in t CO2e per tonne product (or per MWh electricity).</v>
      </c>
      <c r="H254" s="1379"/>
      <c r="I254" s="1379"/>
      <c r="J254" s="1379"/>
      <c r="K254" s="1379"/>
      <c r="L254" s="1379"/>
      <c r="M254" s="1379"/>
      <c r="N254" s="1379"/>
      <c r="O254" s="428"/>
      <c r="S254" s="110"/>
    </row>
    <row r="255" spans="1:19" ht="25.5" customHeight="1" x14ac:dyDescent="0.25">
      <c r="A255" s="92"/>
      <c r="B255" s="94"/>
      <c r="C255" s="144"/>
      <c r="D255" s="967"/>
      <c r="E255" s="413" t="str">
        <f>Translations!$B$1872</f>
        <v>Amount of rebate (per produced t or MWh)</v>
      </c>
      <c r="F255" s="414"/>
      <c r="G255" s="1374" t="str">
        <f>Translations!$B$2085</f>
        <v>Please enter here the rebate per tonne or MWh (as applicable) of product covered by the rebate in the relevant currency. Where the tool in sheet F was used, values should equal results displayed in column M there.</v>
      </c>
      <c r="H255" s="1374"/>
      <c r="I255" s="1374"/>
      <c r="J255" s="1374"/>
      <c r="K255" s="1374"/>
      <c r="L255" s="1374"/>
      <c r="M255" s="1374"/>
      <c r="N255" s="1374"/>
      <c r="O255" s="428"/>
      <c r="S255" s="110"/>
    </row>
    <row r="256" spans="1:19" ht="25.5" customHeight="1" x14ac:dyDescent="0.25">
      <c r="A256" s="92"/>
      <c r="B256" s="94"/>
      <c r="C256" s="144"/>
      <c r="D256" s="914"/>
      <c r="E256" s="243" t="str">
        <f>Translations!$B$353</f>
        <v>Result: Effective CP due (per produced t or MWh)</v>
      </c>
      <c r="F256" s="243"/>
      <c r="G256" s="1381" t="str">
        <f>Translations!$B$2086</f>
        <v>The result is the effective carbon price due per tonne of CO2 equivalent, i.e. the carbon price due less any rebates. Where the tool in sheet F was used, values should equal results displayed in column N there.</v>
      </c>
      <c r="H256" s="1381"/>
      <c r="I256" s="1381"/>
      <c r="J256" s="1381"/>
      <c r="K256" s="1381"/>
      <c r="L256" s="1381"/>
      <c r="M256" s="1381"/>
      <c r="N256" s="1381"/>
      <c r="O256" s="428"/>
      <c r="S256" s="110"/>
    </row>
    <row r="257" spans="1:19" ht="5.15" customHeight="1" x14ac:dyDescent="0.25">
      <c r="A257" s="92"/>
      <c r="B257" s="94"/>
      <c r="C257" s="144"/>
      <c r="D257" s="914"/>
      <c r="E257" s="915"/>
      <c r="F257" s="915"/>
      <c r="G257" s="915"/>
      <c r="H257" s="915"/>
      <c r="I257" s="915"/>
      <c r="J257" s="915"/>
      <c r="K257" s="915"/>
      <c r="L257" s="915"/>
      <c r="M257" s="915"/>
      <c r="N257" s="144"/>
      <c r="O257" s="428"/>
      <c r="S257" s="110"/>
    </row>
    <row r="258" spans="1:19" ht="12.75" customHeight="1" x14ac:dyDescent="0.25">
      <c r="A258" s="92"/>
      <c r="B258" s="94"/>
      <c r="C258" s="144"/>
      <c r="D258" s="914"/>
      <c r="E258" s="1380" t="str">
        <f ca="1">HYPERLINK("#"&amp;S258,CONST_LinkFromGuidance)</f>
        <v>Please click on this link if you want to go back to the relevant section for data entry.</v>
      </c>
      <c r="F258" s="1380"/>
      <c r="G258" s="1380"/>
      <c r="H258" s="1380"/>
      <c r="I258" s="1380"/>
      <c r="J258" s="1380"/>
      <c r="K258" s="1380"/>
      <c r="L258" s="1380"/>
      <c r="M258" s="1380"/>
      <c r="N258" s="1380"/>
      <c r="O258" s="428"/>
      <c r="R258" s="91" t="s">
        <v>2836</v>
      </c>
      <c r="S258" s="114" t="str">
        <f ca="1">ADDRESS(9,4,,,Summary_Products!$BF$2)</f>
        <v>Summary_Products!$D$9</v>
      </c>
    </row>
    <row r="259" spans="1:19" ht="12.75" customHeight="1" thickBot="1" x14ac:dyDescent="0.4">
      <c r="A259" s="918"/>
      <c r="B259" s="934"/>
      <c r="C259" s="747"/>
      <c r="D259" s="747"/>
      <c r="E259" s="747"/>
      <c r="F259" s="747"/>
      <c r="G259" s="747"/>
      <c r="H259" s="747"/>
      <c r="I259" s="747"/>
      <c r="J259" s="747"/>
      <c r="K259" s="747"/>
      <c r="L259" s="747"/>
      <c r="M259" s="747"/>
      <c r="N259" s="747"/>
      <c r="O259" s="748"/>
    </row>
    <row r="260" spans="1:19" s="91" customFormat="1" ht="12.75" hidden="1" customHeight="1" x14ac:dyDescent="0.35">
      <c r="A260" s="91" t="s">
        <v>3</v>
      </c>
      <c r="B260" s="92"/>
      <c r="C260" s="171"/>
      <c r="D260" s="171"/>
      <c r="E260" s="171"/>
      <c r="F260" s="171"/>
      <c r="G260" s="171"/>
      <c r="H260" s="171"/>
      <c r="I260" s="171"/>
      <c r="J260" s="171"/>
      <c r="K260" s="171"/>
      <c r="L260" s="171"/>
      <c r="M260" s="171"/>
      <c r="N260" s="171"/>
      <c r="O260" s="427"/>
      <c r="P260" s="92" t="s">
        <v>116</v>
      </c>
    </row>
    <row r="261" spans="1:19" s="91" customFormat="1" ht="12.75" hidden="1" customHeight="1" x14ac:dyDescent="0.35">
      <c r="A261" s="91" t="s">
        <v>3</v>
      </c>
      <c r="B261" s="92"/>
      <c r="C261" s="171"/>
      <c r="D261" s="171"/>
      <c r="E261" s="171"/>
      <c r="F261" s="171"/>
      <c r="G261" s="171"/>
      <c r="H261" s="171"/>
      <c r="I261" s="171"/>
      <c r="J261" s="171"/>
      <c r="K261" s="171"/>
      <c r="L261" s="171"/>
      <c r="M261" s="171"/>
      <c r="N261" s="171"/>
      <c r="O261" s="427"/>
      <c r="P261" s="92"/>
    </row>
    <row r="262" spans="1:19" s="91" customFormat="1" ht="12.75" hidden="1" customHeight="1" thickBot="1" x14ac:dyDescent="0.4">
      <c r="A262" s="91" t="s">
        <v>3</v>
      </c>
      <c r="B262" s="918"/>
      <c r="C262" s="935"/>
      <c r="D262" s="935"/>
      <c r="E262" s="935"/>
      <c r="F262" s="935"/>
      <c r="G262" s="935"/>
      <c r="H262" s="935"/>
      <c r="I262" s="935"/>
      <c r="J262" s="935"/>
      <c r="K262" s="935"/>
      <c r="L262" s="935"/>
      <c r="M262" s="935"/>
      <c r="N262" s="935"/>
      <c r="O262" s="936"/>
      <c r="P262" s="92"/>
    </row>
  </sheetData>
  <sheetProtection sheet="1" objects="1" scenarios="1" formatCells="0" formatColumns="0" formatRows="0"/>
  <mergeCells count="253">
    <mergeCell ref="E182:N182"/>
    <mergeCell ref="E187:N187"/>
    <mergeCell ref="E183:N183"/>
    <mergeCell ref="E184:N184"/>
    <mergeCell ref="E186:N186"/>
    <mergeCell ref="E185:N185"/>
    <mergeCell ref="G204:N204"/>
    <mergeCell ref="G205:N205"/>
    <mergeCell ref="G207:N209"/>
    <mergeCell ref="G212:N212"/>
    <mergeCell ref="G249:N249"/>
    <mergeCell ref="G254:N254"/>
    <mergeCell ref="G202:N203"/>
    <mergeCell ref="G210:N210"/>
    <mergeCell ref="G213:N213"/>
    <mergeCell ref="G214:N214"/>
    <mergeCell ref="G215:N215"/>
    <mergeCell ref="G216:N216"/>
    <mergeCell ref="G217:N217"/>
    <mergeCell ref="G218:N218"/>
    <mergeCell ref="G219:N219"/>
    <mergeCell ref="G227:N227"/>
    <mergeCell ref="G228:N228"/>
    <mergeCell ref="G229:N229"/>
    <mergeCell ref="G231:N231"/>
    <mergeCell ref="G223:N223"/>
    <mergeCell ref="G211:N211"/>
    <mergeCell ref="G175:N175"/>
    <mergeCell ref="G176:N176"/>
    <mergeCell ref="G177:N177"/>
    <mergeCell ref="G178:N178"/>
    <mergeCell ref="G179:N179"/>
    <mergeCell ref="G180:N180"/>
    <mergeCell ref="G181:N181"/>
    <mergeCell ref="E162:F162"/>
    <mergeCell ref="E163:F163"/>
    <mergeCell ref="E164:F164"/>
    <mergeCell ref="E165:F165"/>
    <mergeCell ref="E166:F166"/>
    <mergeCell ref="E167:F167"/>
    <mergeCell ref="E170:F170"/>
    <mergeCell ref="E171:F171"/>
    <mergeCell ref="E172:F172"/>
    <mergeCell ref="E180:F180"/>
    <mergeCell ref="E181:F181"/>
    <mergeCell ref="G168:N168"/>
    <mergeCell ref="G169:N169"/>
    <mergeCell ref="G173:N173"/>
    <mergeCell ref="G174:N174"/>
    <mergeCell ref="G164:N164"/>
    <mergeCell ref="G165:N165"/>
    <mergeCell ref="G166:N166"/>
    <mergeCell ref="G167:N167"/>
    <mergeCell ref="G170:N170"/>
    <mergeCell ref="G171:N171"/>
    <mergeCell ref="G172:N172"/>
    <mergeCell ref="E155:N155"/>
    <mergeCell ref="E156:N156"/>
    <mergeCell ref="E158:N158"/>
    <mergeCell ref="E160:N160"/>
    <mergeCell ref="E161:N161"/>
    <mergeCell ref="G162:N162"/>
    <mergeCell ref="G163:N163"/>
    <mergeCell ref="G116:N116"/>
    <mergeCell ref="E110:N110"/>
    <mergeCell ref="E111:N111"/>
    <mergeCell ref="E120:N120"/>
    <mergeCell ref="E121:N121"/>
    <mergeCell ref="G126:N126"/>
    <mergeCell ref="E154:N154"/>
    <mergeCell ref="G49:N49"/>
    <mergeCell ref="G52:N52"/>
    <mergeCell ref="G53:N53"/>
    <mergeCell ref="E60:N60"/>
    <mergeCell ref="G55:N55"/>
    <mergeCell ref="G56:N56"/>
    <mergeCell ref="E59:N59"/>
    <mergeCell ref="G61:N61"/>
    <mergeCell ref="E100:N100"/>
    <mergeCell ref="G76:N76"/>
    <mergeCell ref="G51:N51"/>
    <mergeCell ref="G72:N72"/>
    <mergeCell ref="G63:N63"/>
    <mergeCell ref="G144:N144"/>
    <mergeCell ref="G146:N146"/>
    <mergeCell ref="G64:N64"/>
    <mergeCell ref="G50:N50"/>
    <mergeCell ref="G54:N54"/>
    <mergeCell ref="G65:N65"/>
    <mergeCell ref="G73:N73"/>
    <mergeCell ref="G248:N248"/>
    <mergeCell ref="G250:N250"/>
    <mergeCell ref="G251:N251"/>
    <mergeCell ref="G252:N252"/>
    <mergeCell ref="E244:N244"/>
    <mergeCell ref="G239:N239"/>
    <mergeCell ref="G240:N240"/>
    <mergeCell ref="G241:N241"/>
    <mergeCell ref="G242:N242"/>
    <mergeCell ref="G243:N243"/>
    <mergeCell ref="G246:N246"/>
    <mergeCell ref="G222:N222"/>
    <mergeCell ref="G224:N224"/>
    <mergeCell ref="G230:N230"/>
    <mergeCell ref="G232:N232"/>
    <mergeCell ref="G233:N233"/>
    <mergeCell ref="G234:N234"/>
    <mergeCell ref="G225:N225"/>
    <mergeCell ref="G226:N226"/>
    <mergeCell ref="G114:N114"/>
    <mergeCell ref="E199:N199"/>
    <mergeCell ref="E12:N12"/>
    <mergeCell ref="E15:N15"/>
    <mergeCell ref="G245:N245"/>
    <mergeCell ref="E104:N104"/>
    <mergeCell ref="E105:N105"/>
    <mergeCell ref="E106:N106"/>
    <mergeCell ref="E192:N192"/>
    <mergeCell ref="E193:N193"/>
    <mergeCell ref="E194:N194"/>
    <mergeCell ref="E201:N201"/>
    <mergeCell ref="E221:N221"/>
    <mergeCell ref="G206:N206"/>
    <mergeCell ref="G220:N220"/>
    <mergeCell ref="E196:N196"/>
    <mergeCell ref="G125:N125"/>
    <mergeCell ref="G127:N127"/>
    <mergeCell ref="G129:N129"/>
    <mergeCell ref="G128:N128"/>
    <mergeCell ref="G130:N130"/>
    <mergeCell ref="F125:F130"/>
    <mergeCell ref="G132:N132"/>
    <mergeCell ref="G134:N134"/>
    <mergeCell ref="E13:N13"/>
    <mergeCell ref="E14:N14"/>
    <mergeCell ref="E19:N19"/>
    <mergeCell ref="E20:N20"/>
    <mergeCell ref="E21:N21"/>
    <mergeCell ref="E23:N23"/>
    <mergeCell ref="G38:N38"/>
    <mergeCell ref="G40:N40"/>
    <mergeCell ref="B2:D4"/>
    <mergeCell ref="E2:F2"/>
    <mergeCell ref="G2:H2"/>
    <mergeCell ref="I2:J2"/>
    <mergeCell ref="K2:L2"/>
    <mergeCell ref="E4:F4"/>
    <mergeCell ref="G4:H4"/>
    <mergeCell ref="I4:J4"/>
    <mergeCell ref="K4:L4"/>
    <mergeCell ref="M2:N2"/>
    <mergeCell ref="M3:N3"/>
    <mergeCell ref="M4:N4"/>
    <mergeCell ref="E3:F3"/>
    <mergeCell ref="G3:H3"/>
    <mergeCell ref="I3:J3"/>
    <mergeCell ref="K3:L3"/>
    <mergeCell ref="E10:N10"/>
    <mergeCell ref="E11:N11"/>
    <mergeCell ref="G42:N42"/>
    <mergeCell ref="E29:N29"/>
    <mergeCell ref="E22:N22"/>
    <mergeCell ref="G35:N35"/>
    <mergeCell ref="G36:N36"/>
    <mergeCell ref="G37:N37"/>
    <mergeCell ref="G44:N44"/>
    <mergeCell ref="G45:N45"/>
    <mergeCell ref="G48:N48"/>
    <mergeCell ref="E26:N26"/>
    <mergeCell ref="E28:N28"/>
    <mergeCell ref="G32:N32"/>
    <mergeCell ref="G33:N33"/>
    <mergeCell ref="G39:N39"/>
    <mergeCell ref="G34:N34"/>
    <mergeCell ref="G43:N43"/>
    <mergeCell ref="G47:N47"/>
    <mergeCell ref="G41:N41"/>
    <mergeCell ref="E24:N24"/>
    <mergeCell ref="G30:N30"/>
    <mergeCell ref="G31:N31"/>
    <mergeCell ref="G46:N46"/>
    <mergeCell ref="E79:N79"/>
    <mergeCell ref="G81:N81"/>
    <mergeCell ref="G82:N82"/>
    <mergeCell ref="G88:N88"/>
    <mergeCell ref="G84:N84"/>
    <mergeCell ref="G90:N90"/>
    <mergeCell ref="G92:N92"/>
    <mergeCell ref="G97:N97"/>
    <mergeCell ref="G89:N89"/>
    <mergeCell ref="G147:N147"/>
    <mergeCell ref="E138:E147"/>
    <mergeCell ref="E122:E123"/>
    <mergeCell ref="E131:E135"/>
    <mergeCell ref="E136:E137"/>
    <mergeCell ref="G148:N148"/>
    <mergeCell ref="G135:N135"/>
    <mergeCell ref="G133:N133"/>
    <mergeCell ref="G137:N137"/>
    <mergeCell ref="G139:N139"/>
    <mergeCell ref="G140:N140"/>
    <mergeCell ref="G141:N141"/>
    <mergeCell ref="G142:N142"/>
    <mergeCell ref="G143:N143"/>
    <mergeCell ref="G145:N145"/>
    <mergeCell ref="E258:N258"/>
    <mergeCell ref="G256:N256"/>
    <mergeCell ref="E108:N108"/>
    <mergeCell ref="E150:N150"/>
    <mergeCell ref="G112:N112"/>
    <mergeCell ref="G115:N115"/>
    <mergeCell ref="G117:N117"/>
    <mergeCell ref="G118:N118"/>
    <mergeCell ref="G119:N119"/>
    <mergeCell ref="G122:N122"/>
    <mergeCell ref="G124:N124"/>
    <mergeCell ref="G131:N131"/>
    <mergeCell ref="G136:N136"/>
    <mergeCell ref="G138:N138"/>
    <mergeCell ref="G123:N123"/>
    <mergeCell ref="E195:N195"/>
    <mergeCell ref="G235:N235"/>
    <mergeCell ref="G236:N236"/>
    <mergeCell ref="G237:N237"/>
    <mergeCell ref="G238:N238"/>
    <mergeCell ref="G253:N253"/>
    <mergeCell ref="G255:N255"/>
    <mergeCell ref="G247:N247"/>
    <mergeCell ref="G113:N113"/>
    <mergeCell ref="G57:N57"/>
    <mergeCell ref="E80:N80"/>
    <mergeCell ref="G85:N85"/>
    <mergeCell ref="G86:N86"/>
    <mergeCell ref="G87:N87"/>
    <mergeCell ref="G58:N58"/>
    <mergeCell ref="G98:N98"/>
    <mergeCell ref="G94:N94"/>
    <mergeCell ref="G95:N95"/>
    <mergeCell ref="G96:N96"/>
    <mergeCell ref="G75:N75"/>
    <mergeCell ref="G62:N62"/>
    <mergeCell ref="G66:N66"/>
    <mergeCell ref="G67:N67"/>
    <mergeCell ref="G68:N68"/>
    <mergeCell ref="G69:N69"/>
    <mergeCell ref="G70:N70"/>
    <mergeCell ref="G71:N71"/>
    <mergeCell ref="G91:N91"/>
    <mergeCell ref="G93:N93"/>
    <mergeCell ref="G83:N83"/>
    <mergeCell ref="G74:N74"/>
    <mergeCell ref="G78:N78"/>
    <mergeCell ref="G77:N77"/>
  </mergeCells>
  <hyperlinks>
    <hyperlink ref="E14" r:id="rId1" display="https://taxation-customs.ec.europa.eu/carbon-border-adjustment-mechanism_en" xr:uid="{00000000-0004-0000-0A00-000000000000}"/>
  </hyperlinks>
  <pageMargins left="0.7" right="0.7" top="0.78740157499999996" bottom="0.78740157499999996"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6"/>
  <dimension ref="A1:AO522"/>
  <sheetViews>
    <sheetView zoomScaleNormal="100" workbookViewId="0">
      <pane ySplit="4" topLeftCell="A5" activePane="bottomLeft" state="frozen"/>
      <selection pane="bottomLeft" activeCell="B2" sqref="B2:E4"/>
    </sheetView>
  </sheetViews>
  <sheetFormatPr defaultColWidth="11.453125" defaultRowHeight="12.5" outlineLevelRow="1" x14ac:dyDescent="0.35"/>
  <cols>
    <col min="1" max="1" width="11.453125" style="91" hidden="1" customWidth="1"/>
    <col min="2" max="2" width="2.7265625" style="93" customWidth="1"/>
    <col min="3" max="4" width="3.7265625" style="93" customWidth="1"/>
    <col min="5" max="6" width="25.7265625" style="93" customWidth="1"/>
    <col min="7" max="19" width="11.453125" style="93"/>
    <col min="20" max="20" width="1.7265625" style="144" customWidth="1"/>
    <col min="21" max="21" width="11.453125" style="93" hidden="1" customWidth="1"/>
    <col min="22" max="41" width="11.453125" style="91" hidden="1" customWidth="1"/>
    <col min="42" max="16384" width="11.453125" style="93"/>
  </cols>
  <sheetData>
    <row r="1" spans="1:41" s="91" customFormat="1" ht="13" hidden="1" thickBot="1" x14ac:dyDescent="0.4">
      <c r="A1" s="905" t="s">
        <v>3</v>
      </c>
      <c r="B1" s="922"/>
      <c r="C1" s="922"/>
      <c r="D1" s="922"/>
      <c r="E1" s="922"/>
      <c r="F1" s="922"/>
      <c r="G1" s="922"/>
      <c r="H1" s="922"/>
      <c r="I1" s="922"/>
      <c r="J1" s="922"/>
      <c r="K1" s="922"/>
      <c r="L1" s="922"/>
      <c r="M1" s="922"/>
      <c r="N1" s="922"/>
      <c r="O1" s="922"/>
      <c r="P1" s="922"/>
      <c r="Q1" s="922"/>
      <c r="R1" s="922"/>
      <c r="S1" s="922"/>
      <c r="T1" s="924"/>
      <c r="U1" s="91" t="s">
        <v>3</v>
      </c>
      <c r="V1" s="91" t="s">
        <v>3</v>
      </c>
      <c r="W1" s="91" t="s">
        <v>3</v>
      </c>
      <c r="X1" s="91" t="s">
        <v>3</v>
      </c>
      <c r="Y1" s="91" t="s">
        <v>3</v>
      </c>
      <c r="Z1" s="91" t="s">
        <v>3</v>
      </c>
      <c r="AA1" s="91" t="s">
        <v>3</v>
      </c>
      <c r="AB1" s="91" t="s">
        <v>3</v>
      </c>
      <c r="AC1" s="91" t="s">
        <v>3</v>
      </c>
      <c r="AD1" s="91" t="s">
        <v>3</v>
      </c>
      <c r="AE1" s="91" t="s">
        <v>3</v>
      </c>
      <c r="AF1" s="91" t="s">
        <v>3</v>
      </c>
      <c r="AG1" s="91" t="s">
        <v>3</v>
      </c>
      <c r="AH1" s="91" t="s">
        <v>3</v>
      </c>
      <c r="AI1" s="91" t="s">
        <v>3</v>
      </c>
      <c r="AJ1" s="91" t="s">
        <v>3</v>
      </c>
      <c r="AK1" s="91" t="s">
        <v>3</v>
      </c>
      <c r="AL1" s="91" t="s">
        <v>3</v>
      </c>
      <c r="AM1" s="91" t="s">
        <v>3</v>
      </c>
      <c r="AN1" s="91" t="s">
        <v>3</v>
      </c>
      <c r="AO1" s="91" t="s">
        <v>3</v>
      </c>
    </row>
    <row r="2" spans="1:41" ht="13.9" customHeight="1" thickBot="1" x14ac:dyDescent="0.4">
      <c r="A2" s="92"/>
      <c r="B2" s="1178" t="str">
        <f>Translations!$B$544</f>
        <v>Summary of production processes</v>
      </c>
      <c r="C2" s="1179"/>
      <c r="D2" s="1179"/>
      <c r="E2" s="1180"/>
      <c r="F2" s="1187" t="str">
        <f>Translations!$B$11</f>
        <v>Navigation Area:</v>
      </c>
      <c r="G2" s="1188"/>
      <c r="H2" s="1189" t="str">
        <f ca="1">HYPERLINK("#"&amp;ADDRESS(2,3,,,a_Contents!$U$2),a_Contents!$B$2)</f>
        <v>Table of contents</v>
      </c>
      <c r="I2" s="1190"/>
      <c r="J2" s="1189" t="str">
        <f ca="1">HYPERLINK("#"&amp;ADDRESS(2,3,,,G_FurtherGuidance!$U$2),G_FurtherGuidance!$B$2)</f>
        <v>Further Guidance</v>
      </c>
      <c r="K2" s="1190"/>
      <c r="L2" s="1189"/>
      <c r="M2" s="1190"/>
      <c r="N2" s="1189" t="str">
        <f ca="1">HYPERLINK("#"&amp;ADDRESS(2,3,,,Summary_Products!$BF$2),Summary_Products!$BF$2)</f>
        <v>Summary_Products</v>
      </c>
      <c r="O2" s="1190"/>
      <c r="P2" s="921"/>
      <c r="Q2" s="921"/>
      <c r="R2" s="921"/>
      <c r="S2" s="921"/>
      <c r="T2" s="906"/>
      <c r="V2" s="91" t="s">
        <v>114</v>
      </c>
      <c r="W2" s="95" t="str">
        <f>ADDRESS(ROW($B$2),COLUMN(B2)) &amp; ":" &amp; ADDRESS(MATCH("PRINT",$U:$U,0),COLUMN(T4))</f>
        <v>$B$2:$T$522</v>
      </c>
      <c r="X2" s="91" t="s">
        <v>25</v>
      </c>
      <c r="Y2" s="886" t="str">
        <f ca="1">IF(ISERROR(CELL("filename",Z2)),"Summary_Processes",MID(CELL("filename",Z2),FIND("]",CELL("filename",Z2))+1,1024))</f>
        <v>Summary_Processes</v>
      </c>
    </row>
    <row r="3" spans="1:41" ht="12.75" customHeight="1" x14ac:dyDescent="0.35">
      <c r="A3" s="92"/>
      <c r="B3" s="1181"/>
      <c r="C3" s="1182"/>
      <c r="D3" s="1182"/>
      <c r="E3" s="1183"/>
      <c r="F3" s="1174"/>
      <c r="G3" s="1174"/>
      <c r="H3" s="1174" t="str">
        <f>IFERROR(HYPERLINK("#"&amp;ADDRESS(ROW($A$1)+MATCH(V3,$A:$A,0)-1,3),INDEX($V:$V,MATCH(V3,$A:$A,0))),"")</f>
        <v>Installation &amp; processes</v>
      </c>
      <c r="I3" s="1174"/>
      <c r="J3" s="1174" t="str">
        <f>IFERROR(HYPERLINK("#"&amp;ADDRESS(ROW($A$1)+MATCH(X3,$A:$A,0)-1,3),INDEX($V:$V,MATCH(X3,$A:$A,0))),"")</f>
        <v>GHG &amp; SEE</v>
      </c>
      <c r="K3" s="1174"/>
      <c r="L3" s="1174" t="str">
        <f>IFERROR(HYPERLINK("#"&amp;ADDRESS(ROW($A$1)+MATCH(Z3,$A:$A,0)-1,3),INDEX($V:$V,MATCH(Z3,$A:$A,0))),"")</f>
        <v>Detailed overview</v>
      </c>
      <c r="M3" s="1174"/>
      <c r="N3" s="1174" t="str">
        <f>IFERROR(HYPERLINK("#"&amp;ADDRESS(ROW($A$1)+MATCH(AB3,$A:$A,0)-1,3),INDEX($V:$V,MATCH(AB3,$A:$A,0))),"")</f>
        <v/>
      </c>
      <c r="O3" s="1174"/>
      <c r="P3" s="144"/>
      <c r="Q3" s="971"/>
      <c r="R3" s="971"/>
      <c r="S3" s="971"/>
      <c r="T3" s="428"/>
      <c r="V3" s="302">
        <v>1</v>
      </c>
      <c r="W3" s="303"/>
      <c r="X3" s="303">
        <v>2</v>
      </c>
      <c r="Y3" s="303"/>
      <c r="Z3" s="303">
        <v>3</v>
      </c>
      <c r="AA3" s="303"/>
      <c r="AB3" s="304">
        <v>4</v>
      </c>
    </row>
    <row r="4" spans="1:41" ht="14.5" customHeight="1" thickBot="1" x14ac:dyDescent="0.4">
      <c r="A4" s="92"/>
      <c r="B4" s="1184"/>
      <c r="C4" s="1185"/>
      <c r="D4" s="1185"/>
      <c r="E4" s="1186"/>
      <c r="F4" s="1174"/>
      <c r="G4" s="1174"/>
      <c r="H4" s="1174" t="str">
        <f>IFERROR(HYPERLINK("#"&amp;ADDRESS(ROW($A$1)+MATCH(V4,$A:$A,0)-1,3),INDEX($V:$V,MATCH(V4,$A:$A,0))),"")</f>
        <v/>
      </c>
      <c r="I4" s="1174"/>
      <c r="J4" s="1174" t="str">
        <f>IFERROR(HYPERLINK("#"&amp;ADDRESS(ROW($A$1)+MATCH(X4,$A:$A,0)-1,3),INDEX($V:$V,MATCH(X4,$A:$A,0))),"")</f>
        <v/>
      </c>
      <c r="K4" s="1174"/>
      <c r="L4" s="1174" t="str">
        <f>IFERROR(HYPERLINK("#"&amp;ADDRESS(ROW($A$1)+MATCH(Z4,$A:$A,0)-1,3),INDEX($V:$V,MATCH(Z4,$A:$A,0))),"")</f>
        <v/>
      </c>
      <c r="M4" s="1174"/>
      <c r="N4" s="1174" t="str">
        <f>IFERROR(HYPERLINK("#"&amp;ADDRESS(ROW($A$1)+MATCH(AB4,$A:$A,0)-1,3),INDEX($V:$V,MATCH(AB4,$A:$A,0))),"")</f>
        <v/>
      </c>
      <c r="O4" s="1174"/>
      <c r="P4" s="144"/>
      <c r="Q4" s="144"/>
      <c r="R4" s="144"/>
      <c r="S4" s="144"/>
      <c r="T4" s="428"/>
      <c r="V4" s="305">
        <v>5</v>
      </c>
      <c r="W4" s="156"/>
      <c r="X4" s="156">
        <v>6</v>
      </c>
      <c r="Y4" s="156"/>
      <c r="Z4" s="156">
        <v>7</v>
      </c>
      <c r="AA4" s="156"/>
      <c r="AB4" s="306">
        <v>8</v>
      </c>
    </row>
    <row r="5" spans="1:41" x14ac:dyDescent="0.35">
      <c r="A5" s="92"/>
      <c r="B5" s="94"/>
      <c r="C5" s="144"/>
      <c r="D5" s="144"/>
      <c r="E5" s="144"/>
      <c r="F5" s="144"/>
      <c r="G5" s="144"/>
      <c r="H5" s="144"/>
      <c r="I5" s="144"/>
      <c r="J5" s="144"/>
      <c r="K5" s="144"/>
      <c r="L5" s="144"/>
      <c r="M5" s="144"/>
      <c r="N5" s="144"/>
      <c r="O5" s="144"/>
      <c r="P5" s="144"/>
      <c r="Q5" s="144"/>
      <c r="R5" s="144"/>
      <c r="S5" s="144"/>
      <c r="T5" s="428"/>
    </row>
    <row r="6" spans="1:41" ht="18" customHeight="1" x14ac:dyDescent="0.35">
      <c r="A6" s="919">
        <f>C6</f>
        <v>1</v>
      </c>
      <c r="B6" s="94"/>
      <c r="C6" s="908">
        <v>1</v>
      </c>
      <c r="D6" s="909" t="str">
        <f>Translations!$B$545</f>
        <v>Summary of the installation, processes and production routes</v>
      </c>
      <c r="E6" s="909"/>
      <c r="F6" s="909"/>
      <c r="G6" s="910"/>
      <c r="H6" s="910"/>
      <c r="I6" s="910"/>
      <c r="J6" s="910"/>
      <c r="K6" s="910"/>
      <c r="L6" s="910"/>
      <c r="M6" s="910"/>
      <c r="N6" s="910"/>
      <c r="O6" s="910"/>
      <c r="P6" s="910"/>
      <c r="Q6" s="910"/>
      <c r="R6" s="910"/>
      <c r="S6" s="910"/>
      <c r="T6" s="428"/>
      <c r="V6" s="102" t="s">
        <v>2805</v>
      </c>
    </row>
    <row r="7" spans="1:41" ht="12.75" customHeight="1" x14ac:dyDescent="0.35">
      <c r="A7" s="92"/>
      <c r="B7" s="94"/>
      <c r="C7" s="144"/>
      <c r="D7" s="144"/>
      <c r="E7" s="144"/>
      <c r="F7" s="144"/>
      <c r="G7" s="144"/>
      <c r="H7" s="144"/>
      <c r="I7" s="144"/>
      <c r="J7" s="144"/>
      <c r="K7" s="144"/>
      <c r="L7" s="144"/>
      <c r="M7" s="144"/>
      <c r="N7" s="144"/>
      <c r="O7" s="144"/>
      <c r="P7" s="144"/>
      <c r="Q7" s="144"/>
      <c r="R7" s="144"/>
      <c r="S7" s="144"/>
      <c r="T7" s="428"/>
    </row>
    <row r="8" spans="1:41" ht="12.75" customHeight="1" x14ac:dyDescent="0.35">
      <c r="A8" s="92"/>
      <c r="B8" s="94"/>
      <c r="C8" s="972">
        <v>1</v>
      </c>
      <c r="D8" s="972" t="str">
        <f>Translations!$B$547</f>
        <v>Summary of the installation</v>
      </c>
      <c r="E8" s="144"/>
      <c r="F8" s="973"/>
      <c r="G8" s="973"/>
      <c r="H8" s="973"/>
      <c r="I8" s="973"/>
      <c r="J8" s="973"/>
      <c r="K8" s="973"/>
      <c r="L8" s="973"/>
      <c r="M8" s="973"/>
      <c r="N8" s="973"/>
      <c r="O8" s="973"/>
      <c r="P8" s="973"/>
      <c r="Q8" s="144"/>
      <c r="R8" s="144"/>
      <c r="S8" s="144"/>
      <c r="T8" s="428"/>
    </row>
    <row r="9" spans="1:41" ht="5.15" customHeight="1" x14ac:dyDescent="0.35">
      <c r="A9" s="92"/>
      <c r="B9" s="94"/>
      <c r="C9" s="144"/>
      <c r="D9" s="144"/>
      <c r="E9" s="144"/>
      <c r="F9" s="144"/>
      <c r="G9" s="144"/>
      <c r="H9" s="144"/>
      <c r="I9" s="144"/>
      <c r="J9" s="144"/>
      <c r="K9" s="144"/>
      <c r="L9" s="144"/>
      <c r="M9" s="144"/>
      <c r="N9" s="144"/>
      <c r="O9" s="144"/>
      <c r="P9" s="144"/>
      <c r="Q9" s="144"/>
      <c r="R9" s="144"/>
      <c r="S9" s="144"/>
      <c r="T9" s="428"/>
    </row>
    <row r="10" spans="1:41" ht="12.75" customHeight="1" x14ac:dyDescent="0.35">
      <c r="A10" s="92"/>
      <c r="B10" s="94"/>
      <c r="C10" s="144"/>
      <c r="D10" s="144"/>
      <c r="E10" s="144" t="str">
        <f>A_InstData!E20</f>
        <v>Name of the installation (English name):</v>
      </c>
      <c r="F10" s="144"/>
      <c r="G10" s="1286" t="str">
        <f>IF(A_InstData!I20="","",A_InstData!I20)</f>
        <v/>
      </c>
      <c r="H10" s="1286"/>
      <c r="I10" s="1286"/>
      <c r="J10" s="144"/>
      <c r="K10" s="166" t="str">
        <f>Translations!$B$548</f>
        <v>Reporting period start:</v>
      </c>
      <c r="L10" s="381" t="str">
        <f>a_Contents!I64</f>
        <v/>
      </c>
      <c r="M10" s="144"/>
      <c r="N10" s="144"/>
      <c r="O10" s="144"/>
      <c r="P10" s="144"/>
      <c r="Q10" s="144"/>
      <c r="R10" s="144"/>
      <c r="S10" s="144"/>
      <c r="T10" s="428"/>
    </row>
    <row r="11" spans="1:41" ht="12.75" customHeight="1" x14ac:dyDescent="0.35">
      <c r="A11" s="92"/>
      <c r="B11" s="94"/>
      <c r="C11" s="144"/>
      <c r="D11" s="144"/>
      <c r="E11" s="144" t="str">
        <f>A_InstData!E21</f>
        <v>Street, Number:</v>
      </c>
      <c r="F11" s="144"/>
      <c r="G11" s="1238" t="str">
        <f>IF(A_InstData!I21="","",A_InstData!I21)</f>
        <v/>
      </c>
      <c r="H11" s="1238"/>
      <c r="I11" s="1238"/>
      <c r="J11" s="144"/>
      <c r="K11" s="166" t="str">
        <f>Translations!$B$549</f>
        <v>Reporting period end:</v>
      </c>
      <c r="L11" s="381" t="str">
        <f>a_Contents!K64</f>
        <v/>
      </c>
      <c r="M11" s="144"/>
      <c r="N11" s="144"/>
      <c r="O11" s="144"/>
      <c r="P11" s="144"/>
      <c r="Q11" s="144"/>
      <c r="R11" s="144"/>
      <c r="S11" s="144"/>
      <c r="T11" s="428"/>
    </row>
    <row r="12" spans="1:41" ht="12.75" customHeight="1" x14ac:dyDescent="0.35">
      <c r="A12" s="92"/>
      <c r="B12" s="94"/>
      <c r="C12" s="144"/>
      <c r="D12" s="144"/>
      <c r="E12" s="144" t="str">
        <f>Translations!$B$76</f>
        <v>Economic activity:</v>
      </c>
      <c r="F12" s="144"/>
      <c r="G12" s="1238" t="str">
        <f>IF(A_InstData!I22="","",A_InstData!I22)</f>
        <v/>
      </c>
      <c r="H12" s="1238"/>
      <c r="I12" s="1238"/>
      <c r="J12" s="144"/>
      <c r="K12" s="144"/>
      <c r="L12" s="144"/>
      <c r="M12" s="144"/>
      <c r="N12" s="144"/>
      <c r="O12" s="144"/>
      <c r="P12" s="144"/>
      <c r="Q12" s="144"/>
      <c r="R12" s="144"/>
      <c r="S12" s="144"/>
      <c r="T12" s="428"/>
    </row>
    <row r="13" spans="1:41" ht="12.75" customHeight="1" x14ac:dyDescent="0.35">
      <c r="A13" s="92"/>
      <c r="B13" s="94"/>
      <c r="C13" s="144"/>
      <c r="D13" s="144"/>
      <c r="E13" s="144" t="str">
        <f>A_InstData!$E$25</f>
        <v>City:</v>
      </c>
      <c r="F13" s="144"/>
      <c r="G13" s="1238" t="str">
        <f>IF(A_InstData!I25="","",A_InstData!I25)</f>
        <v/>
      </c>
      <c r="H13" s="1238"/>
      <c r="I13" s="1238"/>
      <c r="J13" s="144"/>
      <c r="L13" s="166" t="str">
        <f>Translations!$B$2112</f>
        <v>Carbon price instrument:</v>
      </c>
      <c r="M13" s="1436"/>
      <c r="N13" s="1437"/>
      <c r="O13" s="1437"/>
      <c r="P13" s="1437"/>
      <c r="Q13" s="1437"/>
      <c r="R13" s="1437"/>
      <c r="S13" s="1438"/>
      <c r="T13" s="428"/>
    </row>
    <row r="14" spans="1:41" ht="12.75" customHeight="1" x14ac:dyDescent="0.35">
      <c r="A14" s="92"/>
      <c r="B14" s="94"/>
      <c r="C14" s="144"/>
      <c r="D14" s="144"/>
      <c r="E14" s="144" t="str">
        <f>Translations!$B$80</f>
        <v>Country:</v>
      </c>
      <c r="F14" s="144"/>
      <c r="G14" s="1238" t="str">
        <f>IF(A_InstData!I26="","",A_InstData!I26)</f>
        <v/>
      </c>
      <c r="H14" s="1238"/>
      <c r="I14" s="1238"/>
      <c r="J14" s="144"/>
      <c r="K14" s="144"/>
      <c r="M14" s="1382" t="str">
        <f>Translations!$B$2113</f>
        <v>Description and indication of legal act for the carbon price, and for possible rebate or other form of compensation obtained.</v>
      </c>
      <c r="N14" s="1382"/>
      <c r="O14" s="1382"/>
      <c r="P14" s="1382"/>
      <c r="Q14" s="1382"/>
      <c r="R14" s="1382"/>
      <c r="S14" s="1382"/>
      <c r="T14" s="428"/>
    </row>
    <row r="15" spans="1:41" ht="12.75" customHeight="1" x14ac:dyDescent="0.35">
      <c r="A15" s="92"/>
      <c r="B15" s="94"/>
      <c r="C15" s="144"/>
      <c r="D15" s="144"/>
      <c r="E15" s="144" t="str">
        <f>Translations!$B$81</f>
        <v>UNLOCODE:</v>
      </c>
      <c r="F15" s="144"/>
      <c r="G15" s="1238" t="str">
        <f>IF(A_InstData!I27="","",A_InstData!I27)</f>
        <v/>
      </c>
      <c r="H15" s="1238"/>
      <c r="I15" s="1238"/>
      <c r="J15" s="144"/>
      <c r="K15" s="144"/>
      <c r="L15" s="441"/>
      <c r="M15" s="1377"/>
      <c r="N15" s="1377"/>
      <c r="O15" s="1377"/>
      <c r="P15" s="1377"/>
      <c r="Q15" s="1377"/>
      <c r="R15" s="1377"/>
      <c r="S15" s="1377"/>
      <c r="T15" s="428"/>
    </row>
    <row r="16" spans="1:41" ht="12.75" customHeight="1" x14ac:dyDescent="0.35">
      <c r="A16" s="92"/>
      <c r="B16" s="94"/>
      <c r="C16" s="144"/>
      <c r="D16" s="144"/>
      <c r="E16" s="144" t="str">
        <f>Translations!$B$82</f>
        <v>Coordinates of the main emission source (latitude):</v>
      </c>
      <c r="F16" s="144"/>
      <c r="G16" s="1238" t="str">
        <f>IF(A_InstData!I28="","",A_InstData!I28)</f>
        <v/>
      </c>
      <c r="H16" s="1238"/>
      <c r="I16" s="1238"/>
      <c r="J16" s="144"/>
      <c r="L16" s="166" t="str">
        <f>Translations!$B$2114</f>
        <v>Any additional information:</v>
      </c>
      <c r="M16" s="1436"/>
      <c r="N16" s="1437"/>
      <c r="O16" s="1437"/>
      <c r="P16" s="1437"/>
      <c r="Q16" s="1437"/>
      <c r="R16" s="1437"/>
      <c r="S16" s="1438"/>
      <c r="T16" s="428"/>
    </row>
    <row r="17" spans="1:41" ht="12.75" customHeight="1" x14ac:dyDescent="0.35">
      <c r="A17" s="92"/>
      <c r="B17" s="94"/>
      <c r="C17" s="144"/>
      <c r="D17" s="144"/>
      <c r="E17" s="144" t="str">
        <f>Translations!$B$83</f>
        <v>Coordinates of the main emission source (longitude):</v>
      </c>
      <c r="F17" s="144"/>
      <c r="G17" s="1244" t="str">
        <f>IF(A_InstData!I29="","",A_InstData!I29)</f>
        <v/>
      </c>
      <c r="H17" s="1244"/>
      <c r="I17" s="1244"/>
      <c r="J17" s="144"/>
      <c r="K17" s="144"/>
      <c r="M17" s="1382" t="str">
        <f>Translations!$B$2115</f>
        <v>Any additional information you would like to provide to the reporting declarant.</v>
      </c>
      <c r="N17" s="1382"/>
      <c r="O17" s="1382"/>
      <c r="P17" s="1382"/>
      <c r="Q17" s="1382"/>
      <c r="R17" s="1382"/>
      <c r="S17" s="1382"/>
      <c r="T17" s="428"/>
    </row>
    <row r="18" spans="1:41" ht="12.75" customHeight="1" x14ac:dyDescent="0.35">
      <c r="A18" s="92"/>
      <c r="B18" s="94"/>
      <c r="C18" s="144"/>
      <c r="D18" s="144"/>
      <c r="E18" s="144"/>
      <c r="F18" s="144"/>
      <c r="G18" s="144"/>
      <c r="H18" s="144"/>
      <c r="I18" s="144"/>
      <c r="J18" s="144"/>
      <c r="K18" s="144"/>
      <c r="L18" s="144"/>
      <c r="M18" s="144"/>
      <c r="N18" s="144"/>
      <c r="O18" s="144"/>
      <c r="P18" s="144"/>
      <c r="Q18" s="144"/>
      <c r="R18" s="144"/>
      <c r="S18" s="144"/>
      <c r="T18" s="428"/>
    </row>
    <row r="19" spans="1:41" ht="12.75" customHeight="1" x14ac:dyDescent="0.35">
      <c r="A19" s="92"/>
      <c r="B19" s="94"/>
      <c r="C19" s="972">
        <v>2</v>
      </c>
      <c r="D19" s="972" t="str">
        <f>Translations!$B$550</f>
        <v>Summary of the production processes, included precursors and production routes, where relevant</v>
      </c>
      <c r="E19" s="144"/>
      <c r="F19" s="144"/>
      <c r="G19" s="144"/>
      <c r="H19" s="144"/>
      <c r="I19" s="144"/>
      <c r="J19" s="144"/>
      <c r="K19" s="144"/>
      <c r="L19" s="144"/>
      <c r="M19" s="144"/>
      <c r="N19" s="144"/>
      <c r="O19" s="144"/>
      <c r="P19" s="144"/>
      <c r="Q19" s="144"/>
      <c r="R19" s="144"/>
      <c r="S19" s="144"/>
      <c r="T19" s="428"/>
    </row>
    <row r="20" spans="1:41" s="130" customFormat="1" ht="25.5" customHeight="1" x14ac:dyDescent="0.3">
      <c r="A20" s="940"/>
      <c r="B20" s="131"/>
      <c r="C20" s="937"/>
      <c r="D20" s="974" t="s">
        <v>135</v>
      </c>
      <c r="E20" s="426" t="str">
        <f>Translations!$B$551</f>
        <v>Aggregated good produced</v>
      </c>
      <c r="F20" s="419" t="str">
        <f>Translations!$B$552</f>
        <v>Routes</v>
      </c>
      <c r="G20" s="310" t="str">
        <f>Translations!$B$109</f>
        <v>Route 1</v>
      </c>
      <c r="H20" s="310" t="str">
        <f>Translations!$B$110</f>
        <v>Route 2</v>
      </c>
      <c r="I20" s="310" t="str">
        <f>Translations!$B$111</f>
        <v>Route 3</v>
      </c>
      <c r="J20" s="310" t="str">
        <f>Translations!$B$112</f>
        <v>Route 4</v>
      </c>
      <c r="K20" s="310" t="str">
        <f>Translations!$B$113</f>
        <v>Route 5</v>
      </c>
      <c r="L20" s="310" t="str">
        <f>Translations!$B$114</f>
        <v>Route 6</v>
      </c>
      <c r="M20" s="937"/>
      <c r="N20" s="937"/>
      <c r="O20" s="937"/>
      <c r="P20" s="937"/>
      <c r="Q20" s="937"/>
      <c r="R20" s="937"/>
      <c r="S20" s="937"/>
      <c r="T20" s="429"/>
      <c r="V20" s="129"/>
      <c r="W20" s="91"/>
      <c r="X20" s="115" t="s">
        <v>381</v>
      </c>
      <c r="Y20" s="115" t="s">
        <v>382</v>
      </c>
      <c r="Z20" s="115" t="s">
        <v>383</v>
      </c>
      <c r="AA20" s="115" t="s">
        <v>384</v>
      </c>
      <c r="AB20" s="115" t="s">
        <v>385</v>
      </c>
      <c r="AC20" s="115" t="s">
        <v>386</v>
      </c>
      <c r="AD20" s="115" t="s">
        <v>387</v>
      </c>
      <c r="AE20" s="129"/>
      <c r="AF20" s="129"/>
      <c r="AG20" s="129"/>
      <c r="AH20" s="129"/>
      <c r="AI20" s="129"/>
      <c r="AJ20" s="129"/>
      <c r="AK20" s="129"/>
      <c r="AL20" s="129"/>
      <c r="AM20" s="129"/>
      <c r="AN20" s="129"/>
      <c r="AO20" s="129"/>
    </row>
    <row r="21" spans="1:41" ht="12.75" customHeight="1" x14ac:dyDescent="0.35">
      <c r="A21" s="92"/>
      <c r="B21" s="94"/>
      <c r="C21" s="144"/>
      <c r="D21" s="418" t="str">
        <f>A_InstData!D62</f>
        <v>G1</v>
      </c>
      <c r="E21" s="420" t="str">
        <f>IF(INDEX(CNTR_List_ExistGoodTypes,ROWS(D$21:D21))=CONST_NA,"",INDEX(CNTR_List_ExistGoodTypes,ROWS(D$21:D21)))</f>
        <v/>
      </c>
      <c r="F21" s="420" t="str">
        <f>IF($E21="","",IF(A_InstData!G62="","",IF(A_InstData!G62=CONST_PleaseSelect,"",A_InstData!G62)))</f>
        <v/>
      </c>
      <c r="G21" s="844" t="str">
        <f>IF($E21="","",IF(A_InstData!I62="","",A_InstData!I62))</f>
        <v/>
      </c>
      <c r="H21" s="844" t="str">
        <f>IF($E21="","",IF(A_InstData!J62="","",A_InstData!J62))</f>
        <v/>
      </c>
      <c r="I21" s="844" t="str">
        <f>IF($E21="","",IF(A_InstData!K62="","",A_InstData!K62))</f>
        <v/>
      </c>
      <c r="J21" s="844" t="str">
        <f>IF($E21="","",IF(A_InstData!L62="","",A_InstData!L62))</f>
        <v/>
      </c>
      <c r="K21" s="844" t="str">
        <f>IF($E21="","",IF(A_InstData!M62="","",A_InstData!M62))</f>
        <v/>
      </c>
      <c r="L21" s="844" t="str">
        <f>IF($E21="","",IF(A_InstData!N62="","",A_InstData!N62))</f>
        <v/>
      </c>
      <c r="M21" s="144"/>
      <c r="N21" s="144"/>
      <c r="O21" s="144"/>
      <c r="P21" s="144"/>
      <c r="Q21" s="144"/>
      <c r="R21" s="144"/>
      <c r="S21" s="144"/>
      <c r="T21" s="428"/>
      <c r="W21" s="104" t="str">
        <f>D21</f>
        <v>G1</v>
      </c>
      <c r="X21" s="105" t="str">
        <f t="shared" ref="X21:X30" si="0">IF(E21="","",MATCH(E21,CONST_LIST_Goods,0))</f>
        <v/>
      </c>
      <c r="Y21" s="105" t="str">
        <f t="shared" ref="Y21:Y30" si="1">IF(G21="","",MATCH(G21,INDEX(CONST_MATRIX_ProductionRoute,$X21,),0))</f>
        <v/>
      </c>
      <c r="Z21" s="105" t="str">
        <f t="shared" ref="Z21:Z30" si="2">IF(H21="","",MATCH(H21,INDEX(CONST_MATRIX_ProductionRoute,$X21,),0))</f>
        <v/>
      </c>
      <c r="AA21" s="105" t="str">
        <f t="shared" ref="AA21:AA30" si="3">IF(I21="","",MATCH(I21,INDEX(CONST_MATRIX_ProductionRoute,$X21,),0))</f>
        <v/>
      </c>
      <c r="AB21" s="105" t="str">
        <f t="shared" ref="AB21:AB30" si="4">IF(J21="","",MATCH(J21,INDEX(CONST_MATRIX_ProductionRoute,$X21,),0))</f>
        <v/>
      </c>
      <c r="AC21" s="105" t="str">
        <f t="shared" ref="AC21:AC30" si="5">IF(K21="","",MATCH(K21,INDEX(CONST_MATRIX_ProductionRoute,$X21,),0))</f>
        <v/>
      </c>
      <c r="AD21" s="105" t="str">
        <f t="shared" ref="AD21:AD30" si="6">IF(L21="","",MATCH(L21,INDEX(CONST_MATRIX_ProductionRoute,$X21,),0))</f>
        <v/>
      </c>
    </row>
    <row r="22" spans="1:41" ht="12.75" customHeight="1" x14ac:dyDescent="0.35">
      <c r="A22" s="92"/>
      <c r="B22" s="94"/>
      <c r="C22" s="144"/>
      <c r="D22" s="418" t="str">
        <f>A_InstData!D63</f>
        <v>G1</v>
      </c>
      <c r="E22" s="421" t="str">
        <f>IF(INDEX(CNTR_List_ExistGoodTypes,ROWS(D$21:D22))=CONST_NA,"",INDEX(CNTR_List_ExistGoodTypes,ROWS(D$21:D22)))</f>
        <v/>
      </c>
      <c r="F22" s="421" t="str">
        <f>IF($E22="","",IF(A_InstData!G63="","",IF(A_InstData!G63=CONST_PleaseSelect,"",A_InstData!G63)))</f>
        <v/>
      </c>
      <c r="G22" s="840" t="str">
        <f>IF($E22="","",IF(A_InstData!I63="","",A_InstData!I63))</f>
        <v/>
      </c>
      <c r="H22" s="840" t="str">
        <f>IF($E22="","",IF(A_InstData!J63="","",A_InstData!J63))</f>
        <v/>
      </c>
      <c r="I22" s="840" t="str">
        <f>IF($E22="","",IF(A_InstData!K63="","",A_InstData!K63))</f>
        <v/>
      </c>
      <c r="J22" s="840" t="str">
        <f>IF($E22="","",IF(A_InstData!L63="","",A_InstData!L63))</f>
        <v/>
      </c>
      <c r="K22" s="840" t="str">
        <f>IF($E22="","",IF(A_InstData!M63="","",A_InstData!M63))</f>
        <v/>
      </c>
      <c r="L22" s="840" t="str">
        <f>IF($E22="","",IF(A_InstData!N63="","",A_InstData!N63))</f>
        <v/>
      </c>
      <c r="M22" s="144"/>
      <c r="N22" s="144"/>
      <c r="O22" s="144"/>
      <c r="P22" s="144"/>
      <c r="Q22" s="144"/>
      <c r="R22" s="144"/>
      <c r="S22" s="144"/>
      <c r="T22" s="428"/>
      <c r="W22" s="104" t="str">
        <f t="shared" ref="W22:W30" si="7">D22</f>
        <v>G1</v>
      </c>
      <c r="X22" s="105" t="str">
        <f t="shared" si="0"/>
        <v/>
      </c>
      <c r="Y22" s="105" t="str">
        <f t="shared" si="1"/>
        <v/>
      </c>
      <c r="Z22" s="105" t="str">
        <f t="shared" si="2"/>
        <v/>
      </c>
      <c r="AA22" s="105" t="str">
        <f t="shared" si="3"/>
        <v/>
      </c>
      <c r="AB22" s="105" t="str">
        <f t="shared" si="4"/>
        <v/>
      </c>
      <c r="AC22" s="105" t="str">
        <f t="shared" si="5"/>
        <v/>
      </c>
      <c r="AD22" s="105" t="str">
        <f t="shared" si="6"/>
        <v/>
      </c>
    </row>
    <row r="23" spans="1:41" ht="12.75" customHeight="1" x14ac:dyDescent="0.35">
      <c r="A23" s="92"/>
      <c r="B23" s="94"/>
      <c r="C23" s="144"/>
      <c r="D23" s="418" t="str">
        <f>A_InstData!D64</f>
        <v>G3</v>
      </c>
      <c r="E23" s="421" t="str">
        <f>IF(INDEX(CNTR_List_ExistGoodTypes,ROWS(D$21:D23))=CONST_NA,"",INDEX(CNTR_List_ExistGoodTypes,ROWS(D$21:D23)))</f>
        <v/>
      </c>
      <c r="F23" s="421" t="str">
        <f>IF($E23="","",IF(A_InstData!G64="","",IF(A_InstData!G64=CONST_PleaseSelect,"",A_InstData!G64)))</f>
        <v/>
      </c>
      <c r="G23" s="840" t="str">
        <f>IF($E23="","",IF(A_InstData!I64="","",A_InstData!I64))</f>
        <v/>
      </c>
      <c r="H23" s="840" t="str">
        <f>IF($E23="","",IF(A_InstData!J64="","",A_InstData!J64))</f>
        <v/>
      </c>
      <c r="I23" s="840" t="str">
        <f>IF($E23="","",IF(A_InstData!K64="","",A_InstData!K64))</f>
        <v/>
      </c>
      <c r="J23" s="840" t="str">
        <f>IF($E23="","",IF(A_InstData!L64="","",A_InstData!L64))</f>
        <v/>
      </c>
      <c r="K23" s="840" t="str">
        <f>IF($E23="","",IF(A_InstData!M64="","",A_InstData!M64))</f>
        <v/>
      </c>
      <c r="L23" s="840" t="str">
        <f>IF($E23="","",IF(A_InstData!N64="","",A_InstData!N64))</f>
        <v/>
      </c>
      <c r="M23" s="144"/>
      <c r="N23" s="144"/>
      <c r="O23" s="144"/>
      <c r="P23" s="144"/>
      <c r="Q23" s="144"/>
      <c r="R23" s="144"/>
      <c r="S23" s="144"/>
      <c r="T23" s="428"/>
      <c r="W23" s="104" t="str">
        <f t="shared" si="7"/>
        <v>G3</v>
      </c>
      <c r="X23" s="105" t="str">
        <f t="shared" si="0"/>
        <v/>
      </c>
      <c r="Y23" s="105" t="str">
        <f t="shared" si="1"/>
        <v/>
      </c>
      <c r="Z23" s="105" t="str">
        <f t="shared" si="2"/>
        <v/>
      </c>
      <c r="AA23" s="105" t="str">
        <f t="shared" si="3"/>
        <v/>
      </c>
      <c r="AB23" s="105" t="str">
        <f t="shared" si="4"/>
        <v/>
      </c>
      <c r="AC23" s="105" t="str">
        <f t="shared" si="5"/>
        <v/>
      </c>
      <c r="AD23" s="105" t="str">
        <f t="shared" si="6"/>
        <v/>
      </c>
    </row>
    <row r="24" spans="1:41" ht="12.75" customHeight="1" x14ac:dyDescent="0.35">
      <c r="A24" s="92"/>
      <c r="B24" s="94"/>
      <c r="C24" s="144"/>
      <c r="D24" s="418" t="str">
        <f>A_InstData!D65</f>
        <v>G4</v>
      </c>
      <c r="E24" s="421" t="str">
        <f>IF(INDEX(CNTR_List_ExistGoodTypes,ROWS(D$21:D24))=CONST_NA,"",INDEX(CNTR_List_ExistGoodTypes,ROWS(D$21:D24)))</f>
        <v/>
      </c>
      <c r="F24" s="421" t="str">
        <f>IF($E24="","",IF(A_InstData!G65="","",IF(A_InstData!G65=CONST_PleaseSelect,"",A_InstData!G65)))</f>
        <v/>
      </c>
      <c r="G24" s="840" t="str">
        <f>IF($E24="","",IF(A_InstData!I65="","",A_InstData!I65))</f>
        <v/>
      </c>
      <c r="H24" s="840" t="str">
        <f>IF($E24="","",IF(A_InstData!J65="","",A_InstData!J65))</f>
        <v/>
      </c>
      <c r="I24" s="840" t="str">
        <f>IF($E24="","",IF(A_InstData!K65="","",A_InstData!K65))</f>
        <v/>
      </c>
      <c r="J24" s="840" t="str">
        <f>IF($E24="","",IF(A_InstData!L65="","",A_InstData!L65))</f>
        <v/>
      </c>
      <c r="K24" s="840" t="str">
        <f>IF($E24="","",IF(A_InstData!M65="","",A_InstData!M65))</f>
        <v/>
      </c>
      <c r="L24" s="840" t="str">
        <f>IF($E24="","",IF(A_InstData!N65="","",A_InstData!N65))</f>
        <v/>
      </c>
      <c r="M24" s="144"/>
      <c r="N24" s="144"/>
      <c r="O24" s="144"/>
      <c r="P24" s="144"/>
      <c r="Q24" s="144"/>
      <c r="R24" s="144"/>
      <c r="S24" s="144"/>
      <c r="T24" s="428"/>
      <c r="W24" s="104" t="str">
        <f t="shared" si="7"/>
        <v>G4</v>
      </c>
      <c r="X24" s="105" t="str">
        <f t="shared" si="0"/>
        <v/>
      </c>
      <c r="Y24" s="105" t="str">
        <f t="shared" si="1"/>
        <v/>
      </c>
      <c r="Z24" s="105" t="str">
        <f t="shared" si="2"/>
        <v/>
      </c>
      <c r="AA24" s="105" t="str">
        <f t="shared" si="3"/>
        <v/>
      </c>
      <c r="AB24" s="105" t="str">
        <f t="shared" si="4"/>
        <v/>
      </c>
      <c r="AC24" s="105" t="str">
        <f t="shared" si="5"/>
        <v/>
      </c>
      <c r="AD24" s="105" t="str">
        <f t="shared" si="6"/>
        <v/>
      </c>
    </row>
    <row r="25" spans="1:41" ht="12.75" customHeight="1" x14ac:dyDescent="0.35">
      <c r="A25" s="92"/>
      <c r="B25" s="94"/>
      <c r="C25" s="144"/>
      <c r="D25" s="418" t="str">
        <f>A_InstData!D66</f>
        <v>G5</v>
      </c>
      <c r="E25" s="421" t="str">
        <f>IF(INDEX(CNTR_List_ExistGoodTypes,ROWS(D$21:D25))=CONST_NA,"",INDEX(CNTR_List_ExistGoodTypes,ROWS(D$21:D25)))</f>
        <v/>
      </c>
      <c r="F25" s="421" t="str">
        <f>IF($E25="","",IF(A_InstData!G66="","",IF(A_InstData!G66=CONST_PleaseSelect,"",A_InstData!G66)))</f>
        <v/>
      </c>
      <c r="G25" s="840" t="str">
        <f>IF($E25="","",IF(A_InstData!I66="","",A_InstData!I66))</f>
        <v/>
      </c>
      <c r="H25" s="840" t="str">
        <f>IF($E25="","",IF(A_InstData!J66="","",A_InstData!J66))</f>
        <v/>
      </c>
      <c r="I25" s="840" t="str">
        <f>IF($E25="","",IF(A_InstData!K66="","",A_InstData!K66))</f>
        <v/>
      </c>
      <c r="J25" s="840" t="str">
        <f>IF($E25="","",IF(A_InstData!L66="","",A_InstData!L66))</f>
        <v/>
      </c>
      <c r="K25" s="840" t="str">
        <f>IF($E25="","",IF(A_InstData!M66="","",A_InstData!M66))</f>
        <v/>
      </c>
      <c r="L25" s="840" t="str">
        <f>IF($E25="","",IF(A_InstData!N66="","",A_InstData!N66))</f>
        <v/>
      </c>
      <c r="M25" s="144"/>
      <c r="N25" s="144"/>
      <c r="O25" s="144"/>
      <c r="P25" s="144"/>
      <c r="Q25" s="144"/>
      <c r="R25" s="144"/>
      <c r="S25" s="144"/>
      <c r="T25" s="428"/>
      <c r="W25" s="104" t="str">
        <f t="shared" si="7"/>
        <v>G5</v>
      </c>
      <c r="X25" s="105" t="str">
        <f t="shared" si="0"/>
        <v/>
      </c>
      <c r="Y25" s="105" t="str">
        <f t="shared" si="1"/>
        <v/>
      </c>
      <c r="Z25" s="105" t="str">
        <f t="shared" si="2"/>
        <v/>
      </c>
      <c r="AA25" s="105" t="str">
        <f t="shared" si="3"/>
        <v/>
      </c>
      <c r="AB25" s="105" t="str">
        <f t="shared" si="4"/>
        <v/>
      </c>
      <c r="AC25" s="105" t="str">
        <f t="shared" si="5"/>
        <v/>
      </c>
      <c r="AD25" s="105" t="str">
        <f t="shared" si="6"/>
        <v/>
      </c>
    </row>
    <row r="26" spans="1:41" ht="12.75" customHeight="1" x14ac:dyDescent="0.35">
      <c r="A26" s="92"/>
      <c r="B26" s="94"/>
      <c r="C26" s="144"/>
      <c r="D26" s="418" t="str">
        <f>A_InstData!D67</f>
        <v>G6</v>
      </c>
      <c r="E26" s="421" t="str">
        <f>IF(INDEX(CNTR_List_ExistGoodTypes,ROWS(D$21:D26))=CONST_NA,"",INDEX(CNTR_List_ExistGoodTypes,ROWS(D$21:D26)))</f>
        <v/>
      </c>
      <c r="F26" s="421" t="str">
        <f>IF($E26="","",IF(A_InstData!G67="","",IF(A_InstData!G67=CONST_PleaseSelect,"",A_InstData!G67)))</f>
        <v/>
      </c>
      <c r="G26" s="840" t="str">
        <f>IF($E26="","",IF(A_InstData!I67="","",A_InstData!I67))</f>
        <v/>
      </c>
      <c r="H26" s="840" t="str">
        <f>IF($E26="","",IF(A_InstData!J67="","",A_InstData!J67))</f>
        <v/>
      </c>
      <c r="I26" s="840" t="str">
        <f>IF($E26="","",IF(A_InstData!K67="","",A_InstData!K67))</f>
        <v/>
      </c>
      <c r="J26" s="840" t="str">
        <f>IF($E26="","",IF(A_InstData!L67="","",A_InstData!L67))</f>
        <v/>
      </c>
      <c r="K26" s="840" t="str">
        <f>IF($E26="","",IF(A_InstData!M67="","",A_InstData!M67))</f>
        <v/>
      </c>
      <c r="L26" s="840" t="str">
        <f>IF($E26="","",IF(A_InstData!N67="","",A_InstData!N67))</f>
        <v/>
      </c>
      <c r="M26" s="144"/>
      <c r="N26" s="144"/>
      <c r="O26" s="144"/>
      <c r="P26" s="144"/>
      <c r="Q26" s="144"/>
      <c r="R26" s="144"/>
      <c r="S26" s="144"/>
      <c r="T26" s="428"/>
      <c r="W26" s="104" t="str">
        <f t="shared" si="7"/>
        <v>G6</v>
      </c>
      <c r="X26" s="105" t="str">
        <f t="shared" si="0"/>
        <v/>
      </c>
      <c r="Y26" s="105" t="str">
        <f t="shared" si="1"/>
        <v/>
      </c>
      <c r="Z26" s="105" t="str">
        <f t="shared" si="2"/>
        <v/>
      </c>
      <c r="AA26" s="105" t="str">
        <f t="shared" si="3"/>
        <v/>
      </c>
      <c r="AB26" s="105" t="str">
        <f t="shared" si="4"/>
        <v/>
      </c>
      <c r="AC26" s="105" t="str">
        <f t="shared" si="5"/>
        <v/>
      </c>
      <c r="AD26" s="105" t="str">
        <f t="shared" si="6"/>
        <v/>
      </c>
    </row>
    <row r="27" spans="1:41" ht="12.75" customHeight="1" x14ac:dyDescent="0.35">
      <c r="A27" s="92"/>
      <c r="B27" s="94"/>
      <c r="C27" s="144"/>
      <c r="D27" s="418" t="str">
        <f>A_InstData!D68</f>
        <v>G7</v>
      </c>
      <c r="E27" s="421" t="str">
        <f>IF(INDEX(CNTR_List_ExistGoodTypes,ROWS(D$21:D27))=CONST_NA,"",INDEX(CNTR_List_ExistGoodTypes,ROWS(D$21:D27)))</f>
        <v/>
      </c>
      <c r="F27" s="421" t="str">
        <f>IF($E27="","",IF(A_InstData!G68="","",IF(A_InstData!G68=CONST_PleaseSelect,"",A_InstData!G68)))</f>
        <v/>
      </c>
      <c r="G27" s="840" t="str">
        <f>IF($E27="","",IF(A_InstData!I68="","",A_InstData!I68))</f>
        <v/>
      </c>
      <c r="H27" s="840" t="str">
        <f>IF($E27="","",IF(A_InstData!J68="","",A_InstData!J68))</f>
        <v/>
      </c>
      <c r="I27" s="840" t="str">
        <f>IF($E27="","",IF(A_InstData!K68="","",A_InstData!K68))</f>
        <v/>
      </c>
      <c r="J27" s="840" t="str">
        <f>IF($E27="","",IF(A_InstData!L68="","",A_InstData!L68))</f>
        <v/>
      </c>
      <c r="K27" s="840" t="str">
        <f>IF($E27="","",IF(A_InstData!M68="","",A_InstData!M68))</f>
        <v/>
      </c>
      <c r="L27" s="840" t="str">
        <f>IF($E27="","",IF(A_InstData!N68="","",A_InstData!N68))</f>
        <v/>
      </c>
      <c r="M27" s="144"/>
      <c r="N27" s="144"/>
      <c r="O27" s="144"/>
      <c r="P27" s="144"/>
      <c r="Q27" s="144"/>
      <c r="R27" s="144"/>
      <c r="S27" s="144"/>
      <c r="T27" s="428"/>
      <c r="W27" s="104" t="str">
        <f t="shared" si="7"/>
        <v>G7</v>
      </c>
      <c r="X27" s="105" t="str">
        <f t="shared" si="0"/>
        <v/>
      </c>
      <c r="Y27" s="105" t="str">
        <f t="shared" si="1"/>
        <v/>
      </c>
      <c r="Z27" s="105" t="str">
        <f t="shared" si="2"/>
        <v/>
      </c>
      <c r="AA27" s="105" t="str">
        <f t="shared" si="3"/>
        <v/>
      </c>
      <c r="AB27" s="105" t="str">
        <f t="shared" si="4"/>
        <v/>
      </c>
      <c r="AC27" s="105" t="str">
        <f t="shared" si="5"/>
        <v/>
      </c>
      <c r="AD27" s="105" t="str">
        <f t="shared" si="6"/>
        <v/>
      </c>
    </row>
    <row r="28" spans="1:41" ht="12.75" customHeight="1" x14ac:dyDescent="0.35">
      <c r="A28" s="92"/>
      <c r="B28" s="94"/>
      <c r="C28" s="144"/>
      <c r="D28" s="418" t="str">
        <f>A_InstData!D69</f>
        <v>G8</v>
      </c>
      <c r="E28" s="421" t="str">
        <f>IF(INDEX(CNTR_List_ExistGoodTypes,ROWS(D$21:D28))=CONST_NA,"",INDEX(CNTR_List_ExistGoodTypes,ROWS(D$21:D28)))</f>
        <v/>
      </c>
      <c r="F28" s="421" t="str">
        <f>IF($E28="","",IF(A_InstData!G69="","",IF(A_InstData!G69=CONST_PleaseSelect,"",A_InstData!G69)))</f>
        <v/>
      </c>
      <c r="G28" s="840" t="str">
        <f>IF($E28="","",IF(A_InstData!I69="","",A_InstData!I69))</f>
        <v/>
      </c>
      <c r="H28" s="840" t="str">
        <f>IF($E28="","",IF(A_InstData!J69="","",A_InstData!J69))</f>
        <v/>
      </c>
      <c r="I28" s="840" t="str">
        <f>IF($E28="","",IF(A_InstData!K69="","",A_InstData!K69))</f>
        <v/>
      </c>
      <c r="J28" s="840" t="str">
        <f>IF($E28="","",IF(A_InstData!L69="","",A_InstData!L69))</f>
        <v/>
      </c>
      <c r="K28" s="840" t="str">
        <f>IF($E28="","",IF(A_InstData!M69="","",A_InstData!M69))</f>
        <v/>
      </c>
      <c r="L28" s="840" t="str">
        <f>IF($E28="","",IF(A_InstData!N69="","",A_InstData!N69))</f>
        <v/>
      </c>
      <c r="M28" s="144"/>
      <c r="N28" s="144"/>
      <c r="O28" s="144"/>
      <c r="P28" s="144"/>
      <c r="Q28" s="144"/>
      <c r="R28" s="144"/>
      <c r="S28" s="144"/>
      <c r="T28" s="428"/>
      <c r="W28" s="104" t="str">
        <f t="shared" si="7"/>
        <v>G8</v>
      </c>
      <c r="X28" s="105" t="str">
        <f t="shared" si="0"/>
        <v/>
      </c>
      <c r="Y28" s="105" t="str">
        <f t="shared" si="1"/>
        <v/>
      </c>
      <c r="Z28" s="105" t="str">
        <f t="shared" si="2"/>
        <v/>
      </c>
      <c r="AA28" s="105" t="str">
        <f t="shared" si="3"/>
        <v/>
      </c>
      <c r="AB28" s="105" t="str">
        <f t="shared" si="4"/>
        <v/>
      </c>
      <c r="AC28" s="105" t="str">
        <f t="shared" si="5"/>
        <v/>
      </c>
      <c r="AD28" s="105" t="str">
        <f t="shared" si="6"/>
        <v/>
      </c>
    </row>
    <row r="29" spans="1:41" ht="12.75" customHeight="1" x14ac:dyDescent="0.35">
      <c r="A29" s="92"/>
      <c r="B29" s="94"/>
      <c r="C29" s="144"/>
      <c r="D29" s="418" t="str">
        <f>A_InstData!D70</f>
        <v>G9</v>
      </c>
      <c r="E29" s="421" t="str">
        <f>IF(INDEX(CNTR_List_ExistGoodTypes,ROWS(D$21:D29))=CONST_NA,"",INDEX(CNTR_List_ExistGoodTypes,ROWS(D$21:D29)))</f>
        <v/>
      </c>
      <c r="F29" s="421" t="str">
        <f>IF($E29="","",IF(A_InstData!G70="","",IF(A_InstData!G70=CONST_PleaseSelect,"",A_InstData!G70)))</f>
        <v/>
      </c>
      <c r="G29" s="840" t="str">
        <f>IF($E29="","",IF(A_InstData!I70="","",A_InstData!I70))</f>
        <v/>
      </c>
      <c r="H29" s="840" t="str">
        <f>IF($E29="","",IF(A_InstData!J70="","",A_InstData!J70))</f>
        <v/>
      </c>
      <c r="I29" s="840" t="str">
        <f>IF($E29="","",IF(A_InstData!K70="","",A_InstData!K70))</f>
        <v/>
      </c>
      <c r="J29" s="840" t="str">
        <f>IF($E29="","",IF(A_InstData!L70="","",A_InstData!L70))</f>
        <v/>
      </c>
      <c r="K29" s="840" t="str">
        <f>IF($E29="","",IF(A_InstData!M70="","",A_InstData!M70))</f>
        <v/>
      </c>
      <c r="L29" s="840" t="str">
        <f>IF($E29="","",IF(A_InstData!N70="","",A_InstData!N70))</f>
        <v/>
      </c>
      <c r="M29" s="144"/>
      <c r="N29" s="144"/>
      <c r="O29" s="144"/>
      <c r="P29" s="144"/>
      <c r="Q29" s="144"/>
      <c r="R29" s="144"/>
      <c r="S29" s="144"/>
      <c r="T29" s="428"/>
      <c r="W29" s="104" t="str">
        <f t="shared" si="7"/>
        <v>G9</v>
      </c>
      <c r="X29" s="105" t="str">
        <f t="shared" si="0"/>
        <v/>
      </c>
      <c r="Y29" s="105" t="str">
        <f t="shared" si="1"/>
        <v/>
      </c>
      <c r="Z29" s="105" t="str">
        <f t="shared" si="2"/>
        <v/>
      </c>
      <c r="AA29" s="105" t="str">
        <f t="shared" si="3"/>
        <v/>
      </c>
      <c r="AB29" s="105" t="str">
        <f t="shared" si="4"/>
        <v/>
      </c>
      <c r="AC29" s="105" t="str">
        <f t="shared" si="5"/>
        <v/>
      </c>
      <c r="AD29" s="105" t="str">
        <f t="shared" si="6"/>
        <v/>
      </c>
    </row>
    <row r="30" spans="1:41" ht="12.75" customHeight="1" x14ac:dyDescent="0.35">
      <c r="A30" s="92"/>
      <c r="B30" s="94"/>
      <c r="C30" s="144"/>
      <c r="D30" s="418" t="str">
        <f>A_InstData!D71</f>
        <v>G10</v>
      </c>
      <c r="E30" s="422" t="str">
        <f>IF(INDEX(CNTR_List_ExistGoodTypes,ROWS(D$21:D30))=CONST_NA,"",INDEX(CNTR_List_ExistGoodTypes,ROWS(D$21:D30)))</f>
        <v/>
      </c>
      <c r="F30" s="422" t="str">
        <f>IF($E30="","",IF(A_InstData!G71="","",IF(A_InstData!G71=CONST_PleaseSelect,"",A_InstData!G71)))</f>
        <v/>
      </c>
      <c r="G30" s="841" t="str">
        <f>IF($E30="","",IF(A_InstData!I71="","",A_InstData!I71))</f>
        <v/>
      </c>
      <c r="H30" s="841" t="str">
        <f>IF($E30="","",IF(A_InstData!J71="","",A_InstData!J71))</f>
        <v/>
      </c>
      <c r="I30" s="841" t="str">
        <f>IF($E30="","",IF(A_InstData!K71="","",A_InstData!K71))</f>
        <v/>
      </c>
      <c r="J30" s="841" t="str">
        <f>IF($E30="","",IF(A_InstData!L71="","",A_InstData!L71))</f>
        <v/>
      </c>
      <c r="K30" s="841" t="str">
        <f>IF($E30="","",IF(A_InstData!M71="","",A_InstData!M71))</f>
        <v/>
      </c>
      <c r="L30" s="841" t="str">
        <f>IF($E30="","",IF(A_InstData!N71="","",A_InstData!N71))</f>
        <v/>
      </c>
      <c r="M30" s="144"/>
      <c r="N30" s="144"/>
      <c r="O30" s="144"/>
      <c r="P30" s="144"/>
      <c r="Q30" s="144"/>
      <c r="R30" s="144"/>
      <c r="S30" s="144"/>
      <c r="T30" s="428"/>
      <c r="W30" s="104" t="str">
        <f t="shared" si="7"/>
        <v>G10</v>
      </c>
      <c r="X30" s="105" t="str">
        <f t="shared" si="0"/>
        <v/>
      </c>
      <c r="Y30" s="105" t="str">
        <f t="shared" si="1"/>
        <v/>
      </c>
      <c r="Z30" s="105" t="str">
        <f t="shared" si="2"/>
        <v/>
      </c>
      <c r="AA30" s="105" t="str">
        <f t="shared" si="3"/>
        <v/>
      </c>
      <c r="AB30" s="105" t="str">
        <f t="shared" si="4"/>
        <v/>
      </c>
      <c r="AC30" s="105" t="str">
        <f t="shared" si="5"/>
        <v/>
      </c>
      <c r="AD30" s="105" t="str">
        <f t="shared" si="6"/>
        <v/>
      </c>
    </row>
    <row r="31" spans="1:41" ht="5.15" customHeight="1" x14ac:dyDescent="0.35">
      <c r="A31" s="92"/>
      <c r="B31" s="94"/>
      <c r="C31" s="144"/>
      <c r="D31" s="144"/>
      <c r="E31" s="144"/>
      <c r="F31" s="144"/>
      <c r="G31" s="144"/>
      <c r="H31" s="144"/>
      <c r="I31" s="144"/>
      <c r="J31" s="144"/>
      <c r="K31" s="144"/>
      <c r="L31" s="144"/>
      <c r="M31" s="144"/>
      <c r="N31" s="144"/>
      <c r="O31" s="144"/>
      <c r="P31" s="144"/>
      <c r="Q31" s="144"/>
      <c r="R31" s="144"/>
      <c r="S31" s="144"/>
      <c r="T31" s="428"/>
    </row>
    <row r="32" spans="1:41" s="130" customFormat="1" ht="25.5" customHeight="1" x14ac:dyDescent="0.3">
      <c r="A32" s="940"/>
      <c r="B32" s="131"/>
      <c r="C32" s="937"/>
      <c r="D32" s="974" t="s">
        <v>375</v>
      </c>
      <c r="E32" s="426" t="str">
        <f>Translations!$B$120</f>
        <v>Production process</v>
      </c>
      <c r="F32" s="419" t="str">
        <f>Translations!$B$107</f>
        <v>Aggregated goods category</v>
      </c>
      <c r="G32" s="310">
        <v>1</v>
      </c>
      <c r="H32" s="310">
        <v>2</v>
      </c>
      <c r="I32" s="310">
        <v>3</v>
      </c>
      <c r="J32" s="310">
        <v>4</v>
      </c>
      <c r="K32" s="310">
        <v>5</v>
      </c>
      <c r="L32" s="310">
        <v>6</v>
      </c>
      <c r="M32" s="937"/>
      <c r="N32" s="937"/>
      <c r="O32" s="937"/>
      <c r="P32" s="937"/>
      <c r="Q32" s="937"/>
      <c r="R32" s="937"/>
      <c r="S32" s="937"/>
      <c r="T32" s="429"/>
      <c r="V32" s="129"/>
      <c r="W32" s="91"/>
      <c r="X32" s="115" t="s">
        <v>381</v>
      </c>
      <c r="Y32" s="115" t="s">
        <v>388</v>
      </c>
      <c r="Z32" s="115" t="s">
        <v>389</v>
      </c>
      <c r="AA32" s="115" t="s">
        <v>390</v>
      </c>
      <c r="AB32" s="115" t="s">
        <v>391</v>
      </c>
      <c r="AC32" s="115" t="s">
        <v>392</v>
      </c>
      <c r="AD32" s="115" t="s">
        <v>393</v>
      </c>
      <c r="AE32" s="91"/>
      <c r="AF32" s="91"/>
      <c r="AG32" s="129"/>
      <c r="AH32" s="129"/>
      <c r="AI32" s="129"/>
      <c r="AJ32" s="129"/>
      <c r="AK32" s="129"/>
      <c r="AL32" s="129"/>
      <c r="AM32" s="129"/>
      <c r="AN32" s="129"/>
      <c r="AO32" s="129"/>
    </row>
    <row r="33" spans="1:41" ht="12.75" customHeight="1" x14ac:dyDescent="0.35">
      <c r="A33" s="92"/>
      <c r="B33" s="94"/>
      <c r="C33" s="144"/>
      <c r="D33" s="229" t="str">
        <f>A_InstData!D83</f>
        <v>P1</v>
      </c>
      <c r="E33" s="420" t="str">
        <f>IF(INDEX(CNTR_List_ExistProdProcNames,ROWS(D$33:D33))=CONST_NA,"",INDEX(CNTR_List_ExistProdProcNames,ROWS(D$33:D33)))</f>
        <v/>
      </c>
      <c r="F33" s="420" t="str">
        <f t="shared" ref="F33:F42" si="8">IF(E33="","",INDEX(CNTR_List_ExistProdProc,MATCH(E33,CNTR_List_ExistProdProcNames,0)))</f>
        <v/>
      </c>
      <c r="G33" s="844" t="str">
        <f>IF($F33="","",IF(INDEX(A_InstData!F$83:F$92,MATCH($F33,CNTR_List_ExistProdProc,0))="","",INDEX(A_InstData!F$83:F$92,MATCH($F33,CNTR_List_ExistProdProc,0))))</f>
        <v/>
      </c>
      <c r="H33" s="844" t="str">
        <f>IF($F33="","",IF(INDEX(A_InstData!G$83:G$92,MATCH($F33,CNTR_List_ExistProdProc,0))="","",INDEX(A_InstData!G$83:G$92,MATCH($F33,CNTR_List_ExistProdProc,0))))</f>
        <v/>
      </c>
      <c r="I33" s="844" t="str">
        <f>IF($F33="","",IF(INDEX(A_InstData!H$83:H$92,MATCH($F33,CNTR_List_ExistProdProc,0))="","",INDEX(A_InstData!H$83:H$92,MATCH($F33,CNTR_List_ExistProdProc,0))))</f>
        <v/>
      </c>
      <c r="J33" s="844" t="str">
        <f>IF($F33="","",IF(INDEX(A_InstData!I$83:I$92,MATCH($F33,CNTR_List_ExistProdProc,0))="","",INDEX(A_InstData!I$83:I$92,MATCH($F33,CNTR_List_ExistProdProc,0))))</f>
        <v/>
      </c>
      <c r="K33" s="844" t="str">
        <f>IF($F33="","",IF(INDEX(A_InstData!J$83:J$92,MATCH($F33,CNTR_List_ExistProdProc,0))="","",INDEX(A_InstData!J$83:J$92,MATCH($F33,CNTR_List_ExistProdProc,0))))</f>
        <v/>
      </c>
      <c r="L33" s="844" t="str">
        <f>IF($F33="","",IF(INDEX(A_InstData!K$83:K$92,MATCH($F33,CNTR_List_ExistProdProc,0))="","",INDEX(A_InstData!K$83:K$92,MATCH($F33,CNTR_List_ExistProdProc,0))))</f>
        <v/>
      </c>
      <c r="M33" s="144"/>
      <c r="N33" s="144"/>
      <c r="O33" s="144"/>
      <c r="P33" s="144"/>
      <c r="Q33" s="144"/>
      <c r="R33" s="144"/>
      <c r="S33" s="144"/>
      <c r="T33" s="428"/>
      <c r="W33" s="104" t="str">
        <f>D33</f>
        <v>P1</v>
      </c>
      <c r="X33" s="105" t="str">
        <f t="shared" ref="X33:X42" si="9">IF(F33="","",MATCH(F33,CONST_LIST_Goods,0))</f>
        <v/>
      </c>
      <c r="Y33" s="105" t="str">
        <f>IF(G33="","",IF(G33=CONST_OnlyDirProd,0,MATCH(G33,INDEX(Parameters_Constants!$AC$89:$AM$106,$X33,),0)))</f>
        <v/>
      </c>
      <c r="Z33" s="105" t="str">
        <f>IF(H33="","",IF(H33=CONST_OnlyDirProd,0,MATCH(H33,INDEX(Parameters_Constants!$AC$89:$AM$106,$X33,),0)))</f>
        <v/>
      </c>
      <c r="AA33" s="105" t="str">
        <f>IF(I33="","",IF(I33=CONST_OnlyDirProd,0,MATCH(I33,INDEX(Parameters_Constants!$AC$89:$AM$106,$X33,),0)))</f>
        <v/>
      </c>
      <c r="AB33" s="105" t="str">
        <f>IF(J33="","",IF(J33=CONST_OnlyDirProd,0,MATCH(J33,INDEX(Parameters_Constants!$AC$89:$AM$106,$X33,),0)))</f>
        <v/>
      </c>
      <c r="AC33" s="105" t="str">
        <f>IF(K33="","",IF(K33=CONST_OnlyDirProd,0,MATCH(K33,INDEX(Parameters_Constants!$AC$89:$AM$106,$X33,),0)))</f>
        <v/>
      </c>
      <c r="AD33" s="105" t="str">
        <f>IF(L33="","",IF(L33=CONST_OnlyDirProd,0,MATCH(L33,INDEX(Parameters_Constants!$AC$89:$AM$106,$X33,),0)))</f>
        <v/>
      </c>
    </row>
    <row r="34" spans="1:41" ht="12.75" customHeight="1" x14ac:dyDescent="0.35">
      <c r="A34" s="92"/>
      <c r="B34" s="94"/>
      <c r="C34" s="144"/>
      <c r="D34" s="229" t="str">
        <f>A_InstData!D84</f>
        <v>P2</v>
      </c>
      <c r="E34" s="421" t="str">
        <f>IF(INDEX(CNTR_List_ExistProdProcNames,ROWS(D$33:D34))=CONST_NA,"",INDEX(CNTR_List_ExistProdProcNames,ROWS(D$33:D34)))</f>
        <v/>
      </c>
      <c r="F34" s="421" t="str">
        <f t="shared" si="8"/>
        <v/>
      </c>
      <c r="G34" s="840" t="str">
        <f>IF($F34="","",IF(INDEX(A_InstData!F$83:F$92,MATCH($F34,CNTR_List_ExistProdProc,0))="","",INDEX(A_InstData!F$83:F$92,MATCH($F34,CNTR_List_ExistProdProc,0))))</f>
        <v/>
      </c>
      <c r="H34" s="840" t="str">
        <f>IF($F34="","",IF(INDEX(A_InstData!G$83:G$92,MATCH($F34,CNTR_List_ExistProdProc,0))="","",INDEX(A_InstData!G$83:G$92,MATCH($F34,CNTR_List_ExistProdProc,0))))</f>
        <v/>
      </c>
      <c r="I34" s="840" t="str">
        <f>IF($F34="","",IF(INDEX(A_InstData!H$83:H$92,MATCH($F34,CNTR_List_ExistProdProc,0))="","",INDEX(A_InstData!H$83:H$92,MATCH($F34,CNTR_List_ExistProdProc,0))))</f>
        <v/>
      </c>
      <c r="J34" s="840" t="str">
        <f>IF($F34="","",IF(INDEX(A_InstData!I$83:I$92,MATCH($F34,CNTR_List_ExistProdProc,0))="","",INDEX(A_InstData!I$83:I$92,MATCH($F34,CNTR_List_ExistProdProc,0))))</f>
        <v/>
      </c>
      <c r="K34" s="840" t="str">
        <f>IF($F34="","",IF(INDEX(A_InstData!J$83:J$92,MATCH($F34,CNTR_List_ExistProdProc,0))="","",INDEX(A_InstData!J$83:J$92,MATCH($F34,CNTR_List_ExistProdProc,0))))</f>
        <v/>
      </c>
      <c r="L34" s="840" t="str">
        <f>IF($F34="","",IF(INDEX(A_InstData!K$83:K$92,MATCH($F34,CNTR_List_ExistProdProc,0))="","",INDEX(A_InstData!K$83:K$92,MATCH($F34,CNTR_List_ExistProdProc,0))))</f>
        <v/>
      </c>
      <c r="M34" s="144"/>
      <c r="N34" s="144"/>
      <c r="O34" s="144"/>
      <c r="P34" s="144"/>
      <c r="Q34" s="144"/>
      <c r="R34" s="144"/>
      <c r="S34" s="144"/>
      <c r="T34" s="428"/>
      <c r="W34" s="104" t="str">
        <f t="shared" ref="W34:W42" si="10">D34</f>
        <v>P2</v>
      </c>
      <c r="X34" s="105" t="str">
        <f t="shared" si="9"/>
        <v/>
      </c>
      <c r="Y34" s="105" t="str">
        <f>IF(G34="","",IF(G34=CONST_OnlyDirProd,0,MATCH(G34,INDEX(Parameters_Constants!$AC$89:$AM$106,$X34,),0)))</f>
        <v/>
      </c>
      <c r="Z34" s="105" t="str">
        <f>IF(H34="","",IF(H34=CONST_OnlyDirProd,0,MATCH(H34,INDEX(Parameters_Constants!$AC$89:$AM$106,$X34,),0)))</f>
        <v/>
      </c>
      <c r="AA34" s="105" t="str">
        <f>IF(I34="","",IF(I34=CONST_OnlyDirProd,0,MATCH(I34,INDEX(Parameters_Constants!$AC$89:$AM$106,$X34,),0)))</f>
        <v/>
      </c>
      <c r="AB34" s="105" t="str">
        <f>IF(J34="","",IF(J34=CONST_OnlyDirProd,0,MATCH(J34,INDEX(Parameters_Constants!$AC$89:$AM$106,$X34,),0)))</f>
        <v/>
      </c>
      <c r="AC34" s="105" t="str">
        <f>IF(K34="","",IF(K34=CONST_OnlyDirProd,0,MATCH(K34,INDEX(Parameters_Constants!$AC$89:$AM$106,$X34,),0)))</f>
        <v/>
      </c>
      <c r="AD34" s="105" t="str">
        <f>IF(L34="","",IF(L34=CONST_OnlyDirProd,0,MATCH(L34,INDEX(Parameters_Constants!$AC$89:$AM$106,$X34,),0)))</f>
        <v/>
      </c>
    </row>
    <row r="35" spans="1:41" ht="12.75" customHeight="1" x14ac:dyDescent="0.35">
      <c r="A35" s="92"/>
      <c r="B35" s="94"/>
      <c r="C35" s="144"/>
      <c r="D35" s="229" t="str">
        <f>A_InstData!D85</f>
        <v>P3</v>
      </c>
      <c r="E35" s="421" t="str">
        <f>IF(INDEX(CNTR_List_ExistProdProcNames,ROWS(D$33:D35))=CONST_NA,"",INDEX(CNTR_List_ExistProdProcNames,ROWS(D$33:D35)))</f>
        <v/>
      </c>
      <c r="F35" s="421" t="str">
        <f t="shared" si="8"/>
        <v/>
      </c>
      <c r="G35" s="840" t="str">
        <f>IF($F35="","",IF(INDEX(A_InstData!F$83:F$92,MATCH($F35,CNTR_List_ExistProdProc,0))="","",INDEX(A_InstData!F$83:F$92,MATCH($F35,CNTR_List_ExistProdProc,0))))</f>
        <v/>
      </c>
      <c r="H35" s="840" t="str">
        <f>IF($F35="","",IF(INDEX(A_InstData!G$83:G$92,MATCH($F35,CNTR_List_ExistProdProc,0))="","",INDEX(A_InstData!G$83:G$92,MATCH($F35,CNTR_List_ExistProdProc,0))))</f>
        <v/>
      </c>
      <c r="I35" s="840" t="str">
        <f>IF($F35="","",IF(INDEX(A_InstData!H$83:H$92,MATCH($F35,CNTR_List_ExistProdProc,0))="","",INDEX(A_InstData!H$83:H$92,MATCH($F35,CNTR_List_ExistProdProc,0))))</f>
        <v/>
      </c>
      <c r="J35" s="840" t="str">
        <f>IF($F35="","",IF(INDEX(A_InstData!I$83:I$92,MATCH($F35,CNTR_List_ExistProdProc,0))="","",INDEX(A_InstData!I$83:I$92,MATCH($F35,CNTR_List_ExistProdProc,0))))</f>
        <v/>
      </c>
      <c r="K35" s="840" t="str">
        <f>IF($F35="","",IF(INDEX(A_InstData!J$83:J$92,MATCH($F35,CNTR_List_ExistProdProc,0))="","",INDEX(A_InstData!J$83:J$92,MATCH($F35,CNTR_List_ExistProdProc,0))))</f>
        <v/>
      </c>
      <c r="L35" s="840" t="str">
        <f>IF($F35="","",IF(INDEX(A_InstData!K$83:K$92,MATCH($F35,CNTR_List_ExistProdProc,0))="","",INDEX(A_InstData!K$83:K$92,MATCH($F35,CNTR_List_ExistProdProc,0))))</f>
        <v/>
      </c>
      <c r="M35" s="144"/>
      <c r="N35" s="144"/>
      <c r="O35" s="144"/>
      <c r="P35" s="144"/>
      <c r="Q35" s="144"/>
      <c r="R35" s="144"/>
      <c r="S35" s="144"/>
      <c r="T35" s="428"/>
      <c r="W35" s="104" t="str">
        <f t="shared" si="10"/>
        <v>P3</v>
      </c>
      <c r="X35" s="105" t="str">
        <f t="shared" si="9"/>
        <v/>
      </c>
      <c r="Y35" s="105" t="str">
        <f>IF(G35="","",IF(G35=CONST_OnlyDirProd,0,MATCH(G35,INDEX(Parameters_Constants!$AC$89:$AM$106,$X35,),0)))</f>
        <v/>
      </c>
      <c r="Z35" s="105" t="str">
        <f>IF(H35="","",IF(H35=CONST_OnlyDirProd,0,MATCH(H35,INDEX(Parameters_Constants!$AC$89:$AM$106,$X35,),0)))</f>
        <v/>
      </c>
      <c r="AA35" s="105" t="str">
        <f>IF(I35="","",IF(I35=CONST_OnlyDirProd,0,MATCH(I35,INDEX(Parameters_Constants!$AC$89:$AM$106,$X35,),0)))</f>
        <v/>
      </c>
      <c r="AB35" s="105" t="str">
        <f>IF(J35="","",IF(J35=CONST_OnlyDirProd,0,MATCH(J35,INDEX(Parameters_Constants!$AC$89:$AM$106,$X35,),0)))</f>
        <v/>
      </c>
      <c r="AC35" s="105" t="str">
        <f>IF(K35="","",IF(K35=CONST_OnlyDirProd,0,MATCH(K35,INDEX(Parameters_Constants!$AC$89:$AM$106,$X35,),0)))</f>
        <v/>
      </c>
      <c r="AD35" s="105" t="str">
        <f>IF(L35="","",IF(L35=CONST_OnlyDirProd,0,MATCH(L35,INDEX(Parameters_Constants!$AC$89:$AM$106,$X35,),0)))</f>
        <v/>
      </c>
    </row>
    <row r="36" spans="1:41" ht="12.75" customHeight="1" x14ac:dyDescent="0.35">
      <c r="A36" s="92"/>
      <c r="B36" s="94"/>
      <c r="C36" s="144"/>
      <c r="D36" s="229" t="str">
        <f>A_InstData!D86</f>
        <v>P4</v>
      </c>
      <c r="E36" s="421" t="str">
        <f>IF(INDEX(CNTR_List_ExistProdProcNames,ROWS(D$33:D36))=CONST_NA,"",INDEX(CNTR_List_ExistProdProcNames,ROWS(D$33:D36)))</f>
        <v/>
      </c>
      <c r="F36" s="421" t="str">
        <f t="shared" si="8"/>
        <v/>
      </c>
      <c r="G36" s="840" t="str">
        <f>IF($F36="","",IF(INDEX(A_InstData!F$83:F$92,MATCH($F36,CNTR_List_ExistProdProc,0))="","",INDEX(A_InstData!F$83:F$92,MATCH($F36,CNTR_List_ExistProdProc,0))))</f>
        <v/>
      </c>
      <c r="H36" s="840" t="str">
        <f>IF($F36="","",IF(INDEX(A_InstData!G$83:G$92,MATCH($F36,CNTR_List_ExistProdProc,0))="","",INDEX(A_InstData!G$83:G$92,MATCH($F36,CNTR_List_ExistProdProc,0))))</f>
        <v/>
      </c>
      <c r="I36" s="840" t="str">
        <f>IF($F36="","",IF(INDEX(A_InstData!H$83:H$92,MATCH($F36,CNTR_List_ExistProdProc,0))="","",INDEX(A_InstData!H$83:H$92,MATCH($F36,CNTR_List_ExistProdProc,0))))</f>
        <v/>
      </c>
      <c r="J36" s="840" t="str">
        <f>IF($F36="","",IF(INDEX(A_InstData!I$83:I$92,MATCH($F36,CNTR_List_ExistProdProc,0))="","",INDEX(A_InstData!I$83:I$92,MATCH($F36,CNTR_List_ExistProdProc,0))))</f>
        <v/>
      </c>
      <c r="K36" s="840" t="str">
        <f>IF($F36="","",IF(INDEX(A_InstData!J$83:J$92,MATCH($F36,CNTR_List_ExistProdProc,0))="","",INDEX(A_InstData!J$83:J$92,MATCH($F36,CNTR_List_ExistProdProc,0))))</f>
        <v/>
      </c>
      <c r="L36" s="840" t="str">
        <f>IF($F36="","",IF(INDEX(A_InstData!K$83:K$92,MATCH($F36,CNTR_List_ExistProdProc,0))="","",INDEX(A_InstData!K$83:K$92,MATCH($F36,CNTR_List_ExistProdProc,0))))</f>
        <v/>
      </c>
      <c r="M36" s="144"/>
      <c r="N36" s="144"/>
      <c r="O36" s="144"/>
      <c r="P36" s="144"/>
      <c r="Q36" s="144"/>
      <c r="R36" s="144"/>
      <c r="S36" s="144"/>
      <c r="T36" s="428"/>
      <c r="W36" s="104" t="str">
        <f t="shared" si="10"/>
        <v>P4</v>
      </c>
      <c r="X36" s="105" t="str">
        <f t="shared" si="9"/>
        <v/>
      </c>
      <c r="Y36" s="105" t="str">
        <f>IF(G36="","",IF(G36=CONST_OnlyDirProd,0,MATCH(G36,INDEX(Parameters_Constants!$AC$89:$AM$106,$X36,),0)))</f>
        <v/>
      </c>
      <c r="Z36" s="105" t="str">
        <f>IF(H36="","",IF(H36=CONST_OnlyDirProd,0,MATCH(H36,INDEX(Parameters_Constants!$AC$89:$AM$106,$X36,),0)))</f>
        <v/>
      </c>
      <c r="AA36" s="105" t="str">
        <f>IF(I36="","",IF(I36=CONST_OnlyDirProd,0,MATCH(I36,INDEX(Parameters_Constants!$AC$89:$AM$106,$X36,),0)))</f>
        <v/>
      </c>
      <c r="AB36" s="105" t="str">
        <f>IF(J36="","",IF(J36=CONST_OnlyDirProd,0,MATCH(J36,INDEX(Parameters_Constants!$AC$89:$AM$106,$X36,),0)))</f>
        <v/>
      </c>
      <c r="AC36" s="105" t="str">
        <f>IF(K36="","",IF(K36=CONST_OnlyDirProd,0,MATCH(K36,INDEX(Parameters_Constants!$AC$89:$AM$106,$X36,),0)))</f>
        <v/>
      </c>
      <c r="AD36" s="105" t="str">
        <f>IF(L36="","",IF(L36=CONST_OnlyDirProd,0,MATCH(L36,INDEX(Parameters_Constants!$AC$89:$AM$106,$X36,),0)))</f>
        <v/>
      </c>
    </row>
    <row r="37" spans="1:41" ht="12.75" customHeight="1" x14ac:dyDescent="0.35">
      <c r="A37" s="92"/>
      <c r="B37" s="94"/>
      <c r="C37" s="144"/>
      <c r="D37" s="229" t="str">
        <f>A_InstData!D87</f>
        <v>P5</v>
      </c>
      <c r="E37" s="421" t="str">
        <f>IF(INDEX(CNTR_List_ExistProdProcNames,ROWS(D$33:D37))=CONST_NA,"",INDEX(CNTR_List_ExistProdProcNames,ROWS(D$33:D37)))</f>
        <v/>
      </c>
      <c r="F37" s="421" t="str">
        <f t="shared" si="8"/>
        <v/>
      </c>
      <c r="G37" s="840" t="str">
        <f>IF($F37="","",IF(INDEX(A_InstData!F$83:F$92,MATCH($F37,CNTR_List_ExistProdProc,0))="","",INDEX(A_InstData!F$83:F$92,MATCH($F37,CNTR_List_ExistProdProc,0))))</f>
        <v/>
      </c>
      <c r="H37" s="840" t="str">
        <f>IF($F37="","",IF(INDEX(A_InstData!G$83:G$92,MATCH($F37,CNTR_List_ExistProdProc,0))="","",INDEX(A_InstData!G$83:G$92,MATCH($F37,CNTR_List_ExistProdProc,0))))</f>
        <v/>
      </c>
      <c r="I37" s="840" t="str">
        <f>IF($F37="","",IF(INDEX(A_InstData!H$83:H$92,MATCH($F37,CNTR_List_ExistProdProc,0))="","",INDEX(A_InstData!H$83:H$92,MATCH($F37,CNTR_List_ExistProdProc,0))))</f>
        <v/>
      </c>
      <c r="J37" s="840" t="str">
        <f>IF($F37="","",IF(INDEX(A_InstData!I$83:I$92,MATCH($F37,CNTR_List_ExistProdProc,0))="","",INDEX(A_InstData!I$83:I$92,MATCH($F37,CNTR_List_ExistProdProc,0))))</f>
        <v/>
      </c>
      <c r="K37" s="840" t="str">
        <f>IF($F37="","",IF(INDEX(A_InstData!J$83:J$92,MATCH($F37,CNTR_List_ExistProdProc,0))="","",INDEX(A_InstData!J$83:J$92,MATCH($F37,CNTR_List_ExistProdProc,0))))</f>
        <v/>
      </c>
      <c r="L37" s="840" t="str">
        <f>IF($F37="","",IF(INDEX(A_InstData!K$83:K$92,MATCH($F37,CNTR_List_ExistProdProc,0))="","",INDEX(A_InstData!K$83:K$92,MATCH($F37,CNTR_List_ExistProdProc,0))))</f>
        <v/>
      </c>
      <c r="M37" s="144"/>
      <c r="N37" s="144"/>
      <c r="O37" s="144"/>
      <c r="P37" s="144"/>
      <c r="Q37" s="144"/>
      <c r="R37" s="144"/>
      <c r="S37" s="144"/>
      <c r="T37" s="428"/>
      <c r="W37" s="104" t="str">
        <f t="shared" si="10"/>
        <v>P5</v>
      </c>
      <c r="X37" s="105" t="str">
        <f t="shared" si="9"/>
        <v/>
      </c>
      <c r="Y37" s="105" t="str">
        <f>IF(G37="","",IF(G37=CONST_OnlyDirProd,0,MATCH(G37,INDEX(Parameters_Constants!$AC$89:$AM$106,$X37,),0)))</f>
        <v/>
      </c>
      <c r="Z37" s="105" t="str">
        <f>IF(H37="","",IF(H37=CONST_OnlyDirProd,0,MATCH(H37,INDEX(Parameters_Constants!$AC$89:$AM$106,$X37,),0)))</f>
        <v/>
      </c>
      <c r="AA37" s="105" t="str">
        <f>IF(I37="","",IF(I37=CONST_OnlyDirProd,0,MATCH(I37,INDEX(Parameters_Constants!$AC$89:$AM$106,$X37,),0)))</f>
        <v/>
      </c>
      <c r="AB37" s="105" t="str">
        <f>IF(J37="","",IF(J37=CONST_OnlyDirProd,0,MATCH(J37,INDEX(Parameters_Constants!$AC$89:$AM$106,$X37,),0)))</f>
        <v/>
      </c>
      <c r="AC37" s="105" t="str">
        <f>IF(K37="","",IF(K37=CONST_OnlyDirProd,0,MATCH(K37,INDEX(Parameters_Constants!$AC$89:$AM$106,$X37,),0)))</f>
        <v/>
      </c>
      <c r="AD37" s="105" t="str">
        <f>IF(L37="","",IF(L37=CONST_OnlyDirProd,0,MATCH(L37,INDEX(Parameters_Constants!$AC$89:$AM$106,$X37,),0)))</f>
        <v/>
      </c>
    </row>
    <row r="38" spans="1:41" ht="12.75" customHeight="1" x14ac:dyDescent="0.35">
      <c r="A38" s="92"/>
      <c r="B38" s="94"/>
      <c r="C38" s="144"/>
      <c r="D38" s="229" t="str">
        <f>A_InstData!D88</f>
        <v>P6</v>
      </c>
      <c r="E38" s="421" t="str">
        <f>IF(INDEX(CNTR_List_ExistProdProcNames,ROWS(D$33:D38))=CONST_NA,"",INDEX(CNTR_List_ExistProdProcNames,ROWS(D$33:D38)))</f>
        <v/>
      </c>
      <c r="F38" s="421" t="str">
        <f t="shared" si="8"/>
        <v/>
      </c>
      <c r="G38" s="840" t="str">
        <f>IF($F38="","",IF(INDEX(A_InstData!F$83:F$92,MATCH($F38,CNTR_List_ExistProdProc,0))="","",INDEX(A_InstData!F$83:F$92,MATCH($F38,CNTR_List_ExistProdProc,0))))</f>
        <v/>
      </c>
      <c r="H38" s="840" t="str">
        <f>IF($F38="","",IF(INDEX(A_InstData!G$83:G$92,MATCH($F38,CNTR_List_ExistProdProc,0))="","",INDEX(A_InstData!G$83:G$92,MATCH($F38,CNTR_List_ExistProdProc,0))))</f>
        <v/>
      </c>
      <c r="I38" s="840" t="str">
        <f>IF($F38="","",IF(INDEX(A_InstData!H$83:H$92,MATCH($F38,CNTR_List_ExistProdProc,0))="","",INDEX(A_InstData!H$83:H$92,MATCH($F38,CNTR_List_ExistProdProc,0))))</f>
        <v/>
      </c>
      <c r="J38" s="840" t="str">
        <f>IF($F38="","",IF(INDEX(A_InstData!I$83:I$92,MATCH($F38,CNTR_List_ExistProdProc,0))="","",INDEX(A_InstData!I$83:I$92,MATCH($F38,CNTR_List_ExistProdProc,0))))</f>
        <v/>
      </c>
      <c r="K38" s="840" t="str">
        <f>IF($F38="","",IF(INDEX(A_InstData!J$83:J$92,MATCH($F38,CNTR_List_ExistProdProc,0))="","",INDEX(A_InstData!J$83:J$92,MATCH($F38,CNTR_List_ExistProdProc,0))))</f>
        <v/>
      </c>
      <c r="L38" s="840" t="str">
        <f>IF($F38="","",IF(INDEX(A_InstData!K$83:K$92,MATCH($F38,CNTR_List_ExistProdProc,0))="","",INDEX(A_InstData!K$83:K$92,MATCH($F38,CNTR_List_ExistProdProc,0))))</f>
        <v/>
      </c>
      <c r="M38" s="144"/>
      <c r="N38" s="144"/>
      <c r="O38" s="144"/>
      <c r="P38" s="144"/>
      <c r="Q38" s="144"/>
      <c r="R38" s="144"/>
      <c r="S38" s="144"/>
      <c r="T38" s="428"/>
      <c r="W38" s="104" t="str">
        <f t="shared" si="10"/>
        <v>P6</v>
      </c>
      <c r="X38" s="105" t="str">
        <f t="shared" si="9"/>
        <v/>
      </c>
      <c r="Y38" s="105" t="str">
        <f>IF(G38="","",IF(G38=CONST_OnlyDirProd,0,MATCH(G38,INDEX(Parameters_Constants!$AC$89:$AM$106,$X38,),0)))</f>
        <v/>
      </c>
      <c r="Z38" s="105" t="str">
        <f>IF(H38="","",IF(H38=CONST_OnlyDirProd,0,MATCH(H38,INDEX(Parameters_Constants!$AC$89:$AM$106,$X38,),0)))</f>
        <v/>
      </c>
      <c r="AA38" s="105" t="str">
        <f>IF(I38="","",IF(I38=CONST_OnlyDirProd,0,MATCH(I38,INDEX(Parameters_Constants!$AC$89:$AM$106,$X38,),0)))</f>
        <v/>
      </c>
      <c r="AB38" s="105" t="str">
        <f>IF(J38="","",IF(J38=CONST_OnlyDirProd,0,MATCH(J38,INDEX(Parameters_Constants!$AC$89:$AM$106,$X38,),0)))</f>
        <v/>
      </c>
      <c r="AC38" s="105" t="str">
        <f>IF(K38="","",IF(K38=CONST_OnlyDirProd,0,MATCH(K38,INDEX(Parameters_Constants!$AC$89:$AM$106,$X38,),0)))</f>
        <v/>
      </c>
      <c r="AD38" s="105" t="str">
        <f>IF(L38="","",IF(L38=CONST_OnlyDirProd,0,MATCH(L38,INDEX(Parameters_Constants!$AC$89:$AM$106,$X38,),0)))</f>
        <v/>
      </c>
    </row>
    <row r="39" spans="1:41" ht="12.75" customHeight="1" x14ac:dyDescent="0.35">
      <c r="A39" s="92"/>
      <c r="B39" s="94"/>
      <c r="C39" s="144"/>
      <c r="D39" s="229" t="str">
        <f>A_InstData!D89</f>
        <v>P7</v>
      </c>
      <c r="E39" s="421" t="str">
        <f>IF(INDEX(CNTR_List_ExistProdProcNames,ROWS(D$33:D39))=CONST_NA,"",INDEX(CNTR_List_ExistProdProcNames,ROWS(D$33:D39)))</f>
        <v/>
      </c>
      <c r="F39" s="421" t="str">
        <f t="shared" si="8"/>
        <v/>
      </c>
      <c r="G39" s="840" t="str">
        <f>IF($F39="","",IF(INDEX(A_InstData!F$83:F$92,MATCH($F39,CNTR_List_ExistProdProc,0))="","",INDEX(A_InstData!F$83:F$92,MATCH($F39,CNTR_List_ExistProdProc,0))))</f>
        <v/>
      </c>
      <c r="H39" s="840" t="str">
        <f>IF($F39="","",IF(INDEX(A_InstData!G$83:G$92,MATCH($F39,CNTR_List_ExistProdProc,0))="","",INDEX(A_InstData!G$83:G$92,MATCH($F39,CNTR_List_ExistProdProc,0))))</f>
        <v/>
      </c>
      <c r="I39" s="840" t="str">
        <f>IF($F39="","",IF(INDEX(A_InstData!H$83:H$92,MATCH($F39,CNTR_List_ExistProdProc,0))="","",INDEX(A_InstData!H$83:H$92,MATCH($F39,CNTR_List_ExistProdProc,0))))</f>
        <v/>
      </c>
      <c r="J39" s="840" t="str">
        <f>IF($F39="","",IF(INDEX(A_InstData!I$83:I$92,MATCH($F39,CNTR_List_ExistProdProc,0))="","",INDEX(A_InstData!I$83:I$92,MATCH($F39,CNTR_List_ExistProdProc,0))))</f>
        <v/>
      </c>
      <c r="K39" s="840" t="str">
        <f>IF($F39="","",IF(INDEX(A_InstData!J$83:J$92,MATCH($F39,CNTR_List_ExistProdProc,0))="","",INDEX(A_InstData!J$83:J$92,MATCH($F39,CNTR_List_ExistProdProc,0))))</f>
        <v/>
      </c>
      <c r="L39" s="840" t="str">
        <f>IF($F39="","",IF(INDEX(A_InstData!K$83:K$92,MATCH($F39,CNTR_List_ExistProdProc,0))="","",INDEX(A_InstData!K$83:K$92,MATCH($F39,CNTR_List_ExistProdProc,0))))</f>
        <v/>
      </c>
      <c r="M39" s="144"/>
      <c r="N39" s="144"/>
      <c r="O39" s="144"/>
      <c r="P39" s="144"/>
      <c r="Q39" s="144"/>
      <c r="R39" s="144"/>
      <c r="S39" s="144"/>
      <c r="T39" s="428"/>
      <c r="W39" s="104" t="str">
        <f t="shared" si="10"/>
        <v>P7</v>
      </c>
      <c r="X39" s="105" t="str">
        <f t="shared" si="9"/>
        <v/>
      </c>
      <c r="Y39" s="105" t="str">
        <f>IF(G39="","",IF(G39=CONST_OnlyDirProd,0,MATCH(G39,INDEX(Parameters_Constants!$AC$89:$AM$106,$X39,),0)))</f>
        <v/>
      </c>
      <c r="Z39" s="105" t="str">
        <f>IF(H39="","",IF(H39=CONST_OnlyDirProd,0,MATCH(H39,INDEX(Parameters_Constants!$AC$89:$AM$106,$X39,),0)))</f>
        <v/>
      </c>
      <c r="AA39" s="105" t="str">
        <f>IF(I39="","",IF(I39=CONST_OnlyDirProd,0,MATCH(I39,INDEX(Parameters_Constants!$AC$89:$AM$106,$X39,),0)))</f>
        <v/>
      </c>
      <c r="AB39" s="105" t="str">
        <f>IF(J39="","",IF(J39=CONST_OnlyDirProd,0,MATCH(J39,INDEX(Parameters_Constants!$AC$89:$AM$106,$X39,),0)))</f>
        <v/>
      </c>
      <c r="AC39" s="105" t="str">
        <f>IF(K39="","",IF(K39=CONST_OnlyDirProd,0,MATCH(K39,INDEX(Parameters_Constants!$AC$89:$AM$106,$X39,),0)))</f>
        <v/>
      </c>
      <c r="AD39" s="105" t="str">
        <f>IF(L39="","",IF(L39=CONST_OnlyDirProd,0,MATCH(L39,INDEX(Parameters_Constants!$AC$89:$AM$106,$X39,),0)))</f>
        <v/>
      </c>
    </row>
    <row r="40" spans="1:41" ht="12.75" customHeight="1" x14ac:dyDescent="0.35">
      <c r="A40" s="92"/>
      <c r="B40" s="94"/>
      <c r="C40" s="144"/>
      <c r="D40" s="229" t="str">
        <f>A_InstData!D90</f>
        <v>P8</v>
      </c>
      <c r="E40" s="421" t="str">
        <f>IF(INDEX(CNTR_List_ExistProdProcNames,ROWS(D$33:D40))=CONST_NA,"",INDEX(CNTR_List_ExistProdProcNames,ROWS(D$33:D40)))</f>
        <v/>
      </c>
      <c r="F40" s="421" t="str">
        <f t="shared" si="8"/>
        <v/>
      </c>
      <c r="G40" s="840" t="str">
        <f>IF($F40="","",IF(INDEX(A_InstData!F$83:F$92,MATCH($F40,CNTR_List_ExistProdProc,0))="","",INDEX(A_InstData!F$83:F$92,MATCH($F40,CNTR_List_ExistProdProc,0))))</f>
        <v/>
      </c>
      <c r="H40" s="840" t="str">
        <f>IF($F40="","",IF(INDEX(A_InstData!G$83:G$92,MATCH($F40,CNTR_List_ExistProdProc,0))="","",INDEX(A_InstData!G$83:G$92,MATCH($F40,CNTR_List_ExistProdProc,0))))</f>
        <v/>
      </c>
      <c r="I40" s="840" t="str">
        <f>IF($F40="","",IF(INDEX(A_InstData!H$83:H$92,MATCH($F40,CNTR_List_ExistProdProc,0))="","",INDEX(A_InstData!H$83:H$92,MATCH($F40,CNTR_List_ExistProdProc,0))))</f>
        <v/>
      </c>
      <c r="J40" s="840" t="str">
        <f>IF($F40="","",IF(INDEX(A_InstData!I$83:I$92,MATCH($F40,CNTR_List_ExistProdProc,0))="","",INDEX(A_InstData!I$83:I$92,MATCH($F40,CNTR_List_ExistProdProc,0))))</f>
        <v/>
      </c>
      <c r="K40" s="840" t="str">
        <f>IF($F40="","",IF(INDEX(A_InstData!J$83:J$92,MATCH($F40,CNTR_List_ExistProdProc,0))="","",INDEX(A_InstData!J$83:J$92,MATCH($F40,CNTR_List_ExistProdProc,0))))</f>
        <v/>
      </c>
      <c r="L40" s="840" t="str">
        <f>IF($F40="","",IF(INDEX(A_InstData!K$83:K$92,MATCH($F40,CNTR_List_ExistProdProc,0))="","",INDEX(A_InstData!K$83:K$92,MATCH($F40,CNTR_List_ExistProdProc,0))))</f>
        <v/>
      </c>
      <c r="M40" s="144"/>
      <c r="N40" s="144"/>
      <c r="O40" s="144"/>
      <c r="P40" s="144"/>
      <c r="Q40" s="144"/>
      <c r="R40" s="144"/>
      <c r="S40" s="144"/>
      <c r="T40" s="428"/>
      <c r="W40" s="104" t="str">
        <f t="shared" si="10"/>
        <v>P8</v>
      </c>
      <c r="X40" s="105" t="str">
        <f t="shared" si="9"/>
        <v/>
      </c>
      <c r="Y40" s="105" t="str">
        <f>IF(G40="","",IF(G40=CONST_OnlyDirProd,0,MATCH(G40,INDEX(Parameters_Constants!$AC$89:$AM$106,$X40,),0)))</f>
        <v/>
      </c>
      <c r="Z40" s="105" t="str">
        <f>IF(H40="","",IF(H40=CONST_OnlyDirProd,0,MATCH(H40,INDEX(Parameters_Constants!$AC$89:$AM$106,$X40,),0)))</f>
        <v/>
      </c>
      <c r="AA40" s="105" t="str">
        <f>IF(I40="","",IF(I40=CONST_OnlyDirProd,0,MATCH(I40,INDEX(Parameters_Constants!$AC$89:$AM$106,$X40,),0)))</f>
        <v/>
      </c>
      <c r="AB40" s="105" t="str">
        <f>IF(J40="","",IF(J40=CONST_OnlyDirProd,0,MATCH(J40,INDEX(Parameters_Constants!$AC$89:$AM$106,$X40,),0)))</f>
        <v/>
      </c>
      <c r="AC40" s="105" t="str">
        <f>IF(K40="","",IF(K40=CONST_OnlyDirProd,0,MATCH(K40,INDEX(Parameters_Constants!$AC$89:$AM$106,$X40,),0)))</f>
        <v/>
      </c>
      <c r="AD40" s="105" t="str">
        <f>IF(L40="","",IF(L40=CONST_OnlyDirProd,0,MATCH(L40,INDEX(Parameters_Constants!$AC$89:$AM$106,$X40,),0)))</f>
        <v/>
      </c>
    </row>
    <row r="41" spans="1:41" ht="12.75" customHeight="1" x14ac:dyDescent="0.35">
      <c r="A41" s="92"/>
      <c r="B41" s="94"/>
      <c r="C41" s="144"/>
      <c r="D41" s="229" t="str">
        <f>A_InstData!D91</f>
        <v>P9</v>
      </c>
      <c r="E41" s="421" t="str">
        <f>IF(INDEX(CNTR_List_ExistProdProcNames,ROWS(D$33:D41))=CONST_NA,"",INDEX(CNTR_List_ExistProdProcNames,ROWS(D$33:D41)))</f>
        <v/>
      </c>
      <c r="F41" s="421" t="str">
        <f t="shared" si="8"/>
        <v/>
      </c>
      <c r="G41" s="840" t="str">
        <f>IF($F41="","",IF(INDEX(A_InstData!F$83:F$92,MATCH($F41,CNTR_List_ExistProdProc,0))="","",INDEX(A_InstData!F$83:F$92,MATCH($F41,CNTR_List_ExistProdProc,0))))</f>
        <v/>
      </c>
      <c r="H41" s="840" t="str">
        <f>IF($F41="","",IF(INDEX(A_InstData!G$83:G$92,MATCH($F41,CNTR_List_ExistProdProc,0))="","",INDEX(A_InstData!G$83:G$92,MATCH($F41,CNTR_List_ExistProdProc,0))))</f>
        <v/>
      </c>
      <c r="I41" s="840" t="str">
        <f>IF($F41="","",IF(INDEX(A_InstData!H$83:H$92,MATCH($F41,CNTR_List_ExistProdProc,0))="","",INDEX(A_InstData!H$83:H$92,MATCH($F41,CNTR_List_ExistProdProc,0))))</f>
        <v/>
      </c>
      <c r="J41" s="840" t="str">
        <f>IF($F41="","",IF(INDEX(A_InstData!I$83:I$92,MATCH($F41,CNTR_List_ExistProdProc,0))="","",INDEX(A_InstData!I$83:I$92,MATCH($F41,CNTR_List_ExistProdProc,0))))</f>
        <v/>
      </c>
      <c r="K41" s="840" t="str">
        <f>IF($F41="","",IF(INDEX(A_InstData!J$83:J$92,MATCH($F41,CNTR_List_ExistProdProc,0))="","",INDEX(A_InstData!J$83:J$92,MATCH($F41,CNTR_List_ExistProdProc,0))))</f>
        <v/>
      </c>
      <c r="L41" s="840" t="str">
        <f>IF($F41="","",IF(INDEX(A_InstData!K$83:K$92,MATCH($F41,CNTR_List_ExistProdProc,0))="","",INDEX(A_InstData!K$83:K$92,MATCH($F41,CNTR_List_ExistProdProc,0))))</f>
        <v/>
      </c>
      <c r="M41" s="144"/>
      <c r="N41" s="144"/>
      <c r="O41" s="144"/>
      <c r="P41" s="144"/>
      <c r="Q41" s="144"/>
      <c r="R41" s="144"/>
      <c r="S41" s="144"/>
      <c r="T41" s="428"/>
      <c r="W41" s="104" t="str">
        <f t="shared" si="10"/>
        <v>P9</v>
      </c>
      <c r="X41" s="105" t="str">
        <f t="shared" si="9"/>
        <v/>
      </c>
      <c r="Y41" s="105" t="str">
        <f>IF(G41="","",IF(G41=CONST_OnlyDirProd,0,MATCH(G41,INDEX(Parameters_Constants!$AC$89:$AM$106,$X41,),0)))</f>
        <v/>
      </c>
      <c r="Z41" s="105" t="str">
        <f>IF(H41="","",IF(H41=CONST_OnlyDirProd,0,MATCH(H41,INDEX(Parameters_Constants!$AC$89:$AM$106,$X41,),0)))</f>
        <v/>
      </c>
      <c r="AA41" s="105" t="str">
        <f>IF(I41="","",IF(I41=CONST_OnlyDirProd,0,MATCH(I41,INDEX(Parameters_Constants!$AC$89:$AM$106,$X41,),0)))</f>
        <v/>
      </c>
      <c r="AB41" s="105" t="str">
        <f>IF(J41="","",IF(J41=CONST_OnlyDirProd,0,MATCH(J41,INDEX(Parameters_Constants!$AC$89:$AM$106,$X41,),0)))</f>
        <v/>
      </c>
      <c r="AC41" s="105" t="str">
        <f>IF(K41="","",IF(K41=CONST_OnlyDirProd,0,MATCH(K41,INDEX(Parameters_Constants!$AC$89:$AM$106,$X41,),0)))</f>
        <v/>
      </c>
      <c r="AD41" s="105" t="str">
        <f>IF(L41="","",IF(L41=CONST_OnlyDirProd,0,MATCH(L41,INDEX(Parameters_Constants!$AC$89:$AM$106,$X41,),0)))</f>
        <v/>
      </c>
    </row>
    <row r="42" spans="1:41" ht="12.75" customHeight="1" x14ac:dyDescent="0.35">
      <c r="A42" s="92"/>
      <c r="B42" s="94"/>
      <c r="C42" s="144"/>
      <c r="D42" s="229" t="str">
        <f>A_InstData!D92</f>
        <v>P10</v>
      </c>
      <c r="E42" s="422" t="str">
        <f>IF(INDEX(CNTR_List_ExistProdProcNames,ROWS(D$33:D42))=CONST_NA,"",INDEX(CNTR_List_ExistProdProcNames,ROWS(D$33:D42)))</f>
        <v/>
      </c>
      <c r="F42" s="422" t="str">
        <f t="shared" si="8"/>
        <v/>
      </c>
      <c r="G42" s="841" t="str">
        <f>IF($F42="","",IF(INDEX(A_InstData!F$83:F$92,MATCH($F42,CNTR_List_ExistProdProc,0))="","",INDEX(A_InstData!F$83:F$92,MATCH($F42,CNTR_List_ExistProdProc,0))))</f>
        <v/>
      </c>
      <c r="H42" s="841" t="str">
        <f>IF($F42="","",IF(INDEX(A_InstData!G$83:G$92,MATCH($F42,CNTR_List_ExistProdProc,0))="","",INDEX(A_InstData!G$83:G$92,MATCH($F42,CNTR_List_ExistProdProc,0))))</f>
        <v/>
      </c>
      <c r="I42" s="841" t="str">
        <f>IF($F42="","",IF(INDEX(A_InstData!H$83:H$92,MATCH($F42,CNTR_List_ExistProdProc,0))="","",INDEX(A_InstData!H$83:H$92,MATCH($F42,CNTR_List_ExistProdProc,0))))</f>
        <v/>
      </c>
      <c r="J42" s="841" t="str">
        <f>IF($F42="","",IF(INDEX(A_InstData!I$83:I$92,MATCH($F42,CNTR_List_ExistProdProc,0))="","",INDEX(A_InstData!I$83:I$92,MATCH($F42,CNTR_List_ExistProdProc,0))))</f>
        <v/>
      </c>
      <c r="K42" s="841" t="str">
        <f>IF($F42="","",IF(INDEX(A_InstData!J$83:J$92,MATCH($F42,CNTR_List_ExistProdProc,0))="","",INDEX(A_InstData!J$83:J$92,MATCH($F42,CNTR_List_ExistProdProc,0))))</f>
        <v/>
      </c>
      <c r="L42" s="841" t="str">
        <f>IF($F42="","",IF(INDEX(A_InstData!K$83:K$92,MATCH($F42,CNTR_List_ExistProdProc,0))="","",INDEX(A_InstData!K$83:K$92,MATCH($F42,CNTR_List_ExistProdProc,0))))</f>
        <v/>
      </c>
      <c r="M42" s="144"/>
      <c r="N42" s="144"/>
      <c r="O42" s="144"/>
      <c r="P42" s="144"/>
      <c r="Q42" s="144"/>
      <c r="R42" s="144"/>
      <c r="S42" s="144"/>
      <c r="T42" s="428"/>
      <c r="W42" s="104" t="str">
        <f t="shared" si="10"/>
        <v>P10</v>
      </c>
      <c r="X42" s="105" t="str">
        <f t="shared" si="9"/>
        <v/>
      </c>
      <c r="Y42" s="105" t="str">
        <f>IF(G42="","",IF(G42=CONST_OnlyDirProd,0,MATCH(G42,INDEX(Parameters_Constants!$AC$89:$AM$106,$X42,),0)))</f>
        <v/>
      </c>
      <c r="Z42" s="105" t="str">
        <f>IF(H42="","",IF(H42=CONST_OnlyDirProd,0,MATCH(H42,INDEX(Parameters_Constants!$AC$89:$AM$106,$X42,),0)))</f>
        <v/>
      </c>
      <c r="AA42" s="105" t="str">
        <f>IF(I42="","",IF(I42=CONST_OnlyDirProd,0,MATCH(I42,INDEX(Parameters_Constants!$AC$89:$AM$106,$X42,),0)))</f>
        <v/>
      </c>
      <c r="AB42" s="105" t="str">
        <f>IF(J42="","",IF(J42=CONST_OnlyDirProd,0,MATCH(J42,INDEX(Parameters_Constants!$AC$89:$AM$106,$X42,),0)))</f>
        <v/>
      </c>
      <c r="AC42" s="105" t="str">
        <f>IF(K42="","",IF(K42=CONST_OnlyDirProd,0,MATCH(K42,INDEX(Parameters_Constants!$AC$89:$AM$106,$X42,),0)))</f>
        <v/>
      </c>
      <c r="AD42" s="105" t="str">
        <f>IF(L42="","",IF(L42=CONST_OnlyDirProd,0,MATCH(L42,INDEX(Parameters_Constants!$AC$89:$AM$106,$X42,),0)))</f>
        <v/>
      </c>
    </row>
    <row r="43" spans="1:41" ht="5.15" customHeight="1" x14ac:dyDescent="0.35">
      <c r="A43" s="92"/>
      <c r="B43" s="94"/>
      <c r="C43" s="144"/>
      <c r="D43" s="144"/>
      <c r="E43" s="144"/>
      <c r="F43" s="144"/>
      <c r="G43" s="144"/>
      <c r="H43" s="144"/>
      <c r="I43" s="144"/>
      <c r="J43" s="144"/>
      <c r="K43" s="144"/>
      <c r="L43" s="144"/>
      <c r="M43" s="144"/>
      <c r="N43" s="144"/>
      <c r="O43" s="144"/>
      <c r="P43" s="144"/>
      <c r="Q43" s="144"/>
      <c r="R43" s="144"/>
      <c r="S43" s="144"/>
      <c r="T43" s="428"/>
    </row>
    <row r="44" spans="1:41" s="130" customFormat="1" ht="25.5" customHeight="1" x14ac:dyDescent="0.3">
      <c r="A44" s="940"/>
      <c r="B44" s="131"/>
      <c r="C44" s="937"/>
      <c r="D44" s="974" t="s">
        <v>572</v>
      </c>
      <c r="E44" s="426" t="str">
        <f>Translations!$B$553</f>
        <v>Purchased precursor</v>
      </c>
      <c r="F44" s="419" t="str">
        <f>Translations!$B$107</f>
        <v>Aggregated goods category</v>
      </c>
      <c r="G44" s="310" t="str">
        <f>Translations!$B$109</f>
        <v>Route 1</v>
      </c>
      <c r="H44" s="310" t="str">
        <f>Translations!$B$110</f>
        <v>Route 2</v>
      </c>
      <c r="I44" s="310" t="str">
        <f>Translations!$B$111</f>
        <v>Route 3</v>
      </c>
      <c r="J44" s="310" t="str">
        <f>Translations!$B$112</f>
        <v>Route 4</v>
      </c>
      <c r="K44" s="310" t="str">
        <f>Translations!$B$113</f>
        <v>Route 5</v>
      </c>
      <c r="L44" s="310" t="str">
        <f>Translations!$B$1957</f>
        <v>Country code</v>
      </c>
      <c r="M44" s="937"/>
      <c r="N44" s="937"/>
      <c r="O44" s="937"/>
      <c r="P44" s="937"/>
      <c r="Q44" s="937"/>
      <c r="R44" s="937"/>
      <c r="S44" s="937"/>
      <c r="T44" s="429"/>
      <c r="V44" s="129"/>
      <c r="W44" s="91"/>
      <c r="X44" s="115" t="s">
        <v>381</v>
      </c>
      <c r="Y44" s="115" t="s">
        <v>382</v>
      </c>
      <c r="Z44" s="115" t="s">
        <v>383</v>
      </c>
      <c r="AA44" s="115" t="s">
        <v>384</v>
      </c>
      <c r="AB44" s="115" t="s">
        <v>385</v>
      </c>
      <c r="AC44" s="115" t="s">
        <v>386</v>
      </c>
      <c r="AD44" s="129"/>
      <c r="AE44" s="129"/>
      <c r="AF44" s="129"/>
      <c r="AG44" s="129"/>
      <c r="AH44" s="129"/>
      <c r="AI44" s="129"/>
      <c r="AJ44" s="129"/>
      <c r="AK44" s="129"/>
      <c r="AL44" s="129"/>
      <c r="AM44" s="129"/>
      <c r="AN44" s="129"/>
      <c r="AO44" s="129"/>
    </row>
    <row r="45" spans="1:41" ht="12.75" customHeight="1" x14ac:dyDescent="0.35">
      <c r="A45" s="92"/>
      <c r="B45" s="94"/>
      <c r="C45" s="144"/>
      <c r="D45" s="418" t="str">
        <f>A_InstData!D102</f>
        <v>PP1</v>
      </c>
      <c r="E45" s="420" t="str">
        <f>IF(INDEX(CNTR_List_ExistPurchPrecNames,ROWS(D$45:D45))=CONST_NA,"",INDEX(CNTR_List_ExistPurchPrecNames,ROWS(D$45:D45)))</f>
        <v/>
      </c>
      <c r="F45" s="420" t="str">
        <f t="shared" ref="F45:F64" si="11">IF(E45="","",INDEX(CNTR_List_ExistPurchPrec,MATCH(E45,CNTR_List_ExistPurchPrecNames,0)))</f>
        <v/>
      </c>
      <c r="G45" s="844" t="str">
        <f>IF($F45="","",IF(INDEX(A_InstData!G$102:G$121,MATCH($F45,CNTR_List_ExistPurchPrec,0))="","",INDEX(A_InstData!G$102:G$121,MATCH($F45,CNTR_List_ExistPurchPrec,0))))</f>
        <v/>
      </c>
      <c r="H45" s="844" t="str">
        <f>IF($F45="","",IF(INDEX(A_InstData!H$102:H$121,MATCH($F45,CNTR_List_ExistPurchPrec,0))="","",INDEX(A_InstData!H$102:H$121,MATCH($F45,CNTR_List_ExistPurchPrec,0))))</f>
        <v/>
      </c>
      <c r="I45" s="844" t="str">
        <f>IF($F45="","",IF(INDEX(A_InstData!I$102:I$121,MATCH($F45,CNTR_List_ExistPurchPrec,0))="","",INDEX(A_InstData!I$102:I$121,MATCH($F45,CNTR_List_ExistPurchPrec,0))))</f>
        <v/>
      </c>
      <c r="J45" s="844" t="str">
        <f>IF($F45="","",IF(INDEX(A_InstData!J$102:J$121,MATCH($F45,CNTR_List_ExistPurchPrec,0))="","",INDEX(A_InstData!J$102:J$121,MATCH($F45,CNTR_List_ExistPurchPrec,0))))</f>
        <v/>
      </c>
      <c r="K45" s="844" t="str">
        <f>IF($F45="","",IF(INDEX(A_InstData!K$102:K$121,MATCH($F45,CNTR_List_ExistPurchPrec,0))="","",INDEX(A_InstData!K$102:K$121,MATCH($F45,CNTR_List_ExistPurchPrec,0))))</f>
        <v/>
      </c>
      <c r="L45" s="155" t="str">
        <f>IF(A_InstData!F102="","",A_InstData!F102)</f>
        <v/>
      </c>
      <c r="M45" s="144"/>
      <c r="N45" s="144"/>
      <c r="O45" s="144"/>
      <c r="P45" s="144"/>
      <c r="Q45" s="144"/>
      <c r="R45" s="144"/>
      <c r="S45" s="144"/>
      <c r="T45" s="428"/>
      <c r="W45" s="104" t="str">
        <f t="shared" ref="W45:W64" si="12">D45</f>
        <v>PP1</v>
      </c>
      <c r="X45" s="105" t="str">
        <f t="shared" ref="X45:X64" si="13">IF(F45="","",MATCH(F45,CONST_LIST_Goods,0))</f>
        <v/>
      </c>
      <c r="Y45" s="105" t="str">
        <f t="shared" ref="Y45:Y64" si="14">IF(G45="","",MATCH(G45,INDEX(CONST_MATRIX_ProductionRoute,$X45,),0))</f>
        <v/>
      </c>
      <c r="Z45" s="105" t="str">
        <f t="shared" ref="Z45:Z64" si="15">IF(H45="","",MATCH(H45,INDEX(CONST_MATRIX_ProductionRoute,$X45,),0))</f>
        <v/>
      </c>
      <c r="AA45" s="105" t="str">
        <f t="shared" ref="AA45:AA64" si="16">IF(I45="","",MATCH(I45,INDEX(CONST_MATRIX_ProductionRoute,$X45,),0))</f>
        <v/>
      </c>
      <c r="AB45" s="105" t="str">
        <f t="shared" ref="AB45:AB64" si="17">IF(J45="","",MATCH(J45,INDEX(CONST_MATRIX_ProductionRoute,$X45,),0))</f>
        <v/>
      </c>
      <c r="AC45" s="105" t="str">
        <f t="shared" ref="AC45:AC64" si="18">IF(K45="","",MATCH(K45,INDEX(CONST_MATRIX_ProductionRoute,$X45,),0))</f>
        <v/>
      </c>
    </row>
    <row r="46" spans="1:41" ht="12.75" customHeight="1" x14ac:dyDescent="0.35">
      <c r="A46" s="92"/>
      <c r="B46" s="94"/>
      <c r="C46" s="144"/>
      <c r="D46" s="418" t="str">
        <f>A_InstData!D103</f>
        <v>PP2</v>
      </c>
      <c r="E46" s="421" t="str">
        <f>IF(INDEX(CNTR_List_ExistPurchPrecNames,ROWS(D$45:D46))=CONST_NA,"",INDEX(CNTR_List_ExistPurchPrecNames,ROWS(D$45:D46)))</f>
        <v/>
      </c>
      <c r="F46" s="421" t="str">
        <f t="shared" si="11"/>
        <v/>
      </c>
      <c r="G46" s="840" t="str">
        <f>IF($F46="","",IF(INDEX(A_InstData!G$102:G$121,MATCH($F46,CNTR_List_ExistPurchPrec,0))="","",INDEX(A_InstData!G$102:G$121,MATCH($F46,CNTR_List_ExistPurchPrec,0))))</f>
        <v/>
      </c>
      <c r="H46" s="840" t="str">
        <f>IF($F46="","",IF(INDEX(A_InstData!H$102:H$121,MATCH($F46,CNTR_List_ExistPurchPrec,0))="","",INDEX(A_InstData!H$102:H$121,MATCH($F46,CNTR_List_ExistPurchPrec,0))))</f>
        <v/>
      </c>
      <c r="I46" s="840" t="str">
        <f>IF($F46="","",IF(INDEX(A_InstData!I$102:I$121,MATCH($F46,CNTR_List_ExistPurchPrec,0))="","",INDEX(A_InstData!I$102:I$121,MATCH($F46,CNTR_List_ExistPurchPrec,0))))</f>
        <v/>
      </c>
      <c r="J46" s="840" t="str">
        <f>IF($F46="","",IF(INDEX(A_InstData!J$102:J$121,MATCH($F46,CNTR_List_ExistPurchPrec,0))="","",INDEX(A_InstData!J$102:J$121,MATCH($F46,CNTR_List_ExistPurchPrec,0))))</f>
        <v/>
      </c>
      <c r="K46" s="840" t="str">
        <f>IF($F46="","",IF(INDEX(A_InstData!K$102:K$121,MATCH($F46,CNTR_List_ExistPurchPrec,0))="","",INDEX(A_InstData!K$102:K$121,MATCH($F46,CNTR_List_ExistPurchPrec,0))))</f>
        <v/>
      </c>
      <c r="L46" s="160" t="str">
        <f>IF(A_InstData!F103="","",A_InstData!F103)</f>
        <v/>
      </c>
      <c r="M46" s="144"/>
      <c r="N46" s="144"/>
      <c r="O46" s="144"/>
      <c r="P46" s="144"/>
      <c r="Q46" s="144"/>
      <c r="R46" s="144"/>
      <c r="S46" s="144"/>
      <c r="T46" s="428"/>
      <c r="W46" s="104" t="str">
        <f t="shared" si="12"/>
        <v>PP2</v>
      </c>
      <c r="X46" s="105" t="str">
        <f t="shared" si="13"/>
        <v/>
      </c>
      <c r="Y46" s="105" t="str">
        <f t="shared" si="14"/>
        <v/>
      </c>
      <c r="Z46" s="105" t="str">
        <f t="shared" si="15"/>
        <v/>
      </c>
      <c r="AA46" s="105" t="str">
        <f t="shared" si="16"/>
        <v/>
      </c>
      <c r="AB46" s="105" t="str">
        <f t="shared" si="17"/>
        <v/>
      </c>
      <c r="AC46" s="105" t="str">
        <f t="shared" si="18"/>
        <v/>
      </c>
    </row>
    <row r="47" spans="1:41" ht="12.75" customHeight="1" x14ac:dyDescent="0.35">
      <c r="A47" s="92"/>
      <c r="B47" s="94"/>
      <c r="C47" s="144"/>
      <c r="D47" s="418" t="str">
        <f>A_InstData!D104</f>
        <v>PP3</v>
      </c>
      <c r="E47" s="421" t="str">
        <f>IF(INDEX(CNTR_List_ExistPurchPrecNames,ROWS(D$45:D47))=CONST_NA,"",INDEX(CNTR_List_ExistPurchPrecNames,ROWS(D$45:D47)))</f>
        <v/>
      </c>
      <c r="F47" s="421" t="str">
        <f t="shared" si="11"/>
        <v/>
      </c>
      <c r="G47" s="840" t="str">
        <f>IF($F47="","",IF(INDEX(A_InstData!G$102:G$121,MATCH($F47,CNTR_List_ExistPurchPrec,0))="","",INDEX(A_InstData!G$102:G$121,MATCH($F47,CNTR_List_ExistPurchPrec,0))))</f>
        <v/>
      </c>
      <c r="H47" s="840" t="str">
        <f>IF($F47="","",IF(INDEX(A_InstData!H$102:H$121,MATCH($F47,CNTR_List_ExistPurchPrec,0))="","",INDEX(A_InstData!H$102:H$121,MATCH($F47,CNTR_List_ExistPurchPrec,0))))</f>
        <v/>
      </c>
      <c r="I47" s="840" t="str">
        <f>IF($F47="","",IF(INDEX(A_InstData!I$102:I$121,MATCH($F47,CNTR_List_ExistPurchPrec,0))="","",INDEX(A_InstData!I$102:I$121,MATCH($F47,CNTR_List_ExistPurchPrec,0))))</f>
        <v/>
      </c>
      <c r="J47" s="840" t="str">
        <f>IF($F47="","",IF(INDEX(A_InstData!J$102:J$121,MATCH($F47,CNTR_List_ExistPurchPrec,0))="","",INDEX(A_InstData!J$102:J$121,MATCH($F47,CNTR_List_ExistPurchPrec,0))))</f>
        <v/>
      </c>
      <c r="K47" s="840" t="str">
        <f>IF($F47="","",IF(INDEX(A_InstData!K$102:K$121,MATCH($F47,CNTR_List_ExistPurchPrec,0))="","",INDEX(A_InstData!K$102:K$121,MATCH($F47,CNTR_List_ExistPurchPrec,0))))</f>
        <v/>
      </c>
      <c r="L47" s="160" t="str">
        <f>IF(A_InstData!F104="","",A_InstData!F104)</f>
        <v/>
      </c>
      <c r="M47" s="144"/>
      <c r="N47" s="144"/>
      <c r="O47" s="144"/>
      <c r="P47" s="144"/>
      <c r="Q47" s="144"/>
      <c r="R47" s="144"/>
      <c r="S47" s="144"/>
      <c r="T47" s="428"/>
      <c r="W47" s="104" t="str">
        <f t="shared" si="12"/>
        <v>PP3</v>
      </c>
      <c r="X47" s="105" t="str">
        <f t="shared" si="13"/>
        <v/>
      </c>
      <c r="Y47" s="105" t="str">
        <f t="shared" si="14"/>
        <v/>
      </c>
      <c r="Z47" s="105" t="str">
        <f t="shared" si="15"/>
        <v/>
      </c>
      <c r="AA47" s="105" t="str">
        <f t="shared" si="16"/>
        <v/>
      </c>
      <c r="AB47" s="105" t="str">
        <f t="shared" si="17"/>
        <v/>
      </c>
      <c r="AC47" s="105" t="str">
        <f t="shared" si="18"/>
        <v/>
      </c>
    </row>
    <row r="48" spans="1:41" ht="12.75" customHeight="1" x14ac:dyDescent="0.35">
      <c r="A48" s="92"/>
      <c r="B48" s="94"/>
      <c r="C48" s="144"/>
      <c r="D48" s="418" t="str">
        <f>A_InstData!D105</f>
        <v>PP4</v>
      </c>
      <c r="E48" s="421" t="str">
        <f>IF(INDEX(CNTR_List_ExistPurchPrecNames,ROWS(D$45:D48))=CONST_NA,"",INDEX(CNTR_List_ExistPurchPrecNames,ROWS(D$45:D48)))</f>
        <v/>
      </c>
      <c r="F48" s="421" t="str">
        <f t="shared" si="11"/>
        <v/>
      </c>
      <c r="G48" s="840" t="str">
        <f>IF($F48="","",IF(INDEX(A_InstData!G$102:G$121,MATCH($F48,CNTR_List_ExistPurchPrec,0))="","",INDEX(A_InstData!G$102:G$121,MATCH($F48,CNTR_List_ExistPurchPrec,0))))</f>
        <v/>
      </c>
      <c r="H48" s="840" t="str">
        <f>IF($F48="","",IF(INDEX(A_InstData!H$102:H$121,MATCH($F48,CNTR_List_ExistPurchPrec,0))="","",INDEX(A_InstData!H$102:H$121,MATCH($F48,CNTR_List_ExistPurchPrec,0))))</f>
        <v/>
      </c>
      <c r="I48" s="840" t="str">
        <f>IF($F48="","",IF(INDEX(A_InstData!I$102:I$121,MATCH($F48,CNTR_List_ExistPurchPrec,0))="","",INDEX(A_InstData!I$102:I$121,MATCH($F48,CNTR_List_ExistPurchPrec,0))))</f>
        <v/>
      </c>
      <c r="J48" s="840" t="str">
        <f>IF($F48="","",IF(INDEX(A_InstData!J$102:J$121,MATCH($F48,CNTR_List_ExistPurchPrec,0))="","",INDEX(A_InstData!J$102:J$121,MATCH($F48,CNTR_List_ExistPurchPrec,0))))</f>
        <v/>
      </c>
      <c r="K48" s="840" t="str">
        <f>IF($F48="","",IF(INDEX(A_InstData!K$102:K$121,MATCH($F48,CNTR_List_ExistPurchPrec,0))="","",INDEX(A_InstData!K$102:K$121,MATCH($F48,CNTR_List_ExistPurchPrec,0))))</f>
        <v/>
      </c>
      <c r="L48" s="160" t="str">
        <f>IF(A_InstData!F105="","",A_InstData!F105)</f>
        <v/>
      </c>
      <c r="M48" s="144"/>
      <c r="N48" s="144"/>
      <c r="O48" s="144"/>
      <c r="P48" s="144"/>
      <c r="Q48" s="144"/>
      <c r="R48" s="144"/>
      <c r="S48" s="144"/>
      <c r="T48" s="428"/>
      <c r="W48" s="104" t="str">
        <f t="shared" si="12"/>
        <v>PP4</v>
      </c>
      <c r="X48" s="105" t="str">
        <f t="shared" si="13"/>
        <v/>
      </c>
      <c r="Y48" s="105" t="str">
        <f t="shared" si="14"/>
        <v/>
      </c>
      <c r="Z48" s="105" t="str">
        <f t="shared" si="15"/>
        <v/>
      </c>
      <c r="AA48" s="105" t="str">
        <f t="shared" si="16"/>
        <v/>
      </c>
      <c r="AB48" s="105" t="str">
        <f t="shared" si="17"/>
        <v/>
      </c>
      <c r="AC48" s="105" t="str">
        <f t="shared" si="18"/>
        <v/>
      </c>
    </row>
    <row r="49" spans="1:29" ht="12.75" customHeight="1" x14ac:dyDescent="0.35">
      <c r="A49" s="92"/>
      <c r="B49" s="94"/>
      <c r="C49" s="144"/>
      <c r="D49" s="418" t="str">
        <f>A_InstData!D106</f>
        <v>PP5</v>
      </c>
      <c r="E49" s="421" t="str">
        <f>IF(INDEX(CNTR_List_ExistPurchPrecNames,ROWS(D$45:D49))=CONST_NA,"",INDEX(CNTR_List_ExistPurchPrecNames,ROWS(D$45:D49)))</f>
        <v/>
      </c>
      <c r="F49" s="421" t="str">
        <f t="shared" si="11"/>
        <v/>
      </c>
      <c r="G49" s="840" t="str">
        <f>IF($F49="","",IF(INDEX(A_InstData!G$102:G$121,MATCH($F49,CNTR_List_ExistPurchPrec,0))="","",INDEX(A_InstData!G$102:G$121,MATCH($F49,CNTR_List_ExistPurchPrec,0))))</f>
        <v/>
      </c>
      <c r="H49" s="840" t="str">
        <f>IF($F49="","",IF(INDEX(A_InstData!H$102:H$121,MATCH($F49,CNTR_List_ExistPurchPrec,0))="","",INDEX(A_InstData!H$102:H$121,MATCH($F49,CNTR_List_ExistPurchPrec,0))))</f>
        <v/>
      </c>
      <c r="I49" s="840" t="str">
        <f>IF($F49="","",IF(INDEX(A_InstData!I$102:I$121,MATCH($F49,CNTR_List_ExistPurchPrec,0))="","",INDEX(A_InstData!I$102:I$121,MATCH($F49,CNTR_List_ExistPurchPrec,0))))</f>
        <v/>
      </c>
      <c r="J49" s="840" t="str">
        <f>IF($F49="","",IF(INDEX(A_InstData!J$102:J$121,MATCH($F49,CNTR_List_ExistPurchPrec,0))="","",INDEX(A_InstData!J$102:J$121,MATCH($F49,CNTR_List_ExistPurchPrec,0))))</f>
        <v/>
      </c>
      <c r="K49" s="840" t="str">
        <f>IF($F49="","",IF(INDEX(A_InstData!K$102:K$121,MATCH($F49,CNTR_List_ExistPurchPrec,0))="","",INDEX(A_InstData!K$102:K$121,MATCH($F49,CNTR_List_ExistPurchPrec,0))))</f>
        <v/>
      </c>
      <c r="L49" s="160" t="str">
        <f>IF(A_InstData!F106="","",A_InstData!F106)</f>
        <v/>
      </c>
      <c r="M49" s="144"/>
      <c r="N49" s="144"/>
      <c r="O49" s="144"/>
      <c r="P49" s="144"/>
      <c r="Q49" s="144"/>
      <c r="R49" s="144"/>
      <c r="S49" s="144"/>
      <c r="T49" s="428"/>
      <c r="W49" s="104" t="str">
        <f t="shared" si="12"/>
        <v>PP5</v>
      </c>
      <c r="X49" s="105" t="str">
        <f t="shared" si="13"/>
        <v/>
      </c>
      <c r="Y49" s="105" t="str">
        <f t="shared" si="14"/>
        <v/>
      </c>
      <c r="Z49" s="105" t="str">
        <f t="shared" si="15"/>
        <v/>
      </c>
      <c r="AA49" s="105" t="str">
        <f t="shared" si="16"/>
        <v/>
      </c>
      <c r="AB49" s="105" t="str">
        <f t="shared" si="17"/>
        <v/>
      </c>
      <c r="AC49" s="105" t="str">
        <f t="shared" si="18"/>
        <v/>
      </c>
    </row>
    <row r="50" spans="1:29" ht="12.75" customHeight="1" x14ac:dyDescent="0.35">
      <c r="A50" s="92"/>
      <c r="B50" s="94"/>
      <c r="C50" s="144"/>
      <c r="D50" s="418" t="str">
        <f>A_InstData!D107</f>
        <v>PP6</v>
      </c>
      <c r="E50" s="421" t="str">
        <f>IF(INDEX(CNTR_List_ExistPurchPrecNames,ROWS(D$45:D50))=CONST_NA,"",INDEX(CNTR_List_ExistPurchPrecNames,ROWS(D$45:D50)))</f>
        <v/>
      </c>
      <c r="F50" s="421" t="str">
        <f t="shared" si="11"/>
        <v/>
      </c>
      <c r="G50" s="840" t="str">
        <f>IF($F50="","",IF(INDEX(A_InstData!G$102:G$121,MATCH($F50,CNTR_List_ExistPurchPrec,0))="","",INDEX(A_InstData!G$102:G$121,MATCH($F50,CNTR_List_ExistPurchPrec,0))))</f>
        <v/>
      </c>
      <c r="H50" s="840" t="str">
        <f>IF($F50="","",IF(INDEX(A_InstData!H$102:H$121,MATCH($F50,CNTR_List_ExistPurchPrec,0))="","",INDEX(A_InstData!H$102:H$121,MATCH($F50,CNTR_List_ExistPurchPrec,0))))</f>
        <v/>
      </c>
      <c r="I50" s="840" t="str">
        <f>IF($F50="","",IF(INDEX(A_InstData!I$102:I$121,MATCH($F50,CNTR_List_ExistPurchPrec,0))="","",INDEX(A_InstData!I$102:I$121,MATCH($F50,CNTR_List_ExistPurchPrec,0))))</f>
        <v/>
      </c>
      <c r="J50" s="840" t="str">
        <f>IF($F50="","",IF(INDEX(A_InstData!J$102:J$121,MATCH($F50,CNTR_List_ExistPurchPrec,0))="","",INDEX(A_InstData!J$102:J$121,MATCH($F50,CNTR_List_ExistPurchPrec,0))))</f>
        <v/>
      </c>
      <c r="K50" s="840" t="str">
        <f>IF($F50="","",IF(INDEX(A_InstData!K$102:K$121,MATCH($F50,CNTR_List_ExistPurchPrec,0))="","",INDEX(A_InstData!K$102:K$121,MATCH($F50,CNTR_List_ExistPurchPrec,0))))</f>
        <v/>
      </c>
      <c r="L50" s="160" t="str">
        <f>IF(A_InstData!F107="","",A_InstData!F107)</f>
        <v/>
      </c>
      <c r="M50" s="144"/>
      <c r="N50" s="144"/>
      <c r="O50" s="144"/>
      <c r="P50" s="144"/>
      <c r="Q50" s="144"/>
      <c r="R50" s="144"/>
      <c r="S50" s="144"/>
      <c r="T50" s="428"/>
      <c r="W50" s="104" t="str">
        <f t="shared" si="12"/>
        <v>PP6</v>
      </c>
      <c r="X50" s="105" t="str">
        <f t="shared" si="13"/>
        <v/>
      </c>
      <c r="Y50" s="105" t="str">
        <f t="shared" si="14"/>
        <v/>
      </c>
      <c r="Z50" s="105" t="str">
        <f t="shared" si="15"/>
        <v/>
      </c>
      <c r="AA50" s="105" t="str">
        <f t="shared" si="16"/>
        <v/>
      </c>
      <c r="AB50" s="105" t="str">
        <f t="shared" si="17"/>
        <v/>
      </c>
      <c r="AC50" s="105" t="str">
        <f t="shared" si="18"/>
        <v/>
      </c>
    </row>
    <row r="51" spans="1:29" ht="12.75" customHeight="1" x14ac:dyDescent="0.35">
      <c r="A51" s="92"/>
      <c r="B51" s="94"/>
      <c r="C51" s="144"/>
      <c r="D51" s="418" t="str">
        <f>A_InstData!D108</f>
        <v>PP7</v>
      </c>
      <c r="E51" s="421" t="str">
        <f>IF(INDEX(CNTR_List_ExistPurchPrecNames,ROWS(D$45:D51))=CONST_NA,"",INDEX(CNTR_List_ExistPurchPrecNames,ROWS(D$45:D51)))</f>
        <v/>
      </c>
      <c r="F51" s="421" t="str">
        <f t="shared" si="11"/>
        <v/>
      </c>
      <c r="G51" s="840" t="str">
        <f>IF($F51="","",IF(INDEX(A_InstData!G$102:G$121,MATCH($F51,CNTR_List_ExistPurchPrec,0))="","",INDEX(A_InstData!G$102:G$121,MATCH($F51,CNTR_List_ExistPurchPrec,0))))</f>
        <v/>
      </c>
      <c r="H51" s="840" t="str">
        <f>IF($F51="","",IF(INDEX(A_InstData!H$102:H$121,MATCH($F51,CNTR_List_ExistPurchPrec,0))="","",INDEX(A_InstData!H$102:H$121,MATCH($F51,CNTR_List_ExistPurchPrec,0))))</f>
        <v/>
      </c>
      <c r="I51" s="840" t="str">
        <f>IF($F51="","",IF(INDEX(A_InstData!I$102:I$121,MATCH($F51,CNTR_List_ExistPurchPrec,0))="","",INDEX(A_InstData!I$102:I$121,MATCH($F51,CNTR_List_ExistPurchPrec,0))))</f>
        <v/>
      </c>
      <c r="J51" s="840" t="str">
        <f>IF($F51="","",IF(INDEX(A_InstData!J$102:J$121,MATCH($F51,CNTR_List_ExistPurchPrec,0))="","",INDEX(A_InstData!J$102:J$121,MATCH($F51,CNTR_List_ExistPurchPrec,0))))</f>
        <v/>
      </c>
      <c r="K51" s="840" t="str">
        <f>IF($F51="","",IF(INDEX(A_InstData!K$102:K$121,MATCH($F51,CNTR_List_ExistPurchPrec,0))="","",INDEX(A_InstData!K$102:K$121,MATCH($F51,CNTR_List_ExistPurchPrec,0))))</f>
        <v/>
      </c>
      <c r="L51" s="160" t="str">
        <f>IF(A_InstData!F108="","",A_InstData!F108)</f>
        <v/>
      </c>
      <c r="M51" s="144"/>
      <c r="N51" s="144"/>
      <c r="O51" s="144"/>
      <c r="P51" s="144"/>
      <c r="Q51" s="144"/>
      <c r="R51" s="144"/>
      <c r="S51" s="144"/>
      <c r="T51" s="428"/>
      <c r="W51" s="104" t="str">
        <f t="shared" si="12"/>
        <v>PP7</v>
      </c>
      <c r="X51" s="105" t="str">
        <f t="shared" si="13"/>
        <v/>
      </c>
      <c r="Y51" s="105" t="str">
        <f t="shared" si="14"/>
        <v/>
      </c>
      <c r="Z51" s="105" t="str">
        <f t="shared" si="15"/>
        <v/>
      </c>
      <c r="AA51" s="105" t="str">
        <f t="shared" si="16"/>
        <v/>
      </c>
      <c r="AB51" s="105" t="str">
        <f t="shared" si="17"/>
        <v/>
      </c>
      <c r="AC51" s="105" t="str">
        <f t="shared" si="18"/>
        <v/>
      </c>
    </row>
    <row r="52" spans="1:29" ht="12.75" customHeight="1" x14ac:dyDescent="0.35">
      <c r="A52" s="92"/>
      <c r="B52" s="94"/>
      <c r="C52" s="144"/>
      <c r="D52" s="418" t="str">
        <f>A_InstData!D109</f>
        <v>PP8</v>
      </c>
      <c r="E52" s="421" t="str">
        <f>IF(INDEX(CNTR_List_ExistPurchPrecNames,ROWS(D$45:D52))=CONST_NA,"",INDEX(CNTR_List_ExistPurchPrecNames,ROWS(D$45:D52)))</f>
        <v/>
      </c>
      <c r="F52" s="421" t="str">
        <f t="shared" si="11"/>
        <v/>
      </c>
      <c r="G52" s="840" t="str">
        <f>IF($F52="","",IF(INDEX(A_InstData!G$102:G$121,MATCH($F52,CNTR_List_ExistPurchPrec,0))="","",INDEX(A_InstData!G$102:G$121,MATCH($F52,CNTR_List_ExistPurchPrec,0))))</f>
        <v/>
      </c>
      <c r="H52" s="840" t="str">
        <f>IF($F52="","",IF(INDEX(A_InstData!H$102:H$121,MATCH($F52,CNTR_List_ExistPurchPrec,0))="","",INDEX(A_InstData!H$102:H$121,MATCH($F52,CNTR_List_ExistPurchPrec,0))))</f>
        <v/>
      </c>
      <c r="I52" s="840" t="str">
        <f>IF($F52="","",IF(INDEX(A_InstData!I$102:I$121,MATCH($F52,CNTR_List_ExistPurchPrec,0))="","",INDEX(A_InstData!I$102:I$121,MATCH($F52,CNTR_List_ExistPurchPrec,0))))</f>
        <v/>
      </c>
      <c r="J52" s="840" t="str">
        <f>IF($F52="","",IF(INDEX(A_InstData!J$102:J$121,MATCH($F52,CNTR_List_ExistPurchPrec,0))="","",INDEX(A_InstData!J$102:J$121,MATCH($F52,CNTR_List_ExistPurchPrec,0))))</f>
        <v/>
      </c>
      <c r="K52" s="840" t="str">
        <f>IF($F52="","",IF(INDEX(A_InstData!K$102:K$121,MATCH($F52,CNTR_List_ExistPurchPrec,0))="","",INDEX(A_InstData!K$102:K$121,MATCH($F52,CNTR_List_ExistPurchPrec,0))))</f>
        <v/>
      </c>
      <c r="L52" s="160" t="str">
        <f>IF(A_InstData!F109="","",A_InstData!F109)</f>
        <v/>
      </c>
      <c r="M52" s="144"/>
      <c r="N52" s="144"/>
      <c r="O52" s="144"/>
      <c r="P52" s="144"/>
      <c r="Q52" s="144"/>
      <c r="R52" s="144"/>
      <c r="S52" s="144"/>
      <c r="T52" s="428"/>
      <c r="W52" s="104" t="str">
        <f t="shared" si="12"/>
        <v>PP8</v>
      </c>
      <c r="X52" s="105" t="str">
        <f t="shared" si="13"/>
        <v/>
      </c>
      <c r="Y52" s="105" t="str">
        <f t="shared" si="14"/>
        <v/>
      </c>
      <c r="Z52" s="105" t="str">
        <f t="shared" si="15"/>
        <v/>
      </c>
      <c r="AA52" s="105" t="str">
        <f t="shared" si="16"/>
        <v/>
      </c>
      <c r="AB52" s="105" t="str">
        <f t="shared" si="17"/>
        <v/>
      </c>
      <c r="AC52" s="105" t="str">
        <f t="shared" si="18"/>
        <v/>
      </c>
    </row>
    <row r="53" spans="1:29" ht="12.75" customHeight="1" x14ac:dyDescent="0.35">
      <c r="A53" s="92"/>
      <c r="B53" s="94"/>
      <c r="C53" s="144"/>
      <c r="D53" s="418" t="str">
        <f>A_InstData!D110</f>
        <v>PP9</v>
      </c>
      <c r="E53" s="421" t="str">
        <f>IF(INDEX(CNTR_List_ExistPurchPrecNames,ROWS(D$45:D53))=CONST_NA,"",INDEX(CNTR_List_ExistPurchPrecNames,ROWS(D$45:D53)))</f>
        <v/>
      </c>
      <c r="F53" s="421" t="str">
        <f t="shared" si="11"/>
        <v/>
      </c>
      <c r="G53" s="840" t="str">
        <f>IF($F53="","",IF(INDEX(A_InstData!G$102:G$121,MATCH($F53,CNTR_List_ExistPurchPrec,0))="","",INDEX(A_InstData!G$102:G$121,MATCH($F53,CNTR_List_ExistPurchPrec,0))))</f>
        <v/>
      </c>
      <c r="H53" s="840" t="str">
        <f>IF($F53="","",IF(INDEX(A_InstData!H$102:H$121,MATCH($F53,CNTR_List_ExistPurchPrec,0))="","",INDEX(A_InstData!H$102:H$121,MATCH($F53,CNTR_List_ExistPurchPrec,0))))</f>
        <v/>
      </c>
      <c r="I53" s="840" t="str">
        <f>IF($F53="","",IF(INDEX(A_InstData!I$102:I$121,MATCH($F53,CNTR_List_ExistPurchPrec,0))="","",INDEX(A_InstData!I$102:I$121,MATCH($F53,CNTR_List_ExistPurchPrec,0))))</f>
        <v/>
      </c>
      <c r="J53" s="840" t="str">
        <f>IF($F53="","",IF(INDEX(A_InstData!J$102:J$121,MATCH($F53,CNTR_List_ExistPurchPrec,0))="","",INDEX(A_InstData!J$102:J$121,MATCH($F53,CNTR_List_ExistPurchPrec,0))))</f>
        <v/>
      </c>
      <c r="K53" s="840" t="str">
        <f>IF($F53="","",IF(INDEX(A_InstData!K$102:K$121,MATCH($F53,CNTR_List_ExistPurchPrec,0))="","",INDEX(A_InstData!K$102:K$121,MATCH($F53,CNTR_List_ExistPurchPrec,0))))</f>
        <v/>
      </c>
      <c r="L53" s="160" t="str">
        <f>IF(A_InstData!F110="","",A_InstData!F110)</f>
        <v/>
      </c>
      <c r="M53" s="144"/>
      <c r="N53" s="144"/>
      <c r="O53" s="144"/>
      <c r="P53" s="144"/>
      <c r="Q53" s="144"/>
      <c r="R53" s="144"/>
      <c r="S53" s="144"/>
      <c r="T53" s="428"/>
      <c r="W53" s="104" t="str">
        <f t="shared" si="12"/>
        <v>PP9</v>
      </c>
      <c r="X53" s="105" t="str">
        <f t="shared" si="13"/>
        <v/>
      </c>
      <c r="Y53" s="105" t="str">
        <f t="shared" si="14"/>
        <v/>
      </c>
      <c r="Z53" s="105" t="str">
        <f t="shared" si="15"/>
        <v/>
      </c>
      <c r="AA53" s="105" t="str">
        <f t="shared" si="16"/>
        <v/>
      </c>
      <c r="AB53" s="105" t="str">
        <f t="shared" si="17"/>
        <v/>
      </c>
      <c r="AC53" s="105" t="str">
        <f t="shared" si="18"/>
        <v/>
      </c>
    </row>
    <row r="54" spans="1:29" ht="12.75" customHeight="1" x14ac:dyDescent="0.35">
      <c r="A54" s="92"/>
      <c r="B54" s="94"/>
      <c r="C54" s="144"/>
      <c r="D54" s="418" t="str">
        <f>A_InstData!D111</f>
        <v>PP10</v>
      </c>
      <c r="E54" s="421" t="str">
        <f>IF(INDEX(CNTR_List_ExistPurchPrecNames,ROWS(D$45:D54))=CONST_NA,"",INDEX(CNTR_List_ExistPurchPrecNames,ROWS(D$45:D54)))</f>
        <v/>
      </c>
      <c r="F54" s="421" t="str">
        <f t="shared" si="11"/>
        <v/>
      </c>
      <c r="G54" s="840" t="str">
        <f>IF($F54="","",IF(INDEX(A_InstData!G$102:G$121,MATCH($F54,CNTR_List_ExistPurchPrec,0))="","",INDEX(A_InstData!G$102:G$121,MATCH($F54,CNTR_List_ExistPurchPrec,0))))</f>
        <v/>
      </c>
      <c r="H54" s="840" t="str">
        <f>IF($F54="","",IF(INDEX(A_InstData!H$102:H$121,MATCH($F54,CNTR_List_ExistPurchPrec,0))="","",INDEX(A_InstData!H$102:H$121,MATCH($F54,CNTR_List_ExistPurchPrec,0))))</f>
        <v/>
      </c>
      <c r="I54" s="840" t="str">
        <f>IF($F54="","",IF(INDEX(A_InstData!I$102:I$121,MATCH($F54,CNTR_List_ExistPurchPrec,0))="","",INDEX(A_InstData!I$102:I$121,MATCH($F54,CNTR_List_ExistPurchPrec,0))))</f>
        <v/>
      </c>
      <c r="J54" s="840" t="str">
        <f>IF($F54="","",IF(INDEX(A_InstData!J$102:J$121,MATCH($F54,CNTR_List_ExistPurchPrec,0))="","",INDEX(A_InstData!J$102:J$121,MATCH($F54,CNTR_List_ExistPurchPrec,0))))</f>
        <v/>
      </c>
      <c r="K54" s="840" t="str">
        <f>IF($F54="","",IF(INDEX(A_InstData!K$102:K$121,MATCH($F54,CNTR_List_ExistPurchPrec,0))="","",INDEX(A_InstData!K$102:K$121,MATCH($F54,CNTR_List_ExistPurchPrec,0))))</f>
        <v/>
      </c>
      <c r="L54" s="160" t="str">
        <f>IF(A_InstData!F111="","",A_InstData!F111)</f>
        <v/>
      </c>
      <c r="M54" s="144"/>
      <c r="N54" s="144"/>
      <c r="O54" s="144"/>
      <c r="P54" s="144"/>
      <c r="Q54" s="144"/>
      <c r="R54" s="144"/>
      <c r="S54" s="144"/>
      <c r="T54" s="428"/>
      <c r="W54" s="104" t="str">
        <f t="shared" si="12"/>
        <v>PP10</v>
      </c>
      <c r="X54" s="105" t="str">
        <f t="shared" si="13"/>
        <v/>
      </c>
      <c r="Y54" s="105" t="str">
        <f t="shared" si="14"/>
        <v/>
      </c>
      <c r="Z54" s="105" t="str">
        <f t="shared" si="15"/>
        <v/>
      </c>
      <c r="AA54" s="105" t="str">
        <f t="shared" si="16"/>
        <v/>
      </c>
      <c r="AB54" s="105" t="str">
        <f t="shared" si="17"/>
        <v/>
      </c>
      <c r="AC54" s="105" t="str">
        <f t="shared" si="18"/>
        <v/>
      </c>
    </row>
    <row r="55" spans="1:29" ht="12.75" customHeight="1" x14ac:dyDescent="0.35">
      <c r="A55" s="92"/>
      <c r="B55" s="94"/>
      <c r="C55" s="144"/>
      <c r="D55" s="418" t="str">
        <f>A_InstData!D112</f>
        <v>PP11</v>
      </c>
      <c r="E55" s="421" t="str">
        <f>IF(INDEX(CNTR_List_ExistPurchPrecNames,ROWS(D$45:D55))=CONST_NA,"",INDEX(CNTR_List_ExistPurchPrecNames,ROWS(D$45:D55)))</f>
        <v/>
      </c>
      <c r="F55" s="421" t="str">
        <f t="shared" si="11"/>
        <v/>
      </c>
      <c r="G55" s="840" t="str">
        <f>IF($F55="","",IF(INDEX(A_InstData!G$102:G$121,MATCH($F55,CNTR_List_ExistPurchPrec,0))="","",INDEX(A_InstData!G$102:G$121,MATCH($F55,CNTR_List_ExistPurchPrec,0))))</f>
        <v/>
      </c>
      <c r="H55" s="840" t="str">
        <f>IF($F55="","",IF(INDEX(A_InstData!H$102:H$121,MATCH($F55,CNTR_List_ExistPurchPrec,0))="","",INDEX(A_InstData!H$102:H$121,MATCH($F55,CNTR_List_ExistPurchPrec,0))))</f>
        <v/>
      </c>
      <c r="I55" s="840" t="str">
        <f>IF($F55="","",IF(INDEX(A_InstData!I$102:I$121,MATCH($F55,CNTR_List_ExistPurchPrec,0))="","",INDEX(A_InstData!I$102:I$121,MATCH($F55,CNTR_List_ExistPurchPrec,0))))</f>
        <v/>
      </c>
      <c r="J55" s="840" t="str">
        <f>IF($F55="","",IF(INDEX(A_InstData!J$102:J$121,MATCH($F55,CNTR_List_ExistPurchPrec,0))="","",INDEX(A_InstData!J$102:J$121,MATCH($F55,CNTR_List_ExistPurchPrec,0))))</f>
        <v/>
      </c>
      <c r="K55" s="840" t="str">
        <f>IF($F55="","",IF(INDEX(A_InstData!K$102:K$121,MATCH($F55,CNTR_List_ExistPurchPrec,0))="","",INDEX(A_InstData!K$102:K$121,MATCH($F55,CNTR_List_ExistPurchPrec,0))))</f>
        <v/>
      </c>
      <c r="L55" s="160" t="str">
        <f>IF(A_InstData!F112="","",A_InstData!F112)</f>
        <v/>
      </c>
      <c r="M55" s="144"/>
      <c r="N55" s="144"/>
      <c r="O55" s="144"/>
      <c r="P55" s="144"/>
      <c r="Q55" s="144"/>
      <c r="R55" s="144"/>
      <c r="S55" s="144"/>
      <c r="T55" s="428"/>
      <c r="W55" s="104" t="str">
        <f t="shared" si="12"/>
        <v>PP11</v>
      </c>
      <c r="X55" s="105" t="str">
        <f t="shared" si="13"/>
        <v/>
      </c>
      <c r="Y55" s="105" t="str">
        <f t="shared" si="14"/>
        <v/>
      </c>
      <c r="Z55" s="105" t="str">
        <f t="shared" si="15"/>
        <v/>
      </c>
      <c r="AA55" s="105" t="str">
        <f t="shared" si="16"/>
        <v/>
      </c>
      <c r="AB55" s="105" t="str">
        <f t="shared" si="17"/>
        <v/>
      </c>
      <c r="AC55" s="105" t="str">
        <f t="shared" si="18"/>
        <v/>
      </c>
    </row>
    <row r="56" spans="1:29" ht="12.75" customHeight="1" x14ac:dyDescent="0.35">
      <c r="A56" s="92"/>
      <c r="B56" s="94"/>
      <c r="C56" s="144"/>
      <c r="D56" s="418" t="str">
        <f>A_InstData!D113</f>
        <v>PP12</v>
      </c>
      <c r="E56" s="421" t="str">
        <f>IF(INDEX(CNTR_List_ExistPurchPrecNames,ROWS(D$45:D56))=CONST_NA,"",INDEX(CNTR_List_ExistPurchPrecNames,ROWS(D$45:D56)))</f>
        <v/>
      </c>
      <c r="F56" s="421" t="str">
        <f t="shared" si="11"/>
        <v/>
      </c>
      <c r="G56" s="840" t="str">
        <f>IF($F56="","",IF(INDEX(A_InstData!G$102:G$121,MATCH($F56,CNTR_List_ExistPurchPrec,0))="","",INDEX(A_InstData!G$102:G$121,MATCH($F56,CNTR_List_ExistPurchPrec,0))))</f>
        <v/>
      </c>
      <c r="H56" s="840" t="str">
        <f>IF($F56="","",IF(INDEX(A_InstData!H$102:H$121,MATCH($F56,CNTR_List_ExistPurchPrec,0))="","",INDEX(A_InstData!H$102:H$121,MATCH($F56,CNTR_List_ExistPurchPrec,0))))</f>
        <v/>
      </c>
      <c r="I56" s="840" t="str">
        <f>IF($F56="","",IF(INDEX(A_InstData!I$102:I$121,MATCH($F56,CNTR_List_ExistPurchPrec,0))="","",INDEX(A_InstData!I$102:I$121,MATCH($F56,CNTR_List_ExistPurchPrec,0))))</f>
        <v/>
      </c>
      <c r="J56" s="840" t="str">
        <f>IF($F56="","",IF(INDEX(A_InstData!J$102:J$121,MATCH($F56,CNTR_List_ExistPurchPrec,0))="","",INDEX(A_InstData!J$102:J$121,MATCH($F56,CNTR_List_ExistPurchPrec,0))))</f>
        <v/>
      </c>
      <c r="K56" s="840" t="str">
        <f>IF($F56="","",IF(INDEX(A_InstData!K$102:K$121,MATCH($F56,CNTR_List_ExistPurchPrec,0))="","",INDEX(A_InstData!K$102:K$121,MATCH($F56,CNTR_List_ExistPurchPrec,0))))</f>
        <v/>
      </c>
      <c r="L56" s="160" t="str">
        <f>IF(A_InstData!F113="","",A_InstData!F113)</f>
        <v/>
      </c>
      <c r="M56" s="144"/>
      <c r="N56" s="144"/>
      <c r="O56" s="144"/>
      <c r="P56" s="144"/>
      <c r="Q56" s="144"/>
      <c r="R56" s="144"/>
      <c r="S56" s="144"/>
      <c r="T56" s="428"/>
      <c r="W56" s="104" t="str">
        <f t="shared" si="12"/>
        <v>PP12</v>
      </c>
      <c r="X56" s="105" t="str">
        <f t="shared" si="13"/>
        <v/>
      </c>
      <c r="Y56" s="105" t="str">
        <f t="shared" si="14"/>
        <v/>
      </c>
      <c r="Z56" s="105" t="str">
        <f t="shared" si="15"/>
        <v/>
      </c>
      <c r="AA56" s="105" t="str">
        <f t="shared" si="16"/>
        <v/>
      </c>
      <c r="AB56" s="105" t="str">
        <f t="shared" si="17"/>
        <v/>
      </c>
      <c r="AC56" s="105" t="str">
        <f t="shared" si="18"/>
        <v/>
      </c>
    </row>
    <row r="57" spans="1:29" ht="12.75" customHeight="1" x14ac:dyDescent="0.35">
      <c r="A57" s="92"/>
      <c r="B57" s="94"/>
      <c r="C57" s="144"/>
      <c r="D57" s="418" t="str">
        <f>A_InstData!D114</f>
        <v>PP13</v>
      </c>
      <c r="E57" s="421" t="str">
        <f>IF(INDEX(CNTR_List_ExistPurchPrecNames,ROWS(D$45:D57))=CONST_NA,"",INDEX(CNTR_List_ExistPurchPrecNames,ROWS(D$45:D57)))</f>
        <v/>
      </c>
      <c r="F57" s="421" t="str">
        <f t="shared" si="11"/>
        <v/>
      </c>
      <c r="G57" s="840" t="str">
        <f>IF($F57="","",IF(INDEX(A_InstData!G$102:G$121,MATCH($F57,CNTR_List_ExistPurchPrec,0))="","",INDEX(A_InstData!G$102:G$121,MATCH($F57,CNTR_List_ExistPurchPrec,0))))</f>
        <v/>
      </c>
      <c r="H57" s="840" t="str">
        <f>IF($F57="","",IF(INDEX(A_InstData!H$102:H$121,MATCH($F57,CNTR_List_ExistPurchPrec,0))="","",INDEX(A_InstData!H$102:H$121,MATCH($F57,CNTR_List_ExistPurchPrec,0))))</f>
        <v/>
      </c>
      <c r="I57" s="840" t="str">
        <f>IF($F57="","",IF(INDEX(A_InstData!I$102:I$121,MATCH($F57,CNTR_List_ExistPurchPrec,0))="","",INDEX(A_InstData!I$102:I$121,MATCH($F57,CNTR_List_ExistPurchPrec,0))))</f>
        <v/>
      </c>
      <c r="J57" s="840" t="str">
        <f>IF($F57="","",IF(INDEX(A_InstData!J$102:J$121,MATCH($F57,CNTR_List_ExistPurchPrec,0))="","",INDEX(A_InstData!J$102:J$121,MATCH($F57,CNTR_List_ExistPurchPrec,0))))</f>
        <v/>
      </c>
      <c r="K57" s="840" t="str">
        <f>IF($F57="","",IF(INDEX(A_InstData!K$102:K$121,MATCH($F57,CNTR_List_ExistPurchPrec,0))="","",INDEX(A_InstData!K$102:K$121,MATCH($F57,CNTR_List_ExistPurchPrec,0))))</f>
        <v/>
      </c>
      <c r="L57" s="160" t="str">
        <f>IF(A_InstData!F114="","",A_InstData!F114)</f>
        <v/>
      </c>
      <c r="M57" s="144"/>
      <c r="N57" s="144"/>
      <c r="O57" s="144"/>
      <c r="P57" s="144"/>
      <c r="Q57" s="144"/>
      <c r="R57" s="144"/>
      <c r="S57" s="144"/>
      <c r="T57" s="428"/>
      <c r="W57" s="104" t="str">
        <f t="shared" si="12"/>
        <v>PP13</v>
      </c>
      <c r="X57" s="105" t="str">
        <f t="shared" si="13"/>
        <v/>
      </c>
      <c r="Y57" s="105" t="str">
        <f t="shared" si="14"/>
        <v/>
      </c>
      <c r="Z57" s="105" t="str">
        <f t="shared" si="15"/>
        <v/>
      </c>
      <c r="AA57" s="105" t="str">
        <f t="shared" si="16"/>
        <v/>
      </c>
      <c r="AB57" s="105" t="str">
        <f t="shared" si="17"/>
        <v/>
      </c>
      <c r="AC57" s="105" t="str">
        <f t="shared" si="18"/>
        <v/>
      </c>
    </row>
    <row r="58" spans="1:29" ht="12.75" customHeight="1" x14ac:dyDescent="0.35">
      <c r="A58" s="92"/>
      <c r="B58" s="94"/>
      <c r="C58" s="144"/>
      <c r="D58" s="418" t="str">
        <f>A_InstData!D115</f>
        <v>PP14</v>
      </c>
      <c r="E58" s="421" t="str">
        <f>IF(INDEX(CNTR_List_ExistPurchPrecNames,ROWS(D$45:D58))=CONST_NA,"",INDEX(CNTR_List_ExistPurchPrecNames,ROWS(D$45:D58)))</f>
        <v/>
      </c>
      <c r="F58" s="421" t="str">
        <f t="shared" si="11"/>
        <v/>
      </c>
      <c r="G58" s="840" t="str">
        <f>IF($F58="","",IF(INDEX(A_InstData!G$102:G$121,MATCH($F58,CNTR_List_ExistPurchPrec,0))="","",INDEX(A_InstData!G$102:G$121,MATCH($F58,CNTR_List_ExistPurchPrec,0))))</f>
        <v/>
      </c>
      <c r="H58" s="840" t="str">
        <f>IF($F58="","",IF(INDEX(A_InstData!H$102:H$121,MATCH($F58,CNTR_List_ExistPurchPrec,0))="","",INDEX(A_InstData!H$102:H$121,MATCH($F58,CNTR_List_ExistPurchPrec,0))))</f>
        <v/>
      </c>
      <c r="I58" s="840" t="str">
        <f>IF($F58="","",IF(INDEX(A_InstData!I$102:I$121,MATCH($F58,CNTR_List_ExistPurchPrec,0))="","",INDEX(A_InstData!I$102:I$121,MATCH($F58,CNTR_List_ExistPurchPrec,0))))</f>
        <v/>
      </c>
      <c r="J58" s="840" t="str">
        <f>IF($F58="","",IF(INDEX(A_InstData!J$102:J$121,MATCH($F58,CNTR_List_ExistPurchPrec,0))="","",INDEX(A_InstData!J$102:J$121,MATCH($F58,CNTR_List_ExistPurchPrec,0))))</f>
        <v/>
      </c>
      <c r="K58" s="840" t="str">
        <f>IF($F58="","",IF(INDEX(A_InstData!K$102:K$121,MATCH($F58,CNTR_List_ExistPurchPrec,0))="","",INDEX(A_InstData!K$102:K$121,MATCH($F58,CNTR_List_ExistPurchPrec,0))))</f>
        <v/>
      </c>
      <c r="L58" s="160" t="str">
        <f>IF(A_InstData!F115="","",A_InstData!F115)</f>
        <v/>
      </c>
      <c r="M58" s="144"/>
      <c r="N58" s="144"/>
      <c r="O58" s="144"/>
      <c r="P58" s="144"/>
      <c r="Q58" s="144"/>
      <c r="R58" s="144"/>
      <c r="S58" s="144"/>
      <c r="T58" s="428"/>
      <c r="W58" s="104" t="str">
        <f t="shared" si="12"/>
        <v>PP14</v>
      </c>
      <c r="X58" s="105" t="str">
        <f t="shared" si="13"/>
        <v/>
      </c>
      <c r="Y58" s="105" t="str">
        <f t="shared" si="14"/>
        <v/>
      </c>
      <c r="Z58" s="105" t="str">
        <f t="shared" si="15"/>
        <v/>
      </c>
      <c r="AA58" s="105" t="str">
        <f t="shared" si="16"/>
        <v/>
      </c>
      <c r="AB58" s="105" t="str">
        <f t="shared" si="17"/>
        <v/>
      </c>
      <c r="AC58" s="105" t="str">
        <f t="shared" si="18"/>
        <v/>
      </c>
    </row>
    <row r="59" spans="1:29" ht="12.75" customHeight="1" x14ac:dyDescent="0.35">
      <c r="A59" s="92"/>
      <c r="B59" s="94"/>
      <c r="C59" s="144"/>
      <c r="D59" s="418" t="str">
        <f>A_InstData!D116</f>
        <v>PP15</v>
      </c>
      <c r="E59" s="421" t="str">
        <f>IF(INDEX(CNTR_List_ExistPurchPrecNames,ROWS(D$45:D59))=CONST_NA,"",INDEX(CNTR_List_ExistPurchPrecNames,ROWS(D$45:D59)))</f>
        <v/>
      </c>
      <c r="F59" s="421" t="str">
        <f t="shared" si="11"/>
        <v/>
      </c>
      <c r="G59" s="840" t="str">
        <f>IF($F59="","",IF(INDEX(A_InstData!G$102:G$121,MATCH($F59,CNTR_List_ExistPurchPrec,0))="","",INDEX(A_InstData!G$102:G$121,MATCH($F59,CNTR_List_ExistPurchPrec,0))))</f>
        <v/>
      </c>
      <c r="H59" s="840" t="str">
        <f>IF($F59="","",IF(INDEX(A_InstData!H$102:H$121,MATCH($F59,CNTR_List_ExistPurchPrec,0))="","",INDEX(A_InstData!H$102:H$121,MATCH($F59,CNTR_List_ExistPurchPrec,0))))</f>
        <v/>
      </c>
      <c r="I59" s="840" t="str">
        <f>IF($F59="","",IF(INDEX(A_InstData!I$102:I$121,MATCH($F59,CNTR_List_ExistPurchPrec,0))="","",INDEX(A_InstData!I$102:I$121,MATCH($F59,CNTR_List_ExistPurchPrec,0))))</f>
        <v/>
      </c>
      <c r="J59" s="840" t="str">
        <f>IF($F59="","",IF(INDEX(A_InstData!J$102:J$121,MATCH($F59,CNTR_List_ExistPurchPrec,0))="","",INDEX(A_InstData!J$102:J$121,MATCH($F59,CNTR_List_ExistPurchPrec,0))))</f>
        <v/>
      </c>
      <c r="K59" s="840" t="str">
        <f>IF($F59="","",IF(INDEX(A_InstData!K$102:K$121,MATCH($F59,CNTR_List_ExistPurchPrec,0))="","",INDEX(A_InstData!K$102:K$121,MATCH($F59,CNTR_List_ExistPurchPrec,0))))</f>
        <v/>
      </c>
      <c r="L59" s="160" t="str">
        <f>IF(A_InstData!F116="","",A_InstData!F116)</f>
        <v/>
      </c>
      <c r="M59" s="144"/>
      <c r="N59" s="144"/>
      <c r="O59" s="144"/>
      <c r="P59" s="144"/>
      <c r="Q59" s="144"/>
      <c r="R59" s="144"/>
      <c r="S59" s="144"/>
      <c r="T59" s="428"/>
      <c r="W59" s="104" t="str">
        <f t="shared" si="12"/>
        <v>PP15</v>
      </c>
      <c r="X59" s="105" t="str">
        <f t="shared" si="13"/>
        <v/>
      </c>
      <c r="Y59" s="105" t="str">
        <f t="shared" si="14"/>
        <v/>
      </c>
      <c r="Z59" s="105" t="str">
        <f t="shared" si="15"/>
        <v/>
      </c>
      <c r="AA59" s="105" t="str">
        <f t="shared" si="16"/>
        <v/>
      </c>
      <c r="AB59" s="105" t="str">
        <f t="shared" si="17"/>
        <v/>
      </c>
      <c r="AC59" s="105" t="str">
        <f t="shared" si="18"/>
        <v/>
      </c>
    </row>
    <row r="60" spans="1:29" ht="12.75" customHeight="1" x14ac:dyDescent="0.35">
      <c r="A60" s="92"/>
      <c r="B60" s="94"/>
      <c r="C60" s="144"/>
      <c r="D60" s="418" t="str">
        <f>A_InstData!D117</f>
        <v>PP16</v>
      </c>
      <c r="E60" s="421" t="str">
        <f>IF(INDEX(CNTR_List_ExistPurchPrecNames,ROWS(D$45:D60))=CONST_NA,"",INDEX(CNTR_List_ExistPurchPrecNames,ROWS(D$45:D60)))</f>
        <v/>
      </c>
      <c r="F60" s="421" t="str">
        <f t="shared" si="11"/>
        <v/>
      </c>
      <c r="G60" s="840" t="str">
        <f>IF($F60="","",IF(INDEX(A_InstData!G$102:G$121,MATCH($F60,CNTR_List_ExistPurchPrec,0))="","",INDEX(A_InstData!G$102:G$121,MATCH($F60,CNTR_List_ExistPurchPrec,0))))</f>
        <v/>
      </c>
      <c r="H60" s="840" t="str">
        <f>IF($F60="","",IF(INDEX(A_InstData!H$102:H$121,MATCH($F60,CNTR_List_ExistPurchPrec,0))="","",INDEX(A_InstData!H$102:H$121,MATCH($F60,CNTR_List_ExistPurchPrec,0))))</f>
        <v/>
      </c>
      <c r="I60" s="840" t="str">
        <f>IF($F60="","",IF(INDEX(A_InstData!I$102:I$121,MATCH($F60,CNTR_List_ExistPurchPrec,0))="","",INDEX(A_InstData!I$102:I$121,MATCH($F60,CNTR_List_ExistPurchPrec,0))))</f>
        <v/>
      </c>
      <c r="J60" s="840" t="str">
        <f>IF($F60="","",IF(INDEX(A_InstData!J$102:J$121,MATCH($F60,CNTR_List_ExistPurchPrec,0))="","",INDEX(A_InstData!J$102:J$121,MATCH($F60,CNTR_List_ExistPurchPrec,0))))</f>
        <v/>
      </c>
      <c r="K60" s="840" t="str">
        <f>IF($F60="","",IF(INDEX(A_InstData!K$102:K$121,MATCH($F60,CNTR_List_ExistPurchPrec,0))="","",INDEX(A_InstData!K$102:K$121,MATCH($F60,CNTR_List_ExistPurchPrec,0))))</f>
        <v/>
      </c>
      <c r="L60" s="160" t="str">
        <f>IF(A_InstData!F117="","",A_InstData!F117)</f>
        <v/>
      </c>
      <c r="M60" s="144"/>
      <c r="N60" s="144"/>
      <c r="O60" s="144"/>
      <c r="P60" s="144"/>
      <c r="Q60" s="144"/>
      <c r="R60" s="144"/>
      <c r="S60" s="144"/>
      <c r="T60" s="428"/>
      <c r="W60" s="104" t="str">
        <f t="shared" si="12"/>
        <v>PP16</v>
      </c>
      <c r="X60" s="105" t="str">
        <f t="shared" si="13"/>
        <v/>
      </c>
      <c r="Y60" s="105" t="str">
        <f t="shared" si="14"/>
        <v/>
      </c>
      <c r="Z60" s="105" t="str">
        <f t="shared" si="15"/>
        <v/>
      </c>
      <c r="AA60" s="105" t="str">
        <f t="shared" si="16"/>
        <v/>
      </c>
      <c r="AB60" s="105" t="str">
        <f t="shared" si="17"/>
        <v/>
      </c>
      <c r="AC60" s="105" t="str">
        <f t="shared" si="18"/>
        <v/>
      </c>
    </row>
    <row r="61" spans="1:29" ht="12.75" customHeight="1" x14ac:dyDescent="0.35">
      <c r="A61" s="92"/>
      <c r="B61" s="94"/>
      <c r="C61" s="144"/>
      <c r="D61" s="418" t="str">
        <f>A_InstData!D118</f>
        <v>PP17</v>
      </c>
      <c r="E61" s="421" t="str">
        <f>IF(INDEX(CNTR_List_ExistPurchPrecNames,ROWS(D$45:D61))=CONST_NA,"",INDEX(CNTR_List_ExistPurchPrecNames,ROWS(D$45:D61)))</f>
        <v/>
      </c>
      <c r="F61" s="421" t="str">
        <f t="shared" si="11"/>
        <v/>
      </c>
      <c r="G61" s="840" t="str">
        <f>IF($F61="","",IF(INDEX(A_InstData!G$102:G$121,MATCH($F61,CNTR_List_ExistPurchPrec,0))="","",INDEX(A_InstData!G$102:G$121,MATCH($F61,CNTR_List_ExistPurchPrec,0))))</f>
        <v/>
      </c>
      <c r="H61" s="840" t="str">
        <f>IF($F61="","",IF(INDEX(A_InstData!H$102:H$121,MATCH($F61,CNTR_List_ExistPurchPrec,0))="","",INDEX(A_InstData!H$102:H$121,MATCH($F61,CNTR_List_ExistPurchPrec,0))))</f>
        <v/>
      </c>
      <c r="I61" s="840" t="str">
        <f>IF($F61="","",IF(INDEX(A_InstData!I$102:I$121,MATCH($F61,CNTR_List_ExistPurchPrec,0))="","",INDEX(A_InstData!I$102:I$121,MATCH($F61,CNTR_List_ExistPurchPrec,0))))</f>
        <v/>
      </c>
      <c r="J61" s="840" t="str">
        <f>IF($F61="","",IF(INDEX(A_InstData!J$102:J$121,MATCH($F61,CNTR_List_ExistPurchPrec,0))="","",INDEX(A_InstData!J$102:J$121,MATCH($F61,CNTR_List_ExistPurchPrec,0))))</f>
        <v/>
      </c>
      <c r="K61" s="840" t="str">
        <f>IF($F61="","",IF(INDEX(A_InstData!K$102:K$121,MATCH($F61,CNTR_List_ExistPurchPrec,0))="","",INDEX(A_InstData!K$102:K$121,MATCH($F61,CNTR_List_ExistPurchPrec,0))))</f>
        <v/>
      </c>
      <c r="L61" s="160" t="str">
        <f>IF(A_InstData!F118="","",A_InstData!F118)</f>
        <v/>
      </c>
      <c r="M61" s="144"/>
      <c r="N61" s="144"/>
      <c r="O61" s="144"/>
      <c r="P61" s="144"/>
      <c r="Q61" s="144"/>
      <c r="R61" s="144"/>
      <c r="S61" s="144"/>
      <c r="T61" s="428"/>
      <c r="W61" s="104" t="str">
        <f t="shared" si="12"/>
        <v>PP17</v>
      </c>
      <c r="X61" s="105" t="str">
        <f t="shared" si="13"/>
        <v/>
      </c>
      <c r="Y61" s="105" t="str">
        <f t="shared" si="14"/>
        <v/>
      </c>
      <c r="Z61" s="105" t="str">
        <f t="shared" si="15"/>
        <v/>
      </c>
      <c r="AA61" s="105" t="str">
        <f t="shared" si="16"/>
        <v/>
      </c>
      <c r="AB61" s="105" t="str">
        <f t="shared" si="17"/>
        <v/>
      </c>
      <c r="AC61" s="105" t="str">
        <f t="shared" si="18"/>
        <v/>
      </c>
    </row>
    <row r="62" spans="1:29" ht="12.75" customHeight="1" x14ac:dyDescent="0.35">
      <c r="A62" s="92"/>
      <c r="B62" s="94"/>
      <c r="C62" s="144"/>
      <c r="D62" s="418" t="str">
        <f>A_InstData!D119</f>
        <v>PP18</v>
      </c>
      <c r="E62" s="421" t="str">
        <f>IF(INDEX(CNTR_List_ExistPurchPrecNames,ROWS(D$45:D62))=CONST_NA,"",INDEX(CNTR_List_ExistPurchPrecNames,ROWS(D$45:D62)))</f>
        <v/>
      </c>
      <c r="F62" s="421" t="str">
        <f t="shared" si="11"/>
        <v/>
      </c>
      <c r="G62" s="840" t="str">
        <f>IF($F62="","",IF(INDEX(A_InstData!G$102:G$121,MATCH($F62,CNTR_List_ExistPurchPrec,0))="","",INDEX(A_InstData!G$102:G$121,MATCH($F62,CNTR_List_ExistPurchPrec,0))))</f>
        <v/>
      </c>
      <c r="H62" s="840" t="str">
        <f>IF($F62="","",IF(INDEX(A_InstData!H$102:H$121,MATCH($F62,CNTR_List_ExistPurchPrec,0))="","",INDEX(A_InstData!H$102:H$121,MATCH($F62,CNTR_List_ExistPurchPrec,0))))</f>
        <v/>
      </c>
      <c r="I62" s="840" t="str">
        <f>IF($F62="","",IF(INDEX(A_InstData!I$102:I$121,MATCH($F62,CNTR_List_ExistPurchPrec,0))="","",INDEX(A_InstData!I$102:I$121,MATCH($F62,CNTR_List_ExistPurchPrec,0))))</f>
        <v/>
      </c>
      <c r="J62" s="840" t="str">
        <f>IF($F62="","",IF(INDEX(A_InstData!J$102:J$121,MATCH($F62,CNTR_List_ExistPurchPrec,0))="","",INDEX(A_InstData!J$102:J$121,MATCH($F62,CNTR_List_ExistPurchPrec,0))))</f>
        <v/>
      </c>
      <c r="K62" s="840" t="str">
        <f>IF($F62="","",IF(INDEX(A_InstData!K$102:K$121,MATCH($F62,CNTR_List_ExistPurchPrec,0))="","",INDEX(A_InstData!K$102:K$121,MATCH($F62,CNTR_List_ExistPurchPrec,0))))</f>
        <v/>
      </c>
      <c r="L62" s="160" t="str">
        <f>IF(A_InstData!F119="","",A_InstData!F119)</f>
        <v/>
      </c>
      <c r="M62" s="144"/>
      <c r="N62" s="144"/>
      <c r="O62" s="144"/>
      <c r="P62" s="144"/>
      <c r="Q62" s="144"/>
      <c r="R62" s="144"/>
      <c r="S62" s="144"/>
      <c r="T62" s="428"/>
      <c r="W62" s="104" t="str">
        <f t="shared" si="12"/>
        <v>PP18</v>
      </c>
      <c r="X62" s="105" t="str">
        <f t="shared" si="13"/>
        <v/>
      </c>
      <c r="Y62" s="105" t="str">
        <f t="shared" si="14"/>
        <v/>
      </c>
      <c r="Z62" s="105" t="str">
        <f t="shared" si="15"/>
        <v/>
      </c>
      <c r="AA62" s="105" t="str">
        <f t="shared" si="16"/>
        <v/>
      </c>
      <c r="AB62" s="105" t="str">
        <f t="shared" si="17"/>
        <v/>
      </c>
      <c r="AC62" s="105" t="str">
        <f t="shared" si="18"/>
        <v/>
      </c>
    </row>
    <row r="63" spans="1:29" ht="12.75" customHeight="1" x14ac:dyDescent="0.35">
      <c r="A63" s="92"/>
      <c r="B63" s="94"/>
      <c r="C63" s="144"/>
      <c r="D63" s="418" t="str">
        <f>A_InstData!D120</f>
        <v>PP19</v>
      </c>
      <c r="E63" s="421" t="str">
        <f>IF(INDEX(CNTR_List_ExistPurchPrecNames,ROWS(D$45:D63))=CONST_NA,"",INDEX(CNTR_List_ExistPurchPrecNames,ROWS(D$45:D63)))</f>
        <v/>
      </c>
      <c r="F63" s="421" t="str">
        <f t="shared" si="11"/>
        <v/>
      </c>
      <c r="G63" s="840" t="str">
        <f>IF($F63="","",IF(INDEX(A_InstData!G$102:G$121,MATCH($F63,CNTR_List_ExistPurchPrec,0))="","",INDEX(A_InstData!G$102:G$121,MATCH($F63,CNTR_List_ExistPurchPrec,0))))</f>
        <v/>
      </c>
      <c r="H63" s="840" t="str">
        <f>IF($F63="","",IF(INDEX(A_InstData!H$102:H$121,MATCH($F63,CNTR_List_ExistPurchPrec,0))="","",INDEX(A_InstData!H$102:H$121,MATCH($F63,CNTR_List_ExistPurchPrec,0))))</f>
        <v/>
      </c>
      <c r="I63" s="840" t="str">
        <f>IF($F63="","",IF(INDEX(A_InstData!I$102:I$121,MATCH($F63,CNTR_List_ExistPurchPrec,0))="","",INDEX(A_InstData!I$102:I$121,MATCH($F63,CNTR_List_ExistPurchPrec,0))))</f>
        <v/>
      </c>
      <c r="J63" s="840" t="str">
        <f>IF($F63="","",IF(INDEX(A_InstData!J$102:J$121,MATCH($F63,CNTR_List_ExistPurchPrec,0))="","",INDEX(A_InstData!J$102:J$121,MATCH($F63,CNTR_List_ExistPurchPrec,0))))</f>
        <v/>
      </c>
      <c r="K63" s="840" t="str">
        <f>IF($F63="","",IF(INDEX(A_InstData!K$102:K$121,MATCH($F63,CNTR_List_ExistPurchPrec,0))="","",INDEX(A_InstData!K$102:K$121,MATCH($F63,CNTR_List_ExistPurchPrec,0))))</f>
        <v/>
      </c>
      <c r="L63" s="160" t="str">
        <f>IF(A_InstData!F120="","",A_InstData!F120)</f>
        <v/>
      </c>
      <c r="M63" s="144"/>
      <c r="N63" s="144"/>
      <c r="O63" s="144"/>
      <c r="P63" s="144"/>
      <c r="Q63" s="144"/>
      <c r="R63" s="144"/>
      <c r="S63" s="144"/>
      <c r="T63" s="428"/>
      <c r="W63" s="104" t="str">
        <f t="shared" si="12"/>
        <v>PP19</v>
      </c>
      <c r="X63" s="105" t="str">
        <f t="shared" si="13"/>
        <v/>
      </c>
      <c r="Y63" s="105" t="str">
        <f t="shared" si="14"/>
        <v/>
      </c>
      <c r="Z63" s="105" t="str">
        <f t="shared" si="15"/>
        <v/>
      </c>
      <c r="AA63" s="105" t="str">
        <f t="shared" si="16"/>
        <v/>
      </c>
      <c r="AB63" s="105" t="str">
        <f t="shared" si="17"/>
        <v/>
      </c>
      <c r="AC63" s="105" t="str">
        <f t="shared" si="18"/>
        <v/>
      </c>
    </row>
    <row r="64" spans="1:29" ht="12.75" customHeight="1" x14ac:dyDescent="0.35">
      <c r="A64" s="92"/>
      <c r="B64" s="94"/>
      <c r="C64" s="144"/>
      <c r="D64" s="418" t="str">
        <f>A_InstData!D121</f>
        <v>PP20</v>
      </c>
      <c r="E64" s="422" t="str">
        <f>IF(INDEX(CNTR_List_ExistPurchPrecNames,ROWS(D$45:D64))=CONST_NA,"",INDEX(CNTR_List_ExistPurchPrecNames,ROWS(D$45:D64)))</f>
        <v/>
      </c>
      <c r="F64" s="422" t="str">
        <f t="shared" si="11"/>
        <v/>
      </c>
      <c r="G64" s="841" t="str">
        <f>IF($F64="","",IF(INDEX(A_InstData!G$102:G$121,MATCH($F64,CNTR_List_ExistPurchPrec,0))="","",INDEX(A_InstData!G$102:G$121,MATCH($F64,CNTR_List_ExistPurchPrec,0))))</f>
        <v/>
      </c>
      <c r="H64" s="841" t="str">
        <f>IF($F64="","",IF(INDEX(A_InstData!H$102:H$121,MATCH($F64,CNTR_List_ExistPurchPrec,0))="","",INDEX(A_InstData!H$102:H$121,MATCH($F64,CNTR_List_ExistPurchPrec,0))))</f>
        <v/>
      </c>
      <c r="I64" s="841" t="str">
        <f>IF($F64="","",IF(INDEX(A_InstData!I$102:I$121,MATCH($F64,CNTR_List_ExistPurchPrec,0))="","",INDEX(A_InstData!I$102:I$121,MATCH($F64,CNTR_List_ExistPurchPrec,0))))</f>
        <v/>
      </c>
      <c r="J64" s="841" t="str">
        <f>IF($F64="","",IF(INDEX(A_InstData!J$102:J$121,MATCH($F64,CNTR_List_ExistPurchPrec,0))="","",INDEX(A_InstData!J$102:J$121,MATCH($F64,CNTR_List_ExistPurchPrec,0))))</f>
        <v/>
      </c>
      <c r="K64" s="841" t="str">
        <f>IF($F64="","",IF(INDEX(A_InstData!K$102:K$121,MATCH($F64,CNTR_List_ExistPurchPrec,0))="","",INDEX(A_InstData!K$102:K$121,MATCH($F64,CNTR_List_ExistPurchPrec,0))))</f>
        <v/>
      </c>
      <c r="L64" s="163" t="str">
        <f>IF(A_InstData!F121="","",A_InstData!F121)</f>
        <v/>
      </c>
      <c r="M64" s="144"/>
      <c r="N64" s="144"/>
      <c r="O64" s="144"/>
      <c r="P64" s="144"/>
      <c r="Q64" s="144"/>
      <c r="R64" s="144"/>
      <c r="S64" s="144"/>
      <c r="T64" s="428"/>
      <c r="W64" s="104" t="str">
        <f t="shared" si="12"/>
        <v>PP20</v>
      </c>
      <c r="X64" s="105" t="str">
        <f t="shared" si="13"/>
        <v/>
      </c>
      <c r="Y64" s="105" t="str">
        <f t="shared" si="14"/>
        <v/>
      </c>
      <c r="Z64" s="105" t="str">
        <f t="shared" si="15"/>
        <v/>
      </c>
      <c r="AA64" s="105" t="str">
        <f t="shared" si="16"/>
        <v/>
      </c>
      <c r="AB64" s="105" t="str">
        <f t="shared" si="17"/>
        <v/>
      </c>
      <c r="AC64" s="105" t="str">
        <f t="shared" si="18"/>
        <v/>
      </c>
    </row>
    <row r="65" spans="1:22" ht="12.75" customHeight="1" x14ac:dyDescent="0.35">
      <c r="A65" s="92"/>
      <c r="B65" s="94"/>
      <c r="C65" s="144"/>
      <c r="D65" s="144"/>
      <c r="E65" s="144"/>
      <c r="F65" s="144"/>
      <c r="G65" s="144"/>
      <c r="H65" s="144"/>
      <c r="I65" s="144"/>
      <c r="J65" s="144"/>
      <c r="K65" s="144"/>
      <c r="L65" s="144"/>
      <c r="M65" s="144"/>
      <c r="N65" s="144"/>
      <c r="O65" s="144"/>
      <c r="P65" s="144"/>
      <c r="Q65" s="144"/>
      <c r="R65" s="144"/>
      <c r="S65" s="144"/>
      <c r="T65" s="428"/>
    </row>
    <row r="66" spans="1:22" ht="18" customHeight="1" x14ac:dyDescent="0.35">
      <c r="A66" s="919">
        <f>C66</f>
        <v>2</v>
      </c>
      <c r="B66" s="94"/>
      <c r="C66" s="908">
        <v>2</v>
      </c>
      <c r="D66" s="909" t="str">
        <f>Translations!$B$554</f>
        <v>Greenhouse gas emissions balance and specific embedded emissions (SEE)</v>
      </c>
      <c r="E66" s="909"/>
      <c r="F66" s="909"/>
      <c r="G66" s="910"/>
      <c r="H66" s="910"/>
      <c r="I66" s="910"/>
      <c r="J66" s="910"/>
      <c r="K66" s="910"/>
      <c r="L66" s="910"/>
      <c r="M66" s="910"/>
      <c r="N66" s="910"/>
      <c r="O66" s="910"/>
      <c r="P66" s="910"/>
      <c r="Q66" s="910"/>
      <c r="R66" s="910"/>
      <c r="S66" s="910"/>
      <c r="T66" s="428"/>
      <c r="V66" s="102" t="s">
        <v>2806</v>
      </c>
    </row>
    <row r="67" spans="1:22" ht="5.15" customHeight="1" x14ac:dyDescent="0.35">
      <c r="A67" s="92"/>
      <c r="B67" s="94"/>
      <c r="C67" s="144"/>
      <c r="D67" s="144"/>
      <c r="E67" s="144"/>
      <c r="F67" s="144"/>
      <c r="G67" s="144"/>
      <c r="H67" s="144"/>
      <c r="I67" s="144"/>
      <c r="J67" s="144"/>
      <c r="K67" s="144"/>
      <c r="L67" s="144"/>
      <c r="M67" s="144"/>
      <c r="N67" s="144"/>
      <c r="O67" s="144"/>
      <c r="P67" s="144"/>
      <c r="Q67" s="144"/>
      <c r="R67" s="144"/>
      <c r="S67" s="144"/>
      <c r="T67" s="428"/>
    </row>
    <row r="68" spans="1:22" ht="15" customHeight="1" x14ac:dyDescent="0.35">
      <c r="A68" s="92"/>
      <c r="B68" s="94"/>
      <c r="C68" s="972">
        <v>1</v>
      </c>
      <c r="D68" s="972" t="str">
        <f>Translations!$B$556</f>
        <v>GHG emissions balance of the installation and all production processes</v>
      </c>
      <c r="E68" s="144"/>
      <c r="F68" s="973"/>
      <c r="G68" s="973"/>
      <c r="H68" s="973"/>
      <c r="I68" s="973"/>
      <c r="J68" s="973"/>
      <c r="K68" s="973"/>
      <c r="L68" s="973"/>
      <c r="M68" s="973"/>
      <c r="N68" s="973"/>
      <c r="O68" s="973"/>
      <c r="P68" s="973"/>
      <c r="Q68" s="144"/>
      <c r="R68" s="144"/>
      <c r="S68" s="144"/>
      <c r="T68" s="428"/>
    </row>
    <row r="69" spans="1:22" ht="5.15" customHeight="1" x14ac:dyDescent="0.35">
      <c r="A69" s="92"/>
      <c r="B69" s="94"/>
      <c r="C69" s="144"/>
      <c r="D69" s="144"/>
      <c r="E69" s="144"/>
      <c r="F69" s="144"/>
      <c r="G69" s="144"/>
      <c r="H69" s="144"/>
      <c r="I69" s="144"/>
      <c r="J69" s="144"/>
      <c r="K69" s="144"/>
      <c r="L69" s="144"/>
      <c r="M69" s="144"/>
      <c r="N69" s="144"/>
      <c r="O69" s="144"/>
      <c r="P69" s="144"/>
      <c r="Q69" s="144"/>
      <c r="R69" s="144"/>
      <c r="S69" s="144"/>
      <c r="T69" s="428"/>
    </row>
    <row r="70" spans="1:22" ht="25.5" customHeight="1" x14ac:dyDescent="0.3">
      <c r="A70" s="92"/>
      <c r="B70" s="94"/>
      <c r="C70" s="144"/>
      <c r="D70" s="974" t="s">
        <v>135</v>
      </c>
      <c r="E70" s="423" t="str">
        <f>Translations!$B$120</f>
        <v>Production process</v>
      </c>
      <c r="F70" s="419" t="str">
        <f>Translations!$B$107</f>
        <v>Aggregated goods category</v>
      </c>
      <c r="G70" s="310" t="str">
        <f>Translations!$B$221</f>
        <v>Unit</v>
      </c>
      <c r="H70" s="310" t="str">
        <f>Translations!$B$435</f>
        <v>DirEm*</v>
      </c>
      <c r="I70" s="310" t="str">
        <f>Translations!$B$557</f>
        <v>Heat emissions</v>
      </c>
      <c r="J70" s="310" t="str">
        <f>Translations!$B$558</f>
        <v>Waste gas emissions</v>
      </c>
      <c r="K70" s="310" t="str">
        <f>Translations!$B$237</f>
        <v>Total direct emissions</v>
      </c>
      <c r="L70" s="310" t="str">
        <f>Translations!$B$559</f>
        <v>Indirect, if relevant</v>
      </c>
      <c r="M70" s="897"/>
      <c r="N70" s="847" t="str">
        <f>Translations!$B$2087</f>
        <v>Activity level</v>
      </c>
      <c r="O70" s="847" t="str">
        <f>Translations!$B$2088</f>
        <v>unit</v>
      </c>
      <c r="P70" s="144"/>
      <c r="Q70" s="144"/>
      <c r="R70" s="144"/>
      <c r="S70" s="144"/>
      <c r="T70" s="428"/>
    </row>
    <row r="71" spans="1:22" ht="12.75" customHeight="1" x14ac:dyDescent="0.35">
      <c r="A71" s="92"/>
      <c r="B71" s="94"/>
      <c r="C71" s="144"/>
      <c r="D71" s="229" t="str">
        <f>A_InstData!D83</f>
        <v>P1</v>
      </c>
      <c r="E71" s="424" t="str">
        <f t="shared" ref="E71:F80" si="19">E33</f>
        <v/>
      </c>
      <c r="F71" s="420" t="str">
        <f t="shared" si="19"/>
        <v/>
      </c>
      <c r="G71" s="230" t="str">
        <f t="shared" ref="G71:G81" si="20">CONST_tCO2eq</f>
        <v>tCO2e</v>
      </c>
      <c r="H71" s="231" t="str">
        <f>IF($E33="","",SUMIFS(D_Processes!$T:$T,D_Processes!$R:$R,CONST_EmDir&amp;$E33))</f>
        <v/>
      </c>
      <c r="I71" s="231" t="str">
        <f>IF($E33="","",SUMIFS(D_Processes!$T:$T,D_Processes!$R:$R,CONST_EmDirHeat&amp;$E33))</f>
        <v/>
      </c>
      <c r="J71" s="231" t="str">
        <f>IF($E33="","",SUMIFS(D_Processes!$T:$T,D_Processes!$R:$R,CONST_EmDirWasteGases&amp;$E33))</f>
        <v/>
      </c>
      <c r="K71" s="231" t="str">
        <f t="shared" ref="K71:K80" si="21">IF(E33="","",SUM(H71:J71))</f>
        <v/>
      </c>
      <c r="L71" s="231" t="str">
        <f>IF($E33="","",SUMIFS(D_Processes!$T:$T,D_Processes!$S:$S,CONST_CNTR_EmbedEmInDir&amp;$E33))</f>
        <v/>
      </c>
      <c r="M71" s="898"/>
      <c r="N71" s="135" t="str">
        <f>IF($E33="","",SUMIFS(D_Processes!$T:$T,D_Processes!$R:$R,CONST_CNTR_TotProd&amp;$E33))</f>
        <v/>
      </c>
      <c r="O71" s="155" t="str">
        <f t="shared" ref="O71:O80" si="22">IF($E71="","",IFERROR(INDEX(CONST_LIST_GoodsUnit,MATCH($F71,CONST_LIST_Goods,0)),""))</f>
        <v/>
      </c>
      <c r="P71" s="144"/>
      <c r="Q71" s="144"/>
      <c r="R71" s="144"/>
      <c r="S71" s="144"/>
      <c r="T71" s="428"/>
    </row>
    <row r="72" spans="1:22" ht="12.75" customHeight="1" x14ac:dyDescent="0.35">
      <c r="A72" s="92"/>
      <c r="B72" s="94"/>
      <c r="C72" s="144"/>
      <c r="D72" s="229" t="str">
        <f>A_InstData!D84</f>
        <v>P2</v>
      </c>
      <c r="E72" s="425" t="str">
        <f t="shared" si="19"/>
        <v/>
      </c>
      <c r="F72" s="421" t="str">
        <f t="shared" si="19"/>
        <v/>
      </c>
      <c r="G72" s="232" t="str">
        <f t="shared" si="20"/>
        <v>tCO2e</v>
      </c>
      <c r="H72" s="233" t="str">
        <f>IF($E34="","",SUMIFS(D_Processes!$T:$T,D_Processes!$R:$R,CONST_EmDir&amp;$E34))</f>
        <v/>
      </c>
      <c r="I72" s="233" t="str">
        <f>IF($E34="","",SUMIFS(D_Processes!$T:$T,D_Processes!$R:$R,CONST_EmDirHeat&amp;$E34))</f>
        <v/>
      </c>
      <c r="J72" s="233" t="str">
        <f>IF($E34="","",SUMIFS(D_Processes!$T:$T,D_Processes!$R:$R,CONST_EmDirWasteGases&amp;$E34))</f>
        <v/>
      </c>
      <c r="K72" s="233" t="str">
        <f t="shared" si="21"/>
        <v/>
      </c>
      <c r="L72" s="233" t="str">
        <f>IF($E34="","",SUMIFS(D_Processes!$T:$T,D_Processes!$S:$S,CONST_CNTR_EmbedEmInDir&amp;$E34))</f>
        <v/>
      </c>
      <c r="M72" s="899"/>
      <c r="N72" s="1148" t="str">
        <f>IF($E34="","",SUMIFS(D_Processes!$T:$T,D_Processes!$R:$R,CONST_CNTR_TotProd&amp;$E34))</f>
        <v/>
      </c>
      <c r="O72" s="160" t="str">
        <f t="shared" si="22"/>
        <v/>
      </c>
      <c r="P72" s="144"/>
      <c r="Q72" s="144"/>
      <c r="R72" s="144"/>
      <c r="S72" s="144"/>
      <c r="T72" s="428"/>
    </row>
    <row r="73" spans="1:22" ht="12.75" customHeight="1" x14ac:dyDescent="0.35">
      <c r="A73" s="92"/>
      <c r="B73" s="94"/>
      <c r="C73" s="144"/>
      <c r="D73" s="229" t="str">
        <f>A_InstData!D85</f>
        <v>P3</v>
      </c>
      <c r="E73" s="425" t="str">
        <f t="shared" si="19"/>
        <v/>
      </c>
      <c r="F73" s="421" t="str">
        <f t="shared" si="19"/>
        <v/>
      </c>
      <c r="G73" s="232" t="str">
        <f t="shared" si="20"/>
        <v>tCO2e</v>
      </c>
      <c r="H73" s="233" t="str">
        <f>IF($E35="","",SUMIFS(D_Processes!$T:$T,D_Processes!$R:$R,CONST_EmDir&amp;$E35))</f>
        <v/>
      </c>
      <c r="I73" s="233" t="str">
        <f>IF($E35="","",SUMIFS(D_Processes!$T:$T,D_Processes!$R:$R,CONST_EmDirHeat&amp;$E35))</f>
        <v/>
      </c>
      <c r="J73" s="233" t="str">
        <f>IF($E35="","",SUMIFS(D_Processes!$T:$T,D_Processes!$R:$R,CONST_EmDirWasteGases&amp;$E35))</f>
        <v/>
      </c>
      <c r="K73" s="233" t="str">
        <f t="shared" si="21"/>
        <v/>
      </c>
      <c r="L73" s="233" t="str">
        <f>IF($E35="","",SUMIFS(D_Processes!$T:$T,D_Processes!$S:$S,CONST_CNTR_EmbedEmInDir&amp;$E35))</f>
        <v/>
      </c>
      <c r="M73" s="899"/>
      <c r="N73" s="1148" t="str">
        <f>IF($E35="","",SUMIFS(D_Processes!$T:$T,D_Processes!$R:$R,CONST_CNTR_TotProd&amp;$E35))</f>
        <v/>
      </c>
      <c r="O73" s="160" t="str">
        <f t="shared" si="22"/>
        <v/>
      </c>
      <c r="P73" s="144"/>
      <c r="Q73" s="144"/>
      <c r="R73" s="144"/>
      <c r="S73" s="144"/>
      <c r="T73" s="428"/>
    </row>
    <row r="74" spans="1:22" ht="12.75" customHeight="1" x14ac:dyDescent="0.35">
      <c r="A74" s="92"/>
      <c r="B74" s="94"/>
      <c r="C74" s="144"/>
      <c r="D74" s="229" t="str">
        <f>A_InstData!D86</f>
        <v>P4</v>
      </c>
      <c r="E74" s="425" t="str">
        <f t="shared" si="19"/>
        <v/>
      </c>
      <c r="F74" s="421" t="str">
        <f t="shared" si="19"/>
        <v/>
      </c>
      <c r="G74" s="232" t="str">
        <f t="shared" si="20"/>
        <v>tCO2e</v>
      </c>
      <c r="H74" s="233" t="str">
        <f>IF($E36="","",SUMIFS(D_Processes!$T:$T,D_Processes!$R:$R,CONST_EmDir&amp;$E36))</f>
        <v/>
      </c>
      <c r="I74" s="233" t="str">
        <f>IF($E36="","",SUMIFS(D_Processes!$T:$T,D_Processes!$R:$R,CONST_EmDirHeat&amp;$E36))</f>
        <v/>
      </c>
      <c r="J74" s="233" t="str">
        <f>IF($E36="","",SUMIFS(D_Processes!$T:$T,D_Processes!$R:$R,CONST_EmDirWasteGases&amp;$E36))</f>
        <v/>
      </c>
      <c r="K74" s="233" t="str">
        <f t="shared" si="21"/>
        <v/>
      </c>
      <c r="L74" s="233" t="str">
        <f>IF($E36="","",SUMIFS(D_Processes!$T:$T,D_Processes!$S:$S,CONST_CNTR_EmbedEmInDir&amp;$E36))</f>
        <v/>
      </c>
      <c r="M74" s="899"/>
      <c r="N74" s="1148" t="str">
        <f>IF($E36="","",SUMIFS(D_Processes!$T:$T,D_Processes!$R:$R,CONST_CNTR_TotProd&amp;$E36))</f>
        <v/>
      </c>
      <c r="O74" s="160" t="str">
        <f t="shared" si="22"/>
        <v/>
      </c>
      <c r="P74" s="144"/>
      <c r="Q74" s="144"/>
      <c r="R74" s="144"/>
      <c r="S74" s="144"/>
      <c r="T74" s="428"/>
    </row>
    <row r="75" spans="1:22" ht="12.75" customHeight="1" x14ac:dyDescent="0.35">
      <c r="A75" s="92"/>
      <c r="B75" s="94"/>
      <c r="C75" s="144"/>
      <c r="D75" s="229" t="str">
        <f>A_InstData!D87</f>
        <v>P5</v>
      </c>
      <c r="E75" s="425" t="str">
        <f t="shared" si="19"/>
        <v/>
      </c>
      <c r="F75" s="421" t="str">
        <f t="shared" si="19"/>
        <v/>
      </c>
      <c r="G75" s="232" t="str">
        <f t="shared" si="20"/>
        <v>tCO2e</v>
      </c>
      <c r="H75" s="233" t="str">
        <f>IF($E37="","",SUMIFS(D_Processes!$T:$T,D_Processes!$R:$R,CONST_EmDir&amp;$E37))</f>
        <v/>
      </c>
      <c r="I75" s="233" t="str">
        <f>IF($E37="","",SUMIFS(D_Processes!$T:$T,D_Processes!$R:$R,CONST_EmDirHeat&amp;$E37))</f>
        <v/>
      </c>
      <c r="J75" s="233" t="str">
        <f>IF($E37="","",SUMIFS(D_Processes!$T:$T,D_Processes!$R:$R,CONST_EmDirWasteGases&amp;$E37))</f>
        <v/>
      </c>
      <c r="K75" s="233" t="str">
        <f t="shared" si="21"/>
        <v/>
      </c>
      <c r="L75" s="233" t="str">
        <f>IF($E37="","",SUMIFS(D_Processes!$T:$T,D_Processes!$S:$S,CONST_CNTR_EmbedEmInDir&amp;$E37))</f>
        <v/>
      </c>
      <c r="M75" s="899"/>
      <c r="N75" s="1148" t="str">
        <f>IF($E37="","",SUMIFS(D_Processes!$T:$T,D_Processes!$R:$R,CONST_CNTR_TotProd&amp;$E37))</f>
        <v/>
      </c>
      <c r="O75" s="160" t="str">
        <f t="shared" si="22"/>
        <v/>
      </c>
      <c r="P75" s="144"/>
      <c r="Q75" s="144"/>
      <c r="R75" s="144"/>
      <c r="S75" s="144"/>
      <c r="T75" s="428"/>
    </row>
    <row r="76" spans="1:22" ht="12.75" customHeight="1" x14ac:dyDescent="0.35">
      <c r="A76" s="92"/>
      <c r="B76" s="94"/>
      <c r="C76" s="144"/>
      <c r="D76" s="229" t="str">
        <f>A_InstData!D88</f>
        <v>P6</v>
      </c>
      <c r="E76" s="425" t="str">
        <f t="shared" si="19"/>
        <v/>
      </c>
      <c r="F76" s="421" t="str">
        <f t="shared" si="19"/>
        <v/>
      </c>
      <c r="G76" s="232" t="str">
        <f t="shared" si="20"/>
        <v>tCO2e</v>
      </c>
      <c r="H76" s="233" t="str">
        <f>IF($E38="","",SUMIFS(D_Processes!$T:$T,D_Processes!$R:$R,CONST_EmDir&amp;$E38))</f>
        <v/>
      </c>
      <c r="I76" s="233" t="str">
        <f>IF($E38="","",SUMIFS(D_Processes!$T:$T,D_Processes!$R:$R,CONST_EmDirHeat&amp;$E38))</f>
        <v/>
      </c>
      <c r="J76" s="233" t="str">
        <f>IF($E38="","",SUMIFS(D_Processes!$T:$T,D_Processes!$R:$R,CONST_EmDirWasteGases&amp;$E38))</f>
        <v/>
      </c>
      <c r="K76" s="233" t="str">
        <f t="shared" si="21"/>
        <v/>
      </c>
      <c r="L76" s="233" t="str">
        <f>IF($E38="","",SUMIFS(D_Processes!$T:$T,D_Processes!$S:$S,CONST_CNTR_EmbedEmInDir&amp;$E38))</f>
        <v/>
      </c>
      <c r="M76" s="899"/>
      <c r="N76" s="1148" t="str">
        <f>IF($E38="","",SUMIFS(D_Processes!$T:$T,D_Processes!$R:$R,CONST_CNTR_TotProd&amp;$E38))</f>
        <v/>
      </c>
      <c r="O76" s="160" t="str">
        <f t="shared" si="22"/>
        <v/>
      </c>
      <c r="P76" s="144"/>
      <c r="Q76" s="144"/>
      <c r="R76" s="144"/>
      <c r="S76" s="144"/>
      <c r="T76" s="428"/>
    </row>
    <row r="77" spans="1:22" ht="12.75" customHeight="1" x14ac:dyDescent="0.35">
      <c r="A77" s="92"/>
      <c r="B77" s="94"/>
      <c r="C77" s="144"/>
      <c r="D77" s="229" t="str">
        <f>A_InstData!D89</f>
        <v>P7</v>
      </c>
      <c r="E77" s="425" t="str">
        <f t="shared" si="19"/>
        <v/>
      </c>
      <c r="F77" s="421" t="str">
        <f t="shared" si="19"/>
        <v/>
      </c>
      <c r="G77" s="232" t="str">
        <f t="shared" si="20"/>
        <v>tCO2e</v>
      </c>
      <c r="H77" s="233" t="str">
        <f>IF($E39="","",SUMIFS(D_Processes!$T:$T,D_Processes!$R:$R,CONST_EmDir&amp;$E39))</f>
        <v/>
      </c>
      <c r="I77" s="233" t="str">
        <f>IF($E39="","",SUMIFS(D_Processes!$T:$T,D_Processes!$R:$R,CONST_EmDirHeat&amp;$E39))</f>
        <v/>
      </c>
      <c r="J77" s="233" t="str">
        <f>IF($E39="","",SUMIFS(D_Processes!$T:$T,D_Processes!$R:$R,CONST_EmDirWasteGases&amp;$E39))</f>
        <v/>
      </c>
      <c r="K77" s="233" t="str">
        <f t="shared" si="21"/>
        <v/>
      </c>
      <c r="L77" s="233" t="str">
        <f>IF($E39="","",SUMIFS(D_Processes!$T:$T,D_Processes!$S:$S,CONST_CNTR_EmbedEmInDir&amp;$E39))</f>
        <v/>
      </c>
      <c r="M77" s="899"/>
      <c r="N77" s="1148" t="str">
        <f>IF($E39="","",SUMIFS(D_Processes!$T:$T,D_Processes!$R:$R,CONST_CNTR_TotProd&amp;$E39))</f>
        <v/>
      </c>
      <c r="O77" s="160" t="str">
        <f t="shared" si="22"/>
        <v/>
      </c>
      <c r="P77" s="144"/>
      <c r="Q77" s="144"/>
      <c r="R77" s="144"/>
      <c r="S77" s="144"/>
      <c r="T77" s="428"/>
    </row>
    <row r="78" spans="1:22" ht="12.75" customHeight="1" x14ac:dyDescent="0.35">
      <c r="A78" s="92"/>
      <c r="B78" s="94"/>
      <c r="C78" s="144"/>
      <c r="D78" s="229" t="str">
        <f>A_InstData!D90</f>
        <v>P8</v>
      </c>
      <c r="E78" s="425" t="str">
        <f t="shared" si="19"/>
        <v/>
      </c>
      <c r="F78" s="421" t="str">
        <f t="shared" si="19"/>
        <v/>
      </c>
      <c r="G78" s="232" t="str">
        <f t="shared" si="20"/>
        <v>tCO2e</v>
      </c>
      <c r="H78" s="233" t="str">
        <f>IF($E40="","",SUMIFS(D_Processes!$T:$T,D_Processes!$R:$R,CONST_EmDir&amp;$E40))</f>
        <v/>
      </c>
      <c r="I78" s="233" t="str">
        <f>IF($E40="","",SUMIFS(D_Processes!$T:$T,D_Processes!$R:$R,CONST_EmDirHeat&amp;$E40))</f>
        <v/>
      </c>
      <c r="J78" s="233" t="str">
        <f>IF($E40="","",SUMIFS(D_Processes!$T:$T,D_Processes!$R:$R,CONST_EmDirWasteGases&amp;$E40))</f>
        <v/>
      </c>
      <c r="K78" s="233" t="str">
        <f t="shared" si="21"/>
        <v/>
      </c>
      <c r="L78" s="233" t="str">
        <f>IF($E40="","",SUMIFS(D_Processes!$T:$T,D_Processes!$S:$S,CONST_CNTR_EmbedEmInDir&amp;$E40))</f>
        <v/>
      </c>
      <c r="M78" s="899"/>
      <c r="N78" s="1148" t="str">
        <f>IF($E40="","",SUMIFS(D_Processes!$T:$T,D_Processes!$R:$R,CONST_CNTR_TotProd&amp;$E40))</f>
        <v/>
      </c>
      <c r="O78" s="160" t="str">
        <f t="shared" si="22"/>
        <v/>
      </c>
      <c r="P78" s="144"/>
      <c r="Q78" s="144"/>
      <c r="R78" s="144"/>
      <c r="S78" s="144"/>
      <c r="T78" s="428"/>
    </row>
    <row r="79" spans="1:22" ht="12.75" customHeight="1" x14ac:dyDescent="0.35">
      <c r="A79" s="92"/>
      <c r="B79" s="94"/>
      <c r="C79" s="144"/>
      <c r="D79" s="229" t="str">
        <f>A_InstData!D91</f>
        <v>P9</v>
      </c>
      <c r="E79" s="425" t="str">
        <f t="shared" si="19"/>
        <v/>
      </c>
      <c r="F79" s="421" t="str">
        <f t="shared" si="19"/>
        <v/>
      </c>
      <c r="G79" s="232" t="str">
        <f t="shared" si="20"/>
        <v>tCO2e</v>
      </c>
      <c r="H79" s="233" t="str">
        <f>IF($E41="","",SUMIFS(D_Processes!$T:$T,D_Processes!$R:$R,CONST_EmDir&amp;$E41))</f>
        <v/>
      </c>
      <c r="I79" s="233" t="str">
        <f>IF($E41="","",SUMIFS(D_Processes!$T:$T,D_Processes!$R:$R,CONST_EmDirHeat&amp;$E41))</f>
        <v/>
      </c>
      <c r="J79" s="233" t="str">
        <f>IF($E41="","",SUMIFS(D_Processes!$T:$T,D_Processes!$R:$R,CONST_EmDirWasteGases&amp;$E41))</f>
        <v/>
      </c>
      <c r="K79" s="233" t="str">
        <f t="shared" si="21"/>
        <v/>
      </c>
      <c r="L79" s="233" t="str">
        <f>IF($E41="","",SUMIFS(D_Processes!$T:$T,D_Processes!$S:$S,CONST_CNTR_EmbedEmInDir&amp;$E41))</f>
        <v/>
      </c>
      <c r="M79" s="899"/>
      <c r="N79" s="1148" t="str">
        <f>IF($E41="","",SUMIFS(D_Processes!$T:$T,D_Processes!$R:$R,CONST_CNTR_TotProd&amp;$E41))</f>
        <v/>
      </c>
      <c r="O79" s="160" t="str">
        <f t="shared" si="22"/>
        <v/>
      </c>
      <c r="P79" s="144"/>
      <c r="Q79" s="144"/>
      <c r="R79" s="144"/>
      <c r="S79" s="144"/>
      <c r="T79" s="428"/>
    </row>
    <row r="80" spans="1:22" ht="12.75" customHeight="1" x14ac:dyDescent="0.35">
      <c r="A80" s="92"/>
      <c r="B80" s="94"/>
      <c r="C80" s="144"/>
      <c r="D80" s="229" t="str">
        <f>A_InstData!D92</f>
        <v>P10</v>
      </c>
      <c r="E80" s="422" t="str">
        <f t="shared" si="19"/>
        <v/>
      </c>
      <c r="F80" s="422" t="str">
        <f t="shared" si="19"/>
        <v/>
      </c>
      <c r="G80" s="234" t="str">
        <f t="shared" si="20"/>
        <v>tCO2e</v>
      </c>
      <c r="H80" s="235" t="str">
        <f>IF($E42="","",SUMIFS(D_Processes!$T:$T,D_Processes!$R:$R,CONST_EmDir&amp;$E42))</f>
        <v/>
      </c>
      <c r="I80" s="235" t="str">
        <f>IF($E42="","",SUMIFS(D_Processes!$T:$T,D_Processes!$R:$R,CONST_EmDirHeat&amp;$E42))</f>
        <v/>
      </c>
      <c r="J80" s="235" t="str">
        <f>IF($E42="","",SUMIFS(D_Processes!$T:$T,D_Processes!$R:$R,CONST_EmDirWasteGases&amp;$E42))</f>
        <v/>
      </c>
      <c r="K80" s="235" t="str">
        <f t="shared" si="21"/>
        <v/>
      </c>
      <c r="L80" s="235" t="str">
        <f>IF($E42="","",SUMIFS(D_Processes!$T:$T,D_Processes!$S:$S,CONST_CNTR_EmbedEmInDir&amp;$E42))</f>
        <v/>
      </c>
      <c r="M80" s="900"/>
      <c r="N80" s="291" t="str">
        <f>IF($E42="","",SUMIFS(D_Processes!$T:$T,D_Processes!$R:$R,CONST_CNTR_TotProd&amp;$E42))</f>
        <v/>
      </c>
      <c r="O80" s="163" t="str">
        <f t="shared" si="22"/>
        <v/>
      </c>
      <c r="P80" s="144"/>
      <c r="Q80" s="144"/>
      <c r="R80" s="144"/>
      <c r="S80" s="144"/>
      <c r="T80" s="428"/>
    </row>
    <row r="81" spans="1:20" ht="12.75" customHeight="1" x14ac:dyDescent="0.35">
      <c r="A81" s="92"/>
      <c r="B81" s="94"/>
      <c r="C81" s="144"/>
      <c r="D81" s="144"/>
      <c r="E81" s="292" t="str">
        <f>Translations!$B$316</f>
        <v>Total</v>
      </c>
      <c r="F81" s="292"/>
      <c r="G81" s="293" t="str">
        <f t="shared" si="20"/>
        <v>tCO2e</v>
      </c>
      <c r="H81" s="236" t="str">
        <f>IF(COUNT(H71:H80)&gt;0,SUM(H71:H80),"")</f>
        <v/>
      </c>
      <c r="I81" s="236" t="str">
        <f>IF(COUNT(I71:I80)&gt;0,SUM(I71:I80),"")</f>
        <v/>
      </c>
      <c r="J81" s="236" t="str">
        <f>IF(COUNT(J71:J80)&gt;0,SUM(J71:J80),"")</f>
        <v/>
      </c>
      <c r="K81" s="236" t="str">
        <f>IF(COUNT(K71:K80)&gt;0,SUM(K71:K80),"")</f>
        <v/>
      </c>
      <c r="L81" s="236" t="str">
        <f>IF(COUNT(L71:L80)&gt;0,SUM(L71:L80),"")</f>
        <v/>
      </c>
      <c r="M81" s="144"/>
      <c r="N81" s="144"/>
      <c r="O81" s="144"/>
      <c r="P81" s="144"/>
      <c r="Q81" s="144"/>
      <c r="R81" s="144"/>
      <c r="S81" s="144"/>
      <c r="T81" s="428"/>
    </row>
    <row r="82" spans="1:20" ht="5.15" customHeight="1" x14ac:dyDescent="0.35">
      <c r="A82" s="92"/>
      <c r="B82" s="94"/>
      <c r="C82" s="144"/>
      <c r="D82" s="144"/>
      <c r="E82" s="144"/>
      <c r="F82" s="144"/>
      <c r="G82" s="144"/>
      <c r="H82" s="144"/>
      <c r="I82" s="144"/>
      <c r="J82" s="144"/>
      <c r="K82" s="144"/>
      <c r="L82" s="144"/>
      <c r="M82" s="144"/>
      <c r="N82" s="144"/>
      <c r="O82" s="144"/>
      <c r="P82" s="144"/>
      <c r="Q82" s="144"/>
      <c r="R82" s="144"/>
      <c r="S82" s="144"/>
      <c r="T82" s="428"/>
    </row>
    <row r="83" spans="1:20" ht="38.25" customHeight="1" x14ac:dyDescent="0.3">
      <c r="A83" s="92"/>
      <c r="B83" s="94"/>
      <c r="C83" s="144"/>
      <c r="D83" s="974" t="s">
        <v>375</v>
      </c>
      <c r="E83" s="943" t="str">
        <f>Translations!$B$560</f>
        <v>Comparison:</v>
      </c>
      <c r="F83" s="144"/>
      <c r="G83" s="144"/>
      <c r="H83" s="144"/>
      <c r="I83" s="144"/>
      <c r="J83" s="846" t="str">
        <f>Translations!$B$221</f>
        <v>Unit</v>
      </c>
      <c r="K83" s="310" t="str">
        <f>Translations!$B$237</f>
        <v>Total direct emissions</v>
      </c>
      <c r="L83" s="310" t="str">
        <f>Translations!$B$238</f>
        <v>Total indirect emissions</v>
      </c>
      <c r="M83" s="144"/>
      <c r="N83" s="144"/>
      <c r="O83" s="144"/>
      <c r="P83" s="144"/>
      <c r="Q83" s="144"/>
      <c r="R83" s="144"/>
      <c r="S83" s="144"/>
      <c r="T83" s="428"/>
    </row>
    <row r="84" spans="1:20" ht="12.75" customHeight="1" x14ac:dyDescent="0.35">
      <c r="A84" s="92"/>
      <c r="B84" s="94"/>
      <c r="C84" s="144"/>
      <c r="D84" s="166" t="s">
        <v>41</v>
      </c>
      <c r="E84" s="170" t="str">
        <f>Translations!$B$562</f>
        <v>Total emissions of the installation (from sheet "C_Emissions&amp;Energy")</v>
      </c>
      <c r="F84" s="170"/>
      <c r="G84" s="170"/>
      <c r="H84" s="170"/>
      <c r="I84" s="170"/>
      <c r="J84" s="237" t="str">
        <f>CONST_tCO2eq</f>
        <v>tCO2e</v>
      </c>
      <c r="K84" s="849" t="str">
        <f>'C_Emissions&amp;Energy'!L27</f>
        <v/>
      </c>
      <c r="L84" s="849" t="str">
        <f>'C_Emissions&amp;Energy'!M27</f>
        <v/>
      </c>
      <c r="M84" s="144"/>
      <c r="N84" s="144"/>
      <c r="O84" s="144"/>
      <c r="P84" s="144"/>
      <c r="Q84" s="144"/>
      <c r="R84" s="144"/>
      <c r="S84" s="144"/>
      <c r="T84" s="428"/>
    </row>
    <row r="85" spans="1:20" ht="12.75" customHeight="1" x14ac:dyDescent="0.35">
      <c r="A85" s="92"/>
      <c r="B85" s="94"/>
      <c r="C85" s="144"/>
      <c r="D85" s="166" t="s">
        <v>42</v>
      </c>
      <c r="E85" s="133" t="str">
        <f>Translations!$B$563</f>
        <v>Rest (= emissions not attributed to CBAM processes)</v>
      </c>
      <c r="F85" s="133"/>
      <c r="G85" s="133"/>
      <c r="H85" s="133"/>
      <c r="I85" s="133"/>
      <c r="J85" s="238" t="str">
        <f>CONST_tCO2eq</f>
        <v>tCO2e</v>
      </c>
      <c r="K85" s="231" t="str">
        <f>IF(COUNT(K69:K84)&gt;0,SUM(K84)-SUM(K81),"")</f>
        <v/>
      </c>
      <c r="L85" s="231" t="str">
        <f>IF(COUNT(L69:L84)&gt;0,SUM(L84)-SUM(L81),"")</f>
        <v/>
      </c>
      <c r="M85" s="144"/>
      <c r="N85" s="144"/>
      <c r="O85" s="144"/>
      <c r="P85" s="144"/>
      <c r="Q85" s="144"/>
      <c r="R85" s="144"/>
      <c r="S85" s="144"/>
      <c r="T85" s="428"/>
    </row>
    <row r="86" spans="1:20" ht="12.75" customHeight="1" x14ac:dyDescent="0.35">
      <c r="A86" s="92"/>
      <c r="B86" s="94"/>
      <c r="C86" s="144"/>
      <c r="D86" s="166" t="s">
        <v>43</v>
      </c>
      <c r="E86" s="136" t="str">
        <f>Translations!$B$564</f>
        <v>Rest (expressed as % of total)</v>
      </c>
      <c r="F86" s="136"/>
      <c r="G86" s="136"/>
      <c r="H86" s="136"/>
      <c r="I86" s="136"/>
      <c r="J86" s="239" t="s">
        <v>206</v>
      </c>
      <c r="K86" s="240" t="str">
        <f>IF(AND(COUNT(K84:K85)&gt;0,SUM(K84)&gt;0),K85/K84,"")</f>
        <v/>
      </c>
      <c r="L86" s="240" t="str">
        <f>IF(AND(COUNT(L84:L85)&gt;0,SUM(L84)&gt;0),L85/L84,"")</f>
        <v/>
      </c>
      <c r="M86" s="144"/>
      <c r="N86" s="144"/>
      <c r="O86" s="144"/>
      <c r="P86" s="144"/>
      <c r="Q86" s="144"/>
      <c r="R86" s="144"/>
      <c r="S86" s="144"/>
      <c r="T86" s="428"/>
    </row>
    <row r="87" spans="1:20" ht="38.9" customHeight="1" x14ac:dyDescent="0.35">
      <c r="A87" s="92"/>
      <c r="B87" s="94"/>
      <c r="C87" s="144"/>
      <c r="D87" s="144"/>
      <c r="E87" s="1450" t="str">
        <f>Translations!$B$565</f>
        <v>Note: the system boundaries between production processes, indirect emissions and the installation's total emissions might not be consistent. Therefore, values for "Rest" different from zero are not necessarily indicative of any omissions or errors being made in this report.</v>
      </c>
      <c r="F87" s="1450"/>
      <c r="G87" s="1450"/>
      <c r="H87" s="1450"/>
      <c r="I87" s="1450"/>
      <c r="J87" s="1450"/>
      <c r="K87" s="1450"/>
      <c r="L87" s="1270"/>
      <c r="M87" s="144"/>
      <c r="N87" s="144"/>
      <c r="O87" s="144"/>
      <c r="P87" s="144"/>
      <c r="Q87" s="144"/>
      <c r="R87" s="144"/>
      <c r="S87" s="144"/>
      <c r="T87" s="428"/>
    </row>
    <row r="88" spans="1:20" ht="5.15" customHeight="1" x14ac:dyDescent="0.35">
      <c r="A88" s="92"/>
      <c r="B88" s="94"/>
      <c r="C88" s="144"/>
      <c r="D88" s="144"/>
      <c r="E88" s="144"/>
      <c r="F88" s="144"/>
      <c r="G88" s="144"/>
      <c r="H88" s="144"/>
      <c r="I88" s="144"/>
      <c r="J88" s="144"/>
      <c r="K88" s="144"/>
      <c r="L88" s="144"/>
      <c r="M88" s="144"/>
      <c r="N88" s="144"/>
      <c r="O88" s="144"/>
      <c r="P88" s="144"/>
      <c r="Q88" s="144"/>
      <c r="R88" s="144"/>
      <c r="S88" s="144"/>
      <c r="T88" s="428"/>
    </row>
    <row r="89" spans="1:20" ht="12.75" customHeight="1" x14ac:dyDescent="0.35">
      <c r="A89" s="92"/>
      <c r="B89" s="94"/>
      <c r="C89" s="972">
        <v>2</v>
      </c>
      <c r="D89" s="972" t="str">
        <f>Translations!$B$566</f>
        <v>Specific direct and indirect (embedded) emissions</v>
      </c>
      <c r="E89" s="144"/>
      <c r="F89" s="144"/>
      <c r="G89" s="144"/>
      <c r="H89" s="144"/>
      <c r="I89" s="144"/>
      <c r="J89" s="144"/>
      <c r="K89" s="144"/>
      <c r="L89" s="144"/>
      <c r="M89" s="144"/>
      <c r="N89" s="144"/>
      <c r="O89" s="144"/>
      <c r="P89" s="144"/>
      <c r="Q89" s="144"/>
      <c r="R89" s="144"/>
      <c r="S89" s="144"/>
      <c r="T89" s="428"/>
    </row>
    <row r="90" spans="1:20" ht="13.15" customHeight="1" x14ac:dyDescent="0.35">
      <c r="A90" s="92"/>
      <c r="B90" s="94"/>
      <c r="C90" s="972"/>
      <c r="D90" s="938" t="str">
        <f>Translations!$B$567</f>
        <v>The following abbreviations are used in the tables below:</v>
      </c>
      <c r="E90" s="938"/>
      <c r="F90" s="938"/>
      <c r="G90" s="938"/>
      <c r="H90" s="938"/>
      <c r="I90" s="938"/>
      <c r="J90" s="938"/>
      <c r="K90" s="938"/>
      <c r="L90" s="938"/>
      <c r="M90" s="938"/>
      <c r="N90" s="938"/>
      <c r="O90" s="144"/>
      <c r="P90" s="144"/>
      <c r="Q90" s="144"/>
      <c r="R90" s="144"/>
      <c r="S90" s="144"/>
      <c r="T90" s="428"/>
    </row>
    <row r="91" spans="1:20" ht="13.15" customHeight="1" x14ac:dyDescent="0.35">
      <c r="A91" s="92"/>
      <c r="B91" s="94"/>
      <c r="C91" s="972"/>
      <c r="D91" s="938"/>
      <c r="E91" s="804" t="str">
        <f>Translations!$B$568</f>
        <v>SE (direct)</v>
      </c>
      <c r="F91" s="1304" t="str">
        <f>Translations!$B$569</f>
        <v>Specific direct emissions of the production process, i.e. excluding any embedded emissions from any precursors consumed in the process.</v>
      </c>
      <c r="G91" s="1304"/>
      <c r="H91" s="1304"/>
      <c r="I91" s="1304"/>
      <c r="J91" s="1304"/>
      <c r="K91" s="1304"/>
      <c r="L91" s="1304"/>
      <c r="M91" s="1304"/>
      <c r="N91" s="1304"/>
      <c r="O91" s="144"/>
      <c r="P91" s="144"/>
      <c r="Q91" s="144"/>
      <c r="R91" s="144"/>
      <c r="S91" s="144"/>
      <c r="T91" s="428"/>
    </row>
    <row r="92" spans="1:20" ht="13.15" customHeight="1" x14ac:dyDescent="0.35">
      <c r="A92" s="92"/>
      <c r="B92" s="94"/>
      <c r="C92" s="972"/>
      <c r="D92" s="938"/>
      <c r="E92" s="805" t="str">
        <f>Translations!$B$570</f>
        <v>SEE (direct)</v>
      </c>
      <c r="F92" s="1306" t="str">
        <f>Translations!$B$571</f>
        <v>Specific embedded direct emissions of the production process, i.e. including any embedded emissions from any precursors consumed in the process.</v>
      </c>
      <c r="G92" s="1306"/>
      <c r="H92" s="1306"/>
      <c r="I92" s="1306"/>
      <c r="J92" s="1306"/>
      <c r="K92" s="1306"/>
      <c r="L92" s="1306"/>
      <c r="M92" s="1307"/>
      <c r="N92" s="1307"/>
      <c r="O92" s="144"/>
      <c r="P92" s="144"/>
      <c r="Q92" s="144"/>
      <c r="R92" s="144"/>
      <c r="S92" s="144"/>
      <c r="T92" s="428"/>
    </row>
    <row r="93" spans="1:20" ht="13.15" customHeight="1" x14ac:dyDescent="0.35">
      <c r="A93" s="92"/>
      <c r="B93" s="94"/>
      <c r="C93" s="972"/>
      <c r="D93" s="938"/>
      <c r="E93" s="805" t="str">
        <f>Translations!$B$572</f>
        <v>SE (indirect)</v>
      </c>
      <c r="F93" s="1306" t="str">
        <f>Translations!$B$573</f>
        <v>Specific indirect emissions of the production process, i.e. excluding any embedded indirect emissions from any precursors consumed in the process.</v>
      </c>
      <c r="G93" s="1307"/>
      <c r="H93" s="1307"/>
      <c r="I93" s="1307"/>
      <c r="J93" s="1307"/>
      <c r="K93" s="1307"/>
      <c r="L93" s="1307"/>
      <c r="M93" s="1307"/>
      <c r="N93" s="1307"/>
      <c r="O93" s="144"/>
      <c r="P93" s="144"/>
      <c r="Q93" s="144"/>
      <c r="R93" s="144"/>
      <c r="S93" s="144"/>
      <c r="T93" s="428"/>
    </row>
    <row r="94" spans="1:20" ht="13.15" customHeight="1" x14ac:dyDescent="0.35">
      <c r="A94" s="92"/>
      <c r="B94" s="94"/>
      <c r="C94" s="972"/>
      <c r="D94" s="938"/>
      <c r="E94" s="805" t="str">
        <f>Translations!$B$574</f>
        <v>SEE (indirect)</v>
      </c>
      <c r="F94" s="1306" t="str">
        <f>Translations!$B$575</f>
        <v>Specific embedded indirect emissions of the production process, i.e. including any embedded indirect emissions from any precursors consumed in the process.</v>
      </c>
      <c r="G94" s="1307"/>
      <c r="H94" s="1307"/>
      <c r="I94" s="1307"/>
      <c r="J94" s="1307"/>
      <c r="K94" s="1307"/>
      <c r="L94" s="1307"/>
      <c r="M94" s="1307"/>
      <c r="N94" s="1307"/>
      <c r="O94" s="144"/>
      <c r="P94" s="144"/>
      <c r="Q94" s="144"/>
      <c r="R94" s="144"/>
      <c r="S94" s="144"/>
      <c r="T94" s="428"/>
    </row>
    <row r="95" spans="1:20" ht="13.15" customHeight="1" x14ac:dyDescent="0.35">
      <c r="A95" s="92"/>
      <c r="B95" s="94"/>
      <c r="C95" s="972"/>
      <c r="D95" s="938"/>
      <c r="E95" s="805" t="str">
        <f>Translations!$B$576</f>
        <v>Electricity consumed</v>
      </c>
      <c r="F95" s="1306" t="str">
        <f>Translations!$B$577</f>
        <v>Specific electricity consumption within the production process.</v>
      </c>
      <c r="G95" s="1307"/>
      <c r="H95" s="1307"/>
      <c r="I95" s="1307"/>
      <c r="J95" s="1307"/>
      <c r="K95" s="1307"/>
      <c r="L95" s="1307"/>
      <c r="M95" s="1307"/>
      <c r="N95" s="1307"/>
      <c r="O95" s="144"/>
      <c r="P95" s="144"/>
      <c r="Q95" s="144"/>
      <c r="R95" s="144"/>
      <c r="S95" s="144"/>
      <c r="T95" s="428"/>
    </row>
    <row r="96" spans="1:20" ht="26.5" customHeight="1" x14ac:dyDescent="0.25">
      <c r="A96" s="92"/>
      <c r="B96" s="94"/>
      <c r="C96" s="144"/>
      <c r="D96" s="938"/>
      <c r="E96" s="805" t="str">
        <f>Translations!$B$480</f>
        <v>Embedded electricity</v>
      </c>
      <c r="F96" s="1306" t="str">
        <f>Translations!$B$2076</f>
        <v>Specific embedded electricity consumption of the production process, i.e. including any embedded electricity consumption in other production processes within the installation and purchased precursors.</v>
      </c>
      <c r="G96" s="1307"/>
      <c r="H96" s="1307"/>
      <c r="I96" s="1307"/>
      <c r="J96" s="1307"/>
      <c r="K96" s="1307"/>
      <c r="L96" s="1307"/>
      <c r="M96" s="1307"/>
      <c r="N96" s="1307"/>
      <c r="O96" s="954"/>
      <c r="P96" s="954"/>
      <c r="Q96" s="954"/>
      <c r="R96" s="954"/>
      <c r="S96" s="954"/>
      <c r="T96" s="428"/>
    </row>
    <row r="97" spans="1:41" ht="13.15" customHeight="1" x14ac:dyDescent="0.25">
      <c r="A97" s="92"/>
      <c r="B97" s="94"/>
      <c r="C97" s="972"/>
      <c r="D97" s="938"/>
      <c r="E97" s="805" t="str">
        <f>Translations!$B$351</f>
        <v>CP due (per produced t or MWh)</v>
      </c>
      <c r="F97" s="1306" t="str">
        <f>Translations!$B$1870</f>
        <v>This information is taken from the "tool to calculate the carbon price due" in sheet "F_Tools", where relevant.</v>
      </c>
      <c r="G97" s="1307"/>
      <c r="H97" s="1307"/>
      <c r="I97" s="1307"/>
      <c r="J97" s="1307"/>
      <c r="K97" s="1307"/>
      <c r="L97" s="1307"/>
      <c r="M97" s="1307"/>
      <c r="N97" s="1307"/>
      <c r="O97" s="954"/>
      <c r="P97" s="954"/>
      <c r="Q97" s="954"/>
      <c r="R97" s="954"/>
      <c r="S97" s="954"/>
      <c r="T97" s="428"/>
    </row>
    <row r="98" spans="1:41" ht="13.15" customHeight="1" x14ac:dyDescent="0.25">
      <c r="A98" s="92"/>
      <c r="B98" s="94"/>
      <c r="C98" s="972"/>
      <c r="D98" s="938"/>
      <c r="E98" s="806" t="str">
        <f>Translations!$B$352</f>
        <v>Rebate (per produced t or MWh)</v>
      </c>
      <c r="F98" s="1308" t="str">
        <f>Translations!$B$1870</f>
        <v>This information is taken from the "tool to calculate the carbon price due" in sheet "F_Tools", where relevant.</v>
      </c>
      <c r="G98" s="1309"/>
      <c r="H98" s="1309"/>
      <c r="I98" s="1309"/>
      <c r="J98" s="1309"/>
      <c r="K98" s="1309"/>
      <c r="L98" s="1309"/>
      <c r="M98" s="1309"/>
      <c r="N98" s="1309"/>
      <c r="O98" s="954"/>
      <c r="P98" s="954"/>
      <c r="Q98" s="954"/>
      <c r="R98" s="954"/>
      <c r="S98" s="954"/>
      <c r="T98" s="428"/>
    </row>
    <row r="99" spans="1:41" ht="5.15" customHeight="1" thickBot="1" x14ac:dyDescent="0.4">
      <c r="A99" s="92"/>
      <c r="B99" s="94"/>
      <c r="C99" s="144"/>
      <c r="D99" s="144"/>
      <c r="E99" s="144"/>
      <c r="F99" s="144"/>
      <c r="G99" s="144"/>
      <c r="H99" s="144"/>
      <c r="I99" s="144"/>
      <c r="J99" s="144"/>
      <c r="K99" s="144"/>
      <c r="L99" s="144"/>
      <c r="M99" s="144"/>
      <c r="N99" s="144"/>
      <c r="O99" s="144"/>
      <c r="P99" s="144"/>
      <c r="Q99" s="144"/>
      <c r="R99" s="144"/>
      <c r="S99" s="144"/>
      <c r="T99" s="428"/>
    </row>
    <row r="100" spans="1:41" s="244" customFormat="1" ht="26.25" customHeight="1" x14ac:dyDescent="0.3">
      <c r="A100" s="975"/>
      <c r="B100" s="358"/>
      <c r="C100" s="954"/>
      <c r="D100" s="954"/>
      <c r="E100" s="943"/>
      <c r="F100" s="1433" t="str">
        <f>Translations!$B$107</f>
        <v>Aggregated goods category</v>
      </c>
      <c r="G100" s="141" t="str">
        <f>Translations!$B$568</f>
        <v>SE (direct)</v>
      </c>
      <c r="H100" s="310" t="str">
        <f>Translations!$B$570</f>
        <v>SEE (direct)</v>
      </c>
      <c r="I100" s="310" t="str">
        <f>Translations!$B$572</f>
        <v>SE (indirect)</v>
      </c>
      <c r="J100" s="310" t="str">
        <f>Translations!$B$574</f>
        <v>SEE (indirect)</v>
      </c>
      <c r="K100" s="310" t="str">
        <f>Translations!$B$576</f>
        <v>Electricity consumed</v>
      </c>
      <c r="L100" s="310" t="str">
        <f>Translations!$B$480</f>
        <v>Embedded electricity</v>
      </c>
      <c r="M100" s="1444" t="str">
        <f>Translations!$B$351</f>
        <v>CP due (per produced t or MWh)</v>
      </c>
      <c r="N100" s="1446" t="str">
        <f>Translations!$B$352</f>
        <v>Rebate (per produced t or MWh)</v>
      </c>
      <c r="O100" s="954"/>
      <c r="P100" s="954"/>
      <c r="Q100" s="954"/>
      <c r="R100" s="954"/>
      <c r="S100" s="954"/>
      <c r="T100" s="430"/>
      <c r="V100" s="126"/>
      <c r="W100" s="126"/>
      <c r="X100" s="126"/>
      <c r="Y100" s="126"/>
      <c r="Z100" s="126"/>
      <c r="AA100" s="126"/>
      <c r="AB100" s="126"/>
      <c r="AC100" s="126"/>
      <c r="AD100" s="126"/>
      <c r="AE100" s="126"/>
      <c r="AF100" s="126"/>
      <c r="AG100" s="126"/>
      <c r="AH100" s="126"/>
      <c r="AI100" s="126"/>
      <c r="AJ100" s="126"/>
      <c r="AK100" s="126"/>
      <c r="AL100" s="126"/>
      <c r="AM100" s="126"/>
      <c r="AN100" s="126"/>
      <c r="AO100" s="126"/>
    </row>
    <row r="101" spans="1:41" ht="12.75" customHeight="1" thickBot="1" x14ac:dyDescent="0.35">
      <c r="A101" s="92"/>
      <c r="B101" s="94"/>
      <c r="C101" s="144"/>
      <c r="D101" s="34" t="s">
        <v>4</v>
      </c>
      <c r="E101" s="943" t="str">
        <f>Translations!$B$120</f>
        <v>Production process</v>
      </c>
      <c r="F101" s="1434"/>
      <c r="G101" s="380" t="str">
        <f>CONST_tCO2eq &amp; "/" &amp; CONST_t</f>
        <v>tCO2e/t</v>
      </c>
      <c r="H101" s="380" t="str">
        <f>CONST_tCO2eq &amp; "/" &amp; CONST_t</f>
        <v>tCO2e/t</v>
      </c>
      <c r="I101" s="380" t="str">
        <f>CONST_tCO2eq &amp; "/" &amp; CONST_t</f>
        <v>tCO2e/t</v>
      </c>
      <c r="J101" s="380" t="str">
        <f>CONST_tCO2eq &amp; "/" &amp; CONST_t</f>
        <v>tCO2e/t</v>
      </c>
      <c r="K101" s="380" t="str">
        <f>CONST_MWh &amp; "/" &amp; CONST_t</f>
        <v>MWh/t</v>
      </c>
      <c r="L101" s="380" t="str">
        <f>CONST_MWh &amp; "/" &amp; CONST_t</f>
        <v>MWh/t</v>
      </c>
      <c r="M101" s="1445"/>
      <c r="N101" s="1447"/>
      <c r="O101" s="144"/>
      <c r="P101" s="144"/>
      <c r="Q101" s="144"/>
      <c r="R101" s="144"/>
      <c r="S101" s="144"/>
      <c r="T101" s="428"/>
    </row>
    <row r="102" spans="1:41" ht="12.75" customHeight="1" x14ac:dyDescent="0.35">
      <c r="A102" s="92"/>
      <c r="B102" s="94"/>
      <c r="C102" s="144"/>
      <c r="D102" s="229" t="str">
        <f>INDEX(CNTR_ListProdProcID,ROWS(D$102:D102))</f>
        <v>P1</v>
      </c>
      <c r="E102" s="153" t="str">
        <f t="shared" ref="E102:E111" si="23">E33</f>
        <v/>
      </c>
      <c r="F102" s="153" t="str">
        <f t="shared" ref="F102:F111" si="24">IF(E102="","",INDEX(CNTR_List_ExistProdProc,MATCH(E102,CNTR_List_ExistProdProcNames,0)))</f>
        <v/>
      </c>
      <c r="G102" s="245" t="str">
        <f>IF($E102="","",INDEX(InputOutput!AJ$71:AJ$100,MATCH($E102,InputOutput!$D$71:$D$100,0)))</f>
        <v/>
      </c>
      <c r="H102" s="245" t="str">
        <f>IF($E102="","",INDEX(InputOutput!AK$71:AK$100,MATCH($E102,InputOutput!$D$71:$D$100,0)))</f>
        <v/>
      </c>
      <c r="I102" s="245" t="str">
        <f>IF($E102="","",INDEX(InputOutput!AL$71:AL$100,MATCH($E102,InputOutput!$D$71:$D$100,0)))</f>
        <v/>
      </c>
      <c r="J102" s="245" t="str">
        <f>IF($E102="","",INDEX(InputOutput!AM$71:AM$100,MATCH($E102,InputOutput!$D$71:$D$100,0)))</f>
        <v/>
      </c>
      <c r="K102" s="245" t="str">
        <f>IF($E102="","",INDEX(InputOutput!AN$71:AN$100,MATCH($E102,InputOutput!$D$71:$D$100,0)))</f>
        <v/>
      </c>
      <c r="L102" s="245" t="str">
        <f>IF($E102="","",INDEX(InputOutput!AO$71:AO$100,MATCH($E102,InputOutput!$D$71:$D$100,0)))</f>
        <v/>
      </c>
      <c r="M102" s="735" t="str">
        <f>INDEX(F_Tools!L$101:L$110,MATCH($D102,F_Tools!$D$101:$D$110,0))</f>
        <v/>
      </c>
      <c r="N102" s="735" t="str">
        <f>INDEX(F_Tools!M$101:M$110,MATCH($D102,F_Tools!$D$101:$D$110,0))</f>
        <v/>
      </c>
      <c r="O102" s="144"/>
      <c r="P102" s="144"/>
      <c r="Q102" s="144"/>
      <c r="R102" s="144"/>
      <c r="S102" s="144"/>
      <c r="T102" s="428"/>
    </row>
    <row r="103" spans="1:41" ht="12.75" customHeight="1" x14ac:dyDescent="0.35">
      <c r="A103" s="92"/>
      <c r="B103" s="94"/>
      <c r="C103" s="144"/>
      <c r="D103" s="229" t="str">
        <f>INDEX(CNTR_ListProdProcID,ROWS(D$102:D103))</f>
        <v>P2</v>
      </c>
      <c r="E103" s="158" t="str">
        <f t="shared" si="23"/>
        <v/>
      </c>
      <c r="F103" s="158" t="str">
        <f t="shared" si="24"/>
        <v/>
      </c>
      <c r="G103" s="246" t="str">
        <f>IF($E103="","",INDEX(InputOutput!AJ$71:AJ$100,MATCH($E103,InputOutput!$D$71:$D$100,0)))</f>
        <v/>
      </c>
      <c r="H103" s="246" t="str">
        <f>IF($E103="","",INDEX(InputOutput!AK$71:AK$100,MATCH($E103,InputOutput!$D$71:$D$100,0)))</f>
        <v/>
      </c>
      <c r="I103" s="246" t="str">
        <f>IF($E103="","",INDEX(InputOutput!AL$71:AL$100,MATCH($E103,InputOutput!$D$71:$D$100,0)))</f>
        <v/>
      </c>
      <c r="J103" s="246" t="str">
        <f>IF($E103="","",INDEX(InputOutput!AM$71:AM$100,MATCH($E103,InputOutput!$D$71:$D$100,0)))</f>
        <v/>
      </c>
      <c r="K103" s="246" t="str">
        <f>IF($E103="","",INDEX(InputOutput!AN$71:AN$100,MATCH($E103,InputOutput!$D$71:$D$100,0)))</f>
        <v/>
      </c>
      <c r="L103" s="246" t="str">
        <f>IF($E103="","",INDEX(InputOutput!AO$71:AO$100,MATCH($E103,InputOutput!$D$71:$D$100,0)))</f>
        <v/>
      </c>
      <c r="M103" s="736" t="str">
        <f>INDEX(F_Tools!L$101:L$110,MATCH($D103,F_Tools!$D$101:$D$110,0))</f>
        <v/>
      </c>
      <c r="N103" s="736" t="str">
        <f>INDEX(F_Tools!M$101:M$110,MATCH($D103,F_Tools!$D$101:$D$110,0))</f>
        <v/>
      </c>
      <c r="O103" s="144"/>
      <c r="P103" s="144"/>
      <c r="Q103" s="144"/>
      <c r="R103" s="144"/>
      <c r="S103" s="144"/>
      <c r="T103" s="428"/>
    </row>
    <row r="104" spans="1:41" ht="12.75" customHeight="1" x14ac:dyDescent="0.35">
      <c r="A104" s="92"/>
      <c r="B104" s="94"/>
      <c r="C104" s="144"/>
      <c r="D104" s="229" t="str">
        <f>INDEX(CNTR_ListProdProcID,ROWS(D$102:D104))</f>
        <v>P3</v>
      </c>
      <c r="E104" s="158" t="str">
        <f t="shared" si="23"/>
        <v/>
      </c>
      <c r="F104" s="158" t="str">
        <f t="shared" si="24"/>
        <v/>
      </c>
      <c r="G104" s="246" t="str">
        <f>IF($E104="","",INDEX(InputOutput!AJ$71:AJ$100,MATCH($E104,InputOutput!$D$71:$D$100,0)))</f>
        <v/>
      </c>
      <c r="H104" s="246" t="str">
        <f>IF($E104="","",INDEX(InputOutput!AK$71:AK$100,MATCH($E104,InputOutput!$D$71:$D$100,0)))</f>
        <v/>
      </c>
      <c r="I104" s="246" t="str">
        <f>IF($E104="","",INDEX(InputOutput!AL$71:AL$100,MATCH($E104,InputOutput!$D$71:$D$100,0)))</f>
        <v/>
      </c>
      <c r="J104" s="246" t="str">
        <f>IF($E104="","",INDEX(InputOutput!AM$71:AM$100,MATCH($E104,InputOutput!$D$71:$D$100,0)))</f>
        <v/>
      </c>
      <c r="K104" s="246" t="str">
        <f>IF($E104="","",INDEX(InputOutput!AN$71:AN$100,MATCH($E104,InputOutput!$D$71:$D$100,0)))</f>
        <v/>
      </c>
      <c r="L104" s="246" t="str">
        <f>IF($E104="","",INDEX(InputOutput!AO$71:AO$100,MATCH($E104,InputOutput!$D$71:$D$100,0)))</f>
        <v/>
      </c>
      <c r="M104" s="736" t="str">
        <f>INDEX(F_Tools!L$101:L$110,MATCH($D104,F_Tools!$D$101:$D$110,0))</f>
        <v/>
      </c>
      <c r="N104" s="736" t="str">
        <f>INDEX(F_Tools!M$101:M$110,MATCH($D104,F_Tools!$D$101:$D$110,0))</f>
        <v/>
      </c>
      <c r="O104" s="144"/>
      <c r="P104" s="144"/>
      <c r="Q104" s="144"/>
      <c r="R104" s="144"/>
      <c r="S104" s="144"/>
      <c r="T104" s="428"/>
    </row>
    <row r="105" spans="1:41" ht="12.75" customHeight="1" x14ac:dyDescent="0.35">
      <c r="A105" s="92"/>
      <c r="B105" s="94"/>
      <c r="C105" s="144"/>
      <c r="D105" s="229" t="str">
        <f>INDEX(CNTR_ListProdProcID,ROWS(D$102:D105))</f>
        <v>P4</v>
      </c>
      <c r="E105" s="158" t="str">
        <f t="shared" si="23"/>
        <v/>
      </c>
      <c r="F105" s="158" t="str">
        <f t="shared" si="24"/>
        <v/>
      </c>
      <c r="G105" s="246" t="str">
        <f>IF($E105="","",INDEX(InputOutput!AJ$71:AJ$100,MATCH($E105,InputOutput!$D$71:$D$100,0)))</f>
        <v/>
      </c>
      <c r="H105" s="246" t="str">
        <f>IF($E105="","",INDEX(InputOutput!AK$71:AK$100,MATCH($E105,InputOutput!$D$71:$D$100,0)))</f>
        <v/>
      </c>
      <c r="I105" s="246" t="str">
        <f>IF($E105="","",INDEX(InputOutput!AL$71:AL$100,MATCH($E105,InputOutput!$D$71:$D$100,0)))</f>
        <v/>
      </c>
      <c r="J105" s="246" t="str">
        <f>IF($E105="","",INDEX(InputOutput!AM$71:AM$100,MATCH($E105,InputOutput!$D$71:$D$100,0)))</f>
        <v/>
      </c>
      <c r="K105" s="246" t="str">
        <f>IF($E105="","",INDEX(InputOutput!AN$71:AN$100,MATCH($E105,InputOutput!$D$71:$D$100,0)))</f>
        <v/>
      </c>
      <c r="L105" s="246" t="str">
        <f>IF($E105="","",INDEX(InputOutput!AO$71:AO$100,MATCH($E105,InputOutput!$D$71:$D$100,0)))</f>
        <v/>
      </c>
      <c r="M105" s="736" t="str">
        <f>INDEX(F_Tools!L$101:L$110,MATCH($D105,F_Tools!$D$101:$D$110,0))</f>
        <v/>
      </c>
      <c r="N105" s="736" t="str">
        <f>INDEX(F_Tools!M$101:M$110,MATCH($D105,F_Tools!$D$101:$D$110,0))</f>
        <v/>
      </c>
      <c r="O105" s="144"/>
      <c r="P105" s="144"/>
      <c r="Q105" s="144"/>
      <c r="R105" s="144"/>
      <c r="S105" s="144"/>
      <c r="T105" s="428"/>
    </row>
    <row r="106" spans="1:41" ht="12.75" customHeight="1" x14ac:dyDescent="0.35">
      <c r="A106" s="92"/>
      <c r="B106" s="94"/>
      <c r="C106" s="144"/>
      <c r="D106" s="229" t="str">
        <f>INDEX(CNTR_ListProdProcID,ROWS(D$102:D106))</f>
        <v>P5</v>
      </c>
      <c r="E106" s="158" t="str">
        <f t="shared" si="23"/>
        <v/>
      </c>
      <c r="F106" s="158" t="str">
        <f t="shared" si="24"/>
        <v/>
      </c>
      <c r="G106" s="246" t="str">
        <f>IF($E106="","",INDEX(InputOutput!AJ$71:AJ$100,MATCH($E106,InputOutput!$D$71:$D$100,0)))</f>
        <v/>
      </c>
      <c r="H106" s="246" t="str">
        <f>IF($E106="","",INDEX(InputOutput!AK$71:AK$100,MATCH($E106,InputOutput!$D$71:$D$100,0)))</f>
        <v/>
      </c>
      <c r="I106" s="246" t="str">
        <f>IF($E106="","",INDEX(InputOutput!AL$71:AL$100,MATCH($E106,InputOutput!$D$71:$D$100,0)))</f>
        <v/>
      </c>
      <c r="J106" s="246" t="str">
        <f>IF($E106="","",INDEX(InputOutput!AM$71:AM$100,MATCH($E106,InputOutput!$D$71:$D$100,0)))</f>
        <v/>
      </c>
      <c r="K106" s="246" t="str">
        <f>IF($E106="","",INDEX(InputOutput!AN$71:AN$100,MATCH($E106,InputOutput!$D$71:$D$100,0)))</f>
        <v/>
      </c>
      <c r="L106" s="246" t="str">
        <f>IF($E106="","",INDEX(InputOutput!AO$71:AO$100,MATCH($E106,InputOutput!$D$71:$D$100,0)))</f>
        <v/>
      </c>
      <c r="M106" s="736" t="str">
        <f>INDEX(F_Tools!L$101:L$110,MATCH($D106,F_Tools!$D$101:$D$110,0))</f>
        <v/>
      </c>
      <c r="N106" s="736" t="str">
        <f>INDEX(F_Tools!M$101:M$110,MATCH($D106,F_Tools!$D$101:$D$110,0))</f>
        <v/>
      </c>
      <c r="O106" s="144"/>
      <c r="P106" s="144"/>
      <c r="Q106" s="144"/>
      <c r="R106" s="144"/>
      <c r="S106" s="144"/>
      <c r="T106" s="428"/>
    </row>
    <row r="107" spans="1:41" ht="12.75" customHeight="1" x14ac:dyDescent="0.35">
      <c r="A107" s="92"/>
      <c r="B107" s="94"/>
      <c r="C107" s="144"/>
      <c r="D107" s="229" t="str">
        <f>INDEX(CNTR_ListProdProcID,ROWS(D$102:D107))</f>
        <v>P6</v>
      </c>
      <c r="E107" s="158" t="str">
        <f t="shared" si="23"/>
        <v/>
      </c>
      <c r="F107" s="158" t="str">
        <f t="shared" si="24"/>
        <v/>
      </c>
      <c r="G107" s="246" t="str">
        <f>IF($E107="","",INDEX(InputOutput!AJ$71:AJ$100,MATCH($E107,InputOutput!$D$71:$D$100,0)))</f>
        <v/>
      </c>
      <c r="H107" s="246" t="str">
        <f>IF($E107="","",INDEX(InputOutput!AK$71:AK$100,MATCH($E107,InputOutput!$D$71:$D$100,0)))</f>
        <v/>
      </c>
      <c r="I107" s="246" t="str">
        <f>IF($E107="","",INDEX(InputOutput!AL$71:AL$100,MATCH($E107,InputOutput!$D$71:$D$100,0)))</f>
        <v/>
      </c>
      <c r="J107" s="246" t="str">
        <f>IF($E107="","",INDEX(InputOutput!AM$71:AM$100,MATCH($E107,InputOutput!$D$71:$D$100,0)))</f>
        <v/>
      </c>
      <c r="K107" s="246" t="str">
        <f>IF($E107="","",INDEX(InputOutput!AN$71:AN$100,MATCH($E107,InputOutput!$D$71:$D$100,0)))</f>
        <v/>
      </c>
      <c r="L107" s="246" t="str">
        <f>IF($E107="","",INDEX(InputOutput!AO$71:AO$100,MATCH($E107,InputOutput!$D$71:$D$100,0)))</f>
        <v/>
      </c>
      <c r="M107" s="736" t="str">
        <f>INDEX(F_Tools!L$101:L$110,MATCH($D107,F_Tools!$D$101:$D$110,0))</f>
        <v/>
      </c>
      <c r="N107" s="736" t="str">
        <f>INDEX(F_Tools!M$101:M$110,MATCH($D107,F_Tools!$D$101:$D$110,0))</f>
        <v/>
      </c>
      <c r="O107" s="144"/>
      <c r="P107" s="144"/>
      <c r="Q107" s="144"/>
      <c r="R107" s="144"/>
      <c r="S107" s="144"/>
      <c r="T107" s="428"/>
    </row>
    <row r="108" spans="1:41" ht="12.75" customHeight="1" x14ac:dyDescent="0.35">
      <c r="A108" s="92"/>
      <c r="B108" s="94"/>
      <c r="C108" s="144"/>
      <c r="D108" s="229" t="str">
        <f>INDEX(CNTR_ListProdProcID,ROWS(D$102:D108))</f>
        <v>P7</v>
      </c>
      <c r="E108" s="158" t="str">
        <f t="shared" si="23"/>
        <v/>
      </c>
      <c r="F108" s="158" t="str">
        <f t="shared" si="24"/>
        <v/>
      </c>
      <c r="G108" s="246" t="str">
        <f>IF($E108="","",INDEX(InputOutput!AJ$71:AJ$100,MATCH($E108,InputOutput!$D$71:$D$100,0)))</f>
        <v/>
      </c>
      <c r="H108" s="246" t="str">
        <f>IF($E108="","",INDEX(InputOutput!AK$71:AK$100,MATCH($E108,InputOutput!$D$71:$D$100,0)))</f>
        <v/>
      </c>
      <c r="I108" s="246" t="str">
        <f>IF($E108="","",INDEX(InputOutput!AL$71:AL$100,MATCH($E108,InputOutput!$D$71:$D$100,0)))</f>
        <v/>
      </c>
      <c r="J108" s="246" t="str">
        <f>IF($E108="","",INDEX(InputOutput!AM$71:AM$100,MATCH($E108,InputOutput!$D$71:$D$100,0)))</f>
        <v/>
      </c>
      <c r="K108" s="246" t="str">
        <f>IF($E108="","",INDEX(InputOutput!AN$71:AN$100,MATCH($E108,InputOutput!$D$71:$D$100,0)))</f>
        <v/>
      </c>
      <c r="L108" s="246" t="str">
        <f>IF($E108="","",INDEX(InputOutput!AO$71:AO$100,MATCH($E108,InputOutput!$D$71:$D$100,0)))</f>
        <v/>
      </c>
      <c r="M108" s="736" t="str">
        <f>INDEX(F_Tools!L$101:L$110,MATCH($D108,F_Tools!$D$101:$D$110,0))</f>
        <v/>
      </c>
      <c r="N108" s="736" t="str">
        <f>INDEX(F_Tools!M$101:M$110,MATCH($D108,F_Tools!$D$101:$D$110,0))</f>
        <v/>
      </c>
      <c r="O108" s="144"/>
      <c r="P108" s="144"/>
      <c r="Q108" s="144"/>
      <c r="R108" s="144"/>
      <c r="S108" s="144"/>
      <c r="T108" s="428"/>
    </row>
    <row r="109" spans="1:41" ht="12.75" customHeight="1" x14ac:dyDescent="0.35">
      <c r="A109" s="92"/>
      <c r="B109" s="94"/>
      <c r="C109" s="144"/>
      <c r="D109" s="229" t="str">
        <f>INDEX(CNTR_ListProdProcID,ROWS(D$102:D109))</f>
        <v>P8</v>
      </c>
      <c r="E109" s="158" t="str">
        <f t="shared" si="23"/>
        <v/>
      </c>
      <c r="F109" s="158" t="str">
        <f t="shared" si="24"/>
        <v/>
      </c>
      <c r="G109" s="246" t="str">
        <f>IF($E109="","",INDEX(InputOutput!AJ$71:AJ$100,MATCH($E109,InputOutput!$D$71:$D$100,0)))</f>
        <v/>
      </c>
      <c r="H109" s="246" t="str">
        <f>IF($E109="","",INDEX(InputOutput!AK$71:AK$100,MATCH($E109,InputOutput!$D$71:$D$100,0)))</f>
        <v/>
      </c>
      <c r="I109" s="246" t="str">
        <f>IF($E109="","",INDEX(InputOutput!AL$71:AL$100,MATCH($E109,InputOutput!$D$71:$D$100,0)))</f>
        <v/>
      </c>
      <c r="J109" s="246" t="str">
        <f>IF($E109="","",INDEX(InputOutput!AM$71:AM$100,MATCH($E109,InputOutput!$D$71:$D$100,0)))</f>
        <v/>
      </c>
      <c r="K109" s="246" t="str">
        <f>IF($E109="","",INDEX(InputOutput!AN$71:AN$100,MATCH($E109,InputOutput!$D$71:$D$100,0)))</f>
        <v/>
      </c>
      <c r="L109" s="246" t="str">
        <f>IF($E109="","",INDEX(InputOutput!AO$71:AO$100,MATCH($E109,InputOutput!$D$71:$D$100,0)))</f>
        <v/>
      </c>
      <c r="M109" s="736" t="str">
        <f>INDEX(F_Tools!L$101:L$110,MATCH($D109,F_Tools!$D$101:$D$110,0))</f>
        <v/>
      </c>
      <c r="N109" s="736" t="str">
        <f>INDEX(F_Tools!M$101:M$110,MATCH($D109,F_Tools!$D$101:$D$110,0))</f>
        <v/>
      </c>
      <c r="O109" s="144"/>
      <c r="P109" s="144"/>
      <c r="Q109" s="144"/>
      <c r="R109" s="144"/>
      <c r="S109" s="144"/>
      <c r="T109" s="428"/>
    </row>
    <row r="110" spans="1:41" ht="12.75" customHeight="1" x14ac:dyDescent="0.35">
      <c r="A110" s="92"/>
      <c r="B110" s="94"/>
      <c r="C110" s="144"/>
      <c r="D110" s="229" t="str">
        <f>INDEX(CNTR_ListProdProcID,ROWS(D$102:D110))</f>
        <v>P9</v>
      </c>
      <c r="E110" s="158" t="str">
        <f t="shared" si="23"/>
        <v/>
      </c>
      <c r="F110" s="158" t="str">
        <f t="shared" si="24"/>
        <v/>
      </c>
      <c r="G110" s="246" t="str">
        <f>IF($E110="","",INDEX(InputOutput!AJ$71:AJ$100,MATCH($E110,InputOutput!$D$71:$D$100,0)))</f>
        <v/>
      </c>
      <c r="H110" s="246" t="str">
        <f>IF($E110="","",INDEX(InputOutput!AK$71:AK$100,MATCH($E110,InputOutput!$D$71:$D$100,0)))</f>
        <v/>
      </c>
      <c r="I110" s="246" t="str">
        <f>IF($E110="","",INDEX(InputOutput!AL$71:AL$100,MATCH($E110,InputOutput!$D$71:$D$100,0)))</f>
        <v/>
      </c>
      <c r="J110" s="246" t="str">
        <f>IF($E110="","",INDEX(InputOutput!AM$71:AM$100,MATCH($E110,InputOutput!$D$71:$D$100,0)))</f>
        <v/>
      </c>
      <c r="K110" s="246" t="str">
        <f>IF($E110="","",INDEX(InputOutput!AN$71:AN$100,MATCH($E110,InputOutput!$D$71:$D$100,0)))</f>
        <v/>
      </c>
      <c r="L110" s="246" t="str">
        <f>IF($E110="","",INDEX(InputOutput!AO$71:AO$100,MATCH($E110,InputOutput!$D$71:$D$100,0)))</f>
        <v/>
      </c>
      <c r="M110" s="736" t="str">
        <f>INDEX(F_Tools!L$101:L$110,MATCH($D110,F_Tools!$D$101:$D$110,0))</f>
        <v/>
      </c>
      <c r="N110" s="736" t="str">
        <f>INDEX(F_Tools!M$101:M$110,MATCH($D110,F_Tools!$D$101:$D$110,0))</f>
        <v/>
      </c>
      <c r="O110" s="144"/>
      <c r="P110" s="144"/>
      <c r="Q110" s="144"/>
      <c r="R110" s="144"/>
      <c r="S110" s="144"/>
      <c r="T110" s="428"/>
    </row>
    <row r="111" spans="1:41" ht="12.75" customHeight="1" x14ac:dyDescent="0.35">
      <c r="A111" s="92"/>
      <c r="B111" s="94"/>
      <c r="C111" s="144"/>
      <c r="D111" s="229" t="str">
        <f>INDEX(CNTR_ListProdProcID,ROWS(D$102:D111))</f>
        <v>P10</v>
      </c>
      <c r="E111" s="162" t="str">
        <f t="shared" si="23"/>
        <v/>
      </c>
      <c r="F111" s="161" t="str">
        <f t="shared" si="24"/>
        <v/>
      </c>
      <c r="G111" s="247" t="str">
        <f>IF($E111="","",INDEX(InputOutput!AJ$71:AJ$100,MATCH($E111,InputOutput!$D$71:$D$100,0)))</f>
        <v/>
      </c>
      <c r="H111" s="247" t="str">
        <f>IF($E111="","",INDEX(InputOutput!AK$71:AK$100,MATCH($E111,InputOutput!$D$71:$D$100,0)))</f>
        <v/>
      </c>
      <c r="I111" s="247" t="str">
        <f>IF($E111="","",INDEX(InputOutput!AL$71:AL$100,MATCH($E111,InputOutput!$D$71:$D$100,0)))</f>
        <v/>
      </c>
      <c r="J111" s="247" t="str">
        <f>IF($E111="","",INDEX(InputOutput!AM$71:AM$100,MATCH($E111,InputOutput!$D$71:$D$100,0)))</f>
        <v/>
      </c>
      <c r="K111" s="247" t="str">
        <f>IF($E111="","",INDEX(InputOutput!AN$71:AN$100,MATCH($E111,InputOutput!$D$71:$D$100,0)))</f>
        <v/>
      </c>
      <c r="L111" s="247" t="str">
        <f>IF($E111="","",INDEX(InputOutput!AO$71:AO$100,MATCH($E111,InputOutput!$D$71:$D$100,0)))</f>
        <v/>
      </c>
      <c r="M111" s="737" t="str">
        <f>INDEX(F_Tools!L$101:L$110,MATCH($D111,F_Tools!$D$101:$D$110,0))</f>
        <v/>
      </c>
      <c r="N111" s="737" t="str">
        <f>INDEX(F_Tools!M$101:M$110,MATCH($D111,F_Tools!$D$101:$D$110,0))</f>
        <v/>
      </c>
      <c r="O111" s="144"/>
      <c r="P111" s="144"/>
      <c r="Q111" s="144"/>
      <c r="R111" s="144"/>
      <c r="S111" s="144"/>
      <c r="T111" s="428"/>
    </row>
    <row r="112" spans="1:41" ht="5.15" customHeight="1" x14ac:dyDescent="0.35">
      <c r="A112" s="92"/>
      <c r="B112" s="94"/>
      <c r="C112" s="144"/>
      <c r="D112" s="144"/>
      <c r="E112" s="144"/>
      <c r="F112" s="144"/>
      <c r="G112" s="144"/>
      <c r="H112" s="144"/>
      <c r="I112" s="144"/>
      <c r="J112" s="144"/>
      <c r="K112" s="144"/>
      <c r="L112" s="144"/>
      <c r="M112" s="144"/>
      <c r="N112" s="144"/>
      <c r="O112" s="144"/>
      <c r="P112" s="144"/>
      <c r="Q112" s="144"/>
      <c r="R112" s="144"/>
      <c r="S112" s="144"/>
      <c r="T112" s="428"/>
    </row>
    <row r="113" spans="1:41" s="244" customFormat="1" ht="26.25" customHeight="1" x14ac:dyDescent="0.3">
      <c r="A113" s="975"/>
      <c r="B113" s="358"/>
      <c r="C113" s="954"/>
      <c r="D113" s="954"/>
      <c r="E113" s="943"/>
      <c r="F113" s="1433" t="str">
        <f>Translations!$B$578</f>
        <v>Type of precursor</v>
      </c>
      <c r="G113" s="141"/>
      <c r="H113" s="310" t="str">
        <f>Translations!$B$570</f>
        <v>SEE (direct)</v>
      </c>
      <c r="I113" s="310"/>
      <c r="J113" s="310" t="str">
        <f>Translations!$B$574</f>
        <v>SEE (indirect)</v>
      </c>
      <c r="K113" s="310" t="str">
        <f>Translations!$B$576</f>
        <v>Electricity consumed</v>
      </c>
      <c r="L113" s="954"/>
      <c r="M113" s="954"/>
      <c r="N113" s="954"/>
      <c r="O113" s="954"/>
      <c r="P113" s="954"/>
      <c r="Q113" s="954"/>
      <c r="R113" s="954"/>
      <c r="S113" s="954"/>
      <c r="T113" s="430"/>
      <c r="V113" s="126"/>
      <c r="W113" s="126"/>
      <c r="X113" s="126"/>
      <c r="Y113" s="126"/>
      <c r="Z113" s="126"/>
      <c r="AA113" s="126"/>
      <c r="AB113" s="126"/>
      <c r="AC113" s="126"/>
      <c r="AD113" s="126"/>
      <c r="AE113" s="126"/>
      <c r="AF113" s="126"/>
      <c r="AG113" s="126"/>
      <c r="AH113" s="126"/>
      <c r="AI113" s="126"/>
      <c r="AJ113" s="126"/>
      <c r="AK113" s="126"/>
      <c r="AL113" s="126"/>
      <c r="AM113" s="126"/>
      <c r="AN113" s="126"/>
      <c r="AO113" s="126"/>
    </row>
    <row r="114" spans="1:41" ht="12.75" customHeight="1" x14ac:dyDescent="0.3">
      <c r="A114" s="92"/>
      <c r="B114" s="94"/>
      <c r="C114" s="144"/>
      <c r="D114" s="34" t="s">
        <v>48</v>
      </c>
      <c r="E114" s="943" t="str">
        <f>Translations!$B$124</f>
        <v>Purchased precursors</v>
      </c>
      <c r="F114" s="1434"/>
      <c r="G114" s="380"/>
      <c r="H114" s="380" t="str">
        <f>CONST_tCO2eq &amp; "/" &amp; CONST_t</f>
        <v>tCO2e/t</v>
      </c>
      <c r="I114" s="380"/>
      <c r="J114" s="380" t="str">
        <f>CONST_tCO2eq &amp; "/" &amp; CONST_t</f>
        <v>tCO2e/t</v>
      </c>
      <c r="K114" s="380" t="str">
        <f>CONST_MWh &amp; "/" &amp; CONST_t</f>
        <v>MWh/t</v>
      </c>
      <c r="L114" s="954"/>
      <c r="M114" s="954"/>
      <c r="N114" s="144"/>
      <c r="O114" s="144"/>
      <c r="P114" s="144"/>
      <c r="Q114" s="144"/>
      <c r="R114" s="144"/>
      <c r="S114" s="144"/>
      <c r="T114" s="428"/>
    </row>
    <row r="115" spans="1:41" ht="12.75" customHeight="1" x14ac:dyDescent="0.25">
      <c r="A115" s="92"/>
      <c r="B115" s="94"/>
      <c r="C115" s="144"/>
      <c r="D115" s="229" t="str">
        <f>INDEX(CNTR_ListPurchPrecID,ROWS(D$115:D115))</f>
        <v>PP1</v>
      </c>
      <c r="E115" s="153" t="str">
        <f>IF(INDEX(CNTR_List_ExistPurchPrecNames,ROWS(D$115:D115))=CONST_NA,"",INDEX(CNTR_List_ExistPurchPrecNames,ROWS(D$115:D115)))</f>
        <v/>
      </c>
      <c r="F115" s="153" t="str">
        <f>IF(E115="","",INDEX(CNTR_List_ExistPurchPrec,MATCH(D115,CNTR_ListPurchPrecID,0)))</f>
        <v/>
      </c>
      <c r="G115" s="1082"/>
      <c r="H115" s="245" t="str">
        <f>IF($E115="","",INDEX(InputOutput!AK$71:AK$100,MATCH($E115,InputOutput!$D$71:$D$100,0)))</f>
        <v/>
      </c>
      <c r="I115" s="1082"/>
      <c r="J115" s="245" t="str">
        <f>IF($E115="","",INDEX(InputOutput!AM$71:AM$100,MATCH($E115,InputOutput!$D$71:$D$100,0)))</f>
        <v/>
      </c>
      <c r="K115" s="245" t="str">
        <f>IF($E115="","",INDEX(InputOutput!AN$71:AN$100,MATCH($E115,InputOutput!$D$71:$D$100,0)))</f>
        <v/>
      </c>
      <c r="L115" s="954"/>
      <c r="M115" s="954"/>
      <c r="N115" s="144"/>
      <c r="O115" s="144"/>
      <c r="P115" s="144"/>
      <c r="Q115" s="144"/>
      <c r="R115" s="144"/>
      <c r="S115" s="144"/>
      <c r="T115" s="428"/>
    </row>
    <row r="116" spans="1:41" ht="12.75" customHeight="1" x14ac:dyDescent="0.25">
      <c r="A116" s="92"/>
      <c r="B116" s="94"/>
      <c r="C116" s="144"/>
      <c r="D116" s="229" t="str">
        <f>INDEX(CNTR_ListPurchPrecID,ROWS(D$115:D116))</f>
        <v>PP2</v>
      </c>
      <c r="E116" s="158" t="str">
        <f>IF(INDEX(CNTR_List_ExistPurchPrecNames,ROWS(D$115:D116))=CONST_NA,"",INDEX(CNTR_List_ExistPurchPrecNames,ROWS(D$115:D116)))</f>
        <v/>
      </c>
      <c r="F116" s="158" t="str">
        <f>IF(E116="","",INDEX(CNTR_List_ExistPurchPrec,MATCH(D116,CNTR_ListPurchPrecID,0)))</f>
        <v/>
      </c>
      <c r="G116" s="1083"/>
      <c r="H116" s="246" t="str">
        <f>IF($E116="","",INDEX(InputOutput!AK$71:AK$100,MATCH($E116,InputOutput!$D$71:$D$100,0)))</f>
        <v/>
      </c>
      <c r="I116" s="1083"/>
      <c r="J116" s="246" t="str">
        <f>IF($E116="","",INDEX(InputOutput!AM$71:AM$100,MATCH($E116,InputOutput!$D$71:$D$100,0)))</f>
        <v/>
      </c>
      <c r="K116" s="246" t="str">
        <f>IF($E116="","",INDEX(InputOutput!AN$71:AN$100,MATCH($E116,InputOutput!$D$71:$D$100,0)))</f>
        <v/>
      </c>
      <c r="L116" s="954"/>
      <c r="M116" s="954"/>
      <c r="N116" s="144"/>
      <c r="O116" s="144"/>
      <c r="P116" s="144"/>
      <c r="Q116" s="144"/>
      <c r="R116" s="144"/>
      <c r="S116" s="144"/>
      <c r="T116" s="428"/>
    </row>
    <row r="117" spans="1:41" ht="12.75" customHeight="1" x14ac:dyDescent="0.25">
      <c r="A117" s="92"/>
      <c r="B117" s="94"/>
      <c r="C117" s="144"/>
      <c r="D117" s="229" t="str">
        <f>INDEX(CNTR_ListPurchPrecID,ROWS(D$115:D117))</f>
        <v>PP3</v>
      </c>
      <c r="E117" s="158" t="str">
        <f>IF(INDEX(CNTR_List_ExistPurchPrecNames,ROWS(D$115:D117))=CONST_NA,"",INDEX(CNTR_List_ExistPurchPrecNames,ROWS(D$115:D117)))</f>
        <v/>
      </c>
      <c r="F117" s="158" t="str">
        <f t="shared" ref="F117:F134" si="25">IF(E117="","",INDEX(CNTR_List_ExistPurchPrec,MATCH(D117,CNTR_ListPurchPrecID,0)))</f>
        <v/>
      </c>
      <c r="G117" s="1083"/>
      <c r="H117" s="246" t="str">
        <f>IF($E117="","",INDEX(InputOutput!AK$71:AK$100,MATCH($E117,InputOutput!$D$71:$D$100,0)))</f>
        <v/>
      </c>
      <c r="I117" s="1083"/>
      <c r="J117" s="246" t="str">
        <f>IF($E117="","",INDEX(InputOutput!AM$71:AM$100,MATCH($E117,InputOutput!$D$71:$D$100,0)))</f>
        <v/>
      </c>
      <c r="K117" s="246" t="str">
        <f>IF($E117="","",INDEX(InputOutput!AN$71:AN$100,MATCH($E117,InputOutput!$D$71:$D$100,0)))</f>
        <v/>
      </c>
      <c r="L117" s="954"/>
      <c r="M117" s="954"/>
      <c r="N117" s="144"/>
      <c r="O117" s="144"/>
      <c r="P117" s="144"/>
      <c r="Q117" s="144"/>
      <c r="R117" s="144"/>
      <c r="S117" s="144"/>
      <c r="T117" s="428"/>
    </row>
    <row r="118" spans="1:41" ht="12.75" customHeight="1" x14ac:dyDescent="0.25">
      <c r="A118" s="92"/>
      <c r="B118" s="94"/>
      <c r="C118" s="144"/>
      <c r="D118" s="229" t="str">
        <f>INDEX(CNTR_ListPurchPrecID,ROWS(D$115:D118))</f>
        <v>PP4</v>
      </c>
      <c r="E118" s="158" t="str">
        <f>IF(INDEX(CNTR_List_ExistPurchPrecNames,ROWS(D$115:D118))=CONST_NA,"",INDEX(CNTR_List_ExistPurchPrecNames,ROWS(D$115:D118)))</f>
        <v/>
      </c>
      <c r="F118" s="158" t="str">
        <f t="shared" si="25"/>
        <v/>
      </c>
      <c r="G118" s="1083"/>
      <c r="H118" s="246" t="str">
        <f>IF($E118="","",INDEX(InputOutput!AK$71:AK$100,MATCH($E118,InputOutput!$D$71:$D$100,0)))</f>
        <v/>
      </c>
      <c r="I118" s="1083"/>
      <c r="J118" s="246" t="str">
        <f>IF($E118="","",INDEX(InputOutput!AM$71:AM$100,MATCH($E118,InputOutput!$D$71:$D$100,0)))</f>
        <v/>
      </c>
      <c r="K118" s="246" t="str">
        <f>IF($E118="","",INDEX(InputOutput!AN$71:AN$100,MATCH($E118,InputOutput!$D$71:$D$100,0)))</f>
        <v/>
      </c>
      <c r="L118" s="954"/>
      <c r="M118" s="954"/>
      <c r="N118" s="144"/>
      <c r="O118" s="144"/>
      <c r="P118" s="144"/>
      <c r="Q118" s="144"/>
      <c r="R118" s="144"/>
      <c r="S118" s="144"/>
      <c r="T118" s="428"/>
    </row>
    <row r="119" spans="1:41" ht="12.75" customHeight="1" x14ac:dyDescent="0.25">
      <c r="A119" s="92"/>
      <c r="B119" s="94"/>
      <c r="C119" s="144"/>
      <c r="D119" s="229" t="str">
        <f>INDEX(CNTR_ListPurchPrecID,ROWS(D$115:D119))</f>
        <v>PP5</v>
      </c>
      <c r="E119" s="158" t="str">
        <f>IF(INDEX(CNTR_List_ExistPurchPrecNames,ROWS(D$115:D119))=CONST_NA,"",INDEX(CNTR_List_ExistPurchPrecNames,ROWS(D$115:D119)))</f>
        <v/>
      </c>
      <c r="F119" s="158" t="str">
        <f t="shared" si="25"/>
        <v/>
      </c>
      <c r="G119" s="1083"/>
      <c r="H119" s="246" t="str">
        <f>IF($E119="","",INDEX(InputOutput!AK$71:AK$100,MATCH($E119,InputOutput!$D$71:$D$100,0)))</f>
        <v/>
      </c>
      <c r="I119" s="1083"/>
      <c r="J119" s="246" t="str">
        <f>IF($E119="","",INDEX(InputOutput!AM$71:AM$100,MATCH($E119,InputOutput!$D$71:$D$100,0)))</f>
        <v/>
      </c>
      <c r="K119" s="246" t="str">
        <f>IF($E119="","",INDEX(InputOutput!AN$71:AN$100,MATCH($E119,InputOutput!$D$71:$D$100,0)))</f>
        <v/>
      </c>
      <c r="L119" s="954"/>
      <c r="M119" s="954"/>
      <c r="N119" s="144"/>
      <c r="O119" s="144"/>
      <c r="P119" s="144"/>
      <c r="Q119" s="144"/>
      <c r="R119" s="144"/>
      <c r="S119" s="144"/>
      <c r="T119" s="428"/>
    </row>
    <row r="120" spans="1:41" ht="12.75" customHeight="1" x14ac:dyDescent="0.25">
      <c r="A120" s="92"/>
      <c r="B120" s="94"/>
      <c r="C120" s="144"/>
      <c r="D120" s="229" t="str">
        <f>INDEX(CNTR_ListPurchPrecID,ROWS(D$115:D120))</f>
        <v>PP6</v>
      </c>
      <c r="E120" s="158" t="str">
        <f>IF(INDEX(CNTR_List_ExistPurchPrecNames,ROWS(D$115:D120))=CONST_NA,"",INDEX(CNTR_List_ExistPurchPrecNames,ROWS(D$115:D120)))</f>
        <v/>
      </c>
      <c r="F120" s="158" t="str">
        <f t="shared" si="25"/>
        <v/>
      </c>
      <c r="G120" s="1083"/>
      <c r="H120" s="246" t="str">
        <f>IF($E120="","",INDEX(InputOutput!AK$71:AK$100,MATCH($E120,InputOutput!$D$71:$D$100,0)))</f>
        <v/>
      </c>
      <c r="I120" s="1083"/>
      <c r="J120" s="246" t="str">
        <f>IF($E120="","",INDEX(InputOutput!AM$71:AM$100,MATCH($E120,InputOutput!$D$71:$D$100,0)))</f>
        <v/>
      </c>
      <c r="K120" s="246" t="str">
        <f>IF($E120="","",INDEX(InputOutput!AN$71:AN$100,MATCH($E120,InputOutput!$D$71:$D$100,0)))</f>
        <v/>
      </c>
      <c r="L120" s="954"/>
      <c r="M120" s="954"/>
      <c r="N120" s="144"/>
      <c r="O120" s="144"/>
      <c r="P120" s="144"/>
      <c r="Q120" s="144"/>
      <c r="R120" s="144"/>
      <c r="S120" s="144"/>
      <c r="T120" s="428"/>
    </row>
    <row r="121" spans="1:41" ht="12.75" customHeight="1" x14ac:dyDescent="0.25">
      <c r="A121" s="92"/>
      <c r="B121" s="94"/>
      <c r="C121" s="144"/>
      <c r="D121" s="229" t="str">
        <f>INDEX(CNTR_ListPurchPrecID,ROWS(D$115:D121))</f>
        <v>PP7</v>
      </c>
      <c r="E121" s="158" t="str">
        <f>IF(INDEX(CNTR_List_ExistPurchPrecNames,ROWS(D$115:D121))=CONST_NA,"",INDEX(CNTR_List_ExistPurchPrecNames,ROWS(D$115:D121)))</f>
        <v/>
      </c>
      <c r="F121" s="158" t="str">
        <f t="shared" si="25"/>
        <v/>
      </c>
      <c r="G121" s="1083"/>
      <c r="H121" s="246" t="str">
        <f>IF($E121="","",INDEX(InputOutput!AK$71:AK$100,MATCH($E121,InputOutput!$D$71:$D$100,0)))</f>
        <v/>
      </c>
      <c r="I121" s="1083"/>
      <c r="J121" s="246" t="str">
        <f>IF($E121="","",INDEX(InputOutput!AM$71:AM$100,MATCH($E121,InputOutput!$D$71:$D$100,0)))</f>
        <v/>
      </c>
      <c r="K121" s="246" t="str">
        <f>IF($E121="","",INDEX(InputOutput!AN$71:AN$100,MATCH($E121,InputOutput!$D$71:$D$100,0)))</f>
        <v/>
      </c>
      <c r="L121" s="954"/>
      <c r="M121" s="954"/>
      <c r="N121" s="144"/>
      <c r="O121" s="144"/>
      <c r="P121" s="144"/>
      <c r="Q121" s="144"/>
      <c r="R121" s="144"/>
      <c r="S121" s="144"/>
      <c r="T121" s="428"/>
    </row>
    <row r="122" spans="1:41" ht="12.75" customHeight="1" x14ac:dyDescent="0.25">
      <c r="A122" s="92"/>
      <c r="B122" s="94"/>
      <c r="C122" s="144"/>
      <c r="D122" s="229" t="str">
        <f>INDEX(CNTR_ListPurchPrecID,ROWS(D$115:D122))</f>
        <v>PP8</v>
      </c>
      <c r="E122" s="158" t="str">
        <f>IF(INDEX(CNTR_List_ExistPurchPrecNames,ROWS(D$115:D122))=CONST_NA,"",INDEX(CNTR_List_ExistPurchPrecNames,ROWS(D$115:D122)))</f>
        <v/>
      </c>
      <c r="F122" s="158" t="str">
        <f t="shared" si="25"/>
        <v/>
      </c>
      <c r="G122" s="1083"/>
      <c r="H122" s="246" t="str">
        <f>IF($E122="","",INDEX(InputOutput!AK$71:AK$100,MATCH($E122,InputOutput!$D$71:$D$100,0)))</f>
        <v/>
      </c>
      <c r="I122" s="1083"/>
      <c r="J122" s="246" t="str">
        <f>IF($E122="","",INDEX(InputOutput!AM$71:AM$100,MATCH($E122,InputOutput!$D$71:$D$100,0)))</f>
        <v/>
      </c>
      <c r="K122" s="246" t="str">
        <f>IF($E122="","",INDEX(InputOutput!AN$71:AN$100,MATCH($E122,InputOutput!$D$71:$D$100,0)))</f>
        <v/>
      </c>
      <c r="L122" s="954"/>
      <c r="M122" s="954"/>
      <c r="N122" s="144"/>
      <c r="O122" s="144"/>
      <c r="P122" s="144"/>
      <c r="Q122" s="144"/>
      <c r="R122" s="144"/>
      <c r="S122" s="144"/>
      <c r="T122" s="428"/>
    </row>
    <row r="123" spans="1:41" ht="12.75" customHeight="1" x14ac:dyDescent="0.25">
      <c r="A123" s="92"/>
      <c r="B123" s="94"/>
      <c r="C123" s="144"/>
      <c r="D123" s="229" t="str">
        <f>INDEX(CNTR_ListPurchPrecID,ROWS(D$115:D123))</f>
        <v>PP9</v>
      </c>
      <c r="E123" s="158" t="str">
        <f>IF(INDEX(CNTR_List_ExistPurchPrecNames,ROWS(D$115:D123))=CONST_NA,"",INDEX(CNTR_List_ExistPurchPrecNames,ROWS(D$115:D123)))</f>
        <v/>
      </c>
      <c r="F123" s="158" t="str">
        <f t="shared" si="25"/>
        <v/>
      </c>
      <c r="G123" s="1083"/>
      <c r="H123" s="246" t="str">
        <f>IF($E123="","",INDEX(InputOutput!AK$71:AK$100,MATCH($E123,InputOutput!$D$71:$D$100,0)))</f>
        <v/>
      </c>
      <c r="I123" s="1083"/>
      <c r="J123" s="246" t="str">
        <f>IF($E123="","",INDEX(InputOutput!AM$71:AM$100,MATCH($E123,InputOutput!$D$71:$D$100,0)))</f>
        <v/>
      </c>
      <c r="K123" s="246" t="str">
        <f>IF($E123="","",INDEX(InputOutput!AN$71:AN$100,MATCH($E123,InputOutput!$D$71:$D$100,0)))</f>
        <v/>
      </c>
      <c r="L123" s="954"/>
      <c r="M123" s="954"/>
      <c r="N123" s="144"/>
      <c r="O123" s="144"/>
      <c r="P123" s="144"/>
      <c r="Q123" s="144"/>
      <c r="R123" s="144"/>
      <c r="S123" s="144"/>
      <c r="T123" s="428"/>
    </row>
    <row r="124" spans="1:41" ht="12.75" customHeight="1" x14ac:dyDescent="0.25">
      <c r="A124" s="92"/>
      <c r="B124" s="94"/>
      <c r="C124" s="144"/>
      <c r="D124" s="229" t="str">
        <f>INDEX(CNTR_ListPurchPrecID,ROWS(D$115:D124))</f>
        <v>PP10</v>
      </c>
      <c r="E124" s="158" t="str">
        <f>IF(INDEX(CNTR_List_ExistPurchPrecNames,ROWS(D$115:D124))=CONST_NA,"",INDEX(CNTR_List_ExistPurchPrecNames,ROWS(D$115:D124)))</f>
        <v/>
      </c>
      <c r="F124" s="158" t="str">
        <f t="shared" si="25"/>
        <v/>
      </c>
      <c r="G124" s="1083"/>
      <c r="H124" s="246" t="str">
        <f>IF($E124="","",INDEX(InputOutput!AK$71:AK$100,MATCH($E124,InputOutput!$D$71:$D$100,0)))</f>
        <v/>
      </c>
      <c r="I124" s="1083"/>
      <c r="J124" s="246" t="str">
        <f>IF($E124="","",INDEX(InputOutput!AM$71:AM$100,MATCH($E124,InputOutput!$D$71:$D$100,0)))</f>
        <v/>
      </c>
      <c r="K124" s="246" t="str">
        <f>IF($E124="","",INDEX(InputOutput!AN$71:AN$100,MATCH($E124,InputOutput!$D$71:$D$100,0)))</f>
        <v/>
      </c>
      <c r="L124" s="954"/>
      <c r="M124" s="954"/>
      <c r="N124" s="144"/>
      <c r="O124" s="144"/>
      <c r="P124" s="144"/>
      <c r="Q124" s="144"/>
      <c r="R124" s="144"/>
      <c r="S124" s="144"/>
      <c r="T124" s="428"/>
    </row>
    <row r="125" spans="1:41" ht="12.75" customHeight="1" x14ac:dyDescent="0.25">
      <c r="A125" s="92"/>
      <c r="B125" s="94"/>
      <c r="C125" s="144"/>
      <c r="D125" s="229" t="str">
        <f>INDEX(CNTR_ListPurchPrecID,ROWS(D$115:D125))</f>
        <v>PP11</v>
      </c>
      <c r="E125" s="158" t="str">
        <f>IF(INDEX(CNTR_List_ExistPurchPrecNames,ROWS(D$115:D125))=CONST_NA,"",INDEX(CNTR_List_ExistPurchPrecNames,ROWS(D$115:D125)))</f>
        <v/>
      </c>
      <c r="F125" s="158" t="str">
        <f t="shared" si="25"/>
        <v/>
      </c>
      <c r="G125" s="1083"/>
      <c r="H125" s="246" t="str">
        <f>IF($E125="","",INDEX(InputOutput!AK$71:AK$100,MATCH($E125,InputOutput!$D$71:$D$100,0)))</f>
        <v/>
      </c>
      <c r="I125" s="1083"/>
      <c r="J125" s="246" t="str">
        <f>IF($E125="","",INDEX(InputOutput!AM$71:AM$100,MATCH($E125,InputOutput!$D$71:$D$100,0)))</f>
        <v/>
      </c>
      <c r="K125" s="246" t="str">
        <f>IF($E125="","",INDEX(InputOutput!AN$71:AN$100,MATCH($E125,InputOutput!$D$71:$D$100,0)))</f>
        <v/>
      </c>
      <c r="L125" s="954"/>
      <c r="M125" s="954"/>
      <c r="N125" s="144"/>
      <c r="O125" s="144"/>
      <c r="P125" s="144"/>
      <c r="Q125" s="144"/>
      <c r="R125" s="144"/>
      <c r="S125" s="144"/>
      <c r="T125" s="428"/>
    </row>
    <row r="126" spans="1:41" ht="12.75" customHeight="1" x14ac:dyDescent="0.25">
      <c r="A126" s="92"/>
      <c r="B126" s="94"/>
      <c r="C126" s="144"/>
      <c r="D126" s="229" t="str">
        <f>INDEX(CNTR_ListPurchPrecID,ROWS(D$115:D126))</f>
        <v>PP12</v>
      </c>
      <c r="E126" s="158" t="str">
        <f>IF(INDEX(CNTR_List_ExistPurchPrecNames,ROWS(D$115:D126))=CONST_NA,"",INDEX(CNTR_List_ExistPurchPrecNames,ROWS(D$115:D126)))</f>
        <v/>
      </c>
      <c r="F126" s="158" t="str">
        <f t="shared" si="25"/>
        <v/>
      </c>
      <c r="G126" s="1083"/>
      <c r="H126" s="246" t="str">
        <f>IF($E126="","",INDEX(InputOutput!AK$71:AK$100,MATCH($E126,InputOutput!$D$71:$D$100,0)))</f>
        <v/>
      </c>
      <c r="I126" s="1083"/>
      <c r="J126" s="246" t="str">
        <f>IF($E126="","",INDEX(InputOutput!AM$71:AM$100,MATCH($E126,InputOutput!$D$71:$D$100,0)))</f>
        <v/>
      </c>
      <c r="K126" s="246" t="str">
        <f>IF($E126="","",INDEX(InputOutput!AN$71:AN$100,MATCH($E126,InputOutput!$D$71:$D$100,0)))</f>
        <v/>
      </c>
      <c r="L126" s="954"/>
      <c r="M126" s="954"/>
      <c r="N126" s="144"/>
      <c r="O126" s="144"/>
      <c r="P126" s="144"/>
      <c r="Q126" s="144"/>
      <c r="R126" s="144"/>
      <c r="S126" s="144"/>
      <c r="T126" s="428"/>
    </row>
    <row r="127" spans="1:41" ht="12.75" customHeight="1" x14ac:dyDescent="0.25">
      <c r="A127" s="92"/>
      <c r="B127" s="94"/>
      <c r="C127" s="144"/>
      <c r="D127" s="229" t="str">
        <f>INDEX(CNTR_ListPurchPrecID,ROWS(D$115:D127))</f>
        <v>PP13</v>
      </c>
      <c r="E127" s="158" t="str">
        <f>IF(INDEX(CNTR_List_ExistPurchPrecNames,ROWS(D$115:D127))=CONST_NA,"",INDEX(CNTR_List_ExistPurchPrecNames,ROWS(D$115:D127)))</f>
        <v/>
      </c>
      <c r="F127" s="158" t="str">
        <f t="shared" si="25"/>
        <v/>
      </c>
      <c r="G127" s="1083"/>
      <c r="H127" s="246" t="str">
        <f>IF($E127="","",INDEX(InputOutput!AK$71:AK$100,MATCH($E127,InputOutput!$D$71:$D$100,0)))</f>
        <v/>
      </c>
      <c r="I127" s="1083"/>
      <c r="J127" s="246" t="str">
        <f>IF($E127="","",INDEX(InputOutput!AM$71:AM$100,MATCH($E127,InputOutput!$D$71:$D$100,0)))</f>
        <v/>
      </c>
      <c r="K127" s="246" t="str">
        <f>IF($E127="","",INDEX(InputOutput!AN$71:AN$100,MATCH($E127,InputOutput!$D$71:$D$100,0)))</f>
        <v/>
      </c>
      <c r="L127" s="954"/>
      <c r="M127" s="954"/>
      <c r="N127" s="144"/>
      <c r="O127" s="144"/>
      <c r="P127" s="144"/>
      <c r="Q127" s="144"/>
      <c r="R127" s="144"/>
      <c r="S127" s="144"/>
      <c r="T127" s="428"/>
    </row>
    <row r="128" spans="1:41" ht="12.75" customHeight="1" x14ac:dyDescent="0.25">
      <c r="A128" s="92"/>
      <c r="B128" s="94"/>
      <c r="C128" s="144"/>
      <c r="D128" s="229" t="str">
        <f>INDEX(CNTR_ListPurchPrecID,ROWS(D$115:D128))</f>
        <v>PP14</v>
      </c>
      <c r="E128" s="158" t="str">
        <f>IF(INDEX(CNTR_List_ExistPurchPrecNames,ROWS(D$115:D128))=CONST_NA,"",INDEX(CNTR_List_ExistPurchPrecNames,ROWS(D$115:D128)))</f>
        <v/>
      </c>
      <c r="F128" s="158" t="str">
        <f t="shared" si="25"/>
        <v/>
      </c>
      <c r="G128" s="1083"/>
      <c r="H128" s="246" t="str">
        <f>IF($E128="","",INDEX(InputOutput!AK$71:AK$100,MATCH($E128,InputOutput!$D$71:$D$100,0)))</f>
        <v/>
      </c>
      <c r="I128" s="1083"/>
      <c r="J128" s="246" t="str">
        <f>IF($E128="","",INDEX(InputOutput!AM$71:AM$100,MATCH($E128,InputOutput!$D$71:$D$100,0)))</f>
        <v/>
      </c>
      <c r="K128" s="246" t="str">
        <f>IF($E128="","",INDEX(InputOutput!AN$71:AN$100,MATCH($E128,InputOutput!$D$71:$D$100,0)))</f>
        <v/>
      </c>
      <c r="L128" s="954"/>
      <c r="M128" s="954"/>
      <c r="N128" s="144"/>
      <c r="O128" s="144"/>
      <c r="P128" s="144"/>
      <c r="Q128" s="144"/>
      <c r="R128" s="144"/>
      <c r="S128" s="144"/>
      <c r="T128" s="428"/>
    </row>
    <row r="129" spans="1:22" ht="12.75" customHeight="1" x14ac:dyDescent="0.25">
      <c r="A129" s="92"/>
      <c r="B129" s="94"/>
      <c r="C129" s="144"/>
      <c r="D129" s="229" t="str">
        <f>INDEX(CNTR_ListPurchPrecID,ROWS(D$115:D129))</f>
        <v>PP15</v>
      </c>
      <c r="E129" s="158" t="str">
        <f>IF(INDEX(CNTR_List_ExistPurchPrecNames,ROWS(D$115:D129))=CONST_NA,"",INDEX(CNTR_List_ExistPurchPrecNames,ROWS(D$115:D129)))</f>
        <v/>
      </c>
      <c r="F129" s="158" t="str">
        <f t="shared" si="25"/>
        <v/>
      </c>
      <c r="G129" s="1083"/>
      <c r="H129" s="246" t="str">
        <f>IF($E129="","",INDEX(InputOutput!AK$71:AK$100,MATCH($E129,InputOutput!$D$71:$D$100,0)))</f>
        <v/>
      </c>
      <c r="I129" s="1083"/>
      <c r="J129" s="246" t="str">
        <f>IF($E129="","",INDEX(InputOutput!AM$71:AM$100,MATCH($E129,InputOutput!$D$71:$D$100,0)))</f>
        <v/>
      </c>
      <c r="K129" s="246" t="str">
        <f>IF($E129="","",INDEX(InputOutput!AN$71:AN$100,MATCH($E129,InputOutput!$D$71:$D$100,0)))</f>
        <v/>
      </c>
      <c r="L129" s="954"/>
      <c r="M129" s="954"/>
      <c r="N129" s="144"/>
      <c r="O129" s="144"/>
      <c r="P129" s="144"/>
      <c r="Q129" s="144"/>
      <c r="R129" s="144"/>
      <c r="S129" s="144"/>
      <c r="T129" s="428"/>
    </row>
    <row r="130" spans="1:22" ht="12.75" customHeight="1" x14ac:dyDescent="0.25">
      <c r="A130" s="92"/>
      <c r="B130" s="94"/>
      <c r="C130" s="144"/>
      <c r="D130" s="229" t="str">
        <f>INDEX(CNTR_ListPurchPrecID,ROWS(D$115:D130))</f>
        <v>PP16</v>
      </c>
      <c r="E130" s="158" t="str">
        <f>IF(INDEX(CNTR_List_ExistPurchPrecNames,ROWS(D$115:D130))=CONST_NA,"",INDEX(CNTR_List_ExistPurchPrecNames,ROWS(D$115:D130)))</f>
        <v/>
      </c>
      <c r="F130" s="158" t="str">
        <f t="shared" si="25"/>
        <v/>
      </c>
      <c r="G130" s="1083"/>
      <c r="H130" s="246" t="str">
        <f>IF($E130="","",INDEX(InputOutput!AK$71:AK$100,MATCH($E130,InputOutput!$D$71:$D$100,0)))</f>
        <v/>
      </c>
      <c r="I130" s="1083"/>
      <c r="J130" s="246" t="str">
        <f>IF($E130="","",INDEX(InputOutput!AM$71:AM$100,MATCH($E130,InputOutput!$D$71:$D$100,0)))</f>
        <v/>
      </c>
      <c r="K130" s="246" t="str">
        <f>IF($E130="","",INDEX(InputOutput!AN$71:AN$100,MATCH($E130,InputOutput!$D$71:$D$100,0)))</f>
        <v/>
      </c>
      <c r="L130" s="954"/>
      <c r="M130" s="954"/>
      <c r="N130" s="144"/>
      <c r="O130" s="144"/>
      <c r="P130" s="144"/>
      <c r="Q130" s="144"/>
      <c r="R130" s="144"/>
      <c r="S130" s="144"/>
      <c r="T130" s="428"/>
    </row>
    <row r="131" spans="1:22" ht="12.75" customHeight="1" x14ac:dyDescent="0.25">
      <c r="A131" s="92"/>
      <c r="B131" s="94"/>
      <c r="C131" s="144"/>
      <c r="D131" s="229" t="str">
        <f>INDEX(CNTR_ListPurchPrecID,ROWS(D$115:D131))</f>
        <v>PP17</v>
      </c>
      <c r="E131" s="158" t="str">
        <f>IF(INDEX(CNTR_List_ExistPurchPrecNames,ROWS(D$115:D131))=CONST_NA,"",INDEX(CNTR_List_ExistPurchPrecNames,ROWS(D$115:D131)))</f>
        <v/>
      </c>
      <c r="F131" s="158" t="str">
        <f t="shared" si="25"/>
        <v/>
      </c>
      <c r="G131" s="1083"/>
      <c r="H131" s="246" t="str">
        <f>IF($E131="","",INDEX(InputOutput!AK$71:AK$100,MATCH($E131,InputOutput!$D$71:$D$100,0)))</f>
        <v/>
      </c>
      <c r="I131" s="1083"/>
      <c r="J131" s="246" t="str">
        <f>IF($E131="","",INDEX(InputOutput!AM$71:AM$100,MATCH($E131,InputOutput!$D$71:$D$100,0)))</f>
        <v/>
      </c>
      <c r="K131" s="246" t="str">
        <f>IF($E131="","",INDEX(InputOutput!AN$71:AN$100,MATCH($E131,InputOutput!$D$71:$D$100,0)))</f>
        <v/>
      </c>
      <c r="L131" s="954"/>
      <c r="M131" s="954"/>
      <c r="N131" s="144"/>
      <c r="O131" s="144"/>
      <c r="P131" s="144"/>
      <c r="Q131" s="144"/>
      <c r="R131" s="144"/>
      <c r="S131" s="144"/>
      <c r="T131" s="428"/>
    </row>
    <row r="132" spans="1:22" ht="12.75" customHeight="1" x14ac:dyDescent="0.25">
      <c r="A132" s="92"/>
      <c r="B132" s="94"/>
      <c r="C132" s="144"/>
      <c r="D132" s="229" t="str">
        <f>INDEX(CNTR_ListPurchPrecID,ROWS(D$115:D132))</f>
        <v>PP18</v>
      </c>
      <c r="E132" s="158" t="str">
        <f>IF(INDEX(CNTR_List_ExistPurchPrecNames,ROWS(D$115:D132))=CONST_NA,"",INDEX(CNTR_List_ExistPurchPrecNames,ROWS(D$115:D132)))</f>
        <v/>
      </c>
      <c r="F132" s="158" t="str">
        <f t="shared" si="25"/>
        <v/>
      </c>
      <c r="G132" s="1083"/>
      <c r="H132" s="246" t="str">
        <f>IF($E132="","",INDEX(InputOutput!AK$71:AK$100,MATCH($E132,InputOutput!$D$71:$D$100,0)))</f>
        <v/>
      </c>
      <c r="I132" s="1083"/>
      <c r="J132" s="246" t="str">
        <f>IF($E132="","",INDEX(InputOutput!AM$71:AM$100,MATCH($E132,InputOutput!$D$71:$D$100,0)))</f>
        <v/>
      </c>
      <c r="K132" s="246" t="str">
        <f>IF($E132="","",INDEX(InputOutput!AN$71:AN$100,MATCH($E132,InputOutput!$D$71:$D$100,0)))</f>
        <v/>
      </c>
      <c r="L132" s="954"/>
      <c r="M132" s="954"/>
      <c r="N132" s="144"/>
      <c r="O132" s="144"/>
      <c r="P132" s="144"/>
      <c r="Q132" s="144"/>
      <c r="R132" s="144"/>
      <c r="S132" s="144"/>
      <c r="T132" s="428"/>
    </row>
    <row r="133" spans="1:22" ht="12.75" customHeight="1" x14ac:dyDescent="0.25">
      <c r="A133" s="92"/>
      <c r="B133" s="94"/>
      <c r="C133" s="144"/>
      <c r="D133" s="229" t="str">
        <f>INDEX(CNTR_ListPurchPrecID,ROWS(D$115:D133))</f>
        <v>PP19</v>
      </c>
      <c r="E133" s="158" t="str">
        <f>IF(INDEX(CNTR_List_ExistPurchPrecNames,ROWS(D$115:D133))=CONST_NA,"",INDEX(CNTR_List_ExistPurchPrecNames,ROWS(D$115:D133)))</f>
        <v/>
      </c>
      <c r="F133" s="158" t="str">
        <f t="shared" si="25"/>
        <v/>
      </c>
      <c r="G133" s="1083"/>
      <c r="H133" s="246" t="str">
        <f>IF($E133="","",INDEX(InputOutput!AK$71:AK$100,MATCH($E133,InputOutput!$D$71:$D$100,0)))</f>
        <v/>
      </c>
      <c r="I133" s="1083"/>
      <c r="J133" s="246" t="str">
        <f>IF($E133="","",INDEX(InputOutput!AM$71:AM$100,MATCH($E133,InputOutput!$D$71:$D$100,0)))</f>
        <v/>
      </c>
      <c r="K133" s="246" t="str">
        <f>IF($E133="","",INDEX(InputOutput!AN$71:AN$100,MATCH($E133,InputOutput!$D$71:$D$100,0)))</f>
        <v/>
      </c>
      <c r="L133" s="954"/>
      <c r="M133" s="954"/>
      <c r="N133" s="144"/>
      <c r="O133" s="144"/>
      <c r="P133" s="144"/>
      <c r="Q133" s="144"/>
      <c r="R133" s="144"/>
      <c r="S133" s="144"/>
      <c r="T133" s="428"/>
    </row>
    <row r="134" spans="1:22" ht="12.75" customHeight="1" x14ac:dyDescent="0.25">
      <c r="A134" s="92"/>
      <c r="B134" s="94"/>
      <c r="C134" s="144"/>
      <c r="D134" s="229" t="str">
        <f>INDEX(CNTR_ListPurchPrecID,ROWS(D$115:D134))</f>
        <v>PP20</v>
      </c>
      <c r="E134" s="162" t="str">
        <f>IF(INDEX(CNTR_List_ExistPurchPrecNames,ROWS(D$115:D134))=CONST_NA,"",INDEX(CNTR_List_ExistPurchPrecNames,ROWS(D$115:D134)))</f>
        <v/>
      </c>
      <c r="F134" s="161" t="str">
        <f t="shared" si="25"/>
        <v/>
      </c>
      <c r="G134" s="1084"/>
      <c r="H134" s="247" t="str">
        <f>IF($E134="","",INDEX(InputOutput!AK$71:AK$100,MATCH($E134,InputOutput!$D$71:$D$100,0)))</f>
        <v/>
      </c>
      <c r="I134" s="1084"/>
      <c r="J134" s="247" t="str">
        <f>IF($E134="","",INDEX(InputOutput!AM$71:AM$100,MATCH($E134,InputOutput!$D$71:$D$100,0)))</f>
        <v/>
      </c>
      <c r="K134" s="247" t="str">
        <f>IF($E134="","",INDEX(InputOutput!AN$71:AN$100,MATCH($E134,InputOutput!$D$71:$D$100,0)))</f>
        <v/>
      </c>
      <c r="L134" s="954"/>
      <c r="M134" s="954"/>
      <c r="N134" s="144"/>
      <c r="O134" s="144"/>
      <c r="P134" s="144"/>
      <c r="Q134" s="144"/>
      <c r="R134" s="144"/>
      <c r="S134" s="144"/>
      <c r="T134" s="428"/>
    </row>
    <row r="135" spans="1:22" ht="12.75" customHeight="1" x14ac:dyDescent="0.35">
      <c r="A135" s="92"/>
      <c r="B135" s="94"/>
      <c r="C135" s="144"/>
      <c r="D135" s="144"/>
      <c r="E135" s="144"/>
      <c r="F135" s="144"/>
      <c r="G135" s="144"/>
      <c r="H135" s="144"/>
      <c r="I135" s="144"/>
      <c r="J135" s="144"/>
      <c r="K135" s="144"/>
      <c r="L135" s="144"/>
      <c r="M135" s="144"/>
      <c r="N135" s="144"/>
      <c r="O135" s="144"/>
      <c r="P135" s="144"/>
      <c r="Q135" s="144"/>
      <c r="R135" s="144"/>
      <c r="S135" s="144"/>
      <c r="T135" s="428"/>
    </row>
    <row r="136" spans="1:22" ht="18" customHeight="1" x14ac:dyDescent="0.35">
      <c r="A136" s="919">
        <f>C136</f>
        <v>3</v>
      </c>
      <c r="B136" s="94"/>
      <c r="C136" s="908">
        <v>3</v>
      </c>
      <c r="D136" s="909" t="str">
        <f>Translations!$B$579</f>
        <v>Detailed overview of each production processes</v>
      </c>
      <c r="E136" s="909"/>
      <c r="F136" s="909"/>
      <c r="G136" s="910"/>
      <c r="H136" s="910"/>
      <c r="I136" s="910"/>
      <c r="J136" s="910"/>
      <c r="K136" s="910"/>
      <c r="L136" s="910"/>
      <c r="M136" s="910"/>
      <c r="N136" s="910"/>
      <c r="O136" s="910"/>
      <c r="P136" s="910"/>
      <c r="Q136" s="910"/>
      <c r="R136" s="910"/>
      <c r="S136" s="910"/>
      <c r="T136" s="428"/>
      <c r="V136" s="102" t="s">
        <v>2807</v>
      </c>
    </row>
    <row r="137" spans="1:22" ht="12.75" customHeight="1" x14ac:dyDescent="0.35">
      <c r="A137" s="92"/>
      <c r="B137" s="94"/>
      <c r="C137" s="144"/>
      <c r="D137" s="144"/>
      <c r="E137" s="144"/>
      <c r="F137" s="144"/>
      <c r="G137" s="144"/>
      <c r="H137" s="144"/>
      <c r="I137" s="144"/>
      <c r="J137" s="144"/>
      <c r="K137" s="144"/>
      <c r="L137" s="144"/>
      <c r="M137" s="144"/>
      <c r="N137" s="144"/>
      <c r="O137" s="144"/>
      <c r="P137" s="144"/>
      <c r="Q137" s="144"/>
      <c r="R137" s="144"/>
      <c r="S137" s="144"/>
      <c r="T137" s="428"/>
    </row>
    <row r="138" spans="1:22" ht="12.75" customHeight="1" x14ac:dyDescent="0.35">
      <c r="A138" s="92"/>
      <c r="B138" s="94"/>
      <c r="C138" s="144"/>
      <c r="D138" s="976" t="str">
        <f>Translations!$B$567</f>
        <v>The following abbreviations are used in the tables below:</v>
      </c>
      <c r="E138" s="938"/>
      <c r="F138" s="938"/>
      <c r="G138" s="938"/>
      <c r="H138" s="938"/>
      <c r="I138" s="938"/>
      <c r="J138" s="938"/>
      <c r="K138" s="938"/>
      <c r="L138" s="938"/>
      <c r="M138" s="938"/>
      <c r="N138" s="938"/>
      <c r="O138" s="938"/>
      <c r="P138" s="938"/>
      <c r="Q138" s="938"/>
      <c r="R138" s="938"/>
      <c r="S138" s="938"/>
      <c r="T138" s="428"/>
    </row>
    <row r="139" spans="1:22" ht="12.75" customHeight="1" x14ac:dyDescent="0.35">
      <c r="A139" s="92"/>
      <c r="B139" s="94"/>
      <c r="C139" s="972"/>
      <c r="D139" s="1411" t="str">
        <f>Translations!$B$581</f>
        <v>General aspects</v>
      </c>
      <c r="E139" s="1412"/>
      <c r="F139" s="1304" t="str">
        <f>Translations!$B$582</f>
        <v xml:space="preserve">The term 'specific' of all elements below is to be understood as being expressed per unit of good (usually tonnes) of the production process in consideration. </v>
      </c>
      <c r="G139" s="1304"/>
      <c r="H139" s="1304"/>
      <c r="I139" s="1304"/>
      <c r="J139" s="1304"/>
      <c r="K139" s="1304"/>
      <c r="L139" s="1304"/>
      <c r="M139" s="1304"/>
      <c r="N139" s="1304"/>
      <c r="O139" s="1304"/>
      <c r="P139" s="1304"/>
      <c r="Q139" s="1304"/>
      <c r="R139" s="1304"/>
      <c r="S139" s="1304"/>
      <c r="T139" s="428"/>
    </row>
    <row r="140" spans="1:22" ht="25.5" customHeight="1" x14ac:dyDescent="0.35">
      <c r="A140" s="92"/>
      <c r="B140" s="94"/>
      <c r="C140" s="972"/>
      <c r="D140" s="1413"/>
      <c r="E140" s="1414"/>
      <c r="F140" s="1306" t="str">
        <f>Translations!$B$2089</f>
        <v>Example: a precursor has specific embedded emissions of 0,8 tonnes of CO2e per tonne. The 'mass share' is 0,3 tonnes of precursor consumed per tonne of production from the relevant 'production process'. Under the block of the relevant 'production process', the value for 'SEE' for this precursor will therefore be displayed as 0,24 tonnes CO2e per tonne.</v>
      </c>
      <c r="G140" s="1307"/>
      <c r="H140" s="1307"/>
      <c r="I140" s="1307"/>
      <c r="J140" s="1307"/>
      <c r="K140" s="1307"/>
      <c r="L140" s="1307"/>
      <c r="M140" s="1307"/>
      <c r="N140" s="1307"/>
      <c r="O140" s="1307"/>
      <c r="P140" s="1307"/>
      <c r="Q140" s="1307"/>
      <c r="R140" s="1307"/>
      <c r="S140" s="1307"/>
      <c r="T140" s="428"/>
    </row>
    <row r="141" spans="1:22" ht="12.75" customHeight="1" x14ac:dyDescent="0.35">
      <c r="A141" s="92"/>
      <c r="B141" s="94"/>
      <c r="C141" s="972"/>
      <c r="D141" s="1306" t="str">
        <f>Translations!$B$584</f>
        <v>Mass share</v>
      </c>
      <c r="E141" s="1307"/>
      <c r="F141" s="1306" t="str">
        <f>Translations!$B$585</f>
        <v>This is the specific consumption of each precursor per unit of products produced by the relevant 'production process'.</v>
      </c>
      <c r="G141" s="1307"/>
      <c r="H141" s="1307"/>
      <c r="I141" s="1307"/>
      <c r="J141" s="1307"/>
      <c r="K141" s="1307"/>
      <c r="L141" s="1307"/>
      <c r="M141" s="1307"/>
      <c r="N141" s="1307"/>
      <c r="O141" s="1307"/>
      <c r="P141" s="1307"/>
      <c r="Q141" s="1307"/>
      <c r="R141" s="1307"/>
      <c r="S141" s="1307"/>
      <c r="T141" s="428"/>
    </row>
    <row r="142" spans="1:22" ht="25.5" customHeight="1" x14ac:dyDescent="0.35">
      <c r="A142" s="92"/>
      <c r="B142" s="94"/>
      <c r="C142" s="972"/>
      <c r="D142" s="1306" t="str">
        <f>Translations!$B$586</f>
        <v>(Share of) Default value</v>
      </c>
      <c r="E142" s="1307"/>
      <c r="F142" s="1306" t="str">
        <f>Translations!$B$587</f>
        <v>This is relevant for purchased precursors and indicates whether the embedded direct emissions are determined based on default values ("TRUE") or actual measurements ("FALSE"). For the whole process, this indicator will calculate the share of embedded emissions determined by default values.</v>
      </c>
      <c r="G142" s="1307"/>
      <c r="H142" s="1307"/>
      <c r="I142" s="1307"/>
      <c r="J142" s="1307"/>
      <c r="K142" s="1307"/>
      <c r="L142" s="1307"/>
      <c r="M142" s="1307"/>
      <c r="N142" s="1307"/>
      <c r="O142" s="1307"/>
      <c r="P142" s="1307"/>
      <c r="Q142" s="1307"/>
      <c r="R142" s="1307"/>
      <c r="S142" s="1307"/>
      <c r="T142" s="428"/>
    </row>
    <row r="143" spans="1:22" ht="12.75" customHeight="1" x14ac:dyDescent="0.35">
      <c r="A143" s="92"/>
      <c r="B143" s="94"/>
      <c r="C143" s="972"/>
      <c r="D143" s="1306" t="str">
        <f>Translations!$B$570</f>
        <v>SEE (direct)</v>
      </c>
      <c r="E143" s="1307"/>
      <c r="F143" s="1306" t="str">
        <f>Translations!$B$571</f>
        <v>Specific embedded direct emissions of the production process, i.e. including any embedded emissions from any precursors consumed in the process.</v>
      </c>
      <c r="G143" s="1307"/>
      <c r="H143" s="1307"/>
      <c r="I143" s="1307"/>
      <c r="J143" s="1307"/>
      <c r="K143" s="1307"/>
      <c r="L143" s="1307"/>
      <c r="M143" s="1307"/>
      <c r="N143" s="1307"/>
      <c r="O143" s="1307"/>
      <c r="P143" s="1307"/>
      <c r="Q143" s="1307"/>
      <c r="R143" s="1307"/>
      <c r="S143" s="1307"/>
      <c r="T143" s="428"/>
    </row>
    <row r="144" spans="1:22" ht="12.75" customHeight="1" x14ac:dyDescent="0.35">
      <c r="A144" s="92"/>
      <c r="B144" s="94"/>
      <c r="C144" s="972"/>
      <c r="D144" s="1306" t="str">
        <f>Translations!$B$574</f>
        <v>SEE (indirect)</v>
      </c>
      <c r="E144" s="1307"/>
      <c r="F144" s="1306" t="str">
        <f>Translations!$B$575</f>
        <v>Specific embedded indirect emissions of the production process, i.e. including any embedded indirect emissions from any precursors consumed in the process.</v>
      </c>
      <c r="G144" s="1307"/>
      <c r="H144" s="1307"/>
      <c r="I144" s="1307"/>
      <c r="J144" s="1307"/>
      <c r="K144" s="1307"/>
      <c r="L144" s="1307"/>
      <c r="M144" s="1307"/>
      <c r="N144" s="1307"/>
      <c r="O144" s="1307"/>
      <c r="P144" s="1307"/>
      <c r="Q144" s="1307"/>
      <c r="R144" s="1307"/>
      <c r="S144" s="1307"/>
      <c r="T144" s="428"/>
    </row>
    <row r="145" spans="1:20" ht="12.75" customHeight="1" x14ac:dyDescent="0.35">
      <c r="A145" s="92"/>
      <c r="B145" s="94"/>
      <c r="C145" s="972"/>
      <c r="D145" s="1306" t="str">
        <f>Translations!$B$344</f>
        <v>SEE (total)</v>
      </c>
      <c r="E145" s="1307"/>
      <c r="F145" s="1306" t="str">
        <f>Translations!$B$588</f>
        <v>Total (direct + indirect) specific embedded emissions of the production process, i.e. including any embedded indirect emissions from any precursors consumed in the process.</v>
      </c>
      <c r="G145" s="1307"/>
      <c r="H145" s="1307"/>
      <c r="I145" s="1307"/>
      <c r="J145" s="1307"/>
      <c r="K145" s="1307"/>
      <c r="L145" s="1307"/>
      <c r="M145" s="1307"/>
      <c r="N145" s="1307"/>
      <c r="O145" s="1307"/>
      <c r="P145" s="1307"/>
      <c r="Q145" s="1307"/>
      <c r="R145" s="1307"/>
      <c r="S145" s="1307"/>
      <c r="T145" s="428"/>
    </row>
    <row r="146" spans="1:20" ht="12.75" customHeight="1" x14ac:dyDescent="0.35">
      <c r="A146" s="92"/>
      <c r="B146" s="94"/>
      <c r="C146" s="972"/>
      <c r="D146" s="1306" t="str">
        <f>Translations!$B$589</f>
        <v>EmbEm (direct)</v>
      </c>
      <c r="E146" s="1307"/>
      <c r="F146" s="1306" t="str">
        <f>Translations!$B$590</f>
        <v>Embedded direct emissions of the production process, i.e. including any embedded emissions from any precursors consumed in the process.</v>
      </c>
      <c r="G146" s="1307"/>
      <c r="H146" s="1307"/>
      <c r="I146" s="1307"/>
      <c r="J146" s="1307"/>
      <c r="K146" s="1307"/>
      <c r="L146" s="1307"/>
      <c r="M146" s="1307"/>
      <c r="N146" s="1307"/>
      <c r="O146" s="1307"/>
      <c r="P146" s="1307"/>
      <c r="Q146" s="1307"/>
      <c r="R146" s="1307"/>
      <c r="S146" s="1307"/>
      <c r="T146" s="428"/>
    </row>
    <row r="147" spans="1:20" ht="12.75" customHeight="1" x14ac:dyDescent="0.35">
      <c r="A147" s="92"/>
      <c r="B147" s="94"/>
      <c r="C147" s="972"/>
      <c r="D147" s="1306" t="str">
        <f>Translations!$B$591</f>
        <v>EmbEm (indirect)</v>
      </c>
      <c r="E147" s="1307"/>
      <c r="F147" s="1306" t="str">
        <f>Translations!$B$592</f>
        <v>Embedded indirect emissions of the production process, i.e. including any embedded indirect emissions from any precursors consumed in the process.</v>
      </c>
      <c r="G147" s="1307"/>
      <c r="H147" s="1307"/>
      <c r="I147" s="1307"/>
      <c r="J147" s="1307"/>
      <c r="K147" s="1307"/>
      <c r="L147" s="1307"/>
      <c r="M147" s="1307"/>
      <c r="N147" s="1307"/>
      <c r="O147" s="1307"/>
      <c r="P147" s="1307"/>
      <c r="Q147" s="1307"/>
      <c r="R147" s="1307"/>
      <c r="S147" s="1307"/>
      <c r="T147" s="428"/>
    </row>
    <row r="148" spans="1:20" ht="12.75" customHeight="1" x14ac:dyDescent="0.35">
      <c r="A148" s="92"/>
      <c r="B148" s="94"/>
      <c r="C148" s="972"/>
      <c r="D148" s="1306" t="str">
        <f>Translations!$B$593</f>
        <v>EmbEm (total)</v>
      </c>
      <c r="E148" s="1307"/>
      <c r="F148" s="1306" t="str">
        <f>Translations!$B$588</f>
        <v>Total (direct + indirect) specific embedded emissions of the production process, i.e. including any embedded indirect emissions from any precursors consumed in the process.</v>
      </c>
      <c r="G148" s="1307"/>
      <c r="H148" s="1307"/>
      <c r="I148" s="1307"/>
      <c r="J148" s="1307"/>
      <c r="K148" s="1307"/>
      <c r="L148" s="1307"/>
      <c r="M148" s="1307"/>
      <c r="N148" s="1307"/>
      <c r="O148" s="1307"/>
      <c r="P148" s="1307"/>
      <c r="Q148" s="1307"/>
      <c r="R148" s="1307"/>
      <c r="S148" s="1307"/>
      <c r="T148" s="428"/>
    </row>
    <row r="149" spans="1:20" ht="12.75" customHeight="1" x14ac:dyDescent="0.35">
      <c r="A149" s="92"/>
      <c r="B149" s="94"/>
      <c r="C149" s="972"/>
      <c r="D149" s="1306" t="str">
        <f>Translations!$B$594</f>
        <v>Source of electricity EF</v>
      </c>
      <c r="E149" s="1307"/>
      <c r="F149" s="1306" t="str">
        <f>Translations!$B$595</f>
        <v>The source or method based on which the electricity emission factor (EF) was determined for the relevant production process or precursor.</v>
      </c>
      <c r="G149" s="1307"/>
      <c r="H149" s="1307"/>
      <c r="I149" s="1307"/>
      <c r="J149" s="1307"/>
      <c r="K149" s="1307"/>
      <c r="L149" s="1307"/>
      <c r="M149" s="1307"/>
      <c r="N149" s="1307"/>
      <c r="O149" s="1307"/>
      <c r="P149" s="1307"/>
      <c r="Q149" s="1307"/>
      <c r="R149" s="1307"/>
      <c r="S149" s="1307"/>
      <c r="T149" s="428"/>
    </row>
    <row r="150" spans="1:20" ht="12.75" customHeight="1" x14ac:dyDescent="0.35">
      <c r="A150" s="92"/>
      <c r="B150" s="94"/>
      <c r="C150" s="972"/>
      <c r="D150" s="1425" t="str">
        <f>G_FurtherGuidance!F141</f>
        <v>D.4(a)</v>
      </c>
      <c r="E150" s="1425"/>
      <c r="F150" s="1306" t="str">
        <f>Translations!$B$2053</f>
        <v>EF based on IEA data, provided by the European Commission</v>
      </c>
      <c r="G150" s="1307"/>
      <c r="H150" s="1307"/>
      <c r="I150" s="1307"/>
      <c r="J150" s="1307"/>
      <c r="K150" s="1307"/>
      <c r="L150" s="1307"/>
      <c r="M150" s="1307"/>
      <c r="N150" s="1307"/>
      <c r="O150" s="1307"/>
      <c r="P150" s="1307"/>
      <c r="Q150" s="1307"/>
      <c r="R150" s="1307"/>
      <c r="S150" s="1307"/>
      <c r="T150" s="428"/>
    </row>
    <row r="151" spans="1:20" ht="12.75" customHeight="1" x14ac:dyDescent="0.35">
      <c r="A151" s="92"/>
      <c r="B151" s="94"/>
      <c r="C151" s="972"/>
      <c r="D151" s="1426" t="str">
        <f>G_FurtherGuidance!F142</f>
        <v>D.4(b)</v>
      </c>
      <c r="E151" s="1426"/>
      <c r="F151" s="1306" t="str">
        <f>Translations!$B$2054</f>
        <v>EF based on other publicly available data representing either the average EF or the CO2 emission factor as in section 4.3 of Annex IV of the CBAM Regulation.</v>
      </c>
      <c r="G151" s="1307"/>
      <c r="H151" s="1307"/>
      <c r="I151" s="1307"/>
      <c r="J151" s="1307"/>
      <c r="K151" s="1307"/>
      <c r="L151" s="1307"/>
      <c r="M151" s="1307"/>
      <c r="N151" s="1307"/>
      <c r="O151" s="1307"/>
      <c r="P151" s="1307"/>
      <c r="Q151" s="1307"/>
      <c r="R151" s="1307"/>
      <c r="S151" s="1307"/>
      <c r="T151" s="428"/>
    </row>
    <row r="152" spans="1:20" ht="12.75" customHeight="1" x14ac:dyDescent="0.35">
      <c r="A152" s="92"/>
      <c r="B152" s="94"/>
      <c r="C152" s="972"/>
      <c r="D152" s="1426" t="str">
        <f>G_FurtherGuidance!F143</f>
        <v>D.4.1</v>
      </c>
      <c r="E152" s="1426"/>
      <c r="F152" s="1306" t="str">
        <f>Translations!$B$2055</f>
        <v>EF of electricity produced in the installation other than by cogeneration</v>
      </c>
      <c r="G152" s="1307"/>
      <c r="H152" s="1307"/>
      <c r="I152" s="1307"/>
      <c r="J152" s="1307"/>
      <c r="K152" s="1307"/>
      <c r="L152" s="1307"/>
      <c r="M152" s="1307"/>
      <c r="N152" s="1307"/>
      <c r="O152" s="1307"/>
      <c r="P152" s="1307"/>
      <c r="Q152" s="1307"/>
      <c r="R152" s="1307"/>
      <c r="S152" s="1307"/>
      <c r="T152" s="428"/>
    </row>
    <row r="153" spans="1:20" ht="12.75" customHeight="1" x14ac:dyDescent="0.35">
      <c r="A153" s="92"/>
      <c r="B153" s="94"/>
      <c r="C153" s="972"/>
      <c r="D153" s="1426" t="str">
        <f>G_FurtherGuidance!F144</f>
        <v>D.4.2</v>
      </c>
      <c r="E153" s="1426"/>
      <c r="F153" s="1306" t="str">
        <f>Translations!$B$2056</f>
        <v>EF of electricity produced in the installation by cogeneration</v>
      </c>
      <c r="G153" s="1307"/>
      <c r="H153" s="1307"/>
      <c r="I153" s="1307"/>
      <c r="J153" s="1307"/>
      <c r="K153" s="1307"/>
      <c r="L153" s="1307"/>
      <c r="M153" s="1307"/>
      <c r="N153" s="1307"/>
      <c r="O153" s="1307"/>
      <c r="P153" s="1307"/>
      <c r="Q153" s="1307"/>
      <c r="R153" s="1307"/>
      <c r="S153" s="1307"/>
      <c r="T153" s="428"/>
    </row>
    <row r="154" spans="1:20" ht="12.75" customHeight="1" x14ac:dyDescent="0.35">
      <c r="A154" s="92"/>
      <c r="B154" s="94"/>
      <c r="C154" s="972"/>
      <c r="D154" s="1426" t="str">
        <f>G_FurtherGuidance!F145</f>
        <v>D.4.3.1</v>
      </c>
      <c r="E154" s="1426"/>
      <c r="F154" s="1306" t="str">
        <f>Translations!$B$2057</f>
        <v>EF of electricity produced outside the installation (received from a source with a direct technical link)</v>
      </c>
      <c r="G154" s="1307"/>
      <c r="H154" s="1307"/>
      <c r="I154" s="1307"/>
      <c r="J154" s="1307"/>
      <c r="K154" s="1307"/>
      <c r="L154" s="1307"/>
      <c r="M154" s="1307"/>
      <c r="N154" s="1307"/>
      <c r="O154" s="1307"/>
      <c r="P154" s="1307"/>
      <c r="Q154" s="1307"/>
      <c r="R154" s="1307"/>
      <c r="S154" s="1307"/>
      <c r="T154" s="428"/>
    </row>
    <row r="155" spans="1:20" ht="12.75" customHeight="1" x14ac:dyDescent="0.35">
      <c r="A155" s="92"/>
      <c r="B155" s="94"/>
      <c r="C155" s="972"/>
      <c r="D155" s="1426" t="str">
        <f>G_FurtherGuidance!F146</f>
        <v>D.4.3.2</v>
      </c>
      <c r="E155" s="1426"/>
      <c r="F155" s="1306" t="str">
        <f>Translations!$B$2058</f>
        <v>EF of electricity produced outside the installation (received from a producer under a power purchase agreement)</v>
      </c>
      <c r="G155" s="1307"/>
      <c r="H155" s="1307"/>
      <c r="I155" s="1307"/>
      <c r="J155" s="1307"/>
      <c r="K155" s="1307"/>
      <c r="L155" s="1307"/>
      <c r="M155" s="1307"/>
      <c r="N155" s="1307"/>
      <c r="O155" s="1307"/>
      <c r="P155" s="1307"/>
      <c r="Q155" s="1307"/>
      <c r="R155" s="1307"/>
      <c r="S155" s="1307"/>
      <c r="T155" s="428"/>
    </row>
    <row r="156" spans="1:20" ht="12.75" customHeight="1" x14ac:dyDescent="0.35">
      <c r="A156" s="92"/>
      <c r="B156" s="94"/>
      <c r="C156" s="972"/>
      <c r="D156" s="1427" t="str">
        <f>Translations!$B$460</f>
        <v>Mix</v>
      </c>
      <c r="E156" s="1428"/>
      <c r="F156" s="1306" t="str">
        <f>Translations!$B$596</f>
        <v>Where the electricity is not predominantly obtained from one source or the EF by one of the above sources, the EF is determined as a mix of the methods above.</v>
      </c>
      <c r="G156" s="1307"/>
      <c r="H156" s="1307"/>
      <c r="I156" s="1307"/>
      <c r="J156" s="1307"/>
      <c r="K156" s="1307"/>
      <c r="L156" s="1307"/>
      <c r="M156" s="1307"/>
      <c r="N156" s="1307"/>
      <c r="O156" s="1307"/>
      <c r="P156" s="1307"/>
      <c r="Q156" s="1307"/>
      <c r="R156" s="1307"/>
      <c r="S156" s="1307"/>
      <c r="T156" s="428"/>
    </row>
    <row r="157" spans="1:20" ht="12.75" customHeight="1" x14ac:dyDescent="0.35">
      <c r="A157" s="92"/>
      <c r="B157" s="94"/>
      <c r="C157" s="972"/>
      <c r="D157" s="1306" t="str">
        <f>Translations!$B$480</f>
        <v>Embedded electricity</v>
      </c>
      <c r="E157" s="1307"/>
      <c r="F157" s="1306" t="str">
        <f>Translations!$B$2090</f>
        <v>Specific embedded electricity consumption the production process, including any electricity embedded in any precursors consumed in the process.</v>
      </c>
      <c r="G157" s="1307"/>
      <c r="H157" s="1307"/>
      <c r="I157" s="1307"/>
      <c r="J157" s="1307"/>
      <c r="K157" s="1307"/>
      <c r="L157" s="1307"/>
      <c r="M157" s="1307"/>
      <c r="N157" s="1307"/>
      <c r="O157" s="1307"/>
      <c r="P157" s="1307"/>
      <c r="Q157" s="1307"/>
      <c r="R157" s="1307"/>
      <c r="S157" s="1307"/>
      <c r="T157" s="428"/>
    </row>
    <row r="158" spans="1:20" ht="12.75" customHeight="1" x14ac:dyDescent="0.35">
      <c r="A158" s="92"/>
      <c r="B158" s="94"/>
      <c r="C158" s="972"/>
      <c r="D158" s="1306" t="str">
        <f>Translations!$B$1957</f>
        <v>Country code</v>
      </c>
      <c r="E158" s="1307"/>
      <c r="F158" s="1306" t="str">
        <f>Translations!$B$599</f>
        <v>This is the country in which the relevant precursor is produced, where imported from outside the own installation.</v>
      </c>
      <c r="G158" s="1307"/>
      <c r="H158" s="1307"/>
      <c r="I158" s="1307"/>
      <c r="J158" s="1307"/>
      <c r="K158" s="1307"/>
      <c r="L158" s="1307"/>
      <c r="M158" s="1307"/>
      <c r="N158" s="1307"/>
      <c r="O158" s="1307"/>
      <c r="P158" s="1307"/>
      <c r="Q158" s="1307"/>
      <c r="R158" s="1307"/>
      <c r="S158" s="1307"/>
      <c r="T158" s="428"/>
    </row>
    <row r="159" spans="1:20" ht="12.75" customHeight="1" x14ac:dyDescent="0.35">
      <c r="A159" s="92"/>
      <c r="B159" s="94"/>
      <c r="C159" s="972"/>
      <c r="D159" s="1306" t="str">
        <f>Translations!$B$351</f>
        <v>CP due (per produced t or MWh)</v>
      </c>
      <c r="E159" s="1307"/>
      <c r="F159" s="1306" t="str">
        <f>Translations!$B$1870</f>
        <v>This information is taken from the "tool to calculate the carbon price due" in sheet "F_Tools", where relevant.</v>
      </c>
      <c r="G159" s="1307"/>
      <c r="H159" s="1307"/>
      <c r="I159" s="1307"/>
      <c r="J159" s="1307"/>
      <c r="K159" s="1307"/>
      <c r="L159" s="1307"/>
      <c r="M159" s="1307"/>
      <c r="N159" s="1307"/>
      <c r="O159" s="1307"/>
      <c r="P159" s="1307"/>
      <c r="Q159" s="1307"/>
      <c r="R159" s="1307"/>
      <c r="S159" s="1307"/>
      <c r="T159" s="428"/>
    </row>
    <row r="160" spans="1:20" ht="12.75" customHeight="1" x14ac:dyDescent="0.35">
      <c r="A160" s="92"/>
      <c r="B160" s="94"/>
      <c r="C160" s="972"/>
      <c r="D160" s="1308" t="str">
        <f>Translations!$B$352</f>
        <v>Rebate (per produced t or MWh)</v>
      </c>
      <c r="E160" s="1309"/>
      <c r="F160" s="1435" t="str">
        <f>Translations!$B$1870</f>
        <v>This information is taken from the "tool to calculate the carbon price due" in sheet "F_Tools", where relevant.</v>
      </c>
      <c r="G160" s="1309"/>
      <c r="H160" s="1309"/>
      <c r="I160" s="1309"/>
      <c r="J160" s="1309"/>
      <c r="K160" s="1309"/>
      <c r="L160" s="1309"/>
      <c r="M160" s="1309"/>
      <c r="N160" s="1309"/>
      <c r="O160" s="1309"/>
      <c r="P160" s="1309"/>
      <c r="Q160" s="1309"/>
      <c r="R160" s="1309"/>
      <c r="S160" s="1309"/>
      <c r="T160" s="428"/>
    </row>
    <row r="161" spans="1:41" ht="12.75" customHeight="1" thickBot="1" x14ac:dyDescent="0.4">
      <c r="A161" s="92"/>
      <c r="B161" s="94"/>
      <c r="C161" s="144"/>
      <c r="D161" s="144"/>
      <c r="E161" s="144"/>
      <c r="F161" s="144"/>
      <c r="G161" s="144"/>
      <c r="H161" s="144"/>
      <c r="I161" s="144"/>
      <c r="J161" s="144"/>
      <c r="K161" s="144"/>
      <c r="L161" s="144"/>
      <c r="M161" s="144"/>
      <c r="N161" s="144"/>
      <c r="O161" s="144"/>
      <c r="P161" s="144"/>
      <c r="Q161" s="144"/>
      <c r="R161" s="144"/>
      <c r="S161" s="144"/>
      <c r="T161" s="428"/>
    </row>
    <row r="162" spans="1:41" s="249" customFormat="1" ht="25.5" customHeight="1" x14ac:dyDescent="0.35">
      <c r="A162" s="977"/>
      <c r="B162" s="981"/>
      <c r="C162" s="1439">
        <v>1</v>
      </c>
      <c r="D162" s="1421" t="str">
        <f>IF(INDEX(CNTR_List_ExistProdProcNames,C162)=CONST_NA,"",INDEX(CNTR_List_ExistProdProcNames,C162))</f>
        <v/>
      </c>
      <c r="E162" s="1422"/>
      <c r="F162" s="1419" t="str">
        <f>Translations!$B$107</f>
        <v>Aggregated goods category</v>
      </c>
      <c r="G162" s="250" t="str">
        <f>Translations!$B$584</f>
        <v>Mass share</v>
      </c>
      <c r="H162" s="1448" t="str">
        <f>Translations!$B$586</f>
        <v>(Share of) Default value</v>
      </c>
      <c r="I162" s="250" t="str">
        <f>Translations!$B$570</f>
        <v>SEE (direct)</v>
      </c>
      <c r="J162" s="250" t="str">
        <f>Translations!$B$574</f>
        <v>SEE (indirect)</v>
      </c>
      <c r="K162" s="250" t="str">
        <f>Translations!$B$344</f>
        <v>SEE (total)</v>
      </c>
      <c r="L162" s="250" t="str">
        <f>Translations!$B$589</f>
        <v>EmbEm (direct)</v>
      </c>
      <c r="M162" s="250" t="str">
        <f>Translations!$B$591</f>
        <v>EmbEm (indirect)</v>
      </c>
      <c r="N162" s="250" t="str">
        <f>Translations!$B$593</f>
        <v>EmbEm (total)</v>
      </c>
      <c r="O162" s="1448" t="str">
        <f>Translations!$B$594</f>
        <v>Source of electricity EF</v>
      </c>
      <c r="P162" s="250" t="str">
        <f>Translations!$B$480</f>
        <v>Embedded electricity</v>
      </c>
      <c r="Q162" s="1415" t="str">
        <f>Translations!$B$1957</f>
        <v>Country code</v>
      </c>
      <c r="R162" s="1444" t="str">
        <f>Translations!$B$351</f>
        <v>CP due (per produced t or MWh)</v>
      </c>
      <c r="S162" s="1446" t="str">
        <f>Translations!$B$352</f>
        <v>Rebate (per produced t or MWh)</v>
      </c>
      <c r="T162" s="431"/>
      <c r="U162" s="93"/>
      <c r="V162" s="248"/>
      <c r="W162" s="248"/>
      <c r="X162" s="91"/>
      <c r="Y162" s="248"/>
      <c r="Z162" s="123"/>
      <c r="AA162" s="248"/>
      <c r="AB162" s="248"/>
      <c r="AC162" s="248"/>
      <c r="AD162" s="248"/>
      <c r="AE162" s="248"/>
      <c r="AF162" s="104" t="str">
        <f>H162</f>
        <v>(Share of) Default value</v>
      </c>
      <c r="AG162" s="681" t="str">
        <f>H164</f>
        <v/>
      </c>
      <c r="AH162" s="91"/>
      <c r="AI162" s="91"/>
      <c r="AJ162" s="91"/>
      <c r="AK162" s="91"/>
      <c r="AL162" s="91"/>
      <c r="AM162" s="91"/>
      <c r="AN162" s="91"/>
      <c r="AO162" s="91"/>
    </row>
    <row r="163" spans="1:41" s="249" customFormat="1" ht="15" customHeight="1" thickBot="1" x14ac:dyDescent="0.4">
      <c r="A163" s="977"/>
      <c r="B163" s="981"/>
      <c r="C163" s="1440"/>
      <c r="D163" s="1423"/>
      <c r="E163" s="1424"/>
      <c r="F163" s="1420"/>
      <c r="G163" s="251" t="str">
        <f>IF($F164="",CONST_t,INDEX(CONST_LIST_GoodsUnit,MATCH($F164,CONST_LIST_Goods,0))) &amp;"/"&amp; IF($F164="",CONST_t,INDEX(CONST_LIST_GoodsUnit,MATCH($F164,CONST_LIST_Goods,0)))</f>
        <v>t/t</v>
      </c>
      <c r="H163" s="1449"/>
      <c r="I163" s="251" t="str">
        <f>CONST_tCO2eq &amp; "/" &amp; IF($F164="",CONST_t,INDEX(CONST_LIST_GoodsUnit,MATCH($F164,CONST_LIST_Goods,0)))</f>
        <v>tCO2e/t</v>
      </c>
      <c r="J163" s="251" t="str">
        <f>CONST_tCO2eq &amp; "/" &amp; IF($F164="",CONST_t,INDEX(CONST_LIST_GoodsUnit,MATCH($F164,CONST_LIST_Goods,0)))</f>
        <v>tCO2e/t</v>
      </c>
      <c r="K163" s="251" t="str">
        <f>CONST_tCO2eq &amp; "/" &amp; IF($F164="",CONST_t,INDEX(CONST_LIST_GoodsUnit,MATCH($F164,CONST_LIST_Goods,0)))</f>
        <v>tCO2e/t</v>
      </c>
      <c r="L163" s="252" t="str">
        <f>CONST_tCO2eq</f>
        <v>tCO2e</v>
      </c>
      <c r="M163" s="252" t="str">
        <f>CONST_tCO2eq</f>
        <v>tCO2e</v>
      </c>
      <c r="N163" s="252" t="str">
        <f>CONST_tCO2eq</f>
        <v>tCO2e</v>
      </c>
      <c r="O163" s="1449"/>
      <c r="P163" s="251" t="str">
        <f>CONST_MWh &amp; "/" &amp; IF($F164="",CONST_t,INDEX(CONST_LIST_GoodsUnit,MATCH($F164,CONST_LIST_Goods,0)))</f>
        <v>MWh/t</v>
      </c>
      <c r="Q163" s="1416"/>
      <c r="R163" s="1445"/>
      <c r="S163" s="1447"/>
      <c r="T163" s="431"/>
      <c r="V163" s="248"/>
      <c r="W163" s="248"/>
      <c r="X163" s="91"/>
      <c r="Y163" s="248"/>
      <c r="Z163" s="123"/>
      <c r="AA163" s="248"/>
      <c r="AB163" s="248"/>
      <c r="AC163" s="248"/>
      <c r="AD163" s="248"/>
      <c r="AE163" s="248"/>
      <c r="AF163" s="91"/>
      <c r="AG163" s="91"/>
      <c r="AH163" s="91"/>
      <c r="AI163" s="91"/>
      <c r="AJ163" s="91"/>
      <c r="AK163" s="91"/>
      <c r="AL163" s="91"/>
      <c r="AM163" s="91"/>
      <c r="AN163" s="91"/>
      <c r="AO163" s="91"/>
    </row>
    <row r="164" spans="1:41" ht="15" customHeight="1" thickBot="1" x14ac:dyDescent="0.4">
      <c r="A164" s="92"/>
      <c r="B164" s="94"/>
      <c r="C164" s="1441"/>
      <c r="D164" s="1429" t="str">
        <f>Translations!$B$600</f>
        <v>Total production process</v>
      </c>
      <c r="E164" s="1430"/>
      <c r="F164" s="253" t="str">
        <f>IF(D165="","",INDEX(CNTR_List_ExistProdProc,MATCH(D165,CNTR_List_ExistProdProcNames,0)))</f>
        <v/>
      </c>
      <c r="G164" s="254" t="s">
        <v>206</v>
      </c>
      <c r="H164" s="896" t="str">
        <f>IF(D162="","",IFERROR(SUMIFS(I166:I195,H166:H195,TRUE)/I164,""))</f>
        <v/>
      </c>
      <c r="I164" s="662" t="str">
        <f>IF(COUNT(I165:I195)&gt;0,SUM(I165:I195),"")</f>
        <v/>
      </c>
      <c r="J164" s="662" t="str">
        <f>IF(COUNT(J165:J195)&gt;0,SUM(J165:J195),"")</f>
        <v/>
      </c>
      <c r="K164" s="662" t="str">
        <f t="shared" ref="K164:S164" si="26">IF(COUNT(K165:K195)&gt;0,SUM(K165:K195),"")</f>
        <v/>
      </c>
      <c r="L164" s="255" t="str">
        <f t="shared" si="26"/>
        <v/>
      </c>
      <c r="M164" s="255" t="str">
        <f>IF(COUNT(M165:M195)&gt;0,SUM(M165:M195),"")</f>
        <v/>
      </c>
      <c r="N164" s="255" t="str">
        <f t="shared" si="26"/>
        <v/>
      </c>
      <c r="O164" s="254" t="s">
        <v>206</v>
      </c>
      <c r="P164" s="662" t="str">
        <f t="shared" si="26"/>
        <v/>
      </c>
      <c r="Q164" s="670" t="s">
        <v>206</v>
      </c>
      <c r="R164" s="675" t="str">
        <f t="shared" si="26"/>
        <v/>
      </c>
      <c r="S164" s="666" t="str">
        <f t="shared" si="26"/>
        <v/>
      </c>
      <c r="T164" s="428"/>
      <c r="Z164" s="123"/>
      <c r="AD164" s="91" t="s">
        <v>199</v>
      </c>
      <c r="AE164" s="91" t="s">
        <v>200</v>
      </c>
      <c r="AG164" s="91" t="s">
        <v>418</v>
      </c>
    </row>
    <row r="165" spans="1:41" ht="12.75" customHeight="1" thickBot="1" x14ac:dyDescent="0.4">
      <c r="A165" s="92"/>
      <c r="B165" s="94"/>
      <c r="C165" s="144"/>
      <c r="D165" s="1431" t="str">
        <f>D162</f>
        <v/>
      </c>
      <c r="E165" s="1432"/>
      <c r="F165" s="283" t="str">
        <f>IF(D165="","",INDEX(CNTR_List_ExistProdProc,MATCH(D165,CNTR_List_ExistProdProcNames,0)))</f>
        <v/>
      </c>
      <c r="G165" s="256">
        <v>1</v>
      </c>
      <c r="H165" s="284" t="s">
        <v>206</v>
      </c>
      <c r="I165" s="663" t="str">
        <f>IF($D165="","",SUM($G165)*SUM(INDEX(InputOutput!$AJ$71:$AJ$100,MATCH($D165,InputOutput!$D$71:$D$100,0))))</f>
        <v/>
      </c>
      <c r="J165" s="663" t="str">
        <f>IF($D165="","",SUM($G165)*SUM(INDEX(InputOutput!$AL$71:$AL$100,MATCH($D165,InputOutput!$D$71:$D$100,0))))</f>
        <v/>
      </c>
      <c r="K165" s="663" t="str">
        <f t="shared" ref="K165:K170" si="27">IF(COUNT(I165:J165)&gt;0,SUM(I165:J165),"")</f>
        <v/>
      </c>
      <c r="L165" s="257" t="str">
        <f>IF(D165="","",SUM(I165)*SUM(AD165))</f>
        <v/>
      </c>
      <c r="M165" s="257" t="str">
        <f>IF(D165="","",SUM(J165)*SUM(AD165))</f>
        <v/>
      </c>
      <c r="N165" s="257" t="str">
        <f t="shared" ref="N165:N170" si="28">IF(COUNT(L165:M165)&gt;0,SUM(L165:M165),"")</f>
        <v/>
      </c>
      <c r="O165" s="257" t="str">
        <f>IF(AG165,INDEX(E_PurchPrec!U:U,MATCH(CONST_CNTR_ElecEFMethod&amp;D165,E_PurchPrec!R:R,0)),INDEX(D_Processes!T:T,MATCH(CONST_CNTR_ElecEFMethod&amp;D165,D_Processes!R:R,0)))</f>
        <v/>
      </c>
      <c r="P165" s="663" t="str">
        <f>IF($D165="","",SUM($G165)*SUM(INDEX(InputOutput!$AN$71:$AN$100,MATCH($D165,InputOutput!$D$71:$D$100,0))))</f>
        <v/>
      </c>
      <c r="Q165" s="671"/>
      <c r="R165" s="676" t="str">
        <f>IF($D165="","",SUM($G165)*SUM(INDEX(F_Tools!$T$101:$T$130,MATCH($D165,F_Tools!$E$101:$E$130,0))))</f>
        <v/>
      </c>
      <c r="S165" s="667" t="str">
        <f>IF($D165="","",SUM($G165)*SUM(INDEX(F_Tools!$U$101:$U$130,MATCH($D165,F_Tools!$E$101:$E$130,0))))</f>
        <v/>
      </c>
      <c r="T165" s="428"/>
      <c r="Z165" s="123"/>
      <c r="AB165" s="150" t="str">
        <f>CONST_CNTR_TotProd &amp; D162</f>
        <v>TotProd_</v>
      </c>
      <c r="AD165" s="258">
        <f>SUMIF(D_Processes!R:R,AB165,D_Processes!L:L)</f>
        <v>0</v>
      </c>
    </row>
    <row r="166" spans="1:41" ht="12.75" customHeight="1" x14ac:dyDescent="0.35">
      <c r="A166" s="92"/>
      <c r="B166" s="94"/>
      <c r="C166" s="978">
        <v>1</v>
      </c>
      <c r="D166" s="1442" t="str">
        <f>IF(D162="","",IF(COUNTIF(INDEX(CNTR_IOSupplyChain,MATCH(D162,CNTR_IOProcAndPrec,0),),C166)=0,"",INDEX(CNTR_IOProcAndPrec,MATCH(C166,INDEX(CNTR_IOSupplyChain,MATCH(D162,CNTR_IOProcAndPrec,0),),0))))</f>
        <v/>
      </c>
      <c r="E166" s="1443"/>
      <c r="F166" s="260" t="str">
        <f t="shared" ref="F166:F195" si="29">IF(D166="","",IF(COUNTIF(CNTR_List_ExistProdProcNames,D166)&gt;0,INDEX(CNTR_List_ExistProdProc,MATCH(D166,CNTR_List_ExistProdProcNames,0)),INDEX(CNTR_List_ExistPurchPrec,MATCH(D166,CNTR_List_ExistPurchPrecNames,0))))</f>
        <v/>
      </c>
      <c r="G166" s="261" t="str">
        <f>IF(D166="","",INDEX(CNTR_Matrix_Inv,MATCH(D162,CNTR_IOProcAndPrec,0),MATCH(D166,CNTR_IOProcAndPrec,0)))</f>
        <v/>
      </c>
      <c r="H166" s="285" t="str">
        <f>IF(D166="","",IF(AG166,INDEX(E_PurchPrec!U:U,MATCH(CONST_PurchPrecDefaultUsed&amp;D166,E_PurchPrec!R:R,0)),CONST_NA))</f>
        <v/>
      </c>
      <c r="I166" s="261" t="str">
        <f>IF($D166="","",SUM($G166)*SUM(INDEX(InputOutput!$AJ$71:$AJ$100,MATCH($D166,InputOutput!$D$71:$D$100,0))))</f>
        <v/>
      </c>
      <c r="J166" s="261" t="str">
        <f>IF($D166="","",SUM($G166)*SUM(INDEX(InputOutput!$AL$71:$AL$100,MATCH($D166,InputOutput!$D$71:$D$100,0))))</f>
        <v/>
      </c>
      <c r="K166" s="261" t="str">
        <f t="shared" si="27"/>
        <v/>
      </c>
      <c r="L166" s="262" t="str">
        <f>IF(D166="","",SUM(I166)*SUM(AD165))</f>
        <v/>
      </c>
      <c r="M166" s="262" t="str">
        <f>IF(D166="","",SUM(J166)*SUM(AD165))</f>
        <v/>
      </c>
      <c r="N166" s="262" t="str">
        <f t="shared" si="28"/>
        <v/>
      </c>
      <c r="O166" s="262" t="str">
        <f>IF(AG166,INDEX(E_PurchPrec!U:U,MATCH(CONST_CNTR_ElecEFMethod&amp;D166,E_PurchPrec!R:R,0)),INDEX(D_Processes!T:T,MATCH(CONST_CNTR_ElecEFMethod&amp;D166,D_Processes!R:R,0)))</f>
        <v/>
      </c>
      <c r="P166" s="261" t="str">
        <f>IF($D166="","",SUM($G166)*SUM(INDEX(InputOutput!$AN$71:$AN$100,MATCH($D166,InputOutput!$D$71:$D$100,0))))</f>
        <v/>
      </c>
      <c r="Q166" s="672" t="str">
        <f>IF(D166="","",IF(AG166,INDEX(A_InstData!$F$102:$F$121,MATCH(D166,CNTR_List_ExistPurchPrecNames,0)),""))</f>
        <v/>
      </c>
      <c r="R166" s="677" t="str">
        <f>IF($D166="","",SUM($G166)*SUM(INDEX(F_Tools!$T$101:$T$130,MATCH($D166,F_Tools!$E$101:$E$130,0))))</f>
        <v/>
      </c>
      <c r="S166" s="668" t="str">
        <f>IF($D166="","",SUM($G166)*SUM(INDEX(F_Tools!$U$101:$U$130,MATCH($D166,F_Tools!$E$101:$E$130,0))))</f>
        <v/>
      </c>
      <c r="T166" s="428"/>
      <c r="Z166" s="123"/>
      <c r="AB166" s="263" t="str">
        <f>CONST_PrecursorToGoodInput &amp; D166 &amp; "_" &amp; D162</f>
        <v>PrecToGood__</v>
      </c>
      <c r="AD166" s="264">
        <f>SUMIF(D_Processes!R:R,AB166,D_Processes!K:K)</f>
        <v>0</v>
      </c>
      <c r="AE166" s="263">
        <f>SUMIF(D_Processes!R:R,CONST_CNTR_TotProd &amp; D166,D_Processes!L:L)</f>
        <v>0</v>
      </c>
      <c r="AG166" s="102" t="b">
        <f t="shared" ref="AG166:AG195" si="30">COUNTIF(CNTR_List_ExistPurchPrecNames,D166)&gt;0</f>
        <v>0</v>
      </c>
    </row>
    <row r="167" spans="1:41" ht="12.75" customHeight="1" x14ac:dyDescent="0.35">
      <c r="A167" s="92"/>
      <c r="B167" s="94"/>
      <c r="C167" s="978">
        <v>2</v>
      </c>
      <c r="D167" s="1417" t="str">
        <f>IF(D162="","",IF(COUNTIF(INDEX(CNTR_IOSupplyChain,MATCH(D162,CNTR_IOProcAndPrec,0),),C167)=0,"",INDEX(CNTR_IOProcAndPrec,MATCH(C167,INDEX(CNTR_IOSupplyChain,MATCH(D162,CNTR_IOProcAndPrec,0),),0))))</f>
        <v/>
      </c>
      <c r="E167" s="1418"/>
      <c r="F167" s="265" t="str">
        <f t="shared" si="29"/>
        <v/>
      </c>
      <c r="G167" s="266" t="str">
        <f>IF(D167="","",INDEX(CNTR_Matrix_Inv,MATCH(D162,CNTR_IOProcAndPrec,0),MATCH(D167,CNTR_IOProcAndPrec,0)))</f>
        <v/>
      </c>
      <c r="H167" s="286" t="str">
        <f>IF(D167="","",IF(AG167,INDEX(E_PurchPrec!U:U,MATCH(CONST_PurchPrecDefaultUsed&amp;D167,E_PurchPrec!R:R,0)),CONST_NA))</f>
        <v/>
      </c>
      <c r="I167" s="266" t="str">
        <f>IF($D167="","",SUM($G167)*SUM(INDEX(InputOutput!$AJ$71:$AJ$100,MATCH($D167,InputOutput!$D$71:$D$100,0))))</f>
        <v/>
      </c>
      <c r="J167" s="266" t="str">
        <f>IF($D167="","",SUM($G167)*SUM(INDEX(InputOutput!$AL$71:$AL$100,MATCH($D167,InputOutput!$D$71:$D$100,0))))</f>
        <v/>
      </c>
      <c r="K167" s="266" t="str">
        <f t="shared" si="27"/>
        <v/>
      </c>
      <c r="L167" s="267" t="str">
        <f>IF(D167="","",SUM(I167)*SUM(AD165))</f>
        <v/>
      </c>
      <c r="M167" s="267" t="str">
        <f>IF(D167="","",SUM(J167)*SUM(AD165))</f>
        <v/>
      </c>
      <c r="N167" s="267" t="str">
        <f t="shared" si="28"/>
        <v/>
      </c>
      <c r="O167" s="267" t="str">
        <f>IF(AG167,INDEX(E_PurchPrec!U:U,MATCH(CONST_CNTR_ElecEFMethod&amp;D167,E_PurchPrec!R:R,0)),INDEX(D_Processes!T:T,MATCH(CONST_CNTR_ElecEFMethod&amp;D167,D_Processes!R:R,0)))</f>
        <v/>
      </c>
      <c r="P167" s="266" t="str">
        <f>IF($D167="","",SUM($G167)*SUM(INDEX(InputOutput!$AN$71:$AN$100,MATCH($D167,InputOutput!$D$71:$D$100,0))))</f>
        <v/>
      </c>
      <c r="Q167" s="673" t="str">
        <f>IF(D167="","",IF(AG167,INDEX(A_InstData!$F$102:$F$121,MATCH(D167,CNTR_List_ExistPurchPrecNames,0)),""))</f>
        <v/>
      </c>
      <c r="R167" s="678" t="str">
        <f>IF($D167="","",SUM($G167)*SUM(INDEX(F_Tools!$T$101:$T$130,MATCH($D167,F_Tools!$E$101:$E$130,0))))</f>
        <v/>
      </c>
      <c r="S167" s="669" t="str">
        <f>IF($D167="","",SUM($G167)*SUM(INDEX(F_Tools!$U$101:$U$130,MATCH($D167,F_Tools!$E$101:$E$130,0))))</f>
        <v/>
      </c>
      <c r="T167" s="428"/>
      <c r="Z167" s="123"/>
      <c r="AB167" s="268" t="str">
        <f>CONST_PrecursorToGoodInput &amp; D167 &amp; "_" &amp; D162</f>
        <v>PrecToGood__</v>
      </c>
      <c r="AD167" s="269">
        <f>SUMIF(D_Processes!R:R,AB167,D_Processes!K:K)</f>
        <v>0</v>
      </c>
      <c r="AE167" s="268">
        <f>SUMIF(D_Processes!R:R,CONST_CNTR_TotProd &amp; D167,D_Processes!L:L)</f>
        <v>0</v>
      </c>
      <c r="AG167" s="102" t="b">
        <f t="shared" si="30"/>
        <v>0</v>
      </c>
    </row>
    <row r="168" spans="1:41" ht="12.75" customHeight="1" x14ac:dyDescent="0.35">
      <c r="A168" s="92"/>
      <c r="B168" s="94"/>
      <c r="C168" s="978">
        <v>3</v>
      </c>
      <c r="D168" s="1417" t="str">
        <f>IF(D162="","",IF(COUNTIF(INDEX(CNTR_IOSupplyChain,MATCH(D162,CNTR_IOProcAndPrec,0),),C168)=0,"",INDEX(CNTR_IOProcAndPrec,MATCH(C168,INDEX(CNTR_IOSupplyChain,MATCH(D162,CNTR_IOProcAndPrec,0),),0))))</f>
        <v/>
      </c>
      <c r="E168" s="1418"/>
      <c r="F168" s="265" t="str">
        <f t="shared" si="29"/>
        <v/>
      </c>
      <c r="G168" s="266" t="str">
        <f>IF(D168="","",INDEX(CNTR_Matrix_Inv,MATCH(D162,CNTR_IOProcAndPrec,0),MATCH(D168,CNTR_IOProcAndPrec,0)))</f>
        <v/>
      </c>
      <c r="H168" s="286" t="str">
        <f>IF(D168="","",IF(AG168,INDEX(E_PurchPrec!U:U,MATCH(CONST_PurchPrecDefaultUsed&amp;D168,E_PurchPrec!R:R,0)),CONST_NA))</f>
        <v/>
      </c>
      <c r="I168" s="266" t="str">
        <f>IF($D168="","",SUM($G168)*SUM(INDEX(InputOutput!$AJ$71:$AJ$100,MATCH($D168,InputOutput!$D$71:$D$100,0))))</f>
        <v/>
      </c>
      <c r="J168" s="266" t="str">
        <f>IF($D168="","",SUM($G168)*SUM(INDEX(InputOutput!$AL$71:$AL$100,MATCH($D168,InputOutput!$D$71:$D$100,0))))</f>
        <v/>
      </c>
      <c r="K168" s="266" t="str">
        <f t="shared" si="27"/>
        <v/>
      </c>
      <c r="L168" s="267" t="str">
        <f>IF(D168="","",SUM(I168)*SUM(AD165))</f>
        <v/>
      </c>
      <c r="M168" s="267" t="str">
        <f>IF(D168="","",SUM(J168)*SUM(AD165))</f>
        <v/>
      </c>
      <c r="N168" s="267" t="str">
        <f t="shared" si="28"/>
        <v/>
      </c>
      <c r="O168" s="267" t="str">
        <f>IF(AG168,INDEX(E_PurchPrec!U:U,MATCH(CONST_CNTR_ElecEFMethod&amp;D168,E_PurchPrec!R:R,0)),INDEX(D_Processes!T:T,MATCH(CONST_CNTR_ElecEFMethod&amp;D168,D_Processes!R:R,0)))</f>
        <v/>
      </c>
      <c r="P168" s="266" t="str">
        <f>IF($D168="","",SUM($G168)*SUM(INDEX(InputOutput!$AN$71:$AN$100,MATCH($D168,InputOutput!$D$71:$D$100,0))))</f>
        <v/>
      </c>
      <c r="Q168" s="673" t="str">
        <f>IF(D168="","",IF(AG168,INDEX(A_InstData!$F$102:$F$121,MATCH(D168,CNTR_List_ExistPurchPrecNames,0)),""))</f>
        <v/>
      </c>
      <c r="R168" s="678" t="str">
        <f>IF($D168="","",SUM($G168)*SUM(INDEX(F_Tools!$T$101:$T$130,MATCH($D168,F_Tools!$E$101:$E$130,0))))</f>
        <v/>
      </c>
      <c r="S168" s="669" t="str">
        <f>IF($D168="","",SUM($G168)*SUM(INDEX(F_Tools!$U$101:$U$130,MATCH($D168,F_Tools!$E$101:$E$130,0))))</f>
        <v/>
      </c>
      <c r="T168" s="428"/>
      <c r="Z168" s="123"/>
      <c r="AB168" s="268" t="str">
        <f>CONST_PrecursorToGoodInput &amp; D168 &amp; "_" &amp; D162</f>
        <v>PrecToGood__</v>
      </c>
      <c r="AD168" s="269">
        <f>SUMIF(D_Processes!R:R,AB168,D_Processes!K:K)</f>
        <v>0</v>
      </c>
      <c r="AE168" s="268">
        <f>SUMIF(D_Processes!R:R,CONST_CNTR_TotProd &amp; D168,D_Processes!L:L)</f>
        <v>0</v>
      </c>
      <c r="AG168" s="102" t="b">
        <f t="shared" si="30"/>
        <v>0</v>
      </c>
    </row>
    <row r="169" spans="1:41" ht="12.75" customHeight="1" x14ac:dyDescent="0.35">
      <c r="A169" s="92"/>
      <c r="B169" s="94"/>
      <c r="C169" s="978">
        <v>4</v>
      </c>
      <c r="D169" s="1417" t="str">
        <f>IF(D162="","",IF(COUNTIF(INDEX(CNTR_IOSupplyChain,MATCH(D162,CNTR_IOProcAndPrec,0),),C169)=0,"",INDEX(CNTR_IOProcAndPrec,MATCH(C169,INDEX(CNTR_IOSupplyChain,MATCH(D162,CNTR_IOProcAndPrec,0),),0))))</f>
        <v/>
      </c>
      <c r="E169" s="1418"/>
      <c r="F169" s="265" t="str">
        <f t="shared" si="29"/>
        <v/>
      </c>
      <c r="G169" s="266" t="str">
        <f>IF(D169="","",INDEX(CNTR_Matrix_Inv,MATCH(D162,CNTR_IOProcAndPrec,0),MATCH(D169,CNTR_IOProcAndPrec,0)))</f>
        <v/>
      </c>
      <c r="H169" s="286" t="str">
        <f>IF(D169="","",IF(AG169,INDEX(E_PurchPrec!U:U,MATCH(CONST_PurchPrecDefaultUsed&amp;D169,E_PurchPrec!R:R,0)),CONST_NA))</f>
        <v/>
      </c>
      <c r="I169" s="266" t="str">
        <f>IF($D169="","",SUM($G169)*SUM(INDEX(InputOutput!$AJ$71:$AJ$100,MATCH($D169,InputOutput!$D$71:$D$100,0))))</f>
        <v/>
      </c>
      <c r="J169" s="266" t="str">
        <f>IF($D169="","",SUM($G169)*SUM(INDEX(InputOutput!$AL$71:$AL$100,MATCH($D169,InputOutput!$D$71:$D$100,0))))</f>
        <v/>
      </c>
      <c r="K169" s="266" t="str">
        <f t="shared" si="27"/>
        <v/>
      </c>
      <c r="L169" s="267" t="str">
        <f>IF(D169="","",SUM(I169)*SUM(AD165))</f>
        <v/>
      </c>
      <c r="M169" s="267" t="str">
        <f>IF(D169="","",SUM(J169)*SUM(AD165))</f>
        <v/>
      </c>
      <c r="N169" s="267" t="str">
        <f t="shared" si="28"/>
        <v/>
      </c>
      <c r="O169" s="267" t="str">
        <f>IF(AG169,INDEX(E_PurchPrec!U:U,MATCH(CONST_CNTR_ElecEFMethod&amp;D169,E_PurchPrec!R:R,0)),INDEX(D_Processes!T:T,MATCH(CONST_CNTR_ElecEFMethod&amp;D169,D_Processes!R:R,0)))</f>
        <v/>
      </c>
      <c r="P169" s="266" t="str">
        <f>IF($D169="","",SUM($G169)*SUM(INDEX(InputOutput!$AN$71:$AN$100,MATCH($D169,InputOutput!$D$71:$D$100,0))))</f>
        <v/>
      </c>
      <c r="Q169" s="673" t="str">
        <f>IF(D169="","",IF(AG169,INDEX(A_InstData!$F$102:$F$121,MATCH(D169,CNTR_List_ExistPurchPrecNames,0)),""))</f>
        <v/>
      </c>
      <c r="R169" s="678" t="str">
        <f>IF($D169="","",SUM($G169)*SUM(INDEX(F_Tools!$T$101:$T$130,MATCH($D169,F_Tools!$E$101:$E$130,0))))</f>
        <v/>
      </c>
      <c r="S169" s="669" t="str">
        <f>IF($D169="","",SUM($G169)*SUM(INDEX(F_Tools!$U$101:$U$130,MATCH($D169,F_Tools!$E$101:$E$130,0))))</f>
        <v/>
      </c>
      <c r="T169" s="428"/>
      <c r="Z169" s="123"/>
      <c r="AB169" s="268" t="str">
        <f>CONST_PrecursorToGoodInput &amp; D169 &amp; "_" &amp; D162</f>
        <v>PrecToGood__</v>
      </c>
      <c r="AD169" s="269">
        <f>SUMIF(D_Processes!R:R,AB169,D_Processes!K:K)</f>
        <v>0</v>
      </c>
      <c r="AE169" s="268">
        <f>SUMIF(D_Processes!R:R,CONST_CNTR_TotProd &amp; D169,D_Processes!L:L)</f>
        <v>0</v>
      </c>
      <c r="AG169" s="102" t="b">
        <f t="shared" si="30"/>
        <v>0</v>
      </c>
    </row>
    <row r="170" spans="1:41" ht="12.75" customHeight="1" x14ac:dyDescent="0.35">
      <c r="A170" s="92"/>
      <c r="B170" s="94"/>
      <c r="C170" s="978">
        <v>5</v>
      </c>
      <c r="D170" s="1417" t="str">
        <f>IF(D162="","",IF(COUNTIF(INDEX(CNTR_IOSupplyChain,MATCH(D162,CNTR_IOProcAndPrec,0),),C170)=0,"",INDEX(CNTR_IOProcAndPrec,MATCH(C170,INDEX(CNTR_IOSupplyChain,MATCH(D162,CNTR_IOProcAndPrec,0),),0))))</f>
        <v/>
      </c>
      <c r="E170" s="1418"/>
      <c r="F170" s="265" t="str">
        <f t="shared" si="29"/>
        <v/>
      </c>
      <c r="G170" s="266" t="str">
        <f>IF(D170="","",INDEX(CNTR_Matrix_Inv,MATCH(D162,CNTR_IOProcAndPrec,0),MATCH(D170,CNTR_IOProcAndPrec,0)))</f>
        <v/>
      </c>
      <c r="H170" s="286" t="str">
        <f>IF(D170="","",IF(AG170,INDEX(E_PurchPrec!U:U,MATCH(CONST_PurchPrecDefaultUsed&amp;D170,E_PurchPrec!R:R,0)),CONST_NA))</f>
        <v/>
      </c>
      <c r="I170" s="266" t="str">
        <f>IF($D170="","",SUM($G170)*SUM(INDEX(InputOutput!$AJ$71:$AJ$100,MATCH($D170,InputOutput!$D$71:$D$100,0))))</f>
        <v/>
      </c>
      <c r="J170" s="266" t="str">
        <f>IF($D170="","",SUM($G170)*SUM(INDEX(InputOutput!$AL$71:$AL$100,MATCH($D170,InputOutput!$D$71:$D$100,0))))</f>
        <v/>
      </c>
      <c r="K170" s="266" t="str">
        <f t="shared" si="27"/>
        <v/>
      </c>
      <c r="L170" s="267" t="str">
        <f>IF(D170="","",SUM(I170)*SUM(AD165))</f>
        <v/>
      </c>
      <c r="M170" s="267" t="str">
        <f>IF(D170="","",SUM(J170)*SUM(AD165))</f>
        <v/>
      </c>
      <c r="N170" s="267" t="str">
        <f t="shared" si="28"/>
        <v/>
      </c>
      <c r="O170" s="267" t="str">
        <f>IF(AG170,INDEX(E_PurchPrec!U:U,MATCH(CONST_CNTR_ElecEFMethod&amp;D170,E_PurchPrec!R:R,0)),INDEX(D_Processes!T:T,MATCH(CONST_CNTR_ElecEFMethod&amp;D170,D_Processes!R:R,0)))</f>
        <v/>
      </c>
      <c r="P170" s="266" t="str">
        <f>IF($D170="","",SUM($G170)*SUM(INDEX(InputOutput!$AN$71:$AN$100,MATCH($D170,InputOutput!$D$71:$D$100,0))))</f>
        <v/>
      </c>
      <c r="Q170" s="673" t="str">
        <f>IF(D170="","",IF(AG170,INDEX(A_InstData!$F$102:$F$121,MATCH(D170,CNTR_List_ExistPurchPrecNames,0)),""))</f>
        <v/>
      </c>
      <c r="R170" s="678" t="str">
        <f>IF($D170="","",SUM($G170)*SUM(INDEX(F_Tools!$T$101:$T$130,MATCH($D170,F_Tools!$E$101:$E$130,0))))</f>
        <v/>
      </c>
      <c r="S170" s="669" t="str">
        <f>IF($D170="","",SUM($G170)*SUM(INDEX(F_Tools!$U$101:$U$130,MATCH($D170,F_Tools!$E$101:$E$130,0))))</f>
        <v/>
      </c>
      <c r="T170" s="428"/>
      <c r="Z170" s="123"/>
      <c r="AB170" s="268" t="str">
        <f>CONST_PrecursorToGoodInput &amp; D170 &amp; "_" &amp; D162</f>
        <v>PrecToGood__</v>
      </c>
      <c r="AD170" s="269">
        <f>SUMIF(D_Processes!R:R,AB170,D_Processes!K:K)</f>
        <v>0</v>
      </c>
      <c r="AE170" s="268">
        <f>SUMIF(D_Processes!R:R,CONST_CNTR_TotProd &amp; D170,D_Processes!L:L)</f>
        <v>0</v>
      </c>
      <c r="AG170" s="102" t="b">
        <f t="shared" si="30"/>
        <v>0</v>
      </c>
    </row>
    <row r="171" spans="1:41" ht="12.75" customHeight="1" outlineLevel="1" x14ac:dyDescent="0.35">
      <c r="A171" s="92"/>
      <c r="B171" s="94"/>
      <c r="C171" s="978">
        <v>6</v>
      </c>
      <c r="D171" s="1417" t="str">
        <f>IF(D162="","",IF(COUNTIF(INDEX(CNTR_IOSupplyChain,MATCH(D162,CNTR_IOProcAndPrec,0),),C171)=0,"",INDEX(CNTR_IOProcAndPrec,MATCH(C171,INDEX(CNTR_IOSupplyChain,MATCH(D162,CNTR_IOProcAndPrec,0),),0))))</f>
        <v/>
      </c>
      <c r="E171" s="1418"/>
      <c r="F171" s="265" t="str">
        <f t="shared" si="29"/>
        <v/>
      </c>
      <c r="G171" s="266" t="str">
        <f>IF(D171="","",INDEX(CNTR_Matrix_Inv,MATCH(D162,CNTR_IOProcAndPrec,0),MATCH(D171,CNTR_IOProcAndPrec,0)))</f>
        <v/>
      </c>
      <c r="H171" s="286" t="str">
        <f>IF(D171="","",IF(AG171,INDEX(E_PurchPrec!U:U,MATCH(CONST_PurchPrecDefaultUsed&amp;D171,E_PurchPrec!R:R,0)),CONST_NA))</f>
        <v/>
      </c>
      <c r="I171" s="266" t="str">
        <f>IF($D171="","",SUM($G171)*SUM(INDEX(InputOutput!$AJ$71:$AJ$100,MATCH($D171,InputOutput!$D$71:$D$100,0))))</f>
        <v/>
      </c>
      <c r="J171" s="266" t="str">
        <f>IF($D171="","",SUM($G171)*SUM(INDEX(InputOutput!$AL$71:$AL$100,MATCH($D171,InputOutput!$D$71:$D$100,0))))</f>
        <v/>
      </c>
      <c r="K171" s="266" t="str">
        <f t="shared" ref="K171:K194" si="31">IF(COUNT(I171:J171)&gt;0,SUM(I171:J171),"")</f>
        <v/>
      </c>
      <c r="L171" s="267" t="str">
        <f>IF(D171="","",SUM(I171)*SUM(AD165))</f>
        <v/>
      </c>
      <c r="M171" s="267" t="str">
        <f>IF(D171="","",SUM(J171)*SUM(AD165))</f>
        <v/>
      </c>
      <c r="N171" s="267" t="str">
        <f t="shared" ref="N171:N194" si="32">IF(COUNT(L171:M171)&gt;0,SUM(L171:M171),"")</f>
        <v/>
      </c>
      <c r="O171" s="267" t="str">
        <f>IF(AG171,INDEX(E_PurchPrec!U:U,MATCH(CONST_CNTR_ElecEFMethod&amp;D171,E_PurchPrec!R:R,0)),INDEX(D_Processes!T:T,MATCH(CONST_CNTR_ElecEFMethod&amp;D171,D_Processes!R:R,0)))</f>
        <v/>
      </c>
      <c r="P171" s="266" t="str">
        <f>IF($D171="","",SUM($G171)*SUM(INDEX(InputOutput!$AN$71:$AN$100,MATCH($D171,InputOutput!$D$71:$D$100,0))))</f>
        <v/>
      </c>
      <c r="Q171" s="673" t="str">
        <f>IF(D171="","",IF(AG171,INDEX(A_InstData!$F$102:$F$121,MATCH(D171,CNTR_List_ExistPurchPrecNames,0)),""))</f>
        <v/>
      </c>
      <c r="R171" s="678" t="str">
        <f>IF($D171="","",SUM($G171)*SUM(INDEX(F_Tools!$T$101:$T$130,MATCH($D171,F_Tools!$E$101:$E$130,0))))</f>
        <v/>
      </c>
      <c r="S171" s="669" t="str">
        <f>IF($D171="","",SUM($G171)*SUM(INDEX(F_Tools!$U$101:$U$130,MATCH($D171,F_Tools!$E$101:$E$130,0))))</f>
        <v/>
      </c>
      <c r="T171" s="428"/>
      <c r="Z171" s="123"/>
      <c r="AB171" s="268" t="str">
        <f>CONST_PrecursorToGoodInput &amp; D171 &amp; "_" &amp; D162</f>
        <v>PrecToGood__</v>
      </c>
      <c r="AD171" s="269">
        <f>SUMIF(D_Processes!R:R,AB171,D_Processes!K:K)</f>
        <v>0</v>
      </c>
      <c r="AE171" s="268">
        <f>SUMIF(D_Processes!R:R,CONST_CNTR_TotProd &amp; D171,D_Processes!L:L)</f>
        <v>0</v>
      </c>
      <c r="AG171" s="102" t="b">
        <f t="shared" si="30"/>
        <v>0</v>
      </c>
    </row>
    <row r="172" spans="1:41" ht="12.75" customHeight="1" outlineLevel="1" x14ac:dyDescent="0.35">
      <c r="A172" s="92"/>
      <c r="B172" s="94"/>
      <c r="C172" s="978">
        <v>7</v>
      </c>
      <c r="D172" s="1417" t="str">
        <f>IF(D162="","",IF(COUNTIF(INDEX(CNTR_IOSupplyChain,MATCH(D162,CNTR_IOProcAndPrec,0),),C172)=0,"",INDEX(CNTR_IOProcAndPrec,MATCH(C172,INDEX(CNTR_IOSupplyChain,MATCH(D162,CNTR_IOProcAndPrec,0),),0))))</f>
        <v/>
      </c>
      <c r="E172" s="1418"/>
      <c r="F172" s="265" t="str">
        <f t="shared" si="29"/>
        <v/>
      </c>
      <c r="G172" s="266" t="str">
        <f>IF(D172="","",INDEX(CNTR_Matrix_Inv,MATCH(D162,CNTR_IOProcAndPrec,0),MATCH(D172,CNTR_IOProcAndPrec,0)))</f>
        <v/>
      </c>
      <c r="H172" s="286" t="str">
        <f>IF(D172="","",IF(AG172,INDEX(E_PurchPrec!U:U,MATCH(CONST_PurchPrecDefaultUsed&amp;D172,E_PurchPrec!R:R,0)),CONST_NA))</f>
        <v/>
      </c>
      <c r="I172" s="266" t="str">
        <f>IF($D172="","",SUM($G172)*SUM(INDEX(InputOutput!$AJ$71:$AJ$100,MATCH($D172,InputOutput!$D$71:$D$100,0))))</f>
        <v/>
      </c>
      <c r="J172" s="266" t="str">
        <f>IF($D172="","",SUM($G172)*SUM(INDEX(InputOutput!$AL$71:$AL$100,MATCH($D172,InputOutput!$D$71:$D$100,0))))</f>
        <v/>
      </c>
      <c r="K172" s="266" t="str">
        <f t="shared" si="31"/>
        <v/>
      </c>
      <c r="L172" s="267" t="str">
        <f>IF(D172="","",SUM(I172)*SUM(AD165))</f>
        <v/>
      </c>
      <c r="M172" s="267" t="str">
        <f>IF(D172="","",SUM(J172)*SUM(AD165))</f>
        <v/>
      </c>
      <c r="N172" s="267" t="str">
        <f t="shared" si="32"/>
        <v/>
      </c>
      <c r="O172" s="267" t="str">
        <f>IF(AG172,INDEX(E_PurchPrec!U:U,MATCH(CONST_CNTR_ElecEFMethod&amp;D172,E_PurchPrec!R:R,0)),INDEX(D_Processes!T:T,MATCH(CONST_CNTR_ElecEFMethod&amp;D172,D_Processes!R:R,0)))</f>
        <v/>
      </c>
      <c r="P172" s="266" t="str">
        <f>IF($D172="","",SUM($G172)*SUM(INDEX(InputOutput!$AN$71:$AN$100,MATCH($D172,InputOutput!$D$71:$D$100,0))))</f>
        <v/>
      </c>
      <c r="Q172" s="673" t="str">
        <f>IF(D172="","",IF(AG172,INDEX(A_InstData!$F$102:$F$121,MATCH(D172,CNTR_List_ExistPurchPrecNames,0)),""))</f>
        <v/>
      </c>
      <c r="R172" s="678" t="str">
        <f>IF($D172="","",SUM($G172)*SUM(INDEX(F_Tools!$T$101:$T$130,MATCH($D172,F_Tools!$E$101:$E$130,0))))</f>
        <v/>
      </c>
      <c r="S172" s="669" t="str">
        <f>IF($D172="","",SUM($G172)*SUM(INDEX(F_Tools!$U$101:$U$130,MATCH($D172,F_Tools!$E$101:$E$130,0))))</f>
        <v/>
      </c>
      <c r="T172" s="428"/>
      <c r="Z172" s="123"/>
      <c r="AB172" s="268" t="str">
        <f>CONST_PrecursorToGoodInput &amp; D172 &amp; "_" &amp; D162</f>
        <v>PrecToGood__</v>
      </c>
      <c r="AD172" s="269">
        <f>SUMIF(D_Processes!R:R,AB172,D_Processes!K:K)</f>
        <v>0</v>
      </c>
      <c r="AE172" s="268">
        <f>SUMIF(D_Processes!R:R,CONST_CNTR_TotProd &amp; D172,D_Processes!L:L)</f>
        <v>0</v>
      </c>
      <c r="AG172" s="102" t="b">
        <f t="shared" si="30"/>
        <v>0</v>
      </c>
    </row>
    <row r="173" spans="1:41" ht="12.75" customHeight="1" outlineLevel="1" x14ac:dyDescent="0.35">
      <c r="A173" s="92"/>
      <c r="B173" s="94"/>
      <c r="C173" s="978">
        <v>8</v>
      </c>
      <c r="D173" s="1417" t="str">
        <f>IF(D162="","",IF(COUNTIF(INDEX(CNTR_IOSupplyChain,MATCH(D162,CNTR_IOProcAndPrec,0),),C173)=0,"",INDEX(CNTR_IOProcAndPrec,MATCH(C173,INDEX(CNTR_IOSupplyChain,MATCH(D162,CNTR_IOProcAndPrec,0),),0))))</f>
        <v/>
      </c>
      <c r="E173" s="1418"/>
      <c r="F173" s="265" t="str">
        <f t="shared" si="29"/>
        <v/>
      </c>
      <c r="G173" s="266" t="str">
        <f>IF(D173="","",INDEX(CNTR_Matrix_Inv,MATCH(D162,CNTR_IOProcAndPrec,0),MATCH(D173,CNTR_IOProcAndPrec,0)))</f>
        <v/>
      </c>
      <c r="H173" s="286" t="str">
        <f>IF(D173="","",IF(AG173,INDEX(E_PurchPrec!U:U,MATCH(CONST_PurchPrecDefaultUsed&amp;D173,E_PurchPrec!R:R,0)),CONST_NA))</f>
        <v/>
      </c>
      <c r="I173" s="266" t="str">
        <f>IF($D173="","",SUM($G173)*SUM(INDEX(InputOutput!$AJ$71:$AJ$100,MATCH($D173,InputOutput!$D$71:$D$100,0))))</f>
        <v/>
      </c>
      <c r="J173" s="266" t="str">
        <f>IF($D173="","",SUM($G173)*SUM(INDEX(InputOutput!$AL$71:$AL$100,MATCH($D173,InputOutput!$D$71:$D$100,0))))</f>
        <v/>
      </c>
      <c r="K173" s="266" t="str">
        <f t="shared" si="31"/>
        <v/>
      </c>
      <c r="L173" s="267" t="str">
        <f>IF(D173="","",SUM(I173)*SUM(AD165))</f>
        <v/>
      </c>
      <c r="M173" s="267" t="str">
        <f>IF(D173="","",SUM(J173)*SUM(AD165))</f>
        <v/>
      </c>
      <c r="N173" s="267" t="str">
        <f t="shared" si="32"/>
        <v/>
      </c>
      <c r="O173" s="267" t="str">
        <f>IF(AG173,INDEX(E_PurchPrec!U:U,MATCH(CONST_CNTR_ElecEFMethod&amp;D173,E_PurchPrec!R:R,0)),INDEX(D_Processes!T:T,MATCH(CONST_CNTR_ElecEFMethod&amp;D173,D_Processes!R:R,0)))</f>
        <v/>
      </c>
      <c r="P173" s="266" t="str">
        <f>IF($D173="","",SUM($G173)*SUM(INDEX(InputOutput!$AN$71:$AN$100,MATCH($D173,InputOutput!$D$71:$D$100,0))))</f>
        <v/>
      </c>
      <c r="Q173" s="673" t="str">
        <f>IF(D173="","",IF(AG173,INDEX(A_InstData!$F$102:$F$121,MATCH(D173,CNTR_List_ExistPurchPrecNames,0)),""))</f>
        <v/>
      </c>
      <c r="R173" s="678" t="str">
        <f>IF($D173="","",SUM($G173)*SUM(INDEX(F_Tools!$T$101:$T$130,MATCH($D173,F_Tools!$E$101:$E$130,0))))</f>
        <v/>
      </c>
      <c r="S173" s="669" t="str">
        <f>IF($D173="","",SUM($G173)*SUM(INDEX(F_Tools!$U$101:$U$130,MATCH($D173,F_Tools!$E$101:$E$130,0))))</f>
        <v/>
      </c>
      <c r="T173" s="428"/>
      <c r="Z173" s="123"/>
      <c r="AB173" s="268" t="str">
        <f>CONST_PrecursorToGoodInput &amp; D173 &amp; "_" &amp; D162</f>
        <v>PrecToGood__</v>
      </c>
      <c r="AD173" s="269">
        <f>SUMIF(D_Processes!R:R,AB173,D_Processes!K:K)</f>
        <v>0</v>
      </c>
      <c r="AE173" s="268">
        <f>SUMIF(D_Processes!R:R,CONST_CNTR_TotProd &amp; D173,D_Processes!L:L)</f>
        <v>0</v>
      </c>
      <c r="AG173" s="102" t="b">
        <f t="shared" si="30"/>
        <v>0</v>
      </c>
    </row>
    <row r="174" spans="1:41" ht="12.75" customHeight="1" outlineLevel="1" x14ac:dyDescent="0.35">
      <c r="A174" s="92"/>
      <c r="B174" s="94"/>
      <c r="C174" s="978">
        <v>9</v>
      </c>
      <c r="D174" s="1417" t="str">
        <f>IF(D162="","",IF(COUNTIF(INDEX(CNTR_IOSupplyChain,MATCH(D162,CNTR_IOProcAndPrec,0),),C174)=0,"",INDEX(CNTR_IOProcAndPrec,MATCH(C174,INDEX(CNTR_IOSupplyChain,MATCH(D162,CNTR_IOProcAndPrec,0),),0))))</f>
        <v/>
      </c>
      <c r="E174" s="1418"/>
      <c r="F174" s="265" t="str">
        <f t="shared" si="29"/>
        <v/>
      </c>
      <c r="G174" s="266" t="str">
        <f>IF(D174="","",INDEX(CNTR_Matrix_Inv,MATCH(D162,CNTR_IOProcAndPrec,0),MATCH(D174,CNTR_IOProcAndPrec,0)))</f>
        <v/>
      </c>
      <c r="H174" s="286" t="str">
        <f>IF(D174="","",IF(AG174,INDEX(E_PurchPrec!U:U,MATCH(CONST_PurchPrecDefaultUsed&amp;D174,E_PurchPrec!R:R,0)),CONST_NA))</f>
        <v/>
      </c>
      <c r="I174" s="266" t="str">
        <f>IF($D174="","",SUM($G174)*SUM(INDEX(InputOutput!$AJ$71:$AJ$100,MATCH($D174,InputOutput!$D$71:$D$100,0))))</f>
        <v/>
      </c>
      <c r="J174" s="266" t="str">
        <f>IF($D174="","",SUM($G174)*SUM(INDEX(InputOutput!$AL$71:$AL$100,MATCH($D174,InputOutput!$D$71:$D$100,0))))</f>
        <v/>
      </c>
      <c r="K174" s="266" t="str">
        <f t="shared" si="31"/>
        <v/>
      </c>
      <c r="L174" s="267" t="str">
        <f>IF(D174="","",SUM(I174)*SUM(AD165))</f>
        <v/>
      </c>
      <c r="M174" s="267" t="str">
        <f>IF(D174="","",SUM(J174)*SUM(AD165))</f>
        <v/>
      </c>
      <c r="N174" s="267" t="str">
        <f t="shared" si="32"/>
        <v/>
      </c>
      <c r="O174" s="267" t="str">
        <f>IF(AG174,INDEX(E_PurchPrec!U:U,MATCH(CONST_CNTR_ElecEFMethod&amp;D174,E_PurchPrec!R:R,0)),INDEX(D_Processes!T:T,MATCH(CONST_CNTR_ElecEFMethod&amp;D174,D_Processes!R:R,0)))</f>
        <v/>
      </c>
      <c r="P174" s="266" t="str">
        <f>IF($D174="","",SUM($G174)*SUM(INDEX(InputOutput!$AN$71:$AN$100,MATCH($D174,InputOutput!$D$71:$D$100,0))))</f>
        <v/>
      </c>
      <c r="Q174" s="673" t="str">
        <f>IF(D174="","",IF(AG174,INDEX(A_InstData!$F$102:$F$121,MATCH(D174,CNTR_List_ExistPurchPrecNames,0)),""))</f>
        <v/>
      </c>
      <c r="R174" s="678" t="str">
        <f>IF($D174="","",SUM($G174)*SUM(INDEX(F_Tools!$T$101:$T$130,MATCH($D174,F_Tools!$E$101:$E$130,0))))</f>
        <v/>
      </c>
      <c r="S174" s="669" t="str">
        <f>IF($D174="","",SUM($G174)*SUM(INDEX(F_Tools!$U$101:$U$130,MATCH($D174,F_Tools!$E$101:$E$130,0))))</f>
        <v/>
      </c>
      <c r="T174" s="428"/>
      <c r="Z174" s="123"/>
      <c r="AB174" s="268" t="str">
        <f>CONST_PrecursorToGoodInput &amp; D174 &amp; "_" &amp; D162</f>
        <v>PrecToGood__</v>
      </c>
      <c r="AD174" s="269">
        <f>SUMIF(D_Processes!R:R,AB174,D_Processes!K:K)</f>
        <v>0</v>
      </c>
      <c r="AE174" s="268">
        <f>SUMIF(D_Processes!R:R,CONST_CNTR_TotProd &amp; D174,D_Processes!L:L)</f>
        <v>0</v>
      </c>
      <c r="AG174" s="102" t="b">
        <f t="shared" si="30"/>
        <v>0</v>
      </c>
    </row>
    <row r="175" spans="1:41" ht="12.75" customHeight="1" outlineLevel="1" x14ac:dyDescent="0.35">
      <c r="A175" s="92"/>
      <c r="B175" s="94"/>
      <c r="C175" s="978">
        <v>10</v>
      </c>
      <c r="D175" s="1417" t="str">
        <f>IF(D162="","",IF(COUNTIF(INDEX(CNTR_IOSupplyChain,MATCH(D162,CNTR_IOProcAndPrec,0),),C175)=0,"",INDEX(CNTR_IOProcAndPrec,MATCH(C175,INDEX(CNTR_IOSupplyChain,MATCH(D162,CNTR_IOProcAndPrec,0),),0))))</f>
        <v/>
      </c>
      <c r="E175" s="1418"/>
      <c r="F175" s="265" t="str">
        <f t="shared" si="29"/>
        <v/>
      </c>
      <c r="G175" s="266" t="str">
        <f>IF(D175="","",INDEX(CNTR_Matrix_Inv,MATCH(D162,CNTR_IOProcAndPrec,0),MATCH(D175,CNTR_IOProcAndPrec,0)))</f>
        <v/>
      </c>
      <c r="H175" s="286" t="str">
        <f>IF(D175="","",IF(AG175,INDEX(E_PurchPrec!U:U,MATCH(CONST_PurchPrecDefaultUsed&amp;D175,E_PurchPrec!R:R,0)),CONST_NA))</f>
        <v/>
      </c>
      <c r="I175" s="266" t="str">
        <f>IF($D175="","",SUM($G175)*SUM(INDEX(InputOutput!$AJ$71:$AJ$100,MATCH($D175,InputOutput!$D$71:$D$100,0))))</f>
        <v/>
      </c>
      <c r="J175" s="266" t="str">
        <f>IF($D175="","",SUM($G175)*SUM(INDEX(InputOutput!$AL$71:$AL$100,MATCH($D175,InputOutput!$D$71:$D$100,0))))</f>
        <v/>
      </c>
      <c r="K175" s="266" t="str">
        <f t="shared" si="31"/>
        <v/>
      </c>
      <c r="L175" s="267" t="str">
        <f>IF(D175="","",SUM(I175)*SUM(AD165))</f>
        <v/>
      </c>
      <c r="M175" s="267" t="str">
        <f>IF(D175="","",SUM(J175)*SUM(AD165))</f>
        <v/>
      </c>
      <c r="N175" s="267" t="str">
        <f t="shared" si="32"/>
        <v/>
      </c>
      <c r="O175" s="267" t="str">
        <f>IF(AG175,INDEX(E_PurchPrec!U:U,MATCH(CONST_CNTR_ElecEFMethod&amp;D175,E_PurchPrec!R:R,0)),INDEX(D_Processes!T:T,MATCH(CONST_CNTR_ElecEFMethod&amp;D175,D_Processes!R:R,0)))</f>
        <v/>
      </c>
      <c r="P175" s="266" t="str">
        <f>IF($D175="","",SUM($G175)*SUM(INDEX(InputOutput!$AN$71:$AN$100,MATCH($D175,InputOutput!$D$71:$D$100,0))))</f>
        <v/>
      </c>
      <c r="Q175" s="673" t="str">
        <f>IF(D175="","",IF(AG175,INDEX(A_InstData!$F$102:$F$121,MATCH(D175,CNTR_List_ExistPurchPrecNames,0)),""))</f>
        <v/>
      </c>
      <c r="R175" s="678" t="str">
        <f>IF($D175="","",SUM($G175)*SUM(INDEX(F_Tools!$T$101:$T$130,MATCH($D175,F_Tools!$E$101:$E$130,0))))</f>
        <v/>
      </c>
      <c r="S175" s="669" t="str">
        <f>IF($D175="","",SUM($G175)*SUM(INDEX(F_Tools!$U$101:$U$130,MATCH($D175,F_Tools!$E$101:$E$130,0))))</f>
        <v/>
      </c>
      <c r="T175" s="428"/>
      <c r="Z175" s="123"/>
      <c r="AB175" s="268" t="str">
        <f>CONST_PrecursorToGoodInput &amp; D175 &amp; "_" &amp; D162</f>
        <v>PrecToGood__</v>
      </c>
      <c r="AD175" s="269">
        <f>SUMIF(D_Processes!R:R,AB175,D_Processes!K:K)</f>
        <v>0</v>
      </c>
      <c r="AE175" s="268">
        <f>SUMIF(D_Processes!R:R,CONST_CNTR_TotProd &amp; D175,D_Processes!L:L)</f>
        <v>0</v>
      </c>
      <c r="AG175" s="102" t="b">
        <f t="shared" si="30"/>
        <v>0</v>
      </c>
    </row>
    <row r="176" spans="1:41" ht="12.75" customHeight="1" outlineLevel="1" x14ac:dyDescent="0.35">
      <c r="A176" s="92"/>
      <c r="B176" s="94"/>
      <c r="C176" s="978">
        <v>11</v>
      </c>
      <c r="D176" s="1417" t="str">
        <f>IF(D162="","",IF(COUNTIF(INDEX(CNTR_IOSupplyChain,MATCH(D162,CNTR_IOProcAndPrec,0),),C176)=0,"",INDEX(CNTR_IOProcAndPrec,MATCH(C176,INDEX(CNTR_IOSupplyChain,MATCH(D162,CNTR_IOProcAndPrec,0),),0))))</f>
        <v/>
      </c>
      <c r="E176" s="1418"/>
      <c r="F176" s="265" t="str">
        <f t="shared" si="29"/>
        <v/>
      </c>
      <c r="G176" s="266" t="str">
        <f>IF(D176="","",INDEX(CNTR_Matrix_Inv,MATCH(D162,CNTR_IOProcAndPrec,0),MATCH(D176,CNTR_IOProcAndPrec,0)))</f>
        <v/>
      </c>
      <c r="H176" s="286" t="str">
        <f>IF(D176="","",IF(AG176,INDEX(E_PurchPrec!U:U,MATCH(CONST_PurchPrecDefaultUsed&amp;D176,E_PurchPrec!R:R,0)),CONST_NA))</f>
        <v/>
      </c>
      <c r="I176" s="266" t="str">
        <f>IF($D176="","",SUM($G176)*SUM(INDEX(InputOutput!$AJ$71:$AJ$100,MATCH($D176,InputOutput!$D$71:$D$100,0))))</f>
        <v/>
      </c>
      <c r="J176" s="266" t="str">
        <f>IF($D176="","",SUM($G176)*SUM(INDEX(InputOutput!$AL$71:$AL$100,MATCH($D176,InputOutput!$D$71:$D$100,0))))</f>
        <v/>
      </c>
      <c r="K176" s="266" t="str">
        <f t="shared" si="31"/>
        <v/>
      </c>
      <c r="L176" s="267" t="str">
        <f>IF(D176="","",SUM(I176)*SUM(AD165))</f>
        <v/>
      </c>
      <c r="M176" s="267" t="str">
        <f>IF(D176="","",SUM(J176)*SUM(AD165))</f>
        <v/>
      </c>
      <c r="N176" s="267" t="str">
        <f t="shared" si="32"/>
        <v/>
      </c>
      <c r="O176" s="267" t="str">
        <f>IF(AG176,INDEX(E_PurchPrec!U:U,MATCH(CONST_CNTR_ElecEFMethod&amp;D176,E_PurchPrec!R:R,0)),INDEX(D_Processes!T:T,MATCH(CONST_CNTR_ElecEFMethod&amp;D176,D_Processes!R:R,0)))</f>
        <v/>
      </c>
      <c r="P176" s="266" t="str">
        <f>IF($D176="","",SUM($G176)*SUM(INDEX(InputOutput!$AN$71:$AN$100,MATCH($D176,InputOutput!$D$71:$D$100,0))))</f>
        <v/>
      </c>
      <c r="Q176" s="673" t="str">
        <f>IF(D176="","",IF(AG176,INDEX(A_InstData!$F$102:$F$121,MATCH(D176,CNTR_List_ExistPurchPrecNames,0)),""))</f>
        <v/>
      </c>
      <c r="R176" s="678" t="str">
        <f>IF($D176="","",SUM($G176)*SUM(INDEX(F_Tools!$T$101:$T$130,MATCH($D176,F_Tools!$E$101:$E$130,0))))</f>
        <v/>
      </c>
      <c r="S176" s="669" t="str">
        <f>IF($D176="","",SUM($G176)*SUM(INDEX(F_Tools!$U$101:$U$130,MATCH($D176,F_Tools!$E$101:$E$130,0))))</f>
        <v/>
      </c>
      <c r="T176" s="428"/>
      <c r="Z176" s="123"/>
      <c r="AB176" s="268" t="str">
        <f>CONST_PrecursorToGoodInput &amp; D176 &amp; "_" &amp; D162</f>
        <v>PrecToGood__</v>
      </c>
      <c r="AD176" s="269">
        <f>SUMIF(D_Processes!R:R,AB176,D_Processes!K:K)</f>
        <v>0</v>
      </c>
      <c r="AE176" s="268">
        <f>SUMIF(D_Processes!R:R,CONST_CNTR_TotProd &amp; D176,D_Processes!L:L)</f>
        <v>0</v>
      </c>
      <c r="AG176" s="102" t="b">
        <f t="shared" si="30"/>
        <v>0</v>
      </c>
    </row>
    <row r="177" spans="1:33" ht="12.75" customHeight="1" outlineLevel="1" x14ac:dyDescent="0.35">
      <c r="A177" s="92"/>
      <c r="B177" s="94"/>
      <c r="C177" s="978">
        <v>12</v>
      </c>
      <c r="D177" s="1417" t="str">
        <f>IF(D162="","",IF(COUNTIF(INDEX(CNTR_IOSupplyChain,MATCH(D162,CNTR_IOProcAndPrec,0),),C177)=0,"",INDEX(CNTR_IOProcAndPrec,MATCH(C177,INDEX(CNTR_IOSupplyChain,MATCH(D162,CNTR_IOProcAndPrec,0),),0))))</f>
        <v/>
      </c>
      <c r="E177" s="1418"/>
      <c r="F177" s="265" t="str">
        <f t="shared" si="29"/>
        <v/>
      </c>
      <c r="G177" s="266" t="str">
        <f>IF(D177="","",INDEX(CNTR_Matrix_Inv,MATCH(D162,CNTR_IOProcAndPrec,0),MATCH(D177,CNTR_IOProcAndPrec,0)))</f>
        <v/>
      </c>
      <c r="H177" s="286" t="str">
        <f>IF(D177="","",IF(AG177,INDEX(E_PurchPrec!U:U,MATCH(CONST_PurchPrecDefaultUsed&amp;D177,E_PurchPrec!R:R,0)),CONST_NA))</f>
        <v/>
      </c>
      <c r="I177" s="266" t="str">
        <f>IF($D177="","",SUM($G177)*SUM(INDEX(InputOutput!$AJ$71:$AJ$100,MATCH($D177,InputOutput!$D$71:$D$100,0))))</f>
        <v/>
      </c>
      <c r="J177" s="266" t="str">
        <f>IF($D177="","",SUM($G177)*SUM(INDEX(InputOutput!$AL$71:$AL$100,MATCH($D177,InputOutput!$D$71:$D$100,0))))</f>
        <v/>
      </c>
      <c r="K177" s="266" t="str">
        <f t="shared" si="31"/>
        <v/>
      </c>
      <c r="L177" s="267" t="str">
        <f>IF(D177="","",SUM(I177)*SUM(AD165))</f>
        <v/>
      </c>
      <c r="M177" s="267" t="str">
        <f>IF(D177="","",SUM(J177)*SUM(AD165))</f>
        <v/>
      </c>
      <c r="N177" s="267" t="str">
        <f t="shared" si="32"/>
        <v/>
      </c>
      <c r="O177" s="267" t="str">
        <f>IF(AG177,INDEX(E_PurchPrec!U:U,MATCH(CONST_CNTR_ElecEFMethod&amp;D177,E_PurchPrec!R:R,0)),INDEX(D_Processes!T:T,MATCH(CONST_CNTR_ElecEFMethod&amp;D177,D_Processes!R:R,0)))</f>
        <v/>
      </c>
      <c r="P177" s="266" t="str">
        <f>IF($D177="","",SUM($G177)*SUM(INDEX(InputOutput!$AN$71:$AN$100,MATCH($D177,InputOutput!$D$71:$D$100,0))))</f>
        <v/>
      </c>
      <c r="Q177" s="673" t="str">
        <f>IF(D177="","",IF(AG177,INDEX(A_InstData!$F$102:$F$121,MATCH(D177,CNTR_List_ExistPurchPrecNames,0)),""))</f>
        <v/>
      </c>
      <c r="R177" s="678" t="str">
        <f>IF($D177="","",SUM($G177)*SUM(INDEX(F_Tools!$T$101:$T$130,MATCH($D177,F_Tools!$E$101:$E$130,0))))</f>
        <v/>
      </c>
      <c r="S177" s="669" t="str">
        <f>IF($D177="","",SUM($G177)*SUM(INDEX(F_Tools!$U$101:$U$130,MATCH($D177,F_Tools!$E$101:$E$130,0))))</f>
        <v/>
      </c>
      <c r="T177" s="428"/>
      <c r="Z177" s="123"/>
      <c r="AB177" s="268" t="str">
        <f>CONST_PrecursorToGoodInput &amp; D177 &amp; "_" &amp; D162</f>
        <v>PrecToGood__</v>
      </c>
      <c r="AD177" s="269">
        <f>SUMIF(D_Processes!R:R,AB177,D_Processes!K:K)</f>
        <v>0</v>
      </c>
      <c r="AE177" s="268">
        <f>SUMIF(D_Processes!R:R,CONST_CNTR_TotProd &amp; D177,D_Processes!L:L)</f>
        <v>0</v>
      </c>
      <c r="AG177" s="102" t="b">
        <f t="shared" si="30"/>
        <v>0</v>
      </c>
    </row>
    <row r="178" spans="1:33" ht="12.75" customHeight="1" outlineLevel="1" x14ac:dyDescent="0.35">
      <c r="A178" s="92"/>
      <c r="B178" s="94"/>
      <c r="C178" s="978">
        <v>13</v>
      </c>
      <c r="D178" s="1417" t="str">
        <f>IF(D162="","",IF(COUNTIF(INDEX(CNTR_IOSupplyChain,MATCH(D162,CNTR_IOProcAndPrec,0),),C178)=0,"",INDEX(CNTR_IOProcAndPrec,MATCH(C178,INDEX(CNTR_IOSupplyChain,MATCH(D162,CNTR_IOProcAndPrec,0),),0))))</f>
        <v/>
      </c>
      <c r="E178" s="1418"/>
      <c r="F178" s="265" t="str">
        <f t="shared" si="29"/>
        <v/>
      </c>
      <c r="G178" s="266" t="str">
        <f>IF(D178="","",INDEX(CNTR_Matrix_Inv,MATCH(D162,CNTR_IOProcAndPrec,0),MATCH(D178,CNTR_IOProcAndPrec,0)))</f>
        <v/>
      </c>
      <c r="H178" s="286" t="str">
        <f>IF(D178="","",IF(AG178,INDEX(E_PurchPrec!U:U,MATCH(CONST_PurchPrecDefaultUsed&amp;D178,E_PurchPrec!R:R,0)),CONST_NA))</f>
        <v/>
      </c>
      <c r="I178" s="266" t="str">
        <f>IF($D178="","",SUM($G178)*SUM(INDEX(InputOutput!$AJ$71:$AJ$100,MATCH($D178,InputOutput!$D$71:$D$100,0))))</f>
        <v/>
      </c>
      <c r="J178" s="266" t="str">
        <f>IF($D178="","",SUM($G178)*SUM(INDEX(InputOutput!$AL$71:$AL$100,MATCH($D178,InputOutput!$D$71:$D$100,0))))</f>
        <v/>
      </c>
      <c r="K178" s="266" t="str">
        <f t="shared" si="31"/>
        <v/>
      </c>
      <c r="L178" s="267" t="str">
        <f>IF(D178="","",SUM(I178)*SUM(AD165))</f>
        <v/>
      </c>
      <c r="M178" s="267" t="str">
        <f>IF(D178="","",SUM(J178)*SUM(AD165))</f>
        <v/>
      </c>
      <c r="N178" s="267" t="str">
        <f t="shared" si="32"/>
        <v/>
      </c>
      <c r="O178" s="267" t="str">
        <f>IF(AG178,INDEX(E_PurchPrec!U:U,MATCH(CONST_CNTR_ElecEFMethod&amp;D178,E_PurchPrec!R:R,0)),INDEX(D_Processes!T:T,MATCH(CONST_CNTR_ElecEFMethod&amp;D178,D_Processes!R:R,0)))</f>
        <v/>
      </c>
      <c r="P178" s="266" t="str">
        <f>IF($D178="","",SUM($G178)*SUM(INDEX(InputOutput!$AN$71:$AN$100,MATCH($D178,InputOutput!$D$71:$D$100,0))))</f>
        <v/>
      </c>
      <c r="Q178" s="673" t="str">
        <f>IF(D178="","",IF(AG178,INDEX(A_InstData!$F$102:$F$121,MATCH(D178,CNTR_List_ExistPurchPrecNames,0)),""))</f>
        <v/>
      </c>
      <c r="R178" s="678" t="str">
        <f>IF($D178="","",SUM($G178)*SUM(INDEX(F_Tools!$T$101:$T$130,MATCH($D178,F_Tools!$E$101:$E$130,0))))</f>
        <v/>
      </c>
      <c r="S178" s="669" t="str">
        <f>IF($D178="","",SUM($G178)*SUM(INDEX(F_Tools!$U$101:$U$130,MATCH($D178,F_Tools!$E$101:$E$130,0))))</f>
        <v/>
      </c>
      <c r="T178" s="428"/>
      <c r="Z178" s="123"/>
      <c r="AB178" s="268" t="str">
        <f>CONST_PrecursorToGoodInput &amp; D178 &amp; "_" &amp; D162</f>
        <v>PrecToGood__</v>
      </c>
      <c r="AD178" s="269">
        <f>SUMIF(D_Processes!R:R,AB178,D_Processes!K:K)</f>
        <v>0</v>
      </c>
      <c r="AE178" s="268">
        <f>SUMIF(D_Processes!R:R,CONST_CNTR_TotProd &amp; D178,D_Processes!L:L)</f>
        <v>0</v>
      </c>
      <c r="AG178" s="102" t="b">
        <f t="shared" si="30"/>
        <v>0</v>
      </c>
    </row>
    <row r="179" spans="1:33" ht="12.75" customHeight="1" outlineLevel="1" x14ac:dyDescent="0.35">
      <c r="A179" s="92"/>
      <c r="B179" s="94"/>
      <c r="C179" s="978">
        <v>14</v>
      </c>
      <c r="D179" s="1417" t="str">
        <f>IF(D162="","",IF(COUNTIF(INDEX(CNTR_IOSupplyChain,MATCH(D162,CNTR_IOProcAndPrec,0),),C179)=0,"",INDEX(CNTR_IOProcAndPrec,MATCH(C179,INDEX(CNTR_IOSupplyChain,MATCH(D162,CNTR_IOProcAndPrec,0),),0))))</f>
        <v/>
      </c>
      <c r="E179" s="1418"/>
      <c r="F179" s="265" t="str">
        <f t="shared" si="29"/>
        <v/>
      </c>
      <c r="G179" s="266" t="str">
        <f>IF(D179="","",INDEX(CNTR_Matrix_Inv,MATCH(D162,CNTR_IOProcAndPrec,0),MATCH(D179,CNTR_IOProcAndPrec,0)))</f>
        <v/>
      </c>
      <c r="H179" s="286" t="str">
        <f>IF(D179="","",IF(AG179,INDEX(E_PurchPrec!U:U,MATCH(CONST_PurchPrecDefaultUsed&amp;D179,E_PurchPrec!R:R,0)),CONST_NA))</f>
        <v/>
      </c>
      <c r="I179" s="266" t="str">
        <f>IF($D179="","",SUM($G179)*SUM(INDEX(InputOutput!$AJ$71:$AJ$100,MATCH($D179,InputOutput!$D$71:$D$100,0))))</f>
        <v/>
      </c>
      <c r="J179" s="266" t="str">
        <f>IF($D179="","",SUM($G179)*SUM(INDEX(InputOutput!$AL$71:$AL$100,MATCH($D179,InputOutput!$D$71:$D$100,0))))</f>
        <v/>
      </c>
      <c r="K179" s="266" t="str">
        <f t="shared" si="31"/>
        <v/>
      </c>
      <c r="L179" s="267" t="str">
        <f>IF(D179="","",SUM(I179)*SUM(AD165))</f>
        <v/>
      </c>
      <c r="M179" s="267" t="str">
        <f>IF(D179="","",SUM(J179)*SUM(AD165))</f>
        <v/>
      </c>
      <c r="N179" s="267" t="str">
        <f t="shared" si="32"/>
        <v/>
      </c>
      <c r="O179" s="267" t="str">
        <f>IF(AG179,INDEX(E_PurchPrec!U:U,MATCH(CONST_CNTR_ElecEFMethod&amp;D179,E_PurchPrec!R:R,0)),INDEX(D_Processes!T:T,MATCH(CONST_CNTR_ElecEFMethod&amp;D179,D_Processes!R:R,0)))</f>
        <v/>
      </c>
      <c r="P179" s="266" t="str">
        <f>IF($D179="","",SUM($G179)*SUM(INDEX(InputOutput!$AN$71:$AN$100,MATCH($D179,InputOutput!$D$71:$D$100,0))))</f>
        <v/>
      </c>
      <c r="Q179" s="673" t="str">
        <f>IF(D179="","",IF(AG179,INDEX(A_InstData!$F$102:$F$121,MATCH(D179,CNTR_List_ExistPurchPrecNames,0)),""))</f>
        <v/>
      </c>
      <c r="R179" s="678" t="str">
        <f>IF($D179="","",SUM($G179)*SUM(INDEX(F_Tools!$T$101:$T$130,MATCH($D179,F_Tools!$E$101:$E$130,0))))</f>
        <v/>
      </c>
      <c r="S179" s="669" t="str">
        <f>IF($D179="","",SUM($G179)*SUM(INDEX(F_Tools!$U$101:$U$130,MATCH($D179,F_Tools!$E$101:$E$130,0))))</f>
        <v/>
      </c>
      <c r="T179" s="428"/>
      <c r="Z179" s="123"/>
      <c r="AB179" s="268" t="str">
        <f>CONST_PrecursorToGoodInput &amp; D179 &amp; "_" &amp; D162</f>
        <v>PrecToGood__</v>
      </c>
      <c r="AD179" s="269">
        <f>SUMIF(D_Processes!R:R,AB179,D_Processes!K:K)</f>
        <v>0</v>
      </c>
      <c r="AE179" s="268">
        <f>SUMIF(D_Processes!R:R,CONST_CNTR_TotProd &amp; D179,D_Processes!L:L)</f>
        <v>0</v>
      </c>
      <c r="AG179" s="102" t="b">
        <f t="shared" si="30"/>
        <v>0</v>
      </c>
    </row>
    <row r="180" spans="1:33" ht="12.75" customHeight="1" outlineLevel="1" x14ac:dyDescent="0.35">
      <c r="A180" s="92"/>
      <c r="B180" s="94"/>
      <c r="C180" s="978">
        <v>15</v>
      </c>
      <c r="D180" s="1417" t="str">
        <f>IF(D162="","",IF(COUNTIF(INDEX(CNTR_IOSupplyChain,MATCH(D162,CNTR_IOProcAndPrec,0),),C180)=0,"",INDEX(CNTR_IOProcAndPrec,MATCH(C180,INDEX(CNTR_IOSupplyChain,MATCH(D162,CNTR_IOProcAndPrec,0),),0))))</f>
        <v/>
      </c>
      <c r="E180" s="1418"/>
      <c r="F180" s="265" t="str">
        <f t="shared" si="29"/>
        <v/>
      </c>
      <c r="G180" s="266" t="str">
        <f>IF(D180="","",INDEX(CNTR_Matrix_Inv,MATCH(D162,CNTR_IOProcAndPrec,0),MATCH(D180,CNTR_IOProcAndPrec,0)))</f>
        <v/>
      </c>
      <c r="H180" s="286" t="str">
        <f>IF(D180="","",IF(AG180,INDEX(E_PurchPrec!U:U,MATCH(CONST_PurchPrecDefaultUsed&amp;D180,E_PurchPrec!R:R,0)),CONST_NA))</f>
        <v/>
      </c>
      <c r="I180" s="266" t="str">
        <f>IF($D180="","",SUM($G180)*SUM(INDEX(InputOutput!$AJ$71:$AJ$100,MATCH($D180,InputOutput!$D$71:$D$100,0))))</f>
        <v/>
      </c>
      <c r="J180" s="266" t="str">
        <f>IF($D180="","",SUM($G180)*SUM(INDEX(InputOutput!$AL$71:$AL$100,MATCH($D180,InputOutput!$D$71:$D$100,0))))</f>
        <v/>
      </c>
      <c r="K180" s="266" t="str">
        <f t="shared" si="31"/>
        <v/>
      </c>
      <c r="L180" s="267" t="str">
        <f>IF(D180="","",SUM(I180)*SUM(AD165))</f>
        <v/>
      </c>
      <c r="M180" s="267" t="str">
        <f>IF(D180="","",SUM(J180)*SUM(AD165))</f>
        <v/>
      </c>
      <c r="N180" s="267" t="str">
        <f t="shared" si="32"/>
        <v/>
      </c>
      <c r="O180" s="267" t="str">
        <f>IF(AG180,INDEX(E_PurchPrec!U:U,MATCH(CONST_CNTR_ElecEFMethod&amp;D180,E_PurchPrec!R:R,0)),INDEX(D_Processes!T:T,MATCH(CONST_CNTR_ElecEFMethod&amp;D180,D_Processes!R:R,0)))</f>
        <v/>
      </c>
      <c r="P180" s="266" t="str">
        <f>IF($D180="","",SUM($G180)*SUM(INDEX(InputOutput!$AN$71:$AN$100,MATCH($D180,InputOutput!$D$71:$D$100,0))))</f>
        <v/>
      </c>
      <c r="Q180" s="673" t="str">
        <f>IF(D180="","",IF(AG180,INDEX(A_InstData!$F$102:$F$121,MATCH(D180,CNTR_List_ExistPurchPrecNames,0)),""))</f>
        <v/>
      </c>
      <c r="R180" s="678" t="str">
        <f>IF($D180="","",SUM($G180)*SUM(INDEX(F_Tools!$T$101:$T$130,MATCH($D180,F_Tools!$E$101:$E$130,0))))</f>
        <v/>
      </c>
      <c r="S180" s="669" t="str">
        <f>IF($D180="","",SUM($G180)*SUM(INDEX(F_Tools!$U$101:$U$130,MATCH($D180,F_Tools!$E$101:$E$130,0))))</f>
        <v/>
      </c>
      <c r="T180" s="428"/>
      <c r="Z180" s="123"/>
      <c r="AB180" s="268" t="str">
        <f>CONST_PrecursorToGoodInput &amp; D180 &amp; "_" &amp; D162</f>
        <v>PrecToGood__</v>
      </c>
      <c r="AD180" s="269">
        <f>SUMIF(D_Processes!R:R,AB180,D_Processes!K:K)</f>
        <v>0</v>
      </c>
      <c r="AE180" s="268">
        <f>SUMIF(D_Processes!R:R,CONST_CNTR_TotProd &amp; D180,D_Processes!L:L)</f>
        <v>0</v>
      </c>
      <c r="AG180" s="102" t="b">
        <f t="shared" si="30"/>
        <v>0</v>
      </c>
    </row>
    <row r="181" spans="1:33" ht="12.75" customHeight="1" outlineLevel="1" x14ac:dyDescent="0.35">
      <c r="A181" s="92"/>
      <c r="B181" s="94"/>
      <c r="C181" s="978">
        <v>16</v>
      </c>
      <c r="D181" s="1417" t="str">
        <f>IF(D162="","",IF(COUNTIF(INDEX(CNTR_IOSupplyChain,MATCH(D162,CNTR_IOProcAndPrec,0),),C181)=0,"",INDEX(CNTR_IOProcAndPrec,MATCH(C181,INDEX(CNTR_IOSupplyChain,MATCH(D162,CNTR_IOProcAndPrec,0),),0))))</f>
        <v/>
      </c>
      <c r="E181" s="1418"/>
      <c r="F181" s="265" t="str">
        <f t="shared" si="29"/>
        <v/>
      </c>
      <c r="G181" s="266" t="str">
        <f>IF(D181="","",INDEX(CNTR_Matrix_Inv,MATCH(D162,CNTR_IOProcAndPrec,0),MATCH(D181,CNTR_IOProcAndPrec,0)))</f>
        <v/>
      </c>
      <c r="H181" s="286" t="str">
        <f>IF(D181="","",IF(AG181,INDEX(E_PurchPrec!U:U,MATCH(CONST_PurchPrecDefaultUsed&amp;D181,E_PurchPrec!R:R,0)),CONST_NA))</f>
        <v/>
      </c>
      <c r="I181" s="266" t="str">
        <f>IF($D181="","",SUM($G181)*SUM(INDEX(InputOutput!$AJ$71:$AJ$100,MATCH($D181,InputOutput!$D$71:$D$100,0))))</f>
        <v/>
      </c>
      <c r="J181" s="266" t="str">
        <f>IF($D181="","",SUM($G181)*SUM(INDEX(InputOutput!$AL$71:$AL$100,MATCH($D181,InputOutput!$D$71:$D$100,0))))</f>
        <v/>
      </c>
      <c r="K181" s="266" t="str">
        <f t="shared" si="31"/>
        <v/>
      </c>
      <c r="L181" s="267" t="str">
        <f>IF(D181="","",SUM(I181)*SUM(AD165))</f>
        <v/>
      </c>
      <c r="M181" s="267" t="str">
        <f>IF(D181="","",SUM(J181)*SUM(AD165))</f>
        <v/>
      </c>
      <c r="N181" s="267" t="str">
        <f t="shared" si="32"/>
        <v/>
      </c>
      <c r="O181" s="267" t="str">
        <f>IF(AG181,INDEX(E_PurchPrec!U:U,MATCH(CONST_CNTR_ElecEFMethod&amp;D181,E_PurchPrec!R:R,0)),INDEX(D_Processes!T:T,MATCH(CONST_CNTR_ElecEFMethod&amp;D181,D_Processes!R:R,0)))</f>
        <v/>
      </c>
      <c r="P181" s="266" t="str">
        <f>IF($D181="","",SUM($G181)*SUM(INDEX(InputOutput!$AN$71:$AN$100,MATCH($D181,InputOutput!$D$71:$D$100,0))))</f>
        <v/>
      </c>
      <c r="Q181" s="673" t="str">
        <f>IF(D181="","",IF(AG181,INDEX(A_InstData!$F$102:$F$121,MATCH(D181,CNTR_List_ExistPurchPrecNames,0)),""))</f>
        <v/>
      </c>
      <c r="R181" s="678" t="str">
        <f>IF($D181="","",SUM($G181)*SUM(INDEX(F_Tools!$T$101:$T$130,MATCH($D181,F_Tools!$E$101:$E$130,0))))</f>
        <v/>
      </c>
      <c r="S181" s="669" t="str">
        <f>IF($D181="","",SUM($G181)*SUM(INDEX(F_Tools!$U$101:$U$130,MATCH($D181,F_Tools!$E$101:$E$130,0))))</f>
        <v/>
      </c>
      <c r="T181" s="428"/>
      <c r="Z181" s="123"/>
      <c r="AB181" s="268" t="str">
        <f>CONST_PrecursorToGoodInput &amp; D181 &amp; "_" &amp; D162</f>
        <v>PrecToGood__</v>
      </c>
      <c r="AD181" s="269">
        <f>SUMIF(D_Processes!R:R,AB181,D_Processes!K:K)</f>
        <v>0</v>
      </c>
      <c r="AE181" s="268">
        <f>SUMIF(D_Processes!R:R,CONST_CNTR_TotProd &amp; D181,D_Processes!L:L)</f>
        <v>0</v>
      </c>
      <c r="AG181" s="102" t="b">
        <f t="shared" si="30"/>
        <v>0</v>
      </c>
    </row>
    <row r="182" spans="1:33" ht="12.75" customHeight="1" outlineLevel="1" x14ac:dyDescent="0.35">
      <c r="A182" s="92"/>
      <c r="B182" s="94"/>
      <c r="C182" s="978">
        <v>17</v>
      </c>
      <c r="D182" s="1417" t="str">
        <f>IF(D162="","",IF(COUNTIF(INDEX(CNTR_IOSupplyChain,MATCH(D162,CNTR_IOProcAndPrec,0),),C182)=0,"",INDEX(CNTR_IOProcAndPrec,MATCH(C182,INDEX(CNTR_IOSupplyChain,MATCH(D162,CNTR_IOProcAndPrec,0),),0))))</f>
        <v/>
      </c>
      <c r="E182" s="1418"/>
      <c r="F182" s="265" t="str">
        <f t="shared" si="29"/>
        <v/>
      </c>
      <c r="G182" s="266" t="str">
        <f>IF(D182="","",INDEX(CNTR_Matrix_Inv,MATCH(D162,CNTR_IOProcAndPrec,0),MATCH(D182,CNTR_IOProcAndPrec,0)))</f>
        <v/>
      </c>
      <c r="H182" s="286" t="str">
        <f>IF(D182="","",IF(AG182,INDEX(E_PurchPrec!U:U,MATCH(CONST_PurchPrecDefaultUsed&amp;D182,E_PurchPrec!R:R,0)),CONST_NA))</f>
        <v/>
      </c>
      <c r="I182" s="266" t="str">
        <f>IF($D182="","",SUM($G182)*SUM(INDEX(InputOutput!$AJ$71:$AJ$100,MATCH($D182,InputOutput!$D$71:$D$100,0))))</f>
        <v/>
      </c>
      <c r="J182" s="266" t="str">
        <f>IF($D182="","",SUM($G182)*SUM(INDEX(InputOutput!$AL$71:$AL$100,MATCH($D182,InputOutput!$D$71:$D$100,0))))</f>
        <v/>
      </c>
      <c r="K182" s="266" t="str">
        <f t="shared" si="31"/>
        <v/>
      </c>
      <c r="L182" s="267" t="str">
        <f>IF(D182="","",SUM(I182)*SUM(AD165))</f>
        <v/>
      </c>
      <c r="M182" s="267" t="str">
        <f>IF(D182="","",SUM(J182)*SUM(AD165))</f>
        <v/>
      </c>
      <c r="N182" s="267" t="str">
        <f t="shared" si="32"/>
        <v/>
      </c>
      <c r="O182" s="267" t="str">
        <f>IF(AG182,INDEX(E_PurchPrec!U:U,MATCH(CONST_CNTR_ElecEFMethod&amp;D182,E_PurchPrec!R:R,0)),INDEX(D_Processes!T:T,MATCH(CONST_CNTR_ElecEFMethod&amp;D182,D_Processes!R:R,0)))</f>
        <v/>
      </c>
      <c r="P182" s="266" t="str">
        <f>IF($D182="","",SUM($G182)*SUM(INDEX(InputOutput!$AN$71:$AN$100,MATCH($D182,InputOutput!$D$71:$D$100,0))))</f>
        <v/>
      </c>
      <c r="Q182" s="673" t="str">
        <f>IF(D182="","",IF(AG182,INDEX(A_InstData!$F$102:$F$121,MATCH(D182,CNTR_List_ExistPurchPrecNames,0)),""))</f>
        <v/>
      </c>
      <c r="R182" s="678" t="str">
        <f>IF($D182="","",SUM($G182)*SUM(INDEX(F_Tools!$T$101:$T$130,MATCH($D182,F_Tools!$E$101:$E$130,0))))</f>
        <v/>
      </c>
      <c r="S182" s="669" t="str">
        <f>IF($D182="","",SUM($G182)*SUM(INDEX(F_Tools!$U$101:$U$130,MATCH($D182,F_Tools!$E$101:$E$130,0))))</f>
        <v/>
      </c>
      <c r="T182" s="428"/>
      <c r="Z182" s="123"/>
      <c r="AB182" s="268" t="str">
        <f>CONST_PrecursorToGoodInput &amp; D182 &amp; "_" &amp; D162</f>
        <v>PrecToGood__</v>
      </c>
      <c r="AD182" s="269">
        <f>SUMIF(D_Processes!R:R,AB182,D_Processes!K:K)</f>
        <v>0</v>
      </c>
      <c r="AE182" s="268">
        <f>SUMIF(D_Processes!R:R,CONST_CNTR_TotProd &amp; D182,D_Processes!L:L)</f>
        <v>0</v>
      </c>
      <c r="AG182" s="102" t="b">
        <f t="shared" si="30"/>
        <v>0</v>
      </c>
    </row>
    <row r="183" spans="1:33" ht="12.75" customHeight="1" outlineLevel="1" x14ac:dyDescent="0.35">
      <c r="A183" s="92"/>
      <c r="B183" s="94"/>
      <c r="C183" s="978">
        <v>18</v>
      </c>
      <c r="D183" s="1417" t="str">
        <f>IF(D162="","",IF(COUNTIF(INDEX(CNTR_IOSupplyChain,MATCH(D162,CNTR_IOProcAndPrec,0),),C183)=0,"",INDEX(CNTR_IOProcAndPrec,MATCH(C183,INDEX(CNTR_IOSupplyChain,MATCH(D162,CNTR_IOProcAndPrec,0),),0))))</f>
        <v/>
      </c>
      <c r="E183" s="1418"/>
      <c r="F183" s="265" t="str">
        <f t="shared" si="29"/>
        <v/>
      </c>
      <c r="G183" s="266" t="str">
        <f>IF(D183="","",INDEX(CNTR_Matrix_Inv,MATCH(D162,CNTR_IOProcAndPrec,0),MATCH(D183,CNTR_IOProcAndPrec,0)))</f>
        <v/>
      </c>
      <c r="H183" s="286" t="str">
        <f>IF(D183="","",IF(AG183,INDEX(E_PurchPrec!U:U,MATCH(CONST_PurchPrecDefaultUsed&amp;D183,E_PurchPrec!R:R,0)),CONST_NA))</f>
        <v/>
      </c>
      <c r="I183" s="266" t="str">
        <f>IF($D183="","",SUM($G183)*SUM(INDEX(InputOutput!$AJ$71:$AJ$100,MATCH($D183,InputOutput!$D$71:$D$100,0))))</f>
        <v/>
      </c>
      <c r="J183" s="266" t="str">
        <f>IF($D183="","",SUM($G183)*SUM(INDEX(InputOutput!$AL$71:$AL$100,MATCH($D183,InputOutput!$D$71:$D$100,0))))</f>
        <v/>
      </c>
      <c r="K183" s="266" t="str">
        <f t="shared" si="31"/>
        <v/>
      </c>
      <c r="L183" s="267" t="str">
        <f>IF(D183="","",SUM(I183)*SUM(AD165))</f>
        <v/>
      </c>
      <c r="M183" s="267" t="str">
        <f>IF(D183="","",SUM(J183)*SUM(AD165))</f>
        <v/>
      </c>
      <c r="N183" s="267" t="str">
        <f t="shared" si="32"/>
        <v/>
      </c>
      <c r="O183" s="267" t="str">
        <f>IF(AG183,INDEX(E_PurchPrec!U:U,MATCH(CONST_CNTR_ElecEFMethod&amp;D183,E_PurchPrec!R:R,0)),INDEX(D_Processes!T:T,MATCH(CONST_CNTR_ElecEFMethod&amp;D183,D_Processes!R:R,0)))</f>
        <v/>
      </c>
      <c r="P183" s="266" t="str">
        <f>IF($D183="","",SUM($G183)*SUM(INDEX(InputOutput!$AN$71:$AN$100,MATCH($D183,InputOutput!$D$71:$D$100,0))))</f>
        <v/>
      </c>
      <c r="Q183" s="673" t="str">
        <f>IF(D183="","",IF(AG183,INDEX(A_InstData!$F$102:$F$121,MATCH(D183,CNTR_List_ExistPurchPrecNames,0)),""))</f>
        <v/>
      </c>
      <c r="R183" s="678" t="str">
        <f>IF($D183="","",SUM($G183)*SUM(INDEX(F_Tools!$T$101:$T$130,MATCH($D183,F_Tools!$E$101:$E$130,0))))</f>
        <v/>
      </c>
      <c r="S183" s="669" t="str">
        <f>IF($D183="","",SUM($G183)*SUM(INDEX(F_Tools!$U$101:$U$130,MATCH($D183,F_Tools!$E$101:$E$130,0))))</f>
        <v/>
      </c>
      <c r="T183" s="428"/>
      <c r="Z183" s="123"/>
      <c r="AB183" s="268" t="str">
        <f>CONST_PrecursorToGoodInput &amp; D183 &amp; "_" &amp; D162</f>
        <v>PrecToGood__</v>
      </c>
      <c r="AD183" s="269">
        <f>SUMIF(D_Processes!R:R,AB183,D_Processes!K:K)</f>
        <v>0</v>
      </c>
      <c r="AE183" s="268">
        <f>SUMIF(D_Processes!R:R,CONST_CNTR_TotProd &amp; D183,D_Processes!L:L)</f>
        <v>0</v>
      </c>
      <c r="AG183" s="102" t="b">
        <f t="shared" si="30"/>
        <v>0</v>
      </c>
    </row>
    <row r="184" spans="1:33" ht="12.75" customHeight="1" outlineLevel="1" x14ac:dyDescent="0.35">
      <c r="A184" s="92"/>
      <c r="B184" s="94"/>
      <c r="C184" s="978">
        <v>19</v>
      </c>
      <c r="D184" s="1417" t="str">
        <f>IF(D162="","",IF(COUNTIF(INDEX(CNTR_IOSupplyChain,MATCH(D162,CNTR_IOProcAndPrec,0),),C184)=0,"",INDEX(CNTR_IOProcAndPrec,MATCH(C184,INDEX(CNTR_IOSupplyChain,MATCH(D162,CNTR_IOProcAndPrec,0),),0))))</f>
        <v/>
      </c>
      <c r="E184" s="1418"/>
      <c r="F184" s="265" t="str">
        <f t="shared" si="29"/>
        <v/>
      </c>
      <c r="G184" s="266" t="str">
        <f>IF(D184="","",INDEX(CNTR_Matrix_Inv,MATCH(D162,CNTR_IOProcAndPrec,0),MATCH(D184,CNTR_IOProcAndPrec,0)))</f>
        <v/>
      </c>
      <c r="H184" s="286" t="str">
        <f>IF(D184="","",IF(AG184,INDEX(E_PurchPrec!U:U,MATCH(CONST_PurchPrecDefaultUsed&amp;D184,E_PurchPrec!R:R,0)),CONST_NA))</f>
        <v/>
      </c>
      <c r="I184" s="266" t="str">
        <f>IF($D184="","",SUM($G184)*SUM(INDEX(InputOutput!$AJ$71:$AJ$100,MATCH($D184,InputOutput!$D$71:$D$100,0))))</f>
        <v/>
      </c>
      <c r="J184" s="266" t="str">
        <f>IF($D184="","",SUM($G184)*SUM(INDEX(InputOutput!$AL$71:$AL$100,MATCH($D184,InputOutput!$D$71:$D$100,0))))</f>
        <v/>
      </c>
      <c r="K184" s="266" t="str">
        <f t="shared" si="31"/>
        <v/>
      </c>
      <c r="L184" s="267" t="str">
        <f>IF(D184="","",SUM(I184)*SUM(AD165))</f>
        <v/>
      </c>
      <c r="M184" s="267" t="str">
        <f>IF(D184="","",SUM(J184)*SUM(AD165))</f>
        <v/>
      </c>
      <c r="N184" s="267" t="str">
        <f t="shared" si="32"/>
        <v/>
      </c>
      <c r="O184" s="267" t="str">
        <f>IF(AG184,INDEX(E_PurchPrec!U:U,MATCH(CONST_CNTR_ElecEFMethod&amp;D184,E_PurchPrec!R:R,0)),INDEX(D_Processes!T:T,MATCH(CONST_CNTR_ElecEFMethod&amp;D184,D_Processes!R:R,0)))</f>
        <v/>
      </c>
      <c r="P184" s="266" t="str">
        <f>IF($D184="","",SUM($G184)*SUM(INDEX(InputOutput!$AN$71:$AN$100,MATCH($D184,InputOutput!$D$71:$D$100,0))))</f>
        <v/>
      </c>
      <c r="Q184" s="673" t="str">
        <f>IF(D184="","",IF(AG184,INDEX(A_InstData!$F$102:$F$121,MATCH(D184,CNTR_List_ExistPurchPrecNames,0)),""))</f>
        <v/>
      </c>
      <c r="R184" s="678" t="str">
        <f>IF($D184="","",SUM($G184)*SUM(INDEX(F_Tools!$T$101:$T$130,MATCH($D184,F_Tools!$E$101:$E$130,0))))</f>
        <v/>
      </c>
      <c r="S184" s="669" t="str">
        <f>IF($D184="","",SUM($G184)*SUM(INDEX(F_Tools!$U$101:$U$130,MATCH($D184,F_Tools!$E$101:$E$130,0))))</f>
        <v/>
      </c>
      <c r="T184" s="428"/>
      <c r="Z184" s="123"/>
      <c r="AB184" s="268" t="str">
        <f>CONST_PrecursorToGoodInput &amp; D184 &amp; "_" &amp; D162</f>
        <v>PrecToGood__</v>
      </c>
      <c r="AD184" s="269">
        <f>SUMIF(D_Processes!R:R,AB184,D_Processes!K:K)</f>
        <v>0</v>
      </c>
      <c r="AE184" s="268">
        <f>SUMIF(D_Processes!R:R,CONST_CNTR_TotProd &amp; D184,D_Processes!L:L)</f>
        <v>0</v>
      </c>
      <c r="AG184" s="102" t="b">
        <f t="shared" si="30"/>
        <v>0</v>
      </c>
    </row>
    <row r="185" spans="1:33" ht="12.75" customHeight="1" outlineLevel="1" x14ac:dyDescent="0.35">
      <c r="A185" s="92"/>
      <c r="B185" s="94"/>
      <c r="C185" s="978">
        <v>20</v>
      </c>
      <c r="D185" s="1417" t="str">
        <f>IF(D162="","",IF(COUNTIF(INDEX(CNTR_IOSupplyChain,MATCH(D162,CNTR_IOProcAndPrec,0),),C185)=0,"",INDEX(CNTR_IOProcAndPrec,MATCH(C185,INDEX(CNTR_IOSupplyChain,MATCH(D162,CNTR_IOProcAndPrec,0),),0))))</f>
        <v/>
      </c>
      <c r="E185" s="1418"/>
      <c r="F185" s="265" t="str">
        <f t="shared" si="29"/>
        <v/>
      </c>
      <c r="G185" s="266" t="str">
        <f>IF(D185="","",INDEX(CNTR_Matrix_Inv,MATCH(D162,CNTR_IOProcAndPrec,0),MATCH(D185,CNTR_IOProcAndPrec,0)))</f>
        <v/>
      </c>
      <c r="H185" s="286" t="str">
        <f>IF(D185="","",IF(AG185,INDEX(E_PurchPrec!U:U,MATCH(CONST_PurchPrecDefaultUsed&amp;D185,E_PurchPrec!R:R,0)),CONST_NA))</f>
        <v/>
      </c>
      <c r="I185" s="266" t="str">
        <f>IF($D185="","",SUM($G185)*SUM(INDEX(InputOutput!$AJ$71:$AJ$100,MATCH($D185,InputOutput!$D$71:$D$100,0))))</f>
        <v/>
      </c>
      <c r="J185" s="266" t="str">
        <f>IF($D185="","",SUM($G185)*SUM(INDEX(InputOutput!$AL$71:$AL$100,MATCH($D185,InputOutput!$D$71:$D$100,0))))</f>
        <v/>
      </c>
      <c r="K185" s="266" t="str">
        <f t="shared" si="31"/>
        <v/>
      </c>
      <c r="L185" s="267" t="str">
        <f>IF(D185="","",SUM(I185)*SUM(AD165))</f>
        <v/>
      </c>
      <c r="M185" s="267" t="str">
        <f>IF(D185="","",SUM(J185)*SUM(AD165))</f>
        <v/>
      </c>
      <c r="N185" s="267" t="str">
        <f t="shared" si="32"/>
        <v/>
      </c>
      <c r="O185" s="267" t="str">
        <f>IF(AG185,INDEX(E_PurchPrec!U:U,MATCH(CONST_CNTR_ElecEFMethod&amp;D185,E_PurchPrec!R:R,0)),INDEX(D_Processes!T:T,MATCH(CONST_CNTR_ElecEFMethod&amp;D185,D_Processes!R:R,0)))</f>
        <v/>
      </c>
      <c r="P185" s="266" t="str">
        <f>IF($D185="","",SUM($G185)*SUM(INDEX(InputOutput!$AN$71:$AN$100,MATCH($D185,InputOutput!$D$71:$D$100,0))))</f>
        <v/>
      </c>
      <c r="Q185" s="673" t="str">
        <f>IF(D185="","",IF(AG185,INDEX(A_InstData!$F$102:$F$121,MATCH(D185,CNTR_List_ExistPurchPrecNames,0)),""))</f>
        <v/>
      </c>
      <c r="R185" s="678" t="str">
        <f>IF($D185="","",SUM($G185)*SUM(INDEX(F_Tools!$T$101:$T$130,MATCH($D185,F_Tools!$E$101:$E$130,0))))</f>
        <v/>
      </c>
      <c r="S185" s="669" t="str">
        <f>IF($D185="","",SUM($G185)*SUM(INDEX(F_Tools!$U$101:$U$130,MATCH($D185,F_Tools!$E$101:$E$130,0))))</f>
        <v/>
      </c>
      <c r="T185" s="428"/>
      <c r="Z185" s="123"/>
      <c r="AB185" s="268" t="str">
        <f>CONST_PrecursorToGoodInput &amp; D185 &amp; "_" &amp; D162</f>
        <v>PrecToGood__</v>
      </c>
      <c r="AD185" s="269">
        <f>SUMIF(D_Processes!R:R,AB185,D_Processes!K:K)</f>
        <v>0</v>
      </c>
      <c r="AE185" s="268">
        <f>SUMIF(D_Processes!R:R,CONST_CNTR_TotProd &amp; D185,D_Processes!L:L)</f>
        <v>0</v>
      </c>
      <c r="AG185" s="102" t="b">
        <f t="shared" si="30"/>
        <v>0</v>
      </c>
    </row>
    <row r="186" spans="1:33" ht="12.75" customHeight="1" outlineLevel="1" x14ac:dyDescent="0.35">
      <c r="A186" s="92"/>
      <c r="B186" s="94"/>
      <c r="C186" s="978">
        <v>21</v>
      </c>
      <c r="D186" s="1417" t="str">
        <f>IF(D162="","",IF(COUNTIF(INDEX(CNTR_IOSupplyChain,MATCH(D162,CNTR_IOProcAndPrec,0),),C186)=0,"",INDEX(CNTR_IOProcAndPrec,MATCH(C186,INDEX(CNTR_IOSupplyChain,MATCH(D162,CNTR_IOProcAndPrec,0),),0))))</f>
        <v/>
      </c>
      <c r="E186" s="1418"/>
      <c r="F186" s="265" t="str">
        <f t="shared" si="29"/>
        <v/>
      </c>
      <c r="G186" s="266" t="str">
        <f>IF(D186="","",INDEX(CNTR_Matrix_Inv,MATCH(D162,CNTR_IOProcAndPrec,0),MATCH(D186,CNTR_IOProcAndPrec,0)))</f>
        <v/>
      </c>
      <c r="H186" s="286" t="str">
        <f>IF(D186="","",IF(AG186,INDEX(E_PurchPrec!U:U,MATCH(CONST_PurchPrecDefaultUsed&amp;D186,E_PurchPrec!R:R,0)),CONST_NA))</f>
        <v/>
      </c>
      <c r="I186" s="266" t="str">
        <f>IF($D186="","",SUM($G186)*SUM(INDEX(InputOutput!$AJ$71:$AJ$100,MATCH($D186,InputOutput!$D$71:$D$100,0))))</f>
        <v/>
      </c>
      <c r="J186" s="266" t="str">
        <f>IF($D186="","",SUM($G186)*SUM(INDEX(InputOutput!$AL$71:$AL$100,MATCH($D186,InputOutput!$D$71:$D$100,0))))</f>
        <v/>
      </c>
      <c r="K186" s="266" t="str">
        <f t="shared" si="31"/>
        <v/>
      </c>
      <c r="L186" s="267" t="str">
        <f>IF(D186="","",SUM(I186)*SUM(AD165))</f>
        <v/>
      </c>
      <c r="M186" s="267" t="str">
        <f>IF(D186="","",SUM(J186)*SUM(AD165))</f>
        <v/>
      </c>
      <c r="N186" s="267" t="str">
        <f t="shared" si="32"/>
        <v/>
      </c>
      <c r="O186" s="267" t="str">
        <f>IF(AG186,INDEX(E_PurchPrec!U:U,MATCH(CONST_CNTR_ElecEFMethod&amp;D186,E_PurchPrec!R:R,0)),INDEX(D_Processes!T:T,MATCH(CONST_CNTR_ElecEFMethod&amp;D186,D_Processes!R:R,0)))</f>
        <v/>
      </c>
      <c r="P186" s="266" t="str">
        <f>IF($D186="","",SUM($G186)*SUM(INDEX(InputOutput!$AN$71:$AN$100,MATCH($D186,InputOutput!$D$71:$D$100,0))))</f>
        <v/>
      </c>
      <c r="Q186" s="673" t="str">
        <f>IF(D186="","",IF(AG186,INDEX(A_InstData!$F$102:$F$121,MATCH(D186,CNTR_List_ExistPurchPrecNames,0)),""))</f>
        <v/>
      </c>
      <c r="R186" s="678" t="str">
        <f>IF($D186="","",SUM($G186)*SUM(INDEX(F_Tools!$T$101:$T$130,MATCH($D186,F_Tools!$E$101:$E$130,0))))</f>
        <v/>
      </c>
      <c r="S186" s="669" t="str">
        <f>IF($D186="","",SUM($G186)*SUM(INDEX(F_Tools!$U$101:$U$130,MATCH($D186,F_Tools!$E$101:$E$130,0))))</f>
        <v/>
      </c>
      <c r="T186" s="428"/>
      <c r="Z186" s="123"/>
      <c r="AB186" s="268" t="str">
        <f>CONST_PrecursorToGoodInput &amp; D186 &amp; "_" &amp; D162</f>
        <v>PrecToGood__</v>
      </c>
      <c r="AD186" s="269">
        <f>SUMIF(D_Processes!R:R,AB186,D_Processes!K:K)</f>
        <v>0</v>
      </c>
      <c r="AE186" s="268">
        <f>SUMIF(D_Processes!R:R,CONST_CNTR_TotProd &amp; D186,D_Processes!L:L)</f>
        <v>0</v>
      </c>
      <c r="AG186" s="102" t="b">
        <f t="shared" si="30"/>
        <v>0</v>
      </c>
    </row>
    <row r="187" spans="1:33" ht="12.75" customHeight="1" outlineLevel="1" x14ac:dyDescent="0.35">
      <c r="A187" s="92"/>
      <c r="B187" s="94"/>
      <c r="C187" s="978">
        <v>22</v>
      </c>
      <c r="D187" s="1417" t="str">
        <f>IF(D162="","",IF(COUNTIF(INDEX(CNTR_IOSupplyChain,MATCH(D162,CNTR_IOProcAndPrec,0),),C187)=0,"",INDEX(CNTR_IOProcAndPrec,MATCH(C187,INDEX(CNTR_IOSupplyChain,MATCH(D162,CNTR_IOProcAndPrec,0),),0))))</f>
        <v/>
      </c>
      <c r="E187" s="1418"/>
      <c r="F187" s="265" t="str">
        <f t="shared" si="29"/>
        <v/>
      </c>
      <c r="G187" s="266" t="str">
        <f>IF(D187="","",INDEX(CNTR_Matrix_Inv,MATCH(D162,CNTR_IOProcAndPrec,0),MATCH(D187,CNTR_IOProcAndPrec,0)))</f>
        <v/>
      </c>
      <c r="H187" s="286" t="str">
        <f>IF(D187="","",IF(AG187,INDEX(E_PurchPrec!U:U,MATCH(CONST_PurchPrecDefaultUsed&amp;D187,E_PurchPrec!R:R,0)),CONST_NA))</f>
        <v/>
      </c>
      <c r="I187" s="266" t="str">
        <f>IF($D187="","",SUM($G187)*SUM(INDEX(InputOutput!$AJ$71:$AJ$100,MATCH($D187,InputOutput!$D$71:$D$100,0))))</f>
        <v/>
      </c>
      <c r="J187" s="266" t="str">
        <f>IF($D187="","",SUM($G187)*SUM(INDEX(InputOutput!$AL$71:$AL$100,MATCH($D187,InputOutput!$D$71:$D$100,0))))</f>
        <v/>
      </c>
      <c r="K187" s="266" t="str">
        <f t="shared" si="31"/>
        <v/>
      </c>
      <c r="L187" s="267" t="str">
        <f>IF(D187="","",SUM(I187)*SUM(AD165))</f>
        <v/>
      </c>
      <c r="M187" s="267" t="str">
        <f>IF(D187="","",SUM(J187)*SUM(AD165))</f>
        <v/>
      </c>
      <c r="N187" s="267" t="str">
        <f t="shared" si="32"/>
        <v/>
      </c>
      <c r="O187" s="267" t="str">
        <f>IF(AG187,INDEX(E_PurchPrec!U:U,MATCH(CONST_CNTR_ElecEFMethod&amp;D187,E_PurchPrec!R:R,0)),INDEX(D_Processes!T:T,MATCH(CONST_CNTR_ElecEFMethod&amp;D187,D_Processes!R:R,0)))</f>
        <v/>
      </c>
      <c r="P187" s="266" t="str">
        <f>IF($D187="","",SUM($G187)*SUM(INDEX(InputOutput!$AN$71:$AN$100,MATCH($D187,InputOutput!$D$71:$D$100,0))))</f>
        <v/>
      </c>
      <c r="Q187" s="673" t="str">
        <f>IF(D187="","",IF(AG187,INDEX(A_InstData!$F$102:$F$121,MATCH(D187,CNTR_List_ExistPurchPrecNames,0)),""))</f>
        <v/>
      </c>
      <c r="R187" s="678" t="str">
        <f>IF($D187="","",SUM($G187)*SUM(INDEX(F_Tools!$T$101:$T$130,MATCH($D187,F_Tools!$E$101:$E$130,0))))</f>
        <v/>
      </c>
      <c r="S187" s="669" t="str">
        <f>IF($D187="","",SUM($G187)*SUM(INDEX(F_Tools!$U$101:$U$130,MATCH($D187,F_Tools!$E$101:$E$130,0))))</f>
        <v/>
      </c>
      <c r="T187" s="428"/>
      <c r="Z187" s="123"/>
      <c r="AB187" s="268" t="str">
        <f>CONST_PrecursorToGoodInput &amp; D187 &amp; "_" &amp; D162</f>
        <v>PrecToGood__</v>
      </c>
      <c r="AD187" s="269">
        <f>SUMIF(D_Processes!R:R,AB187,D_Processes!K:K)</f>
        <v>0</v>
      </c>
      <c r="AE187" s="268">
        <f>SUMIF(D_Processes!R:R,CONST_CNTR_TotProd &amp; D187,D_Processes!L:L)</f>
        <v>0</v>
      </c>
      <c r="AG187" s="102" t="b">
        <f t="shared" si="30"/>
        <v>0</v>
      </c>
    </row>
    <row r="188" spans="1:33" ht="12.75" customHeight="1" outlineLevel="1" x14ac:dyDescent="0.35">
      <c r="A188" s="92"/>
      <c r="B188" s="94"/>
      <c r="C188" s="978">
        <v>23</v>
      </c>
      <c r="D188" s="1417" t="str">
        <f>IF(D162="","",IF(COUNTIF(INDEX(CNTR_IOSupplyChain,MATCH(D162,CNTR_IOProcAndPrec,0),),C188)=0,"",INDEX(CNTR_IOProcAndPrec,MATCH(C188,INDEX(CNTR_IOSupplyChain,MATCH(D162,CNTR_IOProcAndPrec,0),),0))))</f>
        <v/>
      </c>
      <c r="E188" s="1418"/>
      <c r="F188" s="265" t="str">
        <f t="shared" si="29"/>
        <v/>
      </c>
      <c r="G188" s="266" t="str">
        <f>IF(D188="","",INDEX(CNTR_Matrix_Inv,MATCH(D162,CNTR_IOProcAndPrec,0),MATCH(D188,CNTR_IOProcAndPrec,0)))</f>
        <v/>
      </c>
      <c r="H188" s="286" t="str">
        <f>IF(D188="","",IF(AG188,INDEX(E_PurchPrec!U:U,MATCH(CONST_PurchPrecDefaultUsed&amp;D188,E_PurchPrec!R:R,0)),CONST_NA))</f>
        <v/>
      </c>
      <c r="I188" s="266" t="str">
        <f>IF($D188="","",SUM($G188)*SUM(INDEX(InputOutput!$AJ$71:$AJ$100,MATCH($D188,InputOutput!$D$71:$D$100,0))))</f>
        <v/>
      </c>
      <c r="J188" s="266" t="str">
        <f>IF($D188="","",SUM($G188)*SUM(INDEX(InputOutput!$AL$71:$AL$100,MATCH($D188,InputOutput!$D$71:$D$100,0))))</f>
        <v/>
      </c>
      <c r="K188" s="266" t="str">
        <f t="shared" si="31"/>
        <v/>
      </c>
      <c r="L188" s="267" t="str">
        <f>IF(D188="","",SUM(I188)*SUM(AD165))</f>
        <v/>
      </c>
      <c r="M188" s="267" t="str">
        <f>IF(D188="","",SUM(J188)*SUM(AD165))</f>
        <v/>
      </c>
      <c r="N188" s="267" t="str">
        <f t="shared" si="32"/>
        <v/>
      </c>
      <c r="O188" s="267" t="str">
        <f>IF(AG188,INDEX(E_PurchPrec!U:U,MATCH(CONST_CNTR_ElecEFMethod&amp;D188,E_PurchPrec!R:R,0)),INDEX(D_Processes!T:T,MATCH(CONST_CNTR_ElecEFMethod&amp;D188,D_Processes!R:R,0)))</f>
        <v/>
      </c>
      <c r="P188" s="266" t="str">
        <f>IF($D188="","",SUM($G188)*SUM(INDEX(InputOutput!$AN$71:$AN$100,MATCH($D188,InputOutput!$D$71:$D$100,0))))</f>
        <v/>
      </c>
      <c r="Q188" s="673" t="str">
        <f>IF(D188="","",IF(AG188,INDEX(A_InstData!$F$102:$F$121,MATCH(D188,CNTR_List_ExistPurchPrecNames,0)),""))</f>
        <v/>
      </c>
      <c r="R188" s="678" t="str">
        <f>IF($D188="","",SUM($G188)*SUM(INDEX(F_Tools!$T$101:$T$130,MATCH($D188,F_Tools!$E$101:$E$130,0))))</f>
        <v/>
      </c>
      <c r="S188" s="669" t="str">
        <f>IF($D188="","",SUM($G188)*SUM(INDEX(F_Tools!$U$101:$U$130,MATCH($D188,F_Tools!$E$101:$E$130,0))))</f>
        <v/>
      </c>
      <c r="T188" s="428"/>
      <c r="Z188" s="123"/>
      <c r="AB188" s="268" t="str">
        <f>CONST_PrecursorToGoodInput &amp; D188 &amp; "_" &amp; D162</f>
        <v>PrecToGood__</v>
      </c>
      <c r="AD188" s="269">
        <f>SUMIF(D_Processes!R:R,AB188,D_Processes!K:K)</f>
        <v>0</v>
      </c>
      <c r="AE188" s="268">
        <f>SUMIF(D_Processes!R:R,CONST_CNTR_TotProd &amp; D188,D_Processes!L:L)</f>
        <v>0</v>
      </c>
      <c r="AG188" s="102" t="b">
        <f t="shared" si="30"/>
        <v>0</v>
      </c>
    </row>
    <row r="189" spans="1:33" ht="12.75" customHeight="1" outlineLevel="1" x14ac:dyDescent="0.35">
      <c r="A189" s="92"/>
      <c r="B189" s="94"/>
      <c r="C189" s="978">
        <v>24</v>
      </c>
      <c r="D189" s="1417" t="str">
        <f>IF(D162="","",IF(COUNTIF(INDEX(CNTR_IOSupplyChain,MATCH(D162,CNTR_IOProcAndPrec,0),),C189)=0,"",INDEX(CNTR_IOProcAndPrec,MATCH(C189,INDEX(CNTR_IOSupplyChain,MATCH(D162,CNTR_IOProcAndPrec,0),),0))))</f>
        <v/>
      </c>
      <c r="E189" s="1418"/>
      <c r="F189" s="265" t="str">
        <f t="shared" si="29"/>
        <v/>
      </c>
      <c r="G189" s="266" t="str">
        <f>IF(D189="","",INDEX(CNTR_Matrix_Inv,MATCH(D162,CNTR_IOProcAndPrec,0),MATCH(D189,CNTR_IOProcAndPrec,0)))</f>
        <v/>
      </c>
      <c r="H189" s="286" t="str">
        <f>IF(D189="","",IF(AG189,INDEX(E_PurchPrec!U:U,MATCH(CONST_PurchPrecDefaultUsed&amp;D189,E_PurchPrec!R:R,0)),CONST_NA))</f>
        <v/>
      </c>
      <c r="I189" s="266" t="str">
        <f>IF($D189="","",SUM($G189)*SUM(INDEX(InputOutput!$AJ$71:$AJ$100,MATCH($D189,InputOutput!$D$71:$D$100,0))))</f>
        <v/>
      </c>
      <c r="J189" s="266" t="str">
        <f>IF($D189="","",SUM($G189)*SUM(INDEX(InputOutput!$AL$71:$AL$100,MATCH($D189,InputOutput!$D$71:$D$100,0))))</f>
        <v/>
      </c>
      <c r="K189" s="266" t="str">
        <f t="shared" si="31"/>
        <v/>
      </c>
      <c r="L189" s="267" t="str">
        <f>IF(D189="","",SUM(I189)*SUM(AD165))</f>
        <v/>
      </c>
      <c r="M189" s="267" t="str">
        <f>IF(D189="","",SUM(J189)*SUM(AD165))</f>
        <v/>
      </c>
      <c r="N189" s="267" t="str">
        <f t="shared" si="32"/>
        <v/>
      </c>
      <c r="O189" s="267" t="str">
        <f>IF(AG189,INDEX(E_PurchPrec!U:U,MATCH(CONST_CNTR_ElecEFMethod&amp;D189,E_PurchPrec!R:R,0)),INDEX(D_Processes!T:T,MATCH(CONST_CNTR_ElecEFMethod&amp;D189,D_Processes!R:R,0)))</f>
        <v/>
      </c>
      <c r="P189" s="266" t="str">
        <f>IF($D189="","",SUM($G189)*SUM(INDEX(InputOutput!$AN$71:$AN$100,MATCH($D189,InputOutput!$D$71:$D$100,0))))</f>
        <v/>
      </c>
      <c r="Q189" s="673" t="str">
        <f>IF(D189="","",IF(AG189,INDEX(A_InstData!$F$102:$F$121,MATCH(D189,CNTR_List_ExistPurchPrecNames,0)),""))</f>
        <v/>
      </c>
      <c r="R189" s="678" t="str">
        <f>IF($D189="","",SUM($G189)*SUM(INDEX(F_Tools!$T$101:$T$130,MATCH($D189,F_Tools!$E$101:$E$130,0))))</f>
        <v/>
      </c>
      <c r="S189" s="669" t="str">
        <f>IF($D189="","",SUM($G189)*SUM(INDEX(F_Tools!$U$101:$U$130,MATCH($D189,F_Tools!$E$101:$E$130,0))))</f>
        <v/>
      </c>
      <c r="T189" s="428"/>
      <c r="Z189" s="123"/>
      <c r="AB189" s="268" t="str">
        <f>CONST_PrecursorToGoodInput &amp; D189 &amp; "_" &amp; D162</f>
        <v>PrecToGood__</v>
      </c>
      <c r="AD189" s="269">
        <f>SUMIF(D_Processes!R:R,AB189,D_Processes!K:K)</f>
        <v>0</v>
      </c>
      <c r="AE189" s="268">
        <f>SUMIF(D_Processes!R:R,CONST_CNTR_TotProd &amp; D189,D_Processes!L:L)</f>
        <v>0</v>
      </c>
      <c r="AG189" s="102" t="b">
        <f t="shared" si="30"/>
        <v>0</v>
      </c>
    </row>
    <row r="190" spans="1:33" ht="12.75" customHeight="1" outlineLevel="1" x14ac:dyDescent="0.35">
      <c r="A190" s="92"/>
      <c r="B190" s="94"/>
      <c r="C190" s="978">
        <v>25</v>
      </c>
      <c r="D190" s="1417" t="str">
        <f>IF(D162="","",IF(COUNTIF(INDEX(CNTR_IOSupplyChain,MATCH(D162,CNTR_IOProcAndPrec,0),),C190)=0,"",INDEX(CNTR_IOProcAndPrec,MATCH(C190,INDEX(CNTR_IOSupplyChain,MATCH(D162,CNTR_IOProcAndPrec,0),),0))))</f>
        <v/>
      </c>
      <c r="E190" s="1418"/>
      <c r="F190" s="265" t="str">
        <f t="shared" si="29"/>
        <v/>
      </c>
      <c r="G190" s="266" t="str">
        <f>IF(D190="","",INDEX(CNTR_Matrix_Inv,MATCH(D162,CNTR_IOProcAndPrec,0),MATCH(D190,CNTR_IOProcAndPrec,0)))</f>
        <v/>
      </c>
      <c r="H190" s="286" t="str">
        <f>IF(D190="","",IF(AG190,INDEX(E_PurchPrec!U:U,MATCH(CONST_PurchPrecDefaultUsed&amp;D190,E_PurchPrec!R:R,0)),CONST_NA))</f>
        <v/>
      </c>
      <c r="I190" s="266" t="str">
        <f>IF($D190="","",SUM($G190)*SUM(INDEX(InputOutput!$AJ$71:$AJ$100,MATCH($D190,InputOutput!$D$71:$D$100,0))))</f>
        <v/>
      </c>
      <c r="J190" s="266" t="str">
        <f>IF($D190="","",SUM($G190)*SUM(INDEX(InputOutput!$AL$71:$AL$100,MATCH($D190,InputOutput!$D$71:$D$100,0))))</f>
        <v/>
      </c>
      <c r="K190" s="266" t="str">
        <f t="shared" si="31"/>
        <v/>
      </c>
      <c r="L190" s="267" t="str">
        <f>IF(D190="","",SUM(I190)*SUM(AD165))</f>
        <v/>
      </c>
      <c r="M190" s="267" t="str">
        <f>IF(D190="","",SUM(J190)*SUM(AD165))</f>
        <v/>
      </c>
      <c r="N190" s="267" t="str">
        <f t="shared" si="32"/>
        <v/>
      </c>
      <c r="O190" s="267" t="str">
        <f>IF(AG190,INDEX(E_PurchPrec!U:U,MATCH(CONST_CNTR_ElecEFMethod&amp;D190,E_PurchPrec!R:R,0)),INDEX(D_Processes!T:T,MATCH(CONST_CNTR_ElecEFMethod&amp;D190,D_Processes!R:R,0)))</f>
        <v/>
      </c>
      <c r="P190" s="266" t="str">
        <f>IF($D190="","",SUM($G190)*SUM(INDEX(InputOutput!$AN$71:$AN$100,MATCH($D190,InputOutput!$D$71:$D$100,0))))</f>
        <v/>
      </c>
      <c r="Q190" s="673" t="str">
        <f>IF(D190="","",IF(AG190,INDEX(A_InstData!$F$102:$F$121,MATCH(D190,CNTR_List_ExistPurchPrecNames,0)),""))</f>
        <v/>
      </c>
      <c r="R190" s="678" t="str">
        <f>IF($D190="","",SUM($G190)*SUM(INDEX(F_Tools!$T$101:$T$130,MATCH($D190,F_Tools!$E$101:$E$130,0))))</f>
        <v/>
      </c>
      <c r="S190" s="669" t="str">
        <f>IF($D190="","",SUM($G190)*SUM(INDEX(F_Tools!$U$101:$U$130,MATCH($D190,F_Tools!$E$101:$E$130,0))))</f>
        <v/>
      </c>
      <c r="T190" s="428"/>
      <c r="Z190" s="123"/>
      <c r="AB190" s="268" t="str">
        <f>CONST_PrecursorToGoodInput &amp; D190 &amp; "_" &amp; D162</f>
        <v>PrecToGood__</v>
      </c>
      <c r="AD190" s="269">
        <f>SUMIF(D_Processes!R:R,AB190,D_Processes!K:K)</f>
        <v>0</v>
      </c>
      <c r="AE190" s="268">
        <f>SUMIF(D_Processes!R:R,CONST_CNTR_TotProd &amp; D190,D_Processes!L:L)</f>
        <v>0</v>
      </c>
      <c r="AG190" s="102" t="b">
        <f t="shared" si="30"/>
        <v>0</v>
      </c>
    </row>
    <row r="191" spans="1:33" ht="12.75" customHeight="1" outlineLevel="1" x14ac:dyDescent="0.35">
      <c r="A191" s="92"/>
      <c r="B191" s="94"/>
      <c r="C191" s="978">
        <v>26</v>
      </c>
      <c r="D191" s="1417" t="str">
        <f>IF(D162="","",IF(COUNTIF(INDEX(CNTR_IOSupplyChain,MATCH(D162,CNTR_IOProcAndPrec,0),),C191)=0,"",INDEX(CNTR_IOProcAndPrec,MATCH(C191,INDEX(CNTR_IOSupplyChain,MATCH(D162,CNTR_IOProcAndPrec,0),),0))))</f>
        <v/>
      </c>
      <c r="E191" s="1418"/>
      <c r="F191" s="265" t="str">
        <f t="shared" si="29"/>
        <v/>
      </c>
      <c r="G191" s="266" t="str">
        <f>IF(D191="","",INDEX(CNTR_Matrix_Inv,MATCH(D162,CNTR_IOProcAndPrec,0),MATCH(D191,CNTR_IOProcAndPrec,0)))</f>
        <v/>
      </c>
      <c r="H191" s="286" t="str">
        <f>IF(D191="","",IF(AG191,INDEX(E_PurchPrec!U:U,MATCH(CONST_PurchPrecDefaultUsed&amp;D191,E_PurchPrec!R:R,0)),CONST_NA))</f>
        <v/>
      </c>
      <c r="I191" s="266" t="str">
        <f>IF($D191="","",SUM($G191)*SUM(INDEX(InputOutput!$AJ$71:$AJ$100,MATCH($D191,InputOutput!$D$71:$D$100,0))))</f>
        <v/>
      </c>
      <c r="J191" s="266" t="str">
        <f>IF($D191="","",SUM($G191)*SUM(INDEX(InputOutput!$AL$71:$AL$100,MATCH($D191,InputOutput!$D$71:$D$100,0))))</f>
        <v/>
      </c>
      <c r="K191" s="266" t="str">
        <f t="shared" si="31"/>
        <v/>
      </c>
      <c r="L191" s="267" t="str">
        <f>IF(D191="","",SUM(I191)*SUM(AD165))</f>
        <v/>
      </c>
      <c r="M191" s="267" t="str">
        <f>IF(D191="","",SUM(J191)*SUM(AD165))</f>
        <v/>
      </c>
      <c r="N191" s="267" t="str">
        <f t="shared" si="32"/>
        <v/>
      </c>
      <c r="O191" s="267" t="str">
        <f>IF(AG191,INDEX(E_PurchPrec!U:U,MATCH(CONST_CNTR_ElecEFMethod&amp;D191,E_PurchPrec!R:R,0)),INDEX(D_Processes!T:T,MATCH(CONST_CNTR_ElecEFMethod&amp;D191,D_Processes!R:R,0)))</f>
        <v/>
      </c>
      <c r="P191" s="266" t="str">
        <f>IF($D191="","",SUM($G191)*SUM(INDEX(InputOutput!$AN$71:$AN$100,MATCH($D191,InputOutput!$D$71:$D$100,0))))</f>
        <v/>
      </c>
      <c r="Q191" s="673" t="str">
        <f>IF(D191="","",IF(AG191,INDEX(A_InstData!$F$102:$F$121,MATCH(D191,CNTR_List_ExistPurchPrecNames,0)),""))</f>
        <v/>
      </c>
      <c r="R191" s="678" t="str">
        <f>IF($D191="","",SUM($G191)*SUM(INDEX(F_Tools!$T$101:$T$130,MATCH($D191,F_Tools!$E$101:$E$130,0))))</f>
        <v/>
      </c>
      <c r="S191" s="669" t="str">
        <f>IF($D191="","",SUM($G191)*SUM(INDEX(F_Tools!$U$101:$U$130,MATCH($D191,F_Tools!$E$101:$E$130,0))))</f>
        <v/>
      </c>
      <c r="T191" s="428"/>
      <c r="Z191" s="123"/>
      <c r="AB191" s="268" t="str">
        <f>CONST_PrecursorToGoodInput &amp; D191 &amp; "_" &amp; D162</f>
        <v>PrecToGood__</v>
      </c>
      <c r="AD191" s="269">
        <f>SUMIF(D_Processes!R:R,AB191,D_Processes!K:K)</f>
        <v>0</v>
      </c>
      <c r="AE191" s="268">
        <f>SUMIF(D_Processes!R:R,CONST_CNTR_TotProd &amp; D191,D_Processes!L:L)</f>
        <v>0</v>
      </c>
      <c r="AG191" s="102" t="b">
        <f t="shared" si="30"/>
        <v>0</v>
      </c>
    </row>
    <row r="192" spans="1:33" ht="12.75" customHeight="1" outlineLevel="1" x14ac:dyDescent="0.35">
      <c r="A192" s="92"/>
      <c r="B192" s="94"/>
      <c r="C192" s="978">
        <v>27</v>
      </c>
      <c r="D192" s="1417" t="str">
        <f>IF(D162="","",IF(COUNTIF(INDEX(CNTR_IOSupplyChain,MATCH(D162,CNTR_IOProcAndPrec,0),),C192)=0,"",INDEX(CNTR_IOProcAndPrec,MATCH(C192,INDEX(CNTR_IOSupplyChain,MATCH(D162,CNTR_IOProcAndPrec,0),),0))))</f>
        <v/>
      </c>
      <c r="E192" s="1418"/>
      <c r="F192" s="265" t="str">
        <f t="shared" si="29"/>
        <v/>
      </c>
      <c r="G192" s="266" t="str">
        <f>IF(D192="","",INDEX(CNTR_Matrix_Inv,MATCH(D162,CNTR_IOProcAndPrec,0),MATCH(D192,CNTR_IOProcAndPrec,0)))</f>
        <v/>
      </c>
      <c r="H192" s="286" t="str">
        <f>IF(D192="","",IF(AG192,INDEX(E_PurchPrec!U:U,MATCH(CONST_PurchPrecDefaultUsed&amp;D192,E_PurchPrec!R:R,0)),CONST_NA))</f>
        <v/>
      </c>
      <c r="I192" s="266" t="str">
        <f>IF($D192="","",SUM($G192)*SUM(INDEX(InputOutput!$AJ$71:$AJ$100,MATCH($D192,InputOutput!$D$71:$D$100,0))))</f>
        <v/>
      </c>
      <c r="J192" s="266" t="str">
        <f>IF($D192="","",SUM($G192)*SUM(INDEX(InputOutput!$AL$71:$AL$100,MATCH($D192,InputOutput!$D$71:$D$100,0))))</f>
        <v/>
      </c>
      <c r="K192" s="266" t="str">
        <f t="shared" si="31"/>
        <v/>
      </c>
      <c r="L192" s="267" t="str">
        <f>IF(D192="","",SUM(I192)*SUM(AD165))</f>
        <v/>
      </c>
      <c r="M192" s="267" t="str">
        <f>IF(D192="","",SUM(J192)*SUM(AD165))</f>
        <v/>
      </c>
      <c r="N192" s="267" t="str">
        <f t="shared" si="32"/>
        <v/>
      </c>
      <c r="O192" s="267" t="str">
        <f>IF(AG192,INDEX(E_PurchPrec!U:U,MATCH(CONST_CNTR_ElecEFMethod&amp;D192,E_PurchPrec!R:R,0)),INDEX(D_Processes!T:T,MATCH(CONST_CNTR_ElecEFMethod&amp;D192,D_Processes!R:R,0)))</f>
        <v/>
      </c>
      <c r="P192" s="266" t="str">
        <f>IF($D192="","",SUM($G192)*SUM(INDEX(InputOutput!$AN$71:$AN$100,MATCH($D192,InputOutput!$D$71:$D$100,0))))</f>
        <v/>
      </c>
      <c r="Q192" s="673" t="str">
        <f>IF(D192="","",IF(AG192,INDEX(A_InstData!$F$102:$F$121,MATCH(D192,CNTR_List_ExistPurchPrecNames,0)),""))</f>
        <v/>
      </c>
      <c r="R192" s="678" t="str">
        <f>IF($D192="","",SUM($G192)*SUM(INDEX(F_Tools!$T$101:$T$130,MATCH($D192,F_Tools!$E$101:$E$130,0))))</f>
        <v/>
      </c>
      <c r="S192" s="669" t="str">
        <f>IF($D192="","",SUM($G192)*SUM(INDEX(F_Tools!$U$101:$U$130,MATCH($D192,F_Tools!$E$101:$E$130,0))))</f>
        <v/>
      </c>
      <c r="T192" s="428"/>
      <c r="Z192" s="123"/>
      <c r="AB192" s="268" t="str">
        <f>CONST_PrecursorToGoodInput &amp; D192 &amp; "_" &amp; D162</f>
        <v>PrecToGood__</v>
      </c>
      <c r="AD192" s="269">
        <f>SUMIF(D_Processes!R:R,AB192,D_Processes!K:K)</f>
        <v>0</v>
      </c>
      <c r="AE192" s="268">
        <f>SUMIF(D_Processes!R:R,CONST_CNTR_TotProd &amp; D192,D_Processes!L:L)</f>
        <v>0</v>
      </c>
      <c r="AG192" s="102" t="b">
        <f t="shared" si="30"/>
        <v>0</v>
      </c>
    </row>
    <row r="193" spans="1:41" ht="12.75" customHeight="1" outlineLevel="1" x14ac:dyDescent="0.35">
      <c r="A193" s="92"/>
      <c r="B193" s="94"/>
      <c r="C193" s="978">
        <v>28</v>
      </c>
      <c r="D193" s="1417" t="str">
        <f>IF(D162="","",IF(COUNTIF(INDEX(CNTR_IOSupplyChain,MATCH(D162,CNTR_IOProcAndPrec,0),),C193)=0,"",INDEX(CNTR_IOProcAndPrec,MATCH(C193,INDEX(CNTR_IOSupplyChain,MATCH(D162,CNTR_IOProcAndPrec,0),),0))))</f>
        <v/>
      </c>
      <c r="E193" s="1418"/>
      <c r="F193" s="265" t="str">
        <f t="shared" si="29"/>
        <v/>
      </c>
      <c r="G193" s="266" t="str">
        <f>IF(D193="","",INDEX(CNTR_Matrix_Inv,MATCH(D162,CNTR_IOProcAndPrec,0),MATCH(D193,CNTR_IOProcAndPrec,0)))</f>
        <v/>
      </c>
      <c r="H193" s="286" t="str">
        <f>IF(D193="","",IF(AG193,INDEX(E_PurchPrec!U:U,MATCH(CONST_PurchPrecDefaultUsed&amp;D193,E_PurchPrec!R:R,0)),CONST_NA))</f>
        <v/>
      </c>
      <c r="I193" s="266" t="str">
        <f>IF($D193="","",SUM($G193)*SUM(INDEX(InputOutput!$AJ$71:$AJ$100,MATCH($D193,InputOutput!$D$71:$D$100,0))))</f>
        <v/>
      </c>
      <c r="J193" s="266" t="str">
        <f>IF($D193="","",SUM($G193)*SUM(INDEX(InputOutput!$AL$71:$AL$100,MATCH($D193,InputOutput!$D$71:$D$100,0))))</f>
        <v/>
      </c>
      <c r="K193" s="266" t="str">
        <f t="shared" si="31"/>
        <v/>
      </c>
      <c r="L193" s="267" t="str">
        <f>IF(D193="","",SUM(I193)*SUM(AD165))</f>
        <v/>
      </c>
      <c r="M193" s="267" t="str">
        <f>IF(D193="","",SUM(J193)*SUM(AD165))</f>
        <v/>
      </c>
      <c r="N193" s="267" t="str">
        <f t="shared" si="32"/>
        <v/>
      </c>
      <c r="O193" s="267" t="str">
        <f>IF(AG193,INDEX(E_PurchPrec!U:U,MATCH(CONST_CNTR_ElecEFMethod&amp;D193,E_PurchPrec!R:R,0)),INDEX(D_Processes!T:T,MATCH(CONST_CNTR_ElecEFMethod&amp;D193,D_Processes!R:R,0)))</f>
        <v/>
      </c>
      <c r="P193" s="266" t="str">
        <f>IF($D193="","",SUM($G193)*SUM(INDEX(InputOutput!$AN$71:$AN$100,MATCH($D193,InputOutput!$D$71:$D$100,0))))</f>
        <v/>
      </c>
      <c r="Q193" s="673" t="str">
        <f>IF(D193="","",IF(AG193,INDEX(A_InstData!$F$102:$F$121,MATCH(D193,CNTR_List_ExistPurchPrecNames,0)),""))</f>
        <v/>
      </c>
      <c r="R193" s="678" t="str">
        <f>IF($D193="","",SUM($G193)*SUM(INDEX(F_Tools!$T$101:$T$130,MATCH($D193,F_Tools!$E$101:$E$130,0))))</f>
        <v/>
      </c>
      <c r="S193" s="669" t="str">
        <f>IF($D193="","",SUM($G193)*SUM(INDEX(F_Tools!$U$101:$U$130,MATCH($D193,F_Tools!$E$101:$E$130,0))))</f>
        <v/>
      </c>
      <c r="T193" s="428"/>
      <c r="Z193" s="123"/>
      <c r="AB193" s="268" t="str">
        <f>CONST_PrecursorToGoodInput &amp; D193 &amp; "_" &amp; D162</f>
        <v>PrecToGood__</v>
      </c>
      <c r="AD193" s="269">
        <f>SUMIF(D_Processes!R:R,AB193,D_Processes!K:K)</f>
        <v>0</v>
      </c>
      <c r="AE193" s="268">
        <f>SUMIF(D_Processes!R:R,CONST_CNTR_TotProd &amp; D193,D_Processes!L:L)</f>
        <v>0</v>
      </c>
      <c r="AG193" s="102" t="b">
        <f t="shared" si="30"/>
        <v>0</v>
      </c>
    </row>
    <row r="194" spans="1:41" ht="12.75" customHeight="1" outlineLevel="1" x14ac:dyDescent="0.35">
      <c r="A194" s="92"/>
      <c r="B194" s="94"/>
      <c r="C194" s="978">
        <v>29</v>
      </c>
      <c r="D194" s="1417" t="str">
        <f>IF(D162="","",IF(COUNTIF(INDEX(CNTR_IOSupplyChain,MATCH(D162,CNTR_IOProcAndPrec,0),),C194)=0,"",INDEX(CNTR_IOProcAndPrec,MATCH(C194,INDEX(CNTR_IOSupplyChain,MATCH(D162,CNTR_IOProcAndPrec,0),),0))))</f>
        <v/>
      </c>
      <c r="E194" s="1418"/>
      <c r="F194" s="265" t="str">
        <f t="shared" si="29"/>
        <v/>
      </c>
      <c r="G194" s="266" t="str">
        <f>IF(D194="","",INDEX(CNTR_Matrix_Inv,MATCH(D162,CNTR_IOProcAndPrec,0),MATCH(D194,CNTR_IOProcAndPrec,0)))</f>
        <v/>
      </c>
      <c r="H194" s="286" t="str">
        <f>IF(D194="","",IF(AG194,INDEX(E_PurchPrec!U:U,MATCH(CONST_PurchPrecDefaultUsed&amp;D194,E_PurchPrec!R:R,0)),CONST_NA))</f>
        <v/>
      </c>
      <c r="I194" s="266" t="str">
        <f>IF($D194="","",SUM($G194)*SUM(INDEX(InputOutput!$AJ$71:$AJ$100,MATCH($D194,InputOutput!$D$71:$D$100,0))))</f>
        <v/>
      </c>
      <c r="J194" s="266" t="str">
        <f>IF($D194="","",SUM($G194)*SUM(INDEX(InputOutput!$AL$71:$AL$100,MATCH($D194,InputOutput!$D$71:$D$100,0))))</f>
        <v/>
      </c>
      <c r="K194" s="266" t="str">
        <f t="shared" si="31"/>
        <v/>
      </c>
      <c r="L194" s="267" t="str">
        <f>IF(D194="","",SUM(I194)*SUM(AD165))</f>
        <v/>
      </c>
      <c r="M194" s="267" t="str">
        <f>IF(D194="","",SUM(J194)*SUM(AD165))</f>
        <v/>
      </c>
      <c r="N194" s="267" t="str">
        <f t="shared" si="32"/>
        <v/>
      </c>
      <c r="O194" s="267" t="str">
        <f>IF(AG194,INDEX(E_PurchPrec!U:U,MATCH(CONST_CNTR_ElecEFMethod&amp;D194,E_PurchPrec!R:R,0)),INDEX(D_Processes!T:T,MATCH(CONST_CNTR_ElecEFMethod&amp;D194,D_Processes!R:R,0)))</f>
        <v/>
      </c>
      <c r="P194" s="266" t="str">
        <f>IF($D194="","",SUM($G194)*SUM(INDEX(InputOutput!$AN$71:$AN$100,MATCH($D194,InputOutput!$D$71:$D$100,0))))</f>
        <v/>
      </c>
      <c r="Q194" s="673" t="str">
        <f>IF(D194="","",IF(AG194,INDEX(A_InstData!$F$102:$F$121,MATCH(D194,CNTR_List_ExistPurchPrecNames,0)),""))</f>
        <v/>
      </c>
      <c r="R194" s="678" t="str">
        <f>IF($D194="","",SUM($G194)*SUM(INDEX(F_Tools!$T$101:$T$130,MATCH($D194,F_Tools!$E$101:$E$130,0))))</f>
        <v/>
      </c>
      <c r="S194" s="669" t="str">
        <f>IF($D194="","",SUM($G194)*SUM(INDEX(F_Tools!$U$101:$U$130,MATCH($D194,F_Tools!$E$101:$E$130,0))))</f>
        <v/>
      </c>
      <c r="T194" s="428"/>
      <c r="Z194" s="123"/>
      <c r="AB194" s="268" t="str">
        <f>CONST_PrecursorToGoodInput &amp; D194 &amp; "_" &amp; D162</f>
        <v>PrecToGood__</v>
      </c>
      <c r="AD194" s="269">
        <f>SUMIF(D_Processes!R:R,AB194,D_Processes!K:K)</f>
        <v>0</v>
      </c>
      <c r="AE194" s="268">
        <f>SUMIF(D_Processes!R:R,CONST_CNTR_TotProd &amp; D194,D_Processes!L:L)</f>
        <v>0</v>
      </c>
      <c r="AG194" s="102" t="b">
        <f t="shared" si="30"/>
        <v>0</v>
      </c>
    </row>
    <row r="195" spans="1:41" ht="12.75" customHeight="1" outlineLevel="1" thickBot="1" x14ac:dyDescent="0.4">
      <c r="A195" s="92"/>
      <c r="B195" s="94"/>
      <c r="C195" s="978">
        <v>30</v>
      </c>
      <c r="D195" s="1451" t="str">
        <f>IF(D162="","",IF(COUNTIF(INDEX(CNTR_IOSupplyChain,MATCH(D162,CNTR_IOProcAndPrec,0),),C195)=0,"",INDEX(CNTR_IOProcAndPrec,MATCH(C195,INDEX(CNTR_IOSupplyChain,MATCH(D162,CNTR_IOProcAndPrec,0),),0))))</f>
        <v/>
      </c>
      <c r="E195" s="1452"/>
      <c r="F195" s="270" t="str">
        <f t="shared" si="29"/>
        <v/>
      </c>
      <c r="G195" s="271" t="str">
        <f>IF(D195="","",INDEX(CNTR_Matrix_Inv,MATCH(D162,CNTR_IOProcAndPrec,0),MATCH(D195,CNTR_IOProcAndPrec,0)))</f>
        <v/>
      </c>
      <c r="H195" s="287" t="str">
        <f>IF(D195="","",IF(AG195,INDEX(E_PurchPrec!U:U,MATCH(CONST_PurchPrecDefaultUsed&amp;D195,E_PurchPrec!R:R,0)),CONST_NA))</f>
        <v/>
      </c>
      <c r="I195" s="271" t="str">
        <f>IF($D195="","",SUM($G195)*SUM(INDEX(InputOutput!$AJ$71:$AJ$100,MATCH($D195,InputOutput!$D$71:$D$100,0))))</f>
        <v/>
      </c>
      <c r="J195" s="271" t="str">
        <f>IF($D195="","",SUM($G195)*SUM(INDEX(InputOutput!$AL$71:$AL$100,MATCH($D195,InputOutput!$D$71:$D$100,0))))</f>
        <v/>
      </c>
      <c r="K195" s="271" t="str">
        <f>IF(COUNT(I195:J195)&gt;0,SUM(I195:J195),"")</f>
        <v/>
      </c>
      <c r="L195" s="272" t="str">
        <f>IF(D195="","",SUM(I195)*SUM(AD165))</f>
        <v/>
      </c>
      <c r="M195" s="272" t="str">
        <f>IF(D195="","",SUM(J195)*SUM(AD165))</f>
        <v/>
      </c>
      <c r="N195" s="272" t="str">
        <f>IF(COUNT(L195:M195)&gt;0,SUM(L195:M195),"")</f>
        <v/>
      </c>
      <c r="O195" s="272" t="str">
        <f>IF(AG195,INDEX(E_PurchPrec!U:U,MATCH(CONST_CNTR_ElecEFMethod&amp;D195,E_PurchPrec!R:R,0)),INDEX(D_Processes!T:T,MATCH(CONST_CNTR_ElecEFMethod&amp;D195,D_Processes!R:R,0)))</f>
        <v/>
      </c>
      <c r="P195" s="271" t="str">
        <f>IF($D195="","",SUM($G195)*SUM(INDEX(InputOutput!$AN$71:$AN$100,MATCH($D195,InputOutput!$D$71:$D$100,0))))</f>
        <v/>
      </c>
      <c r="Q195" s="674" t="str">
        <f>IF(D195="","",IF(AG195,INDEX(A_InstData!$F$102:$F$121,MATCH(D195,CNTR_List_ExistPurchPrecNames,0)),""))</f>
        <v/>
      </c>
      <c r="R195" s="679" t="str">
        <f>IF($D195="","",SUM($G195)*SUM(INDEX(F_Tools!$T$101:$T$130,MATCH($D195,F_Tools!$E$101:$E$130,0))))</f>
        <v/>
      </c>
      <c r="S195" s="680" t="str">
        <f>IF($D195="","",SUM($G195)*SUM(INDEX(F_Tools!$U$101:$U$130,MATCH($D195,F_Tools!$E$101:$E$130,0))))</f>
        <v/>
      </c>
      <c r="T195" s="428"/>
      <c r="AB195" s="273" t="str">
        <f>CONST_PrecursorToGoodInput &amp; D195 &amp; "_" &amp; D162</f>
        <v>PrecToGood__</v>
      </c>
      <c r="AD195" s="274">
        <f>SUMIF(D_Processes!R:R,AB195,D_Processes!K:K)</f>
        <v>0</v>
      </c>
      <c r="AE195" s="273">
        <f>SUMIF(D_Processes!R:R,CONST_CNTR_TotProd &amp; D195,D_Processes!L:L)</f>
        <v>0</v>
      </c>
      <c r="AG195" s="102" t="b">
        <f t="shared" si="30"/>
        <v>0</v>
      </c>
    </row>
    <row r="196" spans="1:41" ht="12.75" customHeight="1" thickBot="1" x14ac:dyDescent="0.4">
      <c r="A196" s="92"/>
      <c r="B196" s="94"/>
      <c r="C196" s="144"/>
      <c r="D196" s="144"/>
      <c r="E196" s="144"/>
      <c r="F196" s="144"/>
      <c r="G196" s="144"/>
      <c r="H196" s="144"/>
      <c r="I196" s="979"/>
      <c r="J196" s="979"/>
      <c r="K196" s="979"/>
      <c r="L196" s="144"/>
      <c r="M196" s="144"/>
      <c r="N196" s="144"/>
      <c r="O196" s="144"/>
      <c r="P196" s="979"/>
      <c r="Q196" s="144"/>
      <c r="R196" s="144"/>
      <c r="S196" s="144"/>
      <c r="T196" s="428"/>
    </row>
    <row r="197" spans="1:41" ht="12.75" customHeight="1" thickBot="1" x14ac:dyDescent="0.4">
      <c r="A197" s="92"/>
      <c r="B197" s="94"/>
      <c r="C197" s="145"/>
      <c r="D197" s="145"/>
      <c r="E197" s="145"/>
      <c r="F197" s="145"/>
      <c r="G197" s="145"/>
      <c r="H197" s="145"/>
      <c r="I197" s="664"/>
      <c r="J197" s="664"/>
      <c r="K197" s="664"/>
      <c r="L197" s="145"/>
      <c r="M197" s="145"/>
      <c r="N197" s="145"/>
      <c r="O197" s="145"/>
      <c r="P197" s="664"/>
      <c r="Q197" s="145"/>
      <c r="R197" s="145"/>
      <c r="S197" s="145"/>
      <c r="T197" s="428"/>
    </row>
    <row r="198" spans="1:41" s="249" customFormat="1" ht="25.5" customHeight="1" x14ac:dyDescent="0.35">
      <c r="A198" s="977"/>
      <c r="B198" s="981"/>
      <c r="C198" s="1439">
        <f>C162+1</f>
        <v>2</v>
      </c>
      <c r="D198" s="1421" t="str">
        <f>IF(INDEX(CNTR_List_ExistProdProcNames,C198)=CONST_NA,"",INDEX(CNTR_List_ExistProdProcNames,C198))</f>
        <v/>
      </c>
      <c r="E198" s="1422"/>
      <c r="F198" s="1419" t="str">
        <f>Translations!$B$107</f>
        <v>Aggregated goods category</v>
      </c>
      <c r="G198" s="250" t="str">
        <f>Translations!$B$584</f>
        <v>Mass share</v>
      </c>
      <c r="H198" s="1448" t="str">
        <f>Translations!$B$586</f>
        <v>(Share of) Default value</v>
      </c>
      <c r="I198" s="250" t="str">
        <f>Translations!$B$570</f>
        <v>SEE (direct)</v>
      </c>
      <c r="J198" s="250" t="str">
        <f>Translations!$B$574</f>
        <v>SEE (indirect)</v>
      </c>
      <c r="K198" s="250" t="str">
        <f>Translations!$B$344</f>
        <v>SEE (total)</v>
      </c>
      <c r="L198" s="250" t="str">
        <f>Translations!$B$589</f>
        <v>EmbEm (direct)</v>
      </c>
      <c r="M198" s="250" t="str">
        <f>Translations!$B$591</f>
        <v>EmbEm (indirect)</v>
      </c>
      <c r="N198" s="250" t="str">
        <f>Translations!$B$593</f>
        <v>EmbEm (total)</v>
      </c>
      <c r="O198" s="1448" t="str">
        <f>Translations!$B$594</f>
        <v>Source of electricity EF</v>
      </c>
      <c r="P198" s="250" t="str">
        <f>Translations!$B$480</f>
        <v>Embedded electricity</v>
      </c>
      <c r="Q198" s="1415" t="str">
        <f>Translations!$B$1957</f>
        <v>Country code</v>
      </c>
      <c r="R198" s="1444" t="str">
        <f>Translations!$B$351</f>
        <v>CP due (per produced t or MWh)</v>
      </c>
      <c r="S198" s="1446" t="str">
        <f>Translations!$B$352</f>
        <v>Rebate (per produced t or MWh)</v>
      </c>
      <c r="T198" s="431"/>
      <c r="U198" s="93"/>
      <c r="V198" s="248"/>
      <c r="W198" s="248"/>
      <c r="X198" s="91"/>
      <c r="Y198" s="248"/>
      <c r="Z198" s="123"/>
      <c r="AA198" s="248"/>
      <c r="AB198" s="248"/>
      <c r="AC198" s="248"/>
      <c r="AD198" s="248"/>
      <c r="AE198" s="248"/>
      <c r="AF198" s="104" t="str">
        <f>H198</f>
        <v>(Share of) Default value</v>
      </c>
      <c r="AG198" s="681" t="str">
        <f>H200</f>
        <v/>
      </c>
      <c r="AH198" s="91"/>
      <c r="AI198" s="91"/>
      <c r="AJ198" s="91"/>
      <c r="AK198" s="91"/>
      <c r="AL198" s="91"/>
      <c r="AM198" s="91"/>
      <c r="AN198" s="91"/>
      <c r="AO198" s="91"/>
    </row>
    <row r="199" spans="1:41" s="249" customFormat="1" ht="15" customHeight="1" thickBot="1" x14ac:dyDescent="0.4">
      <c r="A199" s="977"/>
      <c r="B199" s="981"/>
      <c r="C199" s="1440"/>
      <c r="D199" s="1423"/>
      <c r="E199" s="1424"/>
      <c r="F199" s="1420"/>
      <c r="G199" s="251" t="str">
        <f>IF($F200="",CONST_t,INDEX(CONST_LIST_GoodsUnit,MATCH($F200,CONST_LIST_Goods,0))) &amp;"/"&amp; IF($F200="",CONST_t,INDEX(CONST_LIST_GoodsUnit,MATCH($F200,CONST_LIST_Goods,0)))</f>
        <v>t/t</v>
      </c>
      <c r="H199" s="1449"/>
      <c r="I199" s="251" t="str">
        <f>CONST_tCO2eq &amp; "/" &amp; IF($F200="",CONST_t,INDEX(CONST_LIST_GoodsUnit,MATCH($F200,CONST_LIST_Goods,0)))</f>
        <v>tCO2e/t</v>
      </c>
      <c r="J199" s="251" t="str">
        <f>CONST_tCO2eq &amp; "/" &amp; IF($F200="",CONST_t,INDEX(CONST_LIST_GoodsUnit,MATCH($F200,CONST_LIST_Goods,0)))</f>
        <v>tCO2e/t</v>
      </c>
      <c r="K199" s="251" t="str">
        <f>CONST_tCO2eq &amp; "/" &amp; IF($F200="",CONST_t,INDEX(CONST_LIST_GoodsUnit,MATCH($F200,CONST_LIST_Goods,0)))</f>
        <v>tCO2e/t</v>
      </c>
      <c r="L199" s="252" t="str">
        <f>CONST_tCO2eq</f>
        <v>tCO2e</v>
      </c>
      <c r="M199" s="252" t="str">
        <f>CONST_tCO2eq</f>
        <v>tCO2e</v>
      </c>
      <c r="N199" s="252" t="str">
        <f>CONST_tCO2eq</f>
        <v>tCO2e</v>
      </c>
      <c r="O199" s="1449"/>
      <c r="P199" s="251" t="str">
        <f>CONST_MWh &amp; "/" &amp; IF($F200="",CONST_t,INDEX(CONST_LIST_GoodsUnit,MATCH($F200,CONST_LIST_Goods,0)))</f>
        <v>MWh/t</v>
      </c>
      <c r="Q199" s="1416"/>
      <c r="R199" s="1445"/>
      <c r="S199" s="1447"/>
      <c r="T199" s="431"/>
      <c r="V199" s="248"/>
      <c r="W199" s="248"/>
      <c r="X199" s="91"/>
      <c r="Y199" s="248"/>
      <c r="Z199" s="123"/>
      <c r="AA199" s="248"/>
      <c r="AB199" s="248"/>
      <c r="AC199" s="248"/>
      <c r="AD199" s="248"/>
      <c r="AE199" s="248"/>
      <c r="AF199" s="91"/>
      <c r="AG199" s="91"/>
      <c r="AH199" s="91"/>
      <c r="AI199" s="91"/>
      <c r="AJ199" s="91"/>
      <c r="AK199" s="91"/>
      <c r="AL199" s="91"/>
      <c r="AM199" s="91"/>
      <c r="AN199" s="91"/>
      <c r="AO199" s="91"/>
    </row>
    <row r="200" spans="1:41" ht="15" customHeight="1" thickBot="1" x14ac:dyDescent="0.4">
      <c r="A200" s="92"/>
      <c r="B200" s="94"/>
      <c r="C200" s="1441"/>
      <c r="D200" s="1429" t="str">
        <f>Translations!$B$600</f>
        <v>Total production process</v>
      </c>
      <c r="E200" s="1430"/>
      <c r="F200" s="253" t="str">
        <f>IF(D201="","",INDEX(CNTR_List_ExistProdProc,MATCH(D201,CNTR_List_ExistProdProcNames,0)))</f>
        <v/>
      </c>
      <c r="G200" s="254" t="s">
        <v>206</v>
      </c>
      <c r="H200" s="896" t="str">
        <f>IF(D198="","",IFERROR(SUMIFS(I202:I231,H202:H231,TRUE)/I200,""))</f>
        <v/>
      </c>
      <c r="I200" s="662" t="str">
        <f>IF(COUNT(I201:I231)&gt;0,SUM(I201:I231),"")</f>
        <v/>
      </c>
      <c r="J200" s="662" t="str">
        <f>IF(COUNT(J201:J231)&gt;0,SUM(J201:J231),"")</f>
        <v/>
      </c>
      <c r="K200" s="662" t="str">
        <f t="shared" ref="K200:L200" si="33">IF(COUNT(K201:K231)&gt;0,SUM(K201:K231),"")</f>
        <v/>
      </c>
      <c r="L200" s="255" t="str">
        <f t="shared" si="33"/>
        <v/>
      </c>
      <c r="M200" s="255" t="str">
        <f>IF(COUNT(M201:M231)&gt;0,SUM(M201:M231),"")</f>
        <v/>
      </c>
      <c r="N200" s="255" t="str">
        <f t="shared" ref="N200" si="34">IF(COUNT(N201:N231)&gt;0,SUM(N201:N231),"")</f>
        <v/>
      </c>
      <c r="O200" s="254" t="s">
        <v>206</v>
      </c>
      <c r="P200" s="662" t="str">
        <f t="shared" ref="P200" si="35">IF(COUNT(P201:P231)&gt;0,SUM(P201:P231),"")</f>
        <v/>
      </c>
      <c r="Q200" s="670" t="s">
        <v>206</v>
      </c>
      <c r="R200" s="675" t="str">
        <f t="shared" ref="R200:S200" si="36">IF(COUNT(R201:R231)&gt;0,SUM(R201:R231),"")</f>
        <v/>
      </c>
      <c r="S200" s="666" t="str">
        <f t="shared" si="36"/>
        <v/>
      </c>
      <c r="T200" s="428"/>
      <c r="Z200" s="123"/>
      <c r="AD200" s="91" t="s">
        <v>199</v>
      </c>
      <c r="AE200" s="91" t="s">
        <v>200</v>
      </c>
      <c r="AG200" s="91" t="s">
        <v>418</v>
      </c>
    </row>
    <row r="201" spans="1:41" ht="12.75" customHeight="1" thickBot="1" x14ac:dyDescent="0.4">
      <c r="A201" s="92"/>
      <c r="B201" s="94"/>
      <c r="C201" s="144"/>
      <c r="D201" s="1431" t="str">
        <f>D198</f>
        <v/>
      </c>
      <c r="E201" s="1432"/>
      <c r="F201" s="283" t="str">
        <f>IF(D201="","",INDEX(CNTR_List_ExistProdProc,MATCH(D201,CNTR_List_ExistProdProcNames,0)))</f>
        <v/>
      </c>
      <c r="G201" s="256">
        <v>1</v>
      </c>
      <c r="H201" s="284" t="s">
        <v>206</v>
      </c>
      <c r="I201" s="663" t="str">
        <f>IF($D201="","",SUM($G201)*SUM(INDEX(InputOutput!$AJ$71:$AJ$100,MATCH($D201,InputOutput!$D$71:$D$100,0))))</f>
        <v/>
      </c>
      <c r="J201" s="663" t="str">
        <f>IF($D201="","",SUM($G201)*SUM(INDEX(InputOutput!$AL$71:$AL$100,MATCH($D201,InputOutput!$D$71:$D$100,0))))</f>
        <v/>
      </c>
      <c r="K201" s="663" t="str">
        <f t="shared" ref="K201:K230" si="37">IF(COUNT(I201:J201)&gt;0,SUM(I201:J201),"")</f>
        <v/>
      </c>
      <c r="L201" s="257" t="str">
        <f>IF(D201="","",SUM(I201)*SUM(AD201))</f>
        <v/>
      </c>
      <c r="M201" s="257" t="str">
        <f>IF(D201="","",SUM(J201)*SUM(AD201))</f>
        <v/>
      </c>
      <c r="N201" s="257" t="str">
        <f t="shared" ref="N201:N230" si="38">IF(COUNT(L201:M201)&gt;0,SUM(L201:M201),"")</f>
        <v/>
      </c>
      <c r="O201" s="257" t="str">
        <f>IF(AG201,INDEX(E_PurchPrec!U:U,MATCH(CONST_CNTR_ElecEFMethod&amp;D201,E_PurchPrec!R:R,0)),INDEX(D_Processes!T:T,MATCH(CONST_CNTR_ElecEFMethod&amp;D201,D_Processes!R:R,0)))</f>
        <v/>
      </c>
      <c r="P201" s="663" t="str">
        <f>IF($D201="","",SUM($G201)*SUM(INDEX(InputOutput!$AN$71:$AN$100,MATCH($D201,InputOutput!$D$71:$D$100,0))))</f>
        <v/>
      </c>
      <c r="Q201" s="671"/>
      <c r="R201" s="676" t="str">
        <f>IF($D201="","",SUM($G201)*SUM(INDEX(F_Tools!$T$101:$T$130,MATCH($D201,F_Tools!$E$101:$E$130,0))))</f>
        <v/>
      </c>
      <c r="S201" s="667" t="str">
        <f>IF($D201="","",SUM($G201)*SUM(INDEX(F_Tools!$U$101:$U$130,MATCH($D201,F_Tools!$E$101:$E$130,0))))</f>
        <v/>
      </c>
      <c r="T201" s="428"/>
      <c r="Z201" s="123"/>
      <c r="AB201" s="150" t="str">
        <f>CONST_CNTR_TotProd &amp; D198</f>
        <v>TotProd_</v>
      </c>
      <c r="AD201" s="258">
        <f>SUMIF(D_Processes!R:R,AB201,D_Processes!L:L)</f>
        <v>0</v>
      </c>
    </row>
    <row r="202" spans="1:41" ht="12.75" customHeight="1" x14ac:dyDescent="0.35">
      <c r="A202" s="92"/>
      <c r="B202" s="94"/>
      <c r="C202" s="978">
        <v>1</v>
      </c>
      <c r="D202" s="1442" t="str">
        <f>IF(D198="","",IF(COUNTIF(INDEX(CNTR_IOSupplyChain,MATCH(D198,CNTR_IOProcAndPrec,0),),C202)=0,"",INDEX(CNTR_IOProcAndPrec,MATCH(C202,INDEX(CNTR_IOSupplyChain,MATCH(D198,CNTR_IOProcAndPrec,0),),0))))</f>
        <v/>
      </c>
      <c r="E202" s="1443"/>
      <c r="F202" s="260" t="str">
        <f t="shared" ref="F202:F231" si="39">IF(D202="","",IF(COUNTIF(CNTR_List_ExistProdProcNames,D202)&gt;0,INDEX(CNTR_List_ExistProdProc,MATCH(D202,CNTR_List_ExistProdProcNames,0)),INDEX(CNTR_List_ExistPurchPrec,MATCH(D202,CNTR_List_ExistPurchPrecNames,0))))</f>
        <v/>
      </c>
      <c r="G202" s="261" t="str">
        <f>IF(D202="","",INDEX(CNTR_Matrix_Inv,MATCH(D198,CNTR_IOProcAndPrec,0),MATCH(D202,CNTR_IOProcAndPrec,0)))</f>
        <v/>
      </c>
      <c r="H202" s="285" t="str">
        <f>IF(D202="","",IF(AG202,INDEX(E_PurchPrec!U:U,MATCH(CONST_PurchPrecDefaultUsed&amp;D202,E_PurchPrec!R:R,0)),CONST_NA))</f>
        <v/>
      </c>
      <c r="I202" s="261" t="str">
        <f>IF($D202="","",SUM($G202)*SUM(INDEX(InputOutput!$AJ$71:$AJ$100,MATCH($D202,InputOutput!$D$71:$D$100,0))))</f>
        <v/>
      </c>
      <c r="J202" s="261" t="str">
        <f>IF($D202="","",SUM($G202)*SUM(INDEX(InputOutput!$AL$71:$AL$100,MATCH($D202,InputOutput!$D$71:$D$100,0))))</f>
        <v/>
      </c>
      <c r="K202" s="261" t="str">
        <f t="shared" si="37"/>
        <v/>
      </c>
      <c r="L202" s="262" t="str">
        <f>IF(D202="","",SUM(I202)*SUM(AD201))</f>
        <v/>
      </c>
      <c r="M202" s="262" t="str">
        <f>IF(D202="","",SUM(J202)*SUM(AD201))</f>
        <v/>
      </c>
      <c r="N202" s="262" t="str">
        <f t="shared" si="38"/>
        <v/>
      </c>
      <c r="O202" s="262" t="str">
        <f>IF(AG202,INDEX(E_PurchPrec!U:U,MATCH(CONST_CNTR_ElecEFMethod&amp;D202,E_PurchPrec!R:R,0)),INDEX(D_Processes!T:T,MATCH(CONST_CNTR_ElecEFMethod&amp;D202,D_Processes!R:R,0)))</f>
        <v/>
      </c>
      <c r="P202" s="261" t="str">
        <f>IF($D202="","",SUM($G202)*SUM(INDEX(InputOutput!$AN$71:$AN$100,MATCH($D202,InputOutput!$D$71:$D$100,0))))</f>
        <v/>
      </c>
      <c r="Q202" s="672" t="str">
        <f>IF(D202="","",IF(AG202,INDEX(A_InstData!$F$102:$F$121,MATCH(D202,CNTR_List_ExistPurchPrecNames,0)),""))</f>
        <v/>
      </c>
      <c r="R202" s="677" t="str">
        <f>IF($D202="","",SUM($G202)*SUM(INDEX(F_Tools!$T$101:$T$130,MATCH($D202,F_Tools!$E$101:$E$130,0))))</f>
        <v/>
      </c>
      <c r="S202" s="668" t="str">
        <f>IF($D202="","",SUM($G202)*SUM(INDEX(F_Tools!$U$101:$U$130,MATCH($D202,F_Tools!$E$101:$E$130,0))))</f>
        <v/>
      </c>
      <c r="T202" s="428"/>
      <c r="Z202" s="123"/>
      <c r="AB202" s="263" t="str">
        <f>CONST_PrecursorToGoodInput &amp; D202 &amp; "_" &amp; D198</f>
        <v>PrecToGood__</v>
      </c>
      <c r="AD202" s="264">
        <f>SUMIF(D_Processes!R:R,AB202,D_Processes!K:K)</f>
        <v>0</v>
      </c>
      <c r="AE202" s="263">
        <f>SUMIF(D_Processes!R:R,CONST_CNTR_TotProd &amp; D202,D_Processes!L:L)</f>
        <v>0</v>
      </c>
      <c r="AG202" s="102" t="b">
        <f t="shared" ref="AG202:AG231" si="40">COUNTIF(CNTR_List_ExistPurchPrecNames,D202)&gt;0</f>
        <v>0</v>
      </c>
    </row>
    <row r="203" spans="1:41" ht="12.75" customHeight="1" x14ac:dyDescent="0.35">
      <c r="A203" s="92"/>
      <c r="B203" s="94"/>
      <c r="C203" s="978">
        <v>2</v>
      </c>
      <c r="D203" s="1417" t="str">
        <f>IF(D198="","",IF(COUNTIF(INDEX(CNTR_IOSupplyChain,MATCH(D198,CNTR_IOProcAndPrec,0),),C203)=0,"",INDEX(CNTR_IOProcAndPrec,MATCH(C203,INDEX(CNTR_IOSupplyChain,MATCH(D198,CNTR_IOProcAndPrec,0),),0))))</f>
        <v/>
      </c>
      <c r="E203" s="1418"/>
      <c r="F203" s="265" t="str">
        <f t="shared" si="39"/>
        <v/>
      </c>
      <c r="G203" s="266" t="str">
        <f>IF(D203="","",INDEX(CNTR_Matrix_Inv,MATCH(D198,CNTR_IOProcAndPrec,0),MATCH(D203,CNTR_IOProcAndPrec,0)))</f>
        <v/>
      </c>
      <c r="H203" s="286" t="str">
        <f>IF(D203="","",IF(AG203,INDEX(E_PurchPrec!U:U,MATCH(CONST_PurchPrecDefaultUsed&amp;D203,E_PurchPrec!R:R,0)),CONST_NA))</f>
        <v/>
      </c>
      <c r="I203" s="266" t="str">
        <f>IF($D203="","",SUM($G203)*SUM(INDEX(InputOutput!$AJ$71:$AJ$100,MATCH($D203,InputOutput!$D$71:$D$100,0))))</f>
        <v/>
      </c>
      <c r="J203" s="266" t="str">
        <f>IF($D203="","",SUM($G203)*SUM(INDEX(InputOutput!$AL$71:$AL$100,MATCH($D203,InputOutput!$D$71:$D$100,0))))</f>
        <v/>
      </c>
      <c r="K203" s="266" t="str">
        <f t="shared" si="37"/>
        <v/>
      </c>
      <c r="L203" s="267" t="str">
        <f>IF(D203="","",SUM(I203)*SUM(AD201))</f>
        <v/>
      </c>
      <c r="M203" s="267" t="str">
        <f>IF(D203="","",SUM(J203)*SUM(AD201))</f>
        <v/>
      </c>
      <c r="N203" s="267" t="str">
        <f t="shared" si="38"/>
        <v/>
      </c>
      <c r="O203" s="267" t="str">
        <f>IF(AG203,INDEX(E_PurchPrec!U:U,MATCH(CONST_CNTR_ElecEFMethod&amp;D203,E_PurchPrec!R:R,0)),INDEX(D_Processes!T:T,MATCH(CONST_CNTR_ElecEFMethod&amp;D203,D_Processes!R:R,0)))</f>
        <v/>
      </c>
      <c r="P203" s="266" t="str">
        <f>IF($D203="","",SUM($G203)*SUM(INDEX(InputOutput!$AN$71:$AN$100,MATCH($D203,InputOutput!$D$71:$D$100,0))))</f>
        <v/>
      </c>
      <c r="Q203" s="673" t="str">
        <f>IF(D203="","",IF(AG203,INDEX(A_InstData!$F$102:$F$121,MATCH(D203,CNTR_List_ExistPurchPrecNames,0)),""))</f>
        <v/>
      </c>
      <c r="R203" s="678" t="str">
        <f>IF($D203="","",SUM($G203)*SUM(INDEX(F_Tools!$T$101:$T$130,MATCH($D203,F_Tools!$E$101:$E$130,0))))</f>
        <v/>
      </c>
      <c r="S203" s="669" t="str">
        <f>IF($D203="","",SUM($G203)*SUM(INDEX(F_Tools!$U$101:$U$130,MATCH($D203,F_Tools!$E$101:$E$130,0))))</f>
        <v/>
      </c>
      <c r="T203" s="428"/>
      <c r="Z203" s="123"/>
      <c r="AB203" s="268" t="str">
        <f>CONST_PrecursorToGoodInput &amp; D203 &amp; "_" &amp; D198</f>
        <v>PrecToGood__</v>
      </c>
      <c r="AD203" s="269">
        <f>SUMIF(D_Processes!R:R,AB203,D_Processes!K:K)</f>
        <v>0</v>
      </c>
      <c r="AE203" s="268">
        <f>SUMIF(D_Processes!R:R,CONST_CNTR_TotProd &amp; D203,D_Processes!L:L)</f>
        <v>0</v>
      </c>
      <c r="AG203" s="102" t="b">
        <f t="shared" si="40"/>
        <v>0</v>
      </c>
    </row>
    <row r="204" spans="1:41" ht="12.75" customHeight="1" x14ac:dyDescent="0.35">
      <c r="A204" s="92"/>
      <c r="B204" s="94"/>
      <c r="C204" s="978">
        <v>3</v>
      </c>
      <c r="D204" s="1417" t="str">
        <f>IF(D198="","",IF(COUNTIF(INDEX(CNTR_IOSupplyChain,MATCH(D198,CNTR_IOProcAndPrec,0),),C204)=0,"",INDEX(CNTR_IOProcAndPrec,MATCH(C204,INDEX(CNTR_IOSupplyChain,MATCH(D198,CNTR_IOProcAndPrec,0),),0))))</f>
        <v/>
      </c>
      <c r="E204" s="1418"/>
      <c r="F204" s="265" t="str">
        <f t="shared" si="39"/>
        <v/>
      </c>
      <c r="G204" s="266" t="str">
        <f>IF(D204="","",INDEX(CNTR_Matrix_Inv,MATCH(D198,CNTR_IOProcAndPrec,0),MATCH(D204,CNTR_IOProcAndPrec,0)))</f>
        <v/>
      </c>
      <c r="H204" s="286" t="str">
        <f>IF(D204="","",IF(AG204,INDEX(E_PurchPrec!U:U,MATCH(CONST_PurchPrecDefaultUsed&amp;D204,E_PurchPrec!R:R,0)),CONST_NA))</f>
        <v/>
      </c>
      <c r="I204" s="266" t="str">
        <f>IF($D204="","",SUM($G204)*SUM(INDEX(InputOutput!$AJ$71:$AJ$100,MATCH($D204,InputOutput!$D$71:$D$100,0))))</f>
        <v/>
      </c>
      <c r="J204" s="266" t="str">
        <f>IF($D204="","",SUM($G204)*SUM(INDEX(InputOutput!$AL$71:$AL$100,MATCH($D204,InputOutput!$D$71:$D$100,0))))</f>
        <v/>
      </c>
      <c r="K204" s="266" t="str">
        <f t="shared" si="37"/>
        <v/>
      </c>
      <c r="L204" s="267" t="str">
        <f>IF(D204="","",SUM(I204)*SUM(AD201))</f>
        <v/>
      </c>
      <c r="M204" s="267" t="str">
        <f>IF(D204="","",SUM(J204)*SUM(AD201))</f>
        <v/>
      </c>
      <c r="N204" s="267" t="str">
        <f t="shared" si="38"/>
        <v/>
      </c>
      <c r="O204" s="267" t="str">
        <f>IF(AG204,INDEX(E_PurchPrec!U:U,MATCH(CONST_CNTR_ElecEFMethod&amp;D204,E_PurchPrec!R:R,0)),INDEX(D_Processes!T:T,MATCH(CONST_CNTR_ElecEFMethod&amp;D204,D_Processes!R:R,0)))</f>
        <v/>
      </c>
      <c r="P204" s="266" t="str">
        <f>IF($D204="","",SUM($G204)*SUM(INDEX(InputOutput!$AN$71:$AN$100,MATCH($D204,InputOutput!$D$71:$D$100,0))))</f>
        <v/>
      </c>
      <c r="Q204" s="673" t="str">
        <f>IF(D204="","",IF(AG204,INDEX(A_InstData!$F$102:$F$121,MATCH(D204,CNTR_List_ExistPurchPrecNames,0)),""))</f>
        <v/>
      </c>
      <c r="R204" s="678" t="str">
        <f>IF($D204="","",SUM($G204)*SUM(INDEX(F_Tools!$T$101:$T$130,MATCH($D204,F_Tools!$E$101:$E$130,0))))</f>
        <v/>
      </c>
      <c r="S204" s="669" t="str">
        <f>IF($D204="","",SUM($G204)*SUM(INDEX(F_Tools!$U$101:$U$130,MATCH($D204,F_Tools!$E$101:$E$130,0))))</f>
        <v/>
      </c>
      <c r="T204" s="428"/>
      <c r="Z204" s="123"/>
      <c r="AB204" s="268" t="str">
        <f>CONST_PrecursorToGoodInput &amp; D204 &amp; "_" &amp; D198</f>
        <v>PrecToGood__</v>
      </c>
      <c r="AD204" s="269">
        <f>SUMIF(D_Processes!R:R,AB204,D_Processes!K:K)</f>
        <v>0</v>
      </c>
      <c r="AE204" s="268">
        <f>SUMIF(D_Processes!R:R,CONST_CNTR_TotProd &amp; D204,D_Processes!L:L)</f>
        <v>0</v>
      </c>
      <c r="AG204" s="102" t="b">
        <f t="shared" si="40"/>
        <v>0</v>
      </c>
    </row>
    <row r="205" spans="1:41" ht="12.75" customHeight="1" x14ac:dyDescent="0.35">
      <c r="A205" s="92"/>
      <c r="B205" s="94"/>
      <c r="C205" s="978">
        <v>4</v>
      </c>
      <c r="D205" s="1417" t="str">
        <f>IF(D198="","",IF(COUNTIF(INDEX(CNTR_IOSupplyChain,MATCH(D198,CNTR_IOProcAndPrec,0),),C205)=0,"",INDEX(CNTR_IOProcAndPrec,MATCH(C205,INDEX(CNTR_IOSupplyChain,MATCH(D198,CNTR_IOProcAndPrec,0),),0))))</f>
        <v/>
      </c>
      <c r="E205" s="1418"/>
      <c r="F205" s="265" t="str">
        <f t="shared" si="39"/>
        <v/>
      </c>
      <c r="G205" s="266" t="str">
        <f>IF(D205="","",INDEX(CNTR_Matrix_Inv,MATCH(D198,CNTR_IOProcAndPrec,0),MATCH(D205,CNTR_IOProcAndPrec,0)))</f>
        <v/>
      </c>
      <c r="H205" s="286" t="str">
        <f>IF(D205="","",IF(AG205,INDEX(E_PurchPrec!U:U,MATCH(CONST_PurchPrecDefaultUsed&amp;D205,E_PurchPrec!R:R,0)),CONST_NA))</f>
        <v/>
      </c>
      <c r="I205" s="266" t="str">
        <f>IF($D205="","",SUM($G205)*SUM(INDEX(InputOutput!$AJ$71:$AJ$100,MATCH($D205,InputOutput!$D$71:$D$100,0))))</f>
        <v/>
      </c>
      <c r="J205" s="266" t="str">
        <f>IF($D205="","",SUM($G205)*SUM(INDEX(InputOutput!$AL$71:$AL$100,MATCH($D205,InputOutput!$D$71:$D$100,0))))</f>
        <v/>
      </c>
      <c r="K205" s="266" t="str">
        <f t="shared" si="37"/>
        <v/>
      </c>
      <c r="L205" s="267" t="str">
        <f>IF(D205="","",SUM(I205)*SUM(AD201))</f>
        <v/>
      </c>
      <c r="M205" s="267" t="str">
        <f>IF(D205="","",SUM(J205)*SUM(AD201))</f>
        <v/>
      </c>
      <c r="N205" s="267" t="str">
        <f t="shared" si="38"/>
        <v/>
      </c>
      <c r="O205" s="267" t="str">
        <f>IF(AG205,INDEX(E_PurchPrec!U:U,MATCH(CONST_CNTR_ElecEFMethod&amp;D205,E_PurchPrec!R:R,0)),INDEX(D_Processes!T:T,MATCH(CONST_CNTR_ElecEFMethod&amp;D205,D_Processes!R:R,0)))</f>
        <v/>
      </c>
      <c r="P205" s="266" t="str">
        <f>IF($D205="","",SUM($G205)*SUM(INDEX(InputOutput!$AN$71:$AN$100,MATCH($D205,InputOutput!$D$71:$D$100,0))))</f>
        <v/>
      </c>
      <c r="Q205" s="673" t="str">
        <f>IF(D205="","",IF(AG205,INDEX(A_InstData!$F$102:$F$121,MATCH(D205,CNTR_List_ExistPurchPrecNames,0)),""))</f>
        <v/>
      </c>
      <c r="R205" s="678" t="str">
        <f>IF($D205="","",SUM($G205)*SUM(INDEX(F_Tools!$T$101:$T$130,MATCH($D205,F_Tools!$E$101:$E$130,0))))</f>
        <v/>
      </c>
      <c r="S205" s="669" t="str">
        <f>IF($D205="","",SUM($G205)*SUM(INDEX(F_Tools!$U$101:$U$130,MATCH($D205,F_Tools!$E$101:$E$130,0))))</f>
        <v/>
      </c>
      <c r="T205" s="428"/>
      <c r="Z205" s="123"/>
      <c r="AB205" s="268" t="str">
        <f>CONST_PrecursorToGoodInput &amp; D205 &amp; "_" &amp; D198</f>
        <v>PrecToGood__</v>
      </c>
      <c r="AD205" s="269">
        <f>SUMIF(D_Processes!R:R,AB205,D_Processes!K:K)</f>
        <v>0</v>
      </c>
      <c r="AE205" s="268">
        <f>SUMIF(D_Processes!R:R,CONST_CNTR_TotProd &amp; D205,D_Processes!L:L)</f>
        <v>0</v>
      </c>
      <c r="AG205" s="102" t="b">
        <f t="shared" si="40"/>
        <v>0</v>
      </c>
    </row>
    <row r="206" spans="1:41" ht="12.75" customHeight="1" x14ac:dyDescent="0.35">
      <c r="A206" s="92"/>
      <c r="B206" s="94"/>
      <c r="C206" s="978">
        <v>5</v>
      </c>
      <c r="D206" s="1417" t="str">
        <f>IF(D198="","",IF(COUNTIF(INDEX(CNTR_IOSupplyChain,MATCH(D198,CNTR_IOProcAndPrec,0),),C206)=0,"",INDEX(CNTR_IOProcAndPrec,MATCH(C206,INDEX(CNTR_IOSupplyChain,MATCH(D198,CNTR_IOProcAndPrec,0),),0))))</f>
        <v/>
      </c>
      <c r="E206" s="1418"/>
      <c r="F206" s="265" t="str">
        <f t="shared" si="39"/>
        <v/>
      </c>
      <c r="G206" s="266" t="str">
        <f>IF(D206="","",INDEX(CNTR_Matrix_Inv,MATCH(D198,CNTR_IOProcAndPrec,0),MATCH(D206,CNTR_IOProcAndPrec,0)))</f>
        <v/>
      </c>
      <c r="H206" s="286" t="str">
        <f>IF(D206="","",IF(AG206,INDEX(E_PurchPrec!U:U,MATCH(CONST_PurchPrecDefaultUsed&amp;D206,E_PurchPrec!R:R,0)),CONST_NA))</f>
        <v/>
      </c>
      <c r="I206" s="266" t="str">
        <f>IF($D206="","",SUM($G206)*SUM(INDEX(InputOutput!$AJ$71:$AJ$100,MATCH($D206,InputOutput!$D$71:$D$100,0))))</f>
        <v/>
      </c>
      <c r="J206" s="266" t="str">
        <f>IF($D206="","",SUM($G206)*SUM(INDEX(InputOutput!$AL$71:$AL$100,MATCH($D206,InputOutput!$D$71:$D$100,0))))</f>
        <v/>
      </c>
      <c r="K206" s="266" t="str">
        <f t="shared" si="37"/>
        <v/>
      </c>
      <c r="L206" s="267" t="str">
        <f>IF(D206="","",SUM(I206)*SUM(AD201))</f>
        <v/>
      </c>
      <c r="M206" s="267" t="str">
        <f>IF(D206="","",SUM(J206)*SUM(AD201))</f>
        <v/>
      </c>
      <c r="N206" s="267" t="str">
        <f t="shared" si="38"/>
        <v/>
      </c>
      <c r="O206" s="267" t="str">
        <f>IF(AG206,INDEX(E_PurchPrec!U:U,MATCH(CONST_CNTR_ElecEFMethod&amp;D206,E_PurchPrec!R:R,0)),INDEX(D_Processes!T:T,MATCH(CONST_CNTR_ElecEFMethod&amp;D206,D_Processes!R:R,0)))</f>
        <v/>
      </c>
      <c r="P206" s="266" t="str">
        <f>IF($D206="","",SUM($G206)*SUM(INDEX(InputOutput!$AN$71:$AN$100,MATCH($D206,InputOutput!$D$71:$D$100,0))))</f>
        <v/>
      </c>
      <c r="Q206" s="673" t="str">
        <f>IF(D206="","",IF(AG206,INDEX(A_InstData!$F$102:$F$121,MATCH(D206,CNTR_List_ExistPurchPrecNames,0)),""))</f>
        <v/>
      </c>
      <c r="R206" s="678" t="str">
        <f>IF($D206="","",SUM($G206)*SUM(INDEX(F_Tools!$T$101:$T$130,MATCH($D206,F_Tools!$E$101:$E$130,0))))</f>
        <v/>
      </c>
      <c r="S206" s="669" t="str">
        <f>IF($D206="","",SUM($G206)*SUM(INDEX(F_Tools!$U$101:$U$130,MATCH($D206,F_Tools!$E$101:$E$130,0))))</f>
        <v/>
      </c>
      <c r="T206" s="428"/>
      <c r="Z206" s="123"/>
      <c r="AB206" s="268" t="str">
        <f>CONST_PrecursorToGoodInput &amp; D206 &amp; "_" &amp; D198</f>
        <v>PrecToGood__</v>
      </c>
      <c r="AD206" s="269">
        <f>SUMIF(D_Processes!R:R,AB206,D_Processes!K:K)</f>
        <v>0</v>
      </c>
      <c r="AE206" s="268">
        <f>SUMIF(D_Processes!R:R,CONST_CNTR_TotProd &amp; D206,D_Processes!L:L)</f>
        <v>0</v>
      </c>
      <c r="AG206" s="102" t="b">
        <f t="shared" si="40"/>
        <v>0</v>
      </c>
    </row>
    <row r="207" spans="1:41" ht="12.75" customHeight="1" outlineLevel="1" x14ac:dyDescent="0.35">
      <c r="A207" s="92"/>
      <c r="B207" s="94"/>
      <c r="C207" s="978">
        <v>6</v>
      </c>
      <c r="D207" s="1417" t="str">
        <f>IF(D198="","",IF(COUNTIF(INDEX(CNTR_IOSupplyChain,MATCH(D198,CNTR_IOProcAndPrec,0),),C207)=0,"",INDEX(CNTR_IOProcAndPrec,MATCH(C207,INDEX(CNTR_IOSupplyChain,MATCH(D198,CNTR_IOProcAndPrec,0),),0))))</f>
        <v/>
      </c>
      <c r="E207" s="1418"/>
      <c r="F207" s="265" t="str">
        <f t="shared" si="39"/>
        <v/>
      </c>
      <c r="G207" s="266" t="str">
        <f>IF(D207="","",INDEX(CNTR_Matrix_Inv,MATCH(D198,CNTR_IOProcAndPrec,0),MATCH(D207,CNTR_IOProcAndPrec,0)))</f>
        <v/>
      </c>
      <c r="H207" s="286" t="str">
        <f>IF(D207="","",IF(AG207,INDEX(E_PurchPrec!U:U,MATCH(CONST_PurchPrecDefaultUsed&amp;D207,E_PurchPrec!R:R,0)),CONST_NA))</f>
        <v/>
      </c>
      <c r="I207" s="266" t="str">
        <f>IF($D207="","",SUM($G207)*SUM(INDEX(InputOutput!$AJ$71:$AJ$100,MATCH($D207,InputOutput!$D$71:$D$100,0))))</f>
        <v/>
      </c>
      <c r="J207" s="266" t="str">
        <f>IF($D207="","",SUM($G207)*SUM(INDEX(InputOutput!$AL$71:$AL$100,MATCH($D207,InputOutput!$D$71:$D$100,0))))</f>
        <v/>
      </c>
      <c r="K207" s="266" t="str">
        <f t="shared" si="37"/>
        <v/>
      </c>
      <c r="L207" s="267" t="str">
        <f>IF(D207="","",SUM(I207)*SUM(AD201))</f>
        <v/>
      </c>
      <c r="M207" s="267" t="str">
        <f>IF(D207="","",SUM(J207)*SUM(AD201))</f>
        <v/>
      </c>
      <c r="N207" s="267" t="str">
        <f t="shared" si="38"/>
        <v/>
      </c>
      <c r="O207" s="267" t="str">
        <f>IF(AG207,INDEX(E_PurchPrec!U:U,MATCH(CONST_CNTR_ElecEFMethod&amp;D207,E_PurchPrec!R:R,0)),INDEX(D_Processes!T:T,MATCH(CONST_CNTR_ElecEFMethod&amp;D207,D_Processes!R:R,0)))</f>
        <v/>
      </c>
      <c r="P207" s="266" t="str">
        <f>IF($D207="","",SUM($G207)*SUM(INDEX(InputOutput!$AN$71:$AN$100,MATCH($D207,InputOutput!$D$71:$D$100,0))))</f>
        <v/>
      </c>
      <c r="Q207" s="673" t="str">
        <f>IF(D207="","",IF(AG207,INDEX(A_InstData!$F$102:$F$121,MATCH(D207,CNTR_List_ExistPurchPrecNames,0)),""))</f>
        <v/>
      </c>
      <c r="R207" s="678" t="str">
        <f>IF($D207="","",SUM($G207)*SUM(INDEX(F_Tools!$T$101:$T$130,MATCH($D207,F_Tools!$E$101:$E$130,0))))</f>
        <v/>
      </c>
      <c r="S207" s="669" t="str">
        <f>IF($D207="","",SUM($G207)*SUM(INDEX(F_Tools!$U$101:$U$130,MATCH($D207,F_Tools!$E$101:$E$130,0))))</f>
        <v/>
      </c>
      <c r="T207" s="428"/>
      <c r="Z207" s="123"/>
      <c r="AB207" s="268" t="str">
        <f>CONST_PrecursorToGoodInput &amp; D207 &amp; "_" &amp; D198</f>
        <v>PrecToGood__</v>
      </c>
      <c r="AD207" s="269">
        <f>SUMIF(D_Processes!R:R,AB207,D_Processes!K:K)</f>
        <v>0</v>
      </c>
      <c r="AE207" s="268">
        <f>SUMIF(D_Processes!R:R,CONST_CNTR_TotProd &amp; D207,D_Processes!L:L)</f>
        <v>0</v>
      </c>
      <c r="AG207" s="102" t="b">
        <f t="shared" si="40"/>
        <v>0</v>
      </c>
    </row>
    <row r="208" spans="1:41" ht="12.75" customHeight="1" outlineLevel="1" x14ac:dyDescent="0.35">
      <c r="A208" s="92"/>
      <c r="B208" s="94"/>
      <c r="C208" s="978">
        <v>7</v>
      </c>
      <c r="D208" s="1417" t="str">
        <f>IF(D198="","",IF(COUNTIF(INDEX(CNTR_IOSupplyChain,MATCH(D198,CNTR_IOProcAndPrec,0),),C208)=0,"",INDEX(CNTR_IOProcAndPrec,MATCH(C208,INDEX(CNTR_IOSupplyChain,MATCH(D198,CNTR_IOProcAndPrec,0),),0))))</f>
        <v/>
      </c>
      <c r="E208" s="1418"/>
      <c r="F208" s="265" t="str">
        <f t="shared" si="39"/>
        <v/>
      </c>
      <c r="G208" s="266" t="str">
        <f>IF(D208="","",INDEX(CNTR_Matrix_Inv,MATCH(D198,CNTR_IOProcAndPrec,0),MATCH(D208,CNTR_IOProcAndPrec,0)))</f>
        <v/>
      </c>
      <c r="H208" s="286" t="str">
        <f>IF(D208="","",IF(AG208,INDEX(E_PurchPrec!U:U,MATCH(CONST_PurchPrecDefaultUsed&amp;D208,E_PurchPrec!R:R,0)),CONST_NA))</f>
        <v/>
      </c>
      <c r="I208" s="266" t="str">
        <f>IF($D208="","",SUM($G208)*SUM(INDEX(InputOutput!$AJ$71:$AJ$100,MATCH($D208,InputOutput!$D$71:$D$100,0))))</f>
        <v/>
      </c>
      <c r="J208" s="266" t="str">
        <f>IF($D208="","",SUM($G208)*SUM(INDEX(InputOutput!$AL$71:$AL$100,MATCH($D208,InputOutput!$D$71:$D$100,0))))</f>
        <v/>
      </c>
      <c r="K208" s="266" t="str">
        <f t="shared" si="37"/>
        <v/>
      </c>
      <c r="L208" s="267" t="str">
        <f>IF(D208="","",SUM(I208)*SUM(AD201))</f>
        <v/>
      </c>
      <c r="M208" s="267" t="str">
        <f>IF(D208="","",SUM(J208)*SUM(AD201))</f>
        <v/>
      </c>
      <c r="N208" s="267" t="str">
        <f t="shared" si="38"/>
        <v/>
      </c>
      <c r="O208" s="267" t="str">
        <f>IF(AG208,INDEX(E_PurchPrec!U:U,MATCH(CONST_CNTR_ElecEFMethod&amp;D208,E_PurchPrec!R:R,0)),INDEX(D_Processes!T:T,MATCH(CONST_CNTR_ElecEFMethod&amp;D208,D_Processes!R:R,0)))</f>
        <v/>
      </c>
      <c r="P208" s="266" t="str">
        <f>IF($D208="","",SUM($G208)*SUM(INDEX(InputOutput!$AN$71:$AN$100,MATCH($D208,InputOutput!$D$71:$D$100,0))))</f>
        <v/>
      </c>
      <c r="Q208" s="673" t="str">
        <f>IF(D208="","",IF(AG208,INDEX(A_InstData!$F$102:$F$121,MATCH(D208,CNTR_List_ExistPurchPrecNames,0)),""))</f>
        <v/>
      </c>
      <c r="R208" s="678" t="str">
        <f>IF($D208="","",SUM($G208)*SUM(INDEX(F_Tools!$T$101:$T$130,MATCH($D208,F_Tools!$E$101:$E$130,0))))</f>
        <v/>
      </c>
      <c r="S208" s="669" t="str">
        <f>IF($D208="","",SUM($G208)*SUM(INDEX(F_Tools!$U$101:$U$130,MATCH($D208,F_Tools!$E$101:$E$130,0))))</f>
        <v/>
      </c>
      <c r="T208" s="428"/>
      <c r="Z208" s="123"/>
      <c r="AB208" s="268" t="str">
        <f>CONST_PrecursorToGoodInput &amp; D208 &amp; "_" &amp; D198</f>
        <v>PrecToGood__</v>
      </c>
      <c r="AD208" s="269">
        <f>SUMIF(D_Processes!R:R,AB208,D_Processes!K:K)</f>
        <v>0</v>
      </c>
      <c r="AE208" s="268">
        <f>SUMIF(D_Processes!R:R,CONST_CNTR_TotProd &amp; D208,D_Processes!L:L)</f>
        <v>0</v>
      </c>
      <c r="AG208" s="102" t="b">
        <f t="shared" si="40"/>
        <v>0</v>
      </c>
    </row>
    <row r="209" spans="1:33" ht="12.75" customHeight="1" outlineLevel="1" x14ac:dyDescent="0.35">
      <c r="A209" s="92"/>
      <c r="B209" s="94"/>
      <c r="C209" s="978">
        <v>8</v>
      </c>
      <c r="D209" s="1417" t="str">
        <f>IF(D198="","",IF(COUNTIF(INDEX(CNTR_IOSupplyChain,MATCH(D198,CNTR_IOProcAndPrec,0),),C209)=0,"",INDEX(CNTR_IOProcAndPrec,MATCH(C209,INDEX(CNTR_IOSupplyChain,MATCH(D198,CNTR_IOProcAndPrec,0),),0))))</f>
        <v/>
      </c>
      <c r="E209" s="1418"/>
      <c r="F209" s="265" t="str">
        <f t="shared" si="39"/>
        <v/>
      </c>
      <c r="G209" s="266" t="str">
        <f>IF(D209="","",INDEX(CNTR_Matrix_Inv,MATCH(D198,CNTR_IOProcAndPrec,0),MATCH(D209,CNTR_IOProcAndPrec,0)))</f>
        <v/>
      </c>
      <c r="H209" s="286" t="str">
        <f>IF(D209="","",IF(AG209,INDEX(E_PurchPrec!U:U,MATCH(CONST_PurchPrecDefaultUsed&amp;D209,E_PurchPrec!R:R,0)),CONST_NA))</f>
        <v/>
      </c>
      <c r="I209" s="266" t="str">
        <f>IF($D209="","",SUM($G209)*SUM(INDEX(InputOutput!$AJ$71:$AJ$100,MATCH($D209,InputOutput!$D$71:$D$100,0))))</f>
        <v/>
      </c>
      <c r="J209" s="266" t="str">
        <f>IF($D209="","",SUM($G209)*SUM(INDEX(InputOutput!$AL$71:$AL$100,MATCH($D209,InputOutput!$D$71:$D$100,0))))</f>
        <v/>
      </c>
      <c r="K209" s="266" t="str">
        <f t="shared" si="37"/>
        <v/>
      </c>
      <c r="L209" s="267" t="str">
        <f>IF(D209="","",SUM(I209)*SUM(AD201))</f>
        <v/>
      </c>
      <c r="M209" s="267" t="str">
        <f>IF(D209="","",SUM(J209)*SUM(AD201))</f>
        <v/>
      </c>
      <c r="N209" s="267" t="str">
        <f t="shared" si="38"/>
        <v/>
      </c>
      <c r="O209" s="267" t="str">
        <f>IF(AG209,INDEX(E_PurchPrec!U:U,MATCH(CONST_CNTR_ElecEFMethod&amp;D209,E_PurchPrec!R:R,0)),INDEX(D_Processes!T:T,MATCH(CONST_CNTR_ElecEFMethod&amp;D209,D_Processes!R:R,0)))</f>
        <v/>
      </c>
      <c r="P209" s="266" t="str">
        <f>IF($D209="","",SUM($G209)*SUM(INDEX(InputOutput!$AN$71:$AN$100,MATCH($D209,InputOutput!$D$71:$D$100,0))))</f>
        <v/>
      </c>
      <c r="Q209" s="673" t="str">
        <f>IF(D209="","",IF(AG209,INDEX(A_InstData!$F$102:$F$121,MATCH(D209,CNTR_List_ExistPurchPrecNames,0)),""))</f>
        <v/>
      </c>
      <c r="R209" s="678" t="str">
        <f>IF($D209="","",SUM($G209)*SUM(INDEX(F_Tools!$T$101:$T$130,MATCH($D209,F_Tools!$E$101:$E$130,0))))</f>
        <v/>
      </c>
      <c r="S209" s="669" t="str">
        <f>IF($D209="","",SUM($G209)*SUM(INDEX(F_Tools!$U$101:$U$130,MATCH($D209,F_Tools!$E$101:$E$130,0))))</f>
        <v/>
      </c>
      <c r="T209" s="428"/>
      <c r="Z209" s="123"/>
      <c r="AB209" s="268" t="str">
        <f>CONST_PrecursorToGoodInput &amp; D209 &amp; "_" &amp; D198</f>
        <v>PrecToGood__</v>
      </c>
      <c r="AD209" s="269">
        <f>SUMIF(D_Processes!R:R,AB209,D_Processes!K:K)</f>
        <v>0</v>
      </c>
      <c r="AE209" s="268">
        <f>SUMIF(D_Processes!R:R,CONST_CNTR_TotProd &amp; D209,D_Processes!L:L)</f>
        <v>0</v>
      </c>
      <c r="AG209" s="102" t="b">
        <f t="shared" si="40"/>
        <v>0</v>
      </c>
    </row>
    <row r="210" spans="1:33" ht="12.75" customHeight="1" outlineLevel="1" x14ac:dyDescent="0.35">
      <c r="A210" s="92"/>
      <c r="B210" s="94"/>
      <c r="C210" s="978">
        <v>9</v>
      </c>
      <c r="D210" s="1417" t="str">
        <f>IF(D198="","",IF(COUNTIF(INDEX(CNTR_IOSupplyChain,MATCH(D198,CNTR_IOProcAndPrec,0),),C210)=0,"",INDEX(CNTR_IOProcAndPrec,MATCH(C210,INDEX(CNTR_IOSupplyChain,MATCH(D198,CNTR_IOProcAndPrec,0),),0))))</f>
        <v/>
      </c>
      <c r="E210" s="1418"/>
      <c r="F210" s="265" t="str">
        <f t="shared" si="39"/>
        <v/>
      </c>
      <c r="G210" s="266" t="str">
        <f>IF(D210="","",INDEX(CNTR_Matrix_Inv,MATCH(D198,CNTR_IOProcAndPrec,0),MATCH(D210,CNTR_IOProcAndPrec,0)))</f>
        <v/>
      </c>
      <c r="H210" s="286" t="str">
        <f>IF(D210="","",IF(AG210,INDEX(E_PurchPrec!U:U,MATCH(CONST_PurchPrecDefaultUsed&amp;D210,E_PurchPrec!R:R,0)),CONST_NA))</f>
        <v/>
      </c>
      <c r="I210" s="266" t="str">
        <f>IF($D210="","",SUM($G210)*SUM(INDEX(InputOutput!$AJ$71:$AJ$100,MATCH($D210,InputOutput!$D$71:$D$100,0))))</f>
        <v/>
      </c>
      <c r="J210" s="266" t="str">
        <f>IF($D210="","",SUM($G210)*SUM(INDEX(InputOutput!$AL$71:$AL$100,MATCH($D210,InputOutput!$D$71:$D$100,0))))</f>
        <v/>
      </c>
      <c r="K210" s="266" t="str">
        <f t="shared" si="37"/>
        <v/>
      </c>
      <c r="L210" s="267" t="str">
        <f>IF(D210="","",SUM(I210)*SUM(AD201))</f>
        <v/>
      </c>
      <c r="M210" s="267" t="str">
        <f>IF(D210="","",SUM(J210)*SUM(AD201))</f>
        <v/>
      </c>
      <c r="N210" s="267" t="str">
        <f t="shared" si="38"/>
        <v/>
      </c>
      <c r="O210" s="267" t="str">
        <f>IF(AG210,INDEX(E_PurchPrec!U:U,MATCH(CONST_CNTR_ElecEFMethod&amp;D210,E_PurchPrec!R:R,0)),INDEX(D_Processes!T:T,MATCH(CONST_CNTR_ElecEFMethod&amp;D210,D_Processes!R:R,0)))</f>
        <v/>
      </c>
      <c r="P210" s="266" t="str">
        <f>IF($D210="","",SUM($G210)*SUM(INDEX(InputOutput!$AN$71:$AN$100,MATCH($D210,InputOutput!$D$71:$D$100,0))))</f>
        <v/>
      </c>
      <c r="Q210" s="673" t="str">
        <f>IF(D210="","",IF(AG210,INDEX(A_InstData!$F$102:$F$121,MATCH(D210,CNTR_List_ExistPurchPrecNames,0)),""))</f>
        <v/>
      </c>
      <c r="R210" s="678" t="str">
        <f>IF($D210="","",SUM($G210)*SUM(INDEX(F_Tools!$T$101:$T$130,MATCH($D210,F_Tools!$E$101:$E$130,0))))</f>
        <v/>
      </c>
      <c r="S210" s="669" t="str">
        <f>IF($D210="","",SUM($G210)*SUM(INDEX(F_Tools!$U$101:$U$130,MATCH($D210,F_Tools!$E$101:$E$130,0))))</f>
        <v/>
      </c>
      <c r="T210" s="428"/>
      <c r="Z210" s="123"/>
      <c r="AB210" s="268" t="str">
        <f>CONST_PrecursorToGoodInput &amp; D210 &amp; "_" &amp; D198</f>
        <v>PrecToGood__</v>
      </c>
      <c r="AD210" s="269">
        <f>SUMIF(D_Processes!R:R,AB210,D_Processes!K:K)</f>
        <v>0</v>
      </c>
      <c r="AE210" s="268">
        <f>SUMIF(D_Processes!R:R,CONST_CNTR_TotProd &amp; D210,D_Processes!L:L)</f>
        <v>0</v>
      </c>
      <c r="AG210" s="102" t="b">
        <f t="shared" si="40"/>
        <v>0</v>
      </c>
    </row>
    <row r="211" spans="1:33" ht="12.75" customHeight="1" outlineLevel="1" x14ac:dyDescent="0.35">
      <c r="A211" s="92"/>
      <c r="B211" s="94"/>
      <c r="C211" s="978">
        <v>10</v>
      </c>
      <c r="D211" s="1417" t="str">
        <f>IF(D198="","",IF(COUNTIF(INDEX(CNTR_IOSupplyChain,MATCH(D198,CNTR_IOProcAndPrec,0),),C211)=0,"",INDEX(CNTR_IOProcAndPrec,MATCH(C211,INDEX(CNTR_IOSupplyChain,MATCH(D198,CNTR_IOProcAndPrec,0),),0))))</f>
        <v/>
      </c>
      <c r="E211" s="1418"/>
      <c r="F211" s="265" t="str">
        <f t="shared" si="39"/>
        <v/>
      </c>
      <c r="G211" s="266" t="str">
        <f>IF(D211="","",INDEX(CNTR_Matrix_Inv,MATCH(D198,CNTR_IOProcAndPrec,0),MATCH(D211,CNTR_IOProcAndPrec,0)))</f>
        <v/>
      </c>
      <c r="H211" s="286" t="str">
        <f>IF(D211="","",IF(AG211,INDEX(E_PurchPrec!U:U,MATCH(CONST_PurchPrecDefaultUsed&amp;D211,E_PurchPrec!R:R,0)),CONST_NA))</f>
        <v/>
      </c>
      <c r="I211" s="266" t="str">
        <f>IF($D211="","",SUM($G211)*SUM(INDEX(InputOutput!$AJ$71:$AJ$100,MATCH($D211,InputOutput!$D$71:$D$100,0))))</f>
        <v/>
      </c>
      <c r="J211" s="266" t="str">
        <f>IF($D211="","",SUM($G211)*SUM(INDEX(InputOutput!$AL$71:$AL$100,MATCH($D211,InputOutput!$D$71:$D$100,0))))</f>
        <v/>
      </c>
      <c r="K211" s="266" t="str">
        <f t="shared" si="37"/>
        <v/>
      </c>
      <c r="L211" s="267" t="str">
        <f>IF(D211="","",SUM(I211)*SUM(AD201))</f>
        <v/>
      </c>
      <c r="M211" s="267" t="str">
        <f>IF(D211="","",SUM(J211)*SUM(AD201))</f>
        <v/>
      </c>
      <c r="N211" s="267" t="str">
        <f t="shared" si="38"/>
        <v/>
      </c>
      <c r="O211" s="267" t="str">
        <f>IF(AG211,INDEX(E_PurchPrec!U:U,MATCH(CONST_CNTR_ElecEFMethod&amp;D211,E_PurchPrec!R:R,0)),INDEX(D_Processes!T:T,MATCH(CONST_CNTR_ElecEFMethod&amp;D211,D_Processes!R:R,0)))</f>
        <v/>
      </c>
      <c r="P211" s="266" t="str">
        <f>IF($D211="","",SUM($G211)*SUM(INDEX(InputOutput!$AN$71:$AN$100,MATCH($D211,InputOutput!$D$71:$D$100,0))))</f>
        <v/>
      </c>
      <c r="Q211" s="673" t="str">
        <f>IF(D211="","",IF(AG211,INDEX(A_InstData!$F$102:$F$121,MATCH(D211,CNTR_List_ExistPurchPrecNames,0)),""))</f>
        <v/>
      </c>
      <c r="R211" s="678" t="str">
        <f>IF($D211="","",SUM($G211)*SUM(INDEX(F_Tools!$T$101:$T$130,MATCH($D211,F_Tools!$E$101:$E$130,0))))</f>
        <v/>
      </c>
      <c r="S211" s="669" t="str">
        <f>IF($D211="","",SUM($G211)*SUM(INDEX(F_Tools!$U$101:$U$130,MATCH($D211,F_Tools!$E$101:$E$130,0))))</f>
        <v/>
      </c>
      <c r="T211" s="428"/>
      <c r="Z211" s="123"/>
      <c r="AB211" s="268" t="str">
        <f>CONST_PrecursorToGoodInput &amp; D211 &amp; "_" &amp; D198</f>
        <v>PrecToGood__</v>
      </c>
      <c r="AD211" s="269">
        <f>SUMIF(D_Processes!R:R,AB211,D_Processes!K:K)</f>
        <v>0</v>
      </c>
      <c r="AE211" s="268">
        <f>SUMIF(D_Processes!R:R,CONST_CNTR_TotProd &amp; D211,D_Processes!L:L)</f>
        <v>0</v>
      </c>
      <c r="AG211" s="102" t="b">
        <f t="shared" si="40"/>
        <v>0</v>
      </c>
    </row>
    <row r="212" spans="1:33" ht="12.75" customHeight="1" outlineLevel="1" x14ac:dyDescent="0.35">
      <c r="A212" s="92"/>
      <c r="B212" s="94"/>
      <c r="C212" s="978">
        <v>11</v>
      </c>
      <c r="D212" s="1417" t="str">
        <f>IF(D198="","",IF(COUNTIF(INDEX(CNTR_IOSupplyChain,MATCH(D198,CNTR_IOProcAndPrec,0),),C212)=0,"",INDEX(CNTR_IOProcAndPrec,MATCH(C212,INDEX(CNTR_IOSupplyChain,MATCH(D198,CNTR_IOProcAndPrec,0),),0))))</f>
        <v/>
      </c>
      <c r="E212" s="1418"/>
      <c r="F212" s="265" t="str">
        <f t="shared" si="39"/>
        <v/>
      </c>
      <c r="G212" s="266" t="str">
        <f>IF(D212="","",INDEX(CNTR_Matrix_Inv,MATCH(D198,CNTR_IOProcAndPrec,0),MATCH(D212,CNTR_IOProcAndPrec,0)))</f>
        <v/>
      </c>
      <c r="H212" s="286" t="str">
        <f>IF(D212="","",IF(AG212,INDEX(E_PurchPrec!U:U,MATCH(CONST_PurchPrecDefaultUsed&amp;D212,E_PurchPrec!R:R,0)),CONST_NA))</f>
        <v/>
      </c>
      <c r="I212" s="266" t="str">
        <f>IF($D212="","",SUM($G212)*SUM(INDEX(InputOutput!$AJ$71:$AJ$100,MATCH($D212,InputOutput!$D$71:$D$100,0))))</f>
        <v/>
      </c>
      <c r="J212" s="266" t="str">
        <f>IF($D212="","",SUM($G212)*SUM(INDEX(InputOutput!$AL$71:$AL$100,MATCH($D212,InputOutput!$D$71:$D$100,0))))</f>
        <v/>
      </c>
      <c r="K212" s="266" t="str">
        <f t="shared" si="37"/>
        <v/>
      </c>
      <c r="L212" s="267" t="str">
        <f>IF(D212="","",SUM(I212)*SUM(AD201))</f>
        <v/>
      </c>
      <c r="M212" s="267" t="str">
        <f>IF(D212="","",SUM(J212)*SUM(AD201))</f>
        <v/>
      </c>
      <c r="N212" s="267" t="str">
        <f t="shared" si="38"/>
        <v/>
      </c>
      <c r="O212" s="267" t="str">
        <f>IF(AG212,INDEX(E_PurchPrec!U:U,MATCH(CONST_CNTR_ElecEFMethod&amp;D212,E_PurchPrec!R:R,0)),INDEX(D_Processes!T:T,MATCH(CONST_CNTR_ElecEFMethod&amp;D212,D_Processes!R:R,0)))</f>
        <v/>
      </c>
      <c r="P212" s="266" t="str">
        <f>IF($D212="","",SUM($G212)*SUM(INDEX(InputOutput!$AN$71:$AN$100,MATCH($D212,InputOutput!$D$71:$D$100,0))))</f>
        <v/>
      </c>
      <c r="Q212" s="673" t="str">
        <f>IF(D212="","",IF(AG212,INDEX(A_InstData!$F$102:$F$121,MATCH(D212,CNTR_List_ExistPurchPrecNames,0)),""))</f>
        <v/>
      </c>
      <c r="R212" s="678" t="str">
        <f>IF($D212="","",SUM($G212)*SUM(INDEX(F_Tools!$T$101:$T$130,MATCH($D212,F_Tools!$E$101:$E$130,0))))</f>
        <v/>
      </c>
      <c r="S212" s="669" t="str">
        <f>IF($D212="","",SUM($G212)*SUM(INDEX(F_Tools!$U$101:$U$130,MATCH($D212,F_Tools!$E$101:$E$130,0))))</f>
        <v/>
      </c>
      <c r="T212" s="428"/>
      <c r="Z212" s="123"/>
      <c r="AB212" s="268" t="str">
        <f>CONST_PrecursorToGoodInput &amp; D212 &amp; "_" &amp; D198</f>
        <v>PrecToGood__</v>
      </c>
      <c r="AD212" s="269">
        <f>SUMIF(D_Processes!R:R,AB212,D_Processes!K:K)</f>
        <v>0</v>
      </c>
      <c r="AE212" s="268">
        <f>SUMIF(D_Processes!R:R,CONST_CNTR_TotProd &amp; D212,D_Processes!L:L)</f>
        <v>0</v>
      </c>
      <c r="AG212" s="102" t="b">
        <f t="shared" si="40"/>
        <v>0</v>
      </c>
    </row>
    <row r="213" spans="1:33" ht="12.75" customHeight="1" outlineLevel="1" x14ac:dyDescent="0.35">
      <c r="A213" s="92"/>
      <c r="B213" s="94"/>
      <c r="C213" s="978">
        <v>12</v>
      </c>
      <c r="D213" s="1417" t="str">
        <f>IF(D198="","",IF(COUNTIF(INDEX(CNTR_IOSupplyChain,MATCH(D198,CNTR_IOProcAndPrec,0),),C213)=0,"",INDEX(CNTR_IOProcAndPrec,MATCH(C213,INDEX(CNTR_IOSupplyChain,MATCH(D198,CNTR_IOProcAndPrec,0),),0))))</f>
        <v/>
      </c>
      <c r="E213" s="1418"/>
      <c r="F213" s="265" t="str">
        <f t="shared" si="39"/>
        <v/>
      </c>
      <c r="G213" s="266" t="str">
        <f>IF(D213="","",INDEX(CNTR_Matrix_Inv,MATCH(D198,CNTR_IOProcAndPrec,0),MATCH(D213,CNTR_IOProcAndPrec,0)))</f>
        <v/>
      </c>
      <c r="H213" s="286" t="str">
        <f>IF(D213="","",IF(AG213,INDEX(E_PurchPrec!U:U,MATCH(CONST_PurchPrecDefaultUsed&amp;D213,E_PurchPrec!R:R,0)),CONST_NA))</f>
        <v/>
      </c>
      <c r="I213" s="266" t="str">
        <f>IF($D213="","",SUM($G213)*SUM(INDEX(InputOutput!$AJ$71:$AJ$100,MATCH($D213,InputOutput!$D$71:$D$100,0))))</f>
        <v/>
      </c>
      <c r="J213" s="266" t="str">
        <f>IF($D213="","",SUM($G213)*SUM(INDEX(InputOutput!$AL$71:$AL$100,MATCH($D213,InputOutput!$D$71:$D$100,0))))</f>
        <v/>
      </c>
      <c r="K213" s="266" t="str">
        <f t="shared" si="37"/>
        <v/>
      </c>
      <c r="L213" s="267" t="str">
        <f>IF(D213="","",SUM(I213)*SUM(AD201))</f>
        <v/>
      </c>
      <c r="M213" s="267" t="str">
        <f>IF(D213="","",SUM(J213)*SUM(AD201))</f>
        <v/>
      </c>
      <c r="N213" s="267" t="str">
        <f t="shared" si="38"/>
        <v/>
      </c>
      <c r="O213" s="267" t="str">
        <f>IF(AG213,INDEX(E_PurchPrec!U:U,MATCH(CONST_CNTR_ElecEFMethod&amp;D213,E_PurchPrec!R:R,0)),INDEX(D_Processes!T:T,MATCH(CONST_CNTR_ElecEFMethod&amp;D213,D_Processes!R:R,0)))</f>
        <v/>
      </c>
      <c r="P213" s="266" t="str">
        <f>IF($D213="","",SUM($G213)*SUM(INDEX(InputOutput!$AN$71:$AN$100,MATCH($D213,InputOutput!$D$71:$D$100,0))))</f>
        <v/>
      </c>
      <c r="Q213" s="673" t="str">
        <f>IF(D213="","",IF(AG213,INDEX(A_InstData!$F$102:$F$121,MATCH(D213,CNTR_List_ExistPurchPrecNames,0)),""))</f>
        <v/>
      </c>
      <c r="R213" s="678" t="str">
        <f>IF($D213="","",SUM($G213)*SUM(INDEX(F_Tools!$T$101:$T$130,MATCH($D213,F_Tools!$E$101:$E$130,0))))</f>
        <v/>
      </c>
      <c r="S213" s="669" t="str">
        <f>IF($D213="","",SUM($G213)*SUM(INDEX(F_Tools!$U$101:$U$130,MATCH($D213,F_Tools!$E$101:$E$130,0))))</f>
        <v/>
      </c>
      <c r="T213" s="428"/>
      <c r="Z213" s="123"/>
      <c r="AB213" s="268" t="str">
        <f>CONST_PrecursorToGoodInput &amp; D213 &amp; "_" &amp; D198</f>
        <v>PrecToGood__</v>
      </c>
      <c r="AD213" s="269">
        <f>SUMIF(D_Processes!R:R,AB213,D_Processes!K:K)</f>
        <v>0</v>
      </c>
      <c r="AE213" s="268">
        <f>SUMIF(D_Processes!R:R,CONST_CNTR_TotProd &amp; D213,D_Processes!L:L)</f>
        <v>0</v>
      </c>
      <c r="AG213" s="102" t="b">
        <f t="shared" si="40"/>
        <v>0</v>
      </c>
    </row>
    <row r="214" spans="1:33" ht="12.75" customHeight="1" outlineLevel="1" x14ac:dyDescent="0.35">
      <c r="A214" s="92"/>
      <c r="B214" s="94"/>
      <c r="C214" s="978">
        <v>13</v>
      </c>
      <c r="D214" s="1417" t="str">
        <f>IF(D198="","",IF(COUNTIF(INDEX(CNTR_IOSupplyChain,MATCH(D198,CNTR_IOProcAndPrec,0),),C214)=0,"",INDEX(CNTR_IOProcAndPrec,MATCH(C214,INDEX(CNTR_IOSupplyChain,MATCH(D198,CNTR_IOProcAndPrec,0),),0))))</f>
        <v/>
      </c>
      <c r="E214" s="1418"/>
      <c r="F214" s="265" t="str">
        <f t="shared" si="39"/>
        <v/>
      </c>
      <c r="G214" s="266" t="str">
        <f>IF(D214="","",INDEX(CNTR_Matrix_Inv,MATCH(D198,CNTR_IOProcAndPrec,0),MATCH(D214,CNTR_IOProcAndPrec,0)))</f>
        <v/>
      </c>
      <c r="H214" s="286" t="str">
        <f>IF(D214="","",IF(AG214,INDEX(E_PurchPrec!U:U,MATCH(CONST_PurchPrecDefaultUsed&amp;D214,E_PurchPrec!R:R,0)),CONST_NA))</f>
        <v/>
      </c>
      <c r="I214" s="266" t="str">
        <f>IF($D214="","",SUM($G214)*SUM(INDEX(InputOutput!$AJ$71:$AJ$100,MATCH($D214,InputOutput!$D$71:$D$100,0))))</f>
        <v/>
      </c>
      <c r="J214" s="266" t="str">
        <f>IF($D214="","",SUM($G214)*SUM(INDEX(InputOutput!$AL$71:$AL$100,MATCH($D214,InputOutput!$D$71:$D$100,0))))</f>
        <v/>
      </c>
      <c r="K214" s="266" t="str">
        <f t="shared" si="37"/>
        <v/>
      </c>
      <c r="L214" s="267" t="str">
        <f>IF(D214="","",SUM(I214)*SUM(AD201))</f>
        <v/>
      </c>
      <c r="M214" s="267" t="str">
        <f>IF(D214="","",SUM(J214)*SUM(AD201))</f>
        <v/>
      </c>
      <c r="N214" s="267" t="str">
        <f t="shared" si="38"/>
        <v/>
      </c>
      <c r="O214" s="267" t="str">
        <f>IF(AG214,INDEX(E_PurchPrec!U:U,MATCH(CONST_CNTR_ElecEFMethod&amp;D214,E_PurchPrec!R:R,0)),INDEX(D_Processes!T:T,MATCH(CONST_CNTR_ElecEFMethod&amp;D214,D_Processes!R:R,0)))</f>
        <v/>
      </c>
      <c r="P214" s="266" t="str">
        <f>IF($D214="","",SUM($G214)*SUM(INDEX(InputOutput!$AN$71:$AN$100,MATCH($D214,InputOutput!$D$71:$D$100,0))))</f>
        <v/>
      </c>
      <c r="Q214" s="673" t="str">
        <f>IF(D214="","",IF(AG214,INDEX(A_InstData!$F$102:$F$121,MATCH(D214,CNTR_List_ExistPurchPrecNames,0)),""))</f>
        <v/>
      </c>
      <c r="R214" s="678" t="str">
        <f>IF($D214="","",SUM($G214)*SUM(INDEX(F_Tools!$T$101:$T$130,MATCH($D214,F_Tools!$E$101:$E$130,0))))</f>
        <v/>
      </c>
      <c r="S214" s="669" t="str">
        <f>IF($D214="","",SUM($G214)*SUM(INDEX(F_Tools!$U$101:$U$130,MATCH($D214,F_Tools!$E$101:$E$130,0))))</f>
        <v/>
      </c>
      <c r="T214" s="428"/>
      <c r="Z214" s="123"/>
      <c r="AB214" s="268" t="str">
        <f>CONST_PrecursorToGoodInput &amp; D214 &amp; "_" &amp; D198</f>
        <v>PrecToGood__</v>
      </c>
      <c r="AD214" s="269">
        <f>SUMIF(D_Processes!R:R,AB214,D_Processes!K:K)</f>
        <v>0</v>
      </c>
      <c r="AE214" s="268">
        <f>SUMIF(D_Processes!R:R,CONST_CNTR_TotProd &amp; D214,D_Processes!L:L)</f>
        <v>0</v>
      </c>
      <c r="AG214" s="102" t="b">
        <f t="shared" si="40"/>
        <v>0</v>
      </c>
    </row>
    <row r="215" spans="1:33" ht="12.75" customHeight="1" outlineLevel="1" x14ac:dyDescent="0.35">
      <c r="A215" s="92"/>
      <c r="B215" s="94"/>
      <c r="C215" s="978">
        <v>14</v>
      </c>
      <c r="D215" s="1417" t="str">
        <f>IF(D198="","",IF(COUNTIF(INDEX(CNTR_IOSupplyChain,MATCH(D198,CNTR_IOProcAndPrec,0),),C215)=0,"",INDEX(CNTR_IOProcAndPrec,MATCH(C215,INDEX(CNTR_IOSupplyChain,MATCH(D198,CNTR_IOProcAndPrec,0),),0))))</f>
        <v/>
      </c>
      <c r="E215" s="1418"/>
      <c r="F215" s="265" t="str">
        <f t="shared" si="39"/>
        <v/>
      </c>
      <c r="G215" s="266" t="str">
        <f>IF(D215="","",INDEX(CNTR_Matrix_Inv,MATCH(D198,CNTR_IOProcAndPrec,0),MATCH(D215,CNTR_IOProcAndPrec,0)))</f>
        <v/>
      </c>
      <c r="H215" s="286" t="str">
        <f>IF(D215="","",IF(AG215,INDEX(E_PurchPrec!U:U,MATCH(CONST_PurchPrecDefaultUsed&amp;D215,E_PurchPrec!R:R,0)),CONST_NA))</f>
        <v/>
      </c>
      <c r="I215" s="266" t="str">
        <f>IF($D215="","",SUM($G215)*SUM(INDEX(InputOutput!$AJ$71:$AJ$100,MATCH($D215,InputOutput!$D$71:$D$100,0))))</f>
        <v/>
      </c>
      <c r="J215" s="266" t="str">
        <f>IF($D215="","",SUM($G215)*SUM(INDEX(InputOutput!$AL$71:$AL$100,MATCH($D215,InputOutput!$D$71:$D$100,0))))</f>
        <v/>
      </c>
      <c r="K215" s="266" t="str">
        <f t="shared" si="37"/>
        <v/>
      </c>
      <c r="L215" s="267" t="str">
        <f>IF(D215="","",SUM(I215)*SUM(AD201))</f>
        <v/>
      </c>
      <c r="M215" s="267" t="str">
        <f>IF(D215="","",SUM(J215)*SUM(AD201))</f>
        <v/>
      </c>
      <c r="N215" s="267" t="str">
        <f t="shared" si="38"/>
        <v/>
      </c>
      <c r="O215" s="267" t="str">
        <f>IF(AG215,INDEX(E_PurchPrec!U:U,MATCH(CONST_CNTR_ElecEFMethod&amp;D215,E_PurchPrec!R:R,0)),INDEX(D_Processes!T:T,MATCH(CONST_CNTR_ElecEFMethod&amp;D215,D_Processes!R:R,0)))</f>
        <v/>
      </c>
      <c r="P215" s="266" t="str">
        <f>IF($D215="","",SUM($G215)*SUM(INDEX(InputOutput!$AN$71:$AN$100,MATCH($D215,InputOutput!$D$71:$D$100,0))))</f>
        <v/>
      </c>
      <c r="Q215" s="673" t="str">
        <f>IF(D215="","",IF(AG215,INDEX(A_InstData!$F$102:$F$121,MATCH(D215,CNTR_List_ExistPurchPrecNames,0)),""))</f>
        <v/>
      </c>
      <c r="R215" s="678" t="str">
        <f>IF($D215="","",SUM($G215)*SUM(INDEX(F_Tools!$T$101:$T$130,MATCH($D215,F_Tools!$E$101:$E$130,0))))</f>
        <v/>
      </c>
      <c r="S215" s="669" t="str">
        <f>IF($D215="","",SUM($G215)*SUM(INDEX(F_Tools!$U$101:$U$130,MATCH($D215,F_Tools!$E$101:$E$130,0))))</f>
        <v/>
      </c>
      <c r="T215" s="428"/>
      <c r="Z215" s="123"/>
      <c r="AB215" s="268" t="str">
        <f>CONST_PrecursorToGoodInput &amp; D215 &amp; "_" &amp; D198</f>
        <v>PrecToGood__</v>
      </c>
      <c r="AD215" s="269">
        <f>SUMIF(D_Processes!R:R,AB215,D_Processes!K:K)</f>
        <v>0</v>
      </c>
      <c r="AE215" s="268">
        <f>SUMIF(D_Processes!R:R,CONST_CNTR_TotProd &amp; D215,D_Processes!L:L)</f>
        <v>0</v>
      </c>
      <c r="AG215" s="102" t="b">
        <f t="shared" si="40"/>
        <v>0</v>
      </c>
    </row>
    <row r="216" spans="1:33" ht="12.75" customHeight="1" outlineLevel="1" x14ac:dyDescent="0.35">
      <c r="A216" s="92"/>
      <c r="B216" s="94"/>
      <c r="C216" s="978">
        <v>15</v>
      </c>
      <c r="D216" s="1417" t="str">
        <f>IF(D198="","",IF(COUNTIF(INDEX(CNTR_IOSupplyChain,MATCH(D198,CNTR_IOProcAndPrec,0),),C216)=0,"",INDEX(CNTR_IOProcAndPrec,MATCH(C216,INDEX(CNTR_IOSupplyChain,MATCH(D198,CNTR_IOProcAndPrec,0),),0))))</f>
        <v/>
      </c>
      <c r="E216" s="1418"/>
      <c r="F216" s="265" t="str">
        <f t="shared" si="39"/>
        <v/>
      </c>
      <c r="G216" s="266" t="str">
        <f>IF(D216="","",INDEX(CNTR_Matrix_Inv,MATCH(D198,CNTR_IOProcAndPrec,0),MATCH(D216,CNTR_IOProcAndPrec,0)))</f>
        <v/>
      </c>
      <c r="H216" s="286" t="str">
        <f>IF(D216="","",IF(AG216,INDEX(E_PurchPrec!U:U,MATCH(CONST_PurchPrecDefaultUsed&amp;D216,E_PurchPrec!R:R,0)),CONST_NA))</f>
        <v/>
      </c>
      <c r="I216" s="266" t="str">
        <f>IF($D216="","",SUM($G216)*SUM(INDEX(InputOutput!$AJ$71:$AJ$100,MATCH($D216,InputOutput!$D$71:$D$100,0))))</f>
        <v/>
      </c>
      <c r="J216" s="266" t="str">
        <f>IF($D216="","",SUM($G216)*SUM(INDEX(InputOutput!$AL$71:$AL$100,MATCH($D216,InputOutput!$D$71:$D$100,0))))</f>
        <v/>
      </c>
      <c r="K216" s="266" t="str">
        <f t="shared" si="37"/>
        <v/>
      </c>
      <c r="L216" s="267" t="str">
        <f>IF(D216="","",SUM(I216)*SUM(AD201))</f>
        <v/>
      </c>
      <c r="M216" s="267" t="str">
        <f>IF(D216="","",SUM(J216)*SUM(AD201))</f>
        <v/>
      </c>
      <c r="N216" s="267" t="str">
        <f t="shared" si="38"/>
        <v/>
      </c>
      <c r="O216" s="267" t="str">
        <f>IF(AG216,INDEX(E_PurchPrec!U:U,MATCH(CONST_CNTR_ElecEFMethod&amp;D216,E_PurchPrec!R:R,0)),INDEX(D_Processes!T:T,MATCH(CONST_CNTR_ElecEFMethod&amp;D216,D_Processes!R:R,0)))</f>
        <v/>
      </c>
      <c r="P216" s="266" t="str">
        <f>IF($D216="","",SUM($G216)*SUM(INDEX(InputOutput!$AN$71:$AN$100,MATCH($D216,InputOutput!$D$71:$D$100,0))))</f>
        <v/>
      </c>
      <c r="Q216" s="673" t="str">
        <f>IF(D216="","",IF(AG216,INDEX(A_InstData!$F$102:$F$121,MATCH(D216,CNTR_List_ExistPurchPrecNames,0)),""))</f>
        <v/>
      </c>
      <c r="R216" s="678" t="str">
        <f>IF($D216="","",SUM($G216)*SUM(INDEX(F_Tools!$T$101:$T$130,MATCH($D216,F_Tools!$E$101:$E$130,0))))</f>
        <v/>
      </c>
      <c r="S216" s="669" t="str">
        <f>IF($D216="","",SUM($G216)*SUM(INDEX(F_Tools!$U$101:$U$130,MATCH($D216,F_Tools!$E$101:$E$130,0))))</f>
        <v/>
      </c>
      <c r="T216" s="428"/>
      <c r="Z216" s="123"/>
      <c r="AB216" s="268" t="str">
        <f>CONST_PrecursorToGoodInput &amp; D216 &amp; "_" &amp; D198</f>
        <v>PrecToGood__</v>
      </c>
      <c r="AD216" s="269">
        <f>SUMIF(D_Processes!R:R,AB216,D_Processes!K:K)</f>
        <v>0</v>
      </c>
      <c r="AE216" s="268">
        <f>SUMIF(D_Processes!R:R,CONST_CNTR_TotProd &amp; D216,D_Processes!L:L)</f>
        <v>0</v>
      </c>
      <c r="AG216" s="102" t="b">
        <f t="shared" si="40"/>
        <v>0</v>
      </c>
    </row>
    <row r="217" spans="1:33" ht="12.75" customHeight="1" outlineLevel="1" x14ac:dyDescent="0.35">
      <c r="A217" s="92"/>
      <c r="B217" s="94"/>
      <c r="C217" s="978">
        <v>16</v>
      </c>
      <c r="D217" s="1417" t="str">
        <f>IF(D198="","",IF(COUNTIF(INDEX(CNTR_IOSupplyChain,MATCH(D198,CNTR_IOProcAndPrec,0),),C217)=0,"",INDEX(CNTR_IOProcAndPrec,MATCH(C217,INDEX(CNTR_IOSupplyChain,MATCH(D198,CNTR_IOProcAndPrec,0),),0))))</f>
        <v/>
      </c>
      <c r="E217" s="1418"/>
      <c r="F217" s="265" t="str">
        <f t="shared" si="39"/>
        <v/>
      </c>
      <c r="G217" s="266" t="str">
        <f>IF(D217="","",INDEX(CNTR_Matrix_Inv,MATCH(D198,CNTR_IOProcAndPrec,0),MATCH(D217,CNTR_IOProcAndPrec,0)))</f>
        <v/>
      </c>
      <c r="H217" s="286" t="str">
        <f>IF(D217="","",IF(AG217,INDEX(E_PurchPrec!U:U,MATCH(CONST_PurchPrecDefaultUsed&amp;D217,E_PurchPrec!R:R,0)),CONST_NA))</f>
        <v/>
      </c>
      <c r="I217" s="266" t="str">
        <f>IF($D217="","",SUM($G217)*SUM(INDEX(InputOutput!$AJ$71:$AJ$100,MATCH($D217,InputOutput!$D$71:$D$100,0))))</f>
        <v/>
      </c>
      <c r="J217" s="266" t="str">
        <f>IF($D217="","",SUM($G217)*SUM(INDEX(InputOutput!$AL$71:$AL$100,MATCH($D217,InputOutput!$D$71:$D$100,0))))</f>
        <v/>
      </c>
      <c r="K217" s="266" t="str">
        <f t="shared" si="37"/>
        <v/>
      </c>
      <c r="L217" s="267" t="str">
        <f>IF(D217="","",SUM(I217)*SUM(AD201))</f>
        <v/>
      </c>
      <c r="M217" s="267" t="str">
        <f>IF(D217="","",SUM(J217)*SUM(AD201))</f>
        <v/>
      </c>
      <c r="N217" s="267" t="str">
        <f t="shared" si="38"/>
        <v/>
      </c>
      <c r="O217" s="267" t="str">
        <f>IF(AG217,INDEX(E_PurchPrec!U:U,MATCH(CONST_CNTR_ElecEFMethod&amp;D217,E_PurchPrec!R:R,0)),INDEX(D_Processes!T:T,MATCH(CONST_CNTR_ElecEFMethod&amp;D217,D_Processes!R:R,0)))</f>
        <v/>
      </c>
      <c r="P217" s="266" t="str">
        <f>IF($D217="","",SUM($G217)*SUM(INDEX(InputOutput!$AN$71:$AN$100,MATCH($D217,InputOutput!$D$71:$D$100,0))))</f>
        <v/>
      </c>
      <c r="Q217" s="673" t="str">
        <f>IF(D217="","",IF(AG217,INDEX(A_InstData!$F$102:$F$121,MATCH(D217,CNTR_List_ExistPurchPrecNames,0)),""))</f>
        <v/>
      </c>
      <c r="R217" s="678" t="str">
        <f>IF($D217="","",SUM($G217)*SUM(INDEX(F_Tools!$T$101:$T$130,MATCH($D217,F_Tools!$E$101:$E$130,0))))</f>
        <v/>
      </c>
      <c r="S217" s="669" t="str">
        <f>IF($D217="","",SUM($G217)*SUM(INDEX(F_Tools!$U$101:$U$130,MATCH($D217,F_Tools!$E$101:$E$130,0))))</f>
        <v/>
      </c>
      <c r="T217" s="428"/>
      <c r="Z217" s="123"/>
      <c r="AB217" s="268" t="str">
        <f>CONST_PrecursorToGoodInput &amp; D217 &amp; "_" &amp; D198</f>
        <v>PrecToGood__</v>
      </c>
      <c r="AD217" s="269">
        <f>SUMIF(D_Processes!R:R,AB217,D_Processes!K:K)</f>
        <v>0</v>
      </c>
      <c r="AE217" s="268">
        <f>SUMIF(D_Processes!R:R,CONST_CNTR_TotProd &amp; D217,D_Processes!L:L)</f>
        <v>0</v>
      </c>
      <c r="AG217" s="102" t="b">
        <f t="shared" si="40"/>
        <v>0</v>
      </c>
    </row>
    <row r="218" spans="1:33" ht="12.75" customHeight="1" outlineLevel="1" x14ac:dyDescent="0.35">
      <c r="A218" s="92"/>
      <c r="B218" s="94"/>
      <c r="C218" s="978">
        <v>17</v>
      </c>
      <c r="D218" s="1417" t="str">
        <f>IF(D198="","",IF(COUNTIF(INDEX(CNTR_IOSupplyChain,MATCH(D198,CNTR_IOProcAndPrec,0),),C218)=0,"",INDEX(CNTR_IOProcAndPrec,MATCH(C218,INDEX(CNTR_IOSupplyChain,MATCH(D198,CNTR_IOProcAndPrec,0),),0))))</f>
        <v/>
      </c>
      <c r="E218" s="1418"/>
      <c r="F218" s="265" t="str">
        <f t="shared" si="39"/>
        <v/>
      </c>
      <c r="G218" s="266" t="str">
        <f>IF(D218="","",INDEX(CNTR_Matrix_Inv,MATCH(D198,CNTR_IOProcAndPrec,0),MATCH(D218,CNTR_IOProcAndPrec,0)))</f>
        <v/>
      </c>
      <c r="H218" s="286" t="str">
        <f>IF(D218="","",IF(AG218,INDEX(E_PurchPrec!U:U,MATCH(CONST_PurchPrecDefaultUsed&amp;D218,E_PurchPrec!R:R,0)),CONST_NA))</f>
        <v/>
      </c>
      <c r="I218" s="266" t="str">
        <f>IF($D218="","",SUM($G218)*SUM(INDEX(InputOutput!$AJ$71:$AJ$100,MATCH($D218,InputOutput!$D$71:$D$100,0))))</f>
        <v/>
      </c>
      <c r="J218" s="266" t="str">
        <f>IF($D218="","",SUM($G218)*SUM(INDEX(InputOutput!$AL$71:$AL$100,MATCH($D218,InputOutput!$D$71:$D$100,0))))</f>
        <v/>
      </c>
      <c r="K218" s="266" t="str">
        <f t="shared" si="37"/>
        <v/>
      </c>
      <c r="L218" s="267" t="str">
        <f>IF(D218="","",SUM(I218)*SUM(AD201))</f>
        <v/>
      </c>
      <c r="M218" s="267" t="str">
        <f>IF(D218="","",SUM(J218)*SUM(AD201))</f>
        <v/>
      </c>
      <c r="N218" s="267" t="str">
        <f t="shared" si="38"/>
        <v/>
      </c>
      <c r="O218" s="267" t="str">
        <f>IF(AG218,INDEX(E_PurchPrec!U:U,MATCH(CONST_CNTR_ElecEFMethod&amp;D218,E_PurchPrec!R:R,0)),INDEX(D_Processes!T:T,MATCH(CONST_CNTR_ElecEFMethod&amp;D218,D_Processes!R:R,0)))</f>
        <v/>
      </c>
      <c r="P218" s="266" t="str">
        <f>IF($D218="","",SUM($G218)*SUM(INDEX(InputOutput!$AN$71:$AN$100,MATCH($D218,InputOutput!$D$71:$D$100,0))))</f>
        <v/>
      </c>
      <c r="Q218" s="673" t="str">
        <f>IF(D218="","",IF(AG218,INDEX(A_InstData!$F$102:$F$121,MATCH(D218,CNTR_List_ExistPurchPrecNames,0)),""))</f>
        <v/>
      </c>
      <c r="R218" s="678" t="str">
        <f>IF($D218="","",SUM($G218)*SUM(INDEX(F_Tools!$T$101:$T$130,MATCH($D218,F_Tools!$E$101:$E$130,0))))</f>
        <v/>
      </c>
      <c r="S218" s="669" t="str">
        <f>IF($D218="","",SUM($G218)*SUM(INDEX(F_Tools!$U$101:$U$130,MATCH($D218,F_Tools!$E$101:$E$130,0))))</f>
        <v/>
      </c>
      <c r="T218" s="428"/>
      <c r="Z218" s="123"/>
      <c r="AB218" s="268" t="str">
        <f>CONST_PrecursorToGoodInput &amp; D218 &amp; "_" &amp; D198</f>
        <v>PrecToGood__</v>
      </c>
      <c r="AD218" s="269">
        <f>SUMIF(D_Processes!R:R,AB218,D_Processes!K:K)</f>
        <v>0</v>
      </c>
      <c r="AE218" s="268">
        <f>SUMIF(D_Processes!R:R,CONST_CNTR_TotProd &amp; D218,D_Processes!L:L)</f>
        <v>0</v>
      </c>
      <c r="AG218" s="102" t="b">
        <f t="shared" si="40"/>
        <v>0</v>
      </c>
    </row>
    <row r="219" spans="1:33" ht="12.75" customHeight="1" outlineLevel="1" x14ac:dyDescent="0.35">
      <c r="A219" s="92"/>
      <c r="B219" s="94"/>
      <c r="C219" s="978">
        <v>18</v>
      </c>
      <c r="D219" s="1417" t="str">
        <f>IF(D198="","",IF(COUNTIF(INDEX(CNTR_IOSupplyChain,MATCH(D198,CNTR_IOProcAndPrec,0),),C219)=0,"",INDEX(CNTR_IOProcAndPrec,MATCH(C219,INDEX(CNTR_IOSupplyChain,MATCH(D198,CNTR_IOProcAndPrec,0),),0))))</f>
        <v/>
      </c>
      <c r="E219" s="1418"/>
      <c r="F219" s="265" t="str">
        <f t="shared" si="39"/>
        <v/>
      </c>
      <c r="G219" s="266" t="str">
        <f>IF(D219="","",INDEX(CNTR_Matrix_Inv,MATCH(D198,CNTR_IOProcAndPrec,0),MATCH(D219,CNTR_IOProcAndPrec,0)))</f>
        <v/>
      </c>
      <c r="H219" s="286" t="str">
        <f>IF(D219="","",IF(AG219,INDEX(E_PurchPrec!U:U,MATCH(CONST_PurchPrecDefaultUsed&amp;D219,E_PurchPrec!R:R,0)),CONST_NA))</f>
        <v/>
      </c>
      <c r="I219" s="266" t="str">
        <f>IF($D219="","",SUM($G219)*SUM(INDEX(InputOutput!$AJ$71:$AJ$100,MATCH($D219,InputOutput!$D$71:$D$100,0))))</f>
        <v/>
      </c>
      <c r="J219" s="266" t="str">
        <f>IF($D219="","",SUM($G219)*SUM(INDEX(InputOutput!$AL$71:$AL$100,MATCH($D219,InputOutput!$D$71:$D$100,0))))</f>
        <v/>
      </c>
      <c r="K219" s="266" t="str">
        <f t="shared" si="37"/>
        <v/>
      </c>
      <c r="L219" s="267" t="str">
        <f>IF(D219="","",SUM(I219)*SUM(AD201))</f>
        <v/>
      </c>
      <c r="M219" s="267" t="str">
        <f>IF(D219="","",SUM(J219)*SUM(AD201))</f>
        <v/>
      </c>
      <c r="N219" s="267" t="str">
        <f t="shared" si="38"/>
        <v/>
      </c>
      <c r="O219" s="267" t="str">
        <f>IF(AG219,INDEX(E_PurchPrec!U:U,MATCH(CONST_CNTR_ElecEFMethod&amp;D219,E_PurchPrec!R:R,0)),INDEX(D_Processes!T:T,MATCH(CONST_CNTR_ElecEFMethod&amp;D219,D_Processes!R:R,0)))</f>
        <v/>
      </c>
      <c r="P219" s="266" t="str">
        <f>IF($D219="","",SUM($G219)*SUM(INDEX(InputOutput!$AN$71:$AN$100,MATCH($D219,InputOutput!$D$71:$D$100,0))))</f>
        <v/>
      </c>
      <c r="Q219" s="673" t="str">
        <f>IF(D219="","",IF(AG219,INDEX(A_InstData!$F$102:$F$121,MATCH(D219,CNTR_List_ExistPurchPrecNames,0)),""))</f>
        <v/>
      </c>
      <c r="R219" s="678" t="str">
        <f>IF($D219="","",SUM($G219)*SUM(INDEX(F_Tools!$T$101:$T$130,MATCH($D219,F_Tools!$E$101:$E$130,0))))</f>
        <v/>
      </c>
      <c r="S219" s="669" t="str">
        <f>IF($D219="","",SUM($G219)*SUM(INDEX(F_Tools!$U$101:$U$130,MATCH($D219,F_Tools!$E$101:$E$130,0))))</f>
        <v/>
      </c>
      <c r="T219" s="428"/>
      <c r="Z219" s="123"/>
      <c r="AB219" s="268" t="str">
        <f>CONST_PrecursorToGoodInput &amp; D219 &amp; "_" &amp; D198</f>
        <v>PrecToGood__</v>
      </c>
      <c r="AD219" s="269">
        <f>SUMIF(D_Processes!R:R,AB219,D_Processes!K:K)</f>
        <v>0</v>
      </c>
      <c r="AE219" s="268">
        <f>SUMIF(D_Processes!R:R,CONST_CNTR_TotProd &amp; D219,D_Processes!L:L)</f>
        <v>0</v>
      </c>
      <c r="AG219" s="102" t="b">
        <f t="shared" si="40"/>
        <v>0</v>
      </c>
    </row>
    <row r="220" spans="1:33" ht="12.75" customHeight="1" outlineLevel="1" x14ac:dyDescent="0.35">
      <c r="A220" s="92"/>
      <c r="B220" s="94"/>
      <c r="C220" s="978">
        <v>19</v>
      </c>
      <c r="D220" s="1417" t="str">
        <f>IF(D198="","",IF(COUNTIF(INDEX(CNTR_IOSupplyChain,MATCH(D198,CNTR_IOProcAndPrec,0),),C220)=0,"",INDEX(CNTR_IOProcAndPrec,MATCH(C220,INDEX(CNTR_IOSupplyChain,MATCH(D198,CNTR_IOProcAndPrec,0),),0))))</f>
        <v/>
      </c>
      <c r="E220" s="1418"/>
      <c r="F220" s="265" t="str">
        <f t="shared" si="39"/>
        <v/>
      </c>
      <c r="G220" s="266" t="str">
        <f>IF(D220="","",INDEX(CNTR_Matrix_Inv,MATCH(D198,CNTR_IOProcAndPrec,0),MATCH(D220,CNTR_IOProcAndPrec,0)))</f>
        <v/>
      </c>
      <c r="H220" s="286" t="str">
        <f>IF(D220="","",IF(AG220,INDEX(E_PurchPrec!U:U,MATCH(CONST_PurchPrecDefaultUsed&amp;D220,E_PurchPrec!R:R,0)),CONST_NA))</f>
        <v/>
      </c>
      <c r="I220" s="266" t="str">
        <f>IF($D220="","",SUM($G220)*SUM(INDEX(InputOutput!$AJ$71:$AJ$100,MATCH($D220,InputOutput!$D$71:$D$100,0))))</f>
        <v/>
      </c>
      <c r="J220" s="266" t="str">
        <f>IF($D220="","",SUM($G220)*SUM(INDEX(InputOutput!$AL$71:$AL$100,MATCH($D220,InputOutput!$D$71:$D$100,0))))</f>
        <v/>
      </c>
      <c r="K220" s="266" t="str">
        <f t="shared" si="37"/>
        <v/>
      </c>
      <c r="L220" s="267" t="str">
        <f>IF(D220="","",SUM(I220)*SUM(AD201))</f>
        <v/>
      </c>
      <c r="M220" s="267" t="str">
        <f>IF(D220="","",SUM(J220)*SUM(AD201))</f>
        <v/>
      </c>
      <c r="N220" s="267" t="str">
        <f t="shared" si="38"/>
        <v/>
      </c>
      <c r="O220" s="267" t="str">
        <f>IF(AG220,INDEX(E_PurchPrec!U:U,MATCH(CONST_CNTR_ElecEFMethod&amp;D220,E_PurchPrec!R:R,0)),INDEX(D_Processes!T:T,MATCH(CONST_CNTR_ElecEFMethod&amp;D220,D_Processes!R:R,0)))</f>
        <v/>
      </c>
      <c r="P220" s="266" t="str">
        <f>IF($D220="","",SUM($G220)*SUM(INDEX(InputOutput!$AN$71:$AN$100,MATCH($D220,InputOutput!$D$71:$D$100,0))))</f>
        <v/>
      </c>
      <c r="Q220" s="673" t="str">
        <f>IF(D220="","",IF(AG220,INDEX(A_InstData!$F$102:$F$121,MATCH(D220,CNTR_List_ExistPurchPrecNames,0)),""))</f>
        <v/>
      </c>
      <c r="R220" s="678" t="str">
        <f>IF($D220="","",SUM($G220)*SUM(INDEX(F_Tools!$T$101:$T$130,MATCH($D220,F_Tools!$E$101:$E$130,0))))</f>
        <v/>
      </c>
      <c r="S220" s="669" t="str">
        <f>IF($D220="","",SUM($G220)*SUM(INDEX(F_Tools!$U$101:$U$130,MATCH($D220,F_Tools!$E$101:$E$130,0))))</f>
        <v/>
      </c>
      <c r="T220" s="428"/>
      <c r="Z220" s="123"/>
      <c r="AB220" s="268" t="str">
        <f>CONST_PrecursorToGoodInput &amp; D220 &amp; "_" &amp; D198</f>
        <v>PrecToGood__</v>
      </c>
      <c r="AD220" s="269">
        <f>SUMIF(D_Processes!R:R,AB220,D_Processes!K:K)</f>
        <v>0</v>
      </c>
      <c r="AE220" s="268">
        <f>SUMIF(D_Processes!R:R,CONST_CNTR_TotProd &amp; D220,D_Processes!L:L)</f>
        <v>0</v>
      </c>
      <c r="AG220" s="102" t="b">
        <f t="shared" si="40"/>
        <v>0</v>
      </c>
    </row>
    <row r="221" spans="1:33" ht="12.75" customHeight="1" outlineLevel="1" x14ac:dyDescent="0.35">
      <c r="A221" s="92"/>
      <c r="B221" s="94"/>
      <c r="C221" s="978">
        <v>20</v>
      </c>
      <c r="D221" s="1417" t="str">
        <f>IF(D198="","",IF(COUNTIF(INDEX(CNTR_IOSupplyChain,MATCH(D198,CNTR_IOProcAndPrec,0),),C221)=0,"",INDEX(CNTR_IOProcAndPrec,MATCH(C221,INDEX(CNTR_IOSupplyChain,MATCH(D198,CNTR_IOProcAndPrec,0),),0))))</f>
        <v/>
      </c>
      <c r="E221" s="1418"/>
      <c r="F221" s="265" t="str">
        <f t="shared" si="39"/>
        <v/>
      </c>
      <c r="G221" s="266" t="str">
        <f>IF(D221="","",INDEX(CNTR_Matrix_Inv,MATCH(D198,CNTR_IOProcAndPrec,0),MATCH(D221,CNTR_IOProcAndPrec,0)))</f>
        <v/>
      </c>
      <c r="H221" s="286" t="str">
        <f>IF(D221="","",IF(AG221,INDEX(E_PurchPrec!U:U,MATCH(CONST_PurchPrecDefaultUsed&amp;D221,E_PurchPrec!R:R,0)),CONST_NA))</f>
        <v/>
      </c>
      <c r="I221" s="266" t="str">
        <f>IF($D221="","",SUM($G221)*SUM(INDEX(InputOutput!$AJ$71:$AJ$100,MATCH($D221,InputOutput!$D$71:$D$100,0))))</f>
        <v/>
      </c>
      <c r="J221" s="266" t="str">
        <f>IF($D221="","",SUM($G221)*SUM(INDEX(InputOutput!$AL$71:$AL$100,MATCH($D221,InputOutput!$D$71:$D$100,0))))</f>
        <v/>
      </c>
      <c r="K221" s="266" t="str">
        <f t="shared" si="37"/>
        <v/>
      </c>
      <c r="L221" s="267" t="str">
        <f>IF(D221="","",SUM(I221)*SUM(AD201))</f>
        <v/>
      </c>
      <c r="M221" s="267" t="str">
        <f>IF(D221="","",SUM(J221)*SUM(AD201))</f>
        <v/>
      </c>
      <c r="N221" s="267" t="str">
        <f t="shared" si="38"/>
        <v/>
      </c>
      <c r="O221" s="267" t="str">
        <f>IF(AG221,INDEX(E_PurchPrec!U:U,MATCH(CONST_CNTR_ElecEFMethod&amp;D221,E_PurchPrec!R:R,0)),INDEX(D_Processes!T:T,MATCH(CONST_CNTR_ElecEFMethod&amp;D221,D_Processes!R:R,0)))</f>
        <v/>
      </c>
      <c r="P221" s="266" t="str">
        <f>IF($D221="","",SUM($G221)*SUM(INDEX(InputOutput!$AN$71:$AN$100,MATCH($D221,InputOutput!$D$71:$D$100,0))))</f>
        <v/>
      </c>
      <c r="Q221" s="673" t="str">
        <f>IF(D221="","",IF(AG221,INDEX(A_InstData!$F$102:$F$121,MATCH(D221,CNTR_List_ExistPurchPrecNames,0)),""))</f>
        <v/>
      </c>
      <c r="R221" s="678" t="str">
        <f>IF($D221="","",SUM($G221)*SUM(INDEX(F_Tools!$T$101:$T$130,MATCH($D221,F_Tools!$E$101:$E$130,0))))</f>
        <v/>
      </c>
      <c r="S221" s="669" t="str">
        <f>IF($D221="","",SUM($G221)*SUM(INDEX(F_Tools!$U$101:$U$130,MATCH($D221,F_Tools!$E$101:$E$130,0))))</f>
        <v/>
      </c>
      <c r="T221" s="428"/>
      <c r="Z221" s="123"/>
      <c r="AB221" s="268" t="str">
        <f>CONST_PrecursorToGoodInput &amp; D221 &amp; "_" &amp; D198</f>
        <v>PrecToGood__</v>
      </c>
      <c r="AD221" s="269">
        <f>SUMIF(D_Processes!R:R,AB221,D_Processes!K:K)</f>
        <v>0</v>
      </c>
      <c r="AE221" s="268">
        <f>SUMIF(D_Processes!R:R,CONST_CNTR_TotProd &amp; D221,D_Processes!L:L)</f>
        <v>0</v>
      </c>
      <c r="AG221" s="102" t="b">
        <f t="shared" si="40"/>
        <v>0</v>
      </c>
    </row>
    <row r="222" spans="1:33" ht="12.75" customHeight="1" outlineLevel="1" x14ac:dyDescent="0.35">
      <c r="A222" s="92"/>
      <c r="B222" s="94"/>
      <c r="C222" s="978">
        <v>21</v>
      </c>
      <c r="D222" s="1417" t="str">
        <f>IF(D198="","",IF(COUNTIF(INDEX(CNTR_IOSupplyChain,MATCH(D198,CNTR_IOProcAndPrec,0),),C222)=0,"",INDEX(CNTR_IOProcAndPrec,MATCH(C222,INDEX(CNTR_IOSupplyChain,MATCH(D198,CNTR_IOProcAndPrec,0),),0))))</f>
        <v/>
      </c>
      <c r="E222" s="1418"/>
      <c r="F222" s="265" t="str">
        <f t="shared" si="39"/>
        <v/>
      </c>
      <c r="G222" s="266" t="str">
        <f>IF(D222="","",INDEX(CNTR_Matrix_Inv,MATCH(D198,CNTR_IOProcAndPrec,0),MATCH(D222,CNTR_IOProcAndPrec,0)))</f>
        <v/>
      </c>
      <c r="H222" s="286" t="str">
        <f>IF(D222="","",IF(AG222,INDEX(E_PurchPrec!U:U,MATCH(CONST_PurchPrecDefaultUsed&amp;D222,E_PurchPrec!R:R,0)),CONST_NA))</f>
        <v/>
      </c>
      <c r="I222" s="266" t="str">
        <f>IF($D222="","",SUM($G222)*SUM(INDEX(InputOutput!$AJ$71:$AJ$100,MATCH($D222,InputOutput!$D$71:$D$100,0))))</f>
        <v/>
      </c>
      <c r="J222" s="266" t="str">
        <f>IF($D222="","",SUM($G222)*SUM(INDEX(InputOutput!$AL$71:$AL$100,MATCH($D222,InputOutput!$D$71:$D$100,0))))</f>
        <v/>
      </c>
      <c r="K222" s="266" t="str">
        <f t="shared" si="37"/>
        <v/>
      </c>
      <c r="L222" s="267" t="str">
        <f>IF(D222="","",SUM(I222)*SUM(AD201))</f>
        <v/>
      </c>
      <c r="M222" s="267" t="str">
        <f>IF(D222="","",SUM(J222)*SUM(AD201))</f>
        <v/>
      </c>
      <c r="N222" s="267" t="str">
        <f t="shared" si="38"/>
        <v/>
      </c>
      <c r="O222" s="267" t="str">
        <f>IF(AG222,INDEX(E_PurchPrec!U:U,MATCH(CONST_CNTR_ElecEFMethod&amp;D222,E_PurchPrec!R:R,0)),INDEX(D_Processes!T:T,MATCH(CONST_CNTR_ElecEFMethod&amp;D222,D_Processes!R:R,0)))</f>
        <v/>
      </c>
      <c r="P222" s="266" t="str">
        <f>IF($D222="","",SUM($G222)*SUM(INDEX(InputOutput!$AN$71:$AN$100,MATCH($D222,InputOutput!$D$71:$D$100,0))))</f>
        <v/>
      </c>
      <c r="Q222" s="673" t="str">
        <f>IF(D222="","",IF(AG222,INDEX(A_InstData!$F$102:$F$121,MATCH(D222,CNTR_List_ExistPurchPrecNames,0)),""))</f>
        <v/>
      </c>
      <c r="R222" s="678" t="str">
        <f>IF($D222="","",SUM($G222)*SUM(INDEX(F_Tools!$T$101:$T$130,MATCH($D222,F_Tools!$E$101:$E$130,0))))</f>
        <v/>
      </c>
      <c r="S222" s="669" t="str">
        <f>IF($D222="","",SUM($G222)*SUM(INDEX(F_Tools!$U$101:$U$130,MATCH($D222,F_Tools!$E$101:$E$130,0))))</f>
        <v/>
      </c>
      <c r="T222" s="428"/>
      <c r="Z222" s="123"/>
      <c r="AB222" s="268" t="str">
        <f>CONST_PrecursorToGoodInput &amp; D222 &amp; "_" &amp; D198</f>
        <v>PrecToGood__</v>
      </c>
      <c r="AD222" s="269">
        <f>SUMIF(D_Processes!R:R,AB222,D_Processes!K:K)</f>
        <v>0</v>
      </c>
      <c r="AE222" s="268">
        <f>SUMIF(D_Processes!R:R,CONST_CNTR_TotProd &amp; D222,D_Processes!L:L)</f>
        <v>0</v>
      </c>
      <c r="AG222" s="102" t="b">
        <f t="shared" si="40"/>
        <v>0</v>
      </c>
    </row>
    <row r="223" spans="1:33" ht="12.75" customHeight="1" outlineLevel="1" x14ac:dyDescent="0.35">
      <c r="A223" s="92"/>
      <c r="B223" s="94"/>
      <c r="C223" s="978">
        <v>22</v>
      </c>
      <c r="D223" s="1417" t="str">
        <f>IF(D198="","",IF(COUNTIF(INDEX(CNTR_IOSupplyChain,MATCH(D198,CNTR_IOProcAndPrec,0),),C223)=0,"",INDEX(CNTR_IOProcAndPrec,MATCH(C223,INDEX(CNTR_IOSupplyChain,MATCH(D198,CNTR_IOProcAndPrec,0),),0))))</f>
        <v/>
      </c>
      <c r="E223" s="1418"/>
      <c r="F223" s="265" t="str">
        <f t="shared" si="39"/>
        <v/>
      </c>
      <c r="G223" s="266" t="str">
        <f>IF(D223="","",INDEX(CNTR_Matrix_Inv,MATCH(D198,CNTR_IOProcAndPrec,0),MATCH(D223,CNTR_IOProcAndPrec,0)))</f>
        <v/>
      </c>
      <c r="H223" s="286" t="str">
        <f>IF(D223="","",IF(AG223,INDEX(E_PurchPrec!U:U,MATCH(CONST_PurchPrecDefaultUsed&amp;D223,E_PurchPrec!R:R,0)),CONST_NA))</f>
        <v/>
      </c>
      <c r="I223" s="266" t="str">
        <f>IF($D223="","",SUM($G223)*SUM(INDEX(InputOutput!$AJ$71:$AJ$100,MATCH($D223,InputOutput!$D$71:$D$100,0))))</f>
        <v/>
      </c>
      <c r="J223" s="266" t="str">
        <f>IF($D223="","",SUM($G223)*SUM(INDEX(InputOutput!$AL$71:$AL$100,MATCH($D223,InputOutput!$D$71:$D$100,0))))</f>
        <v/>
      </c>
      <c r="K223" s="266" t="str">
        <f t="shared" si="37"/>
        <v/>
      </c>
      <c r="L223" s="267" t="str">
        <f>IF(D223="","",SUM(I223)*SUM(AD201))</f>
        <v/>
      </c>
      <c r="M223" s="267" t="str">
        <f>IF(D223="","",SUM(J223)*SUM(AD201))</f>
        <v/>
      </c>
      <c r="N223" s="267" t="str">
        <f t="shared" si="38"/>
        <v/>
      </c>
      <c r="O223" s="267" t="str">
        <f>IF(AG223,INDEX(E_PurchPrec!U:U,MATCH(CONST_CNTR_ElecEFMethod&amp;D223,E_PurchPrec!R:R,0)),INDEX(D_Processes!T:T,MATCH(CONST_CNTR_ElecEFMethod&amp;D223,D_Processes!R:R,0)))</f>
        <v/>
      </c>
      <c r="P223" s="266" t="str">
        <f>IF($D223="","",SUM($G223)*SUM(INDEX(InputOutput!$AN$71:$AN$100,MATCH($D223,InputOutput!$D$71:$D$100,0))))</f>
        <v/>
      </c>
      <c r="Q223" s="673" t="str">
        <f>IF(D223="","",IF(AG223,INDEX(A_InstData!$F$102:$F$121,MATCH(D223,CNTR_List_ExistPurchPrecNames,0)),""))</f>
        <v/>
      </c>
      <c r="R223" s="678" t="str">
        <f>IF($D223="","",SUM($G223)*SUM(INDEX(F_Tools!$T$101:$T$130,MATCH($D223,F_Tools!$E$101:$E$130,0))))</f>
        <v/>
      </c>
      <c r="S223" s="669" t="str">
        <f>IF($D223="","",SUM($G223)*SUM(INDEX(F_Tools!$U$101:$U$130,MATCH($D223,F_Tools!$E$101:$E$130,0))))</f>
        <v/>
      </c>
      <c r="T223" s="428"/>
      <c r="Z223" s="123"/>
      <c r="AB223" s="268" t="str">
        <f>CONST_PrecursorToGoodInput &amp; D223 &amp; "_" &amp; D198</f>
        <v>PrecToGood__</v>
      </c>
      <c r="AD223" s="269">
        <f>SUMIF(D_Processes!R:R,AB223,D_Processes!K:K)</f>
        <v>0</v>
      </c>
      <c r="AE223" s="268">
        <f>SUMIF(D_Processes!R:R,CONST_CNTR_TotProd &amp; D223,D_Processes!L:L)</f>
        <v>0</v>
      </c>
      <c r="AG223" s="102" t="b">
        <f t="shared" si="40"/>
        <v>0</v>
      </c>
    </row>
    <row r="224" spans="1:33" ht="12.75" customHeight="1" outlineLevel="1" x14ac:dyDescent="0.35">
      <c r="A224" s="92"/>
      <c r="B224" s="94"/>
      <c r="C224" s="978">
        <v>23</v>
      </c>
      <c r="D224" s="1417" t="str">
        <f>IF(D198="","",IF(COUNTIF(INDEX(CNTR_IOSupplyChain,MATCH(D198,CNTR_IOProcAndPrec,0),),C224)=0,"",INDEX(CNTR_IOProcAndPrec,MATCH(C224,INDEX(CNTR_IOSupplyChain,MATCH(D198,CNTR_IOProcAndPrec,0),),0))))</f>
        <v/>
      </c>
      <c r="E224" s="1418"/>
      <c r="F224" s="265" t="str">
        <f t="shared" si="39"/>
        <v/>
      </c>
      <c r="G224" s="266" t="str">
        <f>IF(D224="","",INDEX(CNTR_Matrix_Inv,MATCH(D198,CNTR_IOProcAndPrec,0),MATCH(D224,CNTR_IOProcAndPrec,0)))</f>
        <v/>
      </c>
      <c r="H224" s="286" t="str">
        <f>IF(D224="","",IF(AG224,INDEX(E_PurchPrec!U:U,MATCH(CONST_PurchPrecDefaultUsed&amp;D224,E_PurchPrec!R:R,0)),CONST_NA))</f>
        <v/>
      </c>
      <c r="I224" s="266" t="str">
        <f>IF($D224="","",SUM($G224)*SUM(INDEX(InputOutput!$AJ$71:$AJ$100,MATCH($D224,InputOutput!$D$71:$D$100,0))))</f>
        <v/>
      </c>
      <c r="J224" s="266" t="str">
        <f>IF($D224="","",SUM($G224)*SUM(INDEX(InputOutput!$AL$71:$AL$100,MATCH($D224,InputOutput!$D$71:$D$100,0))))</f>
        <v/>
      </c>
      <c r="K224" s="266" t="str">
        <f t="shared" si="37"/>
        <v/>
      </c>
      <c r="L224" s="267" t="str">
        <f>IF(D224="","",SUM(I224)*SUM(AD201))</f>
        <v/>
      </c>
      <c r="M224" s="267" t="str">
        <f>IF(D224="","",SUM(J224)*SUM(AD201))</f>
        <v/>
      </c>
      <c r="N224" s="267" t="str">
        <f t="shared" si="38"/>
        <v/>
      </c>
      <c r="O224" s="267" t="str">
        <f>IF(AG224,INDEX(E_PurchPrec!U:U,MATCH(CONST_CNTR_ElecEFMethod&amp;D224,E_PurchPrec!R:R,0)),INDEX(D_Processes!T:T,MATCH(CONST_CNTR_ElecEFMethod&amp;D224,D_Processes!R:R,0)))</f>
        <v/>
      </c>
      <c r="P224" s="266" t="str">
        <f>IF($D224="","",SUM($G224)*SUM(INDEX(InputOutput!$AN$71:$AN$100,MATCH($D224,InputOutput!$D$71:$D$100,0))))</f>
        <v/>
      </c>
      <c r="Q224" s="673" t="str">
        <f>IF(D224="","",IF(AG224,INDEX(A_InstData!$F$102:$F$121,MATCH(D224,CNTR_List_ExistPurchPrecNames,0)),""))</f>
        <v/>
      </c>
      <c r="R224" s="678" t="str">
        <f>IF($D224="","",SUM($G224)*SUM(INDEX(F_Tools!$T$101:$T$130,MATCH($D224,F_Tools!$E$101:$E$130,0))))</f>
        <v/>
      </c>
      <c r="S224" s="669" t="str">
        <f>IF($D224="","",SUM($G224)*SUM(INDEX(F_Tools!$U$101:$U$130,MATCH($D224,F_Tools!$E$101:$E$130,0))))</f>
        <v/>
      </c>
      <c r="T224" s="428"/>
      <c r="Z224" s="123"/>
      <c r="AB224" s="268" t="str">
        <f>CONST_PrecursorToGoodInput &amp; D224 &amp; "_" &amp; D198</f>
        <v>PrecToGood__</v>
      </c>
      <c r="AD224" s="269">
        <f>SUMIF(D_Processes!R:R,AB224,D_Processes!K:K)</f>
        <v>0</v>
      </c>
      <c r="AE224" s="268">
        <f>SUMIF(D_Processes!R:R,CONST_CNTR_TotProd &amp; D224,D_Processes!L:L)</f>
        <v>0</v>
      </c>
      <c r="AG224" s="102" t="b">
        <f t="shared" si="40"/>
        <v>0</v>
      </c>
    </row>
    <row r="225" spans="1:41" ht="12.75" customHeight="1" outlineLevel="1" x14ac:dyDescent="0.35">
      <c r="A225" s="92"/>
      <c r="B225" s="94"/>
      <c r="C225" s="978">
        <v>24</v>
      </c>
      <c r="D225" s="1417" t="str">
        <f>IF(D198="","",IF(COUNTIF(INDEX(CNTR_IOSupplyChain,MATCH(D198,CNTR_IOProcAndPrec,0),),C225)=0,"",INDEX(CNTR_IOProcAndPrec,MATCH(C225,INDEX(CNTR_IOSupplyChain,MATCH(D198,CNTR_IOProcAndPrec,0),),0))))</f>
        <v/>
      </c>
      <c r="E225" s="1418"/>
      <c r="F225" s="265" t="str">
        <f t="shared" si="39"/>
        <v/>
      </c>
      <c r="G225" s="266" t="str">
        <f>IF(D225="","",INDEX(CNTR_Matrix_Inv,MATCH(D198,CNTR_IOProcAndPrec,0),MATCH(D225,CNTR_IOProcAndPrec,0)))</f>
        <v/>
      </c>
      <c r="H225" s="286" t="str">
        <f>IF(D225="","",IF(AG225,INDEX(E_PurchPrec!U:U,MATCH(CONST_PurchPrecDefaultUsed&amp;D225,E_PurchPrec!R:R,0)),CONST_NA))</f>
        <v/>
      </c>
      <c r="I225" s="266" t="str">
        <f>IF($D225="","",SUM($G225)*SUM(INDEX(InputOutput!$AJ$71:$AJ$100,MATCH($D225,InputOutput!$D$71:$D$100,0))))</f>
        <v/>
      </c>
      <c r="J225" s="266" t="str">
        <f>IF($D225="","",SUM($G225)*SUM(INDEX(InputOutput!$AL$71:$AL$100,MATCH($D225,InputOutput!$D$71:$D$100,0))))</f>
        <v/>
      </c>
      <c r="K225" s="266" t="str">
        <f t="shared" si="37"/>
        <v/>
      </c>
      <c r="L225" s="267" t="str">
        <f>IF(D225="","",SUM(I225)*SUM(AD201))</f>
        <v/>
      </c>
      <c r="M225" s="267" t="str">
        <f>IF(D225="","",SUM(J225)*SUM(AD201))</f>
        <v/>
      </c>
      <c r="N225" s="267" t="str">
        <f t="shared" si="38"/>
        <v/>
      </c>
      <c r="O225" s="267" t="str">
        <f>IF(AG225,INDEX(E_PurchPrec!U:U,MATCH(CONST_CNTR_ElecEFMethod&amp;D225,E_PurchPrec!R:R,0)),INDEX(D_Processes!T:T,MATCH(CONST_CNTR_ElecEFMethod&amp;D225,D_Processes!R:R,0)))</f>
        <v/>
      </c>
      <c r="P225" s="266" t="str">
        <f>IF($D225="","",SUM($G225)*SUM(INDEX(InputOutput!$AN$71:$AN$100,MATCH($D225,InputOutput!$D$71:$D$100,0))))</f>
        <v/>
      </c>
      <c r="Q225" s="673" t="str">
        <f>IF(D225="","",IF(AG225,INDEX(A_InstData!$F$102:$F$121,MATCH(D225,CNTR_List_ExistPurchPrecNames,0)),""))</f>
        <v/>
      </c>
      <c r="R225" s="678" t="str">
        <f>IF($D225="","",SUM($G225)*SUM(INDEX(F_Tools!$T$101:$T$130,MATCH($D225,F_Tools!$E$101:$E$130,0))))</f>
        <v/>
      </c>
      <c r="S225" s="669" t="str">
        <f>IF($D225="","",SUM($G225)*SUM(INDEX(F_Tools!$U$101:$U$130,MATCH($D225,F_Tools!$E$101:$E$130,0))))</f>
        <v/>
      </c>
      <c r="T225" s="428"/>
      <c r="Z225" s="123"/>
      <c r="AB225" s="268" t="str">
        <f>CONST_PrecursorToGoodInput &amp; D225 &amp; "_" &amp; D198</f>
        <v>PrecToGood__</v>
      </c>
      <c r="AD225" s="269">
        <f>SUMIF(D_Processes!R:R,AB225,D_Processes!K:K)</f>
        <v>0</v>
      </c>
      <c r="AE225" s="268">
        <f>SUMIF(D_Processes!R:R,CONST_CNTR_TotProd &amp; D225,D_Processes!L:L)</f>
        <v>0</v>
      </c>
      <c r="AG225" s="102" t="b">
        <f t="shared" si="40"/>
        <v>0</v>
      </c>
    </row>
    <row r="226" spans="1:41" ht="12.75" customHeight="1" outlineLevel="1" x14ac:dyDescent="0.35">
      <c r="A226" s="92"/>
      <c r="B226" s="94"/>
      <c r="C226" s="978">
        <v>25</v>
      </c>
      <c r="D226" s="1417" t="str">
        <f>IF(D198="","",IF(COUNTIF(INDEX(CNTR_IOSupplyChain,MATCH(D198,CNTR_IOProcAndPrec,0),),C226)=0,"",INDEX(CNTR_IOProcAndPrec,MATCH(C226,INDEX(CNTR_IOSupplyChain,MATCH(D198,CNTR_IOProcAndPrec,0),),0))))</f>
        <v/>
      </c>
      <c r="E226" s="1418"/>
      <c r="F226" s="265" t="str">
        <f t="shared" si="39"/>
        <v/>
      </c>
      <c r="G226" s="266" t="str">
        <f>IF(D226="","",INDEX(CNTR_Matrix_Inv,MATCH(D198,CNTR_IOProcAndPrec,0),MATCH(D226,CNTR_IOProcAndPrec,0)))</f>
        <v/>
      </c>
      <c r="H226" s="286" t="str">
        <f>IF(D226="","",IF(AG226,INDEX(E_PurchPrec!U:U,MATCH(CONST_PurchPrecDefaultUsed&amp;D226,E_PurchPrec!R:R,0)),CONST_NA))</f>
        <v/>
      </c>
      <c r="I226" s="266" t="str">
        <f>IF($D226="","",SUM($G226)*SUM(INDEX(InputOutput!$AJ$71:$AJ$100,MATCH($D226,InputOutput!$D$71:$D$100,0))))</f>
        <v/>
      </c>
      <c r="J226" s="266" t="str">
        <f>IF($D226="","",SUM($G226)*SUM(INDEX(InputOutput!$AL$71:$AL$100,MATCH($D226,InputOutput!$D$71:$D$100,0))))</f>
        <v/>
      </c>
      <c r="K226" s="266" t="str">
        <f t="shared" si="37"/>
        <v/>
      </c>
      <c r="L226" s="267" t="str">
        <f>IF(D226="","",SUM(I226)*SUM(AD201))</f>
        <v/>
      </c>
      <c r="M226" s="267" t="str">
        <f>IF(D226="","",SUM(J226)*SUM(AD201))</f>
        <v/>
      </c>
      <c r="N226" s="267" t="str">
        <f t="shared" si="38"/>
        <v/>
      </c>
      <c r="O226" s="267" t="str">
        <f>IF(AG226,INDEX(E_PurchPrec!U:U,MATCH(CONST_CNTR_ElecEFMethod&amp;D226,E_PurchPrec!R:R,0)),INDEX(D_Processes!T:T,MATCH(CONST_CNTR_ElecEFMethod&amp;D226,D_Processes!R:R,0)))</f>
        <v/>
      </c>
      <c r="P226" s="266" t="str">
        <f>IF($D226="","",SUM($G226)*SUM(INDEX(InputOutput!$AN$71:$AN$100,MATCH($D226,InputOutput!$D$71:$D$100,0))))</f>
        <v/>
      </c>
      <c r="Q226" s="673" t="str">
        <f>IF(D226="","",IF(AG226,INDEX(A_InstData!$F$102:$F$121,MATCH(D226,CNTR_List_ExistPurchPrecNames,0)),""))</f>
        <v/>
      </c>
      <c r="R226" s="678" t="str">
        <f>IF($D226="","",SUM($G226)*SUM(INDEX(F_Tools!$T$101:$T$130,MATCH($D226,F_Tools!$E$101:$E$130,0))))</f>
        <v/>
      </c>
      <c r="S226" s="669" t="str">
        <f>IF($D226="","",SUM($G226)*SUM(INDEX(F_Tools!$U$101:$U$130,MATCH($D226,F_Tools!$E$101:$E$130,0))))</f>
        <v/>
      </c>
      <c r="T226" s="428"/>
      <c r="Z226" s="123"/>
      <c r="AB226" s="268" t="str">
        <f>CONST_PrecursorToGoodInput &amp; D226 &amp; "_" &amp; D198</f>
        <v>PrecToGood__</v>
      </c>
      <c r="AD226" s="269">
        <f>SUMIF(D_Processes!R:R,AB226,D_Processes!K:K)</f>
        <v>0</v>
      </c>
      <c r="AE226" s="268">
        <f>SUMIF(D_Processes!R:R,CONST_CNTR_TotProd &amp; D226,D_Processes!L:L)</f>
        <v>0</v>
      </c>
      <c r="AG226" s="102" t="b">
        <f t="shared" si="40"/>
        <v>0</v>
      </c>
    </row>
    <row r="227" spans="1:41" ht="12.75" customHeight="1" outlineLevel="1" x14ac:dyDescent="0.35">
      <c r="A227" s="92"/>
      <c r="B227" s="94"/>
      <c r="C227" s="978">
        <v>26</v>
      </c>
      <c r="D227" s="1417" t="str">
        <f>IF(D198="","",IF(COUNTIF(INDEX(CNTR_IOSupplyChain,MATCH(D198,CNTR_IOProcAndPrec,0),),C227)=0,"",INDEX(CNTR_IOProcAndPrec,MATCH(C227,INDEX(CNTR_IOSupplyChain,MATCH(D198,CNTR_IOProcAndPrec,0),),0))))</f>
        <v/>
      </c>
      <c r="E227" s="1418"/>
      <c r="F227" s="265" t="str">
        <f t="shared" si="39"/>
        <v/>
      </c>
      <c r="G227" s="266" t="str">
        <f>IF(D227="","",INDEX(CNTR_Matrix_Inv,MATCH(D198,CNTR_IOProcAndPrec,0),MATCH(D227,CNTR_IOProcAndPrec,0)))</f>
        <v/>
      </c>
      <c r="H227" s="286" t="str">
        <f>IF(D227="","",IF(AG227,INDEX(E_PurchPrec!U:U,MATCH(CONST_PurchPrecDefaultUsed&amp;D227,E_PurchPrec!R:R,0)),CONST_NA))</f>
        <v/>
      </c>
      <c r="I227" s="266" t="str">
        <f>IF($D227="","",SUM($G227)*SUM(INDEX(InputOutput!$AJ$71:$AJ$100,MATCH($D227,InputOutput!$D$71:$D$100,0))))</f>
        <v/>
      </c>
      <c r="J227" s="266" t="str">
        <f>IF($D227="","",SUM($G227)*SUM(INDEX(InputOutput!$AL$71:$AL$100,MATCH($D227,InputOutput!$D$71:$D$100,0))))</f>
        <v/>
      </c>
      <c r="K227" s="266" t="str">
        <f t="shared" si="37"/>
        <v/>
      </c>
      <c r="L227" s="267" t="str">
        <f>IF(D227="","",SUM(I227)*SUM(AD201))</f>
        <v/>
      </c>
      <c r="M227" s="267" t="str">
        <f>IF(D227="","",SUM(J227)*SUM(AD201))</f>
        <v/>
      </c>
      <c r="N227" s="267" t="str">
        <f t="shared" si="38"/>
        <v/>
      </c>
      <c r="O227" s="267" t="str">
        <f>IF(AG227,INDEX(E_PurchPrec!U:U,MATCH(CONST_CNTR_ElecEFMethod&amp;D227,E_PurchPrec!R:R,0)),INDEX(D_Processes!T:T,MATCH(CONST_CNTR_ElecEFMethod&amp;D227,D_Processes!R:R,0)))</f>
        <v/>
      </c>
      <c r="P227" s="266" t="str">
        <f>IF($D227="","",SUM($G227)*SUM(INDEX(InputOutput!$AN$71:$AN$100,MATCH($D227,InputOutput!$D$71:$D$100,0))))</f>
        <v/>
      </c>
      <c r="Q227" s="673" t="str">
        <f>IF(D227="","",IF(AG227,INDEX(A_InstData!$F$102:$F$121,MATCH(D227,CNTR_List_ExistPurchPrecNames,0)),""))</f>
        <v/>
      </c>
      <c r="R227" s="678" t="str">
        <f>IF($D227="","",SUM($G227)*SUM(INDEX(F_Tools!$T$101:$T$130,MATCH($D227,F_Tools!$E$101:$E$130,0))))</f>
        <v/>
      </c>
      <c r="S227" s="669" t="str">
        <f>IF($D227="","",SUM($G227)*SUM(INDEX(F_Tools!$U$101:$U$130,MATCH($D227,F_Tools!$E$101:$E$130,0))))</f>
        <v/>
      </c>
      <c r="T227" s="428"/>
      <c r="Z227" s="123"/>
      <c r="AB227" s="268" t="str">
        <f>CONST_PrecursorToGoodInput &amp; D227 &amp; "_" &amp; D198</f>
        <v>PrecToGood__</v>
      </c>
      <c r="AD227" s="269">
        <f>SUMIF(D_Processes!R:R,AB227,D_Processes!K:K)</f>
        <v>0</v>
      </c>
      <c r="AE227" s="268">
        <f>SUMIF(D_Processes!R:R,CONST_CNTR_TotProd &amp; D227,D_Processes!L:L)</f>
        <v>0</v>
      </c>
      <c r="AG227" s="102" t="b">
        <f t="shared" si="40"/>
        <v>0</v>
      </c>
    </row>
    <row r="228" spans="1:41" ht="12.75" customHeight="1" outlineLevel="1" x14ac:dyDescent="0.35">
      <c r="A228" s="92"/>
      <c r="B228" s="94"/>
      <c r="C228" s="978">
        <v>27</v>
      </c>
      <c r="D228" s="1417" t="str">
        <f>IF(D198="","",IF(COUNTIF(INDEX(CNTR_IOSupplyChain,MATCH(D198,CNTR_IOProcAndPrec,0),),C228)=0,"",INDEX(CNTR_IOProcAndPrec,MATCH(C228,INDEX(CNTR_IOSupplyChain,MATCH(D198,CNTR_IOProcAndPrec,0),),0))))</f>
        <v/>
      </c>
      <c r="E228" s="1418"/>
      <c r="F228" s="265" t="str">
        <f t="shared" si="39"/>
        <v/>
      </c>
      <c r="G228" s="266" t="str">
        <f>IF(D228="","",INDEX(CNTR_Matrix_Inv,MATCH(D198,CNTR_IOProcAndPrec,0),MATCH(D228,CNTR_IOProcAndPrec,0)))</f>
        <v/>
      </c>
      <c r="H228" s="286" t="str">
        <f>IF(D228="","",IF(AG228,INDEX(E_PurchPrec!U:U,MATCH(CONST_PurchPrecDefaultUsed&amp;D228,E_PurchPrec!R:R,0)),CONST_NA))</f>
        <v/>
      </c>
      <c r="I228" s="266" t="str">
        <f>IF($D228="","",SUM($G228)*SUM(INDEX(InputOutput!$AJ$71:$AJ$100,MATCH($D228,InputOutput!$D$71:$D$100,0))))</f>
        <v/>
      </c>
      <c r="J228" s="266" t="str">
        <f>IF($D228="","",SUM($G228)*SUM(INDEX(InputOutput!$AL$71:$AL$100,MATCH($D228,InputOutput!$D$71:$D$100,0))))</f>
        <v/>
      </c>
      <c r="K228" s="266" t="str">
        <f t="shared" si="37"/>
        <v/>
      </c>
      <c r="L228" s="267" t="str">
        <f>IF(D228="","",SUM(I228)*SUM(AD201))</f>
        <v/>
      </c>
      <c r="M228" s="267" t="str">
        <f>IF(D228="","",SUM(J228)*SUM(AD201))</f>
        <v/>
      </c>
      <c r="N228" s="267" t="str">
        <f t="shared" si="38"/>
        <v/>
      </c>
      <c r="O228" s="267" t="str">
        <f>IF(AG228,INDEX(E_PurchPrec!U:U,MATCH(CONST_CNTR_ElecEFMethod&amp;D228,E_PurchPrec!R:R,0)),INDEX(D_Processes!T:T,MATCH(CONST_CNTR_ElecEFMethod&amp;D228,D_Processes!R:R,0)))</f>
        <v/>
      </c>
      <c r="P228" s="266" t="str">
        <f>IF($D228="","",SUM($G228)*SUM(INDEX(InputOutput!$AN$71:$AN$100,MATCH($D228,InputOutput!$D$71:$D$100,0))))</f>
        <v/>
      </c>
      <c r="Q228" s="673" t="str">
        <f>IF(D228="","",IF(AG228,INDEX(A_InstData!$F$102:$F$121,MATCH(D228,CNTR_List_ExistPurchPrecNames,0)),""))</f>
        <v/>
      </c>
      <c r="R228" s="678" t="str">
        <f>IF($D228="","",SUM($G228)*SUM(INDEX(F_Tools!$T$101:$T$130,MATCH($D228,F_Tools!$E$101:$E$130,0))))</f>
        <v/>
      </c>
      <c r="S228" s="669" t="str">
        <f>IF($D228="","",SUM($G228)*SUM(INDEX(F_Tools!$U$101:$U$130,MATCH($D228,F_Tools!$E$101:$E$130,0))))</f>
        <v/>
      </c>
      <c r="T228" s="428"/>
      <c r="Z228" s="123"/>
      <c r="AB228" s="268" t="str">
        <f>CONST_PrecursorToGoodInput &amp; D228 &amp; "_" &amp; D198</f>
        <v>PrecToGood__</v>
      </c>
      <c r="AD228" s="269">
        <f>SUMIF(D_Processes!R:R,AB228,D_Processes!K:K)</f>
        <v>0</v>
      </c>
      <c r="AE228" s="268">
        <f>SUMIF(D_Processes!R:R,CONST_CNTR_TotProd &amp; D228,D_Processes!L:L)</f>
        <v>0</v>
      </c>
      <c r="AG228" s="102" t="b">
        <f t="shared" si="40"/>
        <v>0</v>
      </c>
    </row>
    <row r="229" spans="1:41" ht="12.75" customHeight="1" outlineLevel="1" x14ac:dyDescent="0.35">
      <c r="A229" s="92"/>
      <c r="B229" s="94"/>
      <c r="C229" s="978">
        <v>28</v>
      </c>
      <c r="D229" s="1417" t="str">
        <f>IF(D198="","",IF(COUNTIF(INDEX(CNTR_IOSupplyChain,MATCH(D198,CNTR_IOProcAndPrec,0),),C229)=0,"",INDEX(CNTR_IOProcAndPrec,MATCH(C229,INDEX(CNTR_IOSupplyChain,MATCH(D198,CNTR_IOProcAndPrec,0),),0))))</f>
        <v/>
      </c>
      <c r="E229" s="1418"/>
      <c r="F229" s="265" t="str">
        <f t="shared" si="39"/>
        <v/>
      </c>
      <c r="G229" s="266" t="str">
        <f>IF(D229="","",INDEX(CNTR_Matrix_Inv,MATCH(D198,CNTR_IOProcAndPrec,0),MATCH(D229,CNTR_IOProcAndPrec,0)))</f>
        <v/>
      </c>
      <c r="H229" s="286" t="str">
        <f>IF(D229="","",IF(AG229,INDEX(E_PurchPrec!U:U,MATCH(CONST_PurchPrecDefaultUsed&amp;D229,E_PurchPrec!R:R,0)),CONST_NA))</f>
        <v/>
      </c>
      <c r="I229" s="266" t="str">
        <f>IF($D229="","",SUM($G229)*SUM(INDEX(InputOutput!$AJ$71:$AJ$100,MATCH($D229,InputOutput!$D$71:$D$100,0))))</f>
        <v/>
      </c>
      <c r="J229" s="266" t="str">
        <f>IF($D229="","",SUM($G229)*SUM(INDEX(InputOutput!$AL$71:$AL$100,MATCH($D229,InputOutput!$D$71:$D$100,0))))</f>
        <v/>
      </c>
      <c r="K229" s="266" t="str">
        <f t="shared" si="37"/>
        <v/>
      </c>
      <c r="L229" s="267" t="str">
        <f>IF(D229="","",SUM(I229)*SUM(AD201))</f>
        <v/>
      </c>
      <c r="M229" s="267" t="str">
        <f>IF(D229="","",SUM(J229)*SUM(AD201))</f>
        <v/>
      </c>
      <c r="N229" s="267" t="str">
        <f t="shared" si="38"/>
        <v/>
      </c>
      <c r="O229" s="267" t="str">
        <f>IF(AG229,INDEX(E_PurchPrec!U:U,MATCH(CONST_CNTR_ElecEFMethod&amp;D229,E_PurchPrec!R:R,0)),INDEX(D_Processes!T:T,MATCH(CONST_CNTR_ElecEFMethod&amp;D229,D_Processes!R:R,0)))</f>
        <v/>
      </c>
      <c r="P229" s="266" t="str">
        <f>IF($D229="","",SUM($G229)*SUM(INDEX(InputOutput!$AN$71:$AN$100,MATCH($D229,InputOutput!$D$71:$D$100,0))))</f>
        <v/>
      </c>
      <c r="Q229" s="673" t="str">
        <f>IF(D229="","",IF(AG229,INDEX(A_InstData!$F$102:$F$121,MATCH(D229,CNTR_List_ExistPurchPrecNames,0)),""))</f>
        <v/>
      </c>
      <c r="R229" s="678" t="str">
        <f>IF($D229="","",SUM($G229)*SUM(INDEX(F_Tools!$T$101:$T$130,MATCH($D229,F_Tools!$E$101:$E$130,0))))</f>
        <v/>
      </c>
      <c r="S229" s="669" t="str">
        <f>IF($D229="","",SUM($G229)*SUM(INDEX(F_Tools!$U$101:$U$130,MATCH($D229,F_Tools!$E$101:$E$130,0))))</f>
        <v/>
      </c>
      <c r="T229" s="428"/>
      <c r="Z229" s="123"/>
      <c r="AB229" s="268" t="str">
        <f>CONST_PrecursorToGoodInput &amp; D229 &amp; "_" &amp; D198</f>
        <v>PrecToGood__</v>
      </c>
      <c r="AD229" s="269">
        <f>SUMIF(D_Processes!R:R,AB229,D_Processes!K:K)</f>
        <v>0</v>
      </c>
      <c r="AE229" s="268">
        <f>SUMIF(D_Processes!R:R,CONST_CNTR_TotProd &amp; D229,D_Processes!L:L)</f>
        <v>0</v>
      </c>
      <c r="AG229" s="102" t="b">
        <f t="shared" si="40"/>
        <v>0</v>
      </c>
    </row>
    <row r="230" spans="1:41" ht="12.75" customHeight="1" outlineLevel="1" x14ac:dyDescent="0.35">
      <c r="A230" s="92"/>
      <c r="B230" s="94"/>
      <c r="C230" s="978">
        <v>29</v>
      </c>
      <c r="D230" s="1417" t="str">
        <f>IF(D198="","",IF(COUNTIF(INDEX(CNTR_IOSupplyChain,MATCH(D198,CNTR_IOProcAndPrec,0),),C230)=0,"",INDEX(CNTR_IOProcAndPrec,MATCH(C230,INDEX(CNTR_IOSupplyChain,MATCH(D198,CNTR_IOProcAndPrec,0),),0))))</f>
        <v/>
      </c>
      <c r="E230" s="1418"/>
      <c r="F230" s="265" t="str">
        <f t="shared" si="39"/>
        <v/>
      </c>
      <c r="G230" s="266" t="str">
        <f>IF(D230="","",INDEX(CNTR_Matrix_Inv,MATCH(D198,CNTR_IOProcAndPrec,0),MATCH(D230,CNTR_IOProcAndPrec,0)))</f>
        <v/>
      </c>
      <c r="H230" s="286" t="str">
        <f>IF(D230="","",IF(AG230,INDEX(E_PurchPrec!U:U,MATCH(CONST_PurchPrecDefaultUsed&amp;D230,E_PurchPrec!R:R,0)),CONST_NA))</f>
        <v/>
      </c>
      <c r="I230" s="266" t="str">
        <f>IF($D230="","",SUM($G230)*SUM(INDEX(InputOutput!$AJ$71:$AJ$100,MATCH($D230,InputOutput!$D$71:$D$100,0))))</f>
        <v/>
      </c>
      <c r="J230" s="266" t="str">
        <f>IF($D230="","",SUM($G230)*SUM(INDEX(InputOutput!$AL$71:$AL$100,MATCH($D230,InputOutput!$D$71:$D$100,0))))</f>
        <v/>
      </c>
      <c r="K230" s="266" t="str">
        <f t="shared" si="37"/>
        <v/>
      </c>
      <c r="L230" s="267" t="str">
        <f>IF(D230="","",SUM(I230)*SUM(AD201))</f>
        <v/>
      </c>
      <c r="M230" s="267" t="str">
        <f>IF(D230="","",SUM(J230)*SUM(AD201))</f>
        <v/>
      </c>
      <c r="N230" s="267" t="str">
        <f t="shared" si="38"/>
        <v/>
      </c>
      <c r="O230" s="267" t="str">
        <f>IF(AG230,INDEX(E_PurchPrec!U:U,MATCH(CONST_CNTR_ElecEFMethod&amp;D230,E_PurchPrec!R:R,0)),INDEX(D_Processes!T:T,MATCH(CONST_CNTR_ElecEFMethod&amp;D230,D_Processes!R:R,0)))</f>
        <v/>
      </c>
      <c r="P230" s="266" t="str">
        <f>IF($D230="","",SUM($G230)*SUM(INDEX(InputOutput!$AN$71:$AN$100,MATCH($D230,InputOutput!$D$71:$D$100,0))))</f>
        <v/>
      </c>
      <c r="Q230" s="673" t="str">
        <f>IF(D230="","",IF(AG230,INDEX(A_InstData!$F$102:$F$121,MATCH(D230,CNTR_List_ExistPurchPrecNames,0)),""))</f>
        <v/>
      </c>
      <c r="R230" s="678" t="str">
        <f>IF($D230="","",SUM($G230)*SUM(INDEX(F_Tools!$T$101:$T$130,MATCH($D230,F_Tools!$E$101:$E$130,0))))</f>
        <v/>
      </c>
      <c r="S230" s="669" t="str">
        <f>IF($D230="","",SUM($G230)*SUM(INDEX(F_Tools!$U$101:$U$130,MATCH($D230,F_Tools!$E$101:$E$130,0))))</f>
        <v/>
      </c>
      <c r="T230" s="428"/>
      <c r="Z230" s="123"/>
      <c r="AB230" s="268" t="str">
        <f>CONST_PrecursorToGoodInput &amp; D230 &amp; "_" &amp; D198</f>
        <v>PrecToGood__</v>
      </c>
      <c r="AD230" s="269">
        <f>SUMIF(D_Processes!R:R,AB230,D_Processes!K:K)</f>
        <v>0</v>
      </c>
      <c r="AE230" s="268">
        <f>SUMIF(D_Processes!R:R,CONST_CNTR_TotProd &amp; D230,D_Processes!L:L)</f>
        <v>0</v>
      </c>
      <c r="AG230" s="102" t="b">
        <f t="shared" si="40"/>
        <v>0</v>
      </c>
    </row>
    <row r="231" spans="1:41" ht="12.75" customHeight="1" outlineLevel="1" thickBot="1" x14ac:dyDescent="0.4">
      <c r="A231" s="92"/>
      <c r="B231" s="94"/>
      <c r="C231" s="978">
        <v>30</v>
      </c>
      <c r="D231" s="1451" t="str">
        <f>IF(D198="","",IF(COUNTIF(INDEX(CNTR_IOSupplyChain,MATCH(D198,CNTR_IOProcAndPrec,0),),C231)=0,"",INDEX(CNTR_IOProcAndPrec,MATCH(C231,INDEX(CNTR_IOSupplyChain,MATCH(D198,CNTR_IOProcAndPrec,0),),0))))</f>
        <v/>
      </c>
      <c r="E231" s="1452"/>
      <c r="F231" s="270" t="str">
        <f t="shared" si="39"/>
        <v/>
      </c>
      <c r="G231" s="271" t="str">
        <f>IF(D231="","",INDEX(CNTR_Matrix_Inv,MATCH(D198,CNTR_IOProcAndPrec,0),MATCH(D231,CNTR_IOProcAndPrec,0)))</f>
        <v/>
      </c>
      <c r="H231" s="287" t="str">
        <f>IF(D231="","",IF(AG231,INDEX(E_PurchPrec!U:U,MATCH(CONST_PurchPrecDefaultUsed&amp;D231,E_PurchPrec!R:R,0)),CONST_NA))</f>
        <v/>
      </c>
      <c r="I231" s="271" t="str">
        <f>IF($D231="","",SUM($G231)*SUM(INDEX(InputOutput!$AJ$71:$AJ$100,MATCH($D231,InputOutput!$D$71:$D$100,0))))</f>
        <v/>
      </c>
      <c r="J231" s="271" t="str">
        <f>IF($D231="","",SUM($G231)*SUM(INDEX(InputOutput!$AL$71:$AL$100,MATCH($D231,InputOutput!$D$71:$D$100,0))))</f>
        <v/>
      </c>
      <c r="K231" s="271" t="str">
        <f>IF(COUNT(I231:J231)&gt;0,SUM(I231:J231),"")</f>
        <v/>
      </c>
      <c r="L231" s="272" t="str">
        <f>IF(D231="","",SUM(I231)*SUM(AD201))</f>
        <v/>
      </c>
      <c r="M231" s="272" t="str">
        <f>IF(D231="","",SUM(J231)*SUM(AD201))</f>
        <v/>
      </c>
      <c r="N231" s="272" t="str">
        <f>IF(COUNT(L231:M231)&gt;0,SUM(L231:M231),"")</f>
        <v/>
      </c>
      <c r="O231" s="272" t="str">
        <f>IF(AG231,INDEX(E_PurchPrec!U:U,MATCH(CONST_CNTR_ElecEFMethod&amp;D231,E_PurchPrec!R:R,0)),INDEX(D_Processes!T:T,MATCH(CONST_CNTR_ElecEFMethod&amp;D231,D_Processes!R:R,0)))</f>
        <v/>
      </c>
      <c r="P231" s="271" t="str">
        <f>IF($D231="","",SUM($G231)*SUM(INDEX(InputOutput!$AN$71:$AN$100,MATCH($D231,InputOutput!$D$71:$D$100,0))))</f>
        <v/>
      </c>
      <c r="Q231" s="674" t="str">
        <f>IF(D231="","",IF(AG231,INDEX(A_InstData!$F$102:$F$121,MATCH(D231,CNTR_List_ExistPurchPrecNames,0)),""))</f>
        <v/>
      </c>
      <c r="R231" s="679" t="str">
        <f>IF($D231="","",SUM($G231)*SUM(INDEX(F_Tools!$T$101:$T$130,MATCH($D231,F_Tools!$E$101:$E$130,0))))</f>
        <v/>
      </c>
      <c r="S231" s="680" t="str">
        <f>IF($D231="","",SUM($G231)*SUM(INDEX(F_Tools!$U$101:$U$130,MATCH($D231,F_Tools!$E$101:$E$130,0))))</f>
        <v/>
      </c>
      <c r="T231" s="428"/>
      <c r="AB231" s="273" t="str">
        <f>CONST_PrecursorToGoodInput &amp; D231 &amp; "_" &amp; D198</f>
        <v>PrecToGood__</v>
      </c>
      <c r="AD231" s="274">
        <f>SUMIF(D_Processes!R:R,AB231,D_Processes!K:K)</f>
        <v>0</v>
      </c>
      <c r="AE231" s="273">
        <f>SUMIF(D_Processes!R:R,CONST_CNTR_TotProd &amp; D231,D_Processes!L:L)</f>
        <v>0</v>
      </c>
      <c r="AG231" s="102" t="b">
        <f t="shared" si="40"/>
        <v>0</v>
      </c>
    </row>
    <row r="232" spans="1:41" ht="12.75" customHeight="1" thickBot="1" x14ac:dyDescent="0.4">
      <c r="A232" s="92"/>
      <c r="B232" s="94"/>
      <c r="C232" s="144"/>
      <c r="D232" s="144"/>
      <c r="E232" s="144"/>
      <c r="F232" s="144"/>
      <c r="G232" s="144"/>
      <c r="H232" s="144"/>
      <c r="I232" s="979"/>
      <c r="J232" s="979"/>
      <c r="K232" s="979"/>
      <c r="L232" s="144"/>
      <c r="M232" s="144"/>
      <c r="N232" s="144"/>
      <c r="O232" s="144"/>
      <c r="P232" s="979"/>
      <c r="Q232" s="144"/>
      <c r="R232" s="144"/>
      <c r="S232" s="144"/>
      <c r="T232" s="428"/>
    </row>
    <row r="233" spans="1:41" ht="12.75" customHeight="1" thickBot="1" x14ac:dyDescent="0.4">
      <c r="A233" s="92"/>
      <c r="B233" s="94"/>
      <c r="C233" s="145"/>
      <c r="D233" s="145"/>
      <c r="E233" s="145"/>
      <c r="F233" s="145"/>
      <c r="G233" s="145"/>
      <c r="H233" s="145"/>
      <c r="I233" s="664"/>
      <c r="J233" s="664"/>
      <c r="K233" s="664"/>
      <c r="L233" s="145"/>
      <c r="M233" s="145"/>
      <c r="N233" s="145"/>
      <c r="O233" s="145"/>
      <c r="P233" s="664"/>
      <c r="Q233" s="145"/>
      <c r="R233" s="145"/>
      <c r="S233" s="145"/>
      <c r="T233" s="428"/>
    </row>
    <row r="234" spans="1:41" s="249" customFormat="1" ht="25.5" customHeight="1" x14ac:dyDescent="0.35">
      <c r="A234" s="977"/>
      <c r="B234" s="981"/>
      <c r="C234" s="1439">
        <f>C198+1</f>
        <v>3</v>
      </c>
      <c r="D234" s="1421" t="str">
        <f>IF(INDEX(CNTR_List_ExistProdProcNames,C234)=CONST_NA,"",INDEX(CNTR_List_ExistProdProcNames,C234))</f>
        <v/>
      </c>
      <c r="E234" s="1422"/>
      <c r="F234" s="1419" t="str">
        <f>Translations!$B$107</f>
        <v>Aggregated goods category</v>
      </c>
      <c r="G234" s="250" t="str">
        <f>Translations!$B$584</f>
        <v>Mass share</v>
      </c>
      <c r="H234" s="1448" t="str">
        <f>Translations!$B$586</f>
        <v>(Share of) Default value</v>
      </c>
      <c r="I234" s="250" t="str">
        <f>Translations!$B$570</f>
        <v>SEE (direct)</v>
      </c>
      <c r="J234" s="250" t="str">
        <f>Translations!$B$574</f>
        <v>SEE (indirect)</v>
      </c>
      <c r="K234" s="250" t="str">
        <f>Translations!$B$344</f>
        <v>SEE (total)</v>
      </c>
      <c r="L234" s="250" t="str">
        <f>Translations!$B$589</f>
        <v>EmbEm (direct)</v>
      </c>
      <c r="M234" s="250" t="str">
        <f>Translations!$B$591</f>
        <v>EmbEm (indirect)</v>
      </c>
      <c r="N234" s="250" t="str">
        <f>Translations!$B$593</f>
        <v>EmbEm (total)</v>
      </c>
      <c r="O234" s="1448" t="str">
        <f>Translations!$B$594</f>
        <v>Source of electricity EF</v>
      </c>
      <c r="P234" s="250" t="str">
        <f>Translations!$B$480</f>
        <v>Embedded electricity</v>
      </c>
      <c r="Q234" s="1415" t="str">
        <f>Translations!$B$1957</f>
        <v>Country code</v>
      </c>
      <c r="R234" s="1444" t="str">
        <f>Translations!$B$351</f>
        <v>CP due (per produced t or MWh)</v>
      </c>
      <c r="S234" s="1446" t="str">
        <f>Translations!$B$352</f>
        <v>Rebate (per produced t or MWh)</v>
      </c>
      <c r="T234" s="431"/>
      <c r="U234" s="93"/>
      <c r="V234" s="248"/>
      <c r="W234" s="248"/>
      <c r="X234" s="91"/>
      <c r="Y234" s="248"/>
      <c r="Z234" s="123"/>
      <c r="AA234" s="248"/>
      <c r="AB234" s="248"/>
      <c r="AC234" s="248"/>
      <c r="AD234" s="248"/>
      <c r="AE234" s="248"/>
      <c r="AF234" s="104" t="str">
        <f>H234</f>
        <v>(Share of) Default value</v>
      </c>
      <c r="AG234" s="681" t="str">
        <f>H236</f>
        <v/>
      </c>
      <c r="AH234" s="91"/>
      <c r="AI234" s="91"/>
      <c r="AJ234" s="91"/>
      <c r="AK234" s="91"/>
      <c r="AL234" s="91"/>
      <c r="AM234" s="91"/>
      <c r="AN234" s="91"/>
      <c r="AO234" s="91"/>
    </row>
    <row r="235" spans="1:41" s="249" customFormat="1" ht="15" customHeight="1" thickBot="1" x14ac:dyDescent="0.4">
      <c r="A235" s="977"/>
      <c r="B235" s="981"/>
      <c r="C235" s="1440"/>
      <c r="D235" s="1423"/>
      <c r="E235" s="1424"/>
      <c r="F235" s="1420"/>
      <c r="G235" s="251" t="str">
        <f>IF($F236="",CONST_t,INDEX(CONST_LIST_GoodsUnit,MATCH($F236,CONST_LIST_Goods,0))) &amp;"/"&amp; IF($F236="",CONST_t,INDEX(CONST_LIST_GoodsUnit,MATCH($F236,CONST_LIST_Goods,0)))</f>
        <v>t/t</v>
      </c>
      <c r="H235" s="1449"/>
      <c r="I235" s="251" t="str">
        <f>CONST_tCO2eq &amp; "/" &amp; IF($F236="",CONST_t,INDEX(CONST_LIST_GoodsUnit,MATCH($F236,CONST_LIST_Goods,0)))</f>
        <v>tCO2e/t</v>
      </c>
      <c r="J235" s="251" t="str">
        <f>CONST_tCO2eq &amp; "/" &amp; IF($F236="",CONST_t,INDEX(CONST_LIST_GoodsUnit,MATCH($F236,CONST_LIST_Goods,0)))</f>
        <v>tCO2e/t</v>
      </c>
      <c r="K235" s="251" t="str">
        <f>CONST_tCO2eq &amp; "/" &amp; IF($F236="",CONST_t,INDEX(CONST_LIST_GoodsUnit,MATCH($F236,CONST_LIST_Goods,0)))</f>
        <v>tCO2e/t</v>
      </c>
      <c r="L235" s="252" t="str">
        <f>CONST_tCO2eq</f>
        <v>tCO2e</v>
      </c>
      <c r="M235" s="252" t="str">
        <f>CONST_tCO2eq</f>
        <v>tCO2e</v>
      </c>
      <c r="N235" s="252" t="str">
        <f>CONST_tCO2eq</f>
        <v>tCO2e</v>
      </c>
      <c r="O235" s="1449"/>
      <c r="P235" s="251" t="str">
        <f>CONST_MWh &amp; "/" &amp; IF($F236="",CONST_t,INDEX(CONST_LIST_GoodsUnit,MATCH($F236,CONST_LIST_Goods,0)))</f>
        <v>MWh/t</v>
      </c>
      <c r="Q235" s="1416"/>
      <c r="R235" s="1445"/>
      <c r="S235" s="1447"/>
      <c r="T235" s="431"/>
      <c r="V235" s="248"/>
      <c r="W235" s="248"/>
      <c r="X235" s="91"/>
      <c r="Y235" s="248"/>
      <c r="Z235" s="123"/>
      <c r="AA235" s="248"/>
      <c r="AB235" s="248"/>
      <c r="AC235" s="248"/>
      <c r="AD235" s="248"/>
      <c r="AE235" s="248"/>
      <c r="AF235" s="91"/>
      <c r="AG235" s="91"/>
      <c r="AH235" s="91"/>
      <c r="AI235" s="91"/>
      <c r="AJ235" s="91"/>
      <c r="AK235" s="91"/>
      <c r="AL235" s="91"/>
      <c r="AM235" s="91"/>
      <c r="AN235" s="91"/>
      <c r="AO235" s="91"/>
    </row>
    <row r="236" spans="1:41" ht="15" customHeight="1" thickBot="1" x14ac:dyDescent="0.4">
      <c r="A236" s="92"/>
      <c r="B236" s="94"/>
      <c r="C236" s="1441"/>
      <c r="D236" s="1429" t="str">
        <f>Translations!$B$600</f>
        <v>Total production process</v>
      </c>
      <c r="E236" s="1430"/>
      <c r="F236" s="253" t="str">
        <f>IF(D237="","",INDEX(CNTR_List_ExistProdProc,MATCH(D237,CNTR_List_ExistProdProcNames,0)))</f>
        <v/>
      </c>
      <c r="G236" s="254" t="s">
        <v>206</v>
      </c>
      <c r="H236" s="896" t="str">
        <f>IF(D234="","",IFERROR(SUMIFS(I238:I267,H238:H267,TRUE)/I236,""))</f>
        <v/>
      </c>
      <c r="I236" s="662" t="str">
        <f>IF(COUNT(I237:I267)&gt;0,SUM(I237:I267),"")</f>
        <v/>
      </c>
      <c r="J236" s="662" t="str">
        <f>IF(COUNT(J237:J267)&gt;0,SUM(J237:J267),"")</f>
        <v/>
      </c>
      <c r="K236" s="662" t="str">
        <f t="shared" ref="K236:L236" si="41">IF(COUNT(K237:K267)&gt;0,SUM(K237:K267),"")</f>
        <v/>
      </c>
      <c r="L236" s="255" t="str">
        <f t="shared" si="41"/>
        <v/>
      </c>
      <c r="M236" s="255" t="str">
        <f>IF(COUNT(M237:M267)&gt;0,SUM(M237:M267),"")</f>
        <v/>
      </c>
      <c r="N236" s="255" t="str">
        <f t="shared" ref="N236" si="42">IF(COUNT(N237:N267)&gt;0,SUM(N237:N267),"")</f>
        <v/>
      </c>
      <c r="O236" s="254" t="s">
        <v>206</v>
      </c>
      <c r="P236" s="662" t="str">
        <f t="shared" ref="P236" si="43">IF(COUNT(P237:P267)&gt;0,SUM(P237:P267),"")</f>
        <v/>
      </c>
      <c r="Q236" s="670" t="s">
        <v>206</v>
      </c>
      <c r="R236" s="675" t="str">
        <f t="shared" ref="R236:S236" si="44">IF(COUNT(R237:R267)&gt;0,SUM(R237:R267),"")</f>
        <v/>
      </c>
      <c r="S236" s="666" t="str">
        <f t="shared" si="44"/>
        <v/>
      </c>
      <c r="T236" s="428"/>
      <c r="Z236" s="123"/>
      <c r="AD236" s="91" t="s">
        <v>199</v>
      </c>
      <c r="AE236" s="91" t="s">
        <v>200</v>
      </c>
      <c r="AG236" s="91" t="s">
        <v>418</v>
      </c>
    </row>
    <row r="237" spans="1:41" ht="12.75" customHeight="1" thickBot="1" x14ac:dyDescent="0.4">
      <c r="A237" s="92"/>
      <c r="B237" s="94"/>
      <c r="C237" s="144"/>
      <c r="D237" s="1431" t="str">
        <f>D234</f>
        <v/>
      </c>
      <c r="E237" s="1432"/>
      <c r="F237" s="283" t="str">
        <f>IF(D237="","",INDEX(CNTR_List_ExistProdProc,MATCH(D237,CNTR_List_ExistProdProcNames,0)))</f>
        <v/>
      </c>
      <c r="G237" s="256">
        <v>1</v>
      </c>
      <c r="H237" s="284" t="s">
        <v>206</v>
      </c>
      <c r="I237" s="663" t="str">
        <f>IF($D237="","",SUM($G237)*SUM(INDEX(InputOutput!$AJ$71:$AJ$100,MATCH($D237,InputOutput!$D$71:$D$100,0))))</f>
        <v/>
      </c>
      <c r="J237" s="663" t="str">
        <f>IF($D237="","",SUM($G237)*SUM(INDEX(InputOutput!$AL$71:$AL$100,MATCH($D237,InputOutput!$D$71:$D$100,0))))</f>
        <v/>
      </c>
      <c r="K237" s="663" t="str">
        <f t="shared" ref="K237:K266" si="45">IF(COUNT(I237:J237)&gt;0,SUM(I237:J237),"")</f>
        <v/>
      </c>
      <c r="L237" s="257" t="str">
        <f>IF(D237="","",SUM(I237)*SUM(AD237))</f>
        <v/>
      </c>
      <c r="M237" s="257" t="str">
        <f>IF(D237="","",SUM(J237)*SUM(AD237))</f>
        <v/>
      </c>
      <c r="N237" s="257" t="str">
        <f t="shared" ref="N237:N266" si="46">IF(COUNT(L237:M237)&gt;0,SUM(L237:M237),"")</f>
        <v/>
      </c>
      <c r="O237" s="257" t="str">
        <f>IF(AG237,INDEX(E_PurchPrec!U:U,MATCH(CONST_CNTR_ElecEFMethod&amp;D237,E_PurchPrec!R:R,0)),INDEX(D_Processes!T:T,MATCH(CONST_CNTR_ElecEFMethod&amp;D237,D_Processes!R:R,0)))</f>
        <v/>
      </c>
      <c r="P237" s="663" t="str">
        <f>IF($D237="","",SUM($G237)*SUM(INDEX(InputOutput!$AN$71:$AN$100,MATCH($D237,InputOutput!$D$71:$D$100,0))))</f>
        <v/>
      </c>
      <c r="Q237" s="671"/>
      <c r="R237" s="676" t="str">
        <f>IF($D237="","",SUM($G237)*SUM(INDEX(F_Tools!$T$101:$T$130,MATCH($D237,F_Tools!$E$101:$E$130,0))))</f>
        <v/>
      </c>
      <c r="S237" s="667" t="str">
        <f>IF($D237="","",SUM($G237)*SUM(INDEX(F_Tools!$U$101:$U$130,MATCH($D237,F_Tools!$E$101:$E$130,0))))</f>
        <v/>
      </c>
      <c r="T237" s="428"/>
      <c r="Z237" s="123"/>
      <c r="AB237" s="150" t="str">
        <f>CONST_CNTR_TotProd &amp; D234</f>
        <v>TotProd_</v>
      </c>
      <c r="AD237" s="258">
        <f>SUMIF(D_Processes!R:R,AB237,D_Processes!L:L)</f>
        <v>0</v>
      </c>
    </row>
    <row r="238" spans="1:41" ht="12.75" customHeight="1" x14ac:dyDescent="0.35">
      <c r="A238" s="92"/>
      <c r="B238" s="94"/>
      <c r="C238" s="978">
        <v>1</v>
      </c>
      <c r="D238" s="1442" t="str">
        <f>IF(D234="","",IF(COUNTIF(INDEX(CNTR_IOSupplyChain,MATCH(D234,CNTR_IOProcAndPrec,0),),C238)=0,"",INDEX(CNTR_IOProcAndPrec,MATCH(C238,INDEX(CNTR_IOSupplyChain,MATCH(D234,CNTR_IOProcAndPrec,0),),0))))</f>
        <v/>
      </c>
      <c r="E238" s="1443"/>
      <c r="F238" s="260" t="str">
        <f t="shared" ref="F238:F267" si="47">IF(D238="","",IF(COUNTIF(CNTR_List_ExistProdProcNames,D238)&gt;0,INDEX(CNTR_List_ExistProdProc,MATCH(D238,CNTR_List_ExistProdProcNames,0)),INDEX(CNTR_List_ExistPurchPrec,MATCH(D238,CNTR_List_ExistPurchPrecNames,0))))</f>
        <v/>
      </c>
      <c r="G238" s="261" t="str">
        <f>IF(D238="","",INDEX(CNTR_Matrix_Inv,MATCH(D234,CNTR_IOProcAndPrec,0),MATCH(D238,CNTR_IOProcAndPrec,0)))</f>
        <v/>
      </c>
      <c r="H238" s="285" t="str">
        <f>IF(D238="","",IF(AG238,INDEX(E_PurchPrec!U:U,MATCH(CONST_PurchPrecDefaultUsed&amp;D238,E_PurchPrec!R:R,0)),CONST_NA))</f>
        <v/>
      </c>
      <c r="I238" s="261" t="str">
        <f>IF($D238="","",SUM($G238)*SUM(INDEX(InputOutput!$AJ$71:$AJ$100,MATCH($D238,InputOutput!$D$71:$D$100,0))))</f>
        <v/>
      </c>
      <c r="J238" s="261" t="str">
        <f>IF($D238="","",SUM($G238)*SUM(INDEX(InputOutput!$AL$71:$AL$100,MATCH($D238,InputOutput!$D$71:$D$100,0))))</f>
        <v/>
      </c>
      <c r="K238" s="261" t="str">
        <f t="shared" si="45"/>
        <v/>
      </c>
      <c r="L238" s="262" t="str">
        <f>IF(D238="","",SUM(I238)*SUM(AD237))</f>
        <v/>
      </c>
      <c r="M238" s="262" t="str">
        <f>IF(D238="","",SUM(J238)*SUM(AD237))</f>
        <v/>
      </c>
      <c r="N238" s="262" t="str">
        <f t="shared" si="46"/>
        <v/>
      </c>
      <c r="O238" s="262" t="str">
        <f>IF(AG238,INDEX(E_PurchPrec!U:U,MATCH(CONST_CNTR_ElecEFMethod&amp;D238,E_PurchPrec!R:R,0)),INDEX(D_Processes!T:T,MATCH(CONST_CNTR_ElecEFMethod&amp;D238,D_Processes!R:R,0)))</f>
        <v/>
      </c>
      <c r="P238" s="261" t="str">
        <f>IF($D238="","",SUM($G238)*SUM(INDEX(InputOutput!$AN$71:$AN$100,MATCH($D238,InputOutput!$D$71:$D$100,0))))</f>
        <v/>
      </c>
      <c r="Q238" s="672" t="str">
        <f>IF(D238="","",IF(AG238,INDEX(A_InstData!$F$102:$F$121,MATCH(D238,CNTR_List_ExistPurchPrecNames,0)),""))</f>
        <v/>
      </c>
      <c r="R238" s="677" t="str">
        <f>IF($D238="","",SUM($G238)*SUM(INDEX(F_Tools!$T$101:$T$130,MATCH($D238,F_Tools!$E$101:$E$130,0))))</f>
        <v/>
      </c>
      <c r="S238" s="668" t="str">
        <f>IF($D238="","",SUM($G238)*SUM(INDEX(F_Tools!$U$101:$U$130,MATCH($D238,F_Tools!$E$101:$E$130,0))))</f>
        <v/>
      </c>
      <c r="T238" s="428"/>
      <c r="Z238" s="123"/>
      <c r="AB238" s="263" t="str">
        <f>CONST_PrecursorToGoodInput &amp; D238 &amp; "_" &amp; D234</f>
        <v>PrecToGood__</v>
      </c>
      <c r="AD238" s="264">
        <f>SUMIF(D_Processes!R:R,AB238,D_Processes!K:K)</f>
        <v>0</v>
      </c>
      <c r="AE238" s="263">
        <f>SUMIF(D_Processes!R:R,CONST_CNTR_TotProd &amp; D238,D_Processes!L:L)</f>
        <v>0</v>
      </c>
      <c r="AG238" s="102" t="b">
        <f t="shared" ref="AG238:AG267" si="48">COUNTIF(CNTR_List_ExistPurchPrecNames,D238)&gt;0</f>
        <v>0</v>
      </c>
    </row>
    <row r="239" spans="1:41" ht="12.75" customHeight="1" x14ac:dyDescent="0.35">
      <c r="A239" s="92"/>
      <c r="B239" s="94"/>
      <c r="C239" s="978">
        <v>2</v>
      </c>
      <c r="D239" s="1417" t="str">
        <f>IF(D234="","",IF(COUNTIF(INDEX(CNTR_IOSupplyChain,MATCH(D234,CNTR_IOProcAndPrec,0),),C239)=0,"",INDEX(CNTR_IOProcAndPrec,MATCH(C239,INDEX(CNTR_IOSupplyChain,MATCH(D234,CNTR_IOProcAndPrec,0),),0))))</f>
        <v/>
      </c>
      <c r="E239" s="1418"/>
      <c r="F239" s="265" t="str">
        <f t="shared" si="47"/>
        <v/>
      </c>
      <c r="G239" s="266" t="str">
        <f>IF(D239="","",INDEX(CNTR_Matrix_Inv,MATCH(D234,CNTR_IOProcAndPrec,0),MATCH(D239,CNTR_IOProcAndPrec,0)))</f>
        <v/>
      </c>
      <c r="H239" s="286" t="str">
        <f>IF(D239="","",IF(AG239,INDEX(E_PurchPrec!U:U,MATCH(CONST_PurchPrecDefaultUsed&amp;D239,E_PurchPrec!R:R,0)),CONST_NA))</f>
        <v/>
      </c>
      <c r="I239" s="266" t="str">
        <f>IF($D239="","",SUM($G239)*SUM(INDEX(InputOutput!$AJ$71:$AJ$100,MATCH($D239,InputOutput!$D$71:$D$100,0))))</f>
        <v/>
      </c>
      <c r="J239" s="266" t="str">
        <f>IF($D239="","",SUM($G239)*SUM(INDEX(InputOutput!$AL$71:$AL$100,MATCH($D239,InputOutput!$D$71:$D$100,0))))</f>
        <v/>
      </c>
      <c r="K239" s="266" t="str">
        <f t="shared" si="45"/>
        <v/>
      </c>
      <c r="L239" s="267" t="str">
        <f>IF(D239="","",SUM(I239)*SUM(AD237))</f>
        <v/>
      </c>
      <c r="M239" s="267" t="str">
        <f>IF(D239="","",SUM(J239)*SUM(AD237))</f>
        <v/>
      </c>
      <c r="N239" s="267" t="str">
        <f t="shared" si="46"/>
        <v/>
      </c>
      <c r="O239" s="267" t="str">
        <f>IF(AG239,INDEX(E_PurchPrec!U:U,MATCH(CONST_CNTR_ElecEFMethod&amp;D239,E_PurchPrec!R:R,0)),INDEX(D_Processes!T:T,MATCH(CONST_CNTR_ElecEFMethod&amp;D239,D_Processes!R:R,0)))</f>
        <v/>
      </c>
      <c r="P239" s="266" t="str">
        <f>IF($D239="","",SUM($G239)*SUM(INDEX(InputOutput!$AN$71:$AN$100,MATCH($D239,InputOutput!$D$71:$D$100,0))))</f>
        <v/>
      </c>
      <c r="Q239" s="673" t="str">
        <f>IF(D239="","",IF(AG239,INDEX(A_InstData!$F$102:$F$121,MATCH(D239,CNTR_List_ExistPurchPrecNames,0)),""))</f>
        <v/>
      </c>
      <c r="R239" s="678" t="str">
        <f>IF($D239="","",SUM($G239)*SUM(INDEX(F_Tools!$T$101:$T$130,MATCH($D239,F_Tools!$E$101:$E$130,0))))</f>
        <v/>
      </c>
      <c r="S239" s="669" t="str">
        <f>IF($D239="","",SUM($G239)*SUM(INDEX(F_Tools!$U$101:$U$130,MATCH($D239,F_Tools!$E$101:$E$130,0))))</f>
        <v/>
      </c>
      <c r="T239" s="428"/>
      <c r="Z239" s="123"/>
      <c r="AB239" s="268" t="str">
        <f>CONST_PrecursorToGoodInput &amp; D239 &amp; "_" &amp; D234</f>
        <v>PrecToGood__</v>
      </c>
      <c r="AD239" s="269">
        <f>SUMIF(D_Processes!R:R,AB239,D_Processes!K:K)</f>
        <v>0</v>
      </c>
      <c r="AE239" s="268">
        <f>SUMIF(D_Processes!R:R,CONST_CNTR_TotProd &amp; D239,D_Processes!L:L)</f>
        <v>0</v>
      </c>
      <c r="AG239" s="102" t="b">
        <f t="shared" si="48"/>
        <v>0</v>
      </c>
    </row>
    <row r="240" spans="1:41" ht="12.75" customHeight="1" x14ac:dyDescent="0.35">
      <c r="A240" s="92"/>
      <c r="B240" s="94"/>
      <c r="C240" s="978">
        <v>3</v>
      </c>
      <c r="D240" s="1417" t="str">
        <f>IF(D234="","",IF(COUNTIF(INDEX(CNTR_IOSupplyChain,MATCH(D234,CNTR_IOProcAndPrec,0),),C240)=0,"",INDEX(CNTR_IOProcAndPrec,MATCH(C240,INDEX(CNTR_IOSupplyChain,MATCH(D234,CNTR_IOProcAndPrec,0),),0))))</f>
        <v/>
      </c>
      <c r="E240" s="1418"/>
      <c r="F240" s="265" t="str">
        <f t="shared" si="47"/>
        <v/>
      </c>
      <c r="G240" s="266" t="str">
        <f>IF(D240="","",INDEX(CNTR_Matrix_Inv,MATCH(D234,CNTR_IOProcAndPrec,0),MATCH(D240,CNTR_IOProcAndPrec,0)))</f>
        <v/>
      </c>
      <c r="H240" s="286" t="str">
        <f>IF(D240="","",IF(AG240,INDEX(E_PurchPrec!U:U,MATCH(CONST_PurchPrecDefaultUsed&amp;D240,E_PurchPrec!R:R,0)),CONST_NA))</f>
        <v/>
      </c>
      <c r="I240" s="266" t="str">
        <f>IF($D240="","",SUM($G240)*SUM(INDEX(InputOutput!$AJ$71:$AJ$100,MATCH($D240,InputOutput!$D$71:$D$100,0))))</f>
        <v/>
      </c>
      <c r="J240" s="266" t="str">
        <f>IF($D240="","",SUM($G240)*SUM(INDEX(InputOutput!$AL$71:$AL$100,MATCH($D240,InputOutput!$D$71:$D$100,0))))</f>
        <v/>
      </c>
      <c r="K240" s="266" t="str">
        <f t="shared" si="45"/>
        <v/>
      </c>
      <c r="L240" s="267" t="str">
        <f>IF(D240="","",SUM(I240)*SUM(AD237))</f>
        <v/>
      </c>
      <c r="M240" s="267" t="str">
        <f>IF(D240="","",SUM(J240)*SUM(AD237))</f>
        <v/>
      </c>
      <c r="N240" s="267" t="str">
        <f t="shared" si="46"/>
        <v/>
      </c>
      <c r="O240" s="267" t="str">
        <f>IF(AG240,INDEX(E_PurchPrec!U:U,MATCH(CONST_CNTR_ElecEFMethod&amp;D240,E_PurchPrec!R:R,0)),INDEX(D_Processes!T:T,MATCH(CONST_CNTR_ElecEFMethod&amp;D240,D_Processes!R:R,0)))</f>
        <v/>
      </c>
      <c r="P240" s="266" t="str">
        <f>IF($D240="","",SUM($G240)*SUM(INDEX(InputOutput!$AN$71:$AN$100,MATCH($D240,InputOutput!$D$71:$D$100,0))))</f>
        <v/>
      </c>
      <c r="Q240" s="673" t="str">
        <f>IF(D240="","",IF(AG240,INDEX(A_InstData!$F$102:$F$121,MATCH(D240,CNTR_List_ExistPurchPrecNames,0)),""))</f>
        <v/>
      </c>
      <c r="R240" s="678" t="str">
        <f>IF($D240="","",SUM($G240)*SUM(INDEX(F_Tools!$T$101:$T$130,MATCH($D240,F_Tools!$E$101:$E$130,0))))</f>
        <v/>
      </c>
      <c r="S240" s="669" t="str">
        <f>IF($D240="","",SUM($G240)*SUM(INDEX(F_Tools!$U$101:$U$130,MATCH($D240,F_Tools!$E$101:$E$130,0))))</f>
        <v/>
      </c>
      <c r="T240" s="428"/>
      <c r="Z240" s="123"/>
      <c r="AB240" s="268" t="str">
        <f>CONST_PrecursorToGoodInput &amp; D240 &amp; "_" &amp; D234</f>
        <v>PrecToGood__</v>
      </c>
      <c r="AD240" s="269">
        <f>SUMIF(D_Processes!R:R,AB240,D_Processes!K:K)</f>
        <v>0</v>
      </c>
      <c r="AE240" s="268">
        <f>SUMIF(D_Processes!R:R,CONST_CNTR_TotProd &amp; D240,D_Processes!L:L)</f>
        <v>0</v>
      </c>
      <c r="AG240" s="102" t="b">
        <f t="shared" si="48"/>
        <v>0</v>
      </c>
    </row>
    <row r="241" spans="1:33" ht="12.75" customHeight="1" x14ac:dyDescent="0.35">
      <c r="A241" s="92"/>
      <c r="B241" s="94"/>
      <c r="C241" s="978">
        <v>4</v>
      </c>
      <c r="D241" s="1417" t="str">
        <f>IF(D234="","",IF(COUNTIF(INDEX(CNTR_IOSupplyChain,MATCH(D234,CNTR_IOProcAndPrec,0),),C241)=0,"",INDEX(CNTR_IOProcAndPrec,MATCH(C241,INDEX(CNTR_IOSupplyChain,MATCH(D234,CNTR_IOProcAndPrec,0),),0))))</f>
        <v/>
      </c>
      <c r="E241" s="1418"/>
      <c r="F241" s="265" t="str">
        <f t="shared" si="47"/>
        <v/>
      </c>
      <c r="G241" s="266" t="str">
        <f>IF(D241="","",INDEX(CNTR_Matrix_Inv,MATCH(D234,CNTR_IOProcAndPrec,0),MATCH(D241,CNTR_IOProcAndPrec,0)))</f>
        <v/>
      </c>
      <c r="H241" s="286" t="str">
        <f>IF(D241="","",IF(AG241,INDEX(E_PurchPrec!U:U,MATCH(CONST_PurchPrecDefaultUsed&amp;D241,E_PurchPrec!R:R,0)),CONST_NA))</f>
        <v/>
      </c>
      <c r="I241" s="266" t="str">
        <f>IF($D241="","",SUM($G241)*SUM(INDEX(InputOutput!$AJ$71:$AJ$100,MATCH($D241,InputOutput!$D$71:$D$100,0))))</f>
        <v/>
      </c>
      <c r="J241" s="266" t="str">
        <f>IF($D241="","",SUM($G241)*SUM(INDEX(InputOutput!$AL$71:$AL$100,MATCH($D241,InputOutput!$D$71:$D$100,0))))</f>
        <v/>
      </c>
      <c r="K241" s="266" t="str">
        <f t="shared" si="45"/>
        <v/>
      </c>
      <c r="L241" s="267" t="str">
        <f>IF(D241="","",SUM(I241)*SUM(AD237))</f>
        <v/>
      </c>
      <c r="M241" s="267" t="str">
        <f>IF(D241="","",SUM(J241)*SUM(AD237))</f>
        <v/>
      </c>
      <c r="N241" s="267" t="str">
        <f t="shared" si="46"/>
        <v/>
      </c>
      <c r="O241" s="267" t="str">
        <f>IF(AG241,INDEX(E_PurchPrec!U:U,MATCH(CONST_CNTR_ElecEFMethod&amp;D241,E_PurchPrec!R:R,0)),INDEX(D_Processes!T:T,MATCH(CONST_CNTR_ElecEFMethod&amp;D241,D_Processes!R:R,0)))</f>
        <v/>
      </c>
      <c r="P241" s="266" t="str">
        <f>IF($D241="","",SUM($G241)*SUM(INDEX(InputOutput!$AN$71:$AN$100,MATCH($D241,InputOutput!$D$71:$D$100,0))))</f>
        <v/>
      </c>
      <c r="Q241" s="673" t="str">
        <f>IF(D241="","",IF(AG241,INDEX(A_InstData!$F$102:$F$121,MATCH(D241,CNTR_List_ExistPurchPrecNames,0)),""))</f>
        <v/>
      </c>
      <c r="R241" s="678" t="str">
        <f>IF($D241="","",SUM($G241)*SUM(INDEX(F_Tools!$T$101:$T$130,MATCH($D241,F_Tools!$E$101:$E$130,0))))</f>
        <v/>
      </c>
      <c r="S241" s="669" t="str">
        <f>IF($D241="","",SUM($G241)*SUM(INDEX(F_Tools!$U$101:$U$130,MATCH($D241,F_Tools!$E$101:$E$130,0))))</f>
        <v/>
      </c>
      <c r="T241" s="428"/>
      <c r="Z241" s="123"/>
      <c r="AB241" s="268" t="str">
        <f>CONST_PrecursorToGoodInput &amp; D241 &amp; "_" &amp; D234</f>
        <v>PrecToGood__</v>
      </c>
      <c r="AD241" s="269">
        <f>SUMIF(D_Processes!R:R,AB241,D_Processes!K:K)</f>
        <v>0</v>
      </c>
      <c r="AE241" s="268">
        <f>SUMIF(D_Processes!R:R,CONST_CNTR_TotProd &amp; D241,D_Processes!L:L)</f>
        <v>0</v>
      </c>
      <c r="AG241" s="102" t="b">
        <f t="shared" si="48"/>
        <v>0</v>
      </c>
    </row>
    <row r="242" spans="1:33" ht="12.75" customHeight="1" x14ac:dyDescent="0.35">
      <c r="A242" s="92"/>
      <c r="B242" s="94"/>
      <c r="C242" s="978">
        <v>5</v>
      </c>
      <c r="D242" s="1417" t="str">
        <f>IF(D234="","",IF(COUNTIF(INDEX(CNTR_IOSupplyChain,MATCH(D234,CNTR_IOProcAndPrec,0),),C242)=0,"",INDEX(CNTR_IOProcAndPrec,MATCH(C242,INDEX(CNTR_IOSupplyChain,MATCH(D234,CNTR_IOProcAndPrec,0),),0))))</f>
        <v/>
      </c>
      <c r="E242" s="1418"/>
      <c r="F242" s="265" t="str">
        <f t="shared" si="47"/>
        <v/>
      </c>
      <c r="G242" s="266" t="str">
        <f>IF(D242="","",INDEX(CNTR_Matrix_Inv,MATCH(D234,CNTR_IOProcAndPrec,0),MATCH(D242,CNTR_IOProcAndPrec,0)))</f>
        <v/>
      </c>
      <c r="H242" s="286" t="str">
        <f>IF(D242="","",IF(AG242,INDEX(E_PurchPrec!U:U,MATCH(CONST_PurchPrecDefaultUsed&amp;D242,E_PurchPrec!R:R,0)),CONST_NA))</f>
        <v/>
      </c>
      <c r="I242" s="266" t="str">
        <f>IF($D242="","",SUM($G242)*SUM(INDEX(InputOutput!$AJ$71:$AJ$100,MATCH($D242,InputOutput!$D$71:$D$100,0))))</f>
        <v/>
      </c>
      <c r="J242" s="266" t="str">
        <f>IF($D242="","",SUM($G242)*SUM(INDEX(InputOutput!$AL$71:$AL$100,MATCH($D242,InputOutput!$D$71:$D$100,0))))</f>
        <v/>
      </c>
      <c r="K242" s="266" t="str">
        <f t="shared" si="45"/>
        <v/>
      </c>
      <c r="L242" s="267" t="str">
        <f>IF(D242="","",SUM(I242)*SUM(AD237))</f>
        <v/>
      </c>
      <c r="M242" s="267" t="str">
        <f>IF(D242="","",SUM(J242)*SUM(AD237))</f>
        <v/>
      </c>
      <c r="N242" s="267" t="str">
        <f t="shared" si="46"/>
        <v/>
      </c>
      <c r="O242" s="267" t="str">
        <f>IF(AG242,INDEX(E_PurchPrec!U:U,MATCH(CONST_CNTR_ElecEFMethod&amp;D242,E_PurchPrec!R:R,0)),INDEX(D_Processes!T:T,MATCH(CONST_CNTR_ElecEFMethod&amp;D242,D_Processes!R:R,0)))</f>
        <v/>
      </c>
      <c r="P242" s="266" t="str">
        <f>IF($D242="","",SUM($G242)*SUM(INDEX(InputOutput!$AN$71:$AN$100,MATCH($D242,InputOutput!$D$71:$D$100,0))))</f>
        <v/>
      </c>
      <c r="Q242" s="673" t="str">
        <f>IF(D242="","",IF(AG242,INDEX(A_InstData!$F$102:$F$121,MATCH(D242,CNTR_List_ExistPurchPrecNames,0)),""))</f>
        <v/>
      </c>
      <c r="R242" s="678" t="str">
        <f>IF($D242="","",SUM($G242)*SUM(INDEX(F_Tools!$T$101:$T$130,MATCH($D242,F_Tools!$E$101:$E$130,0))))</f>
        <v/>
      </c>
      <c r="S242" s="669" t="str">
        <f>IF($D242="","",SUM($G242)*SUM(INDEX(F_Tools!$U$101:$U$130,MATCH($D242,F_Tools!$E$101:$E$130,0))))</f>
        <v/>
      </c>
      <c r="T242" s="428"/>
      <c r="Z242" s="123"/>
      <c r="AB242" s="268" t="str">
        <f>CONST_PrecursorToGoodInput &amp; D242 &amp; "_" &amp; D234</f>
        <v>PrecToGood__</v>
      </c>
      <c r="AD242" s="269">
        <f>SUMIF(D_Processes!R:R,AB242,D_Processes!K:K)</f>
        <v>0</v>
      </c>
      <c r="AE242" s="268">
        <f>SUMIF(D_Processes!R:R,CONST_CNTR_TotProd &amp; D242,D_Processes!L:L)</f>
        <v>0</v>
      </c>
      <c r="AG242" s="102" t="b">
        <f t="shared" si="48"/>
        <v>0</v>
      </c>
    </row>
    <row r="243" spans="1:33" ht="12.75" customHeight="1" outlineLevel="1" x14ac:dyDescent="0.35">
      <c r="A243" s="92"/>
      <c r="B243" s="94"/>
      <c r="C243" s="978">
        <v>6</v>
      </c>
      <c r="D243" s="1417" t="str">
        <f>IF(D234="","",IF(COUNTIF(INDEX(CNTR_IOSupplyChain,MATCH(D234,CNTR_IOProcAndPrec,0),),C243)=0,"",INDEX(CNTR_IOProcAndPrec,MATCH(C243,INDEX(CNTR_IOSupplyChain,MATCH(D234,CNTR_IOProcAndPrec,0),),0))))</f>
        <v/>
      </c>
      <c r="E243" s="1418"/>
      <c r="F243" s="265" t="str">
        <f t="shared" si="47"/>
        <v/>
      </c>
      <c r="G243" s="266" t="str">
        <f>IF(D243="","",INDEX(CNTR_Matrix_Inv,MATCH(D234,CNTR_IOProcAndPrec,0),MATCH(D243,CNTR_IOProcAndPrec,0)))</f>
        <v/>
      </c>
      <c r="H243" s="286" t="str">
        <f>IF(D243="","",IF(AG243,INDEX(E_PurchPrec!U:U,MATCH(CONST_PurchPrecDefaultUsed&amp;D243,E_PurchPrec!R:R,0)),CONST_NA))</f>
        <v/>
      </c>
      <c r="I243" s="266" t="str">
        <f>IF($D243="","",SUM($G243)*SUM(INDEX(InputOutput!$AJ$71:$AJ$100,MATCH($D243,InputOutput!$D$71:$D$100,0))))</f>
        <v/>
      </c>
      <c r="J243" s="266" t="str">
        <f>IF($D243="","",SUM($G243)*SUM(INDEX(InputOutput!$AL$71:$AL$100,MATCH($D243,InputOutput!$D$71:$D$100,0))))</f>
        <v/>
      </c>
      <c r="K243" s="266" t="str">
        <f t="shared" si="45"/>
        <v/>
      </c>
      <c r="L243" s="267" t="str">
        <f>IF(D243="","",SUM(I243)*SUM(AD237))</f>
        <v/>
      </c>
      <c r="M243" s="267" t="str">
        <f>IF(D243="","",SUM(J243)*SUM(AD237))</f>
        <v/>
      </c>
      <c r="N243" s="267" t="str">
        <f t="shared" si="46"/>
        <v/>
      </c>
      <c r="O243" s="267" t="str">
        <f>IF(AG243,INDEX(E_PurchPrec!U:U,MATCH(CONST_CNTR_ElecEFMethod&amp;D243,E_PurchPrec!R:R,0)),INDEX(D_Processes!T:T,MATCH(CONST_CNTR_ElecEFMethod&amp;D243,D_Processes!R:R,0)))</f>
        <v/>
      </c>
      <c r="P243" s="266" t="str">
        <f>IF($D243="","",SUM($G243)*SUM(INDEX(InputOutput!$AN$71:$AN$100,MATCH($D243,InputOutput!$D$71:$D$100,0))))</f>
        <v/>
      </c>
      <c r="Q243" s="673" t="str">
        <f>IF(D243="","",IF(AG243,INDEX(A_InstData!$F$102:$F$121,MATCH(D243,CNTR_List_ExistPurchPrecNames,0)),""))</f>
        <v/>
      </c>
      <c r="R243" s="678" t="str">
        <f>IF($D243="","",SUM($G243)*SUM(INDEX(F_Tools!$T$101:$T$130,MATCH($D243,F_Tools!$E$101:$E$130,0))))</f>
        <v/>
      </c>
      <c r="S243" s="669" t="str">
        <f>IF($D243="","",SUM($G243)*SUM(INDEX(F_Tools!$U$101:$U$130,MATCH($D243,F_Tools!$E$101:$E$130,0))))</f>
        <v/>
      </c>
      <c r="T243" s="428"/>
      <c r="Z243" s="123"/>
      <c r="AB243" s="268" t="str">
        <f>CONST_PrecursorToGoodInput &amp; D243 &amp; "_" &amp; D234</f>
        <v>PrecToGood__</v>
      </c>
      <c r="AD243" s="269">
        <f>SUMIF(D_Processes!R:R,AB243,D_Processes!K:K)</f>
        <v>0</v>
      </c>
      <c r="AE243" s="268">
        <f>SUMIF(D_Processes!R:R,CONST_CNTR_TotProd &amp; D243,D_Processes!L:L)</f>
        <v>0</v>
      </c>
      <c r="AG243" s="102" t="b">
        <f t="shared" si="48"/>
        <v>0</v>
      </c>
    </row>
    <row r="244" spans="1:33" ht="12.75" customHeight="1" outlineLevel="1" x14ac:dyDescent="0.35">
      <c r="A244" s="92"/>
      <c r="B244" s="94"/>
      <c r="C244" s="978">
        <v>7</v>
      </c>
      <c r="D244" s="1417" t="str">
        <f>IF(D234="","",IF(COUNTIF(INDEX(CNTR_IOSupplyChain,MATCH(D234,CNTR_IOProcAndPrec,0),),C244)=0,"",INDEX(CNTR_IOProcAndPrec,MATCH(C244,INDEX(CNTR_IOSupplyChain,MATCH(D234,CNTR_IOProcAndPrec,0),),0))))</f>
        <v/>
      </c>
      <c r="E244" s="1418"/>
      <c r="F244" s="265" t="str">
        <f t="shared" si="47"/>
        <v/>
      </c>
      <c r="G244" s="266" t="str">
        <f>IF(D244="","",INDEX(CNTR_Matrix_Inv,MATCH(D234,CNTR_IOProcAndPrec,0),MATCH(D244,CNTR_IOProcAndPrec,0)))</f>
        <v/>
      </c>
      <c r="H244" s="286" t="str">
        <f>IF(D244="","",IF(AG244,INDEX(E_PurchPrec!U:U,MATCH(CONST_PurchPrecDefaultUsed&amp;D244,E_PurchPrec!R:R,0)),CONST_NA))</f>
        <v/>
      </c>
      <c r="I244" s="266" t="str">
        <f>IF($D244="","",SUM($G244)*SUM(INDEX(InputOutput!$AJ$71:$AJ$100,MATCH($D244,InputOutput!$D$71:$D$100,0))))</f>
        <v/>
      </c>
      <c r="J244" s="266" t="str">
        <f>IF($D244="","",SUM($G244)*SUM(INDEX(InputOutput!$AL$71:$AL$100,MATCH($D244,InputOutput!$D$71:$D$100,0))))</f>
        <v/>
      </c>
      <c r="K244" s="266" t="str">
        <f t="shared" si="45"/>
        <v/>
      </c>
      <c r="L244" s="267" t="str">
        <f>IF(D244="","",SUM(I244)*SUM(AD237))</f>
        <v/>
      </c>
      <c r="M244" s="267" t="str">
        <f>IF(D244="","",SUM(J244)*SUM(AD237))</f>
        <v/>
      </c>
      <c r="N244" s="267" t="str">
        <f t="shared" si="46"/>
        <v/>
      </c>
      <c r="O244" s="267" t="str">
        <f>IF(AG244,INDEX(E_PurchPrec!U:U,MATCH(CONST_CNTR_ElecEFMethod&amp;D244,E_PurchPrec!R:R,0)),INDEX(D_Processes!T:T,MATCH(CONST_CNTR_ElecEFMethod&amp;D244,D_Processes!R:R,0)))</f>
        <v/>
      </c>
      <c r="P244" s="266" t="str">
        <f>IF($D244="","",SUM($G244)*SUM(INDEX(InputOutput!$AN$71:$AN$100,MATCH($D244,InputOutput!$D$71:$D$100,0))))</f>
        <v/>
      </c>
      <c r="Q244" s="673" t="str">
        <f>IF(D244="","",IF(AG244,INDEX(A_InstData!$F$102:$F$121,MATCH(D244,CNTR_List_ExistPurchPrecNames,0)),""))</f>
        <v/>
      </c>
      <c r="R244" s="678" t="str">
        <f>IF($D244="","",SUM($G244)*SUM(INDEX(F_Tools!$T$101:$T$130,MATCH($D244,F_Tools!$E$101:$E$130,0))))</f>
        <v/>
      </c>
      <c r="S244" s="669" t="str">
        <f>IF($D244="","",SUM($G244)*SUM(INDEX(F_Tools!$U$101:$U$130,MATCH($D244,F_Tools!$E$101:$E$130,0))))</f>
        <v/>
      </c>
      <c r="T244" s="428"/>
      <c r="Z244" s="123"/>
      <c r="AB244" s="268" t="str">
        <f>CONST_PrecursorToGoodInput &amp; D244 &amp; "_" &amp; D234</f>
        <v>PrecToGood__</v>
      </c>
      <c r="AD244" s="269">
        <f>SUMIF(D_Processes!R:R,AB244,D_Processes!K:K)</f>
        <v>0</v>
      </c>
      <c r="AE244" s="268">
        <f>SUMIF(D_Processes!R:R,CONST_CNTR_TotProd &amp; D244,D_Processes!L:L)</f>
        <v>0</v>
      </c>
      <c r="AG244" s="102" t="b">
        <f t="shared" si="48"/>
        <v>0</v>
      </c>
    </row>
    <row r="245" spans="1:33" ht="12.75" customHeight="1" outlineLevel="1" x14ac:dyDescent="0.35">
      <c r="A245" s="92"/>
      <c r="B245" s="94"/>
      <c r="C245" s="978">
        <v>8</v>
      </c>
      <c r="D245" s="1417" t="str">
        <f>IF(D234="","",IF(COUNTIF(INDEX(CNTR_IOSupplyChain,MATCH(D234,CNTR_IOProcAndPrec,0),),C245)=0,"",INDEX(CNTR_IOProcAndPrec,MATCH(C245,INDEX(CNTR_IOSupplyChain,MATCH(D234,CNTR_IOProcAndPrec,0),),0))))</f>
        <v/>
      </c>
      <c r="E245" s="1418"/>
      <c r="F245" s="265" t="str">
        <f t="shared" si="47"/>
        <v/>
      </c>
      <c r="G245" s="266" t="str">
        <f>IF(D245="","",INDEX(CNTR_Matrix_Inv,MATCH(D234,CNTR_IOProcAndPrec,0),MATCH(D245,CNTR_IOProcAndPrec,0)))</f>
        <v/>
      </c>
      <c r="H245" s="286" t="str">
        <f>IF(D245="","",IF(AG245,INDEX(E_PurchPrec!U:U,MATCH(CONST_PurchPrecDefaultUsed&amp;D245,E_PurchPrec!R:R,0)),CONST_NA))</f>
        <v/>
      </c>
      <c r="I245" s="266" t="str">
        <f>IF($D245="","",SUM($G245)*SUM(INDEX(InputOutput!$AJ$71:$AJ$100,MATCH($D245,InputOutput!$D$71:$D$100,0))))</f>
        <v/>
      </c>
      <c r="J245" s="266" t="str">
        <f>IF($D245="","",SUM($G245)*SUM(INDEX(InputOutput!$AL$71:$AL$100,MATCH($D245,InputOutput!$D$71:$D$100,0))))</f>
        <v/>
      </c>
      <c r="K245" s="266" t="str">
        <f t="shared" si="45"/>
        <v/>
      </c>
      <c r="L245" s="267" t="str">
        <f>IF(D245="","",SUM(I245)*SUM(AD237))</f>
        <v/>
      </c>
      <c r="M245" s="267" t="str">
        <f>IF(D245="","",SUM(J245)*SUM(AD237))</f>
        <v/>
      </c>
      <c r="N245" s="267" t="str">
        <f t="shared" si="46"/>
        <v/>
      </c>
      <c r="O245" s="267" t="str">
        <f>IF(AG245,INDEX(E_PurchPrec!U:U,MATCH(CONST_CNTR_ElecEFMethod&amp;D245,E_PurchPrec!R:R,0)),INDEX(D_Processes!T:T,MATCH(CONST_CNTR_ElecEFMethod&amp;D245,D_Processes!R:R,0)))</f>
        <v/>
      </c>
      <c r="P245" s="266" t="str">
        <f>IF($D245="","",SUM($G245)*SUM(INDEX(InputOutput!$AN$71:$AN$100,MATCH($D245,InputOutput!$D$71:$D$100,0))))</f>
        <v/>
      </c>
      <c r="Q245" s="673" t="str">
        <f>IF(D245="","",IF(AG245,INDEX(A_InstData!$F$102:$F$121,MATCH(D245,CNTR_List_ExistPurchPrecNames,0)),""))</f>
        <v/>
      </c>
      <c r="R245" s="678" t="str">
        <f>IF($D245="","",SUM($G245)*SUM(INDEX(F_Tools!$T$101:$T$130,MATCH($D245,F_Tools!$E$101:$E$130,0))))</f>
        <v/>
      </c>
      <c r="S245" s="669" t="str">
        <f>IF($D245="","",SUM($G245)*SUM(INDEX(F_Tools!$U$101:$U$130,MATCH($D245,F_Tools!$E$101:$E$130,0))))</f>
        <v/>
      </c>
      <c r="T245" s="428"/>
      <c r="Z245" s="123"/>
      <c r="AB245" s="268" t="str">
        <f>CONST_PrecursorToGoodInput &amp; D245 &amp; "_" &amp; D234</f>
        <v>PrecToGood__</v>
      </c>
      <c r="AD245" s="269">
        <f>SUMIF(D_Processes!R:R,AB245,D_Processes!K:K)</f>
        <v>0</v>
      </c>
      <c r="AE245" s="268">
        <f>SUMIF(D_Processes!R:R,CONST_CNTR_TotProd &amp; D245,D_Processes!L:L)</f>
        <v>0</v>
      </c>
      <c r="AG245" s="102" t="b">
        <f t="shared" si="48"/>
        <v>0</v>
      </c>
    </row>
    <row r="246" spans="1:33" ht="12.75" customHeight="1" outlineLevel="1" x14ac:dyDescent="0.35">
      <c r="A246" s="92"/>
      <c r="B246" s="94"/>
      <c r="C246" s="978">
        <v>9</v>
      </c>
      <c r="D246" s="1417" t="str">
        <f>IF(D234="","",IF(COUNTIF(INDEX(CNTR_IOSupplyChain,MATCH(D234,CNTR_IOProcAndPrec,0),),C246)=0,"",INDEX(CNTR_IOProcAndPrec,MATCH(C246,INDEX(CNTR_IOSupplyChain,MATCH(D234,CNTR_IOProcAndPrec,0),),0))))</f>
        <v/>
      </c>
      <c r="E246" s="1418"/>
      <c r="F246" s="265" t="str">
        <f t="shared" si="47"/>
        <v/>
      </c>
      <c r="G246" s="266" t="str">
        <f>IF(D246="","",INDEX(CNTR_Matrix_Inv,MATCH(D234,CNTR_IOProcAndPrec,0),MATCH(D246,CNTR_IOProcAndPrec,0)))</f>
        <v/>
      </c>
      <c r="H246" s="286" t="str">
        <f>IF(D246="","",IF(AG246,INDEX(E_PurchPrec!U:U,MATCH(CONST_PurchPrecDefaultUsed&amp;D246,E_PurchPrec!R:R,0)),CONST_NA))</f>
        <v/>
      </c>
      <c r="I246" s="266" t="str">
        <f>IF($D246="","",SUM($G246)*SUM(INDEX(InputOutput!$AJ$71:$AJ$100,MATCH($D246,InputOutput!$D$71:$D$100,0))))</f>
        <v/>
      </c>
      <c r="J246" s="266" t="str">
        <f>IF($D246="","",SUM($G246)*SUM(INDEX(InputOutput!$AL$71:$AL$100,MATCH($D246,InputOutput!$D$71:$D$100,0))))</f>
        <v/>
      </c>
      <c r="K246" s="266" t="str">
        <f t="shared" si="45"/>
        <v/>
      </c>
      <c r="L246" s="267" t="str">
        <f>IF(D246="","",SUM(I246)*SUM(AD237))</f>
        <v/>
      </c>
      <c r="M246" s="267" t="str">
        <f>IF(D246="","",SUM(J246)*SUM(AD237))</f>
        <v/>
      </c>
      <c r="N246" s="267" t="str">
        <f t="shared" si="46"/>
        <v/>
      </c>
      <c r="O246" s="267" t="str">
        <f>IF(AG246,INDEX(E_PurchPrec!U:U,MATCH(CONST_CNTR_ElecEFMethod&amp;D246,E_PurchPrec!R:R,0)),INDEX(D_Processes!T:T,MATCH(CONST_CNTR_ElecEFMethod&amp;D246,D_Processes!R:R,0)))</f>
        <v/>
      </c>
      <c r="P246" s="266" t="str">
        <f>IF($D246="","",SUM($G246)*SUM(INDEX(InputOutput!$AN$71:$AN$100,MATCH($D246,InputOutput!$D$71:$D$100,0))))</f>
        <v/>
      </c>
      <c r="Q246" s="673" t="str">
        <f>IF(D246="","",IF(AG246,INDEX(A_InstData!$F$102:$F$121,MATCH(D246,CNTR_List_ExistPurchPrecNames,0)),""))</f>
        <v/>
      </c>
      <c r="R246" s="678" t="str">
        <f>IF($D246="","",SUM($G246)*SUM(INDEX(F_Tools!$T$101:$T$130,MATCH($D246,F_Tools!$E$101:$E$130,0))))</f>
        <v/>
      </c>
      <c r="S246" s="669" t="str">
        <f>IF($D246="","",SUM($G246)*SUM(INDEX(F_Tools!$U$101:$U$130,MATCH($D246,F_Tools!$E$101:$E$130,0))))</f>
        <v/>
      </c>
      <c r="T246" s="428"/>
      <c r="Z246" s="123"/>
      <c r="AB246" s="268" t="str">
        <f>CONST_PrecursorToGoodInput &amp; D246 &amp; "_" &amp; D234</f>
        <v>PrecToGood__</v>
      </c>
      <c r="AD246" s="269">
        <f>SUMIF(D_Processes!R:R,AB246,D_Processes!K:K)</f>
        <v>0</v>
      </c>
      <c r="AE246" s="268">
        <f>SUMIF(D_Processes!R:R,CONST_CNTR_TotProd &amp; D246,D_Processes!L:L)</f>
        <v>0</v>
      </c>
      <c r="AG246" s="102" t="b">
        <f t="shared" si="48"/>
        <v>0</v>
      </c>
    </row>
    <row r="247" spans="1:33" ht="12.75" customHeight="1" outlineLevel="1" x14ac:dyDescent="0.35">
      <c r="A247" s="92"/>
      <c r="B247" s="94"/>
      <c r="C247" s="978">
        <v>10</v>
      </c>
      <c r="D247" s="1417" t="str">
        <f>IF(D234="","",IF(COUNTIF(INDEX(CNTR_IOSupplyChain,MATCH(D234,CNTR_IOProcAndPrec,0),),C247)=0,"",INDEX(CNTR_IOProcAndPrec,MATCH(C247,INDEX(CNTR_IOSupplyChain,MATCH(D234,CNTR_IOProcAndPrec,0),),0))))</f>
        <v/>
      </c>
      <c r="E247" s="1418"/>
      <c r="F247" s="265" t="str">
        <f t="shared" si="47"/>
        <v/>
      </c>
      <c r="G247" s="266" t="str">
        <f>IF(D247="","",INDEX(CNTR_Matrix_Inv,MATCH(D234,CNTR_IOProcAndPrec,0),MATCH(D247,CNTR_IOProcAndPrec,0)))</f>
        <v/>
      </c>
      <c r="H247" s="286" t="str">
        <f>IF(D247="","",IF(AG247,INDEX(E_PurchPrec!U:U,MATCH(CONST_PurchPrecDefaultUsed&amp;D247,E_PurchPrec!R:R,0)),CONST_NA))</f>
        <v/>
      </c>
      <c r="I247" s="266" t="str">
        <f>IF($D247="","",SUM($G247)*SUM(INDEX(InputOutput!$AJ$71:$AJ$100,MATCH($D247,InputOutput!$D$71:$D$100,0))))</f>
        <v/>
      </c>
      <c r="J247" s="266" t="str">
        <f>IF($D247="","",SUM($G247)*SUM(INDEX(InputOutput!$AL$71:$AL$100,MATCH($D247,InputOutput!$D$71:$D$100,0))))</f>
        <v/>
      </c>
      <c r="K247" s="266" t="str">
        <f t="shared" si="45"/>
        <v/>
      </c>
      <c r="L247" s="267" t="str">
        <f>IF(D247="","",SUM(I247)*SUM(AD237))</f>
        <v/>
      </c>
      <c r="M247" s="267" t="str">
        <f>IF(D247="","",SUM(J247)*SUM(AD237))</f>
        <v/>
      </c>
      <c r="N247" s="267" t="str">
        <f t="shared" si="46"/>
        <v/>
      </c>
      <c r="O247" s="267" t="str">
        <f>IF(AG247,INDEX(E_PurchPrec!U:U,MATCH(CONST_CNTR_ElecEFMethod&amp;D247,E_PurchPrec!R:R,0)),INDEX(D_Processes!T:T,MATCH(CONST_CNTR_ElecEFMethod&amp;D247,D_Processes!R:R,0)))</f>
        <v/>
      </c>
      <c r="P247" s="266" t="str">
        <f>IF($D247="","",SUM($G247)*SUM(INDEX(InputOutput!$AN$71:$AN$100,MATCH($D247,InputOutput!$D$71:$D$100,0))))</f>
        <v/>
      </c>
      <c r="Q247" s="673" t="str">
        <f>IF(D247="","",IF(AG247,INDEX(A_InstData!$F$102:$F$121,MATCH(D247,CNTR_List_ExistPurchPrecNames,0)),""))</f>
        <v/>
      </c>
      <c r="R247" s="678" t="str">
        <f>IF($D247="","",SUM($G247)*SUM(INDEX(F_Tools!$T$101:$T$130,MATCH($D247,F_Tools!$E$101:$E$130,0))))</f>
        <v/>
      </c>
      <c r="S247" s="669" t="str">
        <f>IF($D247="","",SUM($G247)*SUM(INDEX(F_Tools!$U$101:$U$130,MATCH($D247,F_Tools!$E$101:$E$130,0))))</f>
        <v/>
      </c>
      <c r="T247" s="428"/>
      <c r="Z247" s="123"/>
      <c r="AB247" s="268" t="str">
        <f>CONST_PrecursorToGoodInput &amp; D247 &amp; "_" &amp; D234</f>
        <v>PrecToGood__</v>
      </c>
      <c r="AD247" s="269">
        <f>SUMIF(D_Processes!R:R,AB247,D_Processes!K:K)</f>
        <v>0</v>
      </c>
      <c r="AE247" s="268">
        <f>SUMIF(D_Processes!R:R,CONST_CNTR_TotProd &amp; D247,D_Processes!L:L)</f>
        <v>0</v>
      </c>
      <c r="AG247" s="102" t="b">
        <f t="shared" si="48"/>
        <v>0</v>
      </c>
    </row>
    <row r="248" spans="1:33" ht="12.75" customHeight="1" outlineLevel="1" x14ac:dyDescent="0.35">
      <c r="A248" s="92"/>
      <c r="B248" s="94"/>
      <c r="C248" s="978">
        <v>11</v>
      </c>
      <c r="D248" s="1417" t="str">
        <f>IF(D234="","",IF(COUNTIF(INDEX(CNTR_IOSupplyChain,MATCH(D234,CNTR_IOProcAndPrec,0),),C248)=0,"",INDEX(CNTR_IOProcAndPrec,MATCH(C248,INDEX(CNTR_IOSupplyChain,MATCH(D234,CNTR_IOProcAndPrec,0),),0))))</f>
        <v/>
      </c>
      <c r="E248" s="1418"/>
      <c r="F248" s="265" t="str">
        <f t="shared" si="47"/>
        <v/>
      </c>
      <c r="G248" s="266" t="str">
        <f>IF(D248="","",INDEX(CNTR_Matrix_Inv,MATCH(D234,CNTR_IOProcAndPrec,0),MATCH(D248,CNTR_IOProcAndPrec,0)))</f>
        <v/>
      </c>
      <c r="H248" s="286" t="str">
        <f>IF(D248="","",IF(AG248,INDEX(E_PurchPrec!U:U,MATCH(CONST_PurchPrecDefaultUsed&amp;D248,E_PurchPrec!R:R,0)),CONST_NA))</f>
        <v/>
      </c>
      <c r="I248" s="266" t="str">
        <f>IF($D248="","",SUM($G248)*SUM(INDEX(InputOutput!$AJ$71:$AJ$100,MATCH($D248,InputOutput!$D$71:$D$100,0))))</f>
        <v/>
      </c>
      <c r="J248" s="266" t="str">
        <f>IF($D248="","",SUM($G248)*SUM(INDEX(InputOutput!$AL$71:$AL$100,MATCH($D248,InputOutput!$D$71:$D$100,0))))</f>
        <v/>
      </c>
      <c r="K248" s="266" t="str">
        <f t="shared" si="45"/>
        <v/>
      </c>
      <c r="L248" s="267" t="str">
        <f>IF(D248="","",SUM(I248)*SUM(AD237))</f>
        <v/>
      </c>
      <c r="M248" s="267" t="str">
        <f>IF(D248="","",SUM(J248)*SUM(AD237))</f>
        <v/>
      </c>
      <c r="N248" s="267" t="str">
        <f t="shared" si="46"/>
        <v/>
      </c>
      <c r="O248" s="267" t="str">
        <f>IF(AG248,INDEX(E_PurchPrec!U:U,MATCH(CONST_CNTR_ElecEFMethod&amp;D248,E_PurchPrec!R:R,0)),INDEX(D_Processes!T:T,MATCH(CONST_CNTR_ElecEFMethod&amp;D248,D_Processes!R:R,0)))</f>
        <v/>
      </c>
      <c r="P248" s="266" t="str">
        <f>IF($D248="","",SUM($G248)*SUM(INDEX(InputOutput!$AN$71:$AN$100,MATCH($D248,InputOutput!$D$71:$D$100,0))))</f>
        <v/>
      </c>
      <c r="Q248" s="673" t="str">
        <f>IF(D248="","",IF(AG248,INDEX(A_InstData!$F$102:$F$121,MATCH(D248,CNTR_List_ExistPurchPrecNames,0)),""))</f>
        <v/>
      </c>
      <c r="R248" s="678" t="str">
        <f>IF($D248="","",SUM($G248)*SUM(INDEX(F_Tools!$T$101:$T$130,MATCH($D248,F_Tools!$E$101:$E$130,0))))</f>
        <v/>
      </c>
      <c r="S248" s="669" t="str">
        <f>IF($D248="","",SUM($G248)*SUM(INDEX(F_Tools!$U$101:$U$130,MATCH($D248,F_Tools!$E$101:$E$130,0))))</f>
        <v/>
      </c>
      <c r="T248" s="428"/>
      <c r="Z248" s="123"/>
      <c r="AB248" s="268" t="str">
        <f>CONST_PrecursorToGoodInput &amp; D248 &amp; "_" &amp; D234</f>
        <v>PrecToGood__</v>
      </c>
      <c r="AD248" s="269">
        <f>SUMIF(D_Processes!R:R,AB248,D_Processes!K:K)</f>
        <v>0</v>
      </c>
      <c r="AE248" s="268">
        <f>SUMIF(D_Processes!R:R,CONST_CNTR_TotProd &amp; D248,D_Processes!L:L)</f>
        <v>0</v>
      </c>
      <c r="AG248" s="102" t="b">
        <f t="shared" si="48"/>
        <v>0</v>
      </c>
    </row>
    <row r="249" spans="1:33" ht="12.75" customHeight="1" outlineLevel="1" x14ac:dyDescent="0.35">
      <c r="A249" s="92"/>
      <c r="B249" s="94"/>
      <c r="C249" s="978">
        <v>12</v>
      </c>
      <c r="D249" s="1417" t="str">
        <f>IF(D234="","",IF(COUNTIF(INDEX(CNTR_IOSupplyChain,MATCH(D234,CNTR_IOProcAndPrec,0),),C249)=0,"",INDEX(CNTR_IOProcAndPrec,MATCH(C249,INDEX(CNTR_IOSupplyChain,MATCH(D234,CNTR_IOProcAndPrec,0),),0))))</f>
        <v/>
      </c>
      <c r="E249" s="1418"/>
      <c r="F249" s="265" t="str">
        <f t="shared" si="47"/>
        <v/>
      </c>
      <c r="G249" s="266" t="str">
        <f>IF(D249="","",INDEX(CNTR_Matrix_Inv,MATCH(D234,CNTR_IOProcAndPrec,0),MATCH(D249,CNTR_IOProcAndPrec,0)))</f>
        <v/>
      </c>
      <c r="H249" s="286" t="str">
        <f>IF(D249="","",IF(AG249,INDEX(E_PurchPrec!U:U,MATCH(CONST_PurchPrecDefaultUsed&amp;D249,E_PurchPrec!R:R,0)),CONST_NA))</f>
        <v/>
      </c>
      <c r="I249" s="266" t="str">
        <f>IF($D249="","",SUM($G249)*SUM(INDEX(InputOutput!$AJ$71:$AJ$100,MATCH($D249,InputOutput!$D$71:$D$100,0))))</f>
        <v/>
      </c>
      <c r="J249" s="266" t="str">
        <f>IF($D249="","",SUM($G249)*SUM(INDEX(InputOutput!$AL$71:$AL$100,MATCH($D249,InputOutput!$D$71:$D$100,0))))</f>
        <v/>
      </c>
      <c r="K249" s="266" t="str">
        <f t="shared" si="45"/>
        <v/>
      </c>
      <c r="L249" s="267" t="str">
        <f>IF(D249="","",SUM(I249)*SUM(AD237))</f>
        <v/>
      </c>
      <c r="M249" s="267" t="str">
        <f>IF(D249="","",SUM(J249)*SUM(AD237))</f>
        <v/>
      </c>
      <c r="N249" s="267" t="str">
        <f t="shared" si="46"/>
        <v/>
      </c>
      <c r="O249" s="267" t="str">
        <f>IF(AG249,INDEX(E_PurchPrec!U:U,MATCH(CONST_CNTR_ElecEFMethod&amp;D249,E_PurchPrec!R:R,0)),INDEX(D_Processes!T:T,MATCH(CONST_CNTR_ElecEFMethod&amp;D249,D_Processes!R:R,0)))</f>
        <v/>
      </c>
      <c r="P249" s="266" t="str">
        <f>IF($D249="","",SUM($G249)*SUM(INDEX(InputOutput!$AN$71:$AN$100,MATCH($D249,InputOutput!$D$71:$D$100,0))))</f>
        <v/>
      </c>
      <c r="Q249" s="673" t="str">
        <f>IF(D249="","",IF(AG249,INDEX(A_InstData!$F$102:$F$121,MATCH(D249,CNTR_List_ExistPurchPrecNames,0)),""))</f>
        <v/>
      </c>
      <c r="R249" s="678" t="str">
        <f>IF($D249="","",SUM($G249)*SUM(INDEX(F_Tools!$T$101:$T$130,MATCH($D249,F_Tools!$E$101:$E$130,0))))</f>
        <v/>
      </c>
      <c r="S249" s="669" t="str">
        <f>IF($D249="","",SUM($G249)*SUM(INDEX(F_Tools!$U$101:$U$130,MATCH($D249,F_Tools!$E$101:$E$130,0))))</f>
        <v/>
      </c>
      <c r="T249" s="428"/>
      <c r="Z249" s="123"/>
      <c r="AB249" s="268" t="str">
        <f>CONST_PrecursorToGoodInput &amp; D249 &amp; "_" &amp; D234</f>
        <v>PrecToGood__</v>
      </c>
      <c r="AD249" s="269">
        <f>SUMIF(D_Processes!R:R,AB249,D_Processes!K:K)</f>
        <v>0</v>
      </c>
      <c r="AE249" s="268">
        <f>SUMIF(D_Processes!R:R,CONST_CNTR_TotProd &amp; D249,D_Processes!L:L)</f>
        <v>0</v>
      </c>
      <c r="AG249" s="102" t="b">
        <f t="shared" si="48"/>
        <v>0</v>
      </c>
    </row>
    <row r="250" spans="1:33" ht="12.75" customHeight="1" outlineLevel="1" x14ac:dyDescent="0.35">
      <c r="A250" s="92"/>
      <c r="B250" s="94"/>
      <c r="C250" s="978">
        <v>13</v>
      </c>
      <c r="D250" s="1417" t="str">
        <f>IF(D234="","",IF(COUNTIF(INDEX(CNTR_IOSupplyChain,MATCH(D234,CNTR_IOProcAndPrec,0),),C250)=0,"",INDEX(CNTR_IOProcAndPrec,MATCH(C250,INDEX(CNTR_IOSupplyChain,MATCH(D234,CNTR_IOProcAndPrec,0),),0))))</f>
        <v/>
      </c>
      <c r="E250" s="1418"/>
      <c r="F250" s="265" t="str">
        <f t="shared" si="47"/>
        <v/>
      </c>
      <c r="G250" s="266" t="str">
        <f>IF(D250="","",INDEX(CNTR_Matrix_Inv,MATCH(D234,CNTR_IOProcAndPrec,0),MATCH(D250,CNTR_IOProcAndPrec,0)))</f>
        <v/>
      </c>
      <c r="H250" s="286" t="str">
        <f>IF(D250="","",IF(AG250,INDEX(E_PurchPrec!U:U,MATCH(CONST_PurchPrecDefaultUsed&amp;D250,E_PurchPrec!R:R,0)),CONST_NA))</f>
        <v/>
      </c>
      <c r="I250" s="266" t="str">
        <f>IF($D250="","",SUM($G250)*SUM(INDEX(InputOutput!$AJ$71:$AJ$100,MATCH($D250,InputOutput!$D$71:$D$100,0))))</f>
        <v/>
      </c>
      <c r="J250" s="266" t="str">
        <f>IF($D250="","",SUM($G250)*SUM(INDEX(InputOutput!$AL$71:$AL$100,MATCH($D250,InputOutput!$D$71:$D$100,0))))</f>
        <v/>
      </c>
      <c r="K250" s="266" t="str">
        <f t="shared" si="45"/>
        <v/>
      </c>
      <c r="L250" s="267" t="str">
        <f>IF(D250="","",SUM(I250)*SUM(AD237))</f>
        <v/>
      </c>
      <c r="M250" s="267" t="str">
        <f>IF(D250="","",SUM(J250)*SUM(AD237))</f>
        <v/>
      </c>
      <c r="N250" s="267" t="str">
        <f t="shared" si="46"/>
        <v/>
      </c>
      <c r="O250" s="267" t="str">
        <f>IF(AG250,INDEX(E_PurchPrec!U:U,MATCH(CONST_CNTR_ElecEFMethod&amp;D250,E_PurchPrec!R:R,0)),INDEX(D_Processes!T:T,MATCH(CONST_CNTR_ElecEFMethod&amp;D250,D_Processes!R:R,0)))</f>
        <v/>
      </c>
      <c r="P250" s="266" t="str">
        <f>IF($D250="","",SUM($G250)*SUM(INDEX(InputOutput!$AN$71:$AN$100,MATCH($D250,InputOutput!$D$71:$D$100,0))))</f>
        <v/>
      </c>
      <c r="Q250" s="673" t="str">
        <f>IF(D250="","",IF(AG250,INDEX(A_InstData!$F$102:$F$121,MATCH(D250,CNTR_List_ExistPurchPrecNames,0)),""))</f>
        <v/>
      </c>
      <c r="R250" s="678" t="str">
        <f>IF($D250="","",SUM($G250)*SUM(INDEX(F_Tools!$T$101:$T$130,MATCH($D250,F_Tools!$E$101:$E$130,0))))</f>
        <v/>
      </c>
      <c r="S250" s="669" t="str">
        <f>IF($D250="","",SUM($G250)*SUM(INDEX(F_Tools!$U$101:$U$130,MATCH($D250,F_Tools!$E$101:$E$130,0))))</f>
        <v/>
      </c>
      <c r="T250" s="428"/>
      <c r="Z250" s="123"/>
      <c r="AB250" s="268" t="str">
        <f>CONST_PrecursorToGoodInput &amp; D250 &amp; "_" &amp; D234</f>
        <v>PrecToGood__</v>
      </c>
      <c r="AD250" s="269">
        <f>SUMIF(D_Processes!R:R,AB250,D_Processes!K:K)</f>
        <v>0</v>
      </c>
      <c r="AE250" s="268">
        <f>SUMIF(D_Processes!R:R,CONST_CNTR_TotProd &amp; D250,D_Processes!L:L)</f>
        <v>0</v>
      </c>
      <c r="AG250" s="102" t="b">
        <f t="shared" si="48"/>
        <v>0</v>
      </c>
    </row>
    <row r="251" spans="1:33" ht="12.75" customHeight="1" outlineLevel="1" x14ac:dyDescent="0.35">
      <c r="A251" s="92"/>
      <c r="B251" s="94"/>
      <c r="C251" s="978">
        <v>14</v>
      </c>
      <c r="D251" s="1417" t="str">
        <f>IF(D234="","",IF(COUNTIF(INDEX(CNTR_IOSupplyChain,MATCH(D234,CNTR_IOProcAndPrec,0),),C251)=0,"",INDEX(CNTR_IOProcAndPrec,MATCH(C251,INDEX(CNTR_IOSupplyChain,MATCH(D234,CNTR_IOProcAndPrec,0),),0))))</f>
        <v/>
      </c>
      <c r="E251" s="1418"/>
      <c r="F251" s="265" t="str">
        <f t="shared" si="47"/>
        <v/>
      </c>
      <c r="G251" s="266" t="str">
        <f>IF(D251="","",INDEX(CNTR_Matrix_Inv,MATCH(D234,CNTR_IOProcAndPrec,0),MATCH(D251,CNTR_IOProcAndPrec,0)))</f>
        <v/>
      </c>
      <c r="H251" s="286" t="str">
        <f>IF(D251="","",IF(AG251,INDEX(E_PurchPrec!U:U,MATCH(CONST_PurchPrecDefaultUsed&amp;D251,E_PurchPrec!R:R,0)),CONST_NA))</f>
        <v/>
      </c>
      <c r="I251" s="266" t="str">
        <f>IF($D251="","",SUM($G251)*SUM(INDEX(InputOutput!$AJ$71:$AJ$100,MATCH($D251,InputOutput!$D$71:$D$100,0))))</f>
        <v/>
      </c>
      <c r="J251" s="266" t="str">
        <f>IF($D251="","",SUM($G251)*SUM(INDEX(InputOutput!$AL$71:$AL$100,MATCH($D251,InputOutput!$D$71:$D$100,0))))</f>
        <v/>
      </c>
      <c r="K251" s="266" t="str">
        <f t="shared" si="45"/>
        <v/>
      </c>
      <c r="L251" s="267" t="str">
        <f>IF(D251="","",SUM(I251)*SUM(AD237))</f>
        <v/>
      </c>
      <c r="M251" s="267" t="str">
        <f>IF(D251="","",SUM(J251)*SUM(AD237))</f>
        <v/>
      </c>
      <c r="N251" s="267" t="str">
        <f t="shared" si="46"/>
        <v/>
      </c>
      <c r="O251" s="267" t="str">
        <f>IF(AG251,INDEX(E_PurchPrec!U:U,MATCH(CONST_CNTR_ElecEFMethod&amp;D251,E_PurchPrec!R:R,0)),INDEX(D_Processes!T:T,MATCH(CONST_CNTR_ElecEFMethod&amp;D251,D_Processes!R:R,0)))</f>
        <v/>
      </c>
      <c r="P251" s="266" t="str">
        <f>IF($D251="","",SUM($G251)*SUM(INDEX(InputOutput!$AN$71:$AN$100,MATCH($D251,InputOutput!$D$71:$D$100,0))))</f>
        <v/>
      </c>
      <c r="Q251" s="673" t="str">
        <f>IF(D251="","",IF(AG251,INDEX(A_InstData!$F$102:$F$121,MATCH(D251,CNTR_List_ExistPurchPrecNames,0)),""))</f>
        <v/>
      </c>
      <c r="R251" s="678" t="str">
        <f>IF($D251="","",SUM($G251)*SUM(INDEX(F_Tools!$T$101:$T$130,MATCH($D251,F_Tools!$E$101:$E$130,0))))</f>
        <v/>
      </c>
      <c r="S251" s="669" t="str">
        <f>IF($D251="","",SUM($G251)*SUM(INDEX(F_Tools!$U$101:$U$130,MATCH($D251,F_Tools!$E$101:$E$130,0))))</f>
        <v/>
      </c>
      <c r="T251" s="428"/>
      <c r="Z251" s="123"/>
      <c r="AB251" s="268" t="str">
        <f>CONST_PrecursorToGoodInput &amp; D251 &amp; "_" &amp; D234</f>
        <v>PrecToGood__</v>
      </c>
      <c r="AD251" s="269">
        <f>SUMIF(D_Processes!R:R,AB251,D_Processes!K:K)</f>
        <v>0</v>
      </c>
      <c r="AE251" s="268">
        <f>SUMIF(D_Processes!R:R,CONST_CNTR_TotProd &amp; D251,D_Processes!L:L)</f>
        <v>0</v>
      </c>
      <c r="AG251" s="102" t="b">
        <f t="shared" si="48"/>
        <v>0</v>
      </c>
    </row>
    <row r="252" spans="1:33" ht="12.75" customHeight="1" outlineLevel="1" x14ac:dyDescent="0.35">
      <c r="A252" s="92"/>
      <c r="B252" s="94"/>
      <c r="C252" s="978">
        <v>15</v>
      </c>
      <c r="D252" s="1417" t="str">
        <f>IF(D234="","",IF(COUNTIF(INDEX(CNTR_IOSupplyChain,MATCH(D234,CNTR_IOProcAndPrec,0),),C252)=0,"",INDEX(CNTR_IOProcAndPrec,MATCH(C252,INDEX(CNTR_IOSupplyChain,MATCH(D234,CNTR_IOProcAndPrec,0),),0))))</f>
        <v/>
      </c>
      <c r="E252" s="1418"/>
      <c r="F252" s="265" t="str">
        <f t="shared" si="47"/>
        <v/>
      </c>
      <c r="G252" s="266" t="str">
        <f>IF(D252="","",INDEX(CNTR_Matrix_Inv,MATCH(D234,CNTR_IOProcAndPrec,0),MATCH(D252,CNTR_IOProcAndPrec,0)))</f>
        <v/>
      </c>
      <c r="H252" s="286" t="str">
        <f>IF(D252="","",IF(AG252,INDEX(E_PurchPrec!U:U,MATCH(CONST_PurchPrecDefaultUsed&amp;D252,E_PurchPrec!R:R,0)),CONST_NA))</f>
        <v/>
      </c>
      <c r="I252" s="266" t="str">
        <f>IF($D252="","",SUM($G252)*SUM(INDEX(InputOutput!$AJ$71:$AJ$100,MATCH($D252,InputOutput!$D$71:$D$100,0))))</f>
        <v/>
      </c>
      <c r="J252" s="266" t="str">
        <f>IF($D252="","",SUM($G252)*SUM(INDEX(InputOutput!$AL$71:$AL$100,MATCH($D252,InputOutput!$D$71:$D$100,0))))</f>
        <v/>
      </c>
      <c r="K252" s="266" t="str">
        <f t="shared" si="45"/>
        <v/>
      </c>
      <c r="L252" s="267" t="str">
        <f>IF(D252="","",SUM(I252)*SUM(AD237))</f>
        <v/>
      </c>
      <c r="M252" s="267" t="str">
        <f>IF(D252="","",SUM(J252)*SUM(AD237))</f>
        <v/>
      </c>
      <c r="N252" s="267" t="str">
        <f t="shared" si="46"/>
        <v/>
      </c>
      <c r="O252" s="267" t="str">
        <f>IF(AG252,INDEX(E_PurchPrec!U:U,MATCH(CONST_CNTR_ElecEFMethod&amp;D252,E_PurchPrec!R:R,0)),INDEX(D_Processes!T:T,MATCH(CONST_CNTR_ElecEFMethod&amp;D252,D_Processes!R:R,0)))</f>
        <v/>
      </c>
      <c r="P252" s="266" t="str">
        <f>IF($D252="","",SUM($G252)*SUM(INDEX(InputOutput!$AN$71:$AN$100,MATCH($D252,InputOutput!$D$71:$D$100,0))))</f>
        <v/>
      </c>
      <c r="Q252" s="673" t="str">
        <f>IF(D252="","",IF(AG252,INDEX(A_InstData!$F$102:$F$121,MATCH(D252,CNTR_List_ExistPurchPrecNames,0)),""))</f>
        <v/>
      </c>
      <c r="R252" s="678" t="str">
        <f>IF($D252="","",SUM($G252)*SUM(INDEX(F_Tools!$T$101:$T$130,MATCH($D252,F_Tools!$E$101:$E$130,0))))</f>
        <v/>
      </c>
      <c r="S252" s="669" t="str">
        <f>IF($D252="","",SUM($G252)*SUM(INDEX(F_Tools!$U$101:$U$130,MATCH($D252,F_Tools!$E$101:$E$130,0))))</f>
        <v/>
      </c>
      <c r="T252" s="428"/>
      <c r="Z252" s="123"/>
      <c r="AB252" s="268" t="str">
        <f>CONST_PrecursorToGoodInput &amp; D252 &amp; "_" &amp; D234</f>
        <v>PrecToGood__</v>
      </c>
      <c r="AD252" s="269">
        <f>SUMIF(D_Processes!R:R,AB252,D_Processes!K:K)</f>
        <v>0</v>
      </c>
      <c r="AE252" s="268">
        <f>SUMIF(D_Processes!R:R,CONST_CNTR_TotProd &amp; D252,D_Processes!L:L)</f>
        <v>0</v>
      </c>
      <c r="AG252" s="102" t="b">
        <f t="shared" si="48"/>
        <v>0</v>
      </c>
    </row>
    <row r="253" spans="1:33" ht="12.75" customHeight="1" outlineLevel="1" x14ac:dyDescent="0.35">
      <c r="A253" s="92"/>
      <c r="B253" s="94"/>
      <c r="C253" s="978">
        <v>16</v>
      </c>
      <c r="D253" s="1417" t="str">
        <f>IF(D234="","",IF(COUNTIF(INDEX(CNTR_IOSupplyChain,MATCH(D234,CNTR_IOProcAndPrec,0),),C253)=0,"",INDEX(CNTR_IOProcAndPrec,MATCH(C253,INDEX(CNTR_IOSupplyChain,MATCH(D234,CNTR_IOProcAndPrec,0),),0))))</f>
        <v/>
      </c>
      <c r="E253" s="1418"/>
      <c r="F253" s="265" t="str">
        <f t="shared" si="47"/>
        <v/>
      </c>
      <c r="G253" s="266" t="str">
        <f>IF(D253="","",INDEX(CNTR_Matrix_Inv,MATCH(D234,CNTR_IOProcAndPrec,0),MATCH(D253,CNTR_IOProcAndPrec,0)))</f>
        <v/>
      </c>
      <c r="H253" s="286" t="str">
        <f>IF(D253="","",IF(AG253,INDEX(E_PurchPrec!U:U,MATCH(CONST_PurchPrecDefaultUsed&amp;D253,E_PurchPrec!R:R,0)),CONST_NA))</f>
        <v/>
      </c>
      <c r="I253" s="266" t="str">
        <f>IF($D253="","",SUM($G253)*SUM(INDEX(InputOutput!$AJ$71:$AJ$100,MATCH($D253,InputOutput!$D$71:$D$100,0))))</f>
        <v/>
      </c>
      <c r="J253" s="266" t="str">
        <f>IF($D253="","",SUM($G253)*SUM(INDEX(InputOutput!$AL$71:$AL$100,MATCH($D253,InputOutput!$D$71:$D$100,0))))</f>
        <v/>
      </c>
      <c r="K253" s="266" t="str">
        <f t="shared" si="45"/>
        <v/>
      </c>
      <c r="L253" s="267" t="str">
        <f>IF(D253="","",SUM(I253)*SUM(AD237))</f>
        <v/>
      </c>
      <c r="M253" s="267" t="str">
        <f>IF(D253="","",SUM(J253)*SUM(AD237))</f>
        <v/>
      </c>
      <c r="N253" s="267" t="str">
        <f t="shared" si="46"/>
        <v/>
      </c>
      <c r="O253" s="267" t="str">
        <f>IF(AG253,INDEX(E_PurchPrec!U:U,MATCH(CONST_CNTR_ElecEFMethod&amp;D253,E_PurchPrec!R:R,0)),INDEX(D_Processes!T:T,MATCH(CONST_CNTR_ElecEFMethod&amp;D253,D_Processes!R:R,0)))</f>
        <v/>
      </c>
      <c r="P253" s="266" t="str">
        <f>IF($D253="","",SUM($G253)*SUM(INDEX(InputOutput!$AN$71:$AN$100,MATCH($D253,InputOutput!$D$71:$D$100,0))))</f>
        <v/>
      </c>
      <c r="Q253" s="673" t="str">
        <f>IF(D253="","",IF(AG253,INDEX(A_InstData!$F$102:$F$121,MATCH(D253,CNTR_List_ExistPurchPrecNames,0)),""))</f>
        <v/>
      </c>
      <c r="R253" s="678" t="str">
        <f>IF($D253="","",SUM($G253)*SUM(INDEX(F_Tools!$T$101:$T$130,MATCH($D253,F_Tools!$E$101:$E$130,0))))</f>
        <v/>
      </c>
      <c r="S253" s="669" t="str">
        <f>IF($D253="","",SUM($G253)*SUM(INDEX(F_Tools!$U$101:$U$130,MATCH($D253,F_Tools!$E$101:$E$130,0))))</f>
        <v/>
      </c>
      <c r="T253" s="428"/>
      <c r="Z253" s="123"/>
      <c r="AB253" s="268" t="str">
        <f>CONST_PrecursorToGoodInput &amp; D253 &amp; "_" &amp; D234</f>
        <v>PrecToGood__</v>
      </c>
      <c r="AD253" s="269">
        <f>SUMIF(D_Processes!R:R,AB253,D_Processes!K:K)</f>
        <v>0</v>
      </c>
      <c r="AE253" s="268">
        <f>SUMIF(D_Processes!R:R,CONST_CNTR_TotProd &amp; D253,D_Processes!L:L)</f>
        <v>0</v>
      </c>
      <c r="AG253" s="102" t="b">
        <f t="shared" si="48"/>
        <v>0</v>
      </c>
    </row>
    <row r="254" spans="1:33" ht="12.75" customHeight="1" outlineLevel="1" x14ac:dyDescent="0.35">
      <c r="A254" s="92"/>
      <c r="B254" s="94"/>
      <c r="C254" s="978">
        <v>17</v>
      </c>
      <c r="D254" s="1417" t="str">
        <f>IF(D234="","",IF(COUNTIF(INDEX(CNTR_IOSupplyChain,MATCH(D234,CNTR_IOProcAndPrec,0),),C254)=0,"",INDEX(CNTR_IOProcAndPrec,MATCH(C254,INDEX(CNTR_IOSupplyChain,MATCH(D234,CNTR_IOProcAndPrec,0),),0))))</f>
        <v/>
      </c>
      <c r="E254" s="1418"/>
      <c r="F254" s="265" t="str">
        <f t="shared" si="47"/>
        <v/>
      </c>
      <c r="G254" s="266" t="str">
        <f>IF(D254="","",INDEX(CNTR_Matrix_Inv,MATCH(D234,CNTR_IOProcAndPrec,0),MATCH(D254,CNTR_IOProcAndPrec,0)))</f>
        <v/>
      </c>
      <c r="H254" s="286" t="str">
        <f>IF(D254="","",IF(AG254,INDEX(E_PurchPrec!U:U,MATCH(CONST_PurchPrecDefaultUsed&amp;D254,E_PurchPrec!R:R,0)),CONST_NA))</f>
        <v/>
      </c>
      <c r="I254" s="266" t="str">
        <f>IF($D254="","",SUM($G254)*SUM(INDEX(InputOutput!$AJ$71:$AJ$100,MATCH($D254,InputOutput!$D$71:$D$100,0))))</f>
        <v/>
      </c>
      <c r="J254" s="266" t="str">
        <f>IF($D254="","",SUM($G254)*SUM(INDEX(InputOutput!$AL$71:$AL$100,MATCH($D254,InputOutput!$D$71:$D$100,0))))</f>
        <v/>
      </c>
      <c r="K254" s="266" t="str">
        <f t="shared" si="45"/>
        <v/>
      </c>
      <c r="L254" s="267" t="str">
        <f>IF(D254="","",SUM(I254)*SUM(AD237))</f>
        <v/>
      </c>
      <c r="M254" s="267" t="str">
        <f>IF(D254="","",SUM(J254)*SUM(AD237))</f>
        <v/>
      </c>
      <c r="N254" s="267" t="str">
        <f t="shared" si="46"/>
        <v/>
      </c>
      <c r="O254" s="267" t="str">
        <f>IF(AG254,INDEX(E_PurchPrec!U:U,MATCH(CONST_CNTR_ElecEFMethod&amp;D254,E_PurchPrec!R:R,0)),INDEX(D_Processes!T:T,MATCH(CONST_CNTR_ElecEFMethod&amp;D254,D_Processes!R:R,0)))</f>
        <v/>
      </c>
      <c r="P254" s="266" t="str">
        <f>IF($D254="","",SUM($G254)*SUM(INDEX(InputOutput!$AN$71:$AN$100,MATCH($D254,InputOutput!$D$71:$D$100,0))))</f>
        <v/>
      </c>
      <c r="Q254" s="673" t="str">
        <f>IF(D254="","",IF(AG254,INDEX(A_InstData!$F$102:$F$121,MATCH(D254,CNTR_List_ExistPurchPrecNames,0)),""))</f>
        <v/>
      </c>
      <c r="R254" s="678" t="str">
        <f>IF($D254="","",SUM($G254)*SUM(INDEX(F_Tools!$T$101:$T$130,MATCH($D254,F_Tools!$E$101:$E$130,0))))</f>
        <v/>
      </c>
      <c r="S254" s="669" t="str">
        <f>IF($D254="","",SUM($G254)*SUM(INDEX(F_Tools!$U$101:$U$130,MATCH($D254,F_Tools!$E$101:$E$130,0))))</f>
        <v/>
      </c>
      <c r="T254" s="428"/>
      <c r="Z254" s="123"/>
      <c r="AB254" s="268" t="str">
        <f>CONST_PrecursorToGoodInput &amp; D254 &amp; "_" &amp; D234</f>
        <v>PrecToGood__</v>
      </c>
      <c r="AD254" s="269">
        <f>SUMIF(D_Processes!R:R,AB254,D_Processes!K:K)</f>
        <v>0</v>
      </c>
      <c r="AE254" s="268">
        <f>SUMIF(D_Processes!R:R,CONST_CNTR_TotProd &amp; D254,D_Processes!L:L)</f>
        <v>0</v>
      </c>
      <c r="AG254" s="102" t="b">
        <f t="shared" si="48"/>
        <v>0</v>
      </c>
    </row>
    <row r="255" spans="1:33" ht="12.75" customHeight="1" outlineLevel="1" x14ac:dyDescent="0.35">
      <c r="A255" s="92"/>
      <c r="B255" s="94"/>
      <c r="C255" s="978">
        <v>18</v>
      </c>
      <c r="D255" s="1417" t="str">
        <f>IF(D234="","",IF(COUNTIF(INDEX(CNTR_IOSupplyChain,MATCH(D234,CNTR_IOProcAndPrec,0),),C255)=0,"",INDEX(CNTR_IOProcAndPrec,MATCH(C255,INDEX(CNTR_IOSupplyChain,MATCH(D234,CNTR_IOProcAndPrec,0),),0))))</f>
        <v/>
      </c>
      <c r="E255" s="1418"/>
      <c r="F255" s="265" t="str">
        <f t="shared" si="47"/>
        <v/>
      </c>
      <c r="G255" s="266" t="str">
        <f>IF(D255="","",INDEX(CNTR_Matrix_Inv,MATCH(D234,CNTR_IOProcAndPrec,0),MATCH(D255,CNTR_IOProcAndPrec,0)))</f>
        <v/>
      </c>
      <c r="H255" s="286" t="str">
        <f>IF(D255="","",IF(AG255,INDEX(E_PurchPrec!U:U,MATCH(CONST_PurchPrecDefaultUsed&amp;D255,E_PurchPrec!R:R,0)),CONST_NA))</f>
        <v/>
      </c>
      <c r="I255" s="266" t="str">
        <f>IF($D255="","",SUM($G255)*SUM(INDEX(InputOutput!$AJ$71:$AJ$100,MATCH($D255,InputOutput!$D$71:$D$100,0))))</f>
        <v/>
      </c>
      <c r="J255" s="266" t="str">
        <f>IF($D255="","",SUM($G255)*SUM(INDEX(InputOutput!$AL$71:$AL$100,MATCH($D255,InputOutput!$D$71:$D$100,0))))</f>
        <v/>
      </c>
      <c r="K255" s="266" t="str">
        <f t="shared" si="45"/>
        <v/>
      </c>
      <c r="L255" s="267" t="str">
        <f>IF(D255="","",SUM(I255)*SUM(AD237))</f>
        <v/>
      </c>
      <c r="M255" s="267" t="str">
        <f>IF(D255="","",SUM(J255)*SUM(AD237))</f>
        <v/>
      </c>
      <c r="N255" s="267" t="str">
        <f t="shared" si="46"/>
        <v/>
      </c>
      <c r="O255" s="267" t="str">
        <f>IF(AG255,INDEX(E_PurchPrec!U:U,MATCH(CONST_CNTR_ElecEFMethod&amp;D255,E_PurchPrec!R:R,0)),INDEX(D_Processes!T:T,MATCH(CONST_CNTR_ElecEFMethod&amp;D255,D_Processes!R:R,0)))</f>
        <v/>
      </c>
      <c r="P255" s="266" t="str">
        <f>IF($D255="","",SUM($G255)*SUM(INDEX(InputOutput!$AN$71:$AN$100,MATCH($D255,InputOutput!$D$71:$D$100,0))))</f>
        <v/>
      </c>
      <c r="Q255" s="673" t="str">
        <f>IF(D255="","",IF(AG255,INDEX(A_InstData!$F$102:$F$121,MATCH(D255,CNTR_List_ExistPurchPrecNames,0)),""))</f>
        <v/>
      </c>
      <c r="R255" s="678" t="str">
        <f>IF($D255="","",SUM($G255)*SUM(INDEX(F_Tools!$T$101:$T$130,MATCH($D255,F_Tools!$E$101:$E$130,0))))</f>
        <v/>
      </c>
      <c r="S255" s="669" t="str">
        <f>IF($D255="","",SUM($G255)*SUM(INDEX(F_Tools!$U$101:$U$130,MATCH($D255,F_Tools!$E$101:$E$130,0))))</f>
        <v/>
      </c>
      <c r="T255" s="428"/>
      <c r="Z255" s="123"/>
      <c r="AB255" s="268" t="str">
        <f>CONST_PrecursorToGoodInput &amp; D255 &amp; "_" &amp; D234</f>
        <v>PrecToGood__</v>
      </c>
      <c r="AD255" s="269">
        <f>SUMIF(D_Processes!R:R,AB255,D_Processes!K:K)</f>
        <v>0</v>
      </c>
      <c r="AE255" s="268">
        <f>SUMIF(D_Processes!R:R,CONST_CNTR_TotProd &amp; D255,D_Processes!L:L)</f>
        <v>0</v>
      </c>
      <c r="AG255" s="102" t="b">
        <f t="shared" si="48"/>
        <v>0</v>
      </c>
    </row>
    <row r="256" spans="1:33" ht="12.75" customHeight="1" outlineLevel="1" x14ac:dyDescent="0.35">
      <c r="A256" s="92"/>
      <c r="B256" s="94"/>
      <c r="C256" s="978">
        <v>19</v>
      </c>
      <c r="D256" s="1417" t="str">
        <f>IF(D234="","",IF(COUNTIF(INDEX(CNTR_IOSupplyChain,MATCH(D234,CNTR_IOProcAndPrec,0),),C256)=0,"",INDEX(CNTR_IOProcAndPrec,MATCH(C256,INDEX(CNTR_IOSupplyChain,MATCH(D234,CNTR_IOProcAndPrec,0),),0))))</f>
        <v/>
      </c>
      <c r="E256" s="1418"/>
      <c r="F256" s="265" t="str">
        <f t="shared" si="47"/>
        <v/>
      </c>
      <c r="G256" s="266" t="str">
        <f>IF(D256="","",INDEX(CNTR_Matrix_Inv,MATCH(D234,CNTR_IOProcAndPrec,0),MATCH(D256,CNTR_IOProcAndPrec,0)))</f>
        <v/>
      </c>
      <c r="H256" s="286" t="str">
        <f>IF(D256="","",IF(AG256,INDEX(E_PurchPrec!U:U,MATCH(CONST_PurchPrecDefaultUsed&amp;D256,E_PurchPrec!R:R,0)),CONST_NA))</f>
        <v/>
      </c>
      <c r="I256" s="266" t="str">
        <f>IF($D256="","",SUM($G256)*SUM(INDEX(InputOutput!$AJ$71:$AJ$100,MATCH($D256,InputOutput!$D$71:$D$100,0))))</f>
        <v/>
      </c>
      <c r="J256" s="266" t="str">
        <f>IF($D256="","",SUM($G256)*SUM(INDEX(InputOutput!$AL$71:$AL$100,MATCH($D256,InputOutput!$D$71:$D$100,0))))</f>
        <v/>
      </c>
      <c r="K256" s="266" t="str">
        <f t="shared" si="45"/>
        <v/>
      </c>
      <c r="L256" s="267" t="str">
        <f>IF(D256="","",SUM(I256)*SUM(AD237))</f>
        <v/>
      </c>
      <c r="M256" s="267" t="str">
        <f>IF(D256="","",SUM(J256)*SUM(AD237))</f>
        <v/>
      </c>
      <c r="N256" s="267" t="str">
        <f t="shared" si="46"/>
        <v/>
      </c>
      <c r="O256" s="267" t="str">
        <f>IF(AG256,INDEX(E_PurchPrec!U:U,MATCH(CONST_CNTR_ElecEFMethod&amp;D256,E_PurchPrec!R:R,0)),INDEX(D_Processes!T:T,MATCH(CONST_CNTR_ElecEFMethod&amp;D256,D_Processes!R:R,0)))</f>
        <v/>
      </c>
      <c r="P256" s="266" t="str">
        <f>IF($D256="","",SUM($G256)*SUM(INDEX(InputOutput!$AN$71:$AN$100,MATCH($D256,InputOutput!$D$71:$D$100,0))))</f>
        <v/>
      </c>
      <c r="Q256" s="673" t="str">
        <f>IF(D256="","",IF(AG256,INDEX(A_InstData!$F$102:$F$121,MATCH(D256,CNTR_List_ExistPurchPrecNames,0)),""))</f>
        <v/>
      </c>
      <c r="R256" s="678" t="str">
        <f>IF($D256="","",SUM($G256)*SUM(INDEX(F_Tools!$T$101:$T$130,MATCH($D256,F_Tools!$E$101:$E$130,0))))</f>
        <v/>
      </c>
      <c r="S256" s="669" t="str">
        <f>IF($D256="","",SUM($G256)*SUM(INDEX(F_Tools!$U$101:$U$130,MATCH($D256,F_Tools!$E$101:$E$130,0))))</f>
        <v/>
      </c>
      <c r="T256" s="428"/>
      <c r="Z256" s="123"/>
      <c r="AB256" s="268" t="str">
        <f>CONST_PrecursorToGoodInput &amp; D256 &amp; "_" &amp; D234</f>
        <v>PrecToGood__</v>
      </c>
      <c r="AD256" s="269">
        <f>SUMIF(D_Processes!R:R,AB256,D_Processes!K:K)</f>
        <v>0</v>
      </c>
      <c r="AE256" s="268">
        <f>SUMIF(D_Processes!R:R,CONST_CNTR_TotProd &amp; D256,D_Processes!L:L)</f>
        <v>0</v>
      </c>
      <c r="AG256" s="102" t="b">
        <f t="shared" si="48"/>
        <v>0</v>
      </c>
    </row>
    <row r="257" spans="1:41" ht="12.75" customHeight="1" outlineLevel="1" x14ac:dyDescent="0.35">
      <c r="A257" s="92"/>
      <c r="B257" s="94"/>
      <c r="C257" s="978">
        <v>20</v>
      </c>
      <c r="D257" s="1417" t="str">
        <f>IF(D234="","",IF(COUNTIF(INDEX(CNTR_IOSupplyChain,MATCH(D234,CNTR_IOProcAndPrec,0),),C257)=0,"",INDEX(CNTR_IOProcAndPrec,MATCH(C257,INDEX(CNTR_IOSupplyChain,MATCH(D234,CNTR_IOProcAndPrec,0),),0))))</f>
        <v/>
      </c>
      <c r="E257" s="1418"/>
      <c r="F257" s="265" t="str">
        <f t="shared" si="47"/>
        <v/>
      </c>
      <c r="G257" s="266" t="str">
        <f>IF(D257="","",INDEX(CNTR_Matrix_Inv,MATCH(D234,CNTR_IOProcAndPrec,0),MATCH(D257,CNTR_IOProcAndPrec,0)))</f>
        <v/>
      </c>
      <c r="H257" s="286" t="str">
        <f>IF(D257="","",IF(AG257,INDEX(E_PurchPrec!U:U,MATCH(CONST_PurchPrecDefaultUsed&amp;D257,E_PurchPrec!R:R,0)),CONST_NA))</f>
        <v/>
      </c>
      <c r="I257" s="266" t="str">
        <f>IF($D257="","",SUM($G257)*SUM(INDEX(InputOutput!$AJ$71:$AJ$100,MATCH($D257,InputOutput!$D$71:$D$100,0))))</f>
        <v/>
      </c>
      <c r="J257" s="266" t="str">
        <f>IF($D257="","",SUM($G257)*SUM(INDEX(InputOutput!$AL$71:$AL$100,MATCH($D257,InputOutput!$D$71:$D$100,0))))</f>
        <v/>
      </c>
      <c r="K257" s="266" t="str">
        <f t="shared" si="45"/>
        <v/>
      </c>
      <c r="L257" s="267" t="str">
        <f>IF(D257="","",SUM(I257)*SUM(AD237))</f>
        <v/>
      </c>
      <c r="M257" s="267" t="str">
        <f>IF(D257="","",SUM(J257)*SUM(AD237))</f>
        <v/>
      </c>
      <c r="N257" s="267" t="str">
        <f t="shared" si="46"/>
        <v/>
      </c>
      <c r="O257" s="267" t="str">
        <f>IF(AG257,INDEX(E_PurchPrec!U:U,MATCH(CONST_CNTR_ElecEFMethod&amp;D257,E_PurchPrec!R:R,0)),INDEX(D_Processes!T:T,MATCH(CONST_CNTR_ElecEFMethod&amp;D257,D_Processes!R:R,0)))</f>
        <v/>
      </c>
      <c r="P257" s="266" t="str">
        <f>IF($D257="","",SUM($G257)*SUM(INDEX(InputOutput!$AN$71:$AN$100,MATCH($D257,InputOutput!$D$71:$D$100,0))))</f>
        <v/>
      </c>
      <c r="Q257" s="673" t="str">
        <f>IF(D257="","",IF(AG257,INDEX(A_InstData!$F$102:$F$121,MATCH(D257,CNTR_List_ExistPurchPrecNames,0)),""))</f>
        <v/>
      </c>
      <c r="R257" s="678" t="str">
        <f>IF($D257="","",SUM($G257)*SUM(INDEX(F_Tools!$T$101:$T$130,MATCH($D257,F_Tools!$E$101:$E$130,0))))</f>
        <v/>
      </c>
      <c r="S257" s="669" t="str">
        <f>IF($D257="","",SUM($G257)*SUM(INDEX(F_Tools!$U$101:$U$130,MATCH($D257,F_Tools!$E$101:$E$130,0))))</f>
        <v/>
      </c>
      <c r="T257" s="428"/>
      <c r="Z257" s="123"/>
      <c r="AB257" s="268" t="str">
        <f>CONST_PrecursorToGoodInput &amp; D257 &amp; "_" &amp; D234</f>
        <v>PrecToGood__</v>
      </c>
      <c r="AD257" s="269">
        <f>SUMIF(D_Processes!R:R,AB257,D_Processes!K:K)</f>
        <v>0</v>
      </c>
      <c r="AE257" s="268">
        <f>SUMIF(D_Processes!R:R,CONST_CNTR_TotProd &amp; D257,D_Processes!L:L)</f>
        <v>0</v>
      </c>
      <c r="AG257" s="102" t="b">
        <f t="shared" si="48"/>
        <v>0</v>
      </c>
    </row>
    <row r="258" spans="1:41" ht="12.75" customHeight="1" outlineLevel="1" x14ac:dyDescent="0.35">
      <c r="A258" s="92"/>
      <c r="B258" s="94"/>
      <c r="C258" s="978">
        <v>21</v>
      </c>
      <c r="D258" s="1417" t="str">
        <f>IF(D234="","",IF(COUNTIF(INDEX(CNTR_IOSupplyChain,MATCH(D234,CNTR_IOProcAndPrec,0),),C258)=0,"",INDEX(CNTR_IOProcAndPrec,MATCH(C258,INDEX(CNTR_IOSupplyChain,MATCH(D234,CNTR_IOProcAndPrec,0),),0))))</f>
        <v/>
      </c>
      <c r="E258" s="1418"/>
      <c r="F258" s="265" t="str">
        <f t="shared" si="47"/>
        <v/>
      </c>
      <c r="G258" s="266" t="str">
        <f>IF(D258="","",INDEX(CNTR_Matrix_Inv,MATCH(D234,CNTR_IOProcAndPrec,0),MATCH(D258,CNTR_IOProcAndPrec,0)))</f>
        <v/>
      </c>
      <c r="H258" s="286" t="str">
        <f>IF(D258="","",IF(AG258,INDEX(E_PurchPrec!U:U,MATCH(CONST_PurchPrecDefaultUsed&amp;D258,E_PurchPrec!R:R,0)),CONST_NA))</f>
        <v/>
      </c>
      <c r="I258" s="266" t="str">
        <f>IF($D258="","",SUM($G258)*SUM(INDEX(InputOutput!$AJ$71:$AJ$100,MATCH($D258,InputOutput!$D$71:$D$100,0))))</f>
        <v/>
      </c>
      <c r="J258" s="266" t="str">
        <f>IF($D258="","",SUM($G258)*SUM(INDEX(InputOutput!$AL$71:$AL$100,MATCH($D258,InputOutput!$D$71:$D$100,0))))</f>
        <v/>
      </c>
      <c r="K258" s="266" t="str">
        <f t="shared" si="45"/>
        <v/>
      </c>
      <c r="L258" s="267" t="str">
        <f>IF(D258="","",SUM(I258)*SUM(AD237))</f>
        <v/>
      </c>
      <c r="M258" s="267" t="str">
        <f>IF(D258="","",SUM(J258)*SUM(AD237))</f>
        <v/>
      </c>
      <c r="N258" s="267" t="str">
        <f t="shared" si="46"/>
        <v/>
      </c>
      <c r="O258" s="267" t="str">
        <f>IF(AG258,INDEX(E_PurchPrec!U:U,MATCH(CONST_CNTR_ElecEFMethod&amp;D258,E_PurchPrec!R:R,0)),INDEX(D_Processes!T:T,MATCH(CONST_CNTR_ElecEFMethod&amp;D258,D_Processes!R:R,0)))</f>
        <v/>
      </c>
      <c r="P258" s="266" t="str">
        <f>IF($D258="","",SUM($G258)*SUM(INDEX(InputOutput!$AN$71:$AN$100,MATCH($D258,InputOutput!$D$71:$D$100,0))))</f>
        <v/>
      </c>
      <c r="Q258" s="673" t="str">
        <f>IF(D258="","",IF(AG258,INDEX(A_InstData!$F$102:$F$121,MATCH(D258,CNTR_List_ExistPurchPrecNames,0)),""))</f>
        <v/>
      </c>
      <c r="R258" s="678" t="str">
        <f>IF($D258="","",SUM($G258)*SUM(INDEX(F_Tools!$T$101:$T$130,MATCH($D258,F_Tools!$E$101:$E$130,0))))</f>
        <v/>
      </c>
      <c r="S258" s="669" t="str">
        <f>IF($D258="","",SUM($G258)*SUM(INDEX(F_Tools!$U$101:$U$130,MATCH($D258,F_Tools!$E$101:$E$130,0))))</f>
        <v/>
      </c>
      <c r="T258" s="428"/>
      <c r="Z258" s="123"/>
      <c r="AB258" s="268" t="str">
        <f>CONST_PrecursorToGoodInput &amp; D258 &amp; "_" &amp; D234</f>
        <v>PrecToGood__</v>
      </c>
      <c r="AD258" s="269">
        <f>SUMIF(D_Processes!R:R,AB258,D_Processes!K:K)</f>
        <v>0</v>
      </c>
      <c r="AE258" s="268">
        <f>SUMIF(D_Processes!R:R,CONST_CNTR_TotProd &amp; D258,D_Processes!L:L)</f>
        <v>0</v>
      </c>
      <c r="AG258" s="102" t="b">
        <f t="shared" si="48"/>
        <v>0</v>
      </c>
    </row>
    <row r="259" spans="1:41" ht="12.75" customHeight="1" outlineLevel="1" x14ac:dyDescent="0.35">
      <c r="A259" s="92"/>
      <c r="B259" s="94"/>
      <c r="C259" s="978">
        <v>22</v>
      </c>
      <c r="D259" s="1417" t="str">
        <f>IF(D234="","",IF(COUNTIF(INDEX(CNTR_IOSupplyChain,MATCH(D234,CNTR_IOProcAndPrec,0),),C259)=0,"",INDEX(CNTR_IOProcAndPrec,MATCH(C259,INDEX(CNTR_IOSupplyChain,MATCH(D234,CNTR_IOProcAndPrec,0),),0))))</f>
        <v/>
      </c>
      <c r="E259" s="1418"/>
      <c r="F259" s="265" t="str">
        <f t="shared" si="47"/>
        <v/>
      </c>
      <c r="G259" s="266" t="str">
        <f>IF(D259="","",INDEX(CNTR_Matrix_Inv,MATCH(D234,CNTR_IOProcAndPrec,0),MATCH(D259,CNTR_IOProcAndPrec,0)))</f>
        <v/>
      </c>
      <c r="H259" s="286" t="str">
        <f>IF(D259="","",IF(AG259,INDEX(E_PurchPrec!U:U,MATCH(CONST_PurchPrecDefaultUsed&amp;D259,E_PurchPrec!R:R,0)),CONST_NA))</f>
        <v/>
      </c>
      <c r="I259" s="266" t="str">
        <f>IF($D259="","",SUM($G259)*SUM(INDEX(InputOutput!$AJ$71:$AJ$100,MATCH($D259,InputOutput!$D$71:$D$100,0))))</f>
        <v/>
      </c>
      <c r="J259" s="266" t="str">
        <f>IF($D259="","",SUM($G259)*SUM(INDEX(InputOutput!$AL$71:$AL$100,MATCH($D259,InputOutput!$D$71:$D$100,0))))</f>
        <v/>
      </c>
      <c r="K259" s="266" t="str">
        <f t="shared" si="45"/>
        <v/>
      </c>
      <c r="L259" s="267" t="str">
        <f>IF(D259="","",SUM(I259)*SUM(AD237))</f>
        <v/>
      </c>
      <c r="M259" s="267" t="str">
        <f>IF(D259="","",SUM(J259)*SUM(AD237))</f>
        <v/>
      </c>
      <c r="N259" s="267" t="str">
        <f t="shared" si="46"/>
        <v/>
      </c>
      <c r="O259" s="267" t="str">
        <f>IF(AG259,INDEX(E_PurchPrec!U:U,MATCH(CONST_CNTR_ElecEFMethod&amp;D259,E_PurchPrec!R:R,0)),INDEX(D_Processes!T:T,MATCH(CONST_CNTR_ElecEFMethod&amp;D259,D_Processes!R:R,0)))</f>
        <v/>
      </c>
      <c r="P259" s="266" t="str">
        <f>IF($D259="","",SUM($G259)*SUM(INDEX(InputOutput!$AN$71:$AN$100,MATCH($D259,InputOutput!$D$71:$D$100,0))))</f>
        <v/>
      </c>
      <c r="Q259" s="673" t="str">
        <f>IF(D259="","",IF(AG259,INDEX(A_InstData!$F$102:$F$121,MATCH(D259,CNTR_List_ExistPurchPrecNames,0)),""))</f>
        <v/>
      </c>
      <c r="R259" s="678" t="str">
        <f>IF($D259="","",SUM($G259)*SUM(INDEX(F_Tools!$T$101:$T$130,MATCH($D259,F_Tools!$E$101:$E$130,0))))</f>
        <v/>
      </c>
      <c r="S259" s="669" t="str">
        <f>IF($D259="","",SUM($G259)*SUM(INDEX(F_Tools!$U$101:$U$130,MATCH($D259,F_Tools!$E$101:$E$130,0))))</f>
        <v/>
      </c>
      <c r="T259" s="428"/>
      <c r="Z259" s="123"/>
      <c r="AB259" s="268" t="str">
        <f>CONST_PrecursorToGoodInput &amp; D259 &amp; "_" &amp; D234</f>
        <v>PrecToGood__</v>
      </c>
      <c r="AD259" s="269">
        <f>SUMIF(D_Processes!R:R,AB259,D_Processes!K:K)</f>
        <v>0</v>
      </c>
      <c r="AE259" s="268">
        <f>SUMIF(D_Processes!R:R,CONST_CNTR_TotProd &amp; D259,D_Processes!L:L)</f>
        <v>0</v>
      </c>
      <c r="AG259" s="102" t="b">
        <f t="shared" si="48"/>
        <v>0</v>
      </c>
    </row>
    <row r="260" spans="1:41" ht="12.75" customHeight="1" outlineLevel="1" x14ac:dyDescent="0.35">
      <c r="A260" s="92"/>
      <c r="B260" s="94"/>
      <c r="C260" s="978">
        <v>23</v>
      </c>
      <c r="D260" s="1417" t="str">
        <f>IF(D234="","",IF(COUNTIF(INDEX(CNTR_IOSupplyChain,MATCH(D234,CNTR_IOProcAndPrec,0),),C260)=0,"",INDEX(CNTR_IOProcAndPrec,MATCH(C260,INDEX(CNTR_IOSupplyChain,MATCH(D234,CNTR_IOProcAndPrec,0),),0))))</f>
        <v/>
      </c>
      <c r="E260" s="1418"/>
      <c r="F260" s="265" t="str">
        <f t="shared" si="47"/>
        <v/>
      </c>
      <c r="G260" s="266" t="str">
        <f>IF(D260="","",INDEX(CNTR_Matrix_Inv,MATCH(D234,CNTR_IOProcAndPrec,0),MATCH(D260,CNTR_IOProcAndPrec,0)))</f>
        <v/>
      </c>
      <c r="H260" s="286" t="str">
        <f>IF(D260="","",IF(AG260,INDEX(E_PurchPrec!U:U,MATCH(CONST_PurchPrecDefaultUsed&amp;D260,E_PurchPrec!R:R,0)),CONST_NA))</f>
        <v/>
      </c>
      <c r="I260" s="266" t="str">
        <f>IF($D260="","",SUM($G260)*SUM(INDEX(InputOutput!$AJ$71:$AJ$100,MATCH($D260,InputOutput!$D$71:$D$100,0))))</f>
        <v/>
      </c>
      <c r="J260" s="266" t="str">
        <f>IF($D260="","",SUM($G260)*SUM(INDEX(InputOutput!$AL$71:$AL$100,MATCH($D260,InputOutput!$D$71:$D$100,0))))</f>
        <v/>
      </c>
      <c r="K260" s="266" t="str">
        <f t="shared" si="45"/>
        <v/>
      </c>
      <c r="L260" s="267" t="str">
        <f>IF(D260="","",SUM(I260)*SUM(AD237))</f>
        <v/>
      </c>
      <c r="M260" s="267" t="str">
        <f>IF(D260="","",SUM(J260)*SUM(AD237))</f>
        <v/>
      </c>
      <c r="N260" s="267" t="str">
        <f t="shared" si="46"/>
        <v/>
      </c>
      <c r="O260" s="267" t="str">
        <f>IF(AG260,INDEX(E_PurchPrec!U:U,MATCH(CONST_CNTR_ElecEFMethod&amp;D260,E_PurchPrec!R:R,0)),INDEX(D_Processes!T:T,MATCH(CONST_CNTR_ElecEFMethod&amp;D260,D_Processes!R:R,0)))</f>
        <v/>
      </c>
      <c r="P260" s="266" t="str">
        <f>IF($D260="","",SUM($G260)*SUM(INDEX(InputOutput!$AN$71:$AN$100,MATCH($D260,InputOutput!$D$71:$D$100,0))))</f>
        <v/>
      </c>
      <c r="Q260" s="673" t="str">
        <f>IF(D260="","",IF(AG260,INDEX(A_InstData!$F$102:$F$121,MATCH(D260,CNTR_List_ExistPurchPrecNames,0)),""))</f>
        <v/>
      </c>
      <c r="R260" s="678" t="str">
        <f>IF($D260="","",SUM($G260)*SUM(INDEX(F_Tools!$T$101:$T$130,MATCH($D260,F_Tools!$E$101:$E$130,0))))</f>
        <v/>
      </c>
      <c r="S260" s="669" t="str">
        <f>IF($D260="","",SUM($G260)*SUM(INDEX(F_Tools!$U$101:$U$130,MATCH($D260,F_Tools!$E$101:$E$130,0))))</f>
        <v/>
      </c>
      <c r="T260" s="428"/>
      <c r="Z260" s="123"/>
      <c r="AB260" s="268" t="str">
        <f>CONST_PrecursorToGoodInput &amp; D260 &amp; "_" &amp; D234</f>
        <v>PrecToGood__</v>
      </c>
      <c r="AD260" s="269">
        <f>SUMIF(D_Processes!R:R,AB260,D_Processes!K:K)</f>
        <v>0</v>
      </c>
      <c r="AE260" s="268">
        <f>SUMIF(D_Processes!R:R,CONST_CNTR_TotProd &amp; D260,D_Processes!L:L)</f>
        <v>0</v>
      </c>
      <c r="AG260" s="102" t="b">
        <f t="shared" si="48"/>
        <v>0</v>
      </c>
    </row>
    <row r="261" spans="1:41" ht="12.75" customHeight="1" outlineLevel="1" x14ac:dyDescent="0.35">
      <c r="A261" s="92"/>
      <c r="B261" s="94"/>
      <c r="C261" s="978">
        <v>24</v>
      </c>
      <c r="D261" s="1417" t="str">
        <f>IF(D234="","",IF(COUNTIF(INDEX(CNTR_IOSupplyChain,MATCH(D234,CNTR_IOProcAndPrec,0),),C261)=0,"",INDEX(CNTR_IOProcAndPrec,MATCH(C261,INDEX(CNTR_IOSupplyChain,MATCH(D234,CNTR_IOProcAndPrec,0),),0))))</f>
        <v/>
      </c>
      <c r="E261" s="1418"/>
      <c r="F261" s="265" t="str">
        <f t="shared" si="47"/>
        <v/>
      </c>
      <c r="G261" s="266" t="str">
        <f>IF(D261="","",INDEX(CNTR_Matrix_Inv,MATCH(D234,CNTR_IOProcAndPrec,0),MATCH(D261,CNTR_IOProcAndPrec,0)))</f>
        <v/>
      </c>
      <c r="H261" s="286" t="str">
        <f>IF(D261="","",IF(AG261,INDEX(E_PurchPrec!U:U,MATCH(CONST_PurchPrecDefaultUsed&amp;D261,E_PurchPrec!R:R,0)),CONST_NA))</f>
        <v/>
      </c>
      <c r="I261" s="266" t="str">
        <f>IF($D261="","",SUM($G261)*SUM(INDEX(InputOutput!$AJ$71:$AJ$100,MATCH($D261,InputOutput!$D$71:$D$100,0))))</f>
        <v/>
      </c>
      <c r="J261" s="266" t="str">
        <f>IF($D261="","",SUM($G261)*SUM(INDEX(InputOutput!$AL$71:$AL$100,MATCH($D261,InputOutput!$D$71:$D$100,0))))</f>
        <v/>
      </c>
      <c r="K261" s="266" t="str">
        <f t="shared" si="45"/>
        <v/>
      </c>
      <c r="L261" s="267" t="str">
        <f>IF(D261="","",SUM(I261)*SUM(AD237))</f>
        <v/>
      </c>
      <c r="M261" s="267" t="str">
        <f>IF(D261="","",SUM(J261)*SUM(AD237))</f>
        <v/>
      </c>
      <c r="N261" s="267" t="str">
        <f t="shared" si="46"/>
        <v/>
      </c>
      <c r="O261" s="267" t="str">
        <f>IF(AG261,INDEX(E_PurchPrec!U:U,MATCH(CONST_CNTR_ElecEFMethod&amp;D261,E_PurchPrec!R:R,0)),INDEX(D_Processes!T:T,MATCH(CONST_CNTR_ElecEFMethod&amp;D261,D_Processes!R:R,0)))</f>
        <v/>
      </c>
      <c r="P261" s="266" t="str">
        <f>IF($D261="","",SUM($G261)*SUM(INDEX(InputOutput!$AN$71:$AN$100,MATCH($D261,InputOutput!$D$71:$D$100,0))))</f>
        <v/>
      </c>
      <c r="Q261" s="673" t="str">
        <f>IF(D261="","",IF(AG261,INDEX(A_InstData!$F$102:$F$121,MATCH(D261,CNTR_List_ExistPurchPrecNames,0)),""))</f>
        <v/>
      </c>
      <c r="R261" s="678" t="str">
        <f>IF($D261="","",SUM($G261)*SUM(INDEX(F_Tools!$T$101:$T$130,MATCH($D261,F_Tools!$E$101:$E$130,0))))</f>
        <v/>
      </c>
      <c r="S261" s="669" t="str">
        <f>IF($D261="","",SUM($G261)*SUM(INDEX(F_Tools!$U$101:$U$130,MATCH($D261,F_Tools!$E$101:$E$130,0))))</f>
        <v/>
      </c>
      <c r="T261" s="428"/>
      <c r="Z261" s="123"/>
      <c r="AB261" s="268" t="str">
        <f>CONST_PrecursorToGoodInput &amp; D261 &amp; "_" &amp; D234</f>
        <v>PrecToGood__</v>
      </c>
      <c r="AD261" s="269">
        <f>SUMIF(D_Processes!R:R,AB261,D_Processes!K:K)</f>
        <v>0</v>
      </c>
      <c r="AE261" s="268">
        <f>SUMIF(D_Processes!R:R,CONST_CNTR_TotProd &amp; D261,D_Processes!L:L)</f>
        <v>0</v>
      </c>
      <c r="AG261" s="102" t="b">
        <f t="shared" si="48"/>
        <v>0</v>
      </c>
    </row>
    <row r="262" spans="1:41" ht="12.75" customHeight="1" outlineLevel="1" x14ac:dyDescent="0.35">
      <c r="A262" s="92"/>
      <c r="B262" s="94"/>
      <c r="C262" s="978">
        <v>25</v>
      </c>
      <c r="D262" s="1417" t="str">
        <f>IF(D234="","",IF(COUNTIF(INDEX(CNTR_IOSupplyChain,MATCH(D234,CNTR_IOProcAndPrec,0),),C262)=0,"",INDEX(CNTR_IOProcAndPrec,MATCH(C262,INDEX(CNTR_IOSupplyChain,MATCH(D234,CNTR_IOProcAndPrec,0),),0))))</f>
        <v/>
      </c>
      <c r="E262" s="1418"/>
      <c r="F262" s="265" t="str">
        <f t="shared" si="47"/>
        <v/>
      </c>
      <c r="G262" s="266" t="str">
        <f>IF(D262="","",INDEX(CNTR_Matrix_Inv,MATCH(D234,CNTR_IOProcAndPrec,0),MATCH(D262,CNTR_IOProcAndPrec,0)))</f>
        <v/>
      </c>
      <c r="H262" s="286" t="str">
        <f>IF(D262="","",IF(AG262,INDEX(E_PurchPrec!U:U,MATCH(CONST_PurchPrecDefaultUsed&amp;D262,E_PurchPrec!R:R,0)),CONST_NA))</f>
        <v/>
      </c>
      <c r="I262" s="266" t="str">
        <f>IF($D262="","",SUM($G262)*SUM(INDEX(InputOutput!$AJ$71:$AJ$100,MATCH($D262,InputOutput!$D$71:$D$100,0))))</f>
        <v/>
      </c>
      <c r="J262" s="266" t="str">
        <f>IF($D262="","",SUM($G262)*SUM(INDEX(InputOutput!$AL$71:$AL$100,MATCH($D262,InputOutput!$D$71:$D$100,0))))</f>
        <v/>
      </c>
      <c r="K262" s="266" t="str">
        <f t="shared" si="45"/>
        <v/>
      </c>
      <c r="L262" s="267" t="str">
        <f>IF(D262="","",SUM(I262)*SUM(AD237))</f>
        <v/>
      </c>
      <c r="M262" s="267" t="str">
        <f>IF(D262="","",SUM(J262)*SUM(AD237))</f>
        <v/>
      </c>
      <c r="N262" s="267" t="str">
        <f t="shared" si="46"/>
        <v/>
      </c>
      <c r="O262" s="267" t="str">
        <f>IF(AG262,INDEX(E_PurchPrec!U:U,MATCH(CONST_CNTR_ElecEFMethod&amp;D262,E_PurchPrec!R:R,0)),INDEX(D_Processes!T:T,MATCH(CONST_CNTR_ElecEFMethod&amp;D262,D_Processes!R:R,0)))</f>
        <v/>
      </c>
      <c r="P262" s="266" t="str">
        <f>IF($D262="","",SUM($G262)*SUM(INDEX(InputOutput!$AN$71:$AN$100,MATCH($D262,InputOutput!$D$71:$D$100,0))))</f>
        <v/>
      </c>
      <c r="Q262" s="673" t="str">
        <f>IF(D262="","",IF(AG262,INDEX(A_InstData!$F$102:$F$121,MATCH(D262,CNTR_List_ExistPurchPrecNames,0)),""))</f>
        <v/>
      </c>
      <c r="R262" s="678" t="str">
        <f>IF($D262="","",SUM($G262)*SUM(INDEX(F_Tools!$T$101:$T$130,MATCH($D262,F_Tools!$E$101:$E$130,0))))</f>
        <v/>
      </c>
      <c r="S262" s="669" t="str">
        <f>IF($D262="","",SUM($G262)*SUM(INDEX(F_Tools!$U$101:$U$130,MATCH($D262,F_Tools!$E$101:$E$130,0))))</f>
        <v/>
      </c>
      <c r="T262" s="428"/>
      <c r="Z262" s="123"/>
      <c r="AB262" s="268" t="str">
        <f>CONST_PrecursorToGoodInput &amp; D262 &amp; "_" &amp; D234</f>
        <v>PrecToGood__</v>
      </c>
      <c r="AD262" s="269">
        <f>SUMIF(D_Processes!R:R,AB262,D_Processes!K:K)</f>
        <v>0</v>
      </c>
      <c r="AE262" s="268">
        <f>SUMIF(D_Processes!R:R,CONST_CNTR_TotProd &amp; D262,D_Processes!L:L)</f>
        <v>0</v>
      </c>
      <c r="AG262" s="102" t="b">
        <f t="shared" si="48"/>
        <v>0</v>
      </c>
    </row>
    <row r="263" spans="1:41" ht="12.75" customHeight="1" outlineLevel="1" x14ac:dyDescent="0.35">
      <c r="A263" s="92"/>
      <c r="B263" s="94"/>
      <c r="C263" s="978">
        <v>26</v>
      </c>
      <c r="D263" s="1417" t="str">
        <f>IF(D234="","",IF(COUNTIF(INDEX(CNTR_IOSupplyChain,MATCH(D234,CNTR_IOProcAndPrec,0),),C263)=0,"",INDEX(CNTR_IOProcAndPrec,MATCH(C263,INDEX(CNTR_IOSupplyChain,MATCH(D234,CNTR_IOProcAndPrec,0),),0))))</f>
        <v/>
      </c>
      <c r="E263" s="1418"/>
      <c r="F263" s="265" t="str">
        <f t="shared" si="47"/>
        <v/>
      </c>
      <c r="G263" s="266" t="str">
        <f>IF(D263="","",INDEX(CNTR_Matrix_Inv,MATCH(D234,CNTR_IOProcAndPrec,0),MATCH(D263,CNTR_IOProcAndPrec,0)))</f>
        <v/>
      </c>
      <c r="H263" s="286" t="str">
        <f>IF(D263="","",IF(AG263,INDEX(E_PurchPrec!U:U,MATCH(CONST_PurchPrecDefaultUsed&amp;D263,E_PurchPrec!R:R,0)),CONST_NA))</f>
        <v/>
      </c>
      <c r="I263" s="266" t="str">
        <f>IF($D263="","",SUM($G263)*SUM(INDEX(InputOutput!$AJ$71:$AJ$100,MATCH($D263,InputOutput!$D$71:$D$100,0))))</f>
        <v/>
      </c>
      <c r="J263" s="266" t="str">
        <f>IF($D263="","",SUM($G263)*SUM(INDEX(InputOutput!$AL$71:$AL$100,MATCH($D263,InputOutput!$D$71:$D$100,0))))</f>
        <v/>
      </c>
      <c r="K263" s="266" t="str">
        <f t="shared" si="45"/>
        <v/>
      </c>
      <c r="L263" s="267" t="str">
        <f>IF(D263="","",SUM(I263)*SUM(AD237))</f>
        <v/>
      </c>
      <c r="M263" s="267" t="str">
        <f>IF(D263="","",SUM(J263)*SUM(AD237))</f>
        <v/>
      </c>
      <c r="N263" s="267" t="str">
        <f t="shared" si="46"/>
        <v/>
      </c>
      <c r="O263" s="267" t="str">
        <f>IF(AG263,INDEX(E_PurchPrec!U:U,MATCH(CONST_CNTR_ElecEFMethod&amp;D263,E_PurchPrec!R:R,0)),INDEX(D_Processes!T:T,MATCH(CONST_CNTR_ElecEFMethod&amp;D263,D_Processes!R:R,0)))</f>
        <v/>
      </c>
      <c r="P263" s="266" t="str">
        <f>IF($D263="","",SUM($G263)*SUM(INDEX(InputOutput!$AN$71:$AN$100,MATCH($D263,InputOutput!$D$71:$D$100,0))))</f>
        <v/>
      </c>
      <c r="Q263" s="673" t="str">
        <f>IF(D263="","",IF(AG263,INDEX(A_InstData!$F$102:$F$121,MATCH(D263,CNTR_List_ExistPurchPrecNames,0)),""))</f>
        <v/>
      </c>
      <c r="R263" s="678" t="str">
        <f>IF($D263="","",SUM($G263)*SUM(INDEX(F_Tools!$T$101:$T$130,MATCH($D263,F_Tools!$E$101:$E$130,0))))</f>
        <v/>
      </c>
      <c r="S263" s="669" t="str">
        <f>IF($D263="","",SUM($G263)*SUM(INDEX(F_Tools!$U$101:$U$130,MATCH($D263,F_Tools!$E$101:$E$130,0))))</f>
        <v/>
      </c>
      <c r="T263" s="428"/>
      <c r="Z263" s="123"/>
      <c r="AB263" s="268" t="str">
        <f>CONST_PrecursorToGoodInput &amp; D263 &amp; "_" &amp; D234</f>
        <v>PrecToGood__</v>
      </c>
      <c r="AD263" s="269">
        <f>SUMIF(D_Processes!R:R,AB263,D_Processes!K:K)</f>
        <v>0</v>
      </c>
      <c r="AE263" s="268">
        <f>SUMIF(D_Processes!R:R,CONST_CNTR_TotProd &amp; D263,D_Processes!L:L)</f>
        <v>0</v>
      </c>
      <c r="AG263" s="102" t="b">
        <f t="shared" si="48"/>
        <v>0</v>
      </c>
    </row>
    <row r="264" spans="1:41" ht="12.75" customHeight="1" outlineLevel="1" x14ac:dyDescent="0.35">
      <c r="A264" s="92"/>
      <c r="B264" s="94"/>
      <c r="C264" s="978">
        <v>27</v>
      </c>
      <c r="D264" s="1417" t="str">
        <f>IF(D234="","",IF(COUNTIF(INDEX(CNTR_IOSupplyChain,MATCH(D234,CNTR_IOProcAndPrec,0),),C264)=0,"",INDEX(CNTR_IOProcAndPrec,MATCH(C264,INDEX(CNTR_IOSupplyChain,MATCH(D234,CNTR_IOProcAndPrec,0),),0))))</f>
        <v/>
      </c>
      <c r="E264" s="1418"/>
      <c r="F264" s="265" t="str">
        <f t="shared" si="47"/>
        <v/>
      </c>
      <c r="G264" s="266" t="str">
        <f>IF(D264="","",INDEX(CNTR_Matrix_Inv,MATCH(D234,CNTR_IOProcAndPrec,0),MATCH(D264,CNTR_IOProcAndPrec,0)))</f>
        <v/>
      </c>
      <c r="H264" s="286" t="str">
        <f>IF(D264="","",IF(AG264,INDEX(E_PurchPrec!U:U,MATCH(CONST_PurchPrecDefaultUsed&amp;D264,E_PurchPrec!R:R,0)),CONST_NA))</f>
        <v/>
      </c>
      <c r="I264" s="266" t="str">
        <f>IF($D264="","",SUM($G264)*SUM(INDEX(InputOutput!$AJ$71:$AJ$100,MATCH($D264,InputOutput!$D$71:$D$100,0))))</f>
        <v/>
      </c>
      <c r="J264" s="266" t="str">
        <f>IF($D264="","",SUM($G264)*SUM(INDEX(InputOutput!$AL$71:$AL$100,MATCH($D264,InputOutput!$D$71:$D$100,0))))</f>
        <v/>
      </c>
      <c r="K264" s="266" t="str">
        <f t="shared" si="45"/>
        <v/>
      </c>
      <c r="L264" s="267" t="str">
        <f>IF(D264="","",SUM(I264)*SUM(AD237))</f>
        <v/>
      </c>
      <c r="M264" s="267" t="str">
        <f>IF(D264="","",SUM(J264)*SUM(AD237))</f>
        <v/>
      </c>
      <c r="N264" s="267" t="str">
        <f t="shared" si="46"/>
        <v/>
      </c>
      <c r="O264" s="267" t="str">
        <f>IF(AG264,INDEX(E_PurchPrec!U:U,MATCH(CONST_CNTR_ElecEFMethod&amp;D264,E_PurchPrec!R:R,0)),INDEX(D_Processes!T:T,MATCH(CONST_CNTR_ElecEFMethod&amp;D264,D_Processes!R:R,0)))</f>
        <v/>
      </c>
      <c r="P264" s="266" t="str">
        <f>IF($D264="","",SUM($G264)*SUM(INDEX(InputOutput!$AN$71:$AN$100,MATCH($D264,InputOutput!$D$71:$D$100,0))))</f>
        <v/>
      </c>
      <c r="Q264" s="673" t="str">
        <f>IF(D264="","",IF(AG264,INDEX(A_InstData!$F$102:$F$121,MATCH(D264,CNTR_List_ExistPurchPrecNames,0)),""))</f>
        <v/>
      </c>
      <c r="R264" s="678" t="str">
        <f>IF($D264="","",SUM($G264)*SUM(INDEX(F_Tools!$T$101:$T$130,MATCH($D264,F_Tools!$E$101:$E$130,0))))</f>
        <v/>
      </c>
      <c r="S264" s="669" t="str">
        <f>IF($D264="","",SUM($G264)*SUM(INDEX(F_Tools!$U$101:$U$130,MATCH($D264,F_Tools!$E$101:$E$130,0))))</f>
        <v/>
      </c>
      <c r="T264" s="428"/>
      <c r="Z264" s="123"/>
      <c r="AB264" s="268" t="str">
        <f>CONST_PrecursorToGoodInput &amp; D264 &amp; "_" &amp; D234</f>
        <v>PrecToGood__</v>
      </c>
      <c r="AD264" s="269">
        <f>SUMIF(D_Processes!R:R,AB264,D_Processes!K:K)</f>
        <v>0</v>
      </c>
      <c r="AE264" s="268">
        <f>SUMIF(D_Processes!R:R,CONST_CNTR_TotProd &amp; D264,D_Processes!L:L)</f>
        <v>0</v>
      </c>
      <c r="AG264" s="102" t="b">
        <f t="shared" si="48"/>
        <v>0</v>
      </c>
    </row>
    <row r="265" spans="1:41" ht="12.75" customHeight="1" outlineLevel="1" x14ac:dyDescent="0.35">
      <c r="A265" s="92"/>
      <c r="B265" s="94"/>
      <c r="C265" s="978">
        <v>28</v>
      </c>
      <c r="D265" s="1417" t="str">
        <f>IF(D234="","",IF(COUNTIF(INDEX(CNTR_IOSupplyChain,MATCH(D234,CNTR_IOProcAndPrec,0),),C265)=0,"",INDEX(CNTR_IOProcAndPrec,MATCH(C265,INDEX(CNTR_IOSupplyChain,MATCH(D234,CNTR_IOProcAndPrec,0),),0))))</f>
        <v/>
      </c>
      <c r="E265" s="1418"/>
      <c r="F265" s="265" t="str">
        <f t="shared" si="47"/>
        <v/>
      </c>
      <c r="G265" s="266" t="str">
        <f>IF(D265="","",INDEX(CNTR_Matrix_Inv,MATCH(D234,CNTR_IOProcAndPrec,0),MATCH(D265,CNTR_IOProcAndPrec,0)))</f>
        <v/>
      </c>
      <c r="H265" s="286" t="str">
        <f>IF(D265="","",IF(AG265,INDEX(E_PurchPrec!U:U,MATCH(CONST_PurchPrecDefaultUsed&amp;D265,E_PurchPrec!R:R,0)),CONST_NA))</f>
        <v/>
      </c>
      <c r="I265" s="266" t="str">
        <f>IF($D265="","",SUM($G265)*SUM(INDEX(InputOutput!$AJ$71:$AJ$100,MATCH($D265,InputOutput!$D$71:$D$100,0))))</f>
        <v/>
      </c>
      <c r="J265" s="266" t="str">
        <f>IF($D265="","",SUM($G265)*SUM(INDEX(InputOutput!$AL$71:$AL$100,MATCH($D265,InputOutput!$D$71:$D$100,0))))</f>
        <v/>
      </c>
      <c r="K265" s="266" t="str">
        <f t="shared" si="45"/>
        <v/>
      </c>
      <c r="L265" s="267" t="str">
        <f>IF(D265="","",SUM(I265)*SUM(AD237))</f>
        <v/>
      </c>
      <c r="M265" s="267" t="str">
        <f>IF(D265="","",SUM(J265)*SUM(AD237))</f>
        <v/>
      </c>
      <c r="N265" s="267" t="str">
        <f t="shared" si="46"/>
        <v/>
      </c>
      <c r="O265" s="267" t="str">
        <f>IF(AG265,INDEX(E_PurchPrec!U:U,MATCH(CONST_CNTR_ElecEFMethod&amp;D265,E_PurchPrec!R:R,0)),INDEX(D_Processes!T:T,MATCH(CONST_CNTR_ElecEFMethod&amp;D265,D_Processes!R:R,0)))</f>
        <v/>
      </c>
      <c r="P265" s="266" t="str">
        <f>IF($D265="","",SUM($G265)*SUM(INDEX(InputOutput!$AN$71:$AN$100,MATCH($D265,InputOutput!$D$71:$D$100,0))))</f>
        <v/>
      </c>
      <c r="Q265" s="673" t="str">
        <f>IF(D265="","",IF(AG265,INDEX(A_InstData!$F$102:$F$121,MATCH(D265,CNTR_List_ExistPurchPrecNames,0)),""))</f>
        <v/>
      </c>
      <c r="R265" s="678" t="str">
        <f>IF($D265="","",SUM($G265)*SUM(INDEX(F_Tools!$T$101:$T$130,MATCH($D265,F_Tools!$E$101:$E$130,0))))</f>
        <v/>
      </c>
      <c r="S265" s="669" t="str">
        <f>IF($D265="","",SUM($G265)*SUM(INDEX(F_Tools!$U$101:$U$130,MATCH($D265,F_Tools!$E$101:$E$130,0))))</f>
        <v/>
      </c>
      <c r="T265" s="428"/>
      <c r="Z265" s="123"/>
      <c r="AB265" s="268" t="str">
        <f>CONST_PrecursorToGoodInput &amp; D265 &amp; "_" &amp; D234</f>
        <v>PrecToGood__</v>
      </c>
      <c r="AD265" s="269">
        <f>SUMIF(D_Processes!R:R,AB265,D_Processes!K:K)</f>
        <v>0</v>
      </c>
      <c r="AE265" s="268">
        <f>SUMIF(D_Processes!R:R,CONST_CNTR_TotProd &amp; D265,D_Processes!L:L)</f>
        <v>0</v>
      </c>
      <c r="AG265" s="102" t="b">
        <f t="shared" si="48"/>
        <v>0</v>
      </c>
    </row>
    <row r="266" spans="1:41" ht="12.75" customHeight="1" outlineLevel="1" x14ac:dyDescent="0.35">
      <c r="A266" s="92"/>
      <c r="B266" s="94"/>
      <c r="C266" s="978">
        <v>29</v>
      </c>
      <c r="D266" s="1417" t="str">
        <f>IF(D234="","",IF(COUNTIF(INDEX(CNTR_IOSupplyChain,MATCH(D234,CNTR_IOProcAndPrec,0),),C266)=0,"",INDEX(CNTR_IOProcAndPrec,MATCH(C266,INDEX(CNTR_IOSupplyChain,MATCH(D234,CNTR_IOProcAndPrec,0),),0))))</f>
        <v/>
      </c>
      <c r="E266" s="1418"/>
      <c r="F266" s="265" t="str">
        <f t="shared" si="47"/>
        <v/>
      </c>
      <c r="G266" s="266" t="str">
        <f>IF(D266="","",INDEX(CNTR_Matrix_Inv,MATCH(D234,CNTR_IOProcAndPrec,0),MATCH(D266,CNTR_IOProcAndPrec,0)))</f>
        <v/>
      </c>
      <c r="H266" s="286" t="str">
        <f>IF(D266="","",IF(AG266,INDEX(E_PurchPrec!U:U,MATCH(CONST_PurchPrecDefaultUsed&amp;D266,E_PurchPrec!R:R,0)),CONST_NA))</f>
        <v/>
      </c>
      <c r="I266" s="266" t="str">
        <f>IF($D266="","",SUM($G266)*SUM(INDEX(InputOutput!$AJ$71:$AJ$100,MATCH($D266,InputOutput!$D$71:$D$100,0))))</f>
        <v/>
      </c>
      <c r="J266" s="266" t="str">
        <f>IF($D266="","",SUM($G266)*SUM(INDEX(InputOutput!$AL$71:$AL$100,MATCH($D266,InputOutput!$D$71:$D$100,0))))</f>
        <v/>
      </c>
      <c r="K266" s="266" t="str">
        <f t="shared" si="45"/>
        <v/>
      </c>
      <c r="L266" s="267" t="str">
        <f>IF(D266="","",SUM(I266)*SUM(AD237))</f>
        <v/>
      </c>
      <c r="M266" s="267" t="str">
        <f>IF(D266="","",SUM(J266)*SUM(AD237))</f>
        <v/>
      </c>
      <c r="N266" s="267" t="str">
        <f t="shared" si="46"/>
        <v/>
      </c>
      <c r="O266" s="267" t="str">
        <f>IF(AG266,INDEX(E_PurchPrec!U:U,MATCH(CONST_CNTR_ElecEFMethod&amp;D266,E_PurchPrec!R:R,0)),INDEX(D_Processes!T:T,MATCH(CONST_CNTR_ElecEFMethod&amp;D266,D_Processes!R:R,0)))</f>
        <v/>
      </c>
      <c r="P266" s="266" t="str">
        <f>IF($D266="","",SUM($G266)*SUM(INDEX(InputOutput!$AN$71:$AN$100,MATCH($D266,InputOutput!$D$71:$D$100,0))))</f>
        <v/>
      </c>
      <c r="Q266" s="673" t="str">
        <f>IF(D266="","",IF(AG266,INDEX(A_InstData!$F$102:$F$121,MATCH(D266,CNTR_List_ExistPurchPrecNames,0)),""))</f>
        <v/>
      </c>
      <c r="R266" s="678" t="str">
        <f>IF($D266="","",SUM($G266)*SUM(INDEX(F_Tools!$T$101:$T$130,MATCH($D266,F_Tools!$E$101:$E$130,0))))</f>
        <v/>
      </c>
      <c r="S266" s="669" t="str">
        <f>IF($D266="","",SUM($G266)*SUM(INDEX(F_Tools!$U$101:$U$130,MATCH($D266,F_Tools!$E$101:$E$130,0))))</f>
        <v/>
      </c>
      <c r="T266" s="428"/>
      <c r="Z266" s="123"/>
      <c r="AB266" s="268" t="str">
        <f>CONST_PrecursorToGoodInput &amp; D266 &amp; "_" &amp; D234</f>
        <v>PrecToGood__</v>
      </c>
      <c r="AD266" s="269">
        <f>SUMIF(D_Processes!R:R,AB266,D_Processes!K:K)</f>
        <v>0</v>
      </c>
      <c r="AE266" s="268">
        <f>SUMIF(D_Processes!R:R,CONST_CNTR_TotProd &amp; D266,D_Processes!L:L)</f>
        <v>0</v>
      </c>
      <c r="AG266" s="102" t="b">
        <f t="shared" si="48"/>
        <v>0</v>
      </c>
    </row>
    <row r="267" spans="1:41" ht="12.75" customHeight="1" outlineLevel="1" thickBot="1" x14ac:dyDescent="0.4">
      <c r="A267" s="92"/>
      <c r="B267" s="94"/>
      <c r="C267" s="978">
        <v>30</v>
      </c>
      <c r="D267" s="1451" t="str">
        <f>IF(D234="","",IF(COUNTIF(INDEX(CNTR_IOSupplyChain,MATCH(D234,CNTR_IOProcAndPrec,0),),C267)=0,"",INDEX(CNTR_IOProcAndPrec,MATCH(C267,INDEX(CNTR_IOSupplyChain,MATCH(D234,CNTR_IOProcAndPrec,0),),0))))</f>
        <v/>
      </c>
      <c r="E267" s="1452"/>
      <c r="F267" s="270" t="str">
        <f t="shared" si="47"/>
        <v/>
      </c>
      <c r="G267" s="271" t="str">
        <f>IF(D267="","",INDEX(CNTR_Matrix_Inv,MATCH(D234,CNTR_IOProcAndPrec,0),MATCH(D267,CNTR_IOProcAndPrec,0)))</f>
        <v/>
      </c>
      <c r="H267" s="287" t="str">
        <f>IF(D267="","",IF(AG267,INDEX(E_PurchPrec!U:U,MATCH(CONST_PurchPrecDefaultUsed&amp;D267,E_PurchPrec!R:R,0)),CONST_NA))</f>
        <v/>
      </c>
      <c r="I267" s="271" t="str">
        <f>IF($D267="","",SUM($G267)*SUM(INDEX(InputOutput!$AJ$71:$AJ$100,MATCH($D267,InputOutput!$D$71:$D$100,0))))</f>
        <v/>
      </c>
      <c r="J267" s="271" t="str">
        <f>IF($D267="","",SUM($G267)*SUM(INDEX(InputOutput!$AL$71:$AL$100,MATCH($D267,InputOutput!$D$71:$D$100,0))))</f>
        <v/>
      </c>
      <c r="K267" s="271" t="str">
        <f>IF(COUNT(I267:J267)&gt;0,SUM(I267:J267),"")</f>
        <v/>
      </c>
      <c r="L267" s="272" t="str">
        <f>IF(D267="","",SUM(I267)*SUM(AD237))</f>
        <v/>
      </c>
      <c r="M267" s="272" t="str">
        <f>IF(D267="","",SUM(J267)*SUM(AD237))</f>
        <v/>
      </c>
      <c r="N267" s="272" t="str">
        <f>IF(COUNT(L267:M267)&gt;0,SUM(L267:M267),"")</f>
        <v/>
      </c>
      <c r="O267" s="272" t="str">
        <f>IF(AG267,INDEX(E_PurchPrec!U:U,MATCH(CONST_CNTR_ElecEFMethod&amp;D267,E_PurchPrec!R:R,0)),INDEX(D_Processes!T:T,MATCH(CONST_CNTR_ElecEFMethod&amp;D267,D_Processes!R:R,0)))</f>
        <v/>
      </c>
      <c r="P267" s="271" t="str">
        <f>IF($D267="","",SUM($G267)*SUM(INDEX(InputOutput!$AN$71:$AN$100,MATCH($D267,InputOutput!$D$71:$D$100,0))))</f>
        <v/>
      </c>
      <c r="Q267" s="674" t="str">
        <f>IF(D267="","",IF(AG267,INDEX(A_InstData!$F$102:$F$121,MATCH(D267,CNTR_List_ExistPurchPrecNames,0)),""))</f>
        <v/>
      </c>
      <c r="R267" s="679" t="str">
        <f>IF($D267="","",SUM($G267)*SUM(INDEX(F_Tools!$T$101:$T$130,MATCH($D267,F_Tools!$E$101:$E$130,0))))</f>
        <v/>
      </c>
      <c r="S267" s="680" t="str">
        <f>IF($D267="","",SUM($G267)*SUM(INDEX(F_Tools!$U$101:$U$130,MATCH($D267,F_Tools!$E$101:$E$130,0))))</f>
        <v/>
      </c>
      <c r="T267" s="428"/>
      <c r="AB267" s="273" t="str">
        <f>CONST_PrecursorToGoodInput &amp; D267 &amp; "_" &amp; D234</f>
        <v>PrecToGood__</v>
      </c>
      <c r="AD267" s="274">
        <f>SUMIF(D_Processes!R:R,AB267,D_Processes!K:K)</f>
        <v>0</v>
      </c>
      <c r="AE267" s="273">
        <f>SUMIF(D_Processes!R:R,CONST_CNTR_TotProd &amp; D267,D_Processes!L:L)</f>
        <v>0</v>
      </c>
      <c r="AG267" s="102" t="b">
        <f t="shared" si="48"/>
        <v>0</v>
      </c>
    </row>
    <row r="268" spans="1:41" ht="12.75" customHeight="1" thickBot="1" x14ac:dyDescent="0.4">
      <c r="A268" s="92"/>
      <c r="B268" s="94"/>
      <c r="C268" s="144"/>
      <c r="D268" s="144"/>
      <c r="E268" s="144"/>
      <c r="F268" s="144"/>
      <c r="G268" s="144"/>
      <c r="H268" s="144"/>
      <c r="I268" s="979"/>
      <c r="J268" s="979"/>
      <c r="K268" s="979"/>
      <c r="L268" s="144"/>
      <c r="M268" s="144"/>
      <c r="N268" s="144"/>
      <c r="O268" s="144"/>
      <c r="P268" s="979"/>
      <c r="Q268" s="144"/>
      <c r="R268" s="144"/>
      <c r="S268" s="144"/>
      <c r="T268" s="428"/>
    </row>
    <row r="269" spans="1:41" ht="12.75" customHeight="1" thickBot="1" x14ac:dyDescent="0.4">
      <c r="A269" s="92"/>
      <c r="B269" s="94"/>
      <c r="C269" s="145"/>
      <c r="D269" s="145"/>
      <c r="E269" s="145"/>
      <c r="F269" s="145"/>
      <c r="G269" s="145"/>
      <c r="H269" s="145"/>
      <c r="I269" s="664"/>
      <c r="J269" s="664"/>
      <c r="K269" s="664"/>
      <c r="L269" s="145"/>
      <c r="M269" s="145"/>
      <c r="N269" s="145"/>
      <c r="O269" s="145"/>
      <c r="P269" s="664"/>
      <c r="Q269" s="145"/>
      <c r="R269" s="145"/>
      <c r="S269" s="145"/>
      <c r="T269" s="428"/>
    </row>
    <row r="270" spans="1:41" s="249" customFormat="1" ht="25.5" customHeight="1" x14ac:dyDescent="0.35">
      <c r="A270" s="977"/>
      <c r="B270" s="981"/>
      <c r="C270" s="1439">
        <f>C234+1</f>
        <v>4</v>
      </c>
      <c r="D270" s="1421" t="str">
        <f>IF(INDEX(CNTR_List_ExistProdProcNames,C270)=CONST_NA,"",INDEX(CNTR_List_ExistProdProcNames,C270))</f>
        <v/>
      </c>
      <c r="E270" s="1422"/>
      <c r="F270" s="1419" t="str">
        <f>Translations!$B$107</f>
        <v>Aggregated goods category</v>
      </c>
      <c r="G270" s="250" t="str">
        <f>Translations!$B$584</f>
        <v>Mass share</v>
      </c>
      <c r="H270" s="1448" t="str">
        <f>Translations!$B$586</f>
        <v>(Share of) Default value</v>
      </c>
      <c r="I270" s="250" t="str">
        <f>Translations!$B$570</f>
        <v>SEE (direct)</v>
      </c>
      <c r="J270" s="250" t="str">
        <f>Translations!$B$574</f>
        <v>SEE (indirect)</v>
      </c>
      <c r="K270" s="250" t="str">
        <f>Translations!$B$344</f>
        <v>SEE (total)</v>
      </c>
      <c r="L270" s="250" t="str">
        <f>Translations!$B$589</f>
        <v>EmbEm (direct)</v>
      </c>
      <c r="M270" s="250" t="str">
        <f>Translations!$B$591</f>
        <v>EmbEm (indirect)</v>
      </c>
      <c r="N270" s="250" t="str">
        <f>Translations!$B$593</f>
        <v>EmbEm (total)</v>
      </c>
      <c r="O270" s="1448" t="str">
        <f>Translations!$B$594</f>
        <v>Source of electricity EF</v>
      </c>
      <c r="P270" s="250" t="str">
        <f>Translations!$B$480</f>
        <v>Embedded electricity</v>
      </c>
      <c r="Q270" s="1415" t="str">
        <f>Translations!$B$1957</f>
        <v>Country code</v>
      </c>
      <c r="R270" s="1444" t="str">
        <f>Translations!$B$351</f>
        <v>CP due (per produced t or MWh)</v>
      </c>
      <c r="S270" s="1446" t="str">
        <f>Translations!$B$352</f>
        <v>Rebate (per produced t or MWh)</v>
      </c>
      <c r="T270" s="431"/>
      <c r="U270" s="93"/>
      <c r="V270" s="248"/>
      <c r="W270" s="248"/>
      <c r="X270" s="91"/>
      <c r="Y270" s="248"/>
      <c r="Z270" s="123"/>
      <c r="AA270" s="248"/>
      <c r="AB270" s="248"/>
      <c r="AC270" s="248"/>
      <c r="AD270" s="248"/>
      <c r="AE270" s="248"/>
      <c r="AF270" s="104" t="str">
        <f>H270</f>
        <v>(Share of) Default value</v>
      </c>
      <c r="AG270" s="681" t="str">
        <f>H272</f>
        <v/>
      </c>
      <c r="AH270" s="91"/>
      <c r="AI270" s="91"/>
      <c r="AJ270" s="91"/>
      <c r="AK270" s="91"/>
      <c r="AL270" s="91"/>
      <c r="AM270" s="91"/>
      <c r="AN270" s="91"/>
      <c r="AO270" s="91"/>
    </row>
    <row r="271" spans="1:41" s="249" customFormat="1" ht="15" customHeight="1" thickBot="1" x14ac:dyDescent="0.4">
      <c r="A271" s="977"/>
      <c r="B271" s="981"/>
      <c r="C271" s="1440"/>
      <c r="D271" s="1423"/>
      <c r="E271" s="1424"/>
      <c r="F271" s="1420"/>
      <c r="G271" s="251" t="str">
        <f>IF($F272="",CONST_t,INDEX(CONST_LIST_GoodsUnit,MATCH($F272,CONST_LIST_Goods,0))) &amp;"/"&amp; IF($F272="",CONST_t,INDEX(CONST_LIST_GoodsUnit,MATCH($F272,CONST_LIST_Goods,0)))</f>
        <v>t/t</v>
      </c>
      <c r="H271" s="1449"/>
      <c r="I271" s="251" t="str">
        <f>CONST_tCO2eq &amp; "/" &amp; IF($F272="",CONST_t,INDEX(CONST_LIST_GoodsUnit,MATCH($F272,CONST_LIST_Goods,0)))</f>
        <v>tCO2e/t</v>
      </c>
      <c r="J271" s="251" t="str">
        <f>CONST_tCO2eq &amp; "/" &amp; IF($F272="",CONST_t,INDEX(CONST_LIST_GoodsUnit,MATCH($F272,CONST_LIST_Goods,0)))</f>
        <v>tCO2e/t</v>
      </c>
      <c r="K271" s="251" t="str">
        <f>CONST_tCO2eq &amp; "/" &amp; IF($F272="",CONST_t,INDEX(CONST_LIST_GoodsUnit,MATCH($F272,CONST_LIST_Goods,0)))</f>
        <v>tCO2e/t</v>
      </c>
      <c r="L271" s="252" t="str">
        <f>CONST_tCO2eq</f>
        <v>tCO2e</v>
      </c>
      <c r="M271" s="252" t="str">
        <f>CONST_tCO2eq</f>
        <v>tCO2e</v>
      </c>
      <c r="N271" s="252" t="str">
        <f>CONST_tCO2eq</f>
        <v>tCO2e</v>
      </c>
      <c r="O271" s="1449"/>
      <c r="P271" s="251" t="str">
        <f>CONST_MWh &amp; "/" &amp; IF($F272="",CONST_t,INDEX(CONST_LIST_GoodsUnit,MATCH($F272,CONST_LIST_Goods,0)))</f>
        <v>MWh/t</v>
      </c>
      <c r="Q271" s="1416"/>
      <c r="R271" s="1445"/>
      <c r="S271" s="1447"/>
      <c r="T271" s="431"/>
      <c r="V271" s="248"/>
      <c r="W271" s="248"/>
      <c r="X271" s="91"/>
      <c r="Y271" s="248"/>
      <c r="Z271" s="123"/>
      <c r="AA271" s="248"/>
      <c r="AB271" s="248"/>
      <c r="AC271" s="248"/>
      <c r="AD271" s="248"/>
      <c r="AE271" s="248"/>
      <c r="AF271" s="91"/>
      <c r="AG271" s="91"/>
      <c r="AH271" s="91"/>
      <c r="AI271" s="91"/>
      <c r="AJ271" s="91"/>
      <c r="AK271" s="91"/>
      <c r="AL271" s="91"/>
      <c r="AM271" s="91"/>
      <c r="AN271" s="91"/>
      <c r="AO271" s="91"/>
    </row>
    <row r="272" spans="1:41" ht="15" customHeight="1" thickBot="1" x14ac:dyDescent="0.4">
      <c r="A272" s="92"/>
      <c r="B272" s="94"/>
      <c r="C272" s="1441"/>
      <c r="D272" s="1429" t="str">
        <f>Translations!$B$600</f>
        <v>Total production process</v>
      </c>
      <c r="E272" s="1430"/>
      <c r="F272" s="253" t="str">
        <f>IF(D273="","",INDEX(CNTR_List_ExistProdProc,MATCH(D273,CNTR_List_ExistProdProcNames,0)))</f>
        <v/>
      </c>
      <c r="G272" s="254" t="s">
        <v>206</v>
      </c>
      <c r="H272" s="896" t="str">
        <f>IF(D270="","",IFERROR(SUMIFS(I274:I303,H274:H303,TRUE)/I272,""))</f>
        <v/>
      </c>
      <c r="I272" s="662" t="str">
        <f>IF(COUNT(I273:I303)&gt;0,SUM(I273:I303),"")</f>
        <v/>
      </c>
      <c r="J272" s="662" t="str">
        <f>IF(COUNT(J273:J303)&gt;0,SUM(J273:J303),"")</f>
        <v/>
      </c>
      <c r="K272" s="662" t="str">
        <f t="shared" ref="K272:L272" si="49">IF(COUNT(K273:K303)&gt;0,SUM(K273:K303),"")</f>
        <v/>
      </c>
      <c r="L272" s="255" t="str">
        <f t="shared" si="49"/>
        <v/>
      </c>
      <c r="M272" s="255" t="str">
        <f>IF(COUNT(M273:M303)&gt;0,SUM(M273:M303),"")</f>
        <v/>
      </c>
      <c r="N272" s="255" t="str">
        <f t="shared" ref="N272" si="50">IF(COUNT(N273:N303)&gt;0,SUM(N273:N303),"")</f>
        <v/>
      </c>
      <c r="O272" s="254" t="s">
        <v>206</v>
      </c>
      <c r="P272" s="662" t="str">
        <f t="shared" ref="P272" si="51">IF(COUNT(P273:P303)&gt;0,SUM(P273:P303),"")</f>
        <v/>
      </c>
      <c r="Q272" s="670" t="s">
        <v>206</v>
      </c>
      <c r="R272" s="675" t="str">
        <f t="shared" ref="R272:S272" si="52">IF(COUNT(R273:R303)&gt;0,SUM(R273:R303),"")</f>
        <v/>
      </c>
      <c r="S272" s="666" t="str">
        <f t="shared" si="52"/>
        <v/>
      </c>
      <c r="T272" s="428"/>
      <c r="Z272" s="123"/>
      <c r="AD272" s="91" t="s">
        <v>199</v>
      </c>
      <c r="AE272" s="91" t="s">
        <v>200</v>
      </c>
      <c r="AG272" s="91" t="s">
        <v>418</v>
      </c>
    </row>
    <row r="273" spans="1:33" ht="12.75" customHeight="1" thickBot="1" x14ac:dyDescent="0.4">
      <c r="A273" s="92"/>
      <c r="B273" s="94"/>
      <c r="C273" s="144"/>
      <c r="D273" s="1431" t="str">
        <f>D270</f>
        <v/>
      </c>
      <c r="E273" s="1432"/>
      <c r="F273" s="283" t="str">
        <f>IF(D273="","",INDEX(CNTR_List_ExistProdProc,MATCH(D273,CNTR_List_ExistProdProcNames,0)))</f>
        <v/>
      </c>
      <c r="G273" s="256">
        <v>1</v>
      </c>
      <c r="H273" s="284" t="s">
        <v>206</v>
      </c>
      <c r="I273" s="663" t="str">
        <f>IF($D273="","",SUM($G273)*SUM(INDEX(InputOutput!$AJ$71:$AJ$100,MATCH($D273,InputOutput!$D$71:$D$100,0))))</f>
        <v/>
      </c>
      <c r="J273" s="663" t="str">
        <f>IF($D273="","",SUM($G273)*SUM(INDEX(InputOutput!$AL$71:$AL$100,MATCH($D273,InputOutput!$D$71:$D$100,0))))</f>
        <v/>
      </c>
      <c r="K273" s="663" t="str">
        <f t="shared" ref="K273:K302" si="53">IF(COUNT(I273:J273)&gt;0,SUM(I273:J273),"")</f>
        <v/>
      </c>
      <c r="L273" s="257" t="str">
        <f>IF(D273="","",SUM(I273)*SUM(AD273))</f>
        <v/>
      </c>
      <c r="M273" s="257" t="str">
        <f>IF(D273="","",SUM(J273)*SUM(AD273))</f>
        <v/>
      </c>
      <c r="N273" s="257" t="str">
        <f t="shared" ref="N273:N302" si="54">IF(COUNT(L273:M273)&gt;0,SUM(L273:M273),"")</f>
        <v/>
      </c>
      <c r="O273" s="257" t="str">
        <f>IF(AG273,INDEX(E_PurchPrec!U:U,MATCH(CONST_CNTR_ElecEFMethod&amp;D273,E_PurchPrec!R:R,0)),INDEX(D_Processes!T:T,MATCH(CONST_CNTR_ElecEFMethod&amp;D273,D_Processes!R:R,0)))</f>
        <v/>
      </c>
      <c r="P273" s="663" t="str">
        <f>IF($D273="","",SUM($G273)*SUM(INDEX(InputOutput!$AN$71:$AN$100,MATCH($D273,InputOutput!$D$71:$D$100,0))))</f>
        <v/>
      </c>
      <c r="Q273" s="671"/>
      <c r="R273" s="676" t="str">
        <f>IF($D273="","",SUM($G273)*SUM(INDEX(F_Tools!$T$101:$T$130,MATCH($D273,F_Tools!$E$101:$E$130,0))))</f>
        <v/>
      </c>
      <c r="S273" s="667" t="str">
        <f>IF($D273="","",SUM($G273)*SUM(INDEX(F_Tools!$U$101:$U$130,MATCH($D273,F_Tools!$E$101:$E$130,0))))</f>
        <v/>
      </c>
      <c r="T273" s="428"/>
      <c r="Z273" s="123"/>
      <c r="AB273" s="150" t="str">
        <f>CONST_CNTR_TotProd &amp; D270</f>
        <v>TotProd_</v>
      </c>
      <c r="AD273" s="258">
        <f>SUMIF(D_Processes!R:R,AB273,D_Processes!L:L)</f>
        <v>0</v>
      </c>
    </row>
    <row r="274" spans="1:33" ht="12.75" customHeight="1" x14ac:dyDescent="0.35">
      <c r="A274" s="92"/>
      <c r="B274" s="94"/>
      <c r="C274" s="978">
        <v>1</v>
      </c>
      <c r="D274" s="1442" t="str">
        <f>IF(D270="","",IF(COUNTIF(INDEX(CNTR_IOSupplyChain,MATCH(D270,CNTR_IOProcAndPrec,0),),C274)=0,"",INDEX(CNTR_IOProcAndPrec,MATCH(C274,INDEX(CNTR_IOSupplyChain,MATCH(D270,CNTR_IOProcAndPrec,0),),0))))</f>
        <v/>
      </c>
      <c r="E274" s="1443"/>
      <c r="F274" s="260" t="str">
        <f t="shared" ref="F274:F303" si="55">IF(D274="","",IF(COUNTIF(CNTR_List_ExistProdProcNames,D274)&gt;0,INDEX(CNTR_List_ExistProdProc,MATCH(D274,CNTR_List_ExistProdProcNames,0)),INDEX(CNTR_List_ExistPurchPrec,MATCH(D274,CNTR_List_ExistPurchPrecNames,0))))</f>
        <v/>
      </c>
      <c r="G274" s="261" t="str">
        <f>IF(D274="","",INDEX(CNTR_Matrix_Inv,MATCH(D270,CNTR_IOProcAndPrec,0),MATCH(D274,CNTR_IOProcAndPrec,0)))</f>
        <v/>
      </c>
      <c r="H274" s="285" t="str">
        <f>IF(D274="","",IF(AG274,INDEX(E_PurchPrec!U:U,MATCH(CONST_PurchPrecDefaultUsed&amp;D274,E_PurchPrec!R:R,0)),CONST_NA))</f>
        <v/>
      </c>
      <c r="I274" s="261" t="str">
        <f>IF($D274="","",SUM($G274)*SUM(INDEX(InputOutput!$AJ$71:$AJ$100,MATCH($D274,InputOutput!$D$71:$D$100,0))))</f>
        <v/>
      </c>
      <c r="J274" s="261" t="str">
        <f>IF($D274="","",SUM($G274)*SUM(INDEX(InputOutput!$AL$71:$AL$100,MATCH($D274,InputOutput!$D$71:$D$100,0))))</f>
        <v/>
      </c>
      <c r="K274" s="261" t="str">
        <f t="shared" si="53"/>
        <v/>
      </c>
      <c r="L274" s="262" t="str">
        <f>IF(D274="","",SUM(I274)*SUM(AD273))</f>
        <v/>
      </c>
      <c r="M274" s="262" t="str">
        <f>IF(D274="","",SUM(J274)*SUM(AD273))</f>
        <v/>
      </c>
      <c r="N274" s="262" t="str">
        <f t="shared" si="54"/>
        <v/>
      </c>
      <c r="O274" s="262" t="str">
        <f>IF(AG274,INDEX(E_PurchPrec!U:U,MATCH(CONST_CNTR_ElecEFMethod&amp;D274,E_PurchPrec!R:R,0)),INDEX(D_Processes!T:T,MATCH(CONST_CNTR_ElecEFMethod&amp;D274,D_Processes!R:R,0)))</f>
        <v/>
      </c>
      <c r="P274" s="261" t="str">
        <f>IF($D274="","",SUM($G274)*SUM(INDEX(InputOutput!$AN$71:$AN$100,MATCH($D274,InputOutput!$D$71:$D$100,0))))</f>
        <v/>
      </c>
      <c r="Q274" s="672" t="str">
        <f>IF(D274="","",IF(AG274,INDEX(A_InstData!$F$102:$F$121,MATCH(D274,CNTR_List_ExistPurchPrecNames,0)),""))</f>
        <v/>
      </c>
      <c r="R274" s="677" t="str">
        <f>IF($D274="","",SUM($G274)*SUM(INDEX(F_Tools!$T$101:$T$130,MATCH($D274,F_Tools!$E$101:$E$130,0))))</f>
        <v/>
      </c>
      <c r="S274" s="668" t="str">
        <f>IF($D274="","",SUM($G274)*SUM(INDEX(F_Tools!$U$101:$U$130,MATCH($D274,F_Tools!$E$101:$E$130,0))))</f>
        <v/>
      </c>
      <c r="T274" s="428"/>
      <c r="Z274" s="123"/>
      <c r="AB274" s="263" t="str">
        <f>CONST_PrecursorToGoodInput &amp; D274 &amp; "_" &amp; D270</f>
        <v>PrecToGood__</v>
      </c>
      <c r="AD274" s="264">
        <f>SUMIF(D_Processes!R:R,AB274,D_Processes!K:K)</f>
        <v>0</v>
      </c>
      <c r="AE274" s="263">
        <f>SUMIF(D_Processes!R:R,CONST_CNTR_TotProd &amp; D274,D_Processes!L:L)</f>
        <v>0</v>
      </c>
      <c r="AG274" s="102" t="b">
        <f t="shared" ref="AG274:AG303" si="56">COUNTIF(CNTR_List_ExistPurchPrecNames,D274)&gt;0</f>
        <v>0</v>
      </c>
    </row>
    <row r="275" spans="1:33" ht="12.75" customHeight="1" x14ac:dyDescent="0.35">
      <c r="A275" s="92"/>
      <c r="B275" s="94"/>
      <c r="C275" s="978">
        <v>2</v>
      </c>
      <c r="D275" s="1417" t="str">
        <f>IF(D270="","",IF(COUNTIF(INDEX(CNTR_IOSupplyChain,MATCH(D270,CNTR_IOProcAndPrec,0),),C275)=0,"",INDEX(CNTR_IOProcAndPrec,MATCH(C275,INDEX(CNTR_IOSupplyChain,MATCH(D270,CNTR_IOProcAndPrec,0),),0))))</f>
        <v/>
      </c>
      <c r="E275" s="1418"/>
      <c r="F275" s="265" t="str">
        <f t="shared" si="55"/>
        <v/>
      </c>
      <c r="G275" s="266" t="str">
        <f>IF(D275="","",INDEX(CNTR_Matrix_Inv,MATCH(D270,CNTR_IOProcAndPrec,0),MATCH(D275,CNTR_IOProcAndPrec,0)))</f>
        <v/>
      </c>
      <c r="H275" s="286" t="str">
        <f>IF(D275="","",IF(AG275,INDEX(E_PurchPrec!U:U,MATCH(CONST_PurchPrecDefaultUsed&amp;D275,E_PurchPrec!R:R,0)),CONST_NA))</f>
        <v/>
      </c>
      <c r="I275" s="266" t="str">
        <f>IF($D275="","",SUM($G275)*SUM(INDEX(InputOutput!$AJ$71:$AJ$100,MATCH($D275,InputOutput!$D$71:$D$100,0))))</f>
        <v/>
      </c>
      <c r="J275" s="266" t="str">
        <f>IF($D275="","",SUM($G275)*SUM(INDEX(InputOutput!$AL$71:$AL$100,MATCH($D275,InputOutput!$D$71:$D$100,0))))</f>
        <v/>
      </c>
      <c r="K275" s="266" t="str">
        <f t="shared" si="53"/>
        <v/>
      </c>
      <c r="L275" s="267" t="str">
        <f>IF(D275="","",SUM(I275)*SUM(AD273))</f>
        <v/>
      </c>
      <c r="M275" s="267" t="str">
        <f>IF(D275="","",SUM(J275)*SUM(AD273))</f>
        <v/>
      </c>
      <c r="N275" s="267" t="str">
        <f t="shared" si="54"/>
        <v/>
      </c>
      <c r="O275" s="267" t="str">
        <f>IF(AG275,INDEX(E_PurchPrec!U:U,MATCH(CONST_CNTR_ElecEFMethod&amp;D275,E_PurchPrec!R:R,0)),INDEX(D_Processes!T:T,MATCH(CONST_CNTR_ElecEFMethod&amp;D275,D_Processes!R:R,0)))</f>
        <v/>
      </c>
      <c r="P275" s="266" t="str">
        <f>IF($D275="","",SUM($G275)*SUM(INDEX(InputOutput!$AN$71:$AN$100,MATCH($D275,InputOutput!$D$71:$D$100,0))))</f>
        <v/>
      </c>
      <c r="Q275" s="673" t="str">
        <f>IF(D275="","",IF(AG275,INDEX(A_InstData!$F$102:$F$121,MATCH(D275,CNTR_List_ExistPurchPrecNames,0)),""))</f>
        <v/>
      </c>
      <c r="R275" s="678" t="str">
        <f>IF($D275="","",SUM($G275)*SUM(INDEX(F_Tools!$T$101:$T$130,MATCH($D275,F_Tools!$E$101:$E$130,0))))</f>
        <v/>
      </c>
      <c r="S275" s="669" t="str">
        <f>IF($D275="","",SUM($G275)*SUM(INDEX(F_Tools!$U$101:$U$130,MATCH($D275,F_Tools!$E$101:$E$130,0))))</f>
        <v/>
      </c>
      <c r="T275" s="428"/>
      <c r="Z275" s="123"/>
      <c r="AB275" s="268" t="str">
        <f>CONST_PrecursorToGoodInput &amp; D275 &amp; "_" &amp; D270</f>
        <v>PrecToGood__</v>
      </c>
      <c r="AD275" s="269">
        <f>SUMIF(D_Processes!R:R,AB275,D_Processes!K:K)</f>
        <v>0</v>
      </c>
      <c r="AE275" s="268">
        <f>SUMIF(D_Processes!R:R,CONST_CNTR_TotProd &amp; D275,D_Processes!L:L)</f>
        <v>0</v>
      </c>
      <c r="AG275" s="102" t="b">
        <f t="shared" si="56"/>
        <v>0</v>
      </c>
    </row>
    <row r="276" spans="1:33" ht="12.75" customHeight="1" x14ac:dyDescent="0.35">
      <c r="A276" s="92"/>
      <c r="B276" s="94"/>
      <c r="C276" s="978">
        <v>3</v>
      </c>
      <c r="D276" s="1417" t="str">
        <f>IF(D270="","",IF(COUNTIF(INDEX(CNTR_IOSupplyChain,MATCH(D270,CNTR_IOProcAndPrec,0),),C276)=0,"",INDEX(CNTR_IOProcAndPrec,MATCH(C276,INDEX(CNTR_IOSupplyChain,MATCH(D270,CNTR_IOProcAndPrec,0),),0))))</f>
        <v/>
      </c>
      <c r="E276" s="1418"/>
      <c r="F276" s="265" t="str">
        <f t="shared" si="55"/>
        <v/>
      </c>
      <c r="G276" s="266" t="str">
        <f>IF(D276="","",INDEX(CNTR_Matrix_Inv,MATCH(D270,CNTR_IOProcAndPrec,0),MATCH(D276,CNTR_IOProcAndPrec,0)))</f>
        <v/>
      </c>
      <c r="H276" s="286" t="str">
        <f>IF(D276="","",IF(AG276,INDEX(E_PurchPrec!U:U,MATCH(CONST_PurchPrecDefaultUsed&amp;D276,E_PurchPrec!R:R,0)),CONST_NA))</f>
        <v/>
      </c>
      <c r="I276" s="266" t="str">
        <f>IF($D276="","",SUM($G276)*SUM(INDEX(InputOutput!$AJ$71:$AJ$100,MATCH($D276,InputOutput!$D$71:$D$100,0))))</f>
        <v/>
      </c>
      <c r="J276" s="266" t="str">
        <f>IF($D276="","",SUM($G276)*SUM(INDEX(InputOutput!$AL$71:$AL$100,MATCH($D276,InputOutput!$D$71:$D$100,0))))</f>
        <v/>
      </c>
      <c r="K276" s="266" t="str">
        <f t="shared" si="53"/>
        <v/>
      </c>
      <c r="L276" s="267" t="str">
        <f>IF(D276="","",SUM(I276)*SUM(AD273))</f>
        <v/>
      </c>
      <c r="M276" s="267" t="str">
        <f>IF(D276="","",SUM(J276)*SUM(AD273))</f>
        <v/>
      </c>
      <c r="N276" s="267" t="str">
        <f t="shared" si="54"/>
        <v/>
      </c>
      <c r="O276" s="267" t="str">
        <f>IF(AG276,INDEX(E_PurchPrec!U:U,MATCH(CONST_CNTR_ElecEFMethod&amp;D276,E_PurchPrec!R:R,0)),INDEX(D_Processes!T:T,MATCH(CONST_CNTR_ElecEFMethod&amp;D276,D_Processes!R:R,0)))</f>
        <v/>
      </c>
      <c r="P276" s="266" t="str">
        <f>IF($D276="","",SUM($G276)*SUM(INDEX(InputOutput!$AN$71:$AN$100,MATCH($D276,InputOutput!$D$71:$D$100,0))))</f>
        <v/>
      </c>
      <c r="Q276" s="673" t="str">
        <f>IF(D276="","",IF(AG276,INDEX(A_InstData!$F$102:$F$121,MATCH(D276,CNTR_List_ExistPurchPrecNames,0)),""))</f>
        <v/>
      </c>
      <c r="R276" s="678" t="str">
        <f>IF($D276="","",SUM($G276)*SUM(INDEX(F_Tools!$T$101:$T$130,MATCH($D276,F_Tools!$E$101:$E$130,0))))</f>
        <v/>
      </c>
      <c r="S276" s="669" t="str">
        <f>IF($D276="","",SUM($G276)*SUM(INDEX(F_Tools!$U$101:$U$130,MATCH($D276,F_Tools!$E$101:$E$130,0))))</f>
        <v/>
      </c>
      <c r="T276" s="428"/>
      <c r="Z276" s="123"/>
      <c r="AB276" s="268" t="str">
        <f>CONST_PrecursorToGoodInput &amp; D276 &amp; "_" &amp; D270</f>
        <v>PrecToGood__</v>
      </c>
      <c r="AD276" s="269">
        <f>SUMIF(D_Processes!R:R,AB276,D_Processes!K:K)</f>
        <v>0</v>
      </c>
      <c r="AE276" s="268">
        <f>SUMIF(D_Processes!R:R,CONST_CNTR_TotProd &amp; D276,D_Processes!L:L)</f>
        <v>0</v>
      </c>
      <c r="AG276" s="102" t="b">
        <f t="shared" si="56"/>
        <v>0</v>
      </c>
    </row>
    <row r="277" spans="1:33" ht="12.75" customHeight="1" x14ac:dyDescent="0.35">
      <c r="A277" s="92"/>
      <c r="B277" s="94"/>
      <c r="C277" s="978">
        <v>4</v>
      </c>
      <c r="D277" s="1417" t="str">
        <f>IF(D270="","",IF(COUNTIF(INDEX(CNTR_IOSupplyChain,MATCH(D270,CNTR_IOProcAndPrec,0),),C277)=0,"",INDEX(CNTR_IOProcAndPrec,MATCH(C277,INDEX(CNTR_IOSupplyChain,MATCH(D270,CNTR_IOProcAndPrec,0),),0))))</f>
        <v/>
      </c>
      <c r="E277" s="1418"/>
      <c r="F277" s="265" t="str">
        <f t="shared" si="55"/>
        <v/>
      </c>
      <c r="G277" s="266" t="str">
        <f>IF(D277="","",INDEX(CNTR_Matrix_Inv,MATCH(D270,CNTR_IOProcAndPrec,0),MATCH(D277,CNTR_IOProcAndPrec,0)))</f>
        <v/>
      </c>
      <c r="H277" s="286" t="str">
        <f>IF(D277="","",IF(AG277,INDEX(E_PurchPrec!U:U,MATCH(CONST_PurchPrecDefaultUsed&amp;D277,E_PurchPrec!R:R,0)),CONST_NA))</f>
        <v/>
      </c>
      <c r="I277" s="266" t="str">
        <f>IF($D277="","",SUM($G277)*SUM(INDEX(InputOutput!$AJ$71:$AJ$100,MATCH($D277,InputOutput!$D$71:$D$100,0))))</f>
        <v/>
      </c>
      <c r="J277" s="266" t="str">
        <f>IF($D277="","",SUM($G277)*SUM(INDEX(InputOutput!$AL$71:$AL$100,MATCH($D277,InputOutput!$D$71:$D$100,0))))</f>
        <v/>
      </c>
      <c r="K277" s="266" t="str">
        <f t="shared" si="53"/>
        <v/>
      </c>
      <c r="L277" s="267" t="str">
        <f>IF(D277="","",SUM(I277)*SUM(AD273))</f>
        <v/>
      </c>
      <c r="M277" s="267" t="str">
        <f>IF(D277="","",SUM(J277)*SUM(AD273))</f>
        <v/>
      </c>
      <c r="N277" s="267" t="str">
        <f t="shared" si="54"/>
        <v/>
      </c>
      <c r="O277" s="267" t="str">
        <f>IF(AG277,INDEX(E_PurchPrec!U:U,MATCH(CONST_CNTR_ElecEFMethod&amp;D277,E_PurchPrec!R:R,0)),INDEX(D_Processes!T:T,MATCH(CONST_CNTR_ElecEFMethod&amp;D277,D_Processes!R:R,0)))</f>
        <v/>
      </c>
      <c r="P277" s="266" t="str">
        <f>IF($D277="","",SUM($G277)*SUM(INDEX(InputOutput!$AN$71:$AN$100,MATCH($D277,InputOutput!$D$71:$D$100,0))))</f>
        <v/>
      </c>
      <c r="Q277" s="673" t="str">
        <f>IF(D277="","",IF(AG277,INDEX(A_InstData!$F$102:$F$121,MATCH(D277,CNTR_List_ExistPurchPrecNames,0)),""))</f>
        <v/>
      </c>
      <c r="R277" s="678" t="str">
        <f>IF($D277="","",SUM($G277)*SUM(INDEX(F_Tools!$T$101:$T$130,MATCH($D277,F_Tools!$E$101:$E$130,0))))</f>
        <v/>
      </c>
      <c r="S277" s="669" t="str">
        <f>IF($D277="","",SUM($G277)*SUM(INDEX(F_Tools!$U$101:$U$130,MATCH($D277,F_Tools!$E$101:$E$130,0))))</f>
        <v/>
      </c>
      <c r="T277" s="428"/>
      <c r="Z277" s="123"/>
      <c r="AB277" s="268" t="str">
        <f>CONST_PrecursorToGoodInput &amp; D277 &amp; "_" &amp; D270</f>
        <v>PrecToGood__</v>
      </c>
      <c r="AD277" s="269">
        <f>SUMIF(D_Processes!R:R,AB277,D_Processes!K:K)</f>
        <v>0</v>
      </c>
      <c r="AE277" s="268">
        <f>SUMIF(D_Processes!R:R,CONST_CNTR_TotProd &amp; D277,D_Processes!L:L)</f>
        <v>0</v>
      </c>
      <c r="AG277" s="102" t="b">
        <f t="shared" si="56"/>
        <v>0</v>
      </c>
    </row>
    <row r="278" spans="1:33" ht="12.75" customHeight="1" x14ac:dyDescent="0.35">
      <c r="A278" s="92"/>
      <c r="B278" s="94"/>
      <c r="C278" s="978">
        <v>5</v>
      </c>
      <c r="D278" s="1417" t="str">
        <f>IF(D270="","",IF(COUNTIF(INDEX(CNTR_IOSupplyChain,MATCH(D270,CNTR_IOProcAndPrec,0),),C278)=0,"",INDEX(CNTR_IOProcAndPrec,MATCH(C278,INDEX(CNTR_IOSupplyChain,MATCH(D270,CNTR_IOProcAndPrec,0),),0))))</f>
        <v/>
      </c>
      <c r="E278" s="1418"/>
      <c r="F278" s="265" t="str">
        <f t="shared" si="55"/>
        <v/>
      </c>
      <c r="G278" s="266" t="str">
        <f>IF(D278="","",INDEX(CNTR_Matrix_Inv,MATCH(D270,CNTR_IOProcAndPrec,0),MATCH(D278,CNTR_IOProcAndPrec,0)))</f>
        <v/>
      </c>
      <c r="H278" s="286" t="str">
        <f>IF(D278="","",IF(AG278,INDEX(E_PurchPrec!U:U,MATCH(CONST_PurchPrecDefaultUsed&amp;D278,E_PurchPrec!R:R,0)),CONST_NA))</f>
        <v/>
      </c>
      <c r="I278" s="266" t="str">
        <f>IF($D278="","",SUM($G278)*SUM(INDEX(InputOutput!$AJ$71:$AJ$100,MATCH($D278,InputOutput!$D$71:$D$100,0))))</f>
        <v/>
      </c>
      <c r="J278" s="266" t="str">
        <f>IF($D278="","",SUM($G278)*SUM(INDEX(InputOutput!$AL$71:$AL$100,MATCH($D278,InputOutput!$D$71:$D$100,0))))</f>
        <v/>
      </c>
      <c r="K278" s="266" t="str">
        <f t="shared" si="53"/>
        <v/>
      </c>
      <c r="L278" s="267" t="str">
        <f>IF(D278="","",SUM(I278)*SUM(AD273))</f>
        <v/>
      </c>
      <c r="M278" s="267" t="str">
        <f>IF(D278="","",SUM(J278)*SUM(AD273))</f>
        <v/>
      </c>
      <c r="N278" s="267" t="str">
        <f t="shared" si="54"/>
        <v/>
      </c>
      <c r="O278" s="267" t="str">
        <f>IF(AG278,INDEX(E_PurchPrec!U:U,MATCH(CONST_CNTR_ElecEFMethod&amp;D278,E_PurchPrec!R:R,0)),INDEX(D_Processes!T:T,MATCH(CONST_CNTR_ElecEFMethod&amp;D278,D_Processes!R:R,0)))</f>
        <v/>
      </c>
      <c r="P278" s="266" t="str">
        <f>IF($D278="","",SUM($G278)*SUM(INDEX(InputOutput!$AN$71:$AN$100,MATCH($D278,InputOutput!$D$71:$D$100,0))))</f>
        <v/>
      </c>
      <c r="Q278" s="673" t="str">
        <f>IF(D278="","",IF(AG278,INDEX(A_InstData!$F$102:$F$121,MATCH(D278,CNTR_List_ExistPurchPrecNames,0)),""))</f>
        <v/>
      </c>
      <c r="R278" s="678" t="str">
        <f>IF($D278="","",SUM($G278)*SUM(INDEX(F_Tools!$T$101:$T$130,MATCH($D278,F_Tools!$E$101:$E$130,0))))</f>
        <v/>
      </c>
      <c r="S278" s="669" t="str">
        <f>IF($D278="","",SUM($G278)*SUM(INDEX(F_Tools!$U$101:$U$130,MATCH($D278,F_Tools!$E$101:$E$130,0))))</f>
        <v/>
      </c>
      <c r="T278" s="428"/>
      <c r="Z278" s="123"/>
      <c r="AB278" s="268" t="str">
        <f>CONST_PrecursorToGoodInput &amp; D278 &amp; "_" &amp; D270</f>
        <v>PrecToGood__</v>
      </c>
      <c r="AD278" s="269">
        <f>SUMIF(D_Processes!R:R,AB278,D_Processes!K:K)</f>
        <v>0</v>
      </c>
      <c r="AE278" s="268">
        <f>SUMIF(D_Processes!R:R,CONST_CNTR_TotProd &amp; D278,D_Processes!L:L)</f>
        <v>0</v>
      </c>
      <c r="AG278" s="102" t="b">
        <f t="shared" si="56"/>
        <v>0</v>
      </c>
    </row>
    <row r="279" spans="1:33" ht="12.75" customHeight="1" outlineLevel="1" x14ac:dyDescent="0.35">
      <c r="A279" s="92"/>
      <c r="B279" s="94"/>
      <c r="C279" s="978">
        <v>6</v>
      </c>
      <c r="D279" s="1417" t="str">
        <f>IF(D270="","",IF(COUNTIF(INDEX(CNTR_IOSupplyChain,MATCH(D270,CNTR_IOProcAndPrec,0),),C279)=0,"",INDEX(CNTR_IOProcAndPrec,MATCH(C279,INDEX(CNTR_IOSupplyChain,MATCH(D270,CNTR_IOProcAndPrec,0),),0))))</f>
        <v/>
      </c>
      <c r="E279" s="1418"/>
      <c r="F279" s="265" t="str">
        <f t="shared" si="55"/>
        <v/>
      </c>
      <c r="G279" s="266" t="str">
        <f>IF(D279="","",INDEX(CNTR_Matrix_Inv,MATCH(D270,CNTR_IOProcAndPrec,0),MATCH(D279,CNTR_IOProcAndPrec,0)))</f>
        <v/>
      </c>
      <c r="H279" s="286" t="str">
        <f>IF(D279="","",IF(AG279,INDEX(E_PurchPrec!U:U,MATCH(CONST_PurchPrecDefaultUsed&amp;D279,E_PurchPrec!R:R,0)),CONST_NA))</f>
        <v/>
      </c>
      <c r="I279" s="266" t="str">
        <f>IF($D279="","",SUM($G279)*SUM(INDEX(InputOutput!$AJ$71:$AJ$100,MATCH($D279,InputOutput!$D$71:$D$100,0))))</f>
        <v/>
      </c>
      <c r="J279" s="266" t="str">
        <f>IF($D279="","",SUM($G279)*SUM(INDEX(InputOutput!$AL$71:$AL$100,MATCH($D279,InputOutput!$D$71:$D$100,0))))</f>
        <v/>
      </c>
      <c r="K279" s="266" t="str">
        <f t="shared" si="53"/>
        <v/>
      </c>
      <c r="L279" s="267" t="str">
        <f>IF(D279="","",SUM(I279)*SUM(AD273))</f>
        <v/>
      </c>
      <c r="M279" s="267" t="str">
        <f>IF(D279="","",SUM(J279)*SUM(AD273))</f>
        <v/>
      </c>
      <c r="N279" s="267" t="str">
        <f t="shared" si="54"/>
        <v/>
      </c>
      <c r="O279" s="267" t="str">
        <f>IF(AG279,INDEX(E_PurchPrec!U:U,MATCH(CONST_CNTR_ElecEFMethod&amp;D279,E_PurchPrec!R:R,0)),INDEX(D_Processes!T:T,MATCH(CONST_CNTR_ElecEFMethod&amp;D279,D_Processes!R:R,0)))</f>
        <v/>
      </c>
      <c r="P279" s="266" t="str">
        <f>IF($D279="","",SUM($G279)*SUM(INDEX(InputOutput!$AN$71:$AN$100,MATCH($D279,InputOutput!$D$71:$D$100,0))))</f>
        <v/>
      </c>
      <c r="Q279" s="673" t="str">
        <f>IF(D279="","",IF(AG279,INDEX(A_InstData!$F$102:$F$121,MATCH(D279,CNTR_List_ExistPurchPrecNames,0)),""))</f>
        <v/>
      </c>
      <c r="R279" s="678" t="str">
        <f>IF($D279="","",SUM($G279)*SUM(INDEX(F_Tools!$T$101:$T$130,MATCH($D279,F_Tools!$E$101:$E$130,0))))</f>
        <v/>
      </c>
      <c r="S279" s="669" t="str">
        <f>IF($D279="","",SUM($G279)*SUM(INDEX(F_Tools!$U$101:$U$130,MATCH($D279,F_Tools!$E$101:$E$130,0))))</f>
        <v/>
      </c>
      <c r="T279" s="428"/>
      <c r="Z279" s="123"/>
      <c r="AB279" s="268" t="str">
        <f>CONST_PrecursorToGoodInput &amp; D279 &amp; "_" &amp; D270</f>
        <v>PrecToGood__</v>
      </c>
      <c r="AD279" s="269">
        <f>SUMIF(D_Processes!R:R,AB279,D_Processes!K:K)</f>
        <v>0</v>
      </c>
      <c r="AE279" s="268">
        <f>SUMIF(D_Processes!R:R,CONST_CNTR_TotProd &amp; D279,D_Processes!L:L)</f>
        <v>0</v>
      </c>
      <c r="AG279" s="102" t="b">
        <f t="shared" si="56"/>
        <v>0</v>
      </c>
    </row>
    <row r="280" spans="1:33" ht="12.75" customHeight="1" outlineLevel="1" x14ac:dyDescent="0.35">
      <c r="A280" s="92"/>
      <c r="B280" s="94"/>
      <c r="C280" s="978">
        <v>7</v>
      </c>
      <c r="D280" s="1417" t="str">
        <f>IF(D270="","",IF(COUNTIF(INDEX(CNTR_IOSupplyChain,MATCH(D270,CNTR_IOProcAndPrec,0),),C280)=0,"",INDEX(CNTR_IOProcAndPrec,MATCH(C280,INDEX(CNTR_IOSupplyChain,MATCH(D270,CNTR_IOProcAndPrec,0),),0))))</f>
        <v/>
      </c>
      <c r="E280" s="1418"/>
      <c r="F280" s="265" t="str">
        <f t="shared" si="55"/>
        <v/>
      </c>
      <c r="G280" s="266" t="str">
        <f>IF(D280="","",INDEX(CNTR_Matrix_Inv,MATCH(D270,CNTR_IOProcAndPrec,0),MATCH(D280,CNTR_IOProcAndPrec,0)))</f>
        <v/>
      </c>
      <c r="H280" s="286" t="str">
        <f>IF(D280="","",IF(AG280,INDEX(E_PurchPrec!U:U,MATCH(CONST_PurchPrecDefaultUsed&amp;D280,E_PurchPrec!R:R,0)),CONST_NA))</f>
        <v/>
      </c>
      <c r="I280" s="266" t="str">
        <f>IF($D280="","",SUM($G280)*SUM(INDEX(InputOutput!$AJ$71:$AJ$100,MATCH($D280,InputOutput!$D$71:$D$100,0))))</f>
        <v/>
      </c>
      <c r="J280" s="266" t="str">
        <f>IF($D280="","",SUM($G280)*SUM(INDEX(InputOutput!$AL$71:$AL$100,MATCH($D280,InputOutput!$D$71:$D$100,0))))</f>
        <v/>
      </c>
      <c r="K280" s="266" t="str">
        <f t="shared" si="53"/>
        <v/>
      </c>
      <c r="L280" s="267" t="str">
        <f>IF(D280="","",SUM(I280)*SUM(AD273))</f>
        <v/>
      </c>
      <c r="M280" s="267" t="str">
        <f>IF(D280="","",SUM(J280)*SUM(AD273))</f>
        <v/>
      </c>
      <c r="N280" s="267" t="str">
        <f t="shared" si="54"/>
        <v/>
      </c>
      <c r="O280" s="267" t="str">
        <f>IF(AG280,INDEX(E_PurchPrec!U:U,MATCH(CONST_CNTR_ElecEFMethod&amp;D280,E_PurchPrec!R:R,0)),INDEX(D_Processes!T:T,MATCH(CONST_CNTR_ElecEFMethod&amp;D280,D_Processes!R:R,0)))</f>
        <v/>
      </c>
      <c r="P280" s="266" t="str">
        <f>IF($D280="","",SUM($G280)*SUM(INDEX(InputOutput!$AN$71:$AN$100,MATCH($D280,InputOutput!$D$71:$D$100,0))))</f>
        <v/>
      </c>
      <c r="Q280" s="673" t="str">
        <f>IF(D280="","",IF(AG280,INDEX(A_InstData!$F$102:$F$121,MATCH(D280,CNTR_List_ExistPurchPrecNames,0)),""))</f>
        <v/>
      </c>
      <c r="R280" s="678" t="str">
        <f>IF($D280="","",SUM($G280)*SUM(INDEX(F_Tools!$T$101:$T$130,MATCH($D280,F_Tools!$E$101:$E$130,0))))</f>
        <v/>
      </c>
      <c r="S280" s="669" t="str">
        <f>IF($D280="","",SUM($G280)*SUM(INDEX(F_Tools!$U$101:$U$130,MATCH($D280,F_Tools!$E$101:$E$130,0))))</f>
        <v/>
      </c>
      <c r="T280" s="428"/>
      <c r="Z280" s="123"/>
      <c r="AB280" s="268" t="str">
        <f>CONST_PrecursorToGoodInput &amp; D280 &amp; "_" &amp; D270</f>
        <v>PrecToGood__</v>
      </c>
      <c r="AD280" s="269">
        <f>SUMIF(D_Processes!R:R,AB280,D_Processes!K:K)</f>
        <v>0</v>
      </c>
      <c r="AE280" s="268">
        <f>SUMIF(D_Processes!R:R,CONST_CNTR_TotProd &amp; D280,D_Processes!L:L)</f>
        <v>0</v>
      </c>
      <c r="AG280" s="102" t="b">
        <f t="shared" si="56"/>
        <v>0</v>
      </c>
    </row>
    <row r="281" spans="1:33" ht="12.75" customHeight="1" outlineLevel="1" x14ac:dyDescent="0.35">
      <c r="A281" s="92"/>
      <c r="B281" s="94"/>
      <c r="C281" s="978">
        <v>8</v>
      </c>
      <c r="D281" s="1417" t="str">
        <f>IF(D270="","",IF(COUNTIF(INDEX(CNTR_IOSupplyChain,MATCH(D270,CNTR_IOProcAndPrec,0),),C281)=0,"",INDEX(CNTR_IOProcAndPrec,MATCH(C281,INDEX(CNTR_IOSupplyChain,MATCH(D270,CNTR_IOProcAndPrec,0),),0))))</f>
        <v/>
      </c>
      <c r="E281" s="1418"/>
      <c r="F281" s="265" t="str">
        <f t="shared" si="55"/>
        <v/>
      </c>
      <c r="G281" s="266" t="str">
        <f>IF(D281="","",INDEX(CNTR_Matrix_Inv,MATCH(D270,CNTR_IOProcAndPrec,0),MATCH(D281,CNTR_IOProcAndPrec,0)))</f>
        <v/>
      </c>
      <c r="H281" s="286" t="str">
        <f>IF(D281="","",IF(AG281,INDEX(E_PurchPrec!U:U,MATCH(CONST_PurchPrecDefaultUsed&amp;D281,E_PurchPrec!R:R,0)),CONST_NA))</f>
        <v/>
      </c>
      <c r="I281" s="266" t="str">
        <f>IF($D281="","",SUM($G281)*SUM(INDEX(InputOutput!$AJ$71:$AJ$100,MATCH($D281,InputOutput!$D$71:$D$100,0))))</f>
        <v/>
      </c>
      <c r="J281" s="266" t="str">
        <f>IF($D281="","",SUM($G281)*SUM(INDEX(InputOutput!$AL$71:$AL$100,MATCH($D281,InputOutput!$D$71:$D$100,0))))</f>
        <v/>
      </c>
      <c r="K281" s="266" t="str">
        <f t="shared" si="53"/>
        <v/>
      </c>
      <c r="L281" s="267" t="str">
        <f>IF(D281="","",SUM(I281)*SUM(AD273))</f>
        <v/>
      </c>
      <c r="M281" s="267" t="str">
        <f>IF(D281="","",SUM(J281)*SUM(AD273))</f>
        <v/>
      </c>
      <c r="N281" s="267" t="str">
        <f t="shared" si="54"/>
        <v/>
      </c>
      <c r="O281" s="267" t="str">
        <f>IF(AG281,INDEX(E_PurchPrec!U:U,MATCH(CONST_CNTR_ElecEFMethod&amp;D281,E_PurchPrec!R:R,0)),INDEX(D_Processes!T:T,MATCH(CONST_CNTR_ElecEFMethod&amp;D281,D_Processes!R:R,0)))</f>
        <v/>
      </c>
      <c r="P281" s="266" t="str">
        <f>IF($D281="","",SUM($G281)*SUM(INDEX(InputOutput!$AN$71:$AN$100,MATCH($D281,InputOutput!$D$71:$D$100,0))))</f>
        <v/>
      </c>
      <c r="Q281" s="673" t="str">
        <f>IF(D281="","",IF(AG281,INDEX(A_InstData!$F$102:$F$121,MATCH(D281,CNTR_List_ExistPurchPrecNames,0)),""))</f>
        <v/>
      </c>
      <c r="R281" s="678" t="str">
        <f>IF($D281="","",SUM($G281)*SUM(INDEX(F_Tools!$T$101:$T$130,MATCH($D281,F_Tools!$E$101:$E$130,0))))</f>
        <v/>
      </c>
      <c r="S281" s="669" t="str">
        <f>IF($D281="","",SUM($G281)*SUM(INDEX(F_Tools!$U$101:$U$130,MATCH($D281,F_Tools!$E$101:$E$130,0))))</f>
        <v/>
      </c>
      <c r="T281" s="428"/>
      <c r="Z281" s="123"/>
      <c r="AB281" s="268" t="str">
        <f>CONST_PrecursorToGoodInput &amp; D281 &amp; "_" &amp; D270</f>
        <v>PrecToGood__</v>
      </c>
      <c r="AD281" s="269">
        <f>SUMIF(D_Processes!R:R,AB281,D_Processes!K:K)</f>
        <v>0</v>
      </c>
      <c r="AE281" s="268">
        <f>SUMIF(D_Processes!R:R,CONST_CNTR_TotProd &amp; D281,D_Processes!L:L)</f>
        <v>0</v>
      </c>
      <c r="AG281" s="102" t="b">
        <f t="shared" si="56"/>
        <v>0</v>
      </c>
    </row>
    <row r="282" spans="1:33" ht="12.75" customHeight="1" outlineLevel="1" x14ac:dyDescent="0.35">
      <c r="A282" s="92"/>
      <c r="B282" s="94"/>
      <c r="C282" s="978">
        <v>9</v>
      </c>
      <c r="D282" s="1417" t="str">
        <f>IF(D270="","",IF(COUNTIF(INDEX(CNTR_IOSupplyChain,MATCH(D270,CNTR_IOProcAndPrec,0),),C282)=0,"",INDEX(CNTR_IOProcAndPrec,MATCH(C282,INDEX(CNTR_IOSupplyChain,MATCH(D270,CNTR_IOProcAndPrec,0),),0))))</f>
        <v/>
      </c>
      <c r="E282" s="1418"/>
      <c r="F282" s="265" t="str">
        <f t="shared" si="55"/>
        <v/>
      </c>
      <c r="G282" s="266" t="str">
        <f>IF(D282="","",INDEX(CNTR_Matrix_Inv,MATCH(D270,CNTR_IOProcAndPrec,0),MATCH(D282,CNTR_IOProcAndPrec,0)))</f>
        <v/>
      </c>
      <c r="H282" s="286" t="str">
        <f>IF(D282="","",IF(AG282,INDEX(E_PurchPrec!U:U,MATCH(CONST_PurchPrecDefaultUsed&amp;D282,E_PurchPrec!R:R,0)),CONST_NA))</f>
        <v/>
      </c>
      <c r="I282" s="266" t="str">
        <f>IF($D282="","",SUM($G282)*SUM(INDEX(InputOutput!$AJ$71:$AJ$100,MATCH($D282,InputOutput!$D$71:$D$100,0))))</f>
        <v/>
      </c>
      <c r="J282" s="266" t="str">
        <f>IF($D282="","",SUM($G282)*SUM(INDEX(InputOutput!$AL$71:$AL$100,MATCH($D282,InputOutput!$D$71:$D$100,0))))</f>
        <v/>
      </c>
      <c r="K282" s="266" t="str">
        <f t="shared" si="53"/>
        <v/>
      </c>
      <c r="L282" s="267" t="str">
        <f>IF(D282="","",SUM(I282)*SUM(AD273))</f>
        <v/>
      </c>
      <c r="M282" s="267" t="str">
        <f>IF(D282="","",SUM(J282)*SUM(AD273))</f>
        <v/>
      </c>
      <c r="N282" s="267" t="str">
        <f t="shared" si="54"/>
        <v/>
      </c>
      <c r="O282" s="267" t="str">
        <f>IF(AG282,INDEX(E_PurchPrec!U:U,MATCH(CONST_CNTR_ElecEFMethod&amp;D282,E_PurchPrec!R:R,0)),INDEX(D_Processes!T:T,MATCH(CONST_CNTR_ElecEFMethod&amp;D282,D_Processes!R:R,0)))</f>
        <v/>
      </c>
      <c r="P282" s="266" t="str">
        <f>IF($D282="","",SUM($G282)*SUM(INDEX(InputOutput!$AN$71:$AN$100,MATCH($D282,InputOutput!$D$71:$D$100,0))))</f>
        <v/>
      </c>
      <c r="Q282" s="673" t="str">
        <f>IF(D282="","",IF(AG282,INDEX(A_InstData!$F$102:$F$121,MATCH(D282,CNTR_List_ExistPurchPrecNames,0)),""))</f>
        <v/>
      </c>
      <c r="R282" s="678" t="str">
        <f>IF($D282="","",SUM($G282)*SUM(INDEX(F_Tools!$T$101:$T$130,MATCH($D282,F_Tools!$E$101:$E$130,0))))</f>
        <v/>
      </c>
      <c r="S282" s="669" t="str">
        <f>IF($D282="","",SUM($G282)*SUM(INDEX(F_Tools!$U$101:$U$130,MATCH($D282,F_Tools!$E$101:$E$130,0))))</f>
        <v/>
      </c>
      <c r="T282" s="428"/>
      <c r="Z282" s="123"/>
      <c r="AB282" s="268" t="str">
        <f>CONST_PrecursorToGoodInput &amp; D282 &amp; "_" &amp; D270</f>
        <v>PrecToGood__</v>
      </c>
      <c r="AD282" s="269">
        <f>SUMIF(D_Processes!R:R,AB282,D_Processes!K:K)</f>
        <v>0</v>
      </c>
      <c r="AE282" s="268">
        <f>SUMIF(D_Processes!R:R,CONST_CNTR_TotProd &amp; D282,D_Processes!L:L)</f>
        <v>0</v>
      </c>
      <c r="AG282" s="102" t="b">
        <f t="shared" si="56"/>
        <v>0</v>
      </c>
    </row>
    <row r="283" spans="1:33" ht="12.75" customHeight="1" outlineLevel="1" x14ac:dyDescent="0.35">
      <c r="A283" s="92"/>
      <c r="B283" s="94"/>
      <c r="C283" s="978">
        <v>10</v>
      </c>
      <c r="D283" s="1417" t="str">
        <f>IF(D270="","",IF(COUNTIF(INDEX(CNTR_IOSupplyChain,MATCH(D270,CNTR_IOProcAndPrec,0),),C283)=0,"",INDEX(CNTR_IOProcAndPrec,MATCH(C283,INDEX(CNTR_IOSupplyChain,MATCH(D270,CNTR_IOProcAndPrec,0),),0))))</f>
        <v/>
      </c>
      <c r="E283" s="1418"/>
      <c r="F283" s="265" t="str">
        <f t="shared" si="55"/>
        <v/>
      </c>
      <c r="G283" s="266" t="str">
        <f>IF(D283="","",INDEX(CNTR_Matrix_Inv,MATCH(D270,CNTR_IOProcAndPrec,0),MATCH(D283,CNTR_IOProcAndPrec,0)))</f>
        <v/>
      </c>
      <c r="H283" s="286" t="str">
        <f>IF(D283="","",IF(AG283,INDEX(E_PurchPrec!U:U,MATCH(CONST_PurchPrecDefaultUsed&amp;D283,E_PurchPrec!R:R,0)),CONST_NA))</f>
        <v/>
      </c>
      <c r="I283" s="266" t="str">
        <f>IF($D283="","",SUM($G283)*SUM(INDEX(InputOutput!$AJ$71:$AJ$100,MATCH($D283,InputOutput!$D$71:$D$100,0))))</f>
        <v/>
      </c>
      <c r="J283" s="266" t="str">
        <f>IF($D283="","",SUM($G283)*SUM(INDEX(InputOutput!$AL$71:$AL$100,MATCH($D283,InputOutput!$D$71:$D$100,0))))</f>
        <v/>
      </c>
      <c r="K283" s="266" t="str">
        <f t="shared" si="53"/>
        <v/>
      </c>
      <c r="L283" s="267" t="str">
        <f>IF(D283="","",SUM(I283)*SUM(AD273))</f>
        <v/>
      </c>
      <c r="M283" s="267" t="str">
        <f>IF(D283="","",SUM(J283)*SUM(AD273))</f>
        <v/>
      </c>
      <c r="N283" s="267" t="str">
        <f t="shared" si="54"/>
        <v/>
      </c>
      <c r="O283" s="267" t="str">
        <f>IF(AG283,INDEX(E_PurchPrec!U:U,MATCH(CONST_CNTR_ElecEFMethod&amp;D283,E_PurchPrec!R:R,0)),INDEX(D_Processes!T:T,MATCH(CONST_CNTR_ElecEFMethod&amp;D283,D_Processes!R:R,0)))</f>
        <v/>
      </c>
      <c r="P283" s="266" t="str">
        <f>IF($D283="","",SUM($G283)*SUM(INDEX(InputOutput!$AN$71:$AN$100,MATCH($D283,InputOutput!$D$71:$D$100,0))))</f>
        <v/>
      </c>
      <c r="Q283" s="673" t="str">
        <f>IF(D283="","",IF(AG283,INDEX(A_InstData!$F$102:$F$121,MATCH(D283,CNTR_List_ExistPurchPrecNames,0)),""))</f>
        <v/>
      </c>
      <c r="R283" s="678" t="str">
        <f>IF($D283="","",SUM($G283)*SUM(INDEX(F_Tools!$T$101:$T$130,MATCH($D283,F_Tools!$E$101:$E$130,0))))</f>
        <v/>
      </c>
      <c r="S283" s="669" t="str">
        <f>IF($D283="","",SUM($G283)*SUM(INDEX(F_Tools!$U$101:$U$130,MATCH($D283,F_Tools!$E$101:$E$130,0))))</f>
        <v/>
      </c>
      <c r="T283" s="428"/>
      <c r="Z283" s="123"/>
      <c r="AB283" s="268" t="str">
        <f>CONST_PrecursorToGoodInput &amp; D283 &amp; "_" &amp; D270</f>
        <v>PrecToGood__</v>
      </c>
      <c r="AD283" s="269">
        <f>SUMIF(D_Processes!R:R,AB283,D_Processes!K:K)</f>
        <v>0</v>
      </c>
      <c r="AE283" s="268">
        <f>SUMIF(D_Processes!R:R,CONST_CNTR_TotProd &amp; D283,D_Processes!L:L)</f>
        <v>0</v>
      </c>
      <c r="AG283" s="102" t="b">
        <f t="shared" si="56"/>
        <v>0</v>
      </c>
    </row>
    <row r="284" spans="1:33" ht="12.75" customHeight="1" outlineLevel="1" x14ac:dyDescent="0.35">
      <c r="A284" s="92"/>
      <c r="B284" s="94"/>
      <c r="C284" s="978">
        <v>11</v>
      </c>
      <c r="D284" s="1417" t="str">
        <f>IF(D270="","",IF(COUNTIF(INDEX(CNTR_IOSupplyChain,MATCH(D270,CNTR_IOProcAndPrec,0),),C284)=0,"",INDEX(CNTR_IOProcAndPrec,MATCH(C284,INDEX(CNTR_IOSupplyChain,MATCH(D270,CNTR_IOProcAndPrec,0),),0))))</f>
        <v/>
      </c>
      <c r="E284" s="1418"/>
      <c r="F284" s="265" t="str">
        <f t="shared" si="55"/>
        <v/>
      </c>
      <c r="G284" s="266" t="str">
        <f>IF(D284="","",INDEX(CNTR_Matrix_Inv,MATCH(D270,CNTR_IOProcAndPrec,0),MATCH(D284,CNTR_IOProcAndPrec,0)))</f>
        <v/>
      </c>
      <c r="H284" s="286" t="str">
        <f>IF(D284="","",IF(AG284,INDEX(E_PurchPrec!U:U,MATCH(CONST_PurchPrecDefaultUsed&amp;D284,E_PurchPrec!R:R,0)),CONST_NA))</f>
        <v/>
      </c>
      <c r="I284" s="266" t="str">
        <f>IF($D284="","",SUM($G284)*SUM(INDEX(InputOutput!$AJ$71:$AJ$100,MATCH($D284,InputOutput!$D$71:$D$100,0))))</f>
        <v/>
      </c>
      <c r="J284" s="266" t="str">
        <f>IF($D284="","",SUM($G284)*SUM(INDEX(InputOutput!$AL$71:$AL$100,MATCH($D284,InputOutput!$D$71:$D$100,0))))</f>
        <v/>
      </c>
      <c r="K284" s="266" t="str">
        <f t="shared" si="53"/>
        <v/>
      </c>
      <c r="L284" s="267" t="str">
        <f>IF(D284="","",SUM(I284)*SUM(AD273))</f>
        <v/>
      </c>
      <c r="M284" s="267" t="str">
        <f>IF(D284="","",SUM(J284)*SUM(AD273))</f>
        <v/>
      </c>
      <c r="N284" s="267" t="str">
        <f t="shared" si="54"/>
        <v/>
      </c>
      <c r="O284" s="267" t="str">
        <f>IF(AG284,INDEX(E_PurchPrec!U:U,MATCH(CONST_CNTR_ElecEFMethod&amp;D284,E_PurchPrec!R:R,0)),INDEX(D_Processes!T:T,MATCH(CONST_CNTR_ElecEFMethod&amp;D284,D_Processes!R:R,0)))</f>
        <v/>
      </c>
      <c r="P284" s="266" t="str">
        <f>IF($D284="","",SUM($G284)*SUM(INDEX(InputOutput!$AN$71:$AN$100,MATCH($D284,InputOutput!$D$71:$D$100,0))))</f>
        <v/>
      </c>
      <c r="Q284" s="673" t="str">
        <f>IF(D284="","",IF(AG284,INDEX(A_InstData!$F$102:$F$121,MATCH(D284,CNTR_List_ExistPurchPrecNames,0)),""))</f>
        <v/>
      </c>
      <c r="R284" s="678" t="str">
        <f>IF($D284="","",SUM($G284)*SUM(INDEX(F_Tools!$T$101:$T$130,MATCH($D284,F_Tools!$E$101:$E$130,0))))</f>
        <v/>
      </c>
      <c r="S284" s="669" t="str">
        <f>IF($D284="","",SUM($G284)*SUM(INDEX(F_Tools!$U$101:$U$130,MATCH($D284,F_Tools!$E$101:$E$130,0))))</f>
        <v/>
      </c>
      <c r="T284" s="428"/>
      <c r="Z284" s="123"/>
      <c r="AB284" s="268" t="str">
        <f>CONST_PrecursorToGoodInput &amp; D284 &amp; "_" &amp; D270</f>
        <v>PrecToGood__</v>
      </c>
      <c r="AD284" s="269">
        <f>SUMIF(D_Processes!R:R,AB284,D_Processes!K:K)</f>
        <v>0</v>
      </c>
      <c r="AE284" s="268">
        <f>SUMIF(D_Processes!R:R,CONST_CNTR_TotProd &amp; D284,D_Processes!L:L)</f>
        <v>0</v>
      </c>
      <c r="AG284" s="102" t="b">
        <f t="shared" si="56"/>
        <v>0</v>
      </c>
    </row>
    <row r="285" spans="1:33" ht="12.75" customHeight="1" outlineLevel="1" x14ac:dyDescent="0.35">
      <c r="A285" s="92"/>
      <c r="B285" s="94"/>
      <c r="C285" s="978">
        <v>12</v>
      </c>
      <c r="D285" s="1417" t="str">
        <f>IF(D270="","",IF(COUNTIF(INDEX(CNTR_IOSupplyChain,MATCH(D270,CNTR_IOProcAndPrec,0),),C285)=0,"",INDEX(CNTR_IOProcAndPrec,MATCH(C285,INDEX(CNTR_IOSupplyChain,MATCH(D270,CNTR_IOProcAndPrec,0),),0))))</f>
        <v/>
      </c>
      <c r="E285" s="1418"/>
      <c r="F285" s="265" t="str">
        <f t="shared" si="55"/>
        <v/>
      </c>
      <c r="G285" s="266" t="str">
        <f>IF(D285="","",INDEX(CNTR_Matrix_Inv,MATCH(D270,CNTR_IOProcAndPrec,0),MATCH(D285,CNTR_IOProcAndPrec,0)))</f>
        <v/>
      </c>
      <c r="H285" s="286" t="str">
        <f>IF(D285="","",IF(AG285,INDEX(E_PurchPrec!U:U,MATCH(CONST_PurchPrecDefaultUsed&amp;D285,E_PurchPrec!R:R,0)),CONST_NA))</f>
        <v/>
      </c>
      <c r="I285" s="266" t="str">
        <f>IF($D285="","",SUM($G285)*SUM(INDEX(InputOutput!$AJ$71:$AJ$100,MATCH($D285,InputOutput!$D$71:$D$100,0))))</f>
        <v/>
      </c>
      <c r="J285" s="266" t="str">
        <f>IF($D285="","",SUM($G285)*SUM(INDEX(InputOutput!$AL$71:$AL$100,MATCH($D285,InputOutput!$D$71:$D$100,0))))</f>
        <v/>
      </c>
      <c r="K285" s="266" t="str">
        <f t="shared" si="53"/>
        <v/>
      </c>
      <c r="L285" s="267" t="str">
        <f>IF(D285="","",SUM(I285)*SUM(AD273))</f>
        <v/>
      </c>
      <c r="M285" s="267" t="str">
        <f>IF(D285="","",SUM(J285)*SUM(AD273))</f>
        <v/>
      </c>
      <c r="N285" s="267" t="str">
        <f t="shared" si="54"/>
        <v/>
      </c>
      <c r="O285" s="267" t="str">
        <f>IF(AG285,INDEX(E_PurchPrec!U:U,MATCH(CONST_CNTR_ElecEFMethod&amp;D285,E_PurchPrec!R:R,0)),INDEX(D_Processes!T:T,MATCH(CONST_CNTR_ElecEFMethod&amp;D285,D_Processes!R:R,0)))</f>
        <v/>
      </c>
      <c r="P285" s="266" t="str">
        <f>IF($D285="","",SUM($G285)*SUM(INDEX(InputOutput!$AN$71:$AN$100,MATCH($D285,InputOutput!$D$71:$D$100,0))))</f>
        <v/>
      </c>
      <c r="Q285" s="673" t="str">
        <f>IF(D285="","",IF(AG285,INDEX(A_InstData!$F$102:$F$121,MATCH(D285,CNTR_List_ExistPurchPrecNames,0)),""))</f>
        <v/>
      </c>
      <c r="R285" s="678" t="str">
        <f>IF($D285="","",SUM($G285)*SUM(INDEX(F_Tools!$T$101:$T$130,MATCH($D285,F_Tools!$E$101:$E$130,0))))</f>
        <v/>
      </c>
      <c r="S285" s="669" t="str">
        <f>IF($D285="","",SUM($G285)*SUM(INDEX(F_Tools!$U$101:$U$130,MATCH($D285,F_Tools!$E$101:$E$130,0))))</f>
        <v/>
      </c>
      <c r="T285" s="428"/>
      <c r="Z285" s="123"/>
      <c r="AB285" s="268" t="str">
        <f>CONST_PrecursorToGoodInput &amp; D285 &amp; "_" &amp; D270</f>
        <v>PrecToGood__</v>
      </c>
      <c r="AD285" s="269">
        <f>SUMIF(D_Processes!R:R,AB285,D_Processes!K:K)</f>
        <v>0</v>
      </c>
      <c r="AE285" s="268">
        <f>SUMIF(D_Processes!R:R,CONST_CNTR_TotProd &amp; D285,D_Processes!L:L)</f>
        <v>0</v>
      </c>
      <c r="AG285" s="102" t="b">
        <f t="shared" si="56"/>
        <v>0</v>
      </c>
    </row>
    <row r="286" spans="1:33" ht="12.75" customHeight="1" outlineLevel="1" x14ac:dyDescent="0.35">
      <c r="A286" s="92"/>
      <c r="B286" s="94"/>
      <c r="C286" s="978">
        <v>13</v>
      </c>
      <c r="D286" s="1417" t="str">
        <f>IF(D270="","",IF(COUNTIF(INDEX(CNTR_IOSupplyChain,MATCH(D270,CNTR_IOProcAndPrec,0),),C286)=0,"",INDEX(CNTR_IOProcAndPrec,MATCH(C286,INDEX(CNTR_IOSupplyChain,MATCH(D270,CNTR_IOProcAndPrec,0),),0))))</f>
        <v/>
      </c>
      <c r="E286" s="1418"/>
      <c r="F286" s="265" t="str">
        <f t="shared" si="55"/>
        <v/>
      </c>
      <c r="G286" s="266" t="str">
        <f>IF(D286="","",INDEX(CNTR_Matrix_Inv,MATCH(D270,CNTR_IOProcAndPrec,0),MATCH(D286,CNTR_IOProcAndPrec,0)))</f>
        <v/>
      </c>
      <c r="H286" s="286" t="str">
        <f>IF(D286="","",IF(AG286,INDEX(E_PurchPrec!U:U,MATCH(CONST_PurchPrecDefaultUsed&amp;D286,E_PurchPrec!R:R,0)),CONST_NA))</f>
        <v/>
      </c>
      <c r="I286" s="266" t="str">
        <f>IF($D286="","",SUM($G286)*SUM(INDEX(InputOutput!$AJ$71:$AJ$100,MATCH($D286,InputOutput!$D$71:$D$100,0))))</f>
        <v/>
      </c>
      <c r="J286" s="266" t="str">
        <f>IF($D286="","",SUM($G286)*SUM(INDEX(InputOutput!$AL$71:$AL$100,MATCH($D286,InputOutput!$D$71:$D$100,0))))</f>
        <v/>
      </c>
      <c r="K286" s="266" t="str">
        <f t="shared" si="53"/>
        <v/>
      </c>
      <c r="L286" s="267" t="str">
        <f>IF(D286="","",SUM(I286)*SUM(AD273))</f>
        <v/>
      </c>
      <c r="M286" s="267" t="str">
        <f>IF(D286="","",SUM(J286)*SUM(AD273))</f>
        <v/>
      </c>
      <c r="N286" s="267" t="str">
        <f t="shared" si="54"/>
        <v/>
      </c>
      <c r="O286" s="267" t="str">
        <f>IF(AG286,INDEX(E_PurchPrec!U:U,MATCH(CONST_CNTR_ElecEFMethod&amp;D286,E_PurchPrec!R:R,0)),INDEX(D_Processes!T:T,MATCH(CONST_CNTR_ElecEFMethod&amp;D286,D_Processes!R:R,0)))</f>
        <v/>
      </c>
      <c r="P286" s="266" t="str">
        <f>IF($D286="","",SUM($G286)*SUM(INDEX(InputOutput!$AN$71:$AN$100,MATCH($D286,InputOutput!$D$71:$D$100,0))))</f>
        <v/>
      </c>
      <c r="Q286" s="673" t="str">
        <f>IF(D286="","",IF(AG286,INDEX(A_InstData!$F$102:$F$121,MATCH(D286,CNTR_List_ExistPurchPrecNames,0)),""))</f>
        <v/>
      </c>
      <c r="R286" s="678" t="str">
        <f>IF($D286="","",SUM($G286)*SUM(INDEX(F_Tools!$T$101:$T$130,MATCH($D286,F_Tools!$E$101:$E$130,0))))</f>
        <v/>
      </c>
      <c r="S286" s="669" t="str">
        <f>IF($D286="","",SUM($G286)*SUM(INDEX(F_Tools!$U$101:$U$130,MATCH($D286,F_Tools!$E$101:$E$130,0))))</f>
        <v/>
      </c>
      <c r="T286" s="428"/>
      <c r="Z286" s="123"/>
      <c r="AB286" s="268" t="str">
        <f>CONST_PrecursorToGoodInput &amp; D286 &amp; "_" &amp; D270</f>
        <v>PrecToGood__</v>
      </c>
      <c r="AD286" s="269">
        <f>SUMIF(D_Processes!R:R,AB286,D_Processes!K:K)</f>
        <v>0</v>
      </c>
      <c r="AE286" s="268">
        <f>SUMIF(D_Processes!R:R,CONST_CNTR_TotProd &amp; D286,D_Processes!L:L)</f>
        <v>0</v>
      </c>
      <c r="AG286" s="102" t="b">
        <f t="shared" si="56"/>
        <v>0</v>
      </c>
    </row>
    <row r="287" spans="1:33" ht="12.75" customHeight="1" outlineLevel="1" x14ac:dyDescent="0.35">
      <c r="A287" s="92"/>
      <c r="B287" s="94"/>
      <c r="C287" s="978">
        <v>14</v>
      </c>
      <c r="D287" s="1417" t="str">
        <f>IF(D270="","",IF(COUNTIF(INDEX(CNTR_IOSupplyChain,MATCH(D270,CNTR_IOProcAndPrec,0),),C287)=0,"",INDEX(CNTR_IOProcAndPrec,MATCH(C287,INDEX(CNTR_IOSupplyChain,MATCH(D270,CNTR_IOProcAndPrec,0),),0))))</f>
        <v/>
      </c>
      <c r="E287" s="1418"/>
      <c r="F287" s="265" t="str">
        <f t="shared" si="55"/>
        <v/>
      </c>
      <c r="G287" s="266" t="str">
        <f>IF(D287="","",INDEX(CNTR_Matrix_Inv,MATCH(D270,CNTR_IOProcAndPrec,0),MATCH(D287,CNTR_IOProcAndPrec,0)))</f>
        <v/>
      </c>
      <c r="H287" s="286" t="str">
        <f>IF(D287="","",IF(AG287,INDEX(E_PurchPrec!U:U,MATCH(CONST_PurchPrecDefaultUsed&amp;D287,E_PurchPrec!R:R,0)),CONST_NA))</f>
        <v/>
      </c>
      <c r="I287" s="266" t="str">
        <f>IF($D287="","",SUM($G287)*SUM(INDEX(InputOutput!$AJ$71:$AJ$100,MATCH($D287,InputOutput!$D$71:$D$100,0))))</f>
        <v/>
      </c>
      <c r="J287" s="266" t="str">
        <f>IF($D287="","",SUM($G287)*SUM(INDEX(InputOutput!$AL$71:$AL$100,MATCH($D287,InputOutput!$D$71:$D$100,0))))</f>
        <v/>
      </c>
      <c r="K287" s="266" t="str">
        <f t="shared" si="53"/>
        <v/>
      </c>
      <c r="L287" s="267" t="str">
        <f>IF(D287="","",SUM(I287)*SUM(AD273))</f>
        <v/>
      </c>
      <c r="M287" s="267" t="str">
        <f>IF(D287="","",SUM(J287)*SUM(AD273))</f>
        <v/>
      </c>
      <c r="N287" s="267" t="str">
        <f t="shared" si="54"/>
        <v/>
      </c>
      <c r="O287" s="267" t="str">
        <f>IF(AG287,INDEX(E_PurchPrec!U:U,MATCH(CONST_CNTR_ElecEFMethod&amp;D287,E_PurchPrec!R:R,0)),INDEX(D_Processes!T:T,MATCH(CONST_CNTR_ElecEFMethod&amp;D287,D_Processes!R:R,0)))</f>
        <v/>
      </c>
      <c r="P287" s="266" t="str">
        <f>IF($D287="","",SUM($G287)*SUM(INDEX(InputOutput!$AN$71:$AN$100,MATCH($D287,InputOutput!$D$71:$D$100,0))))</f>
        <v/>
      </c>
      <c r="Q287" s="673" t="str">
        <f>IF(D287="","",IF(AG287,INDEX(A_InstData!$F$102:$F$121,MATCH(D287,CNTR_List_ExistPurchPrecNames,0)),""))</f>
        <v/>
      </c>
      <c r="R287" s="678" t="str">
        <f>IF($D287="","",SUM($G287)*SUM(INDEX(F_Tools!$T$101:$T$130,MATCH($D287,F_Tools!$E$101:$E$130,0))))</f>
        <v/>
      </c>
      <c r="S287" s="669" t="str">
        <f>IF($D287="","",SUM($G287)*SUM(INDEX(F_Tools!$U$101:$U$130,MATCH($D287,F_Tools!$E$101:$E$130,0))))</f>
        <v/>
      </c>
      <c r="T287" s="428"/>
      <c r="Z287" s="123"/>
      <c r="AB287" s="268" t="str">
        <f>CONST_PrecursorToGoodInput &amp; D287 &amp; "_" &amp; D270</f>
        <v>PrecToGood__</v>
      </c>
      <c r="AD287" s="269">
        <f>SUMIF(D_Processes!R:R,AB287,D_Processes!K:K)</f>
        <v>0</v>
      </c>
      <c r="AE287" s="268">
        <f>SUMIF(D_Processes!R:R,CONST_CNTR_TotProd &amp; D287,D_Processes!L:L)</f>
        <v>0</v>
      </c>
      <c r="AG287" s="102" t="b">
        <f t="shared" si="56"/>
        <v>0</v>
      </c>
    </row>
    <row r="288" spans="1:33" ht="12.75" customHeight="1" outlineLevel="1" x14ac:dyDescent="0.35">
      <c r="A288" s="92"/>
      <c r="B288" s="94"/>
      <c r="C288" s="978">
        <v>15</v>
      </c>
      <c r="D288" s="1417" t="str">
        <f>IF(D270="","",IF(COUNTIF(INDEX(CNTR_IOSupplyChain,MATCH(D270,CNTR_IOProcAndPrec,0),),C288)=0,"",INDEX(CNTR_IOProcAndPrec,MATCH(C288,INDEX(CNTR_IOSupplyChain,MATCH(D270,CNTR_IOProcAndPrec,0),),0))))</f>
        <v/>
      </c>
      <c r="E288" s="1418"/>
      <c r="F288" s="265" t="str">
        <f t="shared" si="55"/>
        <v/>
      </c>
      <c r="G288" s="266" t="str">
        <f>IF(D288="","",INDEX(CNTR_Matrix_Inv,MATCH(D270,CNTR_IOProcAndPrec,0),MATCH(D288,CNTR_IOProcAndPrec,0)))</f>
        <v/>
      </c>
      <c r="H288" s="286" t="str">
        <f>IF(D288="","",IF(AG288,INDEX(E_PurchPrec!U:U,MATCH(CONST_PurchPrecDefaultUsed&amp;D288,E_PurchPrec!R:R,0)),CONST_NA))</f>
        <v/>
      </c>
      <c r="I288" s="266" t="str">
        <f>IF($D288="","",SUM($G288)*SUM(INDEX(InputOutput!$AJ$71:$AJ$100,MATCH($D288,InputOutput!$D$71:$D$100,0))))</f>
        <v/>
      </c>
      <c r="J288" s="266" t="str">
        <f>IF($D288="","",SUM($G288)*SUM(INDEX(InputOutput!$AL$71:$AL$100,MATCH($D288,InputOutput!$D$71:$D$100,0))))</f>
        <v/>
      </c>
      <c r="K288" s="266" t="str">
        <f t="shared" si="53"/>
        <v/>
      </c>
      <c r="L288" s="267" t="str">
        <f>IF(D288="","",SUM(I288)*SUM(AD273))</f>
        <v/>
      </c>
      <c r="M288" s="267" t="str">
        <f>IF(D288="","",SUM(J288)*SUM(AD273))</f>
        <v/>
      </c>
      <c r="N288" s="267" t="str">
        <f t="shared" si="54"/>
        <v/>
      </c>
      <c r="O288" s="267" t="str">
        <f>IF(AG288,INDEX(E_PurchPrec!U:U,MATCH(CONST_CNTR_ElecEFMethod&amp;D288,E_PurchPrec!R:R,0)),INDEX(D_Processes!T:T,MATCH(CONST_CNTR_ElecEFMethod&amp;D288,D_Processes!R:R,0)))</f>
        <v/>
      </c>
      <c r="P288" s="266" t="str">
        <f>IF($D288="","",SUM($G288)*SUM(INDEX(InputOutput!$AN$71:$AN$100,MATCH($D288,InputOutput!$D$71:$D$100,0))))</f>
        <v/>
      </c>
      <c r="Q288" s="673" t="str">
        <f>IF(D288="","",IF(AG288,INDEX(A_InstData!$F$102:$F$121,MATCH(D288,CNTR_List_ExistPurchPrecNames,0)),""))</f>
        <v/>
      </c>
      <c r="R288" s="678" t="str">
        <f>IF($D288="","",SUM($G288)*SUM(INDEX(F_Tools!$T$101:$T$130,MATCH($D288,F_Tools!$E$101:$E$130,0))))</f>
        <v/>
      </c>
      <c r="S288" s="669" t="str">
        <f>IF($D288="","",SUM($G288)*SUM(INDEX(F_Tools!$U$101:$U$130,MATCH($D288,F_Tools!$E$101:$E$130,0))))</f>
        <v/>
      </c>
      <c r="T288" s="428"/>
      <c r="Z288" s="123"/>
      <c r="AB288" s="268" t="str">
        <f>CONST_PrecursorToGoodInput &amp; D288 &amp; "_" &amp; D270</f>
        <v>PrecToGood__</v>
      </c>
      <c r="AD288" s="269">
        <f>SUMIF(D_Processes!R:R,AB288,D_Processes!K:K)</f>
        <v>0</v>
      </c>
      <c r="AE288" s="268">
        <f>SUMIF(D_Processes!R:R,CONST_CNTR_TotProd &amp; D288,D_Processes!L:L)</f>
        <v>0</v>
      </c>
      <c r="AG288" s="102" t="b">
        <f t="shared" si="56"/>
        <v>0</v>
      </c>
    </row>
    <row r="289" spans="1:33" ht="12.75" customHeight="1" outlineLevel="1" x14ac:dyDescent="0.35">
      <c r="A289" s="92"/>
      <c r="B289" s="94"/>
      <c r="C289" s="978">
        <v>16</v>
      </c>
      <c r="D289" s="1417" t="str">
        <f>IF(D270="","",IF(COUNTIF(INDEX(CNTR_IOSupplyChain,MATCH(D270,CNTR_IOProcAndPrec,0),),C289)=0,"",INDEX(CNTR_IOProcAndPrec,MATCH(C289,INDEX(CNTR_IOSupplyChain,MATCH(D270,CNTR_IOProcAndPrec,0),),0))))</f>
        <v/>
      </c>
      <c r="E289" s="1418"/>
      <c r="F289" s="265" t="str">
        <f t="shared" si="55"/>
        <v/>
      </c>
      <c r="G289" s="266" t="str">
        <f>IF(D289="","",INDEX(CNTR_Matrix_Inv,MATCH(D270,CNTR_IOProcAndPrec,0),MATCH(D289,CNTR_IOProcAndPrec,0)))</f>
        <v/>
      </c>
      <c r="H289" s="286" t="str">
        <f>IF(D289="","",IF(AG289,INDEX(E_PurchPrec!U:U,MATCH(CONST_PurchPrecDefaultUsed&amp;D289,E_PurchPrec!R:R,0)),CONST_NA))</f>
        <v/>
      </c>
      <c r="I289" s="266" t="str">
        <f>IF($D289="","",SUM($G289)*SUM(INDEX(InputOutput!$AJ$71:$AJ$100,MATCH($D289,InputOutput!$D$71:$D$100,0))))</f>
        <v/>
      </c>
      <c r="J289" s="266" t="str">
        <f>IF($D289="","",SUM($G289)*SUM(INDEX(InputOutput!$AL$71:$AL$100,MATCH($D289,InputOutput!$D$71:$D$100,0))))</f>
        <v/>
      </c>
      <c r="K289" s="266" t="str">
        <f t="shared" si="53"/>
        <v/>
      </c>
      <c r="L289" s="267" t="str">
        <f>IF(D289="","",SUM(I289)*SUM(AD273))</f>
        <v/>
      </c>
      <c r="M289" s="267" t="str">
        <f>IF(D289="","",SUM(J289)*SUM(AD273))</f>
        <v/>
      </c>
      <c r="N289" s="267" t="str">
        <f t="shared" si="54"/>
        <v/>
      </c>
      <c r="O289" s="267" t="str">
        <f>IF(AG289,INDEX(E_PurchPrec!U:U,MATCH(CONST_CNTR_ElecEFMethod&amp;D289,E_PurchPrec!R:R,0)),INDEX(D_Processes!T:T,MATCH(CONST_CNTR_ElecEFMethod&amp;D289,D_Processes!R:R,0)))</f>
        <v/>
      </c>
      <c r="P289" s="266" t="str">
        <f>IF($D289="","",SUM($G289)*SUM(INDEX(InputOutput!$AN$71:$AN$100,MATCH($D289,InputOutput!$D$71:$D$100,0))))</f>
        <v/>
      </c>
      <c r="Q289" s="673" t="str">
        <f>IF(D289="","",IF(AG289,INDEX(A_InstData!$F$102:$F$121,MATCH(D289,CNTR_List_ExistPurchPrecNames,0)),""))</f>
        <v/>
      </c>
      <c r="R289" s="678" t="str">
        <f>IF($D289="","",SUM($G289)*SUM(INDEX(F_Tools!$T$101:$T$130,MATCH($D289,F_Tools!$E$101:$E$130,0))))</f>
        <v/>
      </c>
      <c r="S289" s="669" t="str">
        <f>IF($D289="","",SUM($G289)*SUM(INDEX(F_Tools!$U$101:$U$130,MATCH($D289,F_Tools!$E$101:$E$130,0))))</f>
        <v/>
      </c>
      <c r="T289" s="428"/>
      <c r="Z289" s="123"/>
      <c r="AB289" s="268" t="str">
        <f>CONST_PrecursorToGoodInput &amp; D289 &amp; "_" &amp; D270</f>
        <v>PrecToGood__</v>
      </c>
      <c r="AD289" s="269">
        <f>SUMIF(D_Processes!R:R,AB289,D_Processes!K:K)</f>
        <v>0</v>
      </c>
      <c r="AE289" s="268">
        <f>SUMIF(D_Processes!R:R,CONST_CNTR_TotProd &amp; D289,D_Processes!L:L)</f>
        <v>0</v>
      </c>
      <c r="AG289" s="102" t="b">
        <f t="shared" si="56"/>
        <v>0</v>
      </c>
    </row>
    <row r="290" spans="1:33" ht="12.75" customHeight="1" outlineLevel="1" x14ac:dyDescent="0.35">
      <c r="A290" s="92"/>
      <c r="B290" s="94"/>
      <c r="C290" s="978">
        <v>17</v>
      </c>
      <c r="D290" s="1417" t="str">
        <f>IF(D270="","",IF(COUNTIF(INDEX(CNTR_IOSupplyChain,MATCH(D270,CNTR_IOProcAndPrec,0),),C290)=0,"",INDEX(CNTR_IOProcAndPrec,MATCH(C290,INDEX(CNTR_IOSupplyChain,MATCH(D270,CNTR_IOProcAndPrec,0),),0))))</f>
        <v/>
      </c>
      <c r="E290" s="1418"/>
      <c r="F290" s="265" t="str">
        <f t="shared" si="55"/>
        <v/>
      </c>
      <c r="G290" s="266" t="str">
        <f>IF(D290="","",INDEX(CNTR_Matrix_Inv,MATCH(D270,CNTR_IOProcAndPrec,0),MATCH(D290,CNTR_IOProcAndPrec,0)))</f>
        <v/>
      </c>
      <c r="H290" s="286" t="str">
        <f>IF(D290="","",IF(AG290,INDEX(E_PurchPrec!U:U,MATCH(CONST_PurchPrecDefaultUsed&amp;D290,E_PurchPrec!R:R,0)),CONST_NA))</f>
        <v/>
      </c>
      <c r="I290" s="266" t="str">
        <f>IF($D290="","",SUM($G290)*SUM(INDEX(InputOutput!$AJ$71:$AJ$100,MATCH($D290,InputOutput!$D$71:$D$100,0))))</f>
        <v/>
      </c>
      <c r="J290" s="266" t="str">
        <f>IF($D290="","",SUM($G290)*SUM(INDEX(InputOutput!$AL$71:$AL$100,MATCH($D290,InputOutput!$D$71:$D$100,0))))</f>
        <v/>
      </c>
      <c r="K290" s="266" t="str">
        <f t="shared" si="53"/>
        <v/>
      </c>
      <c r="L290" s="267" t="str">
        <f>IF(D290="","",SUM(I290)*SUM(AD273))</f>
        <v/>
      </c>
      <c r="M290" s="267" t="str">
        <f>IF(D290="","",SUM(J290)*SUM(AD273))</f>
        <v/>
      </c>
      <c r="N290" s="267" t="str">
        <f t="shared" si="54"/>
        <v/>
      </c>
      <c r="O290" s="267" t="str">
        <f>IF(AG290,INDEX(E_PurchPrec!U:U,MATCH(CONST_CNTR_ElecEFMethod&amp;D290,E_PurchPrec!R:R,0)),INDEX(D_Processes!T:T,MATCH(CONST_CNTR_ElecEFMethod&amp;D290,D_Processes!R:R,0)))</f>
        <v/>
      </c>
      <c r="P290" s="266" t="str">
        <f>IF($D290="","",SUM($G290)*SUM(INDEX(InputOutput!$AN$71:$AN$100,MATCH($D290,InputOutput!$D$71:$D$100,0))))</f>
        <v/>
      </c>
      <c r="Q290" s="673" t="str">
        <f>IF(D290="","",IF(AG290,INDEX(A_InstData!$F$102:$F$121,MATCH(D290,CNTR_List_ExistPurchPrecNames,0)),""))</f>
        <v/>
      </c>
      <c r="R290" s="678" t="str">
        <f>IF($D290="","",SUM($G290)*SUM(INDEX(F_Tools!$T$101:$T$130,MATCH($D290,F_Tools!$E$101:$E$130,0))))</f>
        <v/>
      </c>
      <c r="S290" s="669" t="str">
        <f>IF($D290="","",SUM($G290)*SUM(INDEX(F_Tools!$U$101:$U$130,MATCH($D290,F_Tools!$E$101:$E$130,0))))</f>
        <v/>
      </c>
      <c r="T290" s="428"/>
      <c r="Z290" s="123"/>
      <c r="AB290" s="268" t="str">
        <f>CONST_PrecursorToGoodInput &amp; D290 &amp; "_" &amp; D270</f>
        <v>PrecToGood__</v>
      </c>
      <c r="AD290" s="269">
        <f>SUMIF(D_Processes!R:R,AB290,D_Processes!K:K)</f>
        <v>0</v>
      </c>
      <c r="AE290" s="268">
        <f>SUMIF(D_Processes!R:R,CONST_CNTR_TotProd &amp; D290,D_Processes!L:L)</f>
        <v>0</v>
      </c>
      <c r="AG290" s="102" t="b">
        <f t="shared" si="56"/>
        <v>0</v>
      </c>
    </row>
    <row r="291" spans="1:33" ht="12.75" customHeight="1" outlineLevel="1" x14ac:dyDescent="0.35">
      <c r="A291" s="92"/>
      <c r="B291" s="94"/>
      <c r="C291" s="978">
        <v>18</v>
      </c>
      <c r="D291" s="1417" t="str">
        <f>IF(D270="","",IF(COUNTIF(INDEX(CNTR_IOSupplyChain,MATCH(D270,CNTR_IOProcAndPrec,0),),C291)=0,"",INDEX(CNTR_IOProcAndPrec,MATCH(C291,INDEX(CNTR_IOSupplyChain,MATCH(D270,CNTR_IOProcAndPrec,0),),0))))</f>
        <v/>
      </c>
      <c r="E291" s="1418"/>
      <c r="F291" s="265" t="str">
        <f t="shared" si="55"/>
        <v/>
      </c>
      <c r="G291" s="266" t="str">
        <f>IF(D291="","",INDEX(CNTR_Matrix_Inv,MATCH(D270,CNTR_IOProcAndPrec,0),MATCH(D291,CNTR_IOProcAndPrec,0)))</f>
        <v/>
      </c>
      <c r="H291" s="286" t="str">
        <f>IF(D291="","",IF(AG291,INDEX(E_PurchPrec!U:U,MATCH(CONST_PurchPrecDefaultUsed&amp;D291,E_PurchPrec!R:R,0)),CONST_NA))</f>
        <v/>
      </c>
      <c r="I291" s="266" t="str">
        <f>IF($D291="","",SUM($G291)*SUM(INDEX(InputOutput!$AJ$71:$AJ$100,MATCH($D291,InputOutput!$D$71:$D$100,0))))</f>
        <v/>
      </c>
      <c r="J291" s="266" t="str">
        <f>IF($D291="","",SUM($G291)*SUM(INDEX(InputOutput!$AL$71:$AL$100,MATCH($D291,InputOutput!$D$71:$D$100,0))))</f>
        <v/>
      </c>
      <c r="K291" s="266" t="str">
        <f t="shared" si="53"/>
        <v/>
      </c>
      <c r="L291" s="267" t="str">
        <f>IF(D291="","",SUM(I291)*SUM(AD273))</f>
        <v/>
      </c>
      <c r="M291" s="267" t="str">
        <f>IF(D291="","",SUM(J291)*SUM(AD273))</f>
        <v/>
      </c>
      <c r="N291" s="267" t="str">
        <f t="shared" si="54"/>
        <v/>
      </c>
      <c r="O291" s="267" t="str">
        <f>IF(AG291,INDEX(E_PurchPrec!U:U,MATCH(CONST_CNTR_ElecEFMethod&amp;D291,E_PurchPrec!R:R,0)),INDEX(D_Processes!T:T,MATCH(CONST_CNTR_ElecEFMethod&amp;D291,D_Processes!R:R,0)))</f>
        <v/>
      </c>
      <c r="P291" s="266" t="str">
        <f>IF($D291="","",SUM($G291)*SUM(INDEX(InputOutput!$AN$71:$AN$100,MATCH($D291,InputOutput!$D$71:$D$100,0))))</f>
        <v/>
      </c>
      <c r="Q291" s="673" t="str">
        <f>IF(D291="","",IF(AG291,INDEX(A_InstData!$F$102:$F$121,MATCH(D291,CNTR_List_ExistPurchPrecNames,0)),""))</f>
        <v/>
      </c>
      <c r="R291" s="678" t="str">
        <f>IF($D291="","",SUM($G291)*SUM(INDEX(F_Tools!$T$101:$T$130,MATCH($D291,F_Tools!$E$101:$E$130,0))))</f>
        <v/>
      </c>
      <c r="S291" s="669" t="str">
        <f>IF($D291="","",SUM($G291)*SUM(INDEX(F_Tools!$U$101:$U$130,MATCH($D291,F_Tools!$E$101:$E$130,0))))</f>
        <v/>
      </c>
      <c r="T291" s="428"/>
      <c r="Z291" s="123"/>
      <c r="AB291" s="268" t="str">
        <f>CONST_PrecursorToGoodInput &amp; D291 &amp; "_" &amp; D270</f>
        <v>PrecToGood__</v>
      </c>
      <c r="AD291" s="269">
        <f>SUMIF(D_Processes!R:R,AB291,D_Processes!K:K)</f>
        <v>0</v>
      </c>
      <c r="AE291" s="268">
        <f>SUMIF(D_Processes!R:R,CONST_CNTR_TotProd &amp; D291,D_Processes!L:L)</f>
        <v>0</v>
      </c>
      <c r="AG291" s="102" t="b">
        <f t="shared" si="56"/>
        <v>0</v>
      </c>
    </row>
    <row r="292" spans="1:33" ht="12.75" customHeight="1" outlineLevel="1" x14ac:dyDescent="0.35">
      <c r="A292" s="92"/>
      <c r="B292" s="94"/>
      <c r="C292" s="978">
        <v>19</v>
      </c>
      <c r="D292" s="1417" t="str">
        <f>IF(D270="","",IF(COUNTIF(INDEX(CNTR_IOSupplyChain,MATCH(D270,CNTR_IOProcAndPrec,0),),C292)=0,"",INDEX(CNTR_IOProcAndPrec,MATCH(C292,INDEX(CNTR_IOSupplyChain,MATCH(D270,CNTR_IOProcAndPrec,0),),0))))</f>
        <v/>
      </c>
      <c r="E292" s="1418"/>
      <c r="F292" s="265" t="str">
        <f t="shared" si="55"/>
        <v/>
      </c>
      <c r="G292" s="266" t="str">
        <f>IF(D292="","",INDEX(CNTR_Matrix_Inv,MATCH(D270,CNTR_IOProcAndPrec,0),MATCH(D292,CNTR_IOProcAndPrec,0)))</f>
        <v/>
      </c>
      <c r="H292" s="286" t="str">
        <f>IF(D292="","",IF(AG292,INDEX(E_PurchPrec!U:U,MATCH(CONST_PurchPrecDefaultUsed&amp;D292,E_PurchPrec!R:R,0)),CONST_NA))</f>
        <v/>
      </c>
      <c r="I292" s="266" t="str">
        <f>IF($D292="","",SUM($G292)*SUM(INDEX(InputOutput!$AJ$71:$AJ$100,MATCH($D292,InputOutput!$D$71:$D$100,0))))</f>
        <v/>
      </c>
      <c r="J292" s="266" t="str">
        <f>IF($D292="","",SUM($G292)*SUM(INDEX(InputOutput!$AL$71:$AL$100,MATCH($D292,InputOutput!$D$71:$D$100,0))))</f>
        <v/>
      </c>
      <c r="K292" s="266" t="str">
        <f t="shared" si="53"/>
        <v/>
      </c>
      <c r="L292" s="267" t="str">
        <f>IF(D292="","",SUM(I292)*SUM(AD273))</f>
        <v/>
      </c>
      <c r="M292" s="267" t="str">
        <f>IF(D292="","",SUM(J292)*SUM(AD273))</f>
        <v/>
      </c>
      <c r="N292" s="267" t="str">
        <f t="shared" si="54"/>
        <v/>
      </c>
      <c r="O292" s="267" t="str">
        <f>IF(AG292,INDEX(E_PurchPrec!U:U,MATCH(CONST_CNTR_ElecEFMethod&amp;D292,E_PurchPrec!R:R,0)),INDEX(D_Processes!T:T,MATCH(CONST_CNTR_ElecEFMethod&amp;D292,D_Processes!R:R,0)))</f>
        <v/>
      </c>
      <c r="P292" s="266" t="str">
        <f>IF($D292="","",SUM($G292)*SUM(INDEX(InputOutput!$AN$71:$AN$100,MATCH($D292,InputOutput!$D$71:$D$100,0))))</f>
        <v/>
      </c>
      <c r="Q292" s="673" t="str">
        <f>IF(D292="","",IF(AG292,INDEX(A_InstData!$F$102:$F$121,MATCH(D292,CNTR_List_ExistPurchPrecNames,0)),""))</f>
        <v/>
      </c>
      <c r="R292" s="678" t="str">
        <f>IF($D292="","",SUM($G292)*SUM(INDEX(F_Tools!$T$101:$T$130,MATCH($D292,F_Tools!$E$101:$E$130,0))))</f>
        <v/>
      </c>
      <c r="S292" s="669" t="str">
        <f>IF($D292="","",SUM($G292)*SUM(INDEX(F_Tools!$U$101:$U$130,MATCH($D292,F_Tools!$E$101:$E$130,0))))</f>
        <v/>
      </c>
      <c r="T292" s="428"/>
      <c r="Z292" s="123"/>
      <c r="AB292" s="268" t="str">
        <f>CONST_PrecursorToGoodInput &amp; D292 &amp; "_" &amp; D270</f>
        <v>PrecToGood__</v>
      </c>
      <c r="AD292" s="269">
        <f>SUMIF(D_Processes!R:R,AB292,D_Processes!K:K)</f>
        <v>0</v>
      </c>
      <c r="AE292" s="268">
        <f>SUMIF(D_Processes!R:R,CONST_CNTR_TotProd &amp; D292,D_Processes!L:L)</f>
        <v>0</v>
      </c>
      <c r="AG292" s="102" t="b">
        <f t="shared" si="56"/>
        <v>0</v>
      </c>
    </row>
    <row r="293" spans="1:33" ht="12.75" customHeight="1" outlineLevel="1" x14ac:dyDescent="0.35">
      <c r="A293" s="92"/>
      <c r="B293" s="94"/>
      <c r="C293" s="978">
        <v>20</v>
      </c>
      <c r="D293" s="1417" t="str">
        <f>IF(D270="","",IF(COUNTIF(INDEX(CNTR_IOSupplyChain,MATCH(D270,CNTR_IOProcAndPrec,0),),C293)=0,"",INDEX(CNTR_IOProcAndPrec,MATCH(C293,INDEX(CNTR_IOSupplyChain,MATCH(D270,CNTR_IOProcAndPrec,0),),0))))</f>
        <v/>
      </c>
      <c r="E293" s="1418"/>
      <c r="F293" s="265" t="str">
        <f t="shared" si="55"/>
        <v/>
      </c>
      <c r="G293" s="266" t="str">
        <f>IF(D293="","",INDEX(CNTR_Matrix_Inv,MATCH(D270,CNTR_IOProcAndPrec,0),MATCH(D293,CNTR_IOProcAndPrec,0)))</f>
        <v/>
      </c>
      <c r="H293" s="286" t="str">
        <f>IF(D293="","",IF(AG293,INDEX(E_PurchPrec!U:U,MATCH(CONST_PurchPrecDefaultUsed&amp;D293,E_PurchPrec!R:R,0)),CONST_NA))</f>
        <v/>
      </c>
      <c r="I293" s="266" t="str">
        <f>IF($D293="","",SUM($G293)*SUM(INDEX(InputOutput!$AJ$71:$AJ$100,MATCH($D293,InputOutput!$D$71:$D$100,0))))</f>
        <v/>
      </c>
      <c r="J293" s="266" t="str">
        <f>IF($D293="","",SUM($G293)*SUM(INDEX(InputOutput!$AL$71:$AL$100,MATCH($D293,InputOutput!$D$71:$D$100,0))))</f>
        <v/>
      </c>
      <c r="K293" s="266" t="str">
        <f t="shared" si="53"/>
        <v/>
      </c>
      <c r="L293" s="267" t="str">
        <f>IF(D293="","",SUM(I293)*SUM(AD273))</f>
        <v/>
      </c>
      <c r="M293" s="267" t="str">
        <f>IF(D293="","",SUM(J293)*SUM(AD273))</f>
        <v/>
      </c>
      <c r="N293" s="267" t="str">
        <f t="shared" si="54"/>
        <v/>
      </c>
      <c r="O293" s="267" t="str">
        <f>IF(AG293,INDEX(E_PurchPrec!U:U,MATCH(CONST_CNTR_ElecEFMethod&amp;D293,E_PurchPrec!R:R,0)),INDEX(D_Processes!T:T,MATCH(CONST_CNTR_ElecEFMethod&amp;D293,D_Processes!R:R,0)))</f>
        <v/>
      </c>
      <c r="P293" s="266" t="str">
        <f>IF($D293="","",SUM($G293)*SUM(INDEX(InputOutput!$AN$71:$AN$100,MATCH($D293,InputOutput!$D$71:$D$100,0))))</f>
        <v/>
      </c>
      <c r="Q293" s="673" t="str">
        <f>IF(D293="","",IF(AG293,INDEX(A_InstData!$F$102:$F$121,MATCH(D293,CNTR_List_ExistPurchPrecNames,0)),""))</f>
        <v/>
      </c>
      <c r="R293" s="678" t="str">
        <f>IF($D293="","",SUM($G293)*SUM(INDEX(F_Tools!$T$101:$T$130,MATCH($D293,F_Tools!$E$101:$E$130,0))))</f>
        <v/>
      </c>
      <c r="S293" s="669" t="str">
        <f>IF($D293="","",SUM($G293)*SUM(INDEX(F_Tools!$U$101:$U$130,MATCH($D293,F_Tools!$E$101:$E$130,0))))</f>
        <v/>
      </c>
      <c r="T293" s="428"/>
      <c r="Z293" s="123"/>
      <c r="AB293" s="268" t="str">
        <f>CONST_PrecursorToGoodInput &amp; D293 &amp; "_" &amp; D270</f>
        <v>PrecToGood__</v>
      </c>
      <c r="AD293" s="269">
        <f>SUMIF(D_Processes!R:R,AB293,D_Processes!K:K)</f>
        <v>0</v>
      </c>
      <c r="AE293" s="268">
        <f>SUMIF(D_Processes!R:R,CONST_CNTR_TotProd &amp; D293,D_Processes!L:L)</f>
        <v>0</v>
      </c>
      <c r="AG293" s="102" t="b">
        <f t="shared" si="56"/>
        <v>0</v>
      </c>
    </row>
    <row r="294" spans="1:33" ht="12.75" customHeight="1" outlineLevel="1" x14ac:dyDescent="0.35">
      <c r="A294" s="92"/>
      <c r="B294" s="94"/>
      <c r="C294" s="978">
        <v>21</v>
      </c>
      <c r="D294" s="1417" t="str">
        <f>IF(D270="","",IF(COUNTIF(INDEX(CNTR_IOSupplyChain,MATCH(D270,CNTR_IOProcAndPrec,0),),C294)=0,"",INDEX(CNTR_IOProcAndPrec,MATCH(C294,INDEX(CNTR_IOSupplyChain,MATCH(D270,CNTR_IOProcAndPrec,0),),0))))</f>
        <v/>
      </c>
      <c r="E294" s="1418"/>
      <c r="F294" s="265" t="str">
        <f t="shared" si="55"/>
        <v/>
      </c>
      <c r="G294" s="266" t="str">
        <f>IF(D294="","",INDEX(CNTR_Matrix_Inv,MATCH(D270,CNTR_IOProcAndPrec,0),MATCH(D294,CNTR_IOProcAndPrec,0)))</f>
        <v/>
      </c>
      <c r="H294" s="286" t="str">
        <f>IF(D294="","",IF(AG294,INDEX(E_PurchPrec!U:U,MATCH(CONST_PurchPrecDefaultUsed&amp;D294,E_PurchPrec!R:R,0)),CONST_NA))</f>
        <v/>
      </c>
      <c r="I294" s="266" t="str">
        <f>IF($D294="","",SUM($G294)*SUM(INDEX(InputOutput!$AJ$71:$AJ$100,MATCH($D294,InputOutput!$D$71:$D$100,0))))</f>
        <v/>
      </c>
      <c r="J294" s="266" t="str">
        <f>IF($D294="","",SUM($G294)*SUM(INDEX(InputOutput!$AL$71:$AL$100,MATCH($D294,InputOutput!$D$71:$D$100,0))))</f>
        <v/>
      </c>
      <c r="K294" s="266" t="str">
        <f t="shared" si="53"/>
        <v/>
      </c>
      <c r="L294" s="267" t="str">
        <f>IF(D294="","",SUM(I294)*SUM(AD273))</f>
        <v/>
      </c>
      <c r="M294" s="267" t="str">
        <f>IF(D294="","",SUM(J294)*SUM(AD273))</f>
        <v/>
      </c>
      <c r="N294" s="267" t="str">
        <f t="shared" si="54"/>
        <v/>
      </c>
      <c r="O294" s="267" t="str">
        <f>IF(AG294,INDEX(E_PurchPrec!U:U,MATCH(CONST_CNTR_ElecEFMethod&amp;D294,E_PurchPrec!R:R,0)),INDEX(D_Processes!T:T,MATCH(CONST_CNTR_ElecEFMethod&amp;D294,D_Processes!R:R,0)))</f>
        <v/>
      </c>
      <c r="P294" s="266" t="str">
        <f>IF($D294="","",SUM($G294)*SUM(INDEX(InputOutput!$AN$71:$AN$100,MATCH($D294,InputOutput!$D$71:$D$100,0))))</f>
        <v/>
      </c>
      <c r="Q294" s="673" t="str">
        <f>IF(D294="","",IF(AG294,INDEX(A_InstData!$F$102:$F$121,MATCH(D294,CNTR_List_ExistPurchPrecNames,0)),""))</f>
        <v/>
      </c>
      <c r="R294" s="678" t="str">
        <f>IF($D294="","",SUM($G294)*SUM(INDEX(F_Tools!$T$101:$T$130,MATCH($D294,F_Tools!$E$101:$E$130,0))))</f>
        <v/>
      </c>
      <c r="S294" s="669" t="str">
        <f>IF($D294="","",SUM($G294)*SUM(INDEX(F_Tools!$U$101:$U$130,MATCH($D294,F_Tools!$E$101:$E$130,0))))</f>
        <v/>
      </c>
      <c r="T294" s="428"/>
      <c r="Z294" s="123"/>
      <c r="AB294" s="268" t="str">
        <f>CONST_PrecursorToGoodInput &amp; D294 &amp; "_" &amp; D270</f>
        <v>PrecToGood__</v>
      </c>
      <c r="AD294" s="269">
        <f>SUMIF(D_Processes!R:R,AB294,D_Processes!K:K)</f>
        <v>0</v>
      </c>
      <c r="AE294" s="268">
        <f>SUMIF(D_Processes!R:R,CONST_CNTR_TotProd &amp; D294,D_Processes!L:L)</f>
        <v>0</v>
      </c>
      <c r="AG294" s="102" t="b">
        <f t="shared" si="56"/>
        <v>0</v>
      </c>
    </row>
    <row r="295" spans="1:33" ht="12.75" customHeight="1" outlineLevel="1" x14ac:dyDescent="0.35">
      <c r="A295" s="92"/>
      <c r="B295" s="94"/>
      <c r="C295" s="978">
        <v>22</v>
      </c>
      <c r="D295" s="1417" t="str">
        <f>IF(D270="","",IF(COUNTIF(INDEX(CNTR_IOSupplyChain,MATCH(D270,CNTR_IOProcAndPrec,0),),C295)=0,"",INDEX(CNTR_IOProcAndPrec,MATCH(C295,INDEX(CNTR_IOSupplyChain,MATCH(D270,CNTR_IOProcAndPrec,0),),0))))</f>
        <v/>
      </c>
      <c r="E295" s="1418"/>
      <c r="F295" s="265" t="str">
        <f t="shared" si="55"/>
        <v/>
      </c>
      <c r="G295" s="266" t="str">
        <f>IF(D295="","",INDEX(CNTR_Matrix_Inv,MATCH(D270,CNTR_IOProcAndPrec,0),MATCH(D295,CNTR_IOProcAndPrec,0)))</f>
        <v/>
      </c>
      <c r="H295" s="286" t="str">
        <f>IF(D295="","",IF(AG295,INDEX(E_PurchPrec!U:U,MATCH(CONST_PurchPrecDefaultUsed&amp;D295,E_PurchPrec!R:R,0)),CONST_NA))</f>
        <v/>
      </c>
      <c r="I295" s="266" t="str">
        <f>IF($D295="","",SUM($G295)*SUM(INDEX(InputOutput!$AJ$71:$AJ$100,MATCH($D295,InputOutput!$D$71:$D$100,0))))</f>
        <v/>
      </c>
      <c r="J295" s="266" t="str">
        <f>IF($D295="","",SUM($G295)*SUM(INDEX(InputOutput!$AL$71:$AL$100,MATCH($D295,InputOutput!$D$71:$D$100,0))))</f>
        <v/>
      </c>
      <c r="K295" s="266" t="str">
        <f t="shared" si="53"/>
        <v/>
      </c>
      <c r="L295" s="267" t="str">
        <f>IF(D295="","",SUM(I295)*SUM(AD273))</f>
        <v/>
      </c>
      <c r="M295" s="267" t="str">
        <f>IF(D295="","",SUM(J295)*SUM(AD273))</f>
        <v/>
      </c>
      <c r="N295" s="267" t="str">
        <f t="shared" si="54"/>
        <v/>
      </c>
      <c r="O295" s="267" t="str">
        <f>IF(AG295,INDEX(E_PurchPrec!U:U,MATCH(CONST_CNTR_ElecEFMethod&amp;D295,E_PurchPrec!R:R,0)),INDEX(D_Processes!T:T,MATCH(CONST_CNTR_ElecEFMethod&amp;D295,D_Processes!R:R,0)))</f>
        <v/>
      </c>
      <c r="P295" s="266" t="str">
        <f>IF($D295="","",SUM($G295)*SUM(INDEX(InputOutput!$AN$71:$AN$100,MATCH($D295,InputOutput!$D$71:$D$100,0))))</f>
        <v/>
      </c>
      <c r="Q295" s="673" t="str">
        <f>IF(D295="","",IF(AG295,INDEX(A_InstData!$F$102:$F$121,MATCH(D295,CNTR_List_ExistPurchPrecNames,0)),""))</f>
        <v/>
      </c>
      <c r="R295" s="678" t="str">
        <f>IF($D295="","",SUM($G295)*SUM(INDEX(F_Tools!$T$101:$T$130,MATCH($D295,F_Tools!$E$101:$E$130,0))))</f>
        <v/>
      </c>
      <c r="S295" s="669" t="str">
        <f>IF($D295="","",SUM($G295)*SUM(INDEX(F_Tools!$U$101:$U$130,MATCH($D295,F_Tools!$E$101:$E$130,0))))</f>
        <v/>
      </c>
      <c r="T295" s="428"/>
      <c r="Z295" s="123"/>
      <c r="AB295" s="268" t="str">
        <f>CONST_PrecursorToGoodInput &amp; D295 &amp; "_" &amp; D270</f>
        <v>PrecToGood__</v>
      </c>
      <c r="AD295" s="269">
        <f>SUMIF(D_Processes!R:R,AB295,D_Processes!K:K)</f>
        <v>0</v>
      </c>
      <c r="AE295" s="268">
        <f>SUMIF(D_Processes!R:R,CONST_CNTR_TotProd &amp; D295,D_Processes!L:L)</f>
        <v>0</v>
      </c>
      <c r="AG295" s="102" t="b">
        <f t="shared" si="56"/>
        <v>0</v>
      </c>
    </row>
    <row r="296" spans="1:33" ht="12.75" customHeight="1" outlineLevel="1" x14ac:dyDescent="0.35">
      <c r="A296" s="92"/>
      <c r="B296" s="94"/>
      <c r="C296" s="978">
        <v>23</v>
      </c>
      <c r="D296" s="1417" t="str">
        <f>IF(D270="","",IF(COUNTIF(INDEX(CNTR_IOSupplyChain,MATCH(D270,CNTR_IOProcAndPrec,0),),C296)=0,"",INDEX(CNTR_IOProcAndPrec,MATCH(C296,INDEX(CNTR_IOSupplyChain,MATCH(D270,CNTR_IOProcAndPrec,0),),0))))</f>
        <v/>
      </c>
      <c r="E296" s="1418"/>
      <c r="F296" s="265" t="str">
        <f t="shared" si="55"/>
        <v/>
      </c>
      <c r="G296" s="266" t="str">
        <f>IF(D296="","",INDEX(CNTR_Matrix_Inv,MATCH(D270,CNTR_IOProcAndPrec,0),MATCH(D296,CNTR_IOProcAndPrec,0)))</f>
        <v/>
      </c>
      <c r="H296" s="286" t="str">
        <f>IF(D296="","",IF(AG296,INDEX(E_PurchPrec!U:U,MATCH(CONST_PurchPrecDefaultUsed&amp;D296,E_PurchPrec!R:R,0)),CONST_NA))</f>
        <v/>
      </c>
      <c r="I296" s="266" t="str">
        <f>IF($D296="","",SUM($G296)*SUM(INDEX(InputOutput!$AJ$71:$AJ$100,MATCH($D296,InputOutput!$D$71:$D$100,0))))</f>
        <v/>
      </c>
      <c r="J296" s="266" t="str">
        <f>IF($D296="","",SUM($G296)*SUM(INDEX(InputOutput!$AL$71:$AL$100,MATCH($D296,InputOutput!$D$71:$D$100,0))))</f>
        <v/>
      </c>
      <c r="K296" s="266" t="str">
        <f t="shared" si="53"/>
        <v/>
      </c>
      <c r="L296" s="267" t="str">
        <f>IF(D296="","",SUM(I296)*SUM(AD273))</f>
        <v/>
      </c>
      <c r="M296" s="267" t="str">
        <f>IF(D296="","",SUM(J296)*SUM(AD273))</f>
        <v/>
      </c>
      <c r="N296" s="267" t="str">
        <f t="shared" si="54"/>
        <v/>
      </c>
      <c r="O296" s="267" t="str">
        <f>IF(AG296,INDEX(E_PurchPrec!U:U,MATCH(CONST_CNTR_ElecEFMethod&amp;D296,E_PurchPrec!R:R,0)),INDEX(D_Processes!T:T,MATCH(CONST_CNTR_ElecEFMethod&amp;D296,D_Processes!R:R,0)))</f>
        <v/>
      </c>
      <c r="P296" s="266" t="str">
        <f>IF($D296="","",SUM($G296)*SUM(INDEX(InputOutput!$AN$71:$AN$100,MATCH($D296,InputOutput!$D$71:$D$100,0))))</f>
        <v/>
      </c>
      <c r="Q296" s="673" t="str">
        <f>IF(D296="","",IF(AG296,INDEX(A_InstData!$F$102:$F$121,MATCH(D296,CNTR_List_ExistPurchPrecNames,0)),""))</f>
        <v/>
      </c>
      <c r="R296" s="678" t="str">
        <f>IF($D296="","",SUM($G296)*SUM(INDEX(F_Tools!$T$101:$T$130,MATCH($D296,F_Tools!$E$101:$E$130,0))))</f>
        <v/>
      </c>
      <c r="S296" s="669" t="str">
        <f>IF($D296="","",SUM($G296)*SUM(INDEX(F_Tools!$U$101:$U$130,MATCH($D296,F_Tools!$E$101:$E$130,0))))</f>
        <v/>
      </c>
      <c r="T296" s="428"/>
      <c r="Z296" s="123"/>
      <c r="AB296" s="268" t="str">
        <f>CONST_PrecursorToGoodInput &amp; D296 &amp; "_" &amp; D270</f>
        <v>PrecToGood__</v>
      </c>
      <c r="AD296" s="269">
        <f>SUMIF(D_Processes!R:R,AB296,D_Processes!K:K)</f>
        <v>0</v>
      </c>
      <c r="AE296" s="268">
        <f>SUMIF(D_Processes!R:R,CONST_CNTR_TotProd &amp; D296,D_Processes!L:L)</f>
        <v>0</v>
      </c>
      <c r="AG296" s="102" t="b">
        <f t="shared" si="56"/>
        <v>0</v>
      </c>
    </row>
    <row r="297" spans="1:33" ht="12.75" customHeight="1" outlineLevel="1" x14ac:dyDescent="0.35">
      <c r="A297" s="92"/>
      <c r="B297" s="94"/>
      <c r="C297" s="978">
        <v>24</v>
      </c>
      <c r="D297" s="1417" t="str">
        <f>IF(D270="","",IF(COUNTIF(INDEX(CNTR_IOSupplyChain,MATCH(D270,CNTR_IOProcAndPrec,0),),C297)=0,"",INDEX(CNTR_IOProcAndPrec,MATCH(C297,INDEX(CNTR_IOSupplyChain,MATCH(D270,CNTR_IOProcAndPrec,0),),0))))</f>
        <v/>
      </c>
      <c r="E297" s="1418"/>
      <c r="F297" s="265" t="str">
        <f t="shared" si="55"/>
        <v/>
      </c>
      <c r="G297" s="266" t="str">
        <f>IF(D297="","",INDEX(CNTR_Matrix_Inv,MATCH(D270,CNTR_IOProcAndPrec,0),MATCH(D297,CNTR_IOProcAndPrec,0)))</f>
        <v/>
      </c>
      <c r="H297" s="286" t="str">
        <f>IF(D297="","",IF(AG297,INDEX(E_PurchPrec!U:U,MATCH(CONST_PurchPrecDefaultUsed&amp;D297,E_PurchPrec!R:R,0)),CONST_NA))</f>
        <v/>
      </c>
      <c r="I297" s="266" t="str">
        <f>IF($D297="","",SUM($G297)*SUM(INDEX(InputOutput!$AJ$71:$AJ$100,MATCH($D297,InputOutput!$D$71:$D$100,0))))</f>
        <v/>
      </c>
      <c r="J297" s="266" t="str">
        <f>IF($D297="","",SUM($G297)*SUM(INDEX(InputOutput!$AL$71:$AL$100,MATCH($D297,InputOutput!$D$71:$D$100,0))))</f>
        <v/>
      </c>
      <c r="K297" s="266" t="str">
        <f t="shared" si="53"/>
        <v/>
      </c>
      <c r="L297" s="267" t="str">
        <f>IF(D297="","",SUM(I297)*SUM(AD273))</f>
        <v/>
      </c>
      <c r="M297" s="267" t="str">
        <f>IF(D297="","",SUM(J297)*SUM(AD273))</f>
        <v/>
      </c>
      <c r="N297" s="267" t="str">
        <f t="shared" si="54"/>
        <v/>
      </c>
      <c r="O297" s="267" t="str">
        <f>IF(AG297,INDEX(E_PurchPrec!U:U,MATCH(CONST_CNTR_ElecEFMethod&amp;D297,E_PurchPrec!R:R,0)),INDEX(D_Processes!T:T,MATCH(CONST_CNTR_ElecEFMethod&amp;D297,D_Processes!R:R,0)))</f>
        <v/>
      </c>
      <c r="P297" s="266" t="str">
        <f>IF($D297="","",SUM($G297)*SUM(INDEX(InputOutput!$AN$71:$AN$100,MATCH($D297,InputOutput!$D$71:$D$100,0))))</f>
        <v/>
      </c>
      <c r="Q297" s="673" t="str">
        <f>IF(D297="","",IF(AG297,INDEX(A_InstData!$F$102:$F$121,MATCH(D297,CNTR_List_ExistPurchPrecNames,0)),""))</f>
        <v/>
      </c>
      <c r="R297" s="678" t="str">
        <f>IF($D297="","",SUM($G297)*SUM(INDEX(F_Tools!$T$101:$T$130,MATCH($D297,F_Tools!$E$101:$E$130,0))))</f>
        <v/>
      </c>
      <c r="S297" s="669" t="str">
        <f>IF($D297="","",SUM($G297)*SUM(INDEX(F_Tools!$U$101:$U$130,MATCH($D297,F_Tools!$E$101:$E$130,0))))</f>
        <v/>
      </c>
      <c r="T297" s="428"/>
      <c r="Z297" s="123"/>
      <c r="AB297" s="268" t="str">
        <f>CONST_PrecursorToGoodInput &amp; D297 &amp; "_" &amp; D270</f>
        <v>PrecToGood__</v>
      </c>
      <c r="AD297" s="269">
        <f>SUMIF(D_Processes!R:R,AB297,D_Processes!K:K)</f>
        <v>0</v>
      </c>
      <c r="AE297" s="268">
        <f>SUMIF(D_Processes!R:R,CONST_CNTR_TotProd &amp; D297,D_Processes!L:L)</f>
        <v>0</v>
      </c>
      <c r="AG297" s="102" t="b">
        <f t="shared" si="56"/>
        <v>0</v>
      </c>
    </row>
    <row r="298" spans="1:33" ht="12.75" customHeight="1" outlineLevel="1" x14ac:dyDescent="0.35">
      <c r="A298" s="92"/>
      <c r="B298" s="94"/>
      <c r="C298" s="978">
        <v>25</v>
      </c>
      <c r="D298" s="1417" t="str">
        <f>IF(D270="","",IF(COUNTIF(INDEX(CNTR_IOSupplyChain,MATCH(D270,CNTR_IOProcAndPrec,0),),C298)=0,"",INDEX(CNTR_IOProcAndPrec,MATCH(C298,INDEX(CNTR_IOSupplyChain,MATCH(D270,CNTR_IOProcAndPrec,0),),0))))</f>
        <v/>
      </c>
      <c r="E298" s="1418"/>
      <c r="F298" s="265" t="str">
        <f t="shared" si="55"/>
        <v/>
      </c>
      <c r="G298" s="266" t="str">
        <f>IF(D298="","",INDEX(CNTR_Matrix_Inv,MATCH(D270,CNTR_IOProcAndPrec,0),MATCH(D298,CNTR_IOProcAndPrec,0)))</f>
        <v/>
      </c>
      <c r="H298" s="286" t="str">
        <f>IF(D298="","",IF(AG298,INDEX(E_PurchPrec!U:U,MATCH(CONST_PurchPrecDefaultUsed&amp;D298,E_PurchPrec!R:R,0)),CONST_NA))</f>
        <v/>
      </c>
      <c r="I298" s="266" t="str">
        <f>IF($D298="","",SUM($G298)*SUM(INDEX(InputOutput!$AJ$71:$AJ$100,MATCH($D298,InputOutput!$D$71:$D$100,0))))</f>
        <v/>
      </c>
      <c r="J298" s="266" t="str">
        <f>IF($D298="","",SUM($G298)*SUM(INDEX(InputOutput!$AL$71:$AL$100,MATCH($D298,InputOutput!$D$71:$D$100,0))))</f>
        <v/>
      </c>
      <c r="K298" s="266" t="str">
        <f t="shared" si="53"/>
        <v/>
      </c>
      <c r="L298" s="267" t="str">
        <f>IF(D298="","",SUM(I298)*SUM(AD273))</f>
        <v/>
      </c>
      <c r="M298" s="267" t="str">
        <f>IF(D298="","",SUM(J298)*SUM(AD273))</f>
        <v/>
      </c>
      <c r="N298" s="267" t="str">
        <f t="shared" si="54"/>
        <v/>
      </c>
      <c r="O298" s="267" t="str">
        <f>IF(AG298,INDEX(E_PurchPrec!U:U,MATCH(CONST_CNTR_ElecEFMethod&amp;D298,E_PurchPrec!R:R,0)),INDEX(D_Processes!T:T,MATCH(CONST_CNTR_ElecEFMethod&amp;D298,D_Processes!R:R,0)))</f>
        <v/>
      </c>
      <c r="P298" s="266" t="str">
        <f>IF($D298="","",SUM($G298)*SUM(INDEX(InputOutput!$AN$71:$AN$100,MATCH($D298,InputOutput!$D$71:$D$100,0))))</f>
        <v/>
      </c>
      <c r="Q298" s="673" t="str">
        <f>IF(D298="","",IF(AG298,INDEX(A_InstData!$F$102:$F$121,MATCH(D298,CNTR_List_ExistPurchPrecNames,0)),""))</f>
        <v/>
      </c>
      <c r="R298" s="678" t="str">
        <f>IF($D298="","",SUM($G298)*SUM(INDEX(F_Tools!$T$101:$T$130,MATCH($D298,F_Tools!$E$101:$E$130,0))))</f>
        <v/>
      </c>
      <c r="S298" s="669" t="str">
        <f>IF($D298="","",SUM($G298)*SUM(INDEX(F_Tools!$U$101:$U$130,MATCH($D298,F_Tools!$E$101:$E$130,0))))</f>
        <v/>
      </c>
      <c r="T298" s="428"/>
      <c r="Z298" s="123"/>
      <c r="AB298" s="268" t="str">
        <f>CONST_PrecursorToGoodInput &amp; D298 &amp; "_" &amp; D270</f>
        <v>PrecToGood__</v>
      </c>
      <c r="AD298" s="269">
        <f>SUMIF(D_Processes!R:R,AB298,D_Processes!K:K)</f>
        <v>0</v>
      </c>
      <c r="AE298" s="268">
        <f>SUMIF(D_Processes!R:R,CONST_CNTR_TotProd &amp; D298,D_Processes!L:L)</f>
        <v>0</v>
      </c>
      <c r="AG298" s="102" t="b">
        <f t="shared" si="56"/>
        <v>0</v>
      </c>
    </row>
    <row r="299" spans="1:33" ht="12.75" customHeight="1" outlineLevel="1" x14ac:dyDescent="0.35">
      <c r="A299" s="92"/>
      <c r="B299" s="94"/>
      <c r="C299" s="978">
        <v>26</v>
      </c>
      <c r="D299" s="1417" t="str">
        <f>IF(D270="","",IF(COUNTIF(INDEX(CNTR_IOSupplyChain,MATCH(D270,CNTR_IOProcAndPrec,0),),C299)=0,"",INDEX(CNTR_IOProcAndPrec,MATCH(C299,INDEX(CNTR_IOSupplyChain,MATCH(D270,CNTR_IOProcAndPrec,0),),0))))</f>
        <v/>
      </c>
      <c r="E299" s="1418"/>
      <c r="F299" s="265" t="str">
        <f t="shared" si="55"/>
        <v/>
      </c>
      <c r="G299" s="266" t="str">
        <f>IF(D299="","",INDEX(CNTR_Matrix_Inv,MATCH(D270,CNTR_IOProcAndPrec,0),MATCH(D299,CNTR_IOProcAndPrec,0)))</f>
        <v/>
      </c>
      <c r="H299" s="286" t="str">
        <f>IF(D299="","",IF(AG299,INDEX(E_PurchPrec!U:U,MATCH(CONST_PurchPrecDefaultUsed&amp;D299,E_PurchPrec!R:R,0)),CONST_NA))</f>
        <v/>
      </c>
      <c r="I299" s="266" t="str">
        <f>IF($D299="","",SUM($G299)*SUM(INDEX(InputOutput!$AJ$71:$AJ$100,MATCH($D299,InputOutput!$D$71:$D$100,0))))</f>
        <v/>
      </c>
      <c r="J299" s="266" t="str">
        <f>IF($D299="","",SUM($G299)*SUM(INDEX(InputOutput!$AL$71:$AL$100,MATCH($D299,InputOutput!$D$71:$D$100,0))))</f>
        <v/>
      </c>
      <c r="K299" s="266" t="str">
        <f t="shared" si="53"/>
        <v/>
      </c>
      <c r="L299" s="267" t="str">
        <f>IF(D299="","",SUM(I299)*SUM(AD273))</f>
        <v/>
      </c>
      <c r="M299" s="267" t="str">
        <f>IF(D299="","",SUM(J299)*SUM(AD273))</f>
        <v/>
      </c>
      <c r="N299" s="267" t="str">
        <f t="shared" si="54"/>
        <v/>
      </c>
      <c r="O299" s="267" t="str">
        <f>IF(AG299,INDEX(E_PurchPrec!U:U,MATCH(CONST_CNTR_ElecEFMethod&amp;D299,E_PurchPrec!R:R,0)),INDEX(D_Processes!T:T,MATCH(CONST_CNTR_ElecEFMethod&amp;D299,D_Processes!R:R,0)))</f>
        <v/>
      </c>
      <c r="P299" s="266" t="str">
        <f>IF($D299="","",SUM($G299)*SUM(INDEX(InputOutput!$AN$71:$AN$100,MATCH($D299,InputOutput!$D$71:$D$100,0))))</f>
        <v/>
      </c>
      <c r="Q299" s="673" t="str">
        <f>IF(D299="","",IF(AG299,INDEX(A_InstData!$F$102:$F$121,MATCH(D299,CNTR_List_ExistPurchPrecNames,0)),""))</f>
        <v/>
      </c>
      <c r="R299" s="678" t="str">
        <f>IF($D299="","",SUM($G299)*SUM(INDEX(F_Tools!$T$101:$T$130,MATCH($D299,F_Tools!$E$101:$E$130,0))))</f>
        <v/>
      </c>
      <c r="S299" s="669" t="str">
        <f>IF($D299="","",SUM($G299)*SUM(INDEX(F_Tools!$U$101:$U$130,MATCH($D299,F_Tools!$E$101:$E$130,0))))</f>
        <v/>
      </c>
      <c r="T299" s="428"/>
      <c r="Z299" s="123"/>
      <c r="AB299" s="268" t="str">
        <f>CONST_PrecursorToGoodInput &amp; D299 &amp; "_" &amp; D270</f>
        <v>PrecToGood__</v>
      </c>
      <c r="AD299" s="269">
        <f>SUMIF(D_Processes!R:R,AB299,D_Processes!K:K)</f>
        <v>0</v>
      </c>
      <c r="AE299" s="268">
        <f>SUMIF(D_Processes!R:R,CONST_CNTR_TotProd &amp; D299,D_Processes!L:L)</f>
        <v>0</v>
      </c>
      <c r="AG299" s="102" t="b">
        <f t="shared" si="56"/>
        <v>0</v>
      </c>
    </row>
    <row r="300" spans="1:33" ht="12.75" customHeight="1" outlineLevel="1" x14ac:dyDescent="0.35">
      <c r="A300" s="92"/>
      <c r="B300" s="94"/>
      <c r="C300" s="978">
        <v>27</v>
      </c>
      <c r="D300" s="1417" t="str">
        <f>IF(D270="","",IF(COUNTIF(INDEX(CNTR_IOSupplyChain,MATCH(D270,CNTR_IOProcAndPrec,0),),C300)=0,"",INDEX(CNTR_IOProcAndPrec,MATCH(C300,INDEX(CNTR_IOSupplyChain,MATCH(D270,CNTR_IOProcAndPrec,0),),0))))</f>
        <v/>
      </c>
      <c r="E300" s="1418"/>
      <c r="F300" s="265" t="str">
        <f t="shared" si="55"/>
        <v/>
      </c>
      <c r="G300" s="266" t="str">
        <f>IF(D300="","",INDEX(CNTR_Matrix_Inv,MATCH(D270,CNTR_IOProcAndPrec,0),MATCH(D300,CNTR_IOProcAndPrec,0)))</f>
        <v/>
      </c>
      <c r="H300" s="286" t="str">
        <f>IF(D300="","",IF(AG300,INDEX(E_PurchPrec!U:U,MATCH(CONST_PurchPrecDefaultUsed&amp;D300,E_PurchPrec!R:R,0)),CONST_NA))</f>
        <v/>
      </c>
      <c r="I300" s="266" t="str">
        <f>IF($D300="","",SUM($G300)*SUM(INDEX(InputOutput!$AJ$71:$AJ$100,MATCH($D300,InputOutput!$D$71:$D$100,0))))</f>
        <v/>
      </c>
      <c r="J300" s="266" t="str">
        <f>IF($D300="","",SUM($G300)*SUM(INDEX(InputOutput!$AL$71:$AL$100,MATCH($D300,InputOutput!$D$71:$D$100,0))))</f>
        <v/>
      </c>
      <c r="K300" s="266" t="str">
        <f t="shared" si="53"/>
        <v/>
      </c>
      <c r="L300" s="267" t="str">
        <f>IF(D300="","",SUM(I300)*SUM(AD273))</f>
        <v/>
      </c>
      <c r="M300" s="267" t="str">
        <f>IF(D300="","",SUM(J300)*SUM(AD273))</f>
        <v/>
      </c>
      <c r="N300" s="267" t="str">
        <f t="shared" si="54"/>
        <v/>
      </c>
      <c r="O300" s="267" t="str">
        <f>IF(AG300,INDEX(E_PurchPrec!U:U,MATCH(CONST_CNTR_ElecEFMethod&amp;D300,E_PurchPrec!R:R,0)),INDEX(D_Processes!T:T,MATCH(CONST_CNTR_ElecEFMethod&amp;D300,D_Processes!R:R,0)))</f>
        <v/>
      </c>
      <c r="P300" s="266" t="str">
        <f>IF($D300="","",SUM($G300)*SUM(INDEX(InputOutput!$AN$71:$AN$100,MATCH($D300,InputOutput!$D$71:$D$100,0))))</f>
        <v/>
      </c>
      <c r="Q300" s="673" t="str">
        <f>IF(D300="","",IF(AG300,INDEX(A_InstData!$F$102:$F$121,MATCH(D300,CNTR_List_ExistPurchPrecNames,0)),""))</f>
        <v/>
      </c>
      <c r="R300" s="678" t="str">
        <f>IF($D300="","",SUM($G300)*SUM(INDEX(F_Tools!$T$101:$T$130,MATCH($D300,F_Tools!$E$101:$E$130,0))))</f>
        <v/>
      </c>
      <c r="S300" s="669" t="str">
        <f>IF($D300="","",SUM($G300)*SUM(INDEX(F_Tools!$U$101:$U$130,MATCH($D300,F_Tools!$E$101:$E$130,0))))</f>
        <v/>
      </c>
      <c r="T300" s="428"/>
      <c r="Z300" s="123"/>
      <c r="AB300" s="268" t="str">
        <f>CONST_PrecursorToGoodInput &amp; D300 &amp; "_" &amp; D270</f>
        <v>PrecToGood__</v>
      </c>
      <c r="AD300" s="269">
        <f>SUMIF(D_Processes!R:R,AB300,D_Processes!K:K)</f>
        <v>0</v>
      </c>
      <c r="AE300" s="268">
        <f>SUMIF(D_Processes!R:R,CONST_CNTR_TotProd &amp; D300,D_Processes!L:L)</f>
        <v>0</v>
      </c>
      <c r="AG300" s="102" t="b">
        <f t="shared" si="56"/>
        <v>0</v>
      </c>
    </row>
    <row r="301" spans="1:33" ht="12.75" customHeight="1" outlineLevel="1" x14ac:dyDescent="0.35">
      <c r="A301" s="92"/>
      <c r="B301" s="94"/>
      <c r="C301" s="978">
        <v>28</v>
      </c>
      <c r="D301" s="1417" t="str">
        <f>IF(D270="","",IF(COUNTIF(INDEX(CNTR_IOSupplyChain,MATCH(D270,CNTR_IOProcAndPrec,0),),C301)=0,"",INDEX(CNTR_IOProcAndPrec,MATCH(C301,INDEX(CNTR_IOSupplyChain,MATCH(D270,CNTR_IOProcAndPrec,0),),0))))</f>
        <v/>
      </c>
      <c r="E301" s="1418"/>
      <c r="F301" s="265" t="str">
        <f t="shared" si="55"/>
        <v/>
      </c>
      <c r="G301" s="266" t="str">
        <f>IF(D301="","",INDEX(CNTR_Matrix_Inv,MATCH(D270,CNTR_IOProcAndPrec,0),MATCH(D301,CNTR_IOProcAndPrec,0)))</f>
        <v/>
      </c>
      <c r="H301" s="286" t="str">
        <f>IF(D301="","",IF(AG301,INDEX(E_PurchPrec!U:U,MATCH(CONST_PurchPrecDefaultUsed&amp;D301,E_PurchPrec!R:R,0)),CONST_NA))</f>
        <v/>
      </c>
      <c r="I301" s="266" t="str">
        <f>IF($D301="","",SUM($G301)*SUM(INDEX(InputOutput!$AJ$71:$AJ$100,MATCH($D301,InputOutput!$D$71:$D$100,0))))</f>
        <v/>
      </c>
      <c r="J301" s="266" t="str">
        <f>IF($D301="","",SUM($G301)*SUM(INDEX(InputOutput!$AL$71:$AL$100,MATCH($D301,InputOutput!$D$71:$D$100,0))))</f>
        <v/>
      </c>
      <c r="K301" s="266" t="str">
        <f t="shared" si="53"/>
        <v/>
      </c>
      <c r="L301" s="267" t="str">
        <f>IF(D301="","",SUM(I301)*SUM(AD273))</f>
        <v/>
      </c>
      <c r="M301" s="267" t="str">
        <f>IF(D301="","",SUM(J301)*SUM(AD273))</f>
        <v/>
      </c>
      <c r="N301" s="267" t="str">
        <f t="shared" si="54"/>
        <v/>
      </c>
      <c r="O301" s="267" t="str">
        <f>IF(AG301,INDEX(E_PurchPrec!U:U,MATCH(CONST_CNTR_ElecEFMethod&amp;D301,E_PurchPrec!R:R,0)),INDEX(D_Processes!T:T,MATCH(CONST_CNTR_ElecEFMethod&amp;D301,D_Processes!R:R,0)))</f>
        <v/>
      </c>
      <c r="P301" s="266" t="str">
        <f>IF($D301="","",SUM($G301)*SUM(INDEX(InputOutput!$AN$71:$AN$100,MATCH($D301,InputOutput!$D$71:$D$100,0))))</f>
        <v/>
      </c>
      <c r="Q301" s="673" t="str">
        <f>IF(D301="","",IF(AG301,INDEX(A_InstData!$F$102:$F$121,MATCH(D301,CNTR_List_ExistPurchPrecNames,0)),""))</f>
        <v/>
      </c>
      <c r="R301" s="678" t="str">
        <f>IF($D301="","",SUM($G301)*SUM(INDEX(F_Tools!$T$101:$T$130,MATCH($D301,F_Tools!$E$101:$E$130,0))))</f>
        <v/>
      </c>
      <c r="S301" s="669" t="str">
        <f>IF($D301="","",SUM($G301)*SUM(INDEX(F_Tools!$U$101:$U$130,MATCH($D301,F_Tools!$E$101:$E$130,0))))</f>
        <v/>
      </c>
      <c r="T301" s="428"/>
      <c r="Z301" s="123"/>
      <c r="AB301" s="268" t="str">
        <f>CONST_PrecursorToGoodInput &amp; D301 &amp; "_" &amp; D270</f>
        <v>PrecToGood__</v>
      </c>
      <c r="AD301" s="269">
        <f>SUMIF(D_Processes!R:R,AB301,D_Processes!K:K)</f>
        <v>0</v>
      </c>
      <c r="AE301" s="268">
        <f>SUMIF(D_Processes!R:R,CONST_CNTR_TotProd &amp; D301,D_Processes!L:L)</f>
        <v>0</v>
      </c>
      <c r="AG301" s="102" t="b">
        <f t="shared" si="56"/>
        <v>0</v>
      </c>
    </row>
    <row r="302" spans="1:33" ht="12.75" customHeight="1" outlineLevel="1" x14ac:dyDescent="0.35">
      <c r="A302" s="92"/>
      <c r="B302" s="94"/>
      <c r="C302" s="978">
        <v>29</v>
      </c>
      <c r="D302" s="1417" t="str">
        <f>IF(D270="","",IF(COUNTIF(INDEX(CNTR_IOSupplyChain,MATCH(D270,CNTR_IOProcAndPrec,0),),C302)=0,"",INDEX(CNTR_IOProcAndPrec,MATCH(C302,INDEX(CNTR_IOSupplyChain,MATCH(D270,CNTR_IOProcAndPrec,0),),0))))</f>
        <v/>
      </c>
      <c r="E302" s="1418"/>
      <c r="F302" s="265" t="str">
        <f t="shared" si="55"/>
        <v/>
      </c>
      <c r="G302" s="266" t="str">
        <f>IF(D302="","",INDEX(CNTR_Matrix_Inv,MATCH(D270,CNTR_IOProcAndPrec,0),MATCH(D302,CNTR_IOProcAndPrec,0)))</f>
        <v/>
      </c>
      <c r="H302" s="286" t="str">
        <f>IF(D302="","",IF(AG302,INDEX(E_PurchPrec!U:U,MATCH(CONST_PurchPrecDefaultUsed&amp;D302,E_PurchPrec!R:R,0)),CONST_NA))</f>
        <v/>
      </c>
      <c r="I302" s="266" t="str">
        <f>IF($D302="","",SUM($G302)*SUM(INDEX(InputOutput!$AJ$71:$AJ$100,MATCH($D302,InputOutput!$D$71:$D$100,0))))</f>
        <v/>
      </c>
      <c r="J302" s="266" t="str">
        <f>IF($D302="","",SUM($G302)*SUM(INDEX(InputOutput!$AL$71:$AL$100,MATCH($D302,InputOutput!$D$71:$D$100,0))))</f>
        <v/>
      </c>
      <c r="K302" s="266" t="str">
        <f t="shared" si="53"/>
        <v/>
      </c>
      <c r="L302" s="267" t="str">
        <f>IF(D302="","",SUM(I302)*SUM(AD273))</f>
        <v/>
      </c>
      <c r="M302" s="267" t="str">
        <f>IF(D302="","",SUM(J302)*SUM(AD273))</f>
        <v/>
      </c>
      <c r="N302" s="267" t="str">
        <f t="shared" si="54"/>
        <v/>
      </c>
      <c r="O302" s="267" t="str">
        <f>IF(AG302,INDEX(E_PurchPrec!U:U,MATCH(CONST_CNTR_ElecEFMethod&amp;D302,E_PurchPrec!R:R,0)),INDEX(D_Processes!T:T,MATCH(CONST_CNTR_ElecEFMethod&amp;D302,D_Processes!R:R,0)))</f>
        <v/>
      </c>
      <c r="P302" s="266" t="str">
        <f>IF($D302="","",SUM($G302)*SUM(INDEX(InputOutput!$AN$71:$AN$100,MATCH($D302,InputOutput!$D$71:$D$100,0))))</f>
        <v/>
      </c>
      <c r="Q302" s="673" t="str">
        <f>IF(D302="","",IF(AG302,INDEX(A_InstData!$F$102:$F$121,MATCH(D302,CNTR_List_ExistPurchPrecNames,0)),""))</f>
        <v/>
      </c>
      <c r="R302" s="678" t="str">
        <f>IF($D302="","",SUM($G302)*SUM(INDEX(F_Tools!$T$101:$T$130,MATCH($D302,F_Tools!$E$101:$E$130,0))))</f>
        <v/>
      </c>
      <c r="S302" s="669" t="str">
        <f>IF($D302="","",SUM($G302)*SUM(INDEX(F_Tools!$U$101:$U$130,MATCH($D302,F_Tools!$E$101:$E$130,0))))</f>
        <v/>
      </c>
      <c r="T302" s="428"/>
      <c r="Z302" s="123"/>
      <c r="AB302" s="268" t="str">
        <f>CONST_PrecursorToGoodInput &amp; D302 &amp; "_" &amp; D270</f>
        <v>PrecToGood__</v>
      </c>
      <c r="AD302" s="269">
        <f>SUMIF(D_Processes!R:R,AB302,D_Processes!K:K)</f>
        <v>0</v>
      </c>
      <c r="AE302" s="268">
        <f>SUMIF(D_Processes!R:R,CONST_CNTR_TotProd &amp; D302,D_Processes!L:L)</f>
        <v>0</v>
      </c>
      <c r="AG302" s="102" t="b">
        <f t="shared" si="56"/>
        <v>0</v>
      </c>
    </row>
    <row r="303" spans="1:33" ht="12.75" customHeight="1" outlineLevel="1" thickBot="1" x14ac:dyDescent="0.4">
      <c r="A303" s="92"/>
      <c r="B303" s="94"/>
      <c r="C303" s="978">
        <v>30</v>
      </c>
      <c r="D303" s="1451" t="str">
        <f>IF(D270="","",IF(COUNTIF(INDEX(CNTR_IOSupplyChain,MATCH(D270,CNTR_IOProcAndPrec,0),),C303)=0,"",INDEX(CNTR_IOProcAndPrec,MATCH(C303,INDEX(CNTR_IOSupplyChain,MATCH(D270,CNTR_IOProcAndPrec,0),),0))))</f>
        <v/>
      </c>
      <c r="E303" s="1452"/>
      <c r="F303" s="270" t="str">
        <f t="shared" si="55"/>
        <v/>
      </c>
      <c r="G303" s="271" t="str">
        <f>IF(D303="","",INDEX(CNTR_Matrix_Inv,MATCH(D270,CNTR_IOProcAndPrec,0),MATCH(D303,CNTR_IOProcAndPrec,0)))</f>
        <v/>
      </c>
      <c r="H303" s="287" t="str">
        <f>IF(D303="","",IF(AG303,INDEX(E_PurchPrec!U:U,MATCH(CONST_PurchPrecDefaultUsed&amp;D303,E_PurchPrec!R:R,0)),CONST_NA))</f>
        <v/>
      </c>
      <c r="I303" s="271" t="str">
        <f>IF($D303="","",SUM($G303)*SUM(INDEX(InputOutput!$AJ$71:$AJ$100,MATCH($D303,InputOutput!$D$71:$D$100,0))))</f>
        <v/>
      </c>
      <c r="J303" s="271" t="str">
        <f>IF($D303="","",SUM($G303)*SUM(INDEX(InputOutput!$AL$71:$AL$100,MATCH($D303,InputOutput!$D$71:$D$100,0))))</f>
        <v/>
      </c>
      <c r="K303" s="271" t="str">
        <f>IF(COUNT(I303:J303)&gt;0,SUM(I303:J303),"")</f>
        <v/>
      </c>
      <c r="L303" s="272" t="str">
        <f>IF(D303="","",SUM(I303)*SUM(AD273))</f>
        <v/>
      </c>
      <c r="M303" s="272" t="str">
        <f>IF(D303="","",SUM(J303)*SUM(AD273))</f>
        <v/>
      </c>
      <c r="N303" s="272" t="str">
        <f>IF(COUNT(L303:M303)&gt;0,SUM(L303:M303),"")</f>
        <v/>
      </c>
      <c r="O303" s="272" t="str">
        <f>IF(AG303,INDEX(E_PurchPrec!U:U,MATCH(CONST_CNTR_ElecEFMethod&amp;D303,E_PurchPrec!R:R,0)),INDEX(D_Processes!T:T,MATCH(CONST_CNTR_ElecEFMethod&amp;D303,D_Processes!R:R,0)))</f>
        <v/>
      </c>
      <c r="P303" s="271" t="str">
        <f>IF($D303="","",SUM($G303)*SUM(INDEX(InputOutput!$AN$71:$AN$100,MATCH($D303,InputOutput!$D$71:$D$100,0))))</f>
        <v/>
      </c>
      <c r="Q303" s="674" t="str">
        <f>IF(D303="","",IF(AG303,INDEX(A_InstData!$F$102:$F$121,MATCH(D303,CNTR_List_ExistPurchPrecNames,0)),""))</f>
        <v/>
      </c>
      <c r="R303" s="679" t="str">
        <f>IF($D303="","",SUM($G303)*SUM(INDEX(F_Tools!$T$101:$T$130,MATCH($D303,F_Tools!$E$101:$E$130,0))))</f>
        <v/>
      </c>
      <c r="S303" s="680" t="str">
        <f>IF($D303="","",SUM($G303)*SUM(INDEX(F_Tools!$U$101:$U$130,MATCH($D303,F_Tools!$E$101:$E$130,0))))</f>
        <v/>
      </c>
      <c r="T303" s="428"/>
      <c r="AB303" s="273" t="str">
        <f>CONST_PrecursorToGoodInput &amp; D303 &amp; "_" &amp; D270</f>
        <v>PrecToGood__</v>
      </c>
      <c r="AD303" s="274">
        <f>SUMIF(D_Processes!R:R,AB303,D_Processes!K:K)</f>
        <v>0</v>
      </c>
      <c r="AE303" s="273">
        <f>SUMIF(D_Processes!R:R,CONST_CNTR_TotProd &amp; D303,D_Processes!L:L)</f>
        <v>0</v>
      </c>
      <c r="AG303" s="102" t="b">
        <f t="shared" si="56"/>
        <v>0</v>
      </c>
    </row>
    <row r="304" spans="1:33" ht="12.75" customHeight="1" thickBot="1" x14ac:dyDescent="0.4">
      <c r="A304" s="92"/>
      <c r="B304" s="94"/>
      <c r="C304" s="144"/>
      <c r="D304" s="144"/>
      <c r="E304" s="144"/>
      <c r="F304" s="144"/>
      <c r="G304" s="144"/>
      <c r="H304" s="144"/>
      <c r="I304" s="979"/>
      <c r="J304" s="979"/>
      <c r="K304" s="979"/>
      <c r="L304" s="144"/>
      <c r="M304" s="144"/>
      <c r="N304" s="144"/>
      <c r="O304" s="144"/>
      <c r="P304" s="979"/>
      <c r="Q304" s="144"/>
      <c r="R304" s="144"/>
      <c r="S304" s="144"/>
      <c r="T304" s="428"/>
    </row>
    <row r="305" spans="1:41" ht="12.75" customHeight="1" thickBot="1" x14ac:dyDescent="0.4">
      <c r="A305" s="92"/>
      <c r="B305" s="94"/>
      <c r="C305" s="145"/>
      <c r="D305" s="145"/>
      <c r="E305" s="145"/>
      <c r="F305" s="145"/>
      <c r="G305" s="145"/>
      <c r="H305" s="145"/>
      <c r="I305" s="664"/>
      <c r="J305" s="664"/>
      <c r="K305" s="664"/>
      <c r="L305" s="145"/>
      <c r="M305" s="145"/>
      <c r="N305" s="145"/>
      <c r="O305" s="145"/>
      <c r="P305" s="664"/>
      <c r="Q305" s="145"/>
      <c r="R305" s="145"/>
      <c r="S305" s="145"/>
      <c r="T305" s="428"/>
    </row>
    <row r="306" spans="1:41" s="249" customFormat="1" ht="25.5" customHeight="1" x14ac:dyDescent="0.35">
      <c r="A306" s="977"/>
      <c r="B306" s="981"/>
      <c r="C306" s="1439">
        <f>C270+1</f>
        <v>5</v>
      </c>
      <c r="D306" s="1421" t="str">
        <f>IF(INDEX(CNTR_List_ExistProdProcNames,C306)=CONST_NA,"",INDEX(CNTR_List_ExistProdProcNames,C306))</f>
        <v/>
      </c>
      <c r="E306" s="1422"/>
      <c r="F306" s="1419" t="str">
        <f>Translations!$B$107</f>
        <v>Aggregated goods category</v>
      </c>
      <c r="G306" s="250" t="str">
        <f>Translations!$B$584</f>
        <v>Mass share</v>
      </c>
      <c r="H306" s="1448" t="str">
        <f>Translations!$B$586</f>
        <v>(Share of) Default value</v>
      </c>
      <c r="I306" s="250" t="str">
        <f>Translations!$B$570</f>
        <v>SEE (direct)</v>
      </c>
      <c r="J306" s="250" t="str">
        <f>Translations!$B$574</f>
        <v>SEE (indirect)</v>
      </c>
      <c r="K306" s="250" t="str">
        <f>Translations!$B$344</f>
        <v>SEE (total)</v>
      </c>
      <c r="L306" s="250" t="str">
        <f>Translations!$B$589</f>
        <v>EmbEm (direct)</v>
      </c>
      <c r="M306" s="250" t="str">
        <f>Translations!$B$591</f>
        <v>EmbEm (indirect)</v>
      </c>
      <c r="N306" s="250" t="str">
        <f>Translations!$B$593</f>
        <v>EmbEm (total)</v>
      </c>
      <c r="O306" s="1448" t="str">
        <f>Translations!$B$594</f>
        <v>Source of electricity EF</v>
      </c>
      <c r="P306" s="250" t="str">
        <f>Translations!$B$480</f>
        <v>Embedded electricity</v>
      </c>
      <c r="Q306" s="1415" t="str">
        <f>Translations!$B$1957</f>
        <v>Country code</v>
      </c>
      <c r="R306" s="1444" t="str">
        <f>Translations!$B$351</f>
        <v>CP due (per produced t or MWh)</v>
      </c>
      <c r="S306" s="1446" t="str">
        <f>Translations!$B$352</f>
        <v>Rebate (per produced t or MWh)</v>
      </c>
      <c r="T306" s="431"/>
      <c r="U306" s="93"/>
      <c r="V306" s="248"/>
      <c r="W306" s="248"/>
      <c r="X306" s="91"/>
      <c r="Y306" s="248"/>
      <c r="Z306" s="123"/>
      <c r="AA306" s="248"/>
      <c r="AB306" s="248"/>
      <c r="AC306" s="248"/>
      <c r="AD306" s="248"/>
      <c r="AE306" s="248"/>
      <c r="AF306" s="104" t="str">
        <f>H306</f>
        <v>(Share of) Default value</v>
      </c>
      <c r="AG306" s="681" t="str">
        <f>H308</f>
        <v/>
      </c>
      <c r="AH306" s="91"/>
      <c r="AI306" s="91"/>
      <c r="AJ306" s="91"/>
      <c r="AK306" s="91"/>
      <c r="AL306" s="91"/>
      <c r="AM306" s="91"/>
      <c r="AN306" s="91"/>
      <c r="AO306" s="91"/>
    </row>
    <row r="307" spans="1:41" s="249" customFormat="1" ht="15" customHeight="1" thickBot="1" x14ac:dyDescent="0.4">
      <c r="A307" s="977"/>
      <c r="B307" s="981"/>
      <c r="C307" s="1440"/>
      <c r="D307" s="1423"/>
      <c r="E307" s="1424"/>
      <c r="F307" s="1420"/>
      <c r="G307" s="251" t="str">
        <f>IF($F308="",CONST_t,INDEX(CONST_LIST_GoodsUnit,MATCH($F308,CONST_LIST_Goods,0))) &amp;"/"&amp; IF($F308="",CONST_t,INDEX(CONST_LIST_GoodsUnit,MATCH($F308,CONST_LIST_Goods,0)))</f>
        <v>t/t</v>
      </c>
      <c r="H307" s="1449"/>
      <c r="I307" s="251" t="str">
        <f>CONST_tCO2eq &amp; "/" &amp; IF($F308="",CONST_t,INDEX(CONST_LIST_GoodsUnit,MATCH($F308,CONST_LIST_Goods,0)))</f>
        <v>tCO2e/t</v>
      </c>
      <c r="J307" s="251" t="str">
        <f>CONST_tCO2eq &amp; "/" &amp; IF($F308="",CONST_t,INDEX(CONST_LIST_GoodsUnit,MATCH($F308,CONST_LIST_Goods,0)))</f>
        <v>tCO2e/t</v>
      </c>
      <c r="K307" s="251" t="str">
        <f>CONST_tCO2eq &amp; "/" &amp; IF($F308="",CONST_t,INDEX(CONST_LIST_GoodsUnit,MATCH($F308,CONST_LIST_Goods,0)))</f>
        <v>tCO2e/t</v>
      </c>
      <c r="L307" s="252" t="str">
        <f>CONST_tCO2eq</f>
        <v>tCO2e</v>
      </c>
      <c r="M307" s="252" t="str">
        <f>CONST_tCO2eq</f>
        <v>tCO2e</v>
      </c>
      <c r="N307" s="252" t="str">
        <f>CONST_tCO2eq</f>
        <v>tCO2e</v>
      </c>
      <c r="O307" s="1449"/>
      <c r="P307" s="251" t="str">
        <f>CONST_MWh &amp; "/" &amp; IF($F308="",CONST_t,INDEX(CONST_LIST_GoodsUnit,MATCH($F308,CONST_LIST_Goods,0)))</f>
        <v>MWh/t</v>
      </c>
      <c r="Q307" s="1416"/>
      <c r="R307" s="1445"/>
      <c r="S307" s="1447"/>
      <c r="T307" s="431"/>
      <c r="V307" s="248"/>
      <c r="W307" s="248"/>
      <c r="X307" s="91"/>
      <c r="Y307" s="248"/>
      <c r="Z307" s="123"/>
      <c r="AA307" s="248"/>
      <c r="AB307" s="248"/>
      <c r="AC307" s="248"/>
      <c r="AD307" s="248"/>
      <c r="AE307" s="248"/>
      <c r="AF307" s="91"/>
      <c r="AG307" s="91"/>
      <c r="AH307" s="91"/>
      <c r="AI307" s="91"/>
      <c r="AJ307" s="91"/>
      <c r="AK307" s="91"/>
      <c r="AL307" s="91"/>
      <c r="AM307" s="91"/>
      <c r="AN307" s="91"/>
      <c r="AO307" s="91"/>
    </row>
    <row r="308" spans="1:41" ht="15" customHeight="1" thickBot="1" x14ac:dyDescent="0.4">
      <c r="A308" s="92"/>
      <c r="B308" s="94"/>
      <c r="C308" s="1441"/>
      <c r="D308" s="1429" t="str">
        <f>Translations!$B$600</f>
        <v>Total production process</v>
      </c>
      <c r="E308" s="1430"/>
      <c r="F308" s="253" t="str">
        <f>IF(D309="","",INDEX(CNTR_List_ExistProdProc,MATCH(D309,CNTR_List_ExistProdProcNames,0)))</f>
        <v/>
      </c>
      <c r="G308" s="254" t="s">
        <v>206</v>
      </c>
      <c r="H308" s="896" t="str">
        <f>IF(D306="","",IFERROR(SUMIFS(I310:I339,H310:H339,TRUE)/I308,""))</f>
        <v/>
      </c>
      <c r="I308" s="662" t="str">
        <f>IF(COUNT(I309:I339)&gt;0,SUM(I309:I339),"")</f>
        <v/>
      </c>
      <c r="J308" s="662" t="str">
        <f>IF(COUNT(J309:J339)&gt;0,SUM(J309:J339),"")</f>
        <v/>
      </c>
      <c r="K308" s="662" t="str">
        <f t="shared" ref="K308:L308" si="57">IF(COUNT(K309:K339)&gt;0,SUM(K309:K339),"")</f>
        <v/>
      </c>
      <c r="L308" s="255" t="str">
        <f t="shared" si="57"/>
        <v/>
      </c>
      <c r="M308" s="255" t="str">
        <f>IF(COUNT(M309:M339)&gt;0,SUM(M309:M339),"")</f>
        <v/>
      </c>
      <c r="N308" s="255" t="str">
        <f t="shared" ref="N308" si="58">IF(COUNT(N309:N339)&gt;0,SUM(N309:N339),"")</f>
        <v/>
      </c>
      <c r="O308" s="254" t="s">
        <v>206</v>
      </c>
      <c r="P308" s="662" t="str">
        <f t="shared" ref="P308" si="59">IF(COUNT(P309:P339)&gt;0,SUM(P309:P339),"")</f>
        <v/>
      </c>
      <c r="Q308" s="670" t="s">
        <v>206</v>
      </c>
      <c r="R308" s="675" t="str">
        <f t="shared" ref="R308:S308" si="60">IF(COUNT(R309:R339)&gt;0,SUM(R309:R339),"")</f>
        <v/>
      </c>
      <c r="S308" s="666" t="str">
        <f t="shared" si="60"/>
        <v/>
      </c>
      <c r="T308" s="428"/>
      <c r="Z308" s="123"/>
      <c r="AD308" s="91" t="s">
        <v>199</v>
      </c>
      <c r="AE308" s="91" t="s">
        <v>200</v>
      </c>
      <c r="AG308" s="91" t="s">
        <v>418</v>
      </c>
    </row>
    <row r="309" spans="1:41" ht="12.75" customHeight="1" thickBot="1" x14ac:dyDescent="0.4">
      <c r="A309" s="92"/>
      <c r="B309" s="94"/>
      <c r="C309" s="144"/>
      <c r="D309" s="1431" t="str">
        <f>D306</f>
        <v/>
      </c>
      <c r="E309" s="1432"/>
      <c r="F309" s="283" t="str">
        <f>IF(D309="","",INDEX(CNTR_List_ExistProdProc,MATCH(D309,CNTR_List_ExistProdProcNames,0)))</f>
        <v/>
      </c>
      <c r="G309" s="256">
        <v>1</v>
      </c>
      <c r="H309" s="284" t="s">
        <v>206</v>
      </c>
      <c r="I309" s="663" t="str">
        <f>IF($D309="","",SUM($G309)*SUM(INDEX(InputOutput!$AJ$71:$AJ$100,MATCH($D309,InputOutput!$D$71:$D$100,0))))</f>
        <v/>
      </c>
      <c r="J309" s="663" t="str">
        <f>IF($D309="","",SUM($G309)*SUM(INDEX(InputOutput!$AL$71:$AL$100,MATCH($D309,InputOutput!$D$71:$D$100,0))))</f>
        <v/>
      </c>
      <c r="K309" s="663" t="str">
        <f t="shared" ref="K309:K338" si="61">IF(COUNT(I309:J309)&gt;0,SUM(I309:J309),"")</f>
        <v/>
      </c>
      <c r="L309" s="257" t="str">
        <f>IF(D309="","",SUM(I309)*SUM(AD309))</f>
        <v/>
      </c>
      <c r="M309" s="257" t="str">
        <f>IF(D309="","",SUM(J309)*SUM(AD309))</f>
        <v/>
      </c>
      <c r="N309" s="257" t="str">
        <f t="shared" ref="N309:N338" si="62">IF(COUNT(L309:M309)&gt;0,SUM(L309:M309),"")</f>
        <v/>
      </c>
      <c r="O309" s="257" t="str">
        <f>IF(AG309,INDEX(E_PurchPrec!U:U,MATCH(CONST_CNTR_ElecEFMethod&amp;D309,E_PurchPrec!R:R,0)),INDEX(D_Processes!T:T,MATCH(CONST_CNTR_ElecEFMethod&amp;D309,D_Processes!R:R,0)))</f>
        <v/>
      </c>
      <c r="P309" s="663" t="str">
        <f>IF($D309="","",SUM($G309)*SUM(INDEX(InputOutput!$AN$71:$AN$100,MATCH($D309,InputOutput!$D$71:$D$100,0))))</f>
        <v/>
      </c>
      <c r="Q309" s="671"/>
      <c r="R309" s="676" t="str">
        <f>IF($D309="","",SUM($G309)*SUM(INDEX(F_Tools!$T$101:$T$130,MATCH($D309,F_Tools!$E$101:$E$130,0))))</f>
        <v/>
      </c>
      <c r="S309" s="667" t="str">
        <f>IF($D309="","",SUM($G309)*SUM(INDEX(F_Tools!$U$101:$U$130,MATCH($D309,F_Tools!$E$101:$E$130,0))))</f>
        <v/>
      </c>
      <c r="T309" s="428"/>
      <c r="Z309" s="123"/>
      <c r="AB309" s="150" t="str">
        <f>CONST_CNTR_TotProd &amp; D306</f>
        <v>TotProd_</v>
      </c>
      <c r="AD309" s="258">
        <f>SUMIF(D_Processes!R:R,AB309,D_Processes!L:L)</f>
        <v>0</v>
      </c>
    </row>
    <row r="310" spans="1:41" ht="12.75" customHeight="1" x14ac:dyDescent="0.35">
      <c r="A310" s="92"/>
      <c r="B310" s="94"/>
      <c r="C310" s="978">
        <v>1</v>
      </c>
      <c r="D310" s="1442" t="str">
        <f>IF(D306="","",IF(COUNTIF(INDEX(CNTR_IOSupplyChain,MATCH(D306,CNTR_IOProcAndPrec,0),),C310)=0,"",INDEX(CNTR_IOProcAndPrec,MATCH(C310,INDEX(CNTR_IOSupplyChain,MATCH(D306,CNTR_IOProcAndPrec,0),),0))))</f>
        <v/>
      </c>
      <c r="E310" s="1443"/>
      <c r="F310" s="260" t="str">
        <f t="shared" ref="F310:F339" si="63">IF(D310="","",IF(COUNTIF(CNTR_List_ExistProdProcNames,D310)&gt;0,INDEX(CNTR_List_ExistProdProc,MATCH(D310,CNTR_List_ExistProdProcNames,0)),INDEX(CNTR_List_ExistPurchPrec,MATCH(D310,CNTR_List_ExistPurchPrecNames,0))))</f>
        <v/>
      </c>
      <c r="G310" s="261" t="str">
        <f>IF(D310="","",INDEX(CNTR_Matrix_Inv,MATCH(D306,CNTR_IOProcAndPrec,0),MATCH(D310,CNTR_IOProcAndPrec,0)))</f>
        <v/>
      </c>
      <c r="H310" s="285" t="str">
        <f>IF(D310="","",IF(AG310,INDEX(E_PurchPrec!U:U,MATCH(CONST_PurchPrecDefaultUsed&amp;D310,E_PurchPrec!R:R,0)),CONST_NA))</f>
        <v/>
      </c>
      <c r="I310" s="261" t="str">
        <f>IF($D310="","",SUM($G310)*SUM(INDEX(InputOutput!$AJ$71:$AJ$100,MATCH($D310,InputOutput!$D$71:$D$100,0))))</f>
        <v/>
      </c>
      <c r="J310" s="261" t="str">
        <f>IF($D310="","",SUM($G310)*SUM(INDEX(InputOutput!$AL$71:$AL$100,MATCH($D310,InputOutput!$D$71:$D$100,0))))</f>
        <v/>
      </c>
      <c r="K310" s="261" t="str">
        <f t="shared" si="61"/>
        <v/>
      </c>
      <c r="L310" s="262" t="str">
        <f>IF(D310="","",SUM(I310)*SUM(AD309))</f>
        <v/>
      </c>
      <c r="M310" s="262" t="str">
        <f>IF(D310="","",SUM(J310)*SUM(AD309))</f>
        <v/>
      </c>
      <c r="N310" s="262" t="str">
        <f t="shared" si="62"/>
        <v/>
      </c>
      <c r="O310" s="262" t="str">
        <f>IF(AG310,INDEX(E_PurchPrec!U:U,MATCH(CONST_CNTR_ElecEFMethod&amp;D310,E_PurchPrec!R:R,0)),INDEX(D_Processes!T:T,MATCH(CONST_CNTR_ElecEFMethod&amp;D310,D_Processes!R:R,0)))</f>
        <v/>
      </c>
      <c r="P310" s="261" t="str">
        <f>IF($D310="","",SUM($G310)*SUM(INDEX(InputOutput!$AN$71:$AN$100,MATCH($D310,InputOutput!$D$71:$D$100,0))))</f>
        <v/>
      </c>
      <c r="Q310" s="672" t="str">
        <f>IF(D310="","",IF(AG310,INDEX(A_InstData!$F$102:$F$121,MATCH(D310,CNTR_List_ExistPurchPrecNames,0)),""))</f>
        <v/>
      </c>
      <c r="R310" s="677" t="str">
        <f>IF($D310="","",SUM($G310)*SUM(INDEX(F_Tools!$T$101:$T$130,MATCH($D310,F_Tools!$E$101:$E$130,0))))</f>
        <v/>
      </c>
      <c r="S310" s="668" t="str">
        <f>IF($D310="","",SUM($G310)*SUM(INDEX(F_Tools!$U$101:$U$130,MATCH($D310,F_Tools!$E$101:$E$130,0))))</f>
        <v/>
      </c>
      <c r="T310" s="428"/>
      <c r="Z310" s="123"/>
      <c r="AB310" s="263" t="str">
        <f>CONST_PrecursorToGoodInput &amp; D310 &amp; "_" &amp; D306</f>
        <v>PrecToGood__</v>
      </c>
      <c r="AD310" s="264">
        <f>SUMIF(D_Processes!R:R,AB310,D_Processes!K:K)</f>
        <v>0</v>
      </c>
      <c r="AE310" s="263">
        <f>SUMIF(D_Processes!R:R,CONST_CNTR_TotProd &amp; D310,D_Processes!L:L)</f>
        <v>0</v>
      </c>
      <c r="AG310" s="102" t="b">
        <f t="shared" ref="AG310:AG339" si="64">COUNTIF(CNTR_List_ExistPurchPrecNames,D310)&gt;0</f>
        <v>0</v>
      </c>
    </row>
    <row r="311" spans="1:41" ht="12.75" customHeight="1" x14ac:dyDescent="0.35">
      <c r="A311" s="92"/>
      <c r="B311" s="94"/>
      <c r="C311" s="978">
        <v>2</v>
      </c>
      <c r="D311" s="1417" t="str">
        <f>IF(D306="","",IF(COUNTIF(INDEX(CNTR_IOSupplyChain,MATCH(D306,CNTR_IOProcAndPrec,0),),C311)=0,"",INDEX(CNTR_IOProcAndPrec,MATCH(C311,INDEX(CNTR_IOSupplyChain,MATCH(D306,CNTR_IOProcAndPrec,0),),0))))</f>
        <v/>
      </c>
      <c r="E311" s="1418"/>
      <c r="F311" s="265" t="str">
        <f t="shared" si="63"/>
        <v/>
      </c>
      <c r="G311" s="266" t="str">
        <f>IF(D311="","",INDEX(CNTR_Matrix_Inv,MATCH(D306,CNTR_IOProcAndPrec,0),MATCH(D311,CNTR_IOProcAndPrec,0)))</f>
        <v/>
      </c>
      <c r="H311" s="286" t="str">
        <f>IF(D311="","",IF(AG311,INDEX(E_PurchPrec!U:U,MATCH(CONST_PurchPrecDefaultUsed&amp;D311,E_PurchPrec!R:R,0)),CONST_NA))</f>
        <v/>
      </c>
      <c r="I311" s="266" t="str">
        <f>IF($D311="","",SUM($G311)*SUM(INDEX(InputOutput!$AJ$71:$AJ$100,MATCH($D311,InputOutput!$D$71:$D$100,0))))</f>
        <v/>
      </c>
      <c r="J311" s="266" t="str">
        <f>IF($D311="","",SUM($G311)*SUM(INDEX(InputOutput!$AL$71:$AL$100,MATCH($D311,InputOutput!$D$71:$D$100,0))))</f>
        <v/>
      </c>
      <c r="K311" s="266" t="str">
        <f t="shared" si="61"/>
        <v/>
      </c>
      <c r="L311" s="267" t="str">
        <f>IF(D311="","",SUM(I311)*SUM(AD309))</f>
        <v/>
      </c>
      <c r="M311" s="267" t="str">
        <f>IF(D311="","",SUM(J311)*SUM(AD309))</f>
        <v/>
      </c>
      <c r="N311" s="267" t="str">
        <f t="shared" si="62"/>
        <v/>
      </c>
      <c r="O311" s="267" t="str">
        <f>IF(AG311,INDEX(E_PurchPrec!U:U,MATCH(CONST_CNTR_ElecEFMethod&amp;D311,E_PurchPrec!R:R,0)),INDEX(D_Processes!T:T,MATCH(CONST_CNTR_ElecEFMethod&amp;D311,D_Processes!R:R,0)))</f>
        <v/>
      </c>
      <c r="P311" s="266" t="str">
        <f>IF($D311="","",SUM($G311)*SUM(INDEX(InputOutput!$AN$71:$AN$100,MATCH($D311,InputOutput!$D$71:$D$100,0))))</f>
        <v/>
      </c>
      <c r="Q311" s="673" t="str">
        <f>IF(D311="","",IF(AG311,INDEX(A_InstData!$F$102:$F$121,MATCH(D311,CNTR_List_ExistPurchPrecNames,0)),""))</f>
        <v/>
      </c>
      <c r="R311" s="678" t="str">
        <f>IF($D311="","",SUM($G311)*SUM(INDEX(F_Tools!$T$101:$T$130,MATCH($D311,F_Tools!$E$101:$E$130,0))))</f>
        <v/>
      </c>
      <c r="S311" s="669" t="str">
        <f>IF($D311="","",SUM($G311)*SUM(INDEX(F_Tools!$U$101:$U$130,MATCH($D311,F_Tools!$E$101:$E$130,0))))</f>
        <v/>
      </c>
      <c r="T311" s="428"/>
      <c r="Z311" s="123"/>
      <c r="AB311" s="268" t="str">
        <f>CONST_PrecursorToGoodInput &amp; D311 &amp; "_" &amp; D306</f>
        <v>PrecToGood__</v>
      </c>
      <c r="AD311" s="269">
        <f>SUMIF(D_Processes!R:R,AB311,D_Processes!K:K)</f>
        <v>0</v>
      </c>
      <c r="AE311" s="268">
        <f>SUMIF(D_Processes!R:R,CONST_CNTR_TotProd &amp; D311,D_Processes!L:L)</f>
        <v>0</v>
      </c>
      <c r="AG311" s="102" t="b">
        <f t="shared" si="64"/>
        <v>0</v>
      </c>
    </row>
    <row r="312" spans="1:41" ht="12.75" customHeight="1" x14ac:dyDescent="0.35">
      <c r="A312" s="92"/>
      <c r="B312" s="94"/>
      <c r="C312" s="978">
        <v>3</v>
      </c>
      <c r="D312" s="1417" t="str">
        <f>IF(D306="","",IF(COUNTIF(INDEX(CNTR_IOSupplyChain,MATCH(D306,CNTR_IOProcAndPrec,0),),C312)=0,"",INDEX(CNTR_IOProcAndPrec,MATCH(C312,INDEX(CNTR_IOSupplyChain,MATCH(D306,CNTR_IOProcAndPrec,0),),0))))</f>
        <v/>
      </c>
      <c r="E312" s="1418"/>
      <c r="F312" s="265" t="str">
        <f t="shared" si="63"/>
        <v/>
      </c>
      <c r="G312" s="266" t="str">
        <f>IF(D312="","",INDEX(CNTR_Matrix_Inv,MATCH(D306,CNTR_IOProcAndPrec,0),MATCH(D312,CNTR_IOProcAndPrec,0)))</f>
        <v/>
      </c>
      <c r="H312" s="286" t="str">
        <f>IF(D312="","",IF(AG312,INDEX(E_PurchPrec!U:U,MATCH(CONST_PurchPrecDefaultUsed&amp;D312,E_PurchPrec!R:R,0)),CONST_NA))</f>
        <v/>
      </c>
      <c r="I312" s="266" t="str">
        <f>IF($D312="","",SUM($G312)*SUM(INDEX(InputOutput!$AJ$71:$AJ$100,MATCH($D312,InputOutput!$D$71:$D$100,0))))</f>
        <v/>
      </c>
      <c r="J312" s="266" t="str">
        <f>IF($D312="","",SUM($G312)*SUM(INDEX(InputOutput!$AL$71:$AL$100,MATCH($D312,InputOutput!$D$71:$D$100,0))))</f>
        <v/>
      </c>
      <c r="K312" s="266" t="str">
        <f t="shared" si="61"/>
        <v/>
      </c>
      <c r="L312" s="267" t="str">
        <f>IF(D312="","",SUM(I312)*SUM(AD309))</f>
        <v/>
      </c>
      <c r="M312" s="267" t="str">
        <f>IF(D312="","",SUM(J312)*SUM(AD309))</f>
        <v/>
      </c>
      <c r="N312" s="267" t="str">
        <f t="shared" si="62"/>
        <v/>
      </c>
      <c r="O312" s="267" t="str">
        <f>IF(AG312,INDEX(E_PurchPrec!U:U,MATCH(CONST_CNTR_ElecEFMethod&amp;D312,E_PurchPrec!R:R,0)),INDEX(D_Processes!T:T,MATCH(CONST_CNTR_ElecEFMethod&amp;D312,D_Processes!R:R,0)))</f>
        <v/>
      </c>
      <c r="P312" s="266" t="str">
        <f>IF($D312="","",SUM($G312)*SUM(INDEX(InputOutput!$AN$71:$AN$100,MATCH($D312,InputOutput!$D$71:$D$100,0))))</f>
        <v/>
      </c>
      <c r="Q312" s="673" t="str">
        <f>IF(D312="","",IF(AG312,INDEX(A_InstData!$F$102:$F$121,MATCH(D312,CNTR_List_ExistPurchPrecNames,0)),""))</f>
        <v/>
      </c>
      <c r="R312" s="678" t="str">
        <f>IF($D312="","",SUM($G312)*SUM(INDEX(F_Tools!$T$101:$T$130,MATCH($D312,F_Tools!$E$101:$E$130,0))))</f>
        <v/>
      </c>
      <c r="S312" s="669" t="str">
        <f>IF($D312="","",SUM($G312)*SUM(INDEX(F_Tools!$U$101:$U$130,MATCH($D312,F_Tools!$E$101:$E$130,0))))</f>
        <v/>
      </c>
      <c r="T312" s="428"/>
      <c r="Z312" s="123"/>
      <c r="AB312" s="268" t="str">
        <f>CONST_PrecursorToGoodInput &amp; D312 &amp; "_" &amp; D306</f>
        <v>PrecToGood__</v>
      </c>
      <c r="AD312" s="269">
        <f>SUMIF(D_Processes!R:R,AB312,D_Processes!K:K)</f>
        <v>0</v>
      </c>
      <c r="AE312" s="268">
        <f>SUMIF(D_Processes!R:R,CONST_CNTR_TotProd &amp; D312,D_Processes!L:L)</f>
        <v>0</v>
      </c>
      <c r="AG312" s="102" t="b">
        <f t="shared" si="64"/>
        <v>0</v>
      </c>
    </row>
    <row r="313" spans="1:41" ht="12.75" customHeight="1" x14ac:dyDescent="0.35">
      <c r="A313" s="92"/>
      <c r="B313" s="94"/>
      <c r="C313" s="978">
        <v>4</v>
      </c>
      <c r="D313" s="1417" t="str">
        <f>IF(D306="","",IF(COUNTIF(INDEX(CNTR_IOSupplyChain,MATCH(D306,CNTR_IOProcAndPrec,0),),C313)=0,"",INDEX(CNTR_IOProcAndPrec,MATCH(C313,INDEX(CNTR_IOSupplyChain,MATCH(D306,CNTR_IOProcAndPrec,0),),0))))</f>
        <v/>
      </c>
      <c r="E313" s="1418"/>
      <c r="F313" s="265" t="str">
        <f t="shared" si="63"/>
        <v/>
      </c>
      <c r="G313" s="266" t="str">
        <f>IF(D313="","",INDEX(CNTR_Matrix_Inv,MATCH(D306,CNTR_IOProcAndPrec,0),MATCH(D313,CNTR_IOProcAndPrec,0)))</f>
        <v/>
      </c>
      <c r="H313" s="286" t="str">
        <f>IF(D313="","",IF(AG313,INDEX(E_PurchPrec!U:U,MATCH(CONST_PurchPrecDefaultUsed&amp;D313,E_PurchPrec!R:R,0)),CONST_NA))</f>
        <v/>
      </c>
      <c r="I313" s="266" t="str">
        <f>IF($D313="","",SUM($G313)*SUM(INDEX(InputOutput!$AJ$71:$AJ$100,MATCH($D313,InputOutput!$D$71:$D$100,0))))</f>
        <v/>
      </c>
      <c r="J313" s="266" t="str">
        <f>IF($D313="","",SUM($G313)*SUM(INDEX(InputOutput!$AL$71:$AL$100,MATCH($D313,InputOutput!$D$71:$D$100,0))))</f>
        <v/>
      </c>
      <c r="K313" s="266" t="str">
        <f t="shared" si="61"/>
        <v/>
      </c>
      <c r="L313" s="267" t="str">
        <f>IF(D313="","",SUM(I313)*SUM(AD309))</f>
        <v/>
      </c>
      <c r="M313" s="267" t="str">
        <f>IF(D313="","",SUM(J313)*SUM(AD309))</f>
        <v/>
      </c>
      <c r="N313" s="267" t="str">
        <f t="shared" si="62"/>
        <v/>
      </c>
      <c r="O313" s="267" t="str">
        <f>IF(AG313,INDEX(E_PurchPrec!U:U,MATCH(CONST_CNTR_ElecEFMethod&amp;D313,E_PurchPrec!R:R,0)),INDEX(D_Processes!T:T,MATCH(CONST_CNTR_ElecEFMethod&amp;D313,D_Processes!R:R,0)))</f>
        <v/>
      </c>
      <c r="P313" s="266" t="str">
        <f>IF($D313="","",SUM($G313)*SUM(INDEX(InputOutput!$AN$71:$AN$100,MATCH($D313,InputOutput!$D$71:$D$100,0))))</f>
        <v/>
      </c>
      <c r="Q313" s="673" t="str">
        <f>IF(D313="","",IF(AG313,INDEX(A_InstData!$F$102:$F$121,MATCH(D313,CNTR_List_ExistPurchPrecNames,0)),""))</f>
        <v/>
      </c>
      <c r="R313" s="678" t="str">
        <f>IF($D313="","",SUM($G313)*SUM(INDEX(F_Tools!$T$101:$T$130,MATCH($D313,F_Tools!$E$101:$E$130,0))))</f>
        <v/>
      </c>
      <c r="S313" s="669" t="str">
        <f>IF($D313="","",SUM($G313)*SUM(INDEX(F_Tools!$U$101:$U$130,MATCH($D313,F_Tools!$E$101:$E$130,0))))</f>
        <v/>
      </c>
      <c r="T313" s="428"/>
      <c r="Z313" s="123"/>
      <c r="AB313" s="268" t="str">
        <f>CONST_PrecursorToGoodInput &amp; D313 &amp; "_" &amp; D306</f>
        <v>PrecToGood__</v>
      </c>
      <c r="AD313" s="269">
        <f>SUMIF(D_Processes!R:R,AB313,D_Processes!K:K)</f>
        <v>0</v>
      </c>
      <c r="AE313" s="268">
        <f>SUMIF(D_Processes!R:R,CONST_CNTR_TotProd &amp; D313,D_Processes!L:L)</f>
        <v>0</v>
      </c>
      <c r="AG313" s="102" t="b">
        <f t="shared" si="64"/>
        <v>0</v>
      </c>
    </row>
    <row r="314" spans="1:41" ht="12.75" customHeight="1" x14ac:dyDescent="0.35">
      <c r="A314" s="92"/>
      <c r="B314" s="94"/>
      <c r="C314" s="978">
        <v>5</v>
      </c>
      <c r="D314" s="1417" t="str">
        <f>IF(D306="","",IF(COUNTIF(INDEX(CNTR_IOSupplyChain,MATCH(D306,CNTR_IOProcAndPrec,0),),C314)=0,"",INDEX(CNTR_IOProcAndPrec,MATCH(C314,INDEX(CNTR_IOSupplyChain,MATCH(D306,CNTR_IOProcAndPrec,0),),0))))</f>
        <v/>
      </c>
      <c r="E314" s="1418"/>
      <c r="F314" s="265" t="str">
        <f t="shared" si="63"/>
        <v/>
      </c>
      <c r="G314" s="266" t="str">
        <f>IF(D314="","",INDEX(CNTR_Matrix_Inv,MATCH(D306,CNTR_IOProcAndPrec,0),MATCH(D314,CNTR_IOProcAndPrec,0)))</f>
        <v/>
      </c>
      <c r="H314" s="286" t="str">
        <f>IF(D314="","",IF(AG314,INDEX(E_PurchPrec!U:U,MATCH(CONST_PurchPrecDefaultUsed&amp;D314,E_PurchPrec!R:R,0)),CONST_NA))</f>
        <v/>
      </c>
      <c r="I314" s="266" t="str">
        <f>IF($D314="","",SUM($G314)*SUM(INDEX(InputOutput!$AJ$71:$AJ$100,MATCH($D314,InputOutput!$D$71:$D$100,0))))</f>
        <v/>
      </c>
      <c r="J314" s="266" t="str">
        <f>IF($D314="","",SUM($G314)*SUM(INDEX(InputOutput!$AL$71:$AL$100,MATCH($D314,InputOutput!$D$71:$D$100,0))))</f>
        <v/>
      </c>
      <c r="K314" s="266" t="str">
        <f t="shared" si="61"/>
        <v/>
      </c>
      <c r="L314" s="267" t="str">
        <f>IF(D314="","",SUM(I314)*SUM(AD309))</f>
        <v/>
      </c>
      <c r="M314" s="267" t="str">
        <f>IF(D314="","",SUM(J314)*SUM(AD309))</f>
        <v/>
      </c>
      <c r="N314" s="267" t="str">
        <f t="shared" si="62"/>
        <v/>
      </c>
      <c r="O314" s="267" t="str">
        <f>IF(AG314,INDEX(E_PurchPrec!U:U,MATCH(CONST_CNTR_ElecEFMethod&amp;D314,E_PurchPrec!R:R,0)),INDEX(D_Processes!T:T,MATCH(CONST_CNTR_ElecEFMethod&amp;D314,D_Processes!R:R,0)))</f>
        <v/>
      </c>
      <c r="P314" s="266" t="str">
        <f>IF($D314="","",SUM($G314)*SUM(INDEX(InputOutput!$AN$71:$AN$100,MATCH($D314,InputOutput!$D$71:$D$100,0))))</f>
        <v/>
      </c>
      <c r="Q314" s="673" t="str">
        <f>IF(D314="","",IF(AG314,INDEX(A_InstData!$F$102:$F$121,MATCH(D314,CNTR_List_ExistPurchPrecNames,0)),""))</f>
        <v/>
      </c>
      <c r="R314" s="678" t="str">
        <f>IF($D314="","",SUM($G314)*SUM(INDEX(F_Tools!$T$101:$T$130,MATCH($D314,F_Tools!$E$101:$E$130,0))))</f>
        <v/>
      </c>
      <c r="S314" s="669" t="str">
        <f>IF($D314="","",SUM($G314)*SUM(INDEX(F_Tools!$U$101:$U$130,MATCH($D314,F_Tools!$E$101:$E$130,0))))</f>
        <v/>
      </c>
      <c r="T314" s="428"/>
      <c r="Z314" s="123"/>
      <c r="AB314" s="268" t="str">
        <f>CONST_PrecursorToGoodInput &amp; D314 &amp; "_" &amp; D306</f>
        <v>PrecToGood__</v>
      </c>
      <c r="AD314" s="269">
        <f>SUMIF(D_Processes!R:R,AB314,D_Processes!K:K)</f>
        <v>0</v>
      </c>
      <c r="AE314" s="268">
        <f>SUMIF(D_Processes!R:R,CONST_CNTR_TotProd &amp; D314,D_Processes!L:L)</f>
        <v>0</v>
      </c>
      <c r="AG314" s="102" t="b">
        <f t="shared" si="64"/>
        <v>0</v>
      </c>
    </row>
    <row r="315" spans="1:41" ht="12.75" customHeight="1" outlineLevel="1" x14ac:dyDescent="0.35">
      <c r="A315" s="92"/>
      <c r="B315" s="94"/>
      <c r="C315" s="978">
        <v>6</v>
      </c>
      <c r="D315" s="1417" t="str">
        <f>IF(D306="","",IF(COUNTIF(INDEX(CNTR_IOSupplyChain,MATCH(D306,CNTR_IOProcAndPrec,0),),C315)=0,"",INDEX(CNTR_IOProcAndPrec,MATCH(C315,INDEX(CNTR_IOSupplyChain,MATCH(D306,CNTR_IOProcAndPrec,0),),0))))</f>
        <v/>
      </c>
      <c r="E315" s="1418"/>
      <c r="F315" s="265" t="str">
        <f t="shared" si="63"/>
        <v/>
      </c>
      <c r="G315" s="266" t="str">
        <f>IF(D315="","",INDEX(CNTR_Matrix_Inv,MATCH(D306,CNTR_IOProcAndPrec,0),MATCH(D315,CNTR_IOProcAndPrec,0)))</f>
        <v/>
      </c>
      <c r="H315" s="286" t="str">
        <f>IF(D315="","",IF(AG315,INDEX(E_PurchPrec!U:U,MATCH(CONST_PurchPrecDefaultUsed&amp;D315,E_PurchPrec!R:R,0)),CONST_NA))</f>
        <v/>
      </c>
      <c r="I315" s="266" t="str">
        <f>IF($D315="","",SUM($G315)*SUM(INDEX(InputOutput!$AJ$71:$AJ$100,MATCH($D315,InputOutput!$D$71:$D$100,0))))</f>
        <v/>
      </c>
      <c r="J315" s="266" t="str">
        <f>IF($D315="","",SUM($G315)*SUM(INDEX(InputOutput!$AL$71:$AL$100,MATCH($D315,InputOutput!$D$71:$D$100,0))))</f>
        <v/>
      </c>
      <c r="K315" s="266" t="str">
        <f t="shared" si="61"/>
        <v/>
      </c>
      <c r="L315" s="267" t="str">
        <f>IF(D315="","",SUM(I315)*SUM(AD309))</f>
        <v/>
      </c>
      <c r="M315" s="267" t="str">
        <f>IF(D315="","",SUM(J315)*SUM(AD309))</f>
        <v/>
      </c>
      <c r="N315" s="267" t="str">
        <f t="shared" si="62"/>
        <v/>
      </c>
      <c r="O315" s="267" t="str">
        <f>IF(AG315,INDEX(E_PurchPrec!U:U,MATCH(CONST_CNTR_ElecEFMethod&amp;D315,E_PurchPrec!R:R,0)),INDEX(D_Processes!T:T,MATCH(CONST_CNTR_ElecEFMethod&amp;D315,D_Processes!R:R,0)))</f>
        <v/>
      </c>
      <c r="P315" s="266" t="str">
        <f>IF($D315="","",SUM($G315)*SUM(INDEX(InputOutput!$AN$71:$AN$100,MATCH($D315,InputOutput!$D$71:$D$100,0))))</f>
        <v/>
      </c>
      <c r="Q315" s="673" t="str">
        <f>IF(D315="","",IF(AG315,INDEX(A_InstData!$F$102:$F$121,MATCH(D315,CNTR_List_ExistPurchPrecNames,0)),""))</f>
        <v/>
      </c>
      <c r="R315" s="678" t="str">
        <f>IF($D315="","",SUM($G315)*SUM(INDEX(F_Tools!$T$101:$T$130,MATCH($D315,F_Tools!$E$101:$E$130,0))))</f>
        <v/>
      </c>
      <c r="S315" s="669" t="str">
        <f>IF($D315="","",SUM($G315)*SUM(INDEX(F_Tools!$U$101:$U$130,MATCH($D315,F_Tools!$E$101:$E$130,0))))</f>
        <v/>
      </c>
      <c r="T315" s="428"/>
      <c r="Z315" s="123"/>
      <c r="AB315" s="268" t="str">
        <f>CONST_PrecursorToGoodInput &amp; D315 &amp; "_" &amp; D306</f>
        <v>PrecToGood__</v>
      </c>
      <c r="AD315" s="269">
        <f>SUMIF(D_Processes!R:R,AB315,D_Processes!K:K)</f>
        <v>0</v>
      </c>
      <c r="AE315" s="268">
        <f>SUMIF(D_Processes!R:R,CONST_CNTR_TotProd &amp; D315,D_Processes!L:L)</f>
        <v>0</v>
      </c>
      <c r="AG315" s="102" t="b">
        <f t="shared" si="64"/>
        <v>0</v>
      </c>
    </row>
    <row r="316" spans="1:41" ht="12.75" customHeight="1" outlineLevel="1" x14ac:dyDescent="0.35">
      <c r="A316" s="92"/>
      <c r="B316" s="94"/>
      <c r="C316" s="978">
        <v>7</v>
      </c>
      <c r="D316" s="1417" t="str">
        <f>IF(D306="","",IF(COUNTIF(INDEX(CNTR_IOSupplyChain,MATCH(D306,CNTR_IOProcAndPrec,0),),C316)=0,"",INDEX(CNTR_IOProcAndPrec,MATCH(C316,INDEX(CNTR_IOSupplyChain,MATCH(D306,CNTR_IOProcAndPrec,0),),0))))</f>
        <v/>
      </c>
      <c r="E316" s="1418"/>
      <c r="F316" s="265" t="str">
        <f t="shared" si="63"/>
        <v/>
      </c>
      <c r="G316" s="266" t="str">
        <f>IF(D316="","",INDEX(CNTR_Matrix_Inv,MATCH(D306,CNTR_IOProcAndPrec,0),MATCH(D316,CNTR_IOProcAndPrec,0)))</f>
        <v/>
      </c>
      <c r="H316" s="286" t="str">
        <f>IF(D316="","",IF(AG316,INDEX(E_PurchPrec!U:U,MATCH(CONST_PurchPrecDefaultUsed&amp;D316,E_PurchPrec!R:R,0)),CONST_NA))</f>
        <v/>
      </c>
      <c r="I316" s="266" t="str">
        <f>IF($D316="","",SUM($G316)*SUM(INDEX(InputOutput!$AJ$71:$AJ$100,MATCH($D316,InputOutput!$D$71:$D$100,0))))</f>
        <v/>
      </c>
      <c r="J316" s="266" t="str">
        <f>IF($D316="","",SUM($G316)*SUM(INDEX(InputOutput!$AL$71:$AL$100,MATCH($D316,InputOutput!$D$71:$D$100,0))))</f>
        <v/>
      </c>
      <c r="K316" s="266" t="str">
        <f t="shared" si="61"/>
        <v/>
      </c>
      <c r="L316" s="267" t="str">
        <f>IF(D316="","",SUM(I316)*SUM(AD309))</f>
        <v/>
      </c>
      <c r="M316" s="267" t="str">
        <f>IF(D316="","",SUM(J316)*SUM(AD309))</f>
        <v/>
      </c>
      <c r="N316" s="267" t="str">
        <f t="shared" si="62"/>
        <v/>
      </c>
      <c r="O316" s="267" t="str">
        <f>IF(AG316,INDEX(E_PurchPrec!U:U,MATCH(CONST_CNTR_ElecEFMethod&amp;D316,E_PurchPrec!R:R,0)),INDEX(D_Processes!T:T,MATCH(CONST_CNTR_ElecEFMethod&amp;D316,D_Processes!R:R,0)))</f>
        <v/>
      </c>
      <c r="P316" s="266" t="str">
        <f>IF($D316="","",SUM($G316)*SUM(INDEX(InputOutput!$AN$71:$AN$100,MATCH($D316,InputOutput!$D$71:$D$100,0))))</f>
        <v/>
      </c>
      <c r="Q316" s="673" t="str">
        <f>IF(D316="","",IF(AG316,INDEX(A_InstData!$F$102:$F$121,MATCH(D316,CNTR_List_ExistPurchPrecNames,0)),""))</f>
        <v/>
      </c>
      <c r="R316" s="678" t="str">
        <f>IF($D316="","",SUM($G316)*SUM(INDEX(F_Tools!$T$101:$T$130,MATCH($D316,F_Tools!$E$101:$E$130,0))))</f>
        <v/>
      </c>
      <c r="S316" s="669" t="str">
        <f>IF($D316="","",SUM($G316)*SUM(INDEX(F_Tools!$U$101:$U$130,MATCH($D316,F_Tools!$E$101:$E$130,0))))</f>
        <v/>
      </c>
      <c r="T316" s="428"/>
      <c r="Z316" s="123"/>
      <c r="AB316" s="268" t="str">
        <f>CONST_PrecursorToGoodInput &amp; D316 &amp; "_" &amp; D306</f>
        <v>PrecToGood__</v>
      </c>
      <c r="AD316" s="269">
        <f>SUMIF(D_Processes!R:R,AB316,D_Processes!K:K)</f>
        <v>0</v>
      </c>
      <c r="AE316" s="268">
        <f>SUMIF(D_Processes!R:R,CONST_CNTR_TotProd &amp; D316,D_Processes!L:L)</f>
        <v>0</v>
      </c>
      <c r="AG316" s="102" t="b">
        <f t="shared" si="64"/>
        <v>0</v>
      </c>
    </row>
    <row r="317" spans="1:41" ht="12.75" customHeight="1" outlineLevel="1" x14ac:dyDescent="0.35">
      <c r="A317" s="92"/>
      <c r="B317" s="94"/>
      <c r="C317" s="978">
        <v>8</v>
      </c>
      <c r="D317" s="1417" t="str">
        <f>IF(D306="","",IF(COUNTIF(INDEX(CNTR_IOSupplyChain,MATCH(D306,CNTR_IOProcAndPrec,0),),C317)=0,"",INDEX(CNTR_IOProcAndPrec,MATCH(C317,INDEX(CNTR_IOSupplyChain,MATCH(D306,CNTR_IOProcAndPrec,0),),0))))</f>
        <v/>
      </c>
      <c r="E317" s="1418"/>
      <c r="F317" s="265" t="str">
        <f t="shared" si="63"/>
        <v/>
      </c>
      <c r="G317" s="266" t="str">
        <f>IF(D317="","",INDEX(CNTR_Matrix_Inv,MATCH(D306,CNTR_IOProcAndPrec,0),MATCH(D317,CNTR_IOProcAndPrec,0)))</f>
        <v/>
      </c>
      <c r="H317" s="286" t="str">
        <f>IF(D317="","",IF(AG317,INDEX(E_PurchPrec!U:U,MATCH(CONST_PurchPrecDefaultUsed&amp;D317,E_PurchPrec!R:R,0)),CONST_NA))</f>
        <v/>
      </c>
      <c r="I317" s="266" t="str">
        <f>IF($D317="","",SUM($G317)*SUM(INDEX(InputOutput!$AJ$71:$AJ$100,MATCH($D317,InputOutput!$D$71:$D$100,0))))</f>
        <v/>
      </c>
      <c r="J317" s="266" t="str">
        <f>IF($D317="","",SUM($G317)*SUM(INDEX(InputOutput!$AL$71:$AL$100,MATCH($D317,InputOutput!$D$71:$D$100,0))))</f>
        <v/>
      </c>
      <c r="K317" s="266" t="str">
        <f t="shared" si="61"/>
        <v/>
      </c>
      <c r="L317" s="267" t="str">
        <f>IF(D317="","",SUM(I317)*SUM(AD309))</f>
        <v/>
      </c>
      <c r="M317" s="267" t="str">
        <f>IF(D317="","",SUM(J317)*SUM(AD309))</f>
        <v/>
      </c>
      <c r="N317" s="267" t="str">
        <f t="shared" si="62"/>
        <v/>
      </c>
      <c r="O317" s="267" t="str">
        <f>IF(AG317,INDEX(E_PurchPrec!U:U,MATCH(CONST_CNTR_ElecEFMethod&amp;D317,E_PurchPrec!R:R,0)),INDEX(D_Processes!T:T,MATCH(CONST_CNTR_ElecEFMethod&amp;D317,D_Processes!R:R,0)))</f>
        <v/>
      </c>
      <c r="P317" s="266" t="str">
        <f>IF($D317="","",SUM($G317)*SUM(INDEX(InputOutput!$AN$71:$AN$100,MATCH($D317,InputOutput!$D$71:$D$100,0))))</f>
        <v/>
      </c>
      <c r="Q317" s="673" t="str">
        <f>IF(D317="","",IF(AG317,INDEX(A_InstData!$F$102:$F$121,MATCH(D317,CNTR_List_ExistPurchPrecNames,0)),""))</f>
        <v/>
      </c>
      <c r="R317" s="678" t="str">
        <f>IF($D317="","",SUM($G317)*SUM(INDEX(F_Tools!$T$101:$T$130,MATCH($D317,F_Tools!$E$101:$E$130,0))))</f>
        <v/>
      </c>
      <c r="S317" s="669" t="str">
        <f>IF($D317="","",SUM($G317)*SUM(INDEX(F_Tools!$U$101:$U$130,MATCH($D317,F_Tools!$E$101:$E$130,0))))</f>
        <v/>
      </c>
      <c r="T317" s="428"/>
      <c r="Z317" s="123"/>
      <c r="AB317" s="268" t="str">
        <f>CONST_PrecursorToGoodInput &amp; D317 &amp; "_" &amp; D306</f>
        <v>PrecToGood__</v>
      </c>
      <c r="AD317" s="269">
        <f>SUMIF(D_Processes!R:R,AB317,D_Processes!K:K)</f>
        <v>0</v>
      </c>
      <c r="AE317" s="268">
        <f>SUMIF(D_Processes!R:R,CONST_CNTR_TotProd &amp; D317,D_Processes!L:L)</f>
        <v>0</v>
      </c>
      <c r="AG317" s="102" t="b">
        <f t="shared" si="64"/>
        <v>0</v>
      </c>
    </row>
    <row r="318" spans="1:41" ht="12.75" customHeight="1" outlineLevel="1" x14ac:dyDescent="0.35">
      <c r="A318" s="92"/>
      <c r="B318" s="94"/>
      <c r="C318" s="978">
        <v>9</v>
      </c>
      <c r="D318" s="1417" t="str">
        <f>IF(D306="","",IF(COUNTIF(INDEX(CNTR_IOSupplyChain,MATCH(D306,CNTR_IOProcAndPrec,0),),C318)=0,"",INDEX(CNTR_IOProcAndPrec,MATCH(C318,INDEX(CNTR_IOSupplyChain,MATCH(D306,CNTR_IOProcAndPrec,0),),0))))</f>
        <v/>
      </c>
      <c r="E318" s="1418"/>
      <c r="F318" s="265" t="str">
        <f t="shared" si="63"/>
        <v/>
      </c>
      <c r="G318" s="266" t="str">
        <f>IF(D318="","",INDEX(CNTR_Matrix_Inv,MATCH(D306,CNTR_IOProcAndPrec,0),MATCH(D318,CNTR_IOProcAndPrec,0)))</f>
        <v/>
      </c>
      <c r="H318" s="286" t="str">
        <f>IF(D318="","",IF(AG318,INDEX(E_PurchPrec!U:U,MATCH(CONST_PurchPrecDefaultUsed&amp;D318,E_PurchPrec!R:R,0)),CONST_NA))</f>
        <v/>
      </c>
      <c r="I318" s="266" t="str">
        <f>IF($D318="","",SUM($G318)*SUM(INDEX(InputOutput!$AJ$71:$AJ$100,MATCH($D318,InputOutput!$D$71:$D$100,0))))</f>
        <v/>
      </c>
      <c r="J318" s="266" t="str">
        <f>IF($D318="","",SUM($G318)*SUM(INDEX(InputOutput!$AL$71:$AL$100,MATCH($D318,InputOutput!$D$71:$D$100,0))))</f>
        <v/>
      </c>
      <c r="K318" s="266" t="str">
        <f t="shared" si="61"/>
        <v/>
      </c>
      <c r="L318" s="267" t="str">
        <f>IF(D318="","",SUM(I318)*SUM(AD309))</f>
        <v/>
      </c>
      <c r="M318" s="267" t="str">
        <f>IF(D318="","",SUM(J318)*SUM(AD309))</f>
        <v/>
      </c>
      <c r="N318" s="267" t="str">
        <f t="shared" si="62"/>
        <v/>
      </c>
      <c r="O318" s="267" t="str">
        <f>IF(AG318,INDEX(E_PurchPrec!U:U,MATCH(CONST_CNTR_ElecEFMethod&amp;D318,E_PurchPrec!R:R,0)),INDEX(D_Processes!T:T,MATCH(CONST_CNTR_ElecEFMethod&amp;D318,D_Processes!R:R,0)))</f>
        <v/>
      </c>
      <c r="P318" s="266" t="str">
        <f>IF($D318="","",SUM($G318)*SUM(INDEX(InputOutput!$AN$71:$AN$100,MATCH($D318,InputOutput!$D$71:$D$100,0))))</f>
        <v/>
      </c>
      <c r="Q318" s="673" t="str">
        <f>IF(D318="","",IF(AG318,INDEX(A_InstData!$F$102:$F$121,MATCH(D318,CNTR_List_ExistPurchPrecNames,0)),""))</f>
        <v/>
      </c>
      <c r="R318" s="678" t="str">
        <f>IF($D318="","",SUM($G318)*SUM(INDEX(F_Tools!$T$101:$T$130,MATCH($D318,F_Tools!$E$101:$E$130,0))))</f>
        <v/>
      </c>
      <c r="S318" s="669" t="str">
        <f>IF($D318="","",SUM($G318)*SUM(INDEX(F_Tools!$U$101:$U$130,MATCH($D318,F_Tools!$E$101:$E$130,0))))</f>
        <v/>
      </c>
      <c r="T318" s="428"/>
      <c r="Z318" s="123"/>
      <c r="AB318" s="268" t="str">
        <f>CONST_PrecursorToGoodInput &amp; D318 &amp; "_" &amp; D306</f>
        <v>PrecToGood__</v>
      </c>
      <c r="AD318" s="269">
        <f>SUMIF(D_Processes!R:R,AB318,D_Processes!K:K)</f>
        <v>0</v>
      </c>
      <c r="AE318" s="268">
        <f>SUMIF(D_Processes!R:R,CONST_CNTR_TotProd &amp; D318,D_Processes!L:L)</f>
        <v>0</v>
      </c>
      <c r="AG318" s="102" t="b">
        <f t="shared" si="64"/>
        <v>0</v>
      </c>
    </row>
    <row r="319" spans="1:41" ht="12.75" customHeight="1" outlineLevel="1" x14ac:dyDescent="0.35">
      <c r="A319" s="92"/>
      <c r="B319" s="94"/>
      <c r="C319" s="978">
        <v>10</v>
      </c>
      <c r="D319" s="1417" t="str">
        <f>IF(D306="","",IF(COUNTIF(INDEX(CNTR_IOSupplyChain,MATCH(D306,CNTR_IOProcAndPrec,0),),C319)=0,"",INDEX(CNTR_IOProcAndPrec,MATCH(C319,INDEX(CNTR_IOSupplyChain,MATCH(D306,CNTR_IOProcAndPrec,0),),0))))</f>
        <v/>
      </c>
      <c r="E319" s="1418"/>
      <c r="F319" s="265" t="str">
        <f t="shared" si="63"/>
        <v/>
      </c>
      <c r="G319" s="266" t="str">
        <f>IF(D319="","",INDEX(CNTR_Matrix_Inv,MATCH(D306,CNTR_IOProcAndPrec,0),MATCH(D319,CNTR_IOProcAndPrec,0)))</f>
        <v/>
      </c>
      <c r="H319" s="286" t="str">
        <f>IF(D319="","",IF(AG319,INDEX(E_PurchPrec!U:U,MATCH(CONST_PurchPrecDefaultUsed&amp;D319,E_PurchPrec!R:R,0)),CONST_NA))</f>
        <v/>
      </c>
      <c r="I319" s="266" t="str">
        <f>IF($D319="","",SUM($G319)*SUM(INDEX(InputOutput!$AJ$71:$AJ$100,MATCH($D319,InputOutput!$D$71:$D$100,0))))</f>
        <v/>
      </c>
      <c r="J319" s="266" t="str">
        <f>IF($D319="","",SUM($G319)*SUM(INDEX(InputOutput!$AL$71:$AL$100,MATCH($D319,InputOutput!$D$71:$D$100,0))))</f>
        <v/>
      </c>
      <c r="K319" s="266" t="str">
        <f t="shared" si="61"/>
        <v/>
      </c>
      <c r="L319" s="267" t="str">
        <f>IF(D319="","",SUM(I319)*SUM(AD309))</f>
        <v/>
      </c>
      <c r="M319" s="267" t="str">
        <f>IF(D319="","",SUM(J319)*SUM(AD309))</f>
        <v/>
      </c>
      <c r="N319" s="267" t="str">
        <f t="shared" si="62"/>
        <v/>
      </c>
      <c r="O319" s="267" t="str">
        <f>IF(AG319,INDEX(E_PurchPrec!U:U,MATCH(CONST_CNTR_ElecEFMethod&amp;D319,E_PurchPrec!R:R,0)),INDEX(D_Processes!T:T,MATCH(CONST_CNTR_ElecEFMethod&amp;D319,D_Processes!R:R,0)))</f>
        <v/>
      </c>
      <c r="P319" s="266" t="str">
        <f>IF($D319="","",SUM($G319)*SUM(INDEX(InputOutput!$AN$71:$AN$100,MATCH($D319,InputOutput!$D$71:$D$100,0))))</f>
        <v/>
      </c>
      <c r="Q319" s="673" t="str">
        <f>IF(D319="","",IF(AG319,INDEX(A_InstData!$F$102:$F$121,MATCH(D319,CNTR_List_ExistPurchPrecNames,0)),""))</f>
        <v/>
      </c>
      <c r="R319" s="678" t="str">
        <f>IF($D319="","",SUM($G319)*SUM(INDEX(F_Tools!$T$101:$T$130,MATCH($D319,F_Tools!$E$101:$E$130,0))))</f>
        <v/>
      </c>
      <c r="S319" s="669" t="str">
        <f>IF($D319="","",SUM($G319)*SUM(INDEX(F_Tools!$U$101:$U$130,MATCH($D319,F_Tools!$E$101:$E$130,0))))</f>
        <v/>
      </c>
      <c r="T319" s="428"/>
      <c r="Z319" s="123"/>
      <c r="AB319" s="268" t="str">
        <f>CONST_PrecursorToGoodInput &amp; D319 &amp; "_" &amp; D306</f>
        <v>PrecToGood__</v>
      </c>
      <c r="AD319" s="269">
        <f>SUMIF(D_Processes!R:R,AB319,D_Processes!K:K)</f>
        <v>0</v>
      </c>
      <c r="AE319" s="268">
        <f>SUMIF(D_Processes!R:R,CONST_CNTR_TotProd &amp; D319,D_Processes!L:L)</f>
        <v>0</v>
      </c>
      <c r="AG319" s="102" t="b">
        <f t="shared" si="64"/>
        <v>0</v>
      </c>
    </row>
    <row r="320" spans="1:41" ht="12.75" customHeight="1" outlineLevel="1" x14ac:dyDescent="0.35">
      <c r="A320" s="92"/>
      <c r="B320" s="94"/>
      <c r="C320" s="978">
        <v>11</v>
      </c>
      <c r="D320" s="1417" t="str">
        <f>IF(D306="","",IF(COUNTIF(INDEX(CNTR_IOSupplyChain,MATCH(D306,CNTR_IOProcAndPrec,0),),C320)=0,"",INDEX(CNTR_IOProcAndPrec,MATCH(C320,INDEX(CNTR_IOSupplyChain,MATCH(D306,CNTR_IOProcAndPrec,0),),0))))</f>
        <v/>
      </c>
      <c r="E320" s="1418"/>
      <c r="F320" s="265" t="str">
        <f t="shared" si="63"/>
        <v/>
      </c>
      <c r="G320" s="266" t="str">
        <f>IF(D320="","",INDEX(CNTR_Matrix_Inv,MATCH(D306,CNTR_IOProcAndPrec,0),MATCH(D320,CNTR_IOProcAndPrec,0)))</f>
        <v/>
      </c>
      <c r="H320" s="286" t="str">
        <f>IF(D320="","",IF(AG320,INDEX(E_PurchPrec!U:U,MATCH(CONST_PurchPrecDefaultUsed&amp;D320,E_PurchPrec!R:R,0)),CONST_NA))</f>
        <v/>
      </c>
      <c r="I320" s="266" t="str">
        <f>IF($D320="","",SUM($G320)*SUM(INDEX(InputOutput!$AJ$71:$AJ$100,MATCH($D320,InputOutput!$D$71:$D$100,0))))</f>
        <v/>
      </c>
      <c r="J320" s="266" t="str">
        <f>IF($D320="","",SUM($G320)*SUM(INDEX(InputOutput!$AL$71:$AL$100,MATCH($D320,InputOutput!$D$71:$D$100,0))))</f>
        <v/>
      </c>
      <c r="K320" s="266" t="str">
        <f t="shared" si="61"/>
        <v/>
      </c>
      <c r="L320" s="267" t="str">
        <f>IF(D320="","",SUM(I320)*SUM(AD309))</f>
        <v/>
      </c>
      <c r="M320" s="267" t="str">
        <f>IF(D320="","",SUM(J320)*SUM(AD309))</f>
        <v/>
      </c>
      <c r="N320" s="267" t="str">
        <f t="shared" si="62"/>
        <v/>
      </c>
      <c r="O320" s="267" t="str">
        <f>IF(AG320,INDEX(E_PurchPrec!U:U,MATCH(CONST_CNTR_ElecEFMethod&amp;D320,E_PurchPrec!R:R,0)),INDEX(D_Processes!T:T,MATCH(CONST_CNTR_ElecEFMethod&amp;D320,D_Processes!R:R,0)))</f>
        <v/>
      </c>
      <c r="P320" s="266" t="str">
        <f>IF($D320="","",SUM($G320)*SUM(INDEX(InputOutput!$AN$71:$AN$100,MATCH($D320,InputOutput!$D$71:$D$100,0))))</f>
        <v/>
      </c>
      <c r="Q320" s="673" t="str">
        <f>IF(D320="","",IF(AG320,INDEX(A_InstData!$F$102:$F$121,MATCH(D320,CNTR_List_ExistPurchPrecNames,0)),""))</f>
        <v/>
      </c>
      <c r="R320" s="678" t="str">
        <f>IF($D320="","",SUM($G320)*SUM(INDEX(F_Tools!$T$101:$T$130,MATCH($D320,F_Tools!$E$101:$E$130,0))))</f>
        <v/>
      </c>
      <c r="S320" s="669" t="str">
        <f>IF($D320="","",SUM($G320)*SUM(INDEX(F_Tools!$U$101:$U$130,MATCH($D320,F_Tools!$E$101:$E$130,0))))</f>
        <v/>
      </c>
      <c r="T320" s="428"/>
      <c r="Z320" s="123"/>
      <c r="AB320" s="268" t="str">
        <f>CONST_PrecursorToGoodInput &amp; D320 &amp; "_" &amp; D306</f>
        <v>PrecToGood__</v>
      </c>
      <c r="AD320" s="269">
        <f>SUMIF(D_Processes!R:R,AB320,D_Processes!K:K)</f>
        <v>0</v>
      </c>
      <c r="AE320" s="268">
        <f>SUMIF(D_Processes!R:R,CONST_CNTR_TotProd &amp; D320,D_Processes!L:L)</f>
        <v>0</v>
      </c>
      <c r="AG320" s="102" t="b">
        <f t="shared" si="64"/>
        <v>0</v>
      </c>
    </row>
    <row r="321" spans="1:33" ht="12.75" customHeight="1" outlineLevel="1" x14ac:dyDescent="0.35">
      <c r="A321" s="92"/>
      <c r="B321" s="94"/>
      <c r="C321" s="978">
        <v>12</v>
      </c>
      <c r="D321" s="1417" t="str">
        <f>IF(D306="","",IF(COUNTIF(INDEX(CNTR_IOSupplyChain,MATCH(D306,CNTR_IOProcAndPrec,0),),C321)=0,"",INDEX(CNTR_IOProcAndPrec,MATCH(C321,INDEX(CNTR_IOSupplyChain,MATCH(D306,CNTR_IOProcAndPrec,0),),0))))</f>
        <v/>
      </c>
      <c r="E321" s="1418"/>
      <c r="F321" s="265" t="str">
        <f t="shared" si="63"/>
        <v/>
      </c>
      <c r="G321" s="266" t="str">
        <f>IF(D321="","",INDEX(CNTR_Matrix_Inv,MATCH(D306,CNTR_IOProcAndPrec,0),MATCH(D321,CNTR_IOProcAndPrec,0)))</f>
        <v/>
      </c>
      <c r="H321" s="286" t="str">
        <f>IF(D321="","",IF(AG321,INDEX(E_PurchPrec!U:U,MATCH(CONST_PurchPrecDefaultUsed&amp;D321,E_PurchPrec!R:R,0)),CONST_NA))</f>
        <v/>
      </c>
      <c r="I321" s="266" t="str">
        <f>IF($D321="","",SUM($G321)*SUM(INDEX(InputOutput!$AJ$71:$AJ$100,MATCH($D321,InputOutput!$D$71:$D$100,0))))</f>
        <v/>
      </c>
      <c r="J321" s="266" t="str">
        <f>IF($D321="","",SUM($G321)*SUM(INDEX(InputOutput!$AL$71:$AL$100,MATCH($D321,InputOutput!$D$71:$D$100,0))))</f>
        <v/>
      </c>
      <c r="K321" s="266" t="str">
        <f t="shared" si="61"/>
        <v/>
      </c>
      <c r="L321" s="267" t="str">
        <f>IF(D321="","",SUM(I321)*SUM(AD309))</f>
        <v/>
      </c>
      <c r="M321" s="267" t="str">
        <f>IF(D321="","",SUM(J321)*SUM(AD309))</f>
        <v/>
      </c>
      <c r="N321" s="267" t="str">
        <f t="shared" si="62"/>
        <v/>
      </c>
      <c r="O321" s="267" t="str">
        <f>IF(AG321,INDEX(E_PurchPrec!U:U,MATCH(CONST_CNTR_ElecEFMethod&amp;D321,E_PurchPrec!R:R,0)),INDEX(D_Processes!T:T,MATCH(CONST_CNTR_ElecEFMethod&amp;D321,D_Processes!R:R,0)))</f>
        <v/>
      </c>
      <c r="P321" s="266" t="str">
        <f>IF($D321="","",SUM($G321)*SUM(INDEX(InputOutput!$AN$71:$AN$100,MATCH($D321,InputOutput!$D$71:$D$100,0))))</f>
        <v/>
      </c>
      <c r="Q321" s="673" t="str">
        <f>IF(D321="","",IF(AG321,INDEX(A_InstData!$F$102:$F$121,MATCH(D321,CNTR_List_ExistPurchPrecNames,0)),""))</f>
        <v/>
      </c>
      <c r="R321" s="678" t="str">
        <f>IF($D321="","",SUM($G321)*SUM(INDEX(F_Tools!$T$101:$T$130,MATCH($D321,F_Tools!$E$101:$E$130,0))))</f>
        <v/>
      </c>
      <c r="S321" s="669" t="str">
        <f>IF($D321="","",SUM($G321)*SUM(INDEX(F_Tools!$U$101:$U$130,MATCH($D321,F_Tools!$E$101:$E$130,0))))</f>
        <v/>
      </c>
      <c r="T321" s="428"/>
      <c r="Z321" s="123"/>
      <c r="AB321" s="268" t="str">
        <f>CONST_PrecursorToGoodInput &amp; D321 &amp; "_" &amp; D306</f>
        <v>PrecToGood__</v>
      </c>
      <c r="AD321" s="269">
        <f>SUMIF(D_Processes!R:R,AB321,D_Processes!K:K)</f>
        <v>0</v>
      </c>
      <c r="AE321" s="268">
        <f>SUMIF(D_Processes!R:R,CONST_CNTR_TotProd &amp; D321,D_Processes!L:L)</f>
        <v>0</v>
      </c>
      <c r="AG321" s="102" t="b">
        <f t="shared" si="64"/>
        <v>0</v>
      </c>
    </row>
    <row r="322" spans="1:33" ht="12.75" customHeight="1" outlineLevel="1" x14ac:dyDescent="0.35">
      <c r="A322" s="92"/>
      <c r="B322" s="94"/>
      <c r="C322" s="978">
        <v>13</v>
      </c>
      <c r="D322" s="1417" t="str">
        <f>IF(D306="","",IF(COUNTIF(INDEX(CNTR_IOSupplyChain,MATCH(D306,CNTR_IOProcAndPrec,0),),C322)=0,"",INDEX(CNTR_IOProcAndPrec,MATCH(C322,INDEX(CNTR_IOSupplyChain,MATCH(D306,CNTR_IOProcAndPrec,0),),0))))</f>
        <v/>
      </c>
      <c r="E322" s="1418"/>
      <c r="F322" s="265" t="str">
        <f t="shared" si="63"/>
        <v/>
      </c>
      <c r="G322" s="266" t="str">
        <f>IF(D322="","",INDEX(CNTR_Matrix_Inv,MATCH(D306,CNTR_IOProcAndPrec,0),MATCH(D322,CNTR_IOProcAndPrec,0)))</f>
        <v/>
      </c>
      <c r="H322" s="286" t="str">
        <f>IF(D322="","",IF(AG322,INDEX(E_PurchPrec!U:U,MATCH(CONST_PurchPrecDefaultUsed&amp;D322,E_PurchPrec!R:R,0)),CONST_NA))</f>
        <v/>
      </c>
      <c r="I322" s="266" t="str">
        <f>IF($D322="","",SUM($G322)*SUM(INDEX(InputOutput!$AJ$71:$AJ$100,MATCH($D322,InputOutput!$D$71:$D$100,0))))</f>
        <v/>
      </c>
      <c r="J322" s="266" t="str">
        <f>IF($D322="","",SUM($G322)*SUM(INDEX(InputOutput!$AL$71:$AL$100,MATCH($D322,InputOutput!$D$71:$D$100,0))))</f>
        <v/>
      </c>
      <c r="K322" s="266" t="str">
        <f t="shared" si="61"/>
        <v/>
      </c>
      <c r="L322" s="267" t="str">
        <f>IF(D322="","",SUM(I322)*SUM(AD309))</f>
        <v/>
      </c>
      <c r="M322" s="267" t="str">
        <f>IF(D322="","",SUM(J322)*SUM(AD309))</f>
        <v/>
      </c>
      <c r="N322" s="267" t="str">
        <f t="shared" si="62"/>
        <v/>
      </c>
      <c r="O322" s="267" t="str">
        <f>IF(AG322,INDEX(E_PurchPrec!U:U,MATCH(CONST_CNTR_ElecEFMethod&amp;D322,E_PurchPrec!R:R,0)),INDEX(D_Processes!T:T,MATCH(CONST_CNTR_ElecEFMethod&amp;D322,D_Processes!R:R,0)))</f>
        <v/>
      </c>
      <c r="P322" s="266" t="str">
        <f>IF($D322="","",SUM($G322)*SUM(INDEX(InputOutput!$AN$71:$AN$100,MATCH($D322,InputOutput!$D$71:$D$100,0))))</f>
        <v/>
      </c>
      <c r="Q322" s="673" t="str">
        <f>IF(D322="","",IF(AG322,INDEX(A_InstData!$F$102:$F$121,MATCH(D322,CNTR_List_ExistPurchPrecNames,0)),""))</f>
        <v/>
      </c>
      <c r="R322" s="678" t="str">
        <f>IF($D322="","",SUM($G322)*SUM(INDEX(F_Tools!$T$101:$T$130,MATCH($D322,F_Tools!$E$101:$E$130,0))))</f>
        <v/>
      </c>
      <c r="S322" s="669" t="str">
        <f>IF($D322="","",SUM($G322)*SUM(INDEX(F_Tools!$U$101:$U$130,MATCH($D322,F_Tools!$E$101:$E$130,0))))</f>
        <v/>
      </c>
      <c r="T322" s="428"/>
      <c r="Z322" s="123"/>
      <c r="AB322" s="268" t="str">
        <f>CONST_PrecursorToGoodInput &amp; D322 &amp; "_" &amp; D306</f>
        <v>PrecToGood__</v>
      </c>
      <c r="AD322" s="269">
        <f>SUMIF(D_Processes!R:R,AB322,D_Processes!K:K)</f>
        <v>0</v>
      </c>
      <c r="AE322" s="268">
        <f>SUMIF(D_Processes!R:R,CONST_CNTR_TotProd &amp; D322,D_Processes!L:L)</f>
        <v>0</v>
      </c>
      <c r="AG322" s="102" t="b">
        <f t="shared" si="64"/>
        <v>0</v>
      </c>
    </row>
    <row r="323" spans="1:33" ht="12.75" customHeight="1" outlineLevel="1" x14ac:dyDescent="0.35">
      <c r="A323" s="92"/>
      <c r="B323" s="94"/>
      <c r="C323" s="978">
        <v>14</v>
      </c>
      <c r="D323" s="1417" t="str">
        <f>IF(D306="","",IF(COUNTIF(INDEX(CNTR_IOSupplyChain,MATCH(D306,CNTR_IOProcAndPrec,0),),C323)=0,"",INDEX(CNTR_IOProcAndPrec,MATCH(C323,INDEX(CNTR_IOSupplyChain,MATCH(D306,CNTR_IOProcAndPrec,0),),0))))</f>
        <v/>
      </c>
      <c r="E323" s="1418"/>
      <c r="F323" s="265" t="str">
        <f t="shared" si="63"/>
        <v/>
      </c>
      <c r="G323" s="266" t="str">
        <f>IF(D323="","",INDEX(CNTR_Matrix_Inv,MATCH(D306,CNTR_IOProcAndPrec,0),MATCH(D323,CNTR_IOProcAndPrec,0)))</f>
        <v/>
      </c>
      <c r="H323" s="286" t="str">
        <f>IF(D323="","",IF(AG323,INDEX(E_PurchPrec!U:U,MATCH(CONST_PurchPrecDefaultUsed&amp;D323,E_PurchPrec!R:R,0)),CONST_NA))</f>
        <v/>
      </c>
      <c r="I323" s="266" t="str">
        <f>IF($D323="","",SUM($G323)*SUM(INDEX(InputOutput!$AJ$71:$AJ$100,MATCH($D323,InputOutput!$D$71:$D$100,0))))</f>
        <v/>
      </c>
      <c r="J323" s="266" t="str">
        <f>IF($D323="","",SUM($G323)*SUM(INDEX(InputOutput!$AL$71:$AL$100,MATCH($D323,InputOutput!$D$71:$D$100,0))))</f>
        <v/>
      </c>
      <c r="K323" s="266" t="str">
        <f t="shared" si="61"/>
        <v/>
      </c>
      <c r="L323" s="267" t="str">
        <f>IF(D323="","",SUM(I323)*SUM(AD309))</f>
        <v/>
      </c>
      <c r="M323" s="267" t="str">
        <f>IF(D323="","",SUM(J323)*SUM(AD309))</f>
        <v/>
      </c>
      <c r="N323" s="267" t="str">
        <f t="shared" si="62"/>
        <v/>
      </c>
      <c r="O323" s="267" t="str">
        <f>IF(AG323,INDEX(E_PurchPrec!U:U,MATCH(CONST_CNTR_ElecEFMethod&amp;D323,E_PurchPrec!R:R,0)),INDEX(D_Processes!T:T,MATCH(CONST_CNTR_ElecEFMethod&amp;D323,D_Processes!R:R,0)))</f>
        <v/>
      </c>
      <c r="P323" s="266" t="str">
        <f>IF($D323="","",SUM($G323)*SUM(INDEX(InputOutput!$AN$71:$AN$100,MATCH($D323,InputOutput!$D$71:$D$100,0))))</f>
        <v/>
      </c>
      <c r="Q323" s="673" t="str">
        <f>IF(D323="","",IF(AG323,INDEX(A_InstData!$F$102:$F$121,MATCH(D323,CNTR_List_ExistPurchPrecNames,0)),""))</f>
        <v/>
      </c>
      <c r="R323" s="678" t="str">
        <f>IF($D323="","",SUM($G323)*SUM(INDEX(F_Tools!$T$101:$T$130,MATCH($D323,F_Tools!$E$101:$E$130,0))))</f>
        <v/>
      </c>
      <c r="S323" s="669" t="str">
        <f>IF($D323="","",SUM($G323)*SUM(INDEX(F_Tools!$U$101:$U$130,MATCH($D323,F_Tools!$E$101:$E$130,0))))</f>
        <v/>
      </c>
      <c r="T323" s="428"/>
      <c r="Z323" s="123"/>
      <c r="AB323" s="268" t="str">
        <f>CONST_PrecursorToGoodInput &amp; D323 &amp; "_" &amp; D306</f>
        <v>PrecToGood__</v>
      </c>
      <c r="AD323" s="269">
        <f>SUMIF(D_Processes!R:R,AB323,D_Processes!K:K)</f>
        <v>0</v>
      </c>
      <c r="AE323" s="268">
        <f>SUMIF(D_Processes!R:R,CONST_CNTR_TotProd &amp; D323,D_Processes!L:L)</f>
        <v>0</v>
      </c>
      <c r="AG323" s="102" t="b">
        <f t="shared" si="64"/>
        <v>0</v>
      </c>
    </row>
    <row r="324" spans="1:33" ht="12.75" customHeight="1" outlineLevel="1" x14ac:dyDescent="0.35">
      <c r="A324" s="92"/>
      <c r="B324" s="94"/>
      <c r="C324" s="978">
        <v>15</v>
      </c>
      <c r="D324" s="1417" t="str">
        <f>IF(D306="","",IF(COUNTIF(INDEX(CNTR_IOSupplyChain,MATCH(D306,CNTR_IOProcAndPrec,0),),C324)=0,"",INDEX(CNTR_IOProcAndPrec,MATCH(C324,INDEX(CNTR_IOSupplyChain,MATCH(D306,CNTR_IOProcAndPrec,0),),0))))</f>
        <v/>
      </c>
      <c r="E324" s="1418"/>
      <c r="F324" s="265" t="str">
        <f t="shared" si="63"/>
        <v/>
      </c>
      <c r="G324" s="266" t="str">
        <f>IF(D324="","",INDEX(CNTR_Matrix_Inv,MATCH(D306,CNTR_IOProcAndPrec,0),MATCH(D324,CNTR_IOProcAndPrec,0)))</f>
        <v/>
      </c>
      <c r="H324" s="286" t="str">
        <f>IF(D324="","",IF(AG324,INDEX(E_PurchPrec!U:U,MATCH(CONST_PurchPrecDefaultUsed&amp;D324,E_PurchPrec!R:R,0)),CONST_NA))</f>
        <v/>
      </c>
      <c r="I324" s="266" t="str">
        <f>IF($D324="","",SUM($G324)*SUM(INDEX(InputOutput!$AJ$71:$AJ$100,MATCH($D324,InputOutput!$D$71:$D$100,0))))</f>
        <v/>
      </c>
      <c r="J324" s="266" t="str">
        <f>IF($D324="","",SUM($G324)*SUM(INDEX(InputOutput!$AL$71:$AL$100,MATCH($D324,InputOutput!$D$71:$D$100,0))))</f>
        <v/>
      </c>
      <c r="K324" s="266" t="str">
        <f t="shared" si="61"/>
        <v/>
      </c>
      <c r="L324" s="267" t="str">
        <f>IF(D324="","",SUM(I324)*SUM(AD309))</f>
        <v/>
      </c>
      <c r="M324" s="267" t="str">
        <f>IF(D324="","",SUM(J324)*SUM(AD309))</f>
        <v/>
      </c>
      <c r="N324" s="267" t="str">
        <f t="shared" si="62"/>
        <v/>
      </c>
      <c r="O324" s="267" t="str">
        <f>IF(AG324,INDEX(E_PurchPrec!U:U,MATCH(CONST_CNTR_ElecEFMethod&amp;D324,E_PurchPrec!R:R,0)),INDEX(D_Processes!T:T,MATCH(CONST_CNTR_ElecEFMethod&amp;D324,D_Processes!R:R,0)))</f>
        <v/>
      </c>
      <c r="P324" s="266" t="str">
        <f>IF($D324="","",SUM($G324)*SUM(INDEX(InputOutput!$AN$71:$AN$100,MATCH($D324,InputOutput!$D$71:$D$100,0))))</f>
        <v/>
      </c>
      <c r="Q324" s="673" t="str">
        <f>IF(D324="","",IF(AG324,INDEX(A_InstData!$F$102:$F$121,MATCH(D324,CNTR_List_ExistPurchPrecNames,0)),""))</f>
        <v/>
      </c>
      <c r="R324" s="678" t="str">
        <f>IF($D324="","",SUM($G324)*SUM(INDEX(F_Tools!$T$101:$T$130,MATCH($D324,F_Tools!$E$101:$E$130,0))))</f>
        <v/>
      </c>
      <c r="S324" s="669" t="str">
        <f>IF($D324="","",SUM($G324)*SUM(INDEX(F_Tools!$U$101:$U$130,MATCH($D324,F_Tools!$E$101:$E$130,0))))</f>
        <v/>
      </c>
      <c r="T324" s="428"/>
      <c r="Z324" s="123"/>
      <c r="AB324" s="268" t="str">
        <f>CONST_PrecursorToGoodInput &amp; D324 &amp; "_" &amp; D306</f>
        <v>PrecToGood__</v>
      </c>
      <c r="AD324" s="269">
        <f>SUMIF(D_Processes!R:R,AB324,D_Processes!K:K)</f>
        <v>0</v>
      </c>
      <c r="AE324" s="268">
        <f>SUMIF(D_Processes!R:R,CONST_CNTR_TotProd &amp; D324,D_Processes!L:L)</f>
        <v>0</v>
      </c>
      <c r="AG324" s="102" t="b">
        <f t="shared" si="64"/>
        <v>0</v>
      </c>
    </row>
    <row r="325" spans="1:33" ht="12.75" customHeight="1" outlineLevel="1" x14ac:dyDescent="0.35">
      <c r="A325" s="92"/>
      <c r="B325" s="94"/>
      <c r="C325" s="978">
        <v>16</v>
      </c>
      <c r="D325" s="1417" t="str">
        <f>IF(D306="","",IF(COUNTIF(INDEX(CNTR_IOSupplyChain,MATCH(D306,CNTR_IOProcAndPrec,0),),C325)=0,"",INDEX(CNTR_IOProcAndPrec,MATCH(C325,INDEX(CNTR_IOSupplyChain,MATCH(D306,CNTR_IOProcAndPrec,0),),0))))</f>
        <v/>
      </c>
      <c r="E325" s="1418"/>
      <c r="F325" s="265" t="str">
        <f t="shared" si="63"/>
        <v/>
      </c>
      <c r="G325" s="266" t="str">
        <f>IF(D325="","",INDEX(CNTR_Matrix_Inv,MATCH(D306,CNTR_IOProcAndPrec,0),MATCH(D325,CNTR_IOProcAndPrec,0)))</f>
        <v/>
      </c>
      <c r="H325" s="286" t="str">
        <f>IF(D325="","",IF(AG325,INDEX(E_PurchPrec!U:U,MATCH(CONST_PurchPrecDefaultUsed&amp;D325,E_PurchPrec!R:R,0)),CONST_NA))</f>
        <v/>
      </c>
      <c r="I325" s="266" t="str">
        <f>IF($D325="","",SUM($G325)*SUM(INDEX(InputOutput!$AJ$71:$AJ$100,MATCH($D325,InputOutput!$D$71:$D$100,0))))</f>
        <v/>
      </c>
      <c r="J325" s="266" t="str">
        <f>IF($D325="","",SUM($G325)*SUM(INDEX(InputOutput!$AL$71:$AL$100,MATCH($D325,InputOutput!$D$71:$D$100,0))))</f>
        <v/>
      </c>
      <c r="K325" s="266" t="str">
        <f t="shared" si="61"/>
        <v/>
      </c>
      <c r="L325" s="267" t="str">
        <f>IF(D325="","",SUM(I325)*SUM(AD309))</f>
        <v/>
      </c>
      <c r="M325" s="267" t="str">
        <f>IF(D325="","",SUM(J325)*SUM(AD309))</f>
        <v/>
      </c>
      <c r="N325" s="267" t="str">
        <f t="shared" si="62"/>
        <v/>
      </c>
      <c r="O325" s="267" t="str">
        <f>IF(AG325,INDEX(E_PurchPrec!U:U,MATCH(CONST_CNTR_ElecEFMethod&amp;D325,E_PurchPrec!R:R,0)),INDEX(D_Processes!T:T,MATCH(CONST_CNTR_ElecEFMethod&amp;D325,D_Processes!R:R,0)))</f>
        <v/>
      </c>
      <c r="P325" s="266" t="str">
        <f>IF($D325="","",SUM($G325)*SUM(INDEX(InputOutput!$AN$71:$AN$100,MATCH($D325,InputOutput!$D$71:$D$100,0))))</f>
        <v/>
      </c>
      <c r="Q325" s="673" t="str">
        <f>IF(D325="","",IF(AG325,INDEX(A_InstData!$F$102:$F$121,MATCH(D325,CNTR_List_ExistPurchPrecNames,0)),""))</f>
        <v/>
      </c>
      <c r="R325" s="678" t="str">
        <f>IF($D325="","",SUM($G325)*SUM(INDEX(F_Tools!$T$101:$T$130,MATCH($D325,F_Tools!$E$101:$E$130,0))))</f>
        <v/>
      </c>
      <c r="S325" s="669" t="str">
        <f>IF($D325="","",SUM($G325)*SUM(INDEX(F_Tools!$U$101:$U$130,MATCH($D325,F_Tools!$E$101:$E$130,0))))</f>
        <v/>
      </c>
      <c r="T325" s="428"/>
      <c r="Z325" s="123"/>
      <c r="AB325" s="268" t="str">
        <f>CONST_PrecursorToGoodInput &amp; D325 &amp; "_" &amp; D306</f>
        <v>PrecToGood__</v>
      </c>
      <c r="AD325" s="269">
        <f>SUMIF(D_Processes!R:R,AB325,D_Processes!K:K)</f>
        <v>0</v>
      </c>
      <c r="AE325" s="268">
        <f>SUMIF(D_Processes!R:R,CONST_CNTR_TotProd &amp; D325,D_Processes!L:L)</f>
        <v>0</v>
      </c>
      <c r="AG325" s="102" t="b">
        <f t="shared" si="64"/>
        <v>0</v>
      </c>
    </row>
    <row r="326" spans="1:33" ht="12.75" customHeight="1" outlineLevel="1" x14ac:dyDescent="0.35">
      <c r="A326" s="92"/>
      <c r="B326" s="94"/>
      <c r="C326" s="978">
        <v>17</v>
      </c>
      <c r="D326" s="1417" t="str">
        <f>IF(D306="","",IF(COUNTIF(INDEX(CNTR_IOSupplyChain,MATCH(D306,CNTR_IOProcAndPrec,0),),C326)=0,"",INDEX(CNTR_IOProcAndPrec,MATCH(C326,INDEX(CNTR_IOSupplyChain,MATCH(D306,CNTR_IOProcAndPrec,0),),0))))</f>
        <v/>
      </c>
      <c r="E326" s="1418"/>
      <c r="F326" s="265" t="str">
        <f t="shared" si="63"/>
        <v/>
      </c>
      <c r="G326" s="266" t="str">
        <f>IF(D326="","",INDEX(CNTR_Matrix_Inv,MATCH(D306,CNTR_IOProcAndPrec,0),MATCH(D326,CNTR_IOProcAndPrec,0)))</f>
        <v/>
      </c>
      <c r="H326" s="286" t="str">
        <f>IF(D326="","",IF(AG326,INDEX(E_PurchPrec!U:U,MATCH(CONST_PurchPrecDefaultUsed&amp;D326,E_PurchPrec!R:R,0)),CONST_NA))</f>
        <v/>
      </c>
      <c r="I326" s="266" t="str">
        <f>IF($D326="","",SUM($G326)*SUM(INDEX(InputOutput!$AJ$71:$AJ$100,MATCH($D326,InputOutput!$D$71:$D$100,0))))</f>
        <v/>
      </c>
      <c r="J326" s="266" t="str">
        <f>IF($D326="","",SUM($G326)*SUM(INDEX(InputOutput!$AL$71:$AL$100,MATCH($D326,InputOutput!$D$71:$D$100,0))))</f>
        <v/>
      </c>
      <c r="K326" s="266" t="str">
        <f t="shared" si="61"/>
        <v/>
      </c>
      <c r="L326" s="267" t="str">
        <f>IF(D326="","",SUM(I326)*SUM(AD309))</f>
        <v/>
      </c>
      <c r="M326" s="267" t="str">
        <f>IF(D326="","",SUM(J326)*SUM(AD309))</f>
        <v/>
      </c>
      <c r="N326" s="267" t="str">
        <f t="shared" si="62"/>
        <v/>
      </c>
      <c r="O326" s="267" t="str">
        <f>IF(AG326,INDEX(E_PurchPrec!U:U,MATCH(CONST_CNTR_ElecEFMethod&amp;D326,E_PurchPrec!R:R,0)),INDEX(D_Processes!T:T,MATCH(CONST_CNTR_ElecEFMethod&amp;D326,D_Processes!R:R,0)))</f>
        <v/>
      </c>
      <c r="P326" s="266" t="str">
        <f>IF($D326="","",SUM($G326)*SUM(INDEX(InputOutput!$AN$71:$AN$100,MATCH($D326,InputOutput!$D$71:$D$100,0))))</f>
        <v/>
      </c>
      <c r="Q326" s="673" t="str">
        <f>IF(D326="","",IF(AG326,INDEX(A_InstData!$F$102:$F$121,MATCH(D326,CNTR_List_ExistPurchPrecNames,0)),""))</f>
        <v/>
      </c>
      <c r="R326" s="678" t="str">
        <f>IF($D326="","",SUM($G326)*SUM(INDEX(F_Tools!$T$101:$T$130,MATCH($D326,F_Tools!$E$101:$E$130,0))))</f>
        <v/>
      </c>
      <c r="S326" s="669" t="str">
        <f>IF($D326="","",SUM($G326)*SUM(INDEX(F_Tools!$U$101:$U$130,MATCH($D326,F_Tools!$E$101:$E$130,0))))</f>
        <v/>
      </c>
      <c r="T326" s="428"/>
      <c r="Z326" s="123"/>
      <c r="AB326" s="268" t="str">
        <f>CONST_PrecursorToGoodInput &amp; D326 &amp; "_" &amp; D306</f>
        <v>PrecToGood__</v>
      </c>
      <c r="AD326" s="269">
        <f>SUMIF(D_Processes!R:R,AB326,D_Processes!K:K)</f>
        <v>0</v>
      </c>
      <c r="AE326" s="268">
        <f>SUMIF(D_Processes!R:R,CONST_CNTR_TotProd &amp; D326,D_Processes!L:L)</f>
        <v>0</v>
      </c>
      <c r="AG326" s="102" t="b">
        <f t="shared" si="64"/>
        <v>0</v>
      </c>
    </row>
    <row r="327" spans="1:33" ht="12.75" customHeight="1" outlineLevel="1" x14ac:dyDescent="0.35">
      <c r="A327" s="92"/>
      <c r="B327" s="94"/>
      <c r="C327" s="978">
        <v>18</v>
      </c>
      <c r="D327" s="1417" t="str">
        <f>IF(D306="","",IF(COUNTIF(INDEX(CNTR_IOSupplyChain,MATCH(D306,CNTR_IOProcAndPrec,0),),C327)=0,"",INDEX(CNTR_IOProcAndPrec,MATCH(C327,INDEX(CNTR_IOSupplyChain,MATCH(D306,CNTR_IOProcAndPrec,0),),0))))</f>
        <v/>
      </c>
      <c r="E327" s="1418"/>
      <c r="F327" s="265" t="str">
        <f t="shared" si="63"/>
        <v/>
      </c>
      <c r="G327" s="266" t="str">
        <f>IF(D327="","",INDEX(CNTR_Matrix_Inv,MATCH(D306,CNTR_IOProcAndPrec,0),MATCH(D327,CNTR_IOProcAndPrec,0)))</f>
        <v/>
      </c>
      <c r="H327" s="286" t="str">
        <f>IF(D327="","",IF(AG327,INDEX(E_PurchPrec!U:U,MATCH(CONST_PurchPrecDefaultUsed&amp;D327,E_PurchPrec!R:R,0)),CONST_NA))</f>
        <v/>
      </c>
      <c r="I327" s="266" t="str">
        <f>IF($D327="","",SUM($G327)*SUM(INDEX(InputOutput!$AJ$71:$AJ$100,MATCH($D327,InputOutput!$D$71:$D$100,0))))</f>
        <v/>
      </c>
      <c r="J327" s="266" t="str">
        <f>IF($D327="","",SUM($G327)*SUM(INDEX(InputOutput!$AL$71:$AL$100,MATCH($D327,InputOutput!$D$71:$D$100,0))))</f>
        <v/>
      </c>
      <c r="K327" s="266" t="str">
        <f t="shared" si="61"/>
        <v/>
      </c>
      <c r="L327" s="267" t="str">
        <f>IF(D327="","",SUM(I327)*SUM(AD309))</f>
        <v/>
      </c>
      <c r="M327" s="267" t="str">
        <f>IF(D327="","",SUM(J327)*SUM(AD309))</f>
        <v/>
      </c>
      <c r="N327" s="267" t="str">
        <f t="shared" si="62"/>
        <v/>
      </c>
      <c r="O327" s="267" t="str">
        <f>IF(AG327,INDEX(E_PurchPrec!U:U,MATCH(CONST_CNTR_ElecEFMethod&amp;D327,E_PurchPrec!R:R,0)),INDEX(D_Processes!T:T,MATCH(CONST_CNTR_ElecEFMethod&amp;D327,D_Processes!R:R,0)))</f>
        <v/>
      </c>
      <c r="P327" s="266" t="str">
        <f>IF($D327="","",SUM($G327)*SUM(INDEX(InputOutput!$AN$71:$AN$100,MATCH($D327,InputOutput!$D$71:$D$100,0))))</f>
        <v/>
      </c>
      <c r="Q327" s="673" t="str">
        <f>IF(D327="","",IF(AG327,INDEX(A_InstData!$F$102:$F$121,MATCH(D327,CNTR_List_ExistPurchPrecNames,0)),""))</f>
        <v/>
      </c>
      <c r="R327" s="678" t="str">
        <f>IF($D327="","",SUM($G327)*SUM(INDEX(F_Tools!$T$101:$T$130,MATCH($D327,F_Tools!$E$101:$E$130,0))))</f>
        <v/>
      </c>
      <c r="S327" s="669" t="str">
        <f>IF($D327="","",SUM($G327)*SUM(INDEX(F_Tools!$U$101:$U$130,MATCH($D327,F_Tools!$E$101:$E$130,0))))</f>
        <v/>
      </c>
      <c r="T327" s="428"/>
      <c r="Z327" s="123"/>
      <c r="AB327" s="268" t="str">
        <f>CONST_PrecursorToGoodInput &amp; D327 &amp; "_" &amp; D306</f>
        <v>PrecToGood__</v>
      </c>
      <c r="AD327" s="269">
        <f>SUMIF(D_Processes!R:R,AB327,D_Processes!K:K)</f>
        <v>0</v>
      </c>
      <c r="AE327" s="268">
        <f>SUMIF(D_Processes!R:R,CONST_CNTR_TotProd &amp; D327,D_Processes!L:L)</f>
        <v>0</v>
      </c>
      <c r="AG327" s="102" t="b">
        <f t="shared" si="64"/>
        <v>0</v>
      </c>
    </row>
    <row r="328" spans="1:33" ht="12.75" customHeight="1" outlineLevel="1" x14ac:dyDescent="0.35">
      <c r="A328" s="92"/>
      <c r="B328" s="94"/>
      <c r="C328" s="978">
        <v>19</v>
      </c>
      <c r="D328" s="1417" t="str">
        <f>IF(D306="","",IF(COUNTIF(INDEX(CNTR_IOSupplyChain,MATCH(D306,CNTR_IOProcAndPrec,0),),C328)=0,"",INDEX(CNTR_IOProcAndPrec,MATCH(C328,INDEX(CNTR_IOSupplyChain,MATCH(D306,CNTR_IOProcAndPrec,0),),0))))</f>
        <v/>
      </c>
      <c r="E328" s="1418"/>
      <c r="F328" s="265" t="str">
        <f t="shared" si="63"/>
        <v/>
      </c>
      <c r="G328" s="266" t="str">
        <f>IF(D328="","",INDEX(CNTR_Matrix_Inv,MATCH(D306,CNTR_IOProcAndPrec,0),MATCH(D328,CNTR_IOProcAndPrec,0)))</f>
        <v/>
      </c>
      <c r="H328" s="286" t="str">
        <f>IF(D328="","",IF(AG328,INDEX(E_PurchPrec!U:U,MATCH(CONST_PurchPrecDefaultUsed&amp;D328,E_PurchPrec!R:R,0)),CONST_NA))</f>
        <v/>
      </c>
      <c r="I328" s="266" t="str">
        <f>IF($D328="","",SUM($G328)*SUM(INDEX(InputOutput!$AJ$71:$AJ$100,MATCH($D328,InputOutput!$D$71:$D$100,0))))</f>
        <v/>
      </c>
      <c r="J328" s="266" t="str">
        <f>IF($D328="","",SUM($G328)*SUM(INDEX(InputOutput!$AL$71:$AL$100,MATCH($D328,InputOutput!$D$71:$D$100,0))))</f>
        <v/>
      </c>
      <c r="K328" s="266" t="str">
        <f t="shared" si="61"/>
        <v/>
      </c>
      <c r="L328" s="267" t="str">
        <f>IF(D328="","",SUM(I328)*SUM(AD309))</f>
        <v/>
      </c>
      <c r="M328" s="267" t="str">
        <f>IF(D328="","",SUM(J328)*SUM(AD309))</f>
        <v/>
      </c>
      <c r="N328" s="267" t="str">
        <f t="shared" si="62"/>
        <v/>
      </c>
      <c r="O328" s="267" t="str">
        <f>IF(AG328,INDEX(E_PurchPrec!U:U,MATCH(CONST_CNTR_ElecEFMethod&amp;D328,E_PurchPrec!R:R,0)),INDEX(D_Processes!T:T,MATCH(CONST_CNTR_ElecEFMethod&amp;D328,D_Processes!R:R,0)))</f>
        <v/>
      </c>
      <c r="P328" s="266" t="str">
        <f>IF($D328="","",SUM($G328)*SUM(INDEX(InputOutput!$AN$71:$AN$100,MATCH($D328,InputOutput!$D$71:$D$100,0))))</f>
        <v/>
      </c>
      <c r="Q328" s="673" t="str">
        <f>IF(D328="","",IF(AG328,INDEX(A_InstData!$F$102:$F$121,MATCH(D328,CNTR_List_ExistPurchPrecNames,0)),""))</f>
        <v/>
      </c>
      <c r="R328" s="678" t="str">
        <f>IF($D328="","",SUM($G328)*SUM(INDEX(F_Tools!$T$101:$T$130,MATCH($D328,F_Tools!$E$101:$E$130,0))))</f>
        <v/>
      </c>
      <c r="S328" s="669" t="str">
        <f>IF($D328="","",SUM($G328)*SUM(INDEX(F_Tools!$U$101:$U$130,MATCH($D328,F_Tools!$E$101:$E$130,0))))</f>
        <v/>
      </c>
      <c r="T328" s="428"/>
      <c r="Z328" s="123"/>
      <c r="AB328" s="268" t="str">
        <f>CONST_PrecursorToGoodInput &amp; D328 &amp; "_" &amp; D306</f>
        <v>PrecToGood__</v>
      </c>
      <c r="AD328" s="269">
        <f>SUMIF(D_Processes!R:R,AB328,D_Processes!K:K)</f>
        <v>0</v>
      </c>
      <c r="AE328" s="268">
        <f>SUMIF(D_Processes!R:R,CONST_CNTR_TotProd &amp; D328,D_Processes!L:L)</f>
        <v>0</v>
      </c>
      <c r="AG328" s="102" t="b">
        <f t="shared" si="64"/>
        <v>0</v>
      </c>
    </row>
    <row r="329" spans="1:33" ht="12.75" customHeight="1" outlineLevel="1" x14ac:dyDescent="0.35">
      <c r="A329" s="92"/>
      <c r="B329" s="94"/>
      <c r="C329" s="978">
        <v>20</v>
      </c>
      <c r="D329" s="1417" t="str">
        <f>IF(D306="","",IF(COUNTIF(INDEX(CNTR_IOSupplyChain,MATCH(D306,CNTR_IOProcAndPrec,0),),C329)=0,"",INDEX(CNTR_IOProcAndPrec,MATCH(C329,INDEX(CNTR_IOSupplyChain,MATCH(D306,CNTR_IOProcAndPrec,0),),0))))</f>
        <v/>
      </c>
      <c r="E329" s="1418"/>
      <c r="F329" s="265" t="str">
        <f t="shared" si="63"/>
        <v/>
      </c>
      <c r="G329" s="266" t="str">
        <f>IF(D329="","",INDEX(CNTR_Matrix_Inv,MATCH(D306,CNTR_IOProcAndPrec,0),MATCH(D329,CNTR_IOProcAndPrec,0)))</f>
        <v/>
      </c>
      <c r="H329" s="286" t="str">
        <f>IF(D329="","",IF(AG329,INDEX(E_PurchPrec!U:U,MATCH(CONST_PurchPrecDefaultUsed&amp;D329,E_PurchPrec!R:R,0)),CONST_NA))</f>
        <v/>
      </c>
      <c r="I329" s="266" t="str">
        <f>IF($D329="","",SUM($G329)*SUM(INDEX(InputOutput!$AJ$71:$AJ$100,MATCH($D329,InputOutput!$D$71:$D$100,0))))</f>
        <v/>
      </c>
      <c r="J329" s="266" t="str">
        <f>IF($D329="","",SUM($G329)*SUM(INDEX(InputOutput!$AL$71:$AL$100,MATCH($D329,InputOutput!$D$71:$D$100,0))))</f>
        <v/>
      </c>
      <c r="K329" s="266" t="str">
        <f t="shared" si="61"/>
        <v/>
      </c>
      <c r="L329" s="267" t="str">
        <f>IF(D329="","",SUM(I329)*SUM(AD309))</f>
        <v/>
      </c>
      <c r="M329" s="267" t="str">
        <f>IF(D329="","",SUM(J329)*SUM(AD309))</f>
        <v/>
      </c>
      <c r="N329" s="267" t="str">
        <f t="shared" si="62"/>
        <v/>
      </c>
      <c r="O329" s="267" t="str">
        <f>IF(AG329,INDEX(E_PurchPrec!U:U,MATCH(CONST_CNTR_ElecEFMethod&amp;D329,E_PurchPrec!R:R,0)),INDEX(D_Processes!T:T,MATCH(CONST_CNTR_ElecEFMethod&amp;D329,D_Processes!R:R,0)))</f>
        <v/>
      </c>
      <c r="P329" s="266" t="str">
        <f>IF($D329="","",SUM($G329)*SUM(INDEX(InputOutput!$AN$71:$AN$100,MATCH($D329,InputOutput!$D$71:$D$100,0))))</f>
        <v/>
      </c>
      <c r="Q329" s="673" t="str">
        <f>IF(D329="","",IF(AG329,INDEX(A_InstData!$F$102:$F$121,MATCH(D329,CNTR_List_ExistPurchPrecNames,0)),""))</f>
        <v/>
      </c>
      <c r="R329" s="678" t="str">
        <f>IF($D329="","",SUM($G329)*SUM(INDEX(F_Tools!$T$101:$T$130,MATCH($D329,F_Tools!$E$101:$E$130,0))))</f>
        <v/>
      </c>
      <c r="S329" s="669" t="str">
        <f>IF($D329="","",SUM($G329)*SUM(INDEX(F_Tools!$U$101:$U$130,MATCH($D329,F_Tools!$E$101:$E$130,0))))</f>
        <v/>
      </c>
      <c r="T329" s="428"/>
      <c r="Z329" s="123"/>
      <c r="AB329" s="268" t="str">
        <f>CONST_PrecursorToGoodInput &amp; D329 &amp; "_" &amp; D306</f>
        <v>PrecToGood__</v>
      </c>
      <c r="AD329" s="269">
        <f>SUMIF(D_Processes!R:R,AB329,D_Processes!K:K)</f>
        <v>0</v>
      </c>
      <c r="AE329" s="268">
        <f>SUMIF(D_Processes!R:R,CONST_CNTR_TotProd &amp; D329,D_Processes!L:L)</f>
        <v>0</v>
      </c>
      <c r="AG329" s="102" t="b">
        <f t="shared" si="64"/>
        <v>0</v>
      </c>
    </row>
    <row r="330" spans="1:33" ht="12.75" customHeight="1" outlineLevel="1" x14ac:dyDescent="0.35">
      <c r="A330" s="92"/>
      <c r="B330" s="94"/>
      <c r="C330" s="978">
        <v>21</v>
      </c>
      <c r="D330" s="1417" t="str">
        <f>IF(D306="","",IF(COUNTIF(INDEX(CNTR_IOSupplyChain,MATCH(D306,CNTR_IOProcAndPrec,0),),C330)=0,"",INDEX(CNTR_IOProcAndPrec,MATCH(C330,INDEX(CNTR_IOSupplyChain,MATCH(D306,CNTR_IOProcAndPrec,0),),0))))</f>
        <v/>
      </c>
      <c r="E330" s="1418"/>
      <c r="F330" s="265" t="str">
        <f t="shared" si="63"/>
        <v/>
      </c>
      <c r="G330" s="266" t="str">
        <f>IF(D330="","",INDEX(CNTR_Matrix_Inv,MATCH(D306,CNTR_IOProcAndPrec,0),MATCH(D330,CNTR_IOProcAndPrec,0)))</f>
        <v/>
      </c>
      <c r="H330" s="286" t="str">
        <f>IF(D330="","",IF(AG330,INDEX(E_PurchPrec!U:U,MATCH(CONST_PurchPrecDefaultUsed&amp;D330,E_PurchPrec!R:R,0)),CONST_NA))</f>
        <v/>
      </c>
      <c r="I330" s="266" t="str">
        <f>IF($D330="","",SUM($G330)*SUM(INDEX(InputOutput!$AJ$71:$AJ$100,MATCH($D330,InputOutput!$D$71:$D$100,0))))</f>
        <v/>
      </c>
      <c r="J330" s="266" t="str">
        <f>IF($D330="","",SUM($G330)*SUM(INDEX(InputOutput!$AL$71:$AL$100,MATCH($D330,InputOutput!$D$71:$D$100,0))))</f>
        <v/>
      </c>
      <c r="K330" s="266" t="str">
        <f t="shared" si="61"/>
        <v/>
      </c>
      <c r="L330" s="267" t="str">
        <f>IF(D330="","",SUM(I330)*SUM(AD309))</f>
        <v/>
      </c>
      <c r="M330" s="267" t="str">
        <f>IF(D330="","",SUM(J330)*SUM(AD309))</f>
        <v/>
      </c>
      <c r="N330" s="267" t="str">
        <f t="shared" si="62"/>
        <v/>
      </c>
      <c r="O330" s="267" t="str">
        <f>IF(AG330,INDEX(E_PurchPrec!U:U,MATCH(CONST_CNTR_ElecEFMethod&amp;D330,E_PurchPrec!R:R,0)),INDEX(D_Processes!T:T,MATCH(CONST_CNTR_ElecEFMethod&amp;D330,D_Processes!R:R,0)))</f>
        <v/>
      </c>
      <c r="P330" s="266" t="str">
        <f>IF($D330="","",SUM($G330)*SUM(INDEX(InputOutput!$AN$71:$AN$100,MATCH($D330,InputOutput!$D$71:$D$100,0))))</f>
        <v/>
      </c>
      <c r="Q330" s="673" t="str">
        <f>IF(D330="","",IF(AG330,INDEX(A_InstData!$F$102:$F$121,MATCH(D330,CNTR_List_ExistPurchPrecNames,0)),""))</f>
        <v/>
      </c>
      <c r="R330" s="678" t="str">
        <f>IF($D330="","",SUM($G330)*SUM(INDEX(F_Tools!$T$101:$T$130,MATCH($D330,F_Tools!$E$101:$E$130,0))))</f>
        <v/>
      </c>
      <c r="S330" s="669" t="str">
        <f>IF($D330="","",SUM($G330)*SUM(INDEX(F_Tools!$U$101:$U$130,MATCH($D330,F_Tools!$E$101:$E$130,0))))</f>
        <v/>
      </c>
      <c r="T330" s="428"/>
      <c r="Z330" s="123"/>
      <c r="AB330" s="268" t="str">
        <f>CONST_PrecursorToGoodInput &amp; D330 &amp; "_" &amp; D306</f>
        <v>PrecToGood__</v>
      </c>
      <c r="AD330" s="269">
        <f>SUMIF(D_Processes!R:R,AB330,D_Processes!K:K)</f>
        <v>0</v>
      </c>
      <c r="AE330" s="268">
        <f>SUMIF(D_Processes!R:R,CONST_CNTR_TotProd &amp; D330,D_Processes!L:L)</f>
        <v>0</v>
      </c>
      <c r="AG330" s="102" t="b">
        <f t="shared" si="64"/>
        <v>0</v>
      </c>
    </row>
    <row r="331" spans="1:33" ht="12.75" customHeight="1" outlineLevel="1" x14ac:dyDescent="0.35">
      <c r="A331" s="92"/>
      <c r="B331" s="94"/>
      <c r="C331" s="978">
        <v>22</v>
      </c>
      <c r="D331" s="1417" t="str">
        <f>IF(D306="","",IF(COUNTIF(INDEX(CNTR_IOSupplyChain,MATCH(D306,CNTR_IOProcAndPrec,0),),C331)=0,"",INDEX(CNTR_IOProcAndPrec,MATCH(C331,INDEX(CNTR_IOSupplyChain,MATCH(D306,CNTR_IOProcAndPrec,0),),0))))</f>
        <v/>
      </c>
      <c r="E331" s="1418"/>
      <c r="F331" s="265" t="str">
        <f t="shared" si="63"/>
        <v/>
      </c>
      <c r="G331" s="266" t="str">
        <f>IF(D331="","",INDEX(CNTR_Matrix_Inv,MATCH(D306,CNTR_IOProcAndPrec,0),MATCH(D331,CNTR_IOProcAndPrec,0)))</f>
        <v/>
      </c>
      <c r="H331" s="286" t="str">
        <f>IF(D331="","",IF(AG331,INDEX(E_PurchPrec!U:U,MATCH(CONST_PurchPrecDefaultUsed&amp;D331,E_PurchPrec!R:R,0)),CONST_NA))</f>
        <v/>
      </c>
      <c r="I331" s="266" t="str">
        <f>IF($D331="","",SUM($G331)*SUM(INDEX(InputOutput!$AJ$71:$AJ$100,MATCH($D331,InputOutput!$D$71:$D$100,0))))</f>
        <v/>
      </c>
      <c r="J331" s="266" t="str">
        <f>IF($D331="","",SUM($G331)*SUM(INDEX(InputOutput!$AL$71:$AL$100,MATCH($D331,InputOutput!$D$71:$D$100,0))))</f>
        <v/>
      </c>
      <c r="K331" s="266" t="str">
        <f t="shared" si="61"/>
        <v/>
      </c>
      <c r="L331" s="267" t="str">
        <f>IF(D331="","",SUM(I331)*SUM(AD309))</f>
        <v/>
      </c>
      <c r="M331" s="267" t="str">
        <f>IF(D331="","",SUM(J331)*SUM(AD309))</f>
        <v/>
      </c>
      <c r="N331" s="267" t="str">
        <f t="shared" si="62"/>
        <v/>
      </c>
      <c r="O331" s="267" t="str">
        <f>IF(AG331,INDEX(E_PurchPrec!U:U,MATCH(CONST_CNTR_ElecEFMethod&amp;D331,E_PurchPrec!R:R,0)),INDEX(D_Processes!T:T,MATCH(CONST_CNTR_ElecEFMethod&amp;D331,D_Processes!R:R,0)))</f>
        <v/>
      </c>
      <c r="P331" s="266" t="str">
        <f>IF($D331="","",SUM($G331)*SUM(INDEX(InputOutput!$AN$71:$AN$100,MATCH($D331,InputOutput!$D$71:$D$100,0))))</f>
        <v/>
      </c>
      <c r="Q331" s="673" t="str">
        <f>IF(D331="","",IF(AG331,INDEX(A_InstData!$F$102:$F$121,MATCH(D331,CNTR_List_ExistPurchPrecNames,0)),""))</f>
        <v/>
      </c>
      <c r="R331" s="678" t="str">
        <f>IF($D331="","",SUM($G331)*SUM(INDEX(F_Tools!$T$101:$T$130,MATCH($D331,F_Tools!$E$101:$E$130,0))))</f>
        <v/>
      </c>
      <c r="S331" s="669" t="str">
        <f>IF($D331="","",SUM($G331)*SUM(INDEX(F_Tools!$U$101:$U$130,MATCH($D331,F_Tools!$E$101:$E$130,0))))</f>
        <v/>
      </c>
      <c r="T331" s="428"/>
      <c r="Z331" s="123"/>
      <c r="AB331" s="268" t="str">
        <f>CONST_PrecursorToGoodInput &amp; D331 &amp; "_" &amp; D306</f>
        <v>PrecToGood__</v>
      </c>
      <c r="AD331" s="269">
        <f>SUMIF(D_Processes!R:R,AB331,D_Processes!K:K)</f>
        <v>0</v>
      </c>
      <c r="AE331" s="268">
        <f>SUMIF(D_Processes!R:R,CONST_CNTR_TotProd &amp; D331,D_Processes!L:L)</f>
        <v>0</v>
      </c>
      <c r="AG331" s="102" t="b">
        <f t="shared" si="64"/>
        <v>0</v>
      </c>
    </row>
    <row r="332" spans="1:33" ht="12.75" customHeight="1" outlineLevel="1" x14ac:dyDescent="0.35">
      <c r="A332" s="92"/>
      <c r="B332" s="94"/>
      <c r="C332" s="978">
        <v>23</v>
      </c>
      <c r="D332" s="1417" t="str">
        <f>IF(D306="","",IF(COUNTIF(INDEX(CNTR_IOSupplyChain,MATCH(D306,CNTR_IOProcAndPrec,0),),C332)=0,"",INDEX(CNTR_IOProcAndPrec,MATCH(C332,INDEX(CNTR_IOSupplyChain,MATCH(D306,CNTR_IOProcAndPrec,0),),0))))</f>
        <v/>
      </c>
      <c r="E332" s="1418"/>
      <c r="F332" s="265" t="str">
        <f t="shared" si="63"/>
        <v/>
      </c>
      <c r="G332" s="266" t="str">
        <f>IF(D332="","",INDEX(CNTR_Matrix_Inv,MATCH(D306,CNTR_IOProcAndPrec,0),MATCH(D332,CNTR_IOProcAndPrec,0)))</f>
        <v/>
      </c>
      <c r="H332" s="286" t="str">
        <f>IF(D332="","",IF(AG332,INDEX(E_PurchPrec!U:U,MATCH(CONST_PurchPrecDefaultUsed&amp;D332,E_PurchPrec!R:R,0)),CONST_NA))</f>
        <v/>
      </c>
      <c r="I332" s="266" t="str">
        <f>IF($D332="","",SUM($G332)*SUM(INDEX(InputOutput!$AJ$71:$AJ$100,MATCH($D332,InputOutput!$D$71:$D$100,0))))</f>
        <v/>
      </c>
      <c r="J332" s="266" t="str">
        <f>IF($D332="","",SUM($G332)*SUM(INDEX(InputOutput!$AL$71:$AL$100,MATCH($D332,InputOutput!$D$71:$D$100,0))))</f>
        <v/>
      </c>
      <c r="K332" s="266" t="str">
        <f t="shared" si="61"/>
        <v/>
      </c>
      <c r="L332" s="267" t="str">
        <f>IF(D332="","",SUM(I332)*SUM(AD309))</f>
        <v/>
      </c>
      <c r="M332" s="267" t="str">
        <f>IF(D332="","",SUM(J332)*SUM(AD309))</f>
        <v/>
      </c>
      <c r="N332" s="267" t="str">
        <f t="shared" si="62"/>
        <v/>
      </c>
      <c r="O332" s="267" t="str">
        <f>IF(AG332,INDEX(E_PurchPrec!U:U,MATCH(CONST_CNTR_ElecEFMethod&amp;D332,E_PurchPrec!R:R,0)),INDEX(D_Processes!T:T,MATCH(CONST_CNTR_ElecEFMethod&amp;D332,D_Processes!R:R,0)))</f>
        <v/>
      </c>
      <c r="P332" s="266" t="str">
        <f>IF($D332="","",SUM($G332)*SUM(INDEX(InputOutput!$AN$71:$AN$100,MATCH($D332,InputOutput!$D$71:$D$100,0))))</f>
        <v/>
      </c>
      <c r="Q332" s="673" t="str">
        <f>IF(D332="","",IF(AG332,INDEX(A_InstData!$F$102:$F$121,MATCH(D332,CNTR_List_ExistPurchPrecNames,0)),""))</f>
        <v/>
      </c>
      <c r="R332" s="678" t="str">
        <f>IF($D332="","",SUM($G332)*SUM(INDEX(F_Tools!$T$101:$T$130,MATCH($D332,F_Tools!$E$101:$E$130,0))))</f>
        <v/>
      </c>
      <c r="S332" s="669" t="str">
        <f>IF($D332="","",SUM($G332)*SUM(INDEX(F_Tools!$U$101:$U$130,MATCH($D332,F_Tools!$E$101:$E$130,0))))</f>
        <v/>
      </c>
      <c r="T332" s="428"/>
      <c r="Z332" s="123"/>
      <c r="AB332" s="268" t="str">
        <f>CONST_PrecursorToGoodInput &amp; D332 &amp; "_" &amp; D306</f>
        <v>PrecToGood__</v>
      </c>
      <c r="AD332" s="269">
        <f>SUMIF(D_Processes!R:R,AB332,D_Processes!K:K)</f>
        <v>0</v>
      </c>
      <c r="AE332" s="268">
        <f>SUMIF(D_Processes!R:R,CONST_CNTR_TotProd &amp; D332,D_Processes!L:L)</f>
        <v>0</v>
      </c>
      <c r="AG332" s="102" t="b">
        <f t="shared" si="64"/>
        <v>0</v>
      </c>
    </row>
    <row r="333" spans="1:33" ht="12.75" customHeight="1" outlineLevel="1" x14ac:dyDescent="0.35">
      <c r="A333" s="92"/>
      <c r="B333" s="94"/>
      <c r="C333" s="978">
        <v>24</v>
      </c>
      <c r="D333" s="1417" t="str">
        <f>IF(D306="","",IF(COUNTIF(INDEX(CNTR_IOSupplyChain,MATCH(D306,CNTR_IOProcAndPrec,0),),C333)=0,"",INDEX(CNTR_IOProcAndPrec,MATCH(C333,INDEX(CNTR_IOSupplyChain,MATCH(D306,CNTR_IOProcAndPrec,0),),0))))</f>
        <v/>
      </c>
      <c r="E333" s="1418"/>
      <c r="F333" s="265" t="str">
        <f t="shared" si="63"/>
        <v/>
      </c>
      <c r="G333" s="266" t="str">
        <f>IF(D333="","",INDEX(CNTR_Matrix_Inv,MATCH(D306,CNTR_IOProcAndPrec,0),MATCH(D333,CNTR_IOProcAndPrec,0)))</f>
        <v/>
      </c>
      <c r="H333" s="286" t="str">
        <f>IF(D333="","",IF(AG333,INDEX(E_PurchPrec!U:U,MATCH(CONST_PurchPrecDefaultUsed&amp;D333,E_PurchPrec!R:R,0)),CONST_NA))</f>
        <v/>
      </c>
      <c r="I333" s="266" t="str">
        <f>IF($D333="","",SUM($G333)*SUM(INDEX(InputOutput!$AJ$71:$AJ$100,MATCH($D333,InputOutput!$D$71:$D$100,0))))</f>
        <v/>
      </c>
      <c r="J333" s="266" t="str">
        <f>IF($D333="","",SUM($G333)*SUM(INDEX(InputOutput!$AL$71:$AL$100,MATCH($D333,InputOutput!$D$71:$D$100,0))))</f>
        <v/>
      </c>
      <c r="K333" s="266" t="str">
        <f t="shared" si="61"/>
        <v/>
      </c>
      <c r="L333" s="267" t="str">
        <f>IF(D333="","",SUM(I333)*SUM(AD309))</f>
        <v/>
      </c>
      <c r="M333" s="267" t="str">
        <f>IF(D333="","",SUM(J333)*SUM(AD309))</f>
        <v/>
      </c>
      <c r="N333" s="267" t="str">
        <f t="shared" si="62"/>
        <v/>
      </c>
      <c r="O333" s="267" t="str">
        <f>IF(AG333,INDEX(E_PurchPrec!U:U,MATCH(CONST_CNTR_ElecEFMethod&amp;D333,E_PurchPrec!R:R,0)),INDEX(D_Processes!T:T,MATCH(CONST_CNTR_ElecEFMethod&amp;D333,D_Processes!R:R,0)))</f>
        <v/>
      </c>
      <c r="P333" s="266" t="str">
        <f>IF($D333="","",SUM($G333)*SUM(INDEX(InputOutput!$AN$71:$AN$100,MATCH($D333,InputOutput!$D$71:$D$100,0))))</f>
        <v/>
      </c>
      <c r="Q333" s="673" t="str">
        <f>IF(D333="","",IF(AG333,INDEX(A_InstData!$F$102:$F$121,MATCH(D333,CNTR_List_ExistPurchPrecNames,0)),""))</f>
        <v/>
      </c>
      <c r="R333" s="678" t="str">
        <f>IF($D333="","",SUM($G333)*SUM(INDEX(F_Tools!$T$101:$T$130,MATCH($D333,F_Tools!$E$101:$E$130,0))))</f>
        <v/>
      </c>
      <c r="S333" s="669" t="str">
        <f>IF($D333="","",SUM($G333)*SUM(INDEX(F_Tools!$U$101:$U$130,MATCH($D333,F_Tools!$E$101:$E$130,0))))</f>
        <v/>
      </c>
      <c r="T333" s="428"/>
      <c r="Z333" s="123"/>
      <c r="AB333" s="268" t="str">
        <f>CONST_PrecursorToGoodInput &amp; D333 &amp; "_" &amp; D306</f>
        <v>PrecToGood__</v>
      </c>
      <c r="AD333" s="269">
        <f>SUMIF(D_Processes!R:R,AB333,D_Processes!K:K)</f>
        <v>0</v>
      </c>
      <c r="AE333" s="268">
        <f>SUMIF(D_Processes!R:R,CONST_CNTR_TotProd &amp; D333,D_Processes!L:L)</f>
        <v>0</v>
      </c>
      <c r="AG333" s="102" t="b">
        <f t="shared" si="64"/>
        <v>0</v>
      </c>
    </row>
    <row r="334" spans="1:33" ht="12.75" customHeight="1" outlineLevel="1" x14ac:dyDescent="0.35">
      <c r="A334" s="92"/>
      <c r="B334" s="94"/>
      <c r="C334" s="978">
        <v>25</v>
      </c>
      <c r="D334" s="1417" t="str">
        <f>IF(D306="","",IF(COUNTIF(INDEX(CNTR_IOSupplyChain,MATCH(D306,CNTR_IOProcAndPrec,0),),C334)=0,"",INDEX(CNTR_IOProcAndPrec,MATCH(C334,INDEX(CNTR_IOSupplyChain,MATCH(D306,CNTR_IOProcAndPrec,0),),0))))</f>
        <v/>
      </c>
      <c r="E334" s="1418"/>
      <c r="F334" s="265" t="str">
        <f t="shared" si="63"/>
        <v/>
      </c>
      <c r="G334" s="266" t="str">
        <f>IF(D334="","",INDEX(CNTR_Matrix_Inv,MATCH(D306,CNTR_IOProcAndPrec,0),MATCH(D334,CNTR_IOProcAndPrec,0)))</f>
        <v/>
      </c>
      <c r="H334" s="286" t="str">
        <f>IF(D334="","",IF(AG334,INDEX(E_PurchPrec!U:U,MATCH(CONST_PurchPrecDefaultUsed&amp;D334,E_PurchPrec!R:R,0)),CONST_NA))</f>
        <v/>
      </c>
      <c r="I334" s="266" t="str">
        <f>IF($D334="","",SUM($G334)*SUM(INDEX(InputOutput!$AJ$71:$AJ$100,MATCH($D334,InputOutput!$D$71:$D$100,0))))</f>
        <v/>
      </c>
      <c r="J334" s="266" t="str">
        <f>IF($D334="","",SUM($G334)*SUM(INDEX(InputOutput!$AL$71:$AL$100,MATCH($D334,InputOutput!$D$71:$D$100,0))))</f>
        <v/>
      </c>
      <c r="K334" s="266" t="str">
        <f t="shared" si="61"/>
        <v/>
      </c>
      <c r="L334" s="267" t="str">
        <f>IF(D334="","",SUM(I334)*SUM(AD309))</f>
        <v/>
      </c>
      <c r="M334" s="267" t="str">
        <f>IF(D334="","",SUM(J334)*SUM(AD309))</f>
        <v/>
      </c>
      <c r="N334" s="267" t="str">
        <f t="shared" si="62"/>
        <v/>
      </c>
      <c r="O334" s="267" t="str">
        <f>IF(AG334,INDEX(E_PurchPrec!U:U,MATCH(CONST_CNTR_ElecEFMethod&amp;D334,E_PurchPrec!R:R,0)),INDEX(D_Processes!T:T,MATCH(CONST_CNTR_ElecEFMethod&amp;D334,D_Processes!R:R,0)))</f>
        <v/>
      </c>
      <c r="P334" s="266" t="str">
        <f>IF($D334="","",SUM($G334)*SUM(INDEX(InputOutput!$AN$71:$AN$100,MATCH($D334,InputOutput!$D$71:$D$100,0))))</f>
        <v/>
      </c>
      <c r="Q334" s="673" t="str">
        <f>IF(D334="","",IF(AG334,INDEX(A_InstData!$F$102:$F$121,MATCH(D334,CNTR_List_ExistPurchPrecNames,0)),""))</f>
        <v/>
      </c>
      <c r="R334" s="678" t="str">
        <f>IF($D334="","",SUM($G334)*SUM(INDEX(F_Tools!$T$101:$T$130,MATCH($D334,F_Tools!$E$101:$E$130,0))))</f>
        <v/>
      </c>
      <c r="S334" s="669" t="str">
        <f>IF($D334="","",SUM($G334)*SUM(INDEX(F_Tools!$U$101:$U$130,MATCH($D334,F_Tools!$E$101:$E$130,0))))</f>
        <v/>
      </c>
      <c r="T334" s="428"/>
      <c r="Z334" s="123"/>
      <c r="AB334" s="268" t="str">
        <f>CONST_PrecursorToGoodInput &amp; D334 &amp; "_" &amp; D306</f>
        <v>PrecToGood__</v>
      </c>
      <c r="AD334" s="269">
        <f>SUMIF(D_Processes!R:R,AB334,D_Processes!K:K)</f>
        <v>0</v>
      </c>
      <c r="AE334" s="268">
        <f>SUMIF(D_Processes!R:R,CONST_CNTR_TotProd &amp; D334,D_Processes!L:L)</f>
        <v>0</v>
      </c>
      <c r="AG334" s="102" t="b">
        <f t="shared" si="64"/>
        <v>0</v>
      </c>
    </row>
    <row r="335" spans="1:33" ht="12.75" customHeight="1" outlineLevel="1" x14ac:dyDescent="0.35">
      <c r="A335" s="92"/>
      <c r="B335" s="94"/>
      <c r="C335" s="978">
        <v>26</v>
      </c>
      <c r="D335" s="1417" t="str">
        <f>IF(D306="","",IF(COUNTIF(INDEX(CNTR_IOSupplyChain,MATCH(D306,CNTR_IOProcAndPrec,0),),C335)=0,"",INDEX(CNTR_IOProcAndPrec,MATCH(C335,INDEX(CNTR_IOSupplyChain,MATCH(D306,CNTR_IOProcAndPrec,0),),0))))</f>
        <v/>
      </c>
      <c r="E335" s="1418"/>
      <c r="F335" s="265" t="str">
        <f t="shared" si="63"/>
        <v/>
      </c>
      <c r="G335" s="266" t="str">
        <f>IF(D335="","",INDEX(CNTR_Matrix_Inv,MATCH(D306,CNTR_IOProcAndPrec,0),MATCH(D335,CNTR_IOProcAndPrec,0)))</f>
        <v/>
      </c>
      <c r="H335" s="286" t="str">
        <f>IF(D335="","",IF(AG335,INDEX(E_PurchPrec!U:U,MATCH(CONST_PurchPrecDefaultUsed&amp;D335,E_PurchPrec!R:R,0)),CONST_NA))</f>
        <v/>
      </c>
      <c r="I335" s="266" t="str">
        <f>IF($D335="","",SUM($G335)*SUM(INDEX(InputOutput!$AJ$71:$AJ$100,MATCH($D335,InputOutput!$D$71:$D$100,0))))</f>
        <v/>
      </c>
      <c r="J335" s="266" t="str">
        <f>IF($D335="","",SUM($G335)*SUM(INDEX(InputOutput!$AL$71:$AL$100,MATCH($D335,InputOutput!$D$71:$D$100,0))))</f>
        <v/>
      </c>
      <c r="K335" s="266" t="str">
        <f t="shared" si="61"/>
        <v/>
      </c>
      <c r="L335" s="267" t="str">
        <f>IF(D335="","",SUM(I335)*SUM(AD309))</f>
        <v/>
      </c>
      <c r="M335" s="267" t="str">
        <f>IF(D335="","",SUM(J335)*SUM(AD309))</f>
        <v/>
      </c>
      <c r="N335" s="267" t="str">
        <f t="shared" si="62"/>
        <v/>
      </c>
      <c r="O335" s="267" t="str">
        <f>IF(AG335,INDEX(E_PurchPrec!U:U,MATCH(CONST_CNTR_ElecEFMethod&amp;D335,E_PurchPrec!R:R,0)),INDEX(D_Processes!T:T,MATCH(CONST_CNTR_ElecEFMethod&amp;D335,D_Processes!R:R,0)))</f>
        <v/>
      </c>
      <c r="P335" s="266" t="str">
        <f>IF($D335="","",SUM($G335)*SUM(INDEX(InputOutput!$AN$71:$AN$100,MATCH($D335,InputOutput!$D$71:$D$100,0))))</f>
        <v/>
      </c>
      <c r="Q335" s="673" t="str">
        <f>IF(D335="","",IF(AG335,INDEX(A_InstData!$F$102:$F$121,MATCH(D335,CNTR_List_ExistPurchPrecNames,0)),""))</f>
        <v/>
      </c>
      <c r="R335" s="678" t="str">
        <f>IF($D335="","",SUM($G335)*SUM(INDEX(F_Tools!$T$101:$T$130,MATCH($D335,F_Tools!$E$101:$E$130,0))))</f>
        <v/>
      </c>
      <c r="S335" s="669" t="str">
        <f>IF($D335="","",SUM($G335)*SUM(INDEX(F_Tools!$U$101:$U$130,MATCH($D335,F_Tools!$E$101:$E$130,0))))</f>
        <v/>
      </c>
      <c r="T335" s="428"/>
      <c r="Z335" s="123"/>
      <c r="AB335" s="268" t="str">
        <f>CONST_PrecursorToGoodInput &amp; D335 &amp; "_" &amp; D306</f>
        <v>PrecToGood__</v>
      </c>
      <c r="AD335" s="269">
        <f>SUMIF(D_Processes!R:R,AB335,D_Processes!K:K)</f>
        <v>0</v>
      </c>
      <c r="AE335" s="268">
        <f>SUMIF(D_Processes!R:R,CONST_CNTR_TotProd &amp; D335,D_Processes!L:L)</f>
        <v>0</v>
      </c>
      <c r="AG335" s="102" t="b">
        <f t="shared" si="64"/>
        <v>0</v>
      </c>
    </row>
    <row r="336" spans="1:33" ht="12.75" customHeight="1" outlineLevel="1" x14ac:dyDescent="0.35">
      <c r="A336" s="92"/>
      <c r="B336" s="94"/>
      <c r="C336" s="978">
        <v>27</v>
      </c>
      <c r="D336" s="1417" t="str">
        <f>IF(D306="","",IF(COUNTIF(INDEX(CNTR_IOSupplyChain,MATCH(D306,CNTR_IOProcAndPrec,0),),C336)=0,"",INDEX(CNTR_IOProcAndPrec,MATCH(C336,INDEX(CNTR_IOSupplyChain,MATCH(D306,CNTR_IOProcAndPrec,0),),0))))</f>
        <v/>
      </c>
      <c r="E336" s="1418"/>
      <c r="F336" s="265" t="str">
        <f t="shared" si="63"/>
        <v/>
      </c>
      <c r="G336" s="266" t="str">
        <f>IF(D336="","",INDEX(CNTR_Matrix_Inv,MATCH(D306,CNTR_IOProcAndPrec,0),MATCH(D336,CNTR_IOProcAndPrec,0)))</f>
        <v/>
      </c>
      <c r="H336" s="286" t="str">
        <f>IF(D336="","",IF(AG336,INDEX(E_PurchPrec!U:U,MATCH(CONST_PurchPrecDefaultUsed&amp;D336,E_PurchPrec!R:R,0)),CONST_NA))</f>
        <v/>
      </c>
      <c r="I336" s="266" t="str">
        <f>IF($D336="","",SUM($G336)*SUM(INDEX(InputOutput!$AJ$71:$AJ$100,MATCH($D336,InputOutput!$D$71:$D$100,0))))</f>
        <v/>
      </c>
      <c r="J336" s="266" t="str">
        <f>IF($D336="","",SUM($G336)*SUM(INDEX(InputOutput!$AL$71:$AL$100,MATCH($D336,InputOutput!$D$71:$D$100,0))))</f>
        <v/>
      </c>
      <c r="K336" s="266" t="str">
        <f t="shared" si="61"/>
        <v/>
      </c>
      <c r="L336" s="267" t="str">
        <f>IF(D336="","",SUM(I336)*SUM(AD309))</f>
        <v/>
      </c>
      <c r="M336" s="267" t="str">
        <f>IF(D336="","",SUM(J336)*SUM(AD309))</f>
        <v/>
      </c>
      <c r="N336" s="267" t="str">
        <f t="shared" si="62"/>
        <v/>
      </c>
      <c r="O336" s="267" t="str">
        <f>IF(AG336,INDEX(E_PurchPrec!U:U,MATCH(CONST_CNTR_ElecEFMethod&amp;D336,E_PurchPrec!R:R,0)),INDEX(D_Processes!T:T,MATCH(CONST_CNTR_ElecEFMethod&amp;D336,D_Processes!R:R,0)))</f>
        <v/>
      </c>
      <c r="P336" s="266" t="str">
        <f>IF($D336="","",SUM($G336)*SUM(INDEX(InputOutput!$AN$71:$AN$100,MATCH($D336,InputOutput!$D$71:$D$100,0))))</f>
        <v/>
      </c>
      <c r="Q336" s="673" t="str">
        <f>IF(D336="","",IF(AG336,INDEX(A_InstData!$F$102:$F$121,MATCH(D336,CNTR_List_ExistPurchPrecNames,0)),""))</f>
        <v/>
      </c>
      <c r="R336" s="678" t="str">
        <f>IF($D336="","",SUM($G336)*SUM(INDEX(F_Tools!$T$101:$T$130,MATCH($D336,F_Tools!$E$101:$E$130,0))))</f>
        <v/>
      </c>
      <c r="S336" s="669" t="str">
        <f>IF($D336="","",SUM($G336)*SUM(INDEX(F_Tools!$U$101:$U$130,MATCH($D336,F_Tools!$E$101:$E$130,0))))</f>
        <v/>
      </c>
      <c r="T336" s="428"/>
      <c r="Z336" s="123"/>
      <c r="AB336" s="268" t="str">
        <f>CONST_PrecursorToGoodInput &amp; D336 &amp; "_" &amp; D306</f>
        <v>PrecToGood__</v>
      </c>
      <c r="AD336" s="269">
        <f>SUMIF(D_Processes!R:R,AB336,D_Processes!K:K)</f>
        <v>0</v>
      </c>
      <c r="AE336" s="268">
        <f>SUMIF(D_Processes!R:R,CONST_CNTR_TotProd &amp; D336,D_Processes!L:L)</f>
        <v>0</v>
      </c>
      <c r="AG336" s="102" t="b">
        <f t="shared" si="64"/>
        <v>0</v>
      </c>
    </row>
    <row r="337" spans="1:41" ht="12.75" customHeight="1" outlineLevel="1" x14ac:dyDescent="0.35">
      <c r="A337" s="92"/>
      <c r="B337" s="94"/>
      <c r="C337" s="978">
        <v>28</v>
      </c>
      <c r="D337" s="1417" t="str">
        <f>IF(D306="","",IF(COUNTIF(INDEX(CNTR_IOSupplyChain,MATCH(D306,CNTR_IOProcAndPrec,0),),C337)=0,"",INDEX(CNTR_IOProcAndPrec,MATCH(C337,INDEX(CNTR_IOSupplyChain,MATCH(D306,CNTR_IOProcAndPrec,0),),0))))</f>
        <v/>
      </c>
      <c r="E337" s="1418"/>
      <c r="F337" s="265" t="str">
        <f t="shared" si="63"/>
        <v/>
      </c>
      <c r="G337" s="266" t="str">
        <f>IF(D337="","",INDEX(CNTR_Matrix_Inv,MATCH(D306,CNTR_IOProcAndPrec,0),MATCH(D337,CNTR_IOProcAndPrec,0)))</f>
        <v/>
      </c>
      <c r="H337" s="286" t="str">
        <f>IF(D337="","",IF(AG337,INDEX(E_PurchPrec!U:U,MATCH(CONST_PurchPrecDefaultUsed&amp;D337,E_PurchPrec!R:R,0)),CONST_NA))</f>
        <v/>
      </c>
      <c r="I337" s="266" t="str">
        <f>IF($D337="","",SUM($G337)*SUM(INDEX(InputOutput!$AJ$71:$AJ$100,MATCH($D337,InputOutput!$D$71:$D$100,0))))</f>
        <v/>
      </c>
      <c r="J337" s="266" t="str">
        <f>IF($D337="","",SUM($G337)*SUM(INDEX(InputOutput!$AL$71:$AL$100,MATCH($D337,InputOutput!$D$71:$D$100,0))))</f>
        <v/>
      </c>
      <c r="K337" s="266" t="str">
        <f t="shared" si="61"/>
        <v/>
      </c>
      <c r="L337" s="267" t="str">
        <f>IF(D337="","",SUM(I337)*SUM(AD309))</f>
        <v/>
      </c>
      <c r="M337" s="267" t="str">
        <f>IF(D337="","",SUM(J337)*SUM(AD309))</f>
        <v/>
      </c>
      <c r="N337" s="267" t="str">
        <f t="shared" si="62"/>
        <v/>
      </c>
      <c r="O337" s="267" t="str">
        <f>IF(AG337,INDEX(E_PurchPrec!U:U,MATCH(CONST_CNTR_ElecEFMethod&amp;D337,E_PurchPrec!R:R,0)),INDEX(D_Processes!T:T,MATCH(CONST_CNTR_ElecEFMethod&amp;D337,D_Processes!R:R,0)))</f>
        <v/>
      </c>
      <c r="P337" s="266" t="str">
        <f>IF($D337="","",SUM($G337)*SUM(INDEX(InputOutput!$AN$71:$AN$100,MATCH($D337,InputOutput!$D$71:$D$100,0))))</f>
        <v/>
      </c>
      <c r="Q337" s="673" t="str">
        <f>IF(D337="","",IF(AG337,INDEX(A_InstData!$F$102:$F$121,MATCH(D337,CNTR_List_ExistPurchPrecNames,0)),""))</f>
        <v/>
      </c>
      <c r="R337" s="678" t="str">
        <f>IF($D337="","",SUM($G337)*SUM(INDEX(F_Tools!$T$101:$T$130,MATCH($D337,F_Tools!$E$101:$E$130,0))))</f>
        <v/>
      </c>
      <c r="S337" s="669" t="str">
        <f>IF($D337="","",SUM($G337)*SUM(INDEX(F_Tools!$U$101:$U$130,MATCH($D337,F_Tools!$E$101:$E$130,0))))</f>
        <v/>
      </c>
      <c r="T337" s="428"/>
      <c r="Z337" s="123"/>
      <c r="AB337" s="268" t="str">
        <f>CONST_PrecursorToGoodInput &amp; D337 &amp; "_" &amp; D306</f>
        <v>PrecToGood__</v>
      </c>
      <c r="AD337" s="269">
        <f>SUMIF(D_Processes!R:R,AB337,D_Processes!K:K)</f>
        <v>0</v>
      </c>
      <c r="AE337" s="268">
        <f>SUMIF(D_Processes!R:R,CONST_CNTR_TotProd &amp; D337,D_Processes!L:L)</f>
        <v>0</v>
      </c>
      <c r="AG337" s="102" t="b">
        <f t="shared" si="64"/>
        <v>0</v>
      </c>
    </row>
    <row r="338" spans="1:41" ht="12.75" customHeight="1" outlineLevel="1" x14ac:dyDescent="0.35">
      <c r="A338" s="92"/>
      <c r="B338" s="94"/>
      <c r="C338" s="978">
        <v>29</v>
      </c>
      <c r="D338" s="1417" t="str">
        <f>IF(D306="","",IF(COUNTIF(INDEX(CNTR_IOSupplyChain,MATCH(D306,CNTR_IOProcAndPrec,0),),C338)=0,"",INDEX(CNTR_IOProcAndPrec,MATCH(C338,INDEX(CNTR_IOSupplyChain,MATCH(D306,CNTR_IOProcAndPrec,0),),0))))</f>
        <v/>
      </c>
      <c r="E338" s="1418"/>
      <c r="F338" s="265" t="str">
        <f t="shared" si="63"/>
        <v/>
      </c>
      <c r="G338" s="266" t="str">
        <f>IF(D338="","",INDEX(CNTR_Matrix_Inv,MATCH(D306,CNTR_IOProcAndPrec,0),MATCH(D338,CNTR_IOProcAndPrec,0)))</f>
        <v/>
      </c>
      <c r="H338" s="286" t="str">
        <f>IF(D338="","",IF(AG338,INDEX(E_PurchPrec!U:U,MATCH(CONST_PurchPrecDefaultUsed&amp;D338,E_PurchPrec!R:R,0)),CONST_NA))</f>
        <v/>
      </c>
      <c r="I338" s="266" t="str">
        <f>IF($D338="","",SUM($G338)*SUM(INDEX(InputOutput!$AJ$71:$AJ$100,MATCH($D338,InputOutput!$D$71:$D$100,0))))</f>
        <v/>
      </c>
      <c r="J338" s="266" t="str">
        <f>IF($D338="","",SUM($G338)*SUM(INDEX(InputOutput!$AL$71:$AL$100,MATCH($D338,InputOutput!$D$71:$D$100,0))))</f>
        <v/>
      </c>
      <c r="K338" s="266" t="str">
        <f t="shared" si="61"/>
        <v/>
      </c>
      <c r="L338" s="267" t="str">
        <f>IF(D338="","",SUM(I338)*SUM(AD309))</f>
        <v/>
      </c>
      <c r="M338" s="267" t="str">
        <f>IF(D338="","",SUM(J338)*SUM(AD309))</f>
        <v/>
      </c>
      <c r="N338" s="267" t="str">
        <f t="shared" si="62"/>
        <v/>
      </c>
      <c r="O338" s="267" t="str">
        <f>IF(AG338,INDEX(E_PurchPrec!U:U,MATCH(CONST_CNTR_ElecEFMethod&amp;D338,E_PurchPrec!R:R,0)),INDEX(D_Processes!T:T,MATCH(CONST_CNTR_ElecEFMethod&amp;D338,D_Processes!R:R,0)))</f>
        <v/>
      </c>
      <c r="P338" s="266" t="str">
        <f>IF($D338="","",SUM($G338)*SUM(INDEX(InputOutput!$AN$71:$AN$100,MATCH($D338,InputOutput!$D$71:$D$100,0))))</f>
        <v/>
      </c>
      <c r="Q338" s="673" t="str">
        <f>IF(D338="","",IF(AG338,INDEX(A_InstData!$F$102:$F$121,MATCH(D338,CNTR_List_ExistPurchPrecNames,0)),""))</f>
        <v/>
      </c>
      <c r="R338" s="678" t="str">
        <f>IF($D338="","",SUM($G338)*SUM(INDEX(F_Tools!$T$101:$T$130,MATCH($D338,F_Tools!$E$101:$E$130,0))))</f>
        <v/>
      </c>
      <c r="S338" s="669" t="str">
        <f>IF($D338="","",SUM($G338)*SUM(INDEX(F_Tools!$U$101:$U$130,MATCH($D338,F_Tools!$E$101:$E$130,0))))</f>
        <v/>
      </c>
      <c r="T338" s="428"/>
      <c r="Z338" s="123"/>
      <c r="AB338" s="268" t="str">
        <f>CONST_PrecursorToGoodInput &amp; D338 &amp; "_" &amp; D306</f>
        <v>PrecToGood__</v>
      </c>
      <c r="AD338" s="269">
        <f>SUMIF(D_Processes!R:R,AB338,D_Processes!K:K)</f>
        <v>0</v>
      </c>
      <c r="AE338" s="268">
        <f>SUMIF(D_Processes!R:R,CONST_CNTR_TotProd &amp; D338,D_Processes!L:L)</f>
        <v>0</v>
      </c>
      <c r="AG338" s="102" t="b">
        <f t="shared" si="64"/>
        <v>0</v>
      </c>
    </row>
    <row r="339" spans="1:41" ht="12.75" customHeight="1" outlineLevel="1" thickBot="1" x14ac:dyDescent="0.4">
      <c r="A339" s="92"/>
      <c r="B339" s="94"/>
      <c r="C339" s="978">
        <v>30</v>
      </c>
      <c r="D339" s="1451" t="str">
        <f>IF(D306="","",IF(COUNTIF(INDEX(CNTR_IOSupplyChain,MATCH(D306,CNTR_IOProcAndPrec,0),),C339)=0,"",INDEX(CNTR_IOProcAndPrec,MATCH(C339,INDEX(CNTR_IOSupplyChain,MATCH(D306,CNTR_IOProcAndPrec,0),),0))))</f>
        <v/>
      </c>
      <c r="E339" s="1452"/>
      <c r="F339" s="270" t="str">
        <f t="shared" si="63"/>
        <v/>
      </c>
      <c r="G339" s="271" t="str">
        <f>IF(D339="","",INDEX(CNTR_Matrix_Inv,MATCH(D306,CNTR_IOProcAndPrec,0),MATCH(D339,CNTR_IOProcAndPrec,0)))</f>
        <v/>
      </c>
      <c r="H339" s="287" t="str">
        <f>IF(D339="","",IF(AG339,INDEX(E_PurchPrec!U:U,MATCH(CONST_PurchPrecDefaultUsed&amp;D339,E_PurchPrec!R:R,0)),CONST_NA))</f>
        <v/>
      </c>
      <c r="I339" s="271" t="str">
        <f>IF($D339="","",SUM($G339)*SUM(INDEX(InputOutput!$AJ$71:$AJ$100,MATCH($D339,InputOutput!$D$71:$D$100,0))))</f>
        <v/>
      </c>
      <c r="J339" s="271" t="str">
        <f>IF($D339="","",SUM($G339)*SUM(INDEX(InputOutput!$AL$71:$AL$100,MATCH($D339,InputOutput!$D$71:$D$100,0))))</f>
        <v/>
      </c>
      <c r="K339" s="271" t="str">
        <f>IF(COUNT(I339:J339)&gt;0,SUM(I339:J339),"")</f>
        <v/>
      </c>
      <c r="L339" s="272" t="str">
        <f>IF(D339="","",SUM(I339)*SUM(AD309))</f>
        <v/>
      </c>
      <c r="M339" s="272" t="str">
        <f>IF(D339="","",SUM(J339)*SUM(AD309))</f>
        <v/>
      </c>
      <c r="N339" s="272" t="str">
        <f>IF(COUNT(L339:M339)&gt;0,SUM(L339:M339),"")</f>
        <v/>
      </c>
      <c r="O339" s="272" t="str">
        <f>IF(AG339,INDEX(E_PurchPrec!U:U,MATCH(CONST_CNTR_ElecEFMethod&amp;D339,E_PurchPrec!R:R,0)),INDEX(D_Processes!T:T,MATCH(CONST_CNTR_ElecEFMethod&amp;D339,D_Processes!R:R,0)))</f>
        <v/>
      </c>
      <c r="P339" s="271" t="str">
        <f>IF($D339="","",SUM($G339)*SUM(INDEX(InputOutput!$AN$71:$AN$100,MATCH($D339,InputOutput!$D$71:$D$100,0))))</f>
        <v/>
      </c>
      <c r="Q339" s="674" t="str">
        <f>IF(D339="","",IF(AG339,INDEX(A_InstData!$F$102:$F$121,MATCH(D339,CNTR_List_ExistPurchPrecNames,0)),""))</f>
        <v/>
      </c>
      <c r="R339" s="679" t="str">
        <f>IF($D339="","",SUM($G339)*SUM(INDEX(F_Tools!$T$101:$T$130,MATCH($D339,F_Tools!$E$101:$E$130,0))))</f>
        <v/>
      </c>
      <c r="S339" s="680" t="str">
        <f>IF($D339="","",SUM($G339)*SUM(INDEX(F_Tools!$U$101:$U$130,MATCH($D339,F_Tools!$E$101:$E$130,0))))</f>
        <v/>
      </c>
      <c r="T339" s="428"/>
      <c r="AB339" s="273" t="str">
        <f>CONST_PrecursorToGoodInput &amp; D339 &amp; "_" &amp; D306</f>
        <v>PrecToGood__</v>
      </c>
      <c r="AD339" s="274">
        <f>SUMIF(D_Processes!R:R,AB339,D_Processes!K:K)</f>
        <v>0</v>
      </c>
      <c r="AE339" s="273">
        <f>SUMIF(D_Processes!R:R,CONST_CNTR_TotProd &amp; D339,D_Processes!L:L)</f>
        <v>0</v>
      </c>
      <c r="AG339" s="102" t="b">
        <f t="shared" si="64"/>
        <v>0</v>
      </c>
    </row>
    <row r="340" spans="1:41" ht="12.75" customHeight="1" thickBot="1" x14ac:dyDescent="0.4">
      <c r="A340" s="92"/>
      <c r="B340" s="94"/>
      <c r="C340" s="144"/>
      <c r="D340" s="144"/>
      <c r="E340" s="144"/>
      <c r="F340" s="144"/>
      <c r="G340" s="144"/>
      <c r="H340" s="144"/>
      <c r="I340" s="979"/>
      <c r="J340" s="979"/>
      <c r="K340" s="979"/>
      <c r="L340" s="144"/>
      <c r="M340" s="144"/>
      <c r="N340" s="144"/>
      <c r="O340" s="144"/>
      <c r="P340" s="979"/>
      <c r="Q340" s="144"/>
      <c r="R340" s="144"/>
      <c r="S340" s="144"/>
      <c r="T340" s="428"/>
    </row>
    <row r="341" spans="1:41" ht="12.75" customHeight="1" thickBot="1" x14ac:dyDescent="0.4">
      <c r="A341" s="92"/>
      <c r="B341" s="94"/>
      <c r="C341" s="145"/>
      <c r="D341" s="145"/>
      <c r="E341" s="145"/>
      <c r="F341" s="145"/>
      <c r="G341" s="145"/>
      <c r="H341" s="145"/>
      <c r="I341" s="664"/>
      <c r="J341" s="664"/>
      <c r="K341" s="664"/>
      <c r="L341" s="145"/>
      <c r="M341" s="145"/>
      <c r="N341" s="145"/>
      <c r="O341" s="145"/>
      <c r="P341" s="664"/>
      <c r="Q341" s="145"/>
      <c r="R341" s="145"/>
      <c r="S341" s="145"/>
      <c r="T341" s="428"/>
    </row>
    <row r="342" spans="1:41" s="249" customFormat="1" ht="25.5" customHeight="1" x14ac:dyDescent="0.35">
      <c r="A342" s="977"/>
      <c r="B342" s="981"/>
      <c r="C342" s="1439">
        <f>C306+1</f>
        <v>6</v>
      </c>
      <c r="D342" s="1421" t="str">
        <f>IF(INDEX(CNTR_List_ExistProdProcNames,C342)=CONST_NA,"",INDEX(CNTR_List_ExistProdProcNames,C342))</f>
        <v/>
      </c>
      <c r="E342" s="1422"/>
      <c r="F342" s="1419" t="str">
        <f>Translations!$B$107</f>
        <v>Aggregated goods category</v>
      </c>
      <c r="G342" s="250" t="str">
        <f>Translations!$B$584</f>
        <v>Mass share</v>
      </c>
      <c r="H342" s="1448" t="str">
        <f>Translations!$B$586</f>
        <v>(Share of) Default value</v>
      </c>
      <c r="I342" s="250" t="str">
        <f>Translations!$B$570</f>
        <v>SEE (direct)</v>
      </c>
      <c r="J342" s="250" t="str">
        <f>Translations!$B$574</f>
        <v>SEE (indirect)</v>
      </c>
      <c r="K342" s="250" t="str">
        <f>Translations!$B$344</f>
        <v>SEE (total)</v>
      </c>
      <c r="L342" s="250" t="str">
        <f>Translations!$B$589</f>
        <v>EmbEm (direct)</v>
      </c>
      <c r="M342" s="250" t="str">
        <f>Translations!$B$591</f>
        <v>EmbEm (indirect)</v>
      </c>
      <c r="N342" s="250" t="str">
        <f>Translations!$B$593</f>
        <v>EmbEm (total)</v>
      </c>
      <c r="O342" s="1448" t="str">
        <f>Translations!$B$594</f>
        <v>Source of electricity EF</v>
      </c>
      <c r="P342" s="250" t="str">
        <f>Translations!$B$480</f>
        <v>Embedded electricity</v>
      </c>
      <c r="Q342" s="1415" t="str">
        <f>Translations!$B$1957</f>
        <v>Country code</v>
      </c>
      <c r="R342" s="1444" t="str">
        <f>Translations!$B$351</f>
        <v>CP due (per produced t or MWh)</v>
      </c>
      <c r="S342" s="1446" t="str">
        <f>Translations!$B$352</f>
        <v>Rebate (per produced t or MWh)</v>
      </c>
      <c r="T342" s="431"/>
      <c r="U342" s="93"/>
      <c r="V342" s="248"/>
      <c r="W342" s="248"/>
      <c r="X342" s="91"/>
      <c r="Y342" s="248"/>
      <c r="Z342" s="123"/>
      <c r="AA342" s="248"/>
      <c r="AB342" s="248"/>
      <c r="AC342" s="248"/>
      <c r="AD342" s="248"/>
      <c r="AE342" s="248"/>
      <c r="AF342" s="104" t="str">
        <f>H342</f>
        <v>(Share of) Default value</v>
      </c>
      <c r="AG342" s="681" t="str">
        <f>H344</f>
        <v/>
      </c>
      <c r="AH342" s="91"/>
      <c r="AI342" s="91"/>
      <c r="AJ342" s="91"/>
      <c r="AK342" s="91"/>
      <c r="AL342" s="91"/>
      <c r="AM342" s="91"/>
      <c r="AN342" s="91"/>
      <c r="AO342" s="91"/>
    </row>
    <row r="343" spans="1:41" s="249" customFormat="1" ht="15" customHeight="1" thickBot="1" x14ac:dyDescent="0.4">
      <c r="A343" s="977"/>
      <c r="B343" s="981"/>
      <c r="C343" s="1440"/>
      <c r="D343" s="1423"/>
      <c r="E343" s="1424"/>
      <c r="F343" s="1420"/>
      <c r="G343" s="251" t="str">
        <f>IF($F344="",CONST_t,INDEX(CONST_LIST_GoodsUnit,MATCH($F344,CONST_LIST_Goods,0))) &amp;"/"&amp; IF($F344="",CONST_t,INDEX(CONST_LIST_GoodsUnit,MATCH($F344,CONST_LIST_Goods,0)))</f>
        <v>t/t</v>
      </c>
      <c r="H343" s="1449"/>
      <c r="I343" s="251" t="str">
        <f>CONST_tCO2eq &amp; "/" &amp; IF($F344="",CONST_t,INDEX(CONST_LIST_GoodsUnit,MATCH($F344,CONST_LIST_Goods,0)))</f>
        <v>tCO2e/t</v>
      </c>
      <c r="J343" s="251" t="str">
        <f>CONST_tCO2eq &amp; "/" &amp; IF($F344="",CONST_t,INDEX(CONST_LIST_GoodsUnit,MATCH($F344,CONST_LIST_Goods,0)))</f>
        <v>tCO2e/t</v>
      </c>
      <c r="K343" s="251" t="str">
        <f>CONST_tCO2eq &amp; "/" &amp; IF($F344="",CONST_t,INDEX(CONST_LIST_GoodsUnit,MATCH($F344,CONST_LIST_Goods,0)))</f>
        <v>tCO2e/t</v>
      </c>
      <c r="L343" s="252" t="str">
        <f>CONST_tCO2eq</f>
        <v>tCO2e</v>
      </c>
      <c r="M343" s="252" t="str">
        <f>CONST_tCO2eq</f>
        <v>tCO2e</v>
      </c>
      <c r="N343" s="252" t="str">
        <f>CONST_tCO2eq</f>
        <v>tCO2e</v>
      </c>
      <c r="O343" s="1449"/>
      <c r="P343" s="251" t="str">
        <f>CONST_MWh &amp; "/" &amp; IF($F344="",CONST_t,INDEX(CONST_LIST_GoodsUnit,MATCH($F344,CONST_LIST_Goods,0)))</f>
        <v>MWh/t</v>
      </c>
      <c r="Q343" s="1416"/>
      <c r="R343" s="1445"/>
      <c r="S343" s="1447"/>
      <c r="T343" s="431"/>
      <c r="V343" s="248"/>
      <c r="W343" s="248"/>
      <c r="X343" s="91"/>
      <c r="Y343" s="248"/>
      <c r="Z343" s="123"/>
      <c r="AA343" s="248"/>
      <c r="AB343" s="248"/>
      <c r="AC343" s="248"/>
      <c r="AD343" s="248"/>
      <c r="AE343" s="248"/>
      <c r="AF343" s="91"/>
      <c r="AG343" s="91"/>
      <c r="AH343" s="91"/>
      <c r="AI343" s="91"/>
      <c r="AJ343" s="91"/>
      <c r="AK343" s="91"/>
      <c r="AL343" s="91"/>
      <c r="AM343" s="91"/>
      <c r="AN343" s="91"/>
      <c r="AO343" s="91"/>
    </row>
    <row r="344" spans="1:41" ht="15" customHeight="1" thickBot="1" x14ac:dyDescent="0.4">
      <c r="A344" s="92"/>
      <c r="B344" s="94"/>
      <c r="C344" s="1441"/>
      <c r="D344" s="1429" t="str">
        <f>Translations!$B$600</f>
        <v>Total production process</v>
      </c>
      <c r="E344" s="1430"/>
      <c r="F344" s="253" t="str">
        <f>IF(D345="","",INDEX(CNTR_List_ExistProdProc,MATCH(D345,CNTR_List_ExistProdProcNames,0)))</f>
        <v/>
      </c>
      <c r="G344" s="254" t="s">
        <v>206</v>
      </c>
      <c r="H344" s="896" t="str">
        <f>IF(D342="","",IFERROR(SUMIFS(I346:I375,H346:H375,TRUE)/I344,""))</f>
        <v/>
      </c>
      <c r="I344" s="662" t="str">
        <f>IF(COUNT(I345:I375)&gt;0,SUM(I345:I375),"")</f>
        <v/>
      </c>
      <c r="J344" s="662" t="str">
        <f>IF(COUNT(J345:J375)&gt;0,SUM(J345:J375),"")</f>
        <v/>
      </c>
      <c r="K344" s="662" t="str">
        <f t="shared" ref="K344:L344" si="65">IF(COUNT(K345:K375)&gt;0,SUM(K345:K375),"")</f>
        <v/>
      </c>
      <c r="L344" s="255" t="str">
        <f t="shared" si="65"/>
        <v/>
      </c>
      <c r="M344" s="255" t="str">
        <f>IF(COUNT(M345:M375)&gt;0,SUM(M345:M375),"")</f>
        <v/>
      </c>
      <c r="N344" s="255" t="str">
        <f t="shared" ref="N344" si="66">IF(COUNT(N345:N375)&gt;0,SUM(N345:N375),"")</f>
        <v/>
      </c>
      <c r="O344" s="254" t="s">
        <v>206</v>
      </c>
      <c r="P344" s="662" t="str">
        <f t="shared" ref="P344" si="67">IF(COUNT(P345:P375)&gt;0,SUM(P345:P375),"")</f>
        <v/>
      </c>
      <c r="Q344" s="670" t="s">
        <v>206</v>
      </c>
      <c r="R344" s="675" t="str">
        <f t="shared" ref="R344:S344" si="68">IF(COUNT(R345:R375)&gt;0,SUM(R345:R375),"")</f>
        <v/>
      </c>
      <c r="S344" s="666" t="str">
        <f t="shared" si="68"/>
        <v/>
      </c>
      <c r="T344" s="428"/>
      <c r="Z344" s="123"/>
      <c r="AD344" s="91" t="s">
        <v>199</v>
      </c>
      <c r="AE344" s="91" t="s">
        <v>200</v>
      </c>
      <c r="AG344" s="91" t="s">
        <v>418</v>
      </c>
    </row>
    <row r="345" spans="1:41" ht="12.75" customHeight="1" thickBot="1" x14ac:dyDescent="0.4">
      <c r="A345" s="92"/>
      <c r="B345" s="94"/>
      <c r="C345" s="144"/>
      <c r="D345" s="1431" t="str">
        <f>D342</f>
        <v/>
      </c>
      <c r="E345" s="1432"/>
      <c r="F345" s="283" t="str">
        <f>IF(D345="","",INDEX(CNTR_List_ExistProdProc,MATCH(D345,CNTR_List_ExistProdProcNames,0)))</f>
        <v/>
      </c>
      <c r="G345" s="256">
        <v>1</v>
      </c>
      <c r="H345" s="284" t="s">
        <v>206</v>
      </c>
      <c r="I345" s="663" t="str">
        <f>IF($D345="","",SUM($G345)*SUM(INDEX(InputOutput!$AJ$71:$AJ$100,MATCH($D345,InputOutput!$D$71:$D$100,0))))</f>
        <v/>
      </c>
      <c r="J345" s="663" t="str">
        <f>IF($D345="","",SUM($G345)*SUM(INDEX(InputOutput!$AL$71:$AL$100,MATCH($D345,InputOutput!$D$71:$D$100,0))))</f>
        <v/>
      </c>
      <c r="K345" s="663" t="str">
        <f t="shared" ref="K345:K374" si="69">IF(COUNT(I345:J345)&gt;0,SUM(I345:J345),"")</f>
        <v/>
      </c>
      <c r="L345" s="257" t="str">
        <f>IF(D345="","",SUM(I345)*SUM(AD345))</f>
        <v/>
      </c>
      <c r="M345" s="257" t="str">
        <f>IF(D345="","",SUM(J345)*SUM(AD345))</f>
        <v/>
      </c>
      <c r="N345" s="257" t="str">
        <f t="shared" ref="N345:N374" si="70">IF(COUNT(L345:M345)&gt;0,SUM(L345:M345),"")</f>
        <v/>
      </c>
      <c r="O345" s="257" t="str">
        <f>IF(AG345,INDEX(E_PurchPrec!U:U,MATCH(CONST_CNTR_ElecEFMethod&amp;D345,E_PurchPrec!R:R,0)),INDEX(D_Processes!T:T,MATCH(CONST_CNTR_ElecEFMethod&amp;D345,D_Processes!R:R,0)))</f>
        <v/>
      </c>
      <c r="P345" s="663" t="str">
        <f>IF($D345="","",SUM($G345)*SUM(INDEX(InputOutput!$AN$71:$AN$100,MATCH($D345,InputOutput!$D$71:$D$100,0))))</f>
        <v/>
      </c>
      <c r="Q345" s="671"/>
      <c r="R345" s="676" t="str">
        <f>IF($D345="","",SUM($G345)*SUM(INDEX(F_Tools!$T$101:$T$130,MATCH($D345,F_Tools!$E$101:$E$130,0))))</f>
        <v/>
      </c>
      <c r="S345" s="667" t="str">
        <f>IF($D345="","",SUM($G345)*SUM(INDEX(F_Tools!$U$101:$U$130,MATCH($D345,F_Tools!$E$101:$E$130,0))))</f>
        <v/>
      </c>
      <c r="T345" s="428"/>
      <c r="Z345" s="123"/>
      <c r="AB345" s="150" t="str">
        <f>CONST_CNTR_TotProd &amp; D342</f>
        <v>TotProd_</v>
      </c>
      <c r="AD345" s="258">
        <f>SUMIF(D_Processes!R:R,AB345,D_Processes!L:L)</f>
        <v>0</v>
      </c>
    </row>
    <row r="346" spans="1:41" ht="12.75" customHeight="1" x14ac:dyDescent="0.35">
      <c r="A346" s="92"/>
      <c r="B346" s="94"/>
      <c r="C346" s="978">
        <v>1</v>
      </c>
      <c r="D346" s="1442" t="str">
        <f>IF(D342="","",IF(COUNTIF(INDEX(CNTR_IOSupplyChain,MATCH(D342,CNTR_IOProcAndPrec,0),),C346)=0,"",INDEX(CNTR_IOProcAndPrec,MATCH(C346,INDEX(CNTR_IOSupplyChain,MATCH(D342,CNTR_IOProcAndPrec,0),),0))))</f>
        <v/>
      </c>
      <c r="E346" s="1443"/>
      <c r="F346" s="260" t="str">
        <f t="shared" ref="F346:F375" si="71">IF(D346="","",IF(COUNTIF(CNTR_List_ExistProdProcNames,D346)&gt;0,INDEX(CNTR_List_ExistProdProc,MATCH(D346,CNTR_List_ExistProdProcNames,0)),INDEX(CNTR_List_ExistPurchPrec,MATCH(D346,CNTR_List_ExistPurchPrecNames,0))))</f>
        <v/>
      </c>
      <c r="G346" s="261" t="str">
        <f>IF(D346="","",INDEX(CNTR_Matrix_Inv,MATCH(D342,CNTR_IOProcAndPrec,0),MATCH(D346,CNTR_IOProcAndPrec,0)))</f>
        <v/>
      </c>
      <c r="H346" s="285" t="str">
        <f>IF(D346="","",IF(AG346,INDEX(E_PurchPrec!U:U,MATCH(CONST_PurchPrecDefaultUsed&amp;D346,E_PurchPrec!R:R,0)),CONST_NA))</f>
        <v/>
      </c>
      <c r="I346" s="261" t="str">
        <f>IF($D346="","",SUM($G346)*SUM(INDEX(InputOutput!$AJ$71:$AJ$100,MATCH($D346,InputOutput!$D$71:$D$100,0))))</f>
        <v/>
      </c>
      <c r="J346" s="261" t="str">
        <f>IF($D346="","",SUM($G346)*SUM(INDEX(InputOutput!$AL$71:$AL$100,MATCH($D346,InputOutput!$D$71:$D$100,0))))</f>
        <v/>
      </c>
      <c r="K346" s="261" t="str">
        <f t="shared" si="69"/>
        <v/>
      </c>
      <c r="L346" s="262" t="str">
        <f>IF(D346="","",SUM(I346)*SUM(AD345))</f>
        <v/>
      </c>
      <c r="M346" s="262" t="str">
        <f>IF(D346="","",SUM(J346)*SUM(AD345))</f>
        <v/>
      </c>
      <c r="N346" s="262" t="str">
        <f t="shared" si="70"/>
        <v/>
      </c>
      <c r="O346" s="262" t="str">
        <f>IF(AG346,INDEX(E_PurchPrec!U:U,MATCH(CONST_CNTR_ElecEFMethod&amp;D346,E_PurchPrec!R:R,0)),INDEX(D_Processes!T:T,MATCH(CONST_CNTR_ElecEFMethod&amp;D346,D_Processes!R:R,0)))</f>
        <v/>
      </c>
      <c r="P346" s="261" t="str">
        <f>IF($D346="","",SUM($G346)*SUM(INDEX(InputOutput!$AN$71:$AN$100,MATCH($D346,InputOutput!$D$71:$D$100,0))))</f>
        <v/>
      </c>
      <c r="Q346" s="672" t="str">
        <f>IF(D346="","",IF(AG346,INDEX(A_InstData!$F$102:$F$121,MATCH(D346,CNTR_List_ExistPurchPrecNames,0)),""))</f>
        <v/>
      </c>
      <c r="R346" s="677" t="str">
        <f>IF($D346="","",SUM($G346)*SUM(INDEX(F_Tools!$T$101:$T$130,MATCH($D346,F_Tools!$E$101:$E$130,0))))</f>
        <v/>
      </c>
      <c r="S346" s="668" t="str">
        <f>IF($D346="","",SUM($G346)*SUM(INDEX(F_Tools!$U$101:$U$130,MATCH($D346,F_Tools!$E$101:$E$130,0))))</f>
        <v/>
      </c>
      <c r="T346" s="428"/>
      <c r="Z346" s="123"/>
      <c r="AB346" s="263" t="str">
        <f>CONST_PrecursorToGoodInput &amp; D346 &amp; "_" &amp; D342</f>
        <v>PrecToGood__</v>
      </c>
      <c r="AD346" s="264">
        <f>SUMIF(D_Processes!R:R,AB346,D_Processes!K:K)</f>
        <v>0</v>
      </c>
      <c r="AE346" s="263">
        <f>SUMIF(D_Processes!R:R,CONST_CNTR_TotProd &amp; D346,D_Processes!L:L)</f>
        <v>0</v>
      </c>
      <c r="AG346" s="102" t="b">
        <f t="shared" ref="AG346:AG375" si="72">COUNTIF(CNTR_List_ExistPurchPrecNames,D346)&gt;0</f>
        <v>0</v>
      </c>
    </row>
    <row r="347" spans="1:41" ht="12.75" customHeight="1" x14ac:dyDescent="0.35">
      <c r="A347" s="92"/>
      <c r="B347" s="94"/>
      <c r="C347" s="978">
        <v>2</v>
      </c>
      <c r="D347" s="1417" t="str">
        <f>IF(D342="","",IF(COUNTIF(INDEX(CNTR_IOSupplyChain,MATCH(D342,CNTR_IOProcAndPrec,0),),C347)=0,"",INDEX(CNTR_IOProcAndPrec,MATCH(C347,INDEX(CNTR_IOSupplyChain,MATCH(D342,CNTR_IOProcAndPrec,0),),0))))</f>
        <v/>
      </c>
      <c r="E347" s="1418"/>
      <c r="F347" s="265" t="str">
        <f t="shared" si="71"/>
        <v/>
      </c>
      <c r="G347" s="266" t="str">
        <f>IF(D347="","",INDEX(CNTR_Matrix_Inv,MATCH(D342,CNTR_IOProcAndPrec,0),MATCH(D347,CNTR_IOProcAndPrec,0)))</f>
        <v/>
      </c>
      <c r="H347" s="286" t="str">
        <f>IF(D347="","",IF(AG347,INDEX(E_PurchPrec!U:U,MATCH(CONST_PurchPrecDefaultUsed&amp;D347,E_PurchPrec!R:R,0)),CONST_NA))</f>
        <v/>
      </c>
      <c r="I347" s="266" t="str">
        <f>IF($D347="","",SUM($G347)*SUM(INDEX(InputOutput!$AJ$71:$AJ$100,MATCH($D347,InputOutput!$D$71:$D$100,0))))</f>
        <v/>
      </c>
      <c r="J347" s="266" t="str">
        <f>IF($D347="","",SUM($G347)*SUM(INDEX(InputOutput!$AL$71:$AL$100,MATCH($D347,InputOutput!$D$71:$D$100,0))))</f>
        <v/>
      </c>
      <c r="K347" s="266" t="str">
        <f t="shared" si="69"/>
        <v/>
      </c>
      <c r="L347" s="267" t="str">
        <f>IF(D347="","",SUM(I347)*SUM(AD345))</f>
        <v/>
      </c>
      <c r="M347" s="267" t="str">
        <f>IF(D347="","",SUM(J347)*SUM(AD345))</f>
        <v/>
      </c>
      <c r="N347" s="267" t="str">
        <f t="shared" si="70"/>
        <v/>
      </c>
      <c r="O347" s="267" t="str">
        <f>IF(AG347,INDEX(E_PurchPrec!U:U,MATCH(CONST_CNTR_ElecEFMethod&amp;D347,E_PurchPrec!R:R,0)),INDEX(D_Processes!T:T,MATCH(CONST_CNTR_ElecEFMethod&amp;D347,D_Processes!R:R,0)))</f>
        <v/>
      </c>
      <c r="P347" s="266" t="str">
        <f>IF($D347="","",SUM($G347)*SUM(INDEX(InputOutput!$AN$71:$AN$100,MATCH($D347,InputOutput!$D$71:$D$100,0))))</f>
        <v/>
      </c>
      <c r="Q347" s="673" t="str">
        <f>IF(D347="","",IF(AG347,INDEX(A_InstData!$F$102:$F$121,MATCH(D347,CNTR_List_ExistPurchPrecNames,0)),""))</f>
        <v/>
      </c>
      <c r="R347" s="678" t="str">
        <f>IF($D347="","",SUM($G347)*SUM(INDEX(F_Tools!$T$101:$T$130,MATCH($D347,F_Tools!$E$101:$E$130,0))))</f>
        <v/>
      </c>
      <c r="S347" s="669" t="str">
        <f>IF($D347="","",SUM($G347)*SUM(INDEX(F_Tools!$U$101:$U$130,MATCH($D347,F_Tools!$E$101:$E$130,0))))</f>
        <v/>
      </c>
      <c r="T347" s="428"/>
      <c r="Z347" s="123"/>
      <c r="AB347" s="268" t="str">
        <f>CONST_PrecursorToGoodInput &amp; D347 &amp; "_" &amp; D342</f>
        <v>PrecToGood__</v>
      </c>
      <c r="AD347" s="269">
        <f>SUMIF(D_Processes!R:R,AB347,D_Processes!K:K)</f>
        <v>0</v>
      </c>
      <c r="AE347" s="268">
        <f>SUMIF(D_Processes!R:R,CONST_CNTR_TotProd &amp; D347,D_Processes!L:L)</f>
        <v>0</v>
      </c>
      <c r="AG347" s="102" t="b">
        <f t="shared" si="72"/>
        <v>0</v>
      </c>
    </row>
    <row r="348" spans="1:41" ht="12.75" customHeight="1" x14ac:dyDescent="0.35">
      <c r="A348" s="92"/>
      <c r="B348" s="94"/>
      <c r="C348" s="978">
        <v>3</v>
      </c>
      <c r="D348" s="1417" t="str">
        <f>IF(D342="","",IF(COUNTIF(INDEX(CNTR_IOSupplyChain,MATCH(D342,CNTR_IOProcAndPrec,0),),C348)=0,"",INDEX(CNTR_IOProcAndPrec,MATCH(C348,INDEX(CNTR_IOSupplyChain,MATCH(D342,CNTR_IOProcAndPrec,0),),0))))</f>
        <v/>
      </c>
      <c r="E348" s="1418"/>
      <c r="F348" s="265" t="str">
        <f t="shared" si="71"/>
        <v/>
      </c>
      <c r="G348" s="266" t="str">
        <f>IF(D348="","",INDEX(CNTR_Matrix_Inv,MATCH(D342,CNTR_IOProcAndPrec,0),MATCH(D348,CNTR_IOProcAndPrec,0)))</f>
        <v/>
      </c>
      <c r="H348" s="286" t="str">
        <f>IF(D348="","",IF(AG348,INDEX(E_PurchPrec!U:U,MATCH(CONST_PurchPrecDefaultUsed&amp;D348,E_PurchPrec!R:R,0)),CONST_NA))</f>
        <v/>
      </c>
      <c r="I348" s="266" t="str">
        <f>IF($D348="","",SUM($G348)*SUM(INDEX(InputOutput!$AJ$71:$AJ$100,MATCH($D348,InputOutput!$D$71:$D$100,0))))</f>
        <v/>
      </c>
      <c r="J348" s="266" t="str">
        <f>IF($D348="","",SUM($G348)*SUM(INDEX(InputOutput!$AL$71:$AL$100,MATCH($D348,InputOutput!$D$71:$D$100,0))))</f>
        <v/>
      </c>
      <c r="K348" s="266" t="str">
        <f t="shared" si="69"/>
        <v/>
      </c>
      <c r="L348" s="267" t="str">
        <f>IF(D348="","",SUM(I348)*SUM(AD345))</f>
        <v/>
      </c>
      <c r="M348" s="267" t="str">
        <f>IF(D348="","",SUM(J348)*SUM(AD345))</f>
        <v/>
      </c>
      <c r="N348" s="267" t="str">
        <f t="shared" si="70"/>
        <v/>
      </c>
      <c r="O348" s="267" t="str">
        <f>IF(AG348,INDEX(E_PurchPrec!U:U,MATCH(CONST_CNTR_ElecEFMethod&amp;D348,E_PurchPrec!R:R,0)),INDEX(D_Processes!T:T,MATCH(CONST_CNTR_ElecEFMethod&amp;D348,D_Processes!R:R,0)))</f>
        <v/>
      </c>
      <c r="P348" s="266" t="str">
        <f>IF($D348="","",SUM($G348)*SUM(INDEX(InputOutput!$AN$71:$AN$100,MATCH($D348,InputOutput!$D$71:$D$100,0))))</f>
        <v/>
      </c>
      <c r="Q348" s="673" t="str">
        <f>IF(D348="","",IF(AG348,INDEX(A_InstData!$F$102:$F$121,MATCH(D348,CNTR_List_ExistPurchPrecNames,0)),""))</f>
        <v/>
      </c>
      <c r="R348" s="678" t="str">
        <f>IF($D348="","",SUM($G348)*SUM(INDEX(F_Tools!$T$101:$T$130,MATCH($D348,F_Tools!$E$101:$E$130,0))))</f>
        <v/>
      </c>
      <c r="S348" s="669" t="str">
        <f>IF($D348="","",SUM($G348)*SUM(INDEX(F_Tools!$U$101:$U$130,MATCH($D348,F_Tools!$E$101:$E$130,0))))</f>
        <v/>
      </c>
      <c r="T348" s="428"/>
      <c r="Z348" s="123"/>
      <c r="AB348" s="268" t="str">
        <f>CONST_PrecursorToGoodInput &amp; D348 &amp; "_" &amp; D342</f>
        <v>PrecToGood__</v>
      </c>
      <c r="AD348" s="269">
        <f>SUMIF(D_Processes!R:R,AB348,D_Processes!K:K)</f>
        <v>0</v>
      </c>
      <c r="AE348" s="268">
        <f>SUMIF(D_Processes!R:R,CONST_CNTR_TotProd &amp; D348,D_Processes!L:L)</f>
        <v>0</v>
      </c>
      <c r="AG348" s="102" t="b">
        <f t="shared" si="72"/>
        <v>0</v>
      </c>
    </row>
    <row r="349" spans="1:41" ht="12.75" customHeight="1" x14ac:dyDescent="0.35">
      <c r="A349" s="92"/>
      <c r="B349" s="94"/>
      <c r="C349" s="978">
        <v>4</v>
      </c>
      <c r="D349" s="1417" t="str">
        <f>IF(D342="","",IF(COUNTIF(INDEX(CNTR_IOSupplyChain,MATCH(D342,CNTR_IOProcAndPrec,0),),C349)=0,"",INDEX(CNTR_IOProcAndPrec,MATCH(C349,INDEX(CNTR_IOSupplyChain,MATCH(D342,CNTR_IOProcAndPrec,0),),0))))</f>
        <v/>
      </c>
      <c r="E349" s="1418"/>
      <c r="F349" s="265" t="str">
        <f t="shared" si="71"/>
        <v/>
      </c>
      <c r="G349" s="266" t="str">
        <f>IF(D349="","",INDEX(CNTR_Matrix_Inv,MATCH(D342,CNTR_IOProcAndPrec,0),MATCH(D349,CNTR_IOProcAndPrec,0)))</f>
        <v/>
      </c>
      <c r="H349" s="286" t="str">
        <f>IF(D349="","",IF(AG349,INDEX(E_PurchPrec!U:U,MATCH(CONST_PurchPrecDefaultUsed&amp;D349,E_PurchPrec!R:R,0)),CONST_NA))</f>
        <v/>
      </c>
      <c r="I349" s="266" t="str">
        <f>IF($D349="","",SUM($G349)*SUM(INDEX(InputOutput!$AJ$71:$AJ$100,MATCH($D349,InputOutput!$D$71:$D$100,0))))</f>
        <v/>
      </c>
      <c r="J349" s="266" t="str">
        <f>IF($D349="","",SUM($G349)*SUM(INDEX(InputOutput!$AL$71:$AL$100,MATCH($D349,InputOutput!$D$71:$D$100,0))))</f>
        <v/>
      </c>
      <c r="K349" s="266" t="str">
        <f t="shared" si="69"/>
        <v/>
      </c>
      <c r="L349" s="267" t="str">
        <f>IF(D349="","",SUM(I349)*SUM(AD345))</f>
        <v/>
      </c>
      <c r="M349" s="267" t="str">
        <f>IF(D349="","",SUM(J349)*SUM(AD345))</f>
        <v/>
      </c>
      <c r="N349" s="267" t="str">
        <f t="shared" si="70"/>
        <v/>
      </c>
      <c r="O349" s="267" t="str">
        <f>IF(AG349,INDEX(E_PurchPrec!U:U,MATCH(CONST_CNTR_ElecEFMethod&amp;D349,E_PurchPrec!R:R,0)),INDEX(D_Processes!T:T,MATCH(CONST_CNTR_ElecEFMethod&amp;D349,D_Processes!R:R,0)))</f>
        <v/>
      </c>
      <c r="P349" s="266" t="str">
        <f>IF($D349="","",SUM($G349)*SUM(INDEX(InputOutput!$AN$71:$AN$100,MATCH($D349,InputOutput!$D$71:$D$100,0))))</f>
        <v/>
      </c>
      <c r="Q349" s="673" t="str">
        <f>IF(D349="","",IF(AG349,INDEX(A_InstData!$F$102:$F$121,MATCH(D349,CNTR_List_ExistPurchPrecNames,0)),""))</f>
        <v/>
      </c>
      <c r="R349" s="678" t="str">
        <f>IF($D349="","",SUM($G349)*SUM(INDEX(F_Tools!$T$101:$T$130,MATCH($D349,F_Tools!$E$101:$E$130,0))))</f>
        <v/>
      </c>
      <c r="S349" s="669" t="str">
        <f>IF($D349="","",SUM($G349)*SUM(INDEX(F_Tools!$U$101:$U$130,MATCH($D349,F_Tools!$E$101:$E$130,0))))</f>
        <v/>
      </c>
      <c r="T349" s="428"/>
      <c r="Z349" s="123"/>
      <c r="AB349" s="268" t="str">
        <f>CONST_PrecursorToGoodInput &amp; D349 &amp; "_" &amp; D342</f>
        <v>PrecToGood__</v>
      </c>
      <c r="AD349" s="269">
        <f>SUMIF(D_Processes!R:R,AB349,D_Processes!K:K)</f>
        <v>0</v>
      </c>
      <c r="AE349" s="268">
        <f>SUMIF(D_Processes!R:R,CONST_CNTR_TotProd &amp; D349,D_Processes!L:L)</f>
        <v>0</v>
      </c>
      <c r="AG349" s="102" t="b">
        <f t="shared" si="72"/>
        <v>0</v>
      </c>
    </row>
    <row r="350" spans="1:41" ht="12.75" customHeight="1" x14ac:dyDescent="0.35">
      <c r="A350" s="92"/>
      <c r="B350" s="94"/>
      <c r="C350" s="978">
        <v>5</v>
      </c>
      <c r="D350" s="1417" t="str">
        <f>IF(D342="","",IF(COUNTIF(INDEX(CNTR_IOSupplyChain,MATCH(D342,CNTR_IOProcAndPrec,0),),C350)=0,"",INDEX(CNTR_IOProcAndPrec,MATCH(C350,INDEX(CNTR_IOSupplyChain,MATCH(D342,CNTR_IOProcAndPrec,0),),0))))</f>
        <v/>
      </c>
      <c r="E350" s="1418"/>
      <c r="F350" s="265" t="str">
        <f t="shared" si="71"/>
        <v/>
      </c>
      <c r="G350" s="266" t="str">
        <f>IF(D350="","",INDEX(CNTR_Matrix_Inv,MATCH(D342,CNTR_IOProcAndPrec,0),MATCH(D350,CNTR_IOProcAndPrec,0)))</f>
        <v/>
      </c>
      <c r="H350" s="286" t="str">
        <f>IF(D350="","",IF(AG350,INDEX(E_PurchPrec!U:U,MATCH(CONST_PurchPrecDefaultUsed&amp;D350,E_PurchPrec!R:R,0)),CONST_NA))</f>
        <v/>
      </c>
      <c r="I350" s="266" t="str">
        <f>IF($D350="","",SUM($G350)*SUM(INDEX(InputOutput!$AJ$71:$AJ$100,MATCH($D350,InputOutput!$D$71:$D$100,0))))</f>
        <v/>
      </c>
      <c r="J350" s="266" t="str">
        <f>IF($D350="","",SUM($G350)*SUM(INDEX(InputOutput!$AL$71:$AL$100,MATCH($D350,InputOutput!$D$71:$D$100,0))))</f>
        <v/>
      </c>
      <c r="K350" s="266" t="str">
        <f t="shared" si="69"/>
        <v/>
      </c>
      <c r="L350" s="267" t="str">
        <f>IF(D350="","",SUM(I350)*SUM(AD345))</f>
        <v/>
      </c>
      <c r="M350" s="267" t="str">
        <f>IF(D350="","",SUM(J350)*SUM(AD345))</f>
        <v/>
      </c>
      <c r="N350" s="267" t="str">
        <f t="shared" si="70"/>
        <v/>
      </c>
      <c r="O350" s="267" t="str">
        <f>IF(AG350,INDEX(E_PurchPrec!U:U,MATCH(CONST_CNTR_ElecEFMethod&amp;D350,E_PurchPrec!R:R,0)),INDEX(D_Processes!T:T,MATCH(CONST_CNTR_ElecEFMethod&amp;D350,D_Processes!R:R,0)))</f>
        <v/>
      </c>
      <c r="P350" s="266" t="str">
        <f>IF($D350="","",SUM($G350)*SUM(INDEX(InputOutput!$AN$71:$AN$100,MATCH($D350,InputOutput!$D$71:$D$100,0))))</f>
        <v/>
      </c>
      <c r="Q350" s="673" t="str">
        <f>IF(D350="","",IF(AG350,INDEX(A_InstData!$F$102:$F$121,MATCH(D350,CNTR_List_ExistPurchPrecNames,0)),""))</f>
        <v/>
      </c>
      <c r="R350" s="678" t="str">
        <f>IF($D350="","",SUM($G350)*SUM(INDEX(F_Tools!$T$101:$T$130,MATCH($D350,F_Tools!$E$101:$E$130,0))))</f>
        <v/>
      </c>
      <c r="S350" s="669" t="str">
        <f>IF($D350="","",SUM($G350)*SUM(INDEX(F_Tools!$U$101:$U$130,MATCH($D350,F_Tools!$E$101:$E$130,0))))</f>
        <v/>
      </c>
      <c r="T350" s="428"/>
      <c r="Z350" s="123"/>
      <c r="AB350" s="268" t="str">
        <f>CONST_PrecursorToGoodInput &amp; D350 &amp; "_" &amp; D342</f>
        <v>PrecToGood__</v>
      </c>
      <c r="AD350" s="269">
        <f>SUMIF(D_Processes!R:R,AB350,D_Processes!K:K)</f>
        <v>0</v>
      </c>
      <c r="AE350" s="268">
        <f>SUMIF(D_Processes!R:R,CONST_CNTR_TotProd &amp; D350,D_Processes!L:L)</f>
        <v>0</v>
      </c>
      <c r="AG350" s="102" t="b">
        <f t="shared" si="72"/>
        <v>0</v>
      </c>
    </row>
    <row r="351" spans="1:41" ht="12.75" customHeight="1" outlineLevel="1" x14ac:dyDescent="0.35">
      <c r="A351" s="92"/>
      <c r="B351" s="94"/>
      <c r="C351" s="978">
        <v>6</v>
      </c>
      <c r="D351" s="1417" t="str">
        <f>IF(D342="","",IF(COUNTIF(INDEX(CNTR_IOSupplyChain,MATCH(D342,CNTR_IOProcAndPrec,0),),C351)=0,"",INDEX(CNTR_IOProcAndPrec,MATCH(C351,INDEX(CNTR_IOSupplyChain,MATCH(D342,CNTR_IOProcAndPrec,0),),0))))</f>
        <v/>
      </c>
      <c r="E351" s="1418"/>
      <c r="F351" s="265" t="str">
        <f t="shared" si="71"/>
        <v/>
      </c>
      <c r="G351" s="266" t="str">
        <f>IF(D351="","",INDEX(CNTR_Matrix_Inv,MATCH(D342,CNTR_IOProcAndPrec,0),MATCH(D351,CNTR_IOProcAndPrec,0)))</f>
        <v/>
      </c>
      <c r="H351" s="286" t="str">
        <f>IF(D351="","",IF(AG351,INDEX(E_PurchPrec!U:U,MATCH(CONST_PurchPrecDefaultUsed&amp;D351,E_PurchPrec!R:R,0)),CONST_NA))</f>
        <v/>
      </c>
      <c r="I351" s="266" t="str">
        <f>IF($D351="","",SUM($G351)*SUM(INDEX(InputOutput!$AJ$71:$AJ$100,MATCH($D351,InputOutput!$D$71:$D$100,0))))</f>
        <v/>
      </c>
      <c r="J351" s="266" t="str">
        <f>IF($D351="","",SUM($G351)*SUM(INDEX(InputOutput!$AL$71:$AL$100,MATCH($D351,InputOutput!$D$71:$D$100,0))))</f>
        <v/>
      </c>
      <c r="K351" s="266" t="str">
        <f t="shared" si="69"/>
        <v/>
      </c>
      <c r="L351" s="267" t="str">
        <f>IF(D351="","",SUM(I351)*SUM(AD345))</f>
        <v/>
      </c>
      <c r="M351" s="267" t="str">
        <f>IF(D351="","",SUM(J351)*SUM(AD345))</f>
        <v/>
      </c>
      <c r="N351" s="267" t="str">
        <f t="shared" si="70"/>
        <v/>
      </c>
      <c r="O351" s="267" t="str">
        <f>IF(AG351,INDEX(E_PurchPrec!U:U,MATCH(CONST_CNTR_ElecEFMethod&amp;D351,E_PurchPrec!R:R,0)),INDEX(D_Processes!T:T,MATCH(CONST_CNTR_ElecEFMethod&amp;D351,D_Processes!R:R,0)))</f>
        <v/>
      </c>
      <c r="P351" s="266" t="str">
        <f>IF($D351="","",SUM($G351)*SUM(INDEX(InputOutput!$AN$71:$AN$100,MATCH($D351,InputOutput!$D$71:$D$100,0))))</f>
        <v/>
      </c>
      <c r="Q351" s="673" t="str">
        <f>IF(D351="","",IF(AG351,INDEX(A_InstData!$F$102:$F$121,MATCH(D351,CNTR_List_ExistPurchPrecNames,0)),""))</f>
        <v/>
      </c>
      <c r="R351" s="678" t="str">
        <f>IF($D351="","",SUM($G351)*SUM(INDEX(F_Tools!$T$101:$T$130,MATCH($D351,F_Tools!$E$101:$E$130,0))))</f>
        <v/>
      </c>
      <c r="S351" s="669" t="str">
        <f>IF($D351="","",SUM($G351)*SUM(INDEX(F_Tools!$U$101:$U$130,MATCH($D351,F_Tools!$E$101:$E$130,0))))</f>
        <v/>
      </c>
      <c r="T351" s="428"/>
      <c r="Z351" s="123"/>
      <c r="AB351" s="268" t="str">
        <f>CONST_PrecursorToGoodInput &amp; D351 &amp; "_" &amp; D342</f>
        <v>PrecToGood__</v>
      </c>
      <c r="AD351" s="269">
        <f>SUMIF(D_Processes!R:R,AB351,D_Processes!K:K)</f>
        <v>0</v>
      </c>
      <c r="AE351" s="268">
        <f>SUMIF(D_Processes!R:R,CONST_CNTR_TotProd &amp; D351,D_Processes!L:L)</f>
        <v>0</v>
      </c>
      <c r="AG351" s="102" t="b">
        <f t="shared" si="72"/>
        <v>0</v>
      </c>
    </row>
    <row r="352" spans="1:41" ht="12.75" customHeight="1" outlineLevel="1" x14ac:dyDescent="0.35">
      <c r="A352" s="92"/>
      <c r="B352" s="94"/>
      <c r="C352" s="978">
        <v>7</v>
      </c>
      <c r="D352" s="1417" t="str">
        <f>IF(D342="","",IF(COUNTIF(INDEX(CNTR_IOSupplyChain,MATCH(D342,CNTR_IOProcAndPrec,0),),C352)=0,"",INDEX(CNTR_IOProcAndPrec,MATCH(C352,INDEX(CNTR_IOSupplyChain,MATCH(D342,CNTR_IOProcAndPrec,0),),0))))</f>
        <v/>
      </c>
      <c r="E352" s="1418"/>
      <c r="F352" s="265" t="str">
        <f t="shared" si="71"/>
        <v/>
      </c>
      <c r="G352" s="266" t="str">
        <f>IF(D352="","",INDEX(CNTR_Matrix_Inv,MATCH(D342,CNTR_IOProcAndPrec,0),MATCH(D352,CNTR_IOProcAndPrec,0)))</f>
        <v/>
      </c>
      <c r="H352" s="286" t="str">
        <f>IF(D352="","",IF(AG352,INDEX(E_PurchPrec!U:U,MATCH(CONST_PurchPrecDefaultUsed&amp;D352,E_PurchPrec!R:R,0)),CONST_NA))</f>
        <v/>
      </c>
      <c r="I352" s="266" t="str">
        <f>IF($D352="","",SUM($G352)*SUM(INDEX(InputOutput!$AJ$71:$AJ$100,MATCH($D352,InputOutput!$D$71:$D$100,0))))</f>
        <v/>
      </c>
      <c r="J352" s="266" t="str">
        <f>IF($D352="","",SUM($G352)*SUM(INDEX(InputOutput!$AL$71:$AL$100,MATCH($D352,InputOutput!$D$71:$D$100,0))))</f>
        <v/>
      </c>
      <c r="K352" s="266" t="str">
        <f t="shared" si="69"/>
        <v/>
      </c>
      <c r="L352" s="267" t="str">
        <f>IF(D352="","",SUM(I352)*SUM(AD345))</f>
        <v/>
      </c>
      <c r="M352" s="267" t="str">
        <f>IF(D352="","",SUM(J352)*SUM(AD345))</f>
        <v/>
      </c>
      <c r="N352" s="267" t="str">
        <f t="shared" si="70"/>
        <v/>
      </c>
      <c r="O352" s="267" t="str">
        <f>IF(AG352,INDEX(E_PurchPrec!U:U,MATCH(CONST_CNTR_ElecEFMethod&amp;D352,E_PurchPrec!R:R,0)),INDEX(D_Processes!T:T,MATCH(CONST_CNTR_ElecEFMethod&amp;D352,D_Processes!R:R,0)))</f>
        <v/>
      </c>
      <c r="P352" s="266" t="str">
        <f>IF($D352="","",SUM($G352)*SUM(INDEX(InputOutput!$AN$71:$AN$100,MATCH($D352,InputOutput!$D$71:$D$100,0))))</f>
        <v/>
      </c>
      <c r="Q352" s="673" t="str">
        <f>IF(D352="","",IF(AG352,INDEX(A_InstData!$F$102:$F$121,MATCH(D352,CNTR_List_ExistPurchPrecNames,0)),""))</f>
        <v/>
      </c>
      <c r="R352" s="678" t="str">
        <f>IF($D352="","",SUM($G352)*SUM(INDEX(F_Tools!$T$101:$T$130,MATCH($D352,F_Tools!$E$101:$E$130,0))))</f>
        <v/>
      </c>
      <c r="S352" s="669" t="str">
        <f>IF($D352="","",SUM($G352)*SUM(INDEX(F_Tools!$U$101:$U$130,MATCH($D352,F_Tools!$E$101:$E$130,0))))</f>
        <v/>
      </c>
      <c r="T352" s="428"/>
      <c r="Z352" s="123"/>
      <c r="AB352" s="268" t="str">
        <f>CONST_PrecursorToGoodInput &amp; D352 &amp; "_" &amp; D342</f>
        <v>PrecToGood__</v>
      </c>
      <c r="AD352" s="269">
        <f>SUMIF(D_Processes!R:R,AB352,D_Processes!K:K)</f>
        <v>0</v>
      </c>
      <c r="AE352" s="268">
        <f>SUMIF(D_Processes!R:R,CONST_CNTR_TotProd &amp; D352,D_Processes!L:L)</f>
        <v>0</v>
      </c>
      <c r="AG352" s="102" t="b">
        <f t="shared" si="72"/>
        <v>0</v>
      </c>
    </row>
    <row r="353" spans="1:33" ht="12.75" customHeight="1" outlineLevel="1" x14ac:dyDescent="0.35">
      <c r="A353" s="92"/>
      <c r="B353" s="94"/>
      <c r="C353" s="978">
        <v>8</v>
      </c>
      <c r="D353" s="1417" t="str">
        <f>IF(D342="","",IF(COUNTIF(INDEX(CNTR_IOSupplyChain,MATCH(D342,CNTR_IOProcAndPrec,0),),C353)=0,"",INDEX(CNTR_IOProcAndPrec,MATCH(C353,INDEX(CNTR_IOSupplyChain,MATCH(D342,CNTR_IOProcAndPrec,0),),0))))</f>
        <v/>
      </c>
      <c r="E353" s="1418"/>
      <c r="F353" s="265" t="str">
        <f t="shared" si="71"/>
        <v/>
      </c>
      <c r="G353" s="266" t="str">
        <f>IF(D353="","",INDEX(CNTR_Matrix_Inv,MATCH(D342,CNTR_IOProcAndPrec,0),MATCH(D353,CNTR_IOProcAndPrec,0)))</f>
        <v/>
      </c>
      <c r="H353" s="286" t="str">
        <f>IF(D353="","",IF(AG353,INDEX(E_PurchPrec!U:U,MATCH(CONST_PurchPrecDefaultUsed&amp;D353,E_PurchPrec!R:R,0)),CONST_NA))</f>
        <v/>
      </c>
      <c r="I353" s="266" t="str">
        <f>IF($D353="","",SUM($G353)*SUM(INDEX(InputOutput!$AJ$71:$AJ$100,MATCH($D353,InputOutput!$D$71:$D$100,0))))</f>
        <v/>
      </c>
      <c r="J353" s="266" t="str">
        <f>IF($D353="","",SUM($G353)*SUM(INDEX(InputOutput!$AL$71:$AL$100,MATCH($D353,InputOutput!$D$71:$D$100,0))))</f>
        <v/>
      </c>
      <c r="K353" s="266" t="str">
        <f t="shared" si="69"/>
        <v/>
      </c>
      <c r="L353" s="267" t="str">
        <f>IF(D353="","",SUM(I353)*SUM(AD345))</f>
        <v/>
      </c>
      <c r="M353" s="267" t="str">
        <f>IF(D353="","",SUM(J353)*SUM(AD345))</f>
        <v/>
      </c>
      <c r="N353" s="267" t="str">
        <f t="shared" si="70"/>
        <v/>
      </c>
      <c r="O353" s="267" t="str">
        <f>IF(AG353,INDEX(E_PurchPrec!U:U,MATCH(CONST_CNTR_ElecEFMethod&amp;D353,E_PurchPrec!R:R,0)),INDEX(D_Processes!T:T,MATCH(CONST_CNTR_ElecEFMethod&amp;D353,D_Processes!R:R,0)))</f>
        <v/>
      </c>
      <c r="P353" s="266" t="str">
        <f>IF($D353="","",SUM($G353)*SUM(INDEX(InputOutput!$AN$71:$AN$100,MATCH($D353,InputOutput!$D$71:$D$100,0))))</f>
        <v/>
      </c>
      <c r="Q353" s="673" t="str">
        <f>IF(D353="","",IF(AG353,INDEX(A_InstData!$F$102:$F$121,MATCH(D353,CNTR_List_ExistPurchPrecNames,0)),""))</f>
        <v/>
      </c>
      <c r="R353" s="678" t="str">
        <f>IF($D353="","",SUM($G353)*SUM(INDEX(F_Tools!$T$101:$T$130,MATCH($D353,F_Tools!$E$101:$E$130,0))))</f>
        <v/>
      </c>
      <c r="S353" s="669" t="str">
        <f>IF($D353="","",SUM($G353)*SUM(INDEX(F_Tools!$U$101:$U$130,MATCH($D353,F_Tools!$E$101:$E$130,0))))</f>
        <v/>
      </c>
      <c r="T353" s="428"/>
      <c r="Z353" s="123"/>
      <c r="AB353" s="268" t="str">
        <f>CONST_PrecursorToGoodInput &amp; D353 &amp; "_" &amp; D342</f>
        <v>PrecToGood__</v>
      </c>
      <c r="AD353" s="269">
        <f>SUMIF(D_Processes!R:R,AB353,D_Processes!K:K)</f>
        <v>0</v>
      </c>
      <c r="AE353" s="268">
        <f>SUMIF(D_Processes!R:R,CONST_CNTR_TotProd &amp; D353,D_Processes!L:L)</f>
        <v>0</v>
      </c>
      <c r="AG353" s="102" t="b">
        <f t="shared" si="72"/>
        <v>0</v>
      </c>
    </row>
    <row r="354" spans="1:33" ht="12.75" customHeight="1" outlineLevel="1" x14ac:dyDescent="0.35">
      <c r="A354" s="92"/>
      <c r="B354" s="94"/>
      <c r="C354" s="978">
        <v>9</v>
      </c>
      <c r="D354" s="1417" t="str">
        <f>IF(D342="","",IF(COUNTIF(INDEX(CNTR_IOSupplyChain,MATCH(D342,CNTR_IOProcAndPrec,0),),C354)=0,"",INDEX(CNTR_IOProcAndPrec,MATCH(C354,INDEX(CNTR_IOSupplyChain,MATCH(D342,CNTR_IOProcAndPrec,0),),0))))</f>
        <v/>
      </c>
      <c r="E354" s="1418"/>
      <c r="F354" s="265" t="str">
        <f t="shared" si="71"/>
        <v/>
      </c>
      <c r="G354" s="266" t="str">
        <f>IF(D354="","",INDEX(CNTR_Matrix_Inv,MATCH(D342,CNTR_IOProcAndPrec,0),MATCH(D354,CNTR_IOProcAndPrec,0)))</f>
        <v/>
      </c>
      <c r="H354" s="286" t="str">
        <f>IF(D354="","",IF(AG354,INDEX(E_PurchPrec!U:U,MATCH(CONST_PurchPrecDefaultUsed&amp;D354,E_PurchPrec!R:R,0)),CONST_NA))</f>
        <v/>
      </c>
      <c r="I354" s="266" t="str">
        <f>IF($D354="","",SUM($G354)*SUM(INDEX(InputOutput!$AJ$71:$AJ$100,MATCH($D354,InputOutput!$D$71:$D$100,0))))</f>
        <v/>
      </c>
      <c r="J354" s="266" t="str">
        <f>IF($D354="","",SUM($G354)*SUM(INDEX(InputOutput!$AL$71:$AL$100,MATCH($D354,InputOutput!$D$71:$D$100,0))))</f>
        <v/>
      </c>
      <c r="K354" s="266" t="str">
        <f t="shared" si="69"/>
        <v/>
      </c>
      <c r="L354" s="267" t="str">
        <f>IF(D354="","",SUM(I354)*SUM(AD345))</f>
        <v/>
      </c>
      <c r="M354" s="267" t="str">
        <f>IF(D354="","",SUM(J354)*SUM(AD345))</f>
        <v/>
      </c>
      <c r="N354" s="267" t="str">
        <f t="shared" si="70"/>
        <v/>
      </c>
      <c r="O354" s="267" t="str">
        <f>IF(AG354,INDEX(E_PurchPrec!U:U,MATCH(CONST_CNTR_ElecEFMethod&amp;D354,E_PurchPrec!R:R,0)),INDEX(D_Processes!T:T,MATCH(CONST_CNTR_ElecEFMethod&amp;D354,D_Processes!R:R,0)))</f>
        <v/>
      </c>
      <c r="P354" s="266" t="str">
        <f>IF($D354="","",SUM($G354)*SUM(INDEX(InputOutput!$AN$71:$AN$100,MATCH($D354,InputOutput!$D$71:$D$100,0))))</f>
        <v/>
      </c>
      <c r="Q354" s="673" t="str">
        <f>IF(D354="","",IF(AG354,INDEX(A_InstData!$F$102:$F$121,MATCH(D354,CNTR_List_ExistPurchPrecNames,0)),""))</f>
        <v/>
      </c>
      <c r="R354" s="678" t="str">
        <f>IF($D354="","",SUM($G354)*SUM(INDEX(F_Tools!$T$101:$T$130,MATCH($D354,F_Tools!$E$101:$E$130,0))))</f>
        <v/>
      </c>
      <c r="S354" s="669" t="str">
        <f>IF($D354="","",SUM($G354)*SUM(INDEX(F_Tools!$U$101:$U$130,MATCH($D354,F_Tools!$E$101:$E$130,0))))</f>
        <v/>
      </c>
      <c r="T354" s="428"/>
      <c r="Z354" s="123"/>
      <c r="AB354" s="268" t="str">
        <f>CONST_PrecursorToGoodInput &amp; D354 &amp; "_" &amp; D342</f>
        <v>PrecToGood__</v>
      </c>
      <c r="AD354" s="269">
        <f>SUMIF(D_Processes!R:R,AB354,D_Processes!K:K)</f>
        <v>0</v>
      </c>
      <c r="AE354" s="268">
        <f>SUMIF(D_Processes!R:R,CONST_CNTR_TotProd &amp; D354,D_Processes!L:L)</f>
        <v>0</v>
      </c>
      <c r="AG354" s="102" t="b">
        <f t="shared" si="72"/>
        <v>0</v>
      </c>
    </row>
    <row r="355" spans="1:33" ht="12.75" customHeight="1" outlineLevel="1" x14ac:dyDescent="0.35">
      <c r="A355" s="92"/>
      <c r="B355" s="94"/>
      <c r="C355" s="978">
        <v>10</v>
      </c>
      <c r="D355" s="1417" t="str">
        <f>IF(D342="","",IF(COUNTIF(INDEX(CNTR_IOSupplyChain,MATCH(D342,CNTR_IOProcAndPrec,0),),C355)=0,"",INDEX(CNTR_IOProcAndPrec,MATCH(C355,INDEX(CNTR_IOSupplyChain,MATCH(D342,CNTR_IOProcAndPrec,0),),0))))</f>
        <v/>
      </c>
      <c r="E355" s="1418"/>
      <c r="F355" s="265" t="str">
        <f t="shared" si="71"/>
        <v/>
      </c>
      <c r="G355" s="266" t="str">
        <f>IF(D355="","",INDEX(CNTR_Matrix_Inv,MATCH(D342,CNTR_IOProcAndPrec,0),MATCH(D355,CNTR_IOProcAndPrec,0)))</f>
        <v/>
      </c>
      <c r="H355" s="286" t="str">
        <f>IF(D355="","",IF(AG355,INDEX(E_PurchPrec!U:U,MATCH(CONST_PurchPrecDefaultUsed&amp;D355,E_PurchPrec!R:R,0)),CONST_NA))</f>
        <v/>
      </c>
      <c r="I355" s="266" t="str">
        <f>IF($D355="","",SUM($G355)*SUM(INDEX(InputOutput!$AJ$71:$AJ$100,MATCH($D355,InputOutput!$D$71:$D$100,0))))</f>
        <v/>
      </c>
      <c r="J355" s="266" t="str">
        <f>IF($D355="","",SUM($G355)*SUM(INDEX(InputOutput!$AL$71:$AL$100,MATCH($D355,InputOutput!$D$71:$D$100,0))))</f>
        <v/>
      </c>
      <c r="K355" s="266" t="str">
        <f t="shared" si="69"/>
        <v/>
      </c>
      <c r="L355" s="267" t="str">
        <f>IF(D355="","",SUM(I355)*SUM(AD345))</f>
        <v/>
      </c>
      <c r="M355" s="267" t="str">
        <f>IF(D355="","",SUM(J355)*SUM(AD345))</f>
        <v/>
      </c>
      <c r="N355" s="267" t="str">
        <f t="shared" si="70"/>
        <v/>
      </c>
      <c r="O355" s="267" t="str">
        <f>IF(AG355,INDEX(E_PurchPrec!U:U,MATCH(CONST_CNTR_ElecEFMethod&amp;D355,E_PurchPrec!R:R,0)),INDEX(D_Processes!T:T,MATCH(CONST_CNTR_ElecEFMethod&amp;D355,D_Processes!R:R,0)))</f>
        <v/>
      </c>
      <c r="P355" s="266" t="str">
        <f>IF($D355="","",SUM($G355)*SUM(INDEX(InputOutput!$AN$71:$AN$100,MATCH($D355,InputOutput!$D$71:$D$100,0))))</f>
        <v/>
      </c>
      <c r="Q355" s="673" t="str">
        <f>IF(D355="","",IF(AG355,INDEX(A_InstData!$F$102:$F$121,MATCH(D355,CNTR_List_ExistPurchPrecNames,0)),""))</f>
        <v/>
      </c>
      <c r="R355" s="678" t="str">
        <f>IF($D355="","",SUM($G355)*SUM(INDEX(F_Tools!$T$101:$T$130,MATCH($D355,F_Tools!$E$101:$E$130,0))))</f>
        <v/>
      </c>
      <c r="S355" s="669" t="str">
        <f>IF($D355="","",SUM($G355)*SUM(INDEX(F_Tools!$U$101:$U$130,MATCH($D355,F_Tools!$E$101:$E$130,0))))</f>
        <v/>
      </c>
      <c r="T355" s="428"/>
      <c r="Z355" s="123"/>
      <c r="AB355" s="268" t="str">
        <f>CONST_PrecursorToGoodInput &amp; D355 &amp; "_" &amp; D342</f>
        <v>PrecToGood__</v>
      </c>
      <c r="AD355" s="269">
        <f>SUMIF(D_Processes!R:R,AB355,D_Processes!K:K)</f>
        <v>0</v>
      </c>
      <c r="AE355" s="268">
        <f>SUMIF(D_Processes!R:R,CONST_CNTR_TotProd &amp; D355,D_Processes!L:L)</f>
        <v>0</v>
      </c>
      <c r="AG355" s="102" t="b">
        <f t="shared" si="72"/>
        <v>0</v>
      </c>
    </row>
    <row r="356" spans="1:33" ht="12.75" customHeight="1" outlineLevel="1" x14ac:dyDescent="0.35">
      <c r="A356" s="92"/>
      <c r="B356" s="94"/>
      <c r="C356" s="978">
        <v>11</v>
      </c>
      <c r="D356" s="1417" t="str">
        <f>IF(D342="","",IF(COUNTIF(INDEX(CNTR_IOSupplyChain,MATCH(D342,CNTR_IOProcAndPrec,0),),C356)=0,"",INDEX(CNTR_IOProcAndPrec,MATCH(C356,INDEX(CNTR_IOSupplyChain,MATCH(D342,CNTR_IOProcAndPrec,0),),0))))</f>
        <v/>
      </c>
      <c r="E356" s="1418"/>
      <c r="F356" s="265" t="str">
        <f t="shared" si="71"/>
        <v/>
      </c>
      <c r="G356" s="266" t="str">
        <f>IF(D356="","",INDEX(CNTR_Matrix_Inv,MATCH(D342,CNTR_IOProcAndPrec,0),MATCH(D356,CNTR_IOProcAndPrec,0)))</f>
        <v/>
      </c>
      <c r="H356" s="286" t="str">
        <f>IF(D356="","",IF(AG356,INDEX(E_PurchPrec!U:U,MATCH(CONST_PurchPrecDefaultUsed&amp;D356,E_PurchPrec!R:R,0)),CONST_NA))</f>
        <v/>
      </c>
      <c r="I356" s="266" t="str">
        <f>IF($D356="","",SUM($G356)*SUM(INDEX(InputOutput!$AJ$71:$AJ$100,MATCH($D356,InputOutput!$D$71:$D$100,0))))</f>
        <v/>
      </c>
      <c r="J356" s="266" t="str">
        <f>IF($D356="","",SUM($G356)*SUM(INDEX(InputOutput!$AL$71:$AL$100,MATCH($D356,InputOutput!$D$71:$D$100,0))))</f>
        <v/>
      </c>
      <c r="K356" s="266" t="str">
        <f t="shared" si="69"/>
        <v/>
      </c>
      <c r="L356" s="267" t="str">
        <f>IF(D356="","",SUM(I356)*SUM(AD345))</f>
        <v/>
      </c>
      <c r="M356" s="267" t="str">
        <f>IF(D356="","",SUM(J356)*SUM(AD345))</f>
        <v/>
      </c>
      <c r="N356" s="267" t="str">
        <f t="shared" si="70"/>
        <v/>
      </c>
      <c r="O356" s="267" t="str">
        <f>IF(AG356,INDEX(E_PurchPrec!U:U,MATCH(CONST_CNTR_ElecEFMethod&amp;D356,E_PurchPrec!R:R,0)),INDEX(D_Processes!T:T,MATCH(CONST_CNTR_ElecEFMethod&amp;D356,D_Processes!R:R,0)))</f>
        <v/>
      </c>
      <c r="P356" s="266" t="str">
        <f>IF($D356="","",SUM($G356)*SUM(INDEX(InputOutput!$AN$71:$AN$100,MATCH($D356,InputOutput!$D$71:$D$100,0))))</f>
        <v/>
      </c>
      <c r="Q356" s="673" t="str">
        <f>IF(D356="","",IF(AG356,INDEX(A_InstData!$F$102:$F$121,MATCH(D356,CNTR_List_ExistPurchPrecNames,0)),""))</f>
        <v/>
      </c>
      <c r="R356" s="678" t="str">
        <f>IF($D356="","",SUM($G356)*SUM(INDEX(F_Tools!$T$101:$T$130,MATCH($D356,F_Tools!$E$101:$E$130,0))))</f>
        <v/>
      </c>
      <c r="S356" s="669" t="str">
        <f>IF($D356="","",SUM($G356)*SUM(INDEX(F_Tools!$U$101:$U$130,MATCH($D356,F_Tools!$E$101:$E$130,0))))</f>
        <v/>
      </c>
      <c r="T356" s="428"/>
      <c r="Z356" s="123"/>
      <c r="AB356" s="268" t="str">
        <f>CONST_PrecursorToGoodInput &amp; D356 &amp; "_" &amp; D342</f>
        <v>PrecToGood__</v>
      </c>
      <c r="AD356" s="269">
        <f>SUMIF(D_Processes!R:R,AB356,D_Processes!K:K)</f>
        <v>0</v>
      </c>
      <c r="AE356" s="268">
        <f>SUMIF(D_Processes!R:R,CONST_CNTR_TotProd &amp; D356,D_Processes!L:L)</f>
        <v>0</v>
      </c>
      <c r="AG356" s="102" t="b">
        <f t="shared" si="72"/>
        <v>0</v>
      </c>
    </row>
    <row r="357" spans="1:33" ht="12.75" customHeight="1" outlineLevel="1" x14ac:dyDescent="0.35">
      <c r="A357" s="92"/>
      <c r="B357" s="94"/>
      <c r="C357" s="978">
        <v>12</v>
      </c>
      <c r="D357" s="1417" t="str">
        <f>IF(D342="","",IF(COUNTIF(INDEX(CNTR_IOSupplyChain,MATCH(D342,CNTR_IOProcAndPrec,0),),C357)=0,"",INDEX(CNTR_IOProcAndPrec,MATCH(C357,INDEX(CNTR_IOSupplyChain,MATCH(D342,CNTR_IOProcAndPrec,0),),0))))</f>
        <v/>
      </c>
      <c r="E357" s="1418"/>
      <c r="F357" s="265" t="str">
        <f t="shared" si="71"/>
        <v/>
      </c>
      <c r="G357" s="266" t="str">
        <f>IF(D357="","",INDEX(CNTR_Matrix_Inv,MATCH(D342,CNTR_IOProcAndPrec,0),MATCH(D357,CNTR_IOProcAndPrec,0)))</f>
        <v/>
      </c>
      <c r="H357" s="286" t="str">
        <f>IF(D357="","",IF(AG357,INDEX(E_PurchPrec!U:U,MATCH(CONST_PurchPrecDefaultUsed&amp;D357,E_PurchPrec!R:R,0)),CONST_NA))</f>
        <v/>
      </c>
      <c r="I357" s="266" t="str">
        <f>IF($D357="","",SUM($G357)*SUM(INDEX(InputOutput!$AJ$71:$AJ$100,MATCH($D357,InputOutput!$D$71:$D$100,0))))</f>
        <v/>
      </c>
      <c r="J357" s="266" t="str">
        <f>IF($D357="","",SUM($G357)*SUM(INDEX(InputOutput!$AL$71:$AL$100,MATCH($D357,InputOutput!$D$71:$D$100,0))))</f>
        <v/>
      </c>
      <c r="K357" s="266" t="str">
        <f t="shared" si="69"/>
        <v/>
      </c>
      <c r="L357" s="267" t="str">
        <f>IF(D357="","",SUM(I357)*SUM(AD345))</f>
        <v/>
      </c>
      <c r="M357" s="267" t="str">
        <f>IF(D357="","",SUM(J357)*SUM(AD345))</f>
        <v/>
      </c>
      <c r="N357" s="267" t="str">
        <f t="shared" si="70"/>
        <v/>
      </c>
      <c r="O357" s="267" t="str">
        <f>IF(AG357,INDEX(E_PurchPrec!U:U,MATCH(CONST_CNTR_ElecEFMethod&amp;D357,E_PurchPrec!R:R,0)),INDEX(D_Processes!T:T,MATCH(CONST_CNTR_ElecEFMethod&amp;D357,D_Processes!R:R,0)))</f>
        <v/>
      </c>
      <c r="P357" s="266" t="str">
        <f>IF($D357="","",SUM($G357)*SUM(INDEX(InputOutput!$AN$71:$AN$100,MATCH($D357,InputOutput!$D$71:$D$100,0))))</f>
        <v/>
      </c>
      <c r="Q357" s="673" t="str">
        <f>IF(D357="","",IF(AG357,INDEX(A_InstData!$F$102:$F$121,MATCH(D357,CNTR_List_ExistPurchPrecNames,0)),""))</f>
        <v/>
      </c>
      <c r="R357" s="678" t="str">
        <f>IF($D357="","",SUM($G357)*SUM(INDEX(F_Tools!$T$101:$T$130,MATCH($D357,F_Tools!$E$101:$E$130,0))))</f>
        <v/>
      </c>
      <c r="S357" s="669" t="str">
        <f>IF($D357="","",SUM($G357)*SUM(INDEX(F_Tools!$U$101:$U$130,MATCH($D357,F_Tools!$E$101:$E$130,0))))</f>
        <v/>
      </c>
      <c r="T357" s="428"/>
      <c r="Z357" s="123"/>
      <c r="AB357" s="268" t="str">
        <f>CONST_PrecursorToGoodInput &amp; D357 &amp; "_" &amp; D342</f>
        <v>PrecToGood__</v>
      </c>
      <c r="AD357" s="269">
        <f>SUMIF(D_Processes!R:R,AB357,D_Processes!K:K)</f>
        <v>0</v>
      </c>
      <c r="AE357" s="268">
        <f>SUMIF(D_Processes!R:R,CONST_CNTR_TotProd &amp; D357,D_Processes!L:L)</f>
        <v>0</v>
      </c>
      <c r="AG357" s="102" t="b">
        <f t="shared" si="72"/>
        <v>0</v>
      </c>
    </row>
    <row r="358" spans="1:33" ht="12.75" customHeight="1" outlineLevel="1" x14ac:dyDescent="0.35">
      <c r="A358" s="92"/>
      <c r="B358" s="94"/>
      <c r="C358" s="978">
        <v>13</v>
      </c>
      <c r="D358" s="1417" t="str">
        <f>IF(D342="","",IF(COUNTIF(INDEX(CNTR_IOSupplyChain,MATCH(D342,CNTR_IOProcAndPrec,0),),C358)=0,"",INDEX(CNTR_IOProcAndPrec,MATCH(C358,INDEX(CNTR_IOSupplyChain,MATCH(D342,CNTR_IOProcAndPrec,0),),0))))</f>
        <v/>
      </c>
      <c r="E358" s="1418"/>
      <c r="F358" s="265" t="str">
        <f t="shared" si="71"/>
        <v/>
      </c>
      <c r="G358" s="266" t="str">
        <f>IF(D358="","",INDEX(CNTR_Matrix_Inv,MATCH(D342,CNTR_IOProcAndPrec,0),MATCH(D358,CNTR_IOProcAndPrec,0)))</f>
        <v/>
      </c>
      <c r="H358" s="286" t="str">
        <f>IF(D358="","",IF(AG358,INDEX(E_PurchPrec!U:U,MATCH(CONST_PurchPrecDefaultUsed&amp;D358,E_PurchPrec!R:R,0)),CONST_NA))</f>
        <v/>
      </c>
      <c r="I358" s="266" t="str">
        <f>IF($D358="","",SUM($G358)*SUM(INDEX(InputOutput!$AJ$71:$AJ$100,MATCH($D358,InputOutput!$D$71:$D$100,0))))</f>
        <v/>
      </c>
      <c r="J358" s="266" t="str">
        <f>IF($D358="","",SUM($G358)*SUM(INDEX(InputOutput!$AL$71:$AL$100,MATCH($D358,InputOutput!$D$71:$D$100,0))))</f>
        <v/>
      </c>
      <c r="K358" s="266" t="str">
        <f t="shared" si="69"/>
        <v/>
      </c>
      <c r="L358" s="267" t="str">
        <f>IF(D358="","",SUM(I358)*SUM(AD345))</f>
        <v/>
      </c>
      <c r="M358" s="267" t="str">
        <f>IF(D358="","",SUM(J358)*SUM(AD345))</f>
        <v/>
      </c>
      <c r="N358" s="267" t="str">
        <f t="shared" si="70"/>
        <v/>
      </c>
      <c r="O358" s="267" t="str">
        <f>IF(AG358,INDEX(E_PurchPrec!U:U,MATCH(CONST_CNTR_ElecEFMethod&amp;D358,E_PurchPrec!R:R,0)),INDEX(D_Processes!T:T,MATCH(CONST_CNTR_ElecEFMethod&amp;D358,D_Processes!R:R,0)))</f>
        <v/>
      </c>
      <c r="P358" s="266" t="str">
        <f>IF($D358="","",SUM($G358)*SUM(INDEX(InputOutput!$AN$71:$AN$100,MATCH($D358,InputOutput!$D$71:$D$100,0))))</f>
        <v/>
      </c>
      <c r="Q358" s="673" t="str">
        <f>IF(D358="","",IF(AG358,INDEX(A_InstData!$F$102:$F$121,MATCH(D358,CNTR_List_ExistPurchPrecNames,0)),""))</f>
        <v/>
      </c>
      <c r="R358" s="678" t="str">
        <f>IF($D358="","",SUM($G358)*SUM(INDEX(F_Tools!$T$101:$T$130,MATCH($D358,F_Tools!$E$101:$E$130,0))))</f>
        <v/>
      </c>
      <c r="S358" s="669" t="str">
        <f>IF($D358="","",SUM($G358)*SUM(INDEX(F_Tools!$U$101:$U$130,MATCH($D358,F_Tools!$E$101:$E$130,0))))</f>
        <v/>
      </c>
      <c r="T358" s="428"/>
      <c r="Z358" s="123"/>
      <c r="AB358" s="268" t="str">
        <f>CONST_PrecursorToGoodInput &amp; D358 &amp; "_" &amp; D342</f>
        <v>PrecToGood__</v>
      </c>
      <c r="AD358" s="269">
        <f>SUMIF(D_Processes!R:R,AB358,D_Processes!K:K)</f>
        <v>0</v>
      </c>
      <c r="AE358" s="268">
        <f>SUMIF(D_Processes!R:R,CONST_CNTR_TotProd &amp; D358,D_Processes!L:L)</f>
        <v>0</v>
      </c>
      <c r="AG358" s="102" t="b">
        <f t="shared" si="72"/>
        <v>0</v>
      </c>
    </row>
    <row r="359" spans="1:33" ht="12.75" customHeight="1" outlineLevel="1" x14ac:dyDescent="0.35">
      <c r="A359" s="92"/>
      <c r="B359" s="94"/>
      <c r="C359" s="978">
        <v>14</v>
      </c>
      <c r="D359" s="1417" t="str">
        <f>IF(D342="","",IF(COUNTIF(INDEX(CNTR_IOSupplyChain,MATCH(D342,CNTR_IOProcAndPrec,0),),C359)=0,"",INDEX(CNTR_IOProcAndPrec,MATCH(C359,INDEX(CNTR_IOSupplyChain,MATCH(D342,CNTR_IOProcAndPrec,0),),0))))</f>
        <v/>
      </c>
      <c r="E359" s="1418"/>
      <c r="F359" s="265" t="str">
        <f t="shared" si="71"/>
        <v/>
      </c>
      <c r="G359" s="266" t="str">
        <f>IF(D359="","",INDEX(CNTR_Matrix_Inv,MATCH(D342,CNTR_IOProcAndPrec,0),MATCH(D359,CNTR_IOProcAndPrec,0)))</f>
        <v/>
      </c>
      <c r="H359" s="286" t="str">
        <f>IF(D359="","",IF(AG359,INDEX(E_PurchPrec!U:U,MATCH(CONST_PurchPrecDefaultUsed&amp;D359,E_PurchPrec!R:R,0)),CONST_NA))</f>
        <v/>
      </c>
      <c r="I359" s="266" t="str">
        <f>IF($D359="","",SUM($G359)*SUM(INDEX(InputOutput!$AJ$71:$AJ$100,MATCH($D359,InputOutput!$D$71:$D$100,0))))</f>
        <v/>
      </c>
      <c r="J359" s="266" t="str">
        <f>IF($D359="","",SUM($G359)*SUM(INDEX(InputOutput!$AL$71:$AL$100,MATCH($D359,InputOutput!$D$71:$D$100,0))))</f>
        <v/>
      </c>
      <c r="K359" s="266" t="str">
        <f t="shared" si="69"/>
        <v/>
      </c>
      <c r="L359" s="267" t="str">
        <f>IF(D359="","",SUM(I359)*SUM(AD345))</f>
        <v/>
      </c>
      <c r="M359" s="267" t="str">
        <f>IF(D359="","",SUM(J359)*SUM(AD345))</f>
        <v/>
      </c>
      <c r="N359" s="267" t="str">
        <f t="shared" si="70"/>
        <v/>
      </c>
      <c r="O359" s="267" t="str">
        <f>IF(AG359,INDEX(E_PurchPrec!U:U,MATCH(CONST_CNTR_ElecEFMethod&amp;D359,E_PurchPrec!R:R,0)),INDEX(D_Processes!T:T,MATCH(CONST_CNTR_ElecEFMethod&amp;D359,D_Processes!R:R,0)))</f>
        <v/>
      </c>
      <c r="P359" s="266" t="str">
        <f>IF($D359="","",SUM($G359)*SUM(INDEX(InputOutput!$AN$71:$AN$100,MATCH($D359,InputOutput!$D$71:$D$100,0))))</f>
        <v/>
      </c>
      <c r="Q359" s="673" t="str">
        <f>IF(D359="","",IF(AG359,INDEX(A_InstData!$F$102:$F$121,MATCH(D359,CNTR_List_ExistPurchPrecNames,0)),""))</f>
        <v/>
      </c>
      <c r="R359" s="678" t="str">
        <f>IF($D359="","",SUM($G359)*SUM(INDEX(F_Tools!$T$101:$T$130,MATCH($D359,F_Tools!$E$101:$E$130,0))))</f>
        <v/>
      </c>
      <c r="S359" s="669" t="str">
        <f>IF($D359="","",SUM($G359)*SUM(INDEX(F_Tools!$U$101:$U$130,MATCH($D359,F_Tools!$E$101:$E$130,0))))</f>
        <v/>
      </c>
      <c r="T359" s="428"/>
      <c r="Z359" s="123"/>
      <c r="AB359" s="268" t="str">
        <f>CONST_PrecursorToGoodInput &amp; D359 &amp; "_" &amp; D342</f>
        <v>PrecToGood__</v>
      </c>
      <c r="AD359" s="269">
        <f>SUMIF(D_Processes!R:R,AB359,D_Processes!K:K)</f>
        <v>0</v>
      </c>
      <c r="AE359" s="268">
        <f>SUMIF(D_Processes!R:R,CONST_CNTR_TotProd &amp; D359,D_Processes!L:L)</f>
        <v>0</v>
      </c>
      <c r="AG359" s="102" t="b">
        <f t="shared" si="72"/>
        <v>0</v>
      </c>
    </row>
    <row r="360" spans="1:33" ht="12.75" customHeight="1" outlineLevel="1" x14ac:dyDescent="0.35">
      <c r="A360" s="92"/>
      <c r="B360" s="94"/>
      <c r="C360" s="978">
        <v>15</v>
      </c>
      <c r="D360" s="1417" t="str">
        <f>IF(D342="","",IF(COUNTIF(INDEX(CNTR_IOSupplyChain,MATCH(D342,CNTR_IOProcAndPrec,0),),C360)=0,"",INDEX(CNTR_IOProcAndPrec,MATCH(C360,INDEX(CNTR_IOSupplyChain,MATCH(D342,CNTR_IOProcAndPrec,0),),0))))</f>
        <v/>
      </c>
      <c r="E360" s="1418"/>
      <c r="F360" s="265" t="str">
        <f t="shared" si="71"/>
        <v/>
      </c>
      <c r="G360" s="266" t="str">
        <f>IF(D360="","",INDEX(CNTR_Matrix_Inv,MATCH(D342,CNTR_IOProcAndPrec,0),MATCH(D360,CNTR_IOProcAndPrec,0)))</f>
        <v/>
      </c>
      <c r="H360" s="286" t="str">
        <f>IF(D360="","",IF(AG360,INDEX(E_PurchPrec!U:U,MATCH(CONST_PurchPrecDefaultUsed&amp;D360,E_PurchPrec!R:R,0)),CONST_NA))</f>
        <v/>
      </c>
      <c r="I360" s="266" t="str">
        <f>IF($D360="","",SUM($G360)*SUM(INDEX(InputOutput!$AJ$71:$AJ$100,MATCH($D360,InputOutput!$D$71:$D$100,0))))</f>
        <v/>
      </c>
      <c r="J360" s="266" t="str">
        <f>IF($D360="","",SUM($G360)*SUM(INDEX(InputOutput!$AL$71:$AL$100,MATCH($D360,InputOutput!$D$71:$D$100,0))))</f>
        <v/>
      </c>
      <c r="K360" s="266" t="str">
        <f t="shared" si="69"/>
        <v/>
      </c>
      <c r="L360" s="267" t="str">
        <f>IF(D360="","",SUM(I360)*SUM(AD345))</f>
        <v/>
      </c>
      <c r="M360" s="267" t="str">
        <f>IF(D360="","",SUM(J360)*SUM(AD345))</f>
        <v/>
      </c>
      <c r="N360" s="267" t="str">
        <f t="shared" si="70"/>
        <v/>
      </c>
      <c r="O360" s="267" t="str">
        <f>IF(AG360,INDEX(E_PurchPrec!U:U,MATCH(CONST_CNTR_ElecEFMethod&amp;D360,E_PurchPrec!R:R,0)),INDEX(D_Processes!T:T,MATCH(CONST_CNTR_ElecEFMethod&amp;D360,D_Processes!R:R,0)))</f>
        <v/>
      </c>
      <c r="P360" s="266" t="str">
        <f>IF($D360="","",SUM($G360)*SUM(INDEX(InputOutput!$AN$71:$AN$100,MATCH($D360,InputOutput!$D$71:$D$100,0))))</f>
        <v/>
      </c>
      <c r="Q360" s="673" t="str">
        <f>IF(D360="","",IF(AG360,INDEX(A_InstData!$F$102:$F$121,MATCH(D360,CNTR_List_ExistPurchPrecNames,0)),""))</f>
        <v/>
      </c>
      <c r="R360" s="678" t="str">
        <f>IF($D360="","",SUM($G360)*SUM(INDEX(F_Tools!$T$101:$T$130,MATCH($D360,F_Tools!$E$101:$E$130,0))))</f>
        <v/>
      </c>
      <c r="S360" s="669" t="str">
        <f>IF($D360="","",SUM($G360)*SUM(INDEX(F_Tools!$U$101:$U$130,MATCH($D360,F_Tools!$E$101:$E$130,0))))</f>
        <v/>
      </c>
      <c r="T360" s="428"/>
      <c r="Z360" s="123"/>
      <c r="AB360" s="268" t="str">
        <f>CONST_PrecursorToGoodInput &amp; D360 &amp; "_" &amp; D342</f>
        <v>PrecToGood__</v>
      </c>
      <c r="AD360" s="269">
        <f>SUMIF(D_Processes!R:R,AB360,D_Processes!K:K)</f>
        <v>0</v>
      </c>
      <c r="AE360" s="268">
        <f>SUMIF(D_Processes!R:R,CONST_CNTR_TotProd &amp; D360,D_Processes!L:L)</f>
        <v>0</v>
      </c>
      <c r="AG360" s="102" t="b">
        <f t="shared" si="72"/>
        <v>0</v>
      </c>
    </row>
    <row r="361" spans="1:33" ht="12.75" customHeight="1" outlineLevel="1" x14ac:dyDescent="0.35">
      <c r="A361" s="92"/>
      <c r="B361" s="94"/>
      <c r="C361" s="978">
        <v>16</v>
      </c>
      <c r="D361" s="1417" t="str">
        <f>IF(D342="","",IF(COUNTIF(INDEX(CNTR_IOSupplyChain,MATCH(D342,CNTR_IOProcAndPrec,0),),C361)=0,"",INDEX(CNTR_IOProcAndPrec,MATCH(C361,INDEX(CNTR_IOSupplyChain,MATCH(D342,CNTR_IOProcAndPrec,0),),0))))</f>
        <v/>
      </c>
      <c r="E361" s="1418"/>
      <c r="F361" s="265" t="str">
        <f t="shared" si="71"/>
        <v/>
      </c>
      <c r="G361" s="266" t="str">
        <f>IF(D361="","",INDEX(CNTR_Matrix_Inv,MATCH(D342,CNTR_IOProcAndPrec,0),MATCH(D361,CNTR_IOProcAndPrec,0)))</f>
        <v/>
      </c>
      <c r="H361" s="286" t="str">
        <f>IF(D361="","",IF(AG361,INDEX(E_PurchPrec!U:U,MATCH(CONST_PurchPrecDefaultUsed&amp;D361,E_PurchPrec!R:R,0)),CONST_NA))</f>
        <v/>
      </c>
      <c r="I361" s="266" t="str">
        <f>IF($D361="","",SUM($G361)*SUM(INDEX(InputOutput!$AJ$71:$AJ$100,MATCH($D361,InputOutput!$D$71:$D$100,0))))</f>
        <v/>
      </c>
      <c r="J361" s="266" t="str">
        <f>IF($D361="","",SUM($G361)*SUM(INDEX(InputOutput!$AL$71:$AL$100,MATCH($D361,InputOutput!$D$71:$D$100,0))))</f>
        <v/>
      </c>
      <c r="K361" s="266" t="str">
        <f t="shared" si="69"/>
        <v/>
      </c>
      <c r="L361" s="267" t="str">
        <f>IF(D361="","",SUM(I361)*SUM(AD345))</f>
        <v/>
      </c>
      <c r="M361" s="267" t="str">
        <f>IF(D361="","",SUM(J361)*SUM(AD345))</f>
        <v/>
      </c>
      <c r="N361" s="267" t="str">
        <f t="shared" si="70"/>
        <v/>
      </c>
      <c r="O361" s="267" t="str">
        <f>IF(AG361,INDEX(E_PurchPrec!U:U,MATCH(CONST_CNTR_ElecEFMethod&amp;D361,E_PurchPrec!R:R,0)),INDEX(D_Processes!T:T,MATCH(CONST_CNTR_ElecEFMethod&amp;D361,D_Processes!R:R,0)))</f>
        <v/>
      </c>
      <c r="P361" s="266" t="str">
        <f>IF($D361="","",SUM($G361)*SUM(INDEX(InputOutput!$AN$71:$AN$100,MATCH($D361,InputOutput!$D$71:$D$100,0))))</f>
        <v/>
      </c>
      <c r="Q361" s="673" t="str">
        <f>IF(D361="","",IF(AG361,INDEX(A_InstData!$F$102:$F$121,MATCH(D361,CNTR_List_ExistPurchPrecNames,0)),""))</f>
        <v/>
      </c>
      <c r="R361" s="678" t="str">
        <f>IF($D361="","",SUM($G361)*SUM(INDEX(F_Tools!$T$101:$T$130,MATCH($D361,F_Tools!$E$101:$E$130,0))))</f>
        <v/>
      </c>
      <c r="S361" s="669" t="str">
        <f>IF($D361="","",SUM($G361)*SUM(INDEX(F_Tools!$U$101:$U$130,MATCH($D361,F_Tools!$E$101:$E$130,0))))</f>
        <v/>
      </c>
      <c r="T361" s="428"/>
      <c r="Z361" s="123"/>
      <c r="AB361" s="268" t="str">
        <f>CONST_PrecursorToGoodInput &amp; D361 &amp; "_" &amp; D342</f>
        <v>PrecToGood__</v>
      </c>
      <c r="AD361" s="269">
        <f>SUMIF(D_Processes!R:R,AB361,D_Processes!K:K)</f>
        <v>0</v>
      </c>
      <c r="AE361" s="268">
        <f>SUMIF(D_Processes!R:R,CONST_CNTR_TotProd &amp; D361,D_Processes!L:L)</f>
        <v>0</v>
      </c>
      <c r="AG361" s="102" t="b">
        <f t="shared" si="72"/>
        <v>0</v>
      </c>
    </row>
    <row r="362" spans="1:33" ht="12.75" customHeight="1" outlineLevel="1" x14ac:dyDescent="0.35">
      <c r="A362" s="92"/>
      <c r="B362" s="94"/>
      <c r="C362" s="978">
        <v>17</v>
      </c>
      <c r="D362" s="1417" t="str">
        <f>IF(D342="","",IF(COUNTIF(INDEX(CNTR_IOSupplyChain,MATCH(D342,CNTR_IOProcAndPrec,0),),C362)=0,"",INDEX(CNTR_IOProcAndPrec,MATCH(C362,INDEX(CNTR_IOSupplyChain,MATCH(D342,CNTR_IOProcAndPrec,0),),0))))</f>
        <v/>
      </c>
      <c r="E362" s="1418"/>
      <c r="F362" s="265" t="str">
        <f t="shared" si="71"/>
        <v/>
      </c>
      <c r="G362" s="266" t="str">
        <f>IF(D362="","",INDEX(CNTR_Matrix_Inv,MATCH(D342,CNTR_IOProcAndPrec,0),MATCH(D362,CNTR_IOProcAndPrec,0)))</f>
        <v/>
      </c>
      <c r="H362" s="286" t="str">
        <f>IF(D362="","",IF(AG362,INDEX(E_PurchPrec!U:U,MATCH(CONST_PurchPrecDefaultUsed&amp;D362,E_PurchPrec!R:R,0)),CONST_NA))</f>
        <v/>
      </c>
      <c r="I362" s="266" t="str">
        <f>IF($D362="","",SUM($G362)*SUM(INDEX(InputOutput!$AJ$71:$AJ$100,MATCH($D362,InputOutput!$D$71:$D$100,0))))</f>
        <v/>
      </c>
      <c r="J362" s="266" t="str">
        <f>IF($D362="","",SUM($G362)*SUM(INDEX(InputOutput!$AL$71:$AL$100,MATCH($D362,InputOutput!$D$71:$D$100,0))))</f>
        <v/>
      </c>
      <c r="K362" s="266" t="str">
        <f t="shared" si="69"/>
        <v/>
      </c>
      <c r="L362" s="267" t="str">
        <f>IF(D362="","",SUM(I362)*SUM(AD345))</f>
        <v/>
      </c>
      <c r="M362" s="267" t="str">
        <f>IF(D362="","",SUM(J362)*SUM(AD345))</f>
        <v/>
      </c>
      <c r="N362" s="267" t="str">
        <f t="shared" si="70"/>
        <v/>
      </c>
      <c r="O362" s="267" t="str">
        <f>IF(AG362,INDEX(E_PurchPrec!U:U,MATCH(CONST_CNTR_ElecEFMethod&amp;D362,E_PurchPrec!R:R,0)),INDEX(D_Processes!T:T,MATCH(CONST_CNTR_ElecEFMethod&amp;D362,D_Processes!R:R,0)))</f>
        <v/>
      </c>
      <c r="P362" s="266" t="str">
        <f>IF($D362="","",SUM($G362)*SUM(INDEX(InputOutput!$AN$71:$AN$100,MATCH($D362,InputOutput!$D$71:$D$100,0))))</f>
        <v/>
      </c>
      <c r="Q362" s="673" t="str">
        <f>IF(D362="","",IF(AG362,INDEX(A_InstData!$F$102:$F$121,MATCH(D362,CNTR_List_ExistPurchPrecNames,0)),""))</f>
        <v/>
      </c>
      <c r="R362" s="678" t="str">
        <f>IF($D362="","",SUM($G362)*SUM(INDEX(F_Tools!$T$101:$T$130,MATCH($D362,F_Tools!$E$101:$E$130,0))))</f>
        <v/>
      </c>
      <c r="S362" s="669" t="str">
        <f>IF($D362="","",SUM($G362)*SUM(INDEX(F_Tools!$U$101:$U$130,MATCH($D362,F_Tools!$E$101:$E$130,0))))</f>
        <v/>
      </c>
      <c r="T362" s="428"/>
      <c r="Z362" s="123"/>
      <c r="AB362" s="268" t="str">
        <f>CONST_PrecursorToGoodInput &amp; D362 &amp; "_" &amp; D342</f>
        <v>PrecToGood__</v>
      </c>
      <c r="AD362" s="269">
        <f>SUMIF(D_Processes!R:R,AB362,D_Processes!K:K)</f>
        <v>0</v>
      </c>
      <c r="AE362" s="268">
        <f>SUMIF(D_Processes!R:R,CONST_CNTR_TotProd &amp; D362,D_Processes!L:L)</f>
        <v>0</v>
      </c>
      <c r="AG362" s="102" t="b">
        <f t="shared" si="72"/>
        <v>0</v>
      </c>
    </row>
    <row r="363" spans="1:33" ht="12.75" customHeight="1" outlineLevel="1" x14ac:dyDescent="0.35">
      <c r="A363" s="92"/>
      <c r="B363" s="94"/>
      <c r="C363" s="978">
        <v>18</v>
      </c>
      <c r="D363" s="1417" t="str">
        <f>IF(D342="","",IF(COUNTIF(INDEX(CNTR_IOSupplyChain,MATCH(D342,CNTR_IOProcAndPrec,0),),C363)=0,"",INDEX(CNTR_IOProcAndPrec,MATCH(C363,INDEX(CNTR_IOSupplyChain,MATCH(D342,CNTR_IOProcAndPrec,0),),0))))</f>
        <v/>
      </c>
      <c r="E363" s="1418"/>
      <c r="F363" s="265" t="str">
        <f t="shared" si="71"/>
        <v/>
      </c>
      <c r="G363" s="266" t="str">
        <f>IF(D363="","",INDEX(CNTR_Matrix_Inv,MATCH(D342,CNTR_IOProcAndPrec,0),MATCH(D363,CNTR_IOProcAndPrec,0)))</f>
        <v/>
      </c>
      <c r="H363" s="286" t="str">
        <f>IF(D363="","",IF(AG363,INDEX(E_PurchPrec!U:U,MATCH(CONST_PurchPrecDefaultUsed&amp;D363,E_PurchPrec!R:R,0)),CONST_NA))</f>
        <v/>
      </c>
      <c r="I363" s="266" t="str">
        <f>IF($D363="","",SUM($G363)*SUM(INDEX(InputOutput!$AJ$71:$AJ$100,MATCH($D363,InputOutput!$D$71:$D$100,0))))</f>
        <v/>
      </c>
      <c r="J363" s="266" t="str">
        <f>IF($D363="","",SUM($G363)*SUM(INDEX(InputOutput!$AL$71:$AL$100,MATCH($D363,InputOutput!$D$71:$D$100,0))))</f>
        <v/>
      </c>
      <c r="K363" s="266" t="str">
        <f t="shared" si="69"/>
        <v/>
      </c>
      <c r="L363" s="267" t="str">
        <f>IF(D363="","",SUM(I363)*SUM(AD345))</f>
        <v/>
      </c>
      <c r="M363" s="267" t="str">
        <f>IF(D363="","",SUM(J363)*SUM(AD345))</f>
        <v/>
      </c>
      <c r="N363" s="267" t="str">
        <f t="shared" si="70"/>
        <v/>
      </c>
      <c r="O363" s="267" t="str">
        <f>IF(AG363,INDEX(E_PurchPrec!U:U,MATCH(CONST_CNTR_ElecEFMethod&amp;D363,E_PurchPrec!R:R,0)),INDEX(D_Processes!T:T,MATCH(CONST_CNTR_ElecEFMethod&amp;D363,D_Processes!R:R,0)))</f>
        <v/>
      </c>
      <c r="P363" s="266" t="str">
        <f>IF($D363="","",SUM($G363)*SUM(INDEX(InputOutput!$AN$71:$AN$100,MATCH($D363,InputOutput!$D$71:$D$100,0))))</f>
        <v/>
      </c>
      <c r="Q363" s="673" t="str">
        <f>IF(D363="","",IF(AG363,INDEX(A_InstData!$F$102:$F$121,MATCH(D363,CNTR_List_ExistPurchPrecNames,0)),""))</f>
        <v/>
      </c>
      <c r="R363" s="678" t="str">
        <f>IF($D363="","",SUM($G363)*SUM(INDEX(F_Tools!$T$101:$T$130,MATCH($D363,F_Tools!$E$101:$E$130,0))))</f>
        <v/>
      </c>
      <c r="S363" s="669" t="str">
        <f>IF($D363="","",SUM($G363)*SUM(INDEX(F_Tools!$U$101:$U$130,MATCH($D363,F_Tools!$E$101:$E$130,0))))</f>
        <v/>
      </c>
      <c r="T363" s="428"/>
      <c r="Z363" s="123"/>
      <c r="AB363" s="268" t="str">
        <f>CONST_PrecursorToGoodInput &amp; D363 &amp; "_" &amp; D342</f>
        <v>PrecToGood__</v>
      </c>
      <c r="AD363" s="269">
        <f>SUMIF(D_Processes!R:R,AB363,D_Processes!K:K)</f>
        <v>0</v>
      </c>
      <c r="AE363" s="268">
        <f>SUMIF(D_Processes!R:R,CONST_CNTR_TotProd &amp; D363,D_Processes!L:L)</f>
        <v>0</v>
      </c>
      <c r="AG363" s="102" t="b">
        <f t="shared" si="72"/>
        <v>0</v>
      </c>
    </row>
    <row r="364" spans="1:33" ht="12.75" customHeight="1" outlineLevel="1" x14ac:dyDescent="0.35">
      <c r="A364" s="92"/>
      <c r="B364" s="94"/>
      <c r="C364" s="978">
        <v>19</v>
      </c>
      <c r="D364" s="1417" t="str">
        <f>IF(D342="","",IF(COUNTIF(INDEX(CNTR_IOSupplyChain,MATCH(D342,CNTR_IOProcAndPrec,0),),C364)=0,"",INDEX(CNTR_IOProcAndPrec,MATCH(C364,INDEX(CNTR_IOSupplyChain,MATCH(D342,CNTR_IOProcAndPrec,0),),0))))</f>
        <v/>
      </c>
      <c r="E364" s="1418"/>
      <c r="F364" s="265" t="str">
        <f t="shared" si="71"/>
        <v/>
      </c>
      <c r="G364" s="266" t="str">
        <f>IF(D364="","",INDEX(CNTR_Matrix_Inv,MATCH(D342,CNTR_IOProcAndPrec,0),MATCH(D364,CNTR_IOProcAndPrec,0)))</f>
        <v/>
      </c>
      <c r="H364" s="286" t="str">
        <f>IF(D364="","",IF(AG364,INDEX(E_PurchPrec!U:U,MATCH(CONST_PurchPrecDefaultUsed&amp;D364,E_PurchPrec!R:R,0)),CONST_NA))</f>
        <v/>
      </c>
      <c r="I364" s="266" t="str">
        <f>IF($D364="","",SUM($G364)*SUM(INDEX(InputOutput!$AJ$71:$AJ$100,MATCH($D364,InputOutput!$D$71:$D$100,0))))</f>
        <v/>
      </c>
      <c r="J364" s="266" t="str">
        <f>IF($D364="","",SUM($G364)*SUM(INDEX(InputOutput!$AL$71:$AL$100,MATCH($D364,InputOutput!$D$71:$D$100,0))))</f>
        <v/>
      </c>
      <c r="K364" s="266" t="str">
        <f t="shared" si="69"/>
        <v/>
      </c>
      <c r="L364" s="267" t="str">
        <f>IF(D364="","",SUM(I364)*SUM(AD345))</f>
        <v/>
      </c>
      <c r="M364" s="267" t="str">
        <f>IF(D364="","",SUM(J364)*SUM(AD345))</f>
        <v/>
      </c>
      <c r="N364" s="267" t="str">
        <f t="shared" si="70"/>
        <v/>
      </c>
      <c r="O364" s="267" t="str">
        <f>IF(AG364,INDEX(E_PurchPrec!U:U,MATCH(CONST_CNTR_ElecEFMethod&amp;D364,E_PurchPrec!R:R,0)),INDEX(D_Processes!T:T,MATCH(CONST_CNTR_ElecEFMethod&amp;D364,D_Processes!R:R,0)))</f>
        <v/>
      </c>
      <c r="P364" s="266" t="str">
        <f>IF($D364="","",SUM($G364)*SUM(INDEX(InputOutput!$AN$71:$AN$100,MATCH($D364,InputOutput!$D$71:$D$100,0))))</f>
        <v/>
      </c>
      <c r="Q364" s="673" t="str">
        <f>IF(D364="","",IF(AG364,INDEX(A_InstData!$F$102:$F$121,MATCH(D364,CNTR_List_ExistPurchPrecNames,0)),""))</f>
        <v/>
      </c>
      <c r="R364" s="678" t="str">
        <f>IF($D364="","",SUM($G364)*SUM(INDEX(F_Tools!$T$101:$T$130,MATCH($D364,F_Tools!$E$101:$E$130,0))))</f>
        <v/>
      </c>
      <c r="S364" s="669" t="str">
        <f>IF($D364="","",SUM($G364)*SUM(INDEX(F_Tools!$U$101:$U$130,MATCH($D364,F_Tools!$E$101:$E$130,0))))</f>
        <v/>
      </c>
      <c r="T364" s="428"/>
      <c r="Z364" s="123"/>
      <c r="AB364" s="268" t="str">
        <f>CONST_PrecursorToGoodInput &amp; D364 &amp; "_" &amp; D342</f>
        <v>PrecToGood__</v>
      </c>
      <c r="AD364" s="269">
        <f>SUMIF(D_Processes!R:R,AB364,D_Processes!K:K)</f>
        <v>0</v>
      </c>
      <c r="AE364" s="268">
        <f>SUMIF(D_Processes!R:R,CONST_CNTR_TotProd &amp; D364,D_Processes!L:L)</f>
        <v>0</v>
      </c>
      <c r="AG364" s="102" t="b">
        <f t="shared" si="72"/>
        <v>0</v>
      </c>
    </row>
    <row r="365" spans="1:33" ht="12.75" customHeight="1" outlineLevel="1" x14ac:dyDescent="0.35">
      <c r="A365" s="92"/>
      <c r="B365" s="94"/>
      <c r="C365" s="978">
        <v>20</v>
      </c>
      <c r="D365" s="1417" t="str">
        <f>IF(D342="","",IF(COUNTIF(INDEX(CNTR_IOSupplyChain,MATCH(D342,CNTR_IOProcAndPrec,0),),C365)=0,"",INDEX(CNTR_IOProcAndPrec,MATCH(C365,INDEX(CNTR_IOSupplyChain,MATCH(D342,CNTR_IOProcAndPrec,0),),0))))</f>
        <v/>
      </c>
      <c r="E365" s="1418"/>
      <c r="F365" s="265" t="str">
        <f t="shared" si="71"/>
        <v/>
      </c>
      <c r="G365" s="266" t="str">
        <f>IF(D365="","",INDEX(CNTR_Matrix_Inv,MATCH(D342,CNTR_IOProcAndPrec,0),MATCH(D365,CNTR_IOProcAndPrec,0)))</f>
        <v/>
      </c>
      <c r="H365" s="286" t="str">
        <f>IF(D365="","",IF(AG365,INDEX(E_PurchPrec!U:U,MATCH(CONST_PurchPrecDefaultUsed&amp;D365,E_PurchPrec!R:R,0)),CONST_NA))</f>
        <v/>
      </c>
      <c r="I365" s="266" t="str">
        <f>IF($D365="","",SUM($G365)*SUM(INDEX(InputOutput!$AJ$71:$AJ$100,MATCH($D365,InputOutput!$D$71:$D$100,0))))</f>
        <v/>
      </c>
      <c r="J365" s="266" t="str">
        <f>IF($D365="","",SUM($G365)*SUM(INDEX(InputOutput!$AL$71:$AL$100,MATCH($D365,InputOutput!$D$71:$D$100,0))))</f>
        <v/>
      </c>
      <c r="K365" s="266" t="str">
        <f t="shared" si="69"/>
        <v/>
      </c>
      <c r="L365" s="267" t="str">
        <f>IF(D365="","",SUM(I365)*SUM(AD345))</f>
        <v/>
      </c>
      <c r="M365" s="267" t="str">
        <f>IF(D365="","",SUM(J365)*SUM(AD345))</f>
        <v/>
      </c>
      <c r="N365" s="267" t="str">
        <f t="shared" si="70"/>
        <v/>
      </c>
      <c r="O365" s="267" t="str">
        <f>IF(AG365,INDEX(E_PurchPrec!U:U,MATCH(CONST_CNTR_ElecEFMethod&amp;D365,E_PurchPrec!R:R,0)),INDEX(D_Processes!T:T,MATCH(CONST_CNTR_ElecEFMethod&amp;D365,D_Processes!R:R,0)))</f>
        <v/>
      </c>
      <c r="P365" s="266" t="str">
        <f>IF($D365="","",SUM($G365)*SUM(INDEX(InputOutput!$AN$71:$AN$100,MATCH($D365,InputOutput!$D$71:$D$100,0))))</f>
        <v/>
      </c>
      <c r="Q365" s="673" t="str">
        <f>IF(D365="","",IF(AG365,INDEX(A_InstData!$F$102:$F$121,MATCH(D365,CNTR_List_ExistPurchPrecNames,0)),""))</f>
        <v/>
      </c>
      <c r="R365" s="678" t="str">
        <f>IF($D365="","",SUM($G365)*SUM(INDEX(F_Tools!$T$101:$T$130,MATCH($D365,F_Tools!$E$101:$E$130,0))))</f>
        <v/>
      </c>
      <c r="S365" s="669" t="str">
        <f>IF($D365="","",SUM($G365)*SUM(INDEX(F_Tools!$U$101:$U$130,MATCH($D365,F_Tools!$E$101:$E$130,0))))</f>
        <v/>
      </c>
      <c r="T365" s="428"/>
      <c r="Z365" s="123"/>
      <c r="AB365" s="268" t="str">
        <f>CONST_PrecursorToGoodInput &amp; D365 &amp; "_" &amp; D342</f>
        <v>PrecToGood__</v>
      </c>
      <c r="AD365" s="269">
        <f>SUMIF(D_Processes!R:R,AB365,D_Processes!K:K)</f>
        <v>0</v>
      </c>
      <c r="AE365" s="268">
        <f>SUMIF(D_Processes!R:R,CONST_CNTR_TotProd &amp; D365,D_Processes!L:L)</f>
        <v>0</v>
      </c>
      <c r="AG365" s="102" t="b">
        <f t="shared" si="72"/>
        <v>0</v>
      </c>
    </row>
    <row r="366" spans="1:33" ht="12.75" customHeight="1" outlineLevel="1" x14ac:dyDescent="0.35">
      <c r="A366" s="92"/>
      <c r="B366" s="94"/>
      <c r="C366" s="978">
        <v>21</v>
      </c>
      <c r="D366" s="1417" t="str">
        <f>IF(D342="","",IF(COUNTIF(INDEX(CNTR_IOSupplyChain,MATCH(D342,CNTR_IOProcAndPrec,0),),C366)=0,"",INDEX(CNTR_IOProcAndPrec,MATCH(C366,INDEX(CNTR_IOSupplyChain,MATCH(D342,CNTR_IOProcAndPrec,0),),0))))</f>
        <v/>
      </c>
      <c r="E366" s="1418"/>
      <c r="F366" s="265" t="str">
        <f t="shared" si="71"/>
        <v/>
      </c>
      <c r="G366" s="266" t="str">
        <f>IF(D366="","",INDEX(CNTR_Matrix_Inv,MATCH(D342,CNTR_IOProcAndPrec,0),MATCH(D366,CNTR_IOProcAndPrec,0)))</f>
        <v/>
      </c>
      <c r="H366" s="286" t="str">
        <f>IF(D366="","",IF(AG366,INDEX(E_PurchPrec!U:U,MATCH(CONST_PurchPrecDefaultUsed&amp;D366,E_PurchPrec!R:R,0)),CONST_NA))</f>
        <v/>
      </c>
      <c r="I366" s="266" t="str">
        <f>IF($D366="","",SUM($G366)*SUM(INDEX(InputOutput!$AJ$71:$AJ$100,MATCH($D366,InputOutput!$D$71:$D$100,0))))</f>
        <v/>
      </c>
      <c r="J366" s="266" t="str">
        <f>IF($D366="","",SUM($G366)*SUM(INDEX(InputOutput!$AL$71:$AL$100,MATCH($D366,InputOutput!$D$71:$D$100,0))))</f>
        <v/>
      </c>
      <c r="K366" s="266" t="str">
        <f t="shared" si="69"/>
        <v/>
      </c>
      <c r="L366" s="267" t="str">
        <f>IF(D366="","",SUM(I366)*SUM(AD345))</f>
        <v/>
      </c>
      <c r="M366" s="267" t="str">
        <f>IF(D366="","",SUM(J366)*SUM(AD345))</f>
        <v/>
      </c>
      <c r="N366" s="267" t="str">
        <f t="shared" si="70"/>
        <v/>
      </c>
      <c r="O366" s="267" t="str">
        <f>IF(AG366,INDEX(E_PurchPrec!U:U,MATCH(CONST_CNTR_ElecEFMethod&amp;D366,E_PurchPrec!R:R,0)),INDEX(D_Processes!T:T,MATCH(CONST_CNTR_ElecEFMethod&amp;D366,D_Processes!R:R,0)))</f>
        <v/>
      </c>
      <c r="P366" s="266" t="str">
        <f>IF($D366="","",SUM($G366)*SUM(INDEX(InputOutput!$AN$71:$AN$100,MATCH($D366,InputOutput!$D$71:$D$100,0))))</f>
        <v/>
      </c>
      <c r="Q366" s="673" t="str">
        <f>IF(D366="","",IF(AG366,INDEX(A_InstData!$F$102:$F$121,MATCH(D366,CNTR_List_ExistPurchPrecNames,0)),""))</f>
        <v/>
      </c>
      <c r="R366" s="678" t="str">
        <f>IF($D366="","",SUM($G366)*SUM(INDEX(F_Tools!$T$101:$T$130,MATCH($D366,F_Tools!$E$101:$E$130,0))))</f>
        <v/>
      </c>
      <c r="S366" s="669" t="str">
        <f>IF($D366="","",SUM($G366)*SUM(INDEX(F_Tools!$U$101:$U$130,MATCH($D366,F_Tools!$E$101:$E$130,0))))</f>
        <v/>
      </c>
      <c r="T366" s="428"/>
      <c r="Z366" s="123"/>
      <c r="AB366" s="268" t="str">
        <f>CONST_PrecursorToGoodInput &amp; D366 &amp; "_" &amp; D342</f>
        <v>PrecToGood__</v>
      </c>
      <c r="AD366" s="269">
        <f>SUMIF(D_Processes!R:R,AB366,D_Processes!K:K)</f>
        <v>0</v>
      </c>
      <c r="AE366" s="268">
        <f>SUMIF(D_Processes!R:R,CONST_CNTR_TotProd &amp; D366,D_Processes!L:L)</f>
        <v>0</v>
      </c>
      <c r="AG366" s="102" t="b">
        <f t="shared" si="72"/>
        <v>0</v>
      </c>
    </row>
    <row r="367" spans="1:33" ht="12.75" customHeight="1" outlineLevel="1" x14ac:dyDescent="0.35">
      <c r="A367" s="92"/>
      <c r="B367" s="94"/>
      <c r="C367" s="978">
        <v>22</v>
      </c>
      <c r="D367" s="1417" t="str">
        <f>IF(D342="","",IF(COUNTIF(INDEX(CNTR_IOSupplyChain,MATCH(D342,CNTR_IOProcAndPrec,0),),C367)=0,"",INDEX(CNTR_IOProcAndPrec,MATCH(C367,INDEX(CNTR_IOSupplyChain,MATCH(D342,CNTR_IOProcAndPrec,0),),0))))</f>
        <v/>
      </c>
      <c r="E367" s="1418"/>
      <c r="F367" s="265" t="str">
        <f t="shared" si="71"/>
        <v/>
      </c>
      <c r="G367" s="266" t="str">
        <f>IF(D367="","",INDEX(CNTR_Matrix_Inv,MATCH(D342,CNTR_IOProcAndPrec,0),MATCH(D367,CNTR_IOProcAndPrec,0)))</f>
        <v/>
      </c>
      <c r="H367" s="286" t="str">
        <f>IF(D367="","",IF(AG367,INDEX(E_PurchPrec!U:U,MATCH(CONST_PurchPrecDefaultUsed&amp;D367,E_PurchPrec!R:R,0)),CONST_NA))</f>
        <v/>
      </c>
      <c r="I367" s="266" t="str">
        <f>IF($D367="","",SUM($G367)*SUM(INDEX(InputOutput!$AJ$71:$AJ$100,MATCH($D367,InputOutput!$D$71:$D$100,0))))</f>
        <v/>
      </c>
      <c r="J367" s="266" t="str">
        <f>IF($D367="","",SUM($G367)*SUM(INDEX(InputOutput!$AL$71:$AL$100,MATCH($D367,InputOutput!$D$71:$D$100,0))))</f>
        <v/>
      </c>
      <c r="K367" s="266" t="str">
        <f t="shared" si="69"/>
        <v/>
      </c>
      <c r="L367" s="267" t="str">
        <f>IF(D367="","",SUM(I367)*SUM(AD345))</f>
        <v/>
      </c>
      <c r="M367" s="267" t="str">
        <f>IF(D367="","",SUM(J367)*SUM(AD345))</f>
        <v/>
      </c>
      <c r="N367" s="267" t="str">
        <f t="shared" si="70"/>
        <v/>
      </c>
      <c r="O367" s="267" t="str">
        <f>IF(AG367,INDEX(E_PurchPrec!U:U,MATCH(CONST_CNTR_ElecEFMethod&amp;D367,E_PurchPrec!R:R,0)),INDEX(D_Processes!T:T,MATCH(CONST_CNTR_ElecEFMethod&amp;D367,D_Processes!R:R,0)))</f>
        <v/>
      </c>
      <c r="P367" s="266" t="str">
        <f>IF($D367="","",SUM($G367)*SUM(INDEX(InputOutput!$AN$71:$AN$100,MATCH($D367,InputOutput!$D$71:$D$100,0))))</f>
        <v/>
      </c>
      <c r="Q367" s="673" t="str">
        <f>IF(D367="","",IF(AG367,INDEX(A_InstData!$F$102:$F$121,MATCH(D367,CNTR_List_ExistPurchPrecNames,0)),""))</f>
        <v/>
      </c>
      <c r="R367" s="678" t="str">
        <f>IF($D367="","",SUM($G367)*SUM(INDEX(F_Tools!$T$101:$T$130,MATCH($D367,F_Tools!$E$101:$E$130,0))))</f>
        <v/>
      </c>
      <c r="S367" s="669" t="str">
        <f>IF($D367="","",SUM($G367)*SUM(INDEX(F_Tools!$U$101:$U$130,MATCH($D367,F_Tools!$E$101:$E$130,0))))</f>
        <v/>
      </c>
      <c r="T367" s="428"/>
      <c r="Z367" s="123"/>
      <c r="AB367" s="268" t="str">
        <f>CONST_PrecursorToGoodInput &amp; D367 &amp; "_" &amp; D342</f>
        <v>PrecToGood__</v>
      </c>
      <c r="AD367" s="269">
        <f>SUMIF(D_Processes!R:R,AB367,D_Processes!K:K)</f>
        <v>0</v>
      </c>
      <c r="AE367" s="268">
        <f>SUMIF(D_Processes!R:R,CONST_CNTR_TotProd &amp; D367,D_Processes!L:L)</f>
        <v>0</v>
      </c>
      <c r="AG367" s="102" t="b">
        <f t="shared" si="72"/>
        <v>0</v>
      </c>
    </row>
    <row r="368" spans="1:33" ht="12.75" customHeight="1" outlineLevel="1" x14ac:dyDescent="0.35">
      <c r="A368" s="92"/>
      <c r="B368" s="94"/>
      <c r="C368" s="978">
        <v>23</v>
      </c>
      <c r="D368" s="1417" t="str">
        <f>IF(D342="","",IF(COUNTIF(INDEX(CNTR_IOSupplyChain,MATCH(D342,CNTR_IOProcAndPrec,0),),C368)=0,"",INDEX(CNTR_IOProcAndPrec,MATCH(C368,INDEX(CNTR_IOSupplyChain,MATCH(D342,CNTR_IOProcAndPrec,0),),0))))</f>
        <v/>
      </c>
      <c r="E368" s="1418"/>
      <c r="F368" s="265" t="str">
        <f t="shared" si="71"/>
        <v/>
      </c>
      <c r="G368" s="266" t="str">
        <f>IF(D368="","",INDEX(CNTR_Matrix_Inv,MATCH(D342,CNTR_IOProcAndPrec,0),MATCH(D368,CNTR_IOProcAndPrec,0)))</f>
        <v/>
      </c>
      <c r="H368" s="286" t="str">
        <f>IF(D368="","",IF(AG368,INDEX(E_PurchPrec!U:U,MATCH(CONST_PurchPrecDefaultUsed&amp;D368,E_PurchPrec!R:R,0)),CONST_NA))</f>
        <v/>
      </c>
      <c r="I368" s="266" t="str">
        <f>IF($D368="","",SUM($G368)*SUM(INDEX(InputOutput!$AJ$71:$AJ$100,MATCH($D368,InputOutput!$D$71:$D$100,0))))</f>
        <v/>
      </c>
      <c r="J368" s="266" t="str">
        <f>IF($D368="","",SUM($G368)*SUM(INDEX(InputOutput!$AL$71:$AL$100,MATCH($D368,InputOutput!$D$71:$D$100,0))))</f>
        <v/>
      </c>
      <c r="K368" s="266" t="str">
        <f t="shared" si="69"/>
        <v/>
      </c>
      <c r="L368" s="267" t="str">
        <f>IF(D368="","",SUM(I368)*SUM(AD345))</f>
        <v/>
      </c>
      <c r="M368" s="267" t="str">
        <f>IF(D368="","",SUM(J368)*SUM(AD345))</f>
        <v/>
      </c>
      <c r="N368" s="267" t="str">
        <f t="shared" si="70"/>
        <v/>
      </c>
      <c r="O368" s="267" t="str">
        <f>IF(AG368,INDEX(E_PurchPrec!U:U,MATCH(CONST_CNTR_ElecEFMethod&amp;D368,E_PurchPrec!R:R,0)),INDEX(D_Processes!T:T,MATCH(CONST_CNTR_ElecEFMethod&amp;D368,D_Processes!R:R,0)))</f>
        <v/>
      </c>
      <c r="P368" s="266" t="str">
        <f>IF($D368="","",SUM($G368)*SUM(INDEX(InputOutput!$AN$71:$AN$100,MATCH($D368,InputOutput!$D$71:$D$100,0))))</f>
        <v/>
      </c>
      <c r="Q368" s="673" t="str">
        <f>IF(D368="","",IF(AG368,INDEX(A_InstData!$F$102:$F$121,MATCH(D368,CNTR_List_ExistPurchPrecNames,0)),""))</f>
        <v/>
      </c>
      <c r="R368" s="678" t="str">
        <f>IF($D368="","",SUM($G368)*SUM(INDEX(F_Tools!$T$101:$T$130,MATCH($D368,F_Tools!$E$101:$E$130,0))))</f>
        <v/>
      </c>
      <c r="S368" s="669" t="str">
        <f>IF($D368="","",SUM($G368)*SUM(INDEX(F_Tools!$U$101:$U$130,MATCH($D368,F_Tools!$E$101:$E$130,0))))</f>
        <v/>
      </c>
      <c r="T368" s="428"/>
      <c r="Z368" s="123"/>
      <c r="AB368" s="268" t="str">
        <f>CONST_PrecursorToGoodInput &amp; D368 &amp; "_" &amp; D342</f>
        <v>PrecToGood__</v>
      </c>
      <c r="AD368" s="269">
        <f>SUMIF(D_Processes!R:R,AB368,D_Processes!K:K)</f>
        <v>0</v>
      </c>
      <c r="AE368" s="268">
        <f>SUMIF(D_Processes!R:R,CONST_CNTR_TotProd &amp; D368,D_Processes!L:L)</f>
        <v>0</v>
      </c>
      <c r="AG368" s="102" t="b">
        <f t="shared" si="72"/>
        <v>0</v>
      </c>
    </row>
    <row r="369" spans="1:41" ht="12.75" customHeight="1" outlineLevel="1" x14ac:dyDescent="0.35">
      <c r="A369" s="92"/>
      <c r="B369" s="94"/>
      <c r="C369" s="978">
        <v>24</v>
      </c>
      <c r="D369" s="1417" t="str">
        <f>IF(D342="","",IF(COUNTIF(INDEX(CNTR_IOSupplyChain,MATCH(D342,CNTR_IOProcAndPrec,0),),C369)=0,"",INDEX(CNTR_IOProcAndPrec,MATCH(C369,INDEX(CNTR_IOSupplyChain,MATCH(D342,CNTR_IOProcAndPrec,0),),0))))</f>
        <v/>
      </c>
      <c r="E369" s="1418"/>
      <c r="F369" s="265" t="str">
        <f t="shared" si="71"/>
        <v/>
      </c>
      <c r="G369" s="266" t="str">
        <f>IF(D369="","",INDEX(CNTR_Matrix_Inv,MATCH(D342,CNTR_IOProcAndPrec,0),MATCH(D369,CNTR_IOProcAndPrec,0)))</f>
        <v/>
      </c>
      <c r="H369" s="286" t="str">
        <f>IF(D369="","",IF(AG369,INDEX(E_PurchPrec!U:U,MATCH(CONST_PurchPrecDefaultUsed&amp;D369,E_PurchPrec!R:R,0)),CONST_NA))</f>
        <v/>
      </c>
      <c r="I369" s="266" t="str">
        <f>IF($D369="","",SUM($G369)*SUM(INDEX(InputOutput!$AJ$71:$AJ$100,MATCH($D369,InputOutput!$D$71:$D$100,0))))</f>
        <v/>
      </c>
      <c r="J369" s="266" t="str">
        <f>IF($D369="","",SUM($G369)*SUM(INDEX(InputOutput!$AL$71:$AL$100,MATCH($D369,InputOutput!$D$71:$D$100,0))))</f>
        <v/>
      </c>
      <c r="K369" s="266" t="str">
        <f t="shared" si="69"/>
        <v/>
      </c>
      <c r="L369" s="267" t="str">
        <f>IF(D369="","",SUM(I369)*SUM(AD345))</f>
        <v/>
      </c>
      <c r="M369" s="267" t="str">
        <f>IF(D369="","",SUM(J369)*SUM(AD345))</f>
        <v/>
      </c>
      <c r="N369" s="267" t="str">
        <f t="shared" si="70"/>
        <v/>
      </c>
      <c r="O369" s="267" t="str">
        <f>IF(AG369,INDEX(E_PurchPrec!U:U,MATCH(CONST_CNTR_ElecEFMethod&amp;D369,E_PurchPrec!R:R,0)),INDEX(D_Processes!T:T,MATCH(CONST_CNTR_ElecEFMethod&amp;D369,D_Processes!R:R,0)))</f>
        <v/>
      </c>
      <c r="P369" s="266" t="str">
        <f>IF($D369="","",SUM($G369)*SUM(INDEX(InputOutput!$AN$71:$AN$100,MATCH($D369,InputOutput!$D$71:$D$100,0))))</f>
        <v/>
      </c>
      <c r="Q369" s="673" t="str">
        <f>IF(D369="","",IF(AG369,INDEX(A_InstData!$F$102:$F$121,MATCH(D369,CNTR_List_ExistPurchPrecNames,0)),""))</f>
        <v/>
      </c>
      <c r="R369" s="678" t="str">
        <f>IF($D369="","",SUM($G369)*SUM(INDEX(F_Tools!$T$101:$T$130,MATCH($D369,F_Tools!$E$101:$E$130,0))))</f>
        <v/>
      </c>
      <c r="S369" s="669" t="str">
        <f>IF($D369="","",SUM($G369)*SUM(INDEX(F_Tools!$U$101:$U$130,MATCH($D369,F_Tools!$E$101:$E$130,0))))</f>
        <v/>
      </c>
      <c r="T369" s="428"/>
      <c r="Z369" s="123"/>
      <c r="AB369" s="268" t="str">
        <f>CONST_PrecursorToGoodInput &amp; D369 &amp; "_" &amp; D342</f>
        <v>PrecToGood__</v>
      </c>
      <c r="AD369" s="269">
        <f>SUMIF(D_Processes!R:R,AB369,D_Processes!K:K)</f>
        <v>0</v>
      </c>
      <c r="AE369" s="268">
        <f>SUMIF(D_Processes!R:R,CONST_CNTR_TotProd &amp; D369,D_Processes!L:L)</f>
        <v>0</v>
      </c>
      <c r="AG369" s="102" t="b">
        <f t="shared" si="72"/>
        <v>0</v>
      </c>
    </row>
    <row r="370" spans="1:41" ht="12.75" customHeight="1" outlineLevel="1" x14ac:dyDescent="0.35">
      <c r="A370" s="92"/>
      <c r="B370" s="94"/>
      <c r="C370" s="978">
        <v>25</v>
      </c>
      <c r="D370" s="1417" t="str">
        <f>IF(D342="","",IF(COUNTIF(INDEX(CNTR_IOSupplyChain,MATCH(D342,CNTR_IOProcAndPrec,0),),C370)=0,"",INDEX(CNTR_IOProcAndPrec,MATCH(C370,INDEX(CNTR_IOSupplyChain,MATCH(D342,CNTR_IOProcAndPrec,0),),0))))</f>
        <v/>
      </c>
      <c r="E370" s="1418"/>
      <c r="F370" s="265" t="str">
        <f t="shared" si="71"/>
        <v/>
      </c>
      <c r="G370" s="266" t="str">
        <f>IF(D370="","",INDEX(CNTR_Matrix_Inv,MATCH(D342,CNTR_IOProcAndPrec,0),MATCH(D370,CNTR_IOProcAndPrec,0)))</f>
        <v/>
      </c>
      <c r="H370" s="286" t="str">
        <f>IF(D370="","",IF(AG370,INDEX(E_PurchPrec!U:U,MATCH(CONST_PurchPrecDefaultUsed&amp;D370,E_PurchPrec!R:R,0)),CONST_NA))</f>
        <v/>
      </c>
      <c r="I370" s="266" t="str">
        <f>IF($D370="","",SUM($G370)*SUM(INDEX(InputOutput!$AJ$71:$AJ$100,MATCH($D370,InputOutput!$D$71:$D$100,0))))</f>
        <v/>
      </c>
      <c r="J370" s="266" t="str">
        <f>IF($D370="","",SUM($G370)*SUM(INDEX(InputOutput!$AL$71:$AL$100,MATCH($D370,InputOutput!$D$71:$D$100,0))))</f>
        <v/>
      </c>
      <c r="K370" s="266" t="str">
        <f t="shared" si="69"/>
        <v/>
      </c>
      <c r="L370" s="267" t="str">
        <f>IF(D370="","",SUM(I370)*SUM(AD345))</f>
        <v/>
      </c>
      <c r="M370" s="267" t="str">
        <f>IF(D370="","",SUM(J370)*SUM(AD345))</f>
        <v/>
      </c>
      <c r="N370" s="267" t="str">
        <f t="shared" si="70"/>
        <v/>
      </c>
      <c r="O370" s="267" t="str">
        <f>IF(AG370,INDEX(E_PurchPrec!U:U,MATCH(CONST_CNTR_ElecEFMethod&amp;D370,E_PurchPrec!R:R,0)),INDEX(D_Processes!T:T,MATCH(CONST_CNTR_ElecEFMethod&amp;D370,D_Processes!R:R,0)))</f>
        <v/>
      </c>
      <c r="P370" s="266" t="str">
        <f>IF($D370="","",SUM($G370)*SUM(INDEX(InputOutput!$AN$71:$AN$100,MATCH($D370,InputOutput!$D$71:$D$100,0))))</f>
        <v/>
      </c>
      <c r="Q370" s="673" t="str">
        <f>IF(D370="","",IF(AG370,INDEX(A_InstData!$F$102:$F$121,MATCH(D370,CNTR_List_ExistPurchPrecNames,0)),""))</f>
        <v/>
      </c>
      <c r="R370" s="678" t="str">
        <f>IF($D370="","",SUM($G370)*SUM(INDEX(F_Tools!$T$101:$T$130,MATCH($D370,F_Tools!$E$101:$E$130,0))))</f>
        <v/>
      </c>
      <c r="S370" s="669" t="str">
        <f>IF($D370="","",SUM($G370)*SUM(INDEX(F_Tools!$U$101:$U$130,MATCH($D370,F_Tools!$E$101:$E$130,0))))</f>
        <v/>
      </c>
      <c r="T370" s="428"/>
      <c r="Z370" s="123"/>
      <c r="AB370" s="268" t="str">
        <f>CONST_PrecursorToGoodInput &amp; D370 &amp; "_" &amp; D342</f>
        <v>PrecToGood__</v>
      </c>
      <c r="AD370" s="269">
        <f>SUMIF(D_Processes!R:R,AB370,D_Processes!K:K)</f>
        <v>0</v>
      </c>
      <c r="AE370" s="268">
        <f>SUMIF(D_Processes!R:R,CONST_CNTR_TotProd &amp; D370,D_Processes!L:L)</f>
        <v>0</v>
      </c>
      <c r="AG370" s="102" t="b">
        <f t="shared" si="72"/>
        <v>0</v>
      </c>
    </row>
    <row r="371" spans="1:41" ht="12.75" customHeight="1" outlineLevel="1" x14ac:dyDescent="0.35">
      <c r="A371" s="92"/>
      <c r="B371" s="94"/>
      <c r="C371" s="978">
        <v>26</v>
      </c>
      <c r="D371" s="1417" t="str">
        <f>IF(D342="","",IF(COUNTIF(INDEX(CNTR_IOSupplyChain,MATCH(D342,CNTR_IOProcAndPrec,0),),C371)=0,"",INDEX(CNTR_IOProcAndPrec,MATCH(C371,INDEX(CNTR_IOSupplyChain,MATCH(D342,CNTR_IOProcAndPrec,0),),0))))</f>
        <v/>
      </c>
      <c r="E371" s="1418"/>
      <c r="F371" s="265" t="str">
        <f t="shared" si="71"/>
        <v/>
      </c>
      <c r="G371" s="266" t="str">
        <f>IF(D371="","",INDEX(CNTR_Matrix_Inv,MATCH(D342,CNTR_IOProcAndPrec,0),MATCH(D371,CNTR_IOProcAndPrec,0)))</f>
        <v/>
      </c>
      <c r="H371" s="286" t="str">
        <f>IF(D371="","",IF(AG371,INDEX(E_PurchPrec!U:U,MATCH(CONST_PurchPrecDefaultUsed&amp;D371,E_PurchPrec!R:R,0)),CONST_NA))</f>
        <v/>
      </c>
      <c r="I371" s="266" t="str">
        <f>IF($D371="","",SUM($G371)*SUM(INDEX(InputOutput!$AJ$71:$AJ$100,MATCH($D371,InputOutput!$D$71:$D$100,0))))</f>
        <v/>
      </c>
      <c r="J371" s="266" t="str">
        <f>IF($D371="","",SUM($G371)*SUM(INDEX(InputOutput!$AL$71:$AL$100,MATCH($D371,InputOutput!$D$71:$D$100,0))))</f>
        <v/>
      </c>
      <c r="K371" s="266" t="str">
        <f t="shared" si="69"/>
        <v/>
      </c>
      <c r="L371" s="267" t="str">
        <f>IF(D371="","",SUM(I371)*SUM(AD345))</f>
        <v/>
      </c>
      <c r="M371" s="267" t="str">
        <f>IF(D371="","",SUM(J371)*SUM(AD345))</f>
        <v/>
      </c>
      <c r="N371" s="267" t="str">
        <f t="shared" si="70"/>
        <v/>
      </c>
      <c r="O371" s="267" t="str">
        <f>IF(AG371,INDEX(E_PurchPrec!U:U,MATCH(CONST_CNTR_ElecEFMethod&amp;D371,E_PurchPrec!R:R,0)),INDEX(D_Processes!T:T,MATCH(CONST_CNTR_ElecEFMethod&amp;D371,D_Processes!R:R,0)))</f>
        <v/>
      </c>
      <c r="P371" s="266" t="str">
        <f>IF($D371="","",SUM($G371)*SUM(INDEX(InputOutput!$AN$71:$AN$100,MATCH($D371,InputOutput!$D$71:$D$100,0))))</f>
        <v/>
      </c>
      <c r="Q371" s="673" t="str">
        <f>IF(D371="","",IF(AG371,INDEX(A_InstData!$F$102:$F$121,MATCH(D371,CNTR_List_ExistPurchPrecNames,0)),""))</f>
        <v/>
      </c>
      <c r="R371" s="678" t="str">
        <f>IF($D371="","",SUM($G371)*SUM(INDEX(F_Tools!$T$101:$T$130,MATCH($D371,F_Tools!$E$101:$E$130,0))))</f>
        <v/>
      </c>
      <c r="S371" s="669" t="str">
        <f>IF($D371="","",SUM($G371)*SUM(INDEX(F_Tools!$U$101:$U$130,MATCH($D371,F_Tools!$E$101:$E$130,0))))</f>
        <v/>
      </c>
      <c r="T371" s="428"/>
      <c r="Z371" s="123"/>
      <c r="AB371" s="268" t="str">
        <f>CONST_PrecursorToGoodInput &amp; D371 &amp; "_" &amp; D342</f>
        <v>PrecToGood__</v>
      </c>
      <c r="AD371" s="269">
        <f>SUMIF(D_Processes!R:R,AB371,D_Processes!K:K)</f>
        <v>0</v>
      </c>
      <c r="AE371" s="268">
        <f>SUMIF(D_Processes!R:R,CONST_CNTR_TotProd &amp; D371,D_Processes!L:L)</f>
        <v>0</v>
      </c>
      <c r="AG371" s="102" t="b">
        <f t="shared" si="72"/>
        <v>0</v>
      </c>
    </row>
    <row r="372" spans="1:41" ht="12.75" customHeight="1" outlineLevel="1" x14ac:dyDescent="0.35">
      <c r="A372" s="92"/>
      <c r="B372" s="94"/>
      <c r="C372" s="978">
        <v>27</v>
      </c>
      <c r="D372" s="1417" t="str">
        <f>IF(D342="","",IF(COUNTIF(INDEX(CNTR_IOSupplyChain,MATCH(D342,CNTR_IOProcAndPrec,0),),C372)=0,"",INDEX(CNTR_IOProcAndPrec,MATCH(C372,INDEX(CNTR_IOSupplyChain,MATCH(D342,CNTR_IOProcAndPrec,0),),0))))</f>
        <v/>
      </c>
      <c r="E372" s="1418"/>
      <c r="F372" s="265" t="str">
        <f t="shared" si="71"/>
        <v/>
      </c>
      <c r="G372" s="266" t="str">
        <f>IF(D372="","",INDEX(CNTR_Matrix_Inv,MATCH(D342,CNTR_IOProcAndPrec,0),MATCH(D372,CNTR_IOProcAndPrec,0)))</f>
        <v/>
      </c>
      <c r="H372" s="286" t="str">
        <f>IF(D372="","",IF(AG372,INDEX(E_PurchPrec!U:U,MATCH(CONST_PurchPrecDefaultUsed&amp;D372,E_PurchPrec!R:R,0)),CONST_NA))</f>
        <v/>
      </c>
      <c r="I372" s="266" t="str">
        <f>IF($D372="","",SUM($G372)*SUM(INDEX(InputOutput!$AJ$71:$AJ$100,MATCH($D372,InputOutput!$D$71:$D$100,0))))</f>
        <v/>
      </c>
      <c r="J372" s="266" t="str">
        <f>IF($D372="","",SUM($G372)*SUM(INDEX(InputOutput!$AL$71:$AL$100,MATCH($D372,InputOutput!$D$71:$D$100,0))))</f>
        <v/>
      </c>
      <c r="K372" s="266" t="str">
        <f t="shared" si="69"/>
        <v/>
      </c>
      <c r="L372" s="267" t="str">
        <f>IF(D372="","",SUM(I372)*SUM(AD345))</f>
        <v/>
      </c>
      <c r="M372" s="267" t="str">
        <f>IF(D372="","",SUM(J372)*SUM(AD345))</f>
        <v/>
      </c>
      <c r="N372" s="267" t="str">
        <f t="shared" si="70"/>
        <v/>
      </c>
      <c r="O372" s="267" t="str">
        <f>IF(AG372,INDEX(E_PurchPrec!U:U,MATCH(CONST_CNTR_ElecEFMethod&amp;D372,E_PurchPrec!R:R,0)),INDEX(D_Processes!T:T,MATCH(CONST_CNTR_ElecEFMethod&amp;D372,D_Processes!R:R,0)))</f>
        <v/>
      </c>
      <c r="P372" s="266" t="str">
        <f>IF($D372="","",SUM($G372)*SUM(INDEX(InputOutput!$AN$71:$AN$100,MATCH($D372,InputOutput!$D$71:$D$100,0))))</f>
        <v/>
      </c>
      <c r="Q372" s="673" t="str">
        <f>IF(D372="","",IF(AG372,INDEX(A_InstData!$F$102:$F$121,MATCH(D372,CNTR_List_ExistPurchPrecNames,0)),""))</f>
        <v/>
      </c>
      <c r="R372" s="678" t="str">
        <f>IF($D372="","",SUM($G372)*SUM(INDEX(F_Tools!$T$101:$T$130,MATCH($D372,F_Tools!$E$101:$E$130,0))))</f>
        <v/>
      </c>
      <c r="S372" s="669" t="str">
        <f>IF($D372="","",SUM($G372)*SUM(INDEX(F_Tools!$U$101:$U$130,MATCH($D372,F_Tools!$E$101:$E$130,0))))</f>
        <v/>
      </c>
      <c r="T372" s="428"/>
      <c r="Z372" s="123"/>
      <c r="AB372" s="268" t="str">
        <f>CONST_PrecursorToGoodInput &amp; D372 &amp; "_" &amp; D342</f>
        <v>PrecToGood__</v>
      </c>
      <c r="AD372" s="269">
        <f>SUMIF(D_Processes!R:R,AB372,D_Processes!K:K)</f>
        <v>0</v>
      </c>
      <c r="AE372" s="268">
        <f>SUMIF(D_Processes!R:R,CONST_CNTR_TotProd &amp; D372,D_Processes!L:L)</f>
        <v>0</v>
      </c>
      <c r="AG372" s="102" t="b">
        <f t="shared" si="72"/>
        <v>0</v>
      </c>
    </row>
    <row r="373" spans="1:41" ht="12.75" customHeight="1" outlineLevel="1" x14ac:dyDescent="0.35">
      <c r="A373" s="92"/>
      <c r="B373" s="94"/>
      <c r="C373" s="978">
        <v>28</v>
      </c>
      <c r="D373" s="1417" t="str">
        <f>IF(D342="","",IF(COUNTIF(INDEX(CNTR_IOSupplyChain,MATCH(D342,CNTR_IOProcAndPrec,0),),C373)=0,"",INDEX(CNTR_IOProcAndPrec,MATCH(C373,INDEX(CNTR_IOSupplyChain,MATCH(D342,CNTR_IOProcAndPrec,0),),0))))</f>
        <v/>
      </c>
      <c r="E373" s="1418"/>
      <c r="F373" s="265" t="str">
        <f t="shared" si="71"/>
        <v/>
      </c>
      <c r="G373" s="266" t="str">
        <f>IF(D373="","",INDEX(CNTR_Matrix_Inv,MATCH(D342,CNTR_IOProcAndPrec,0),MATCH(D373,CNTR_IOProcAndPrec,0)))</f>
        <v/>
      </c>
      <c r="H373" s="286" t="str">
        <f>IF(D373="","",IF(AG373,INDEX(E_PurchPrec!U:U,MATCH(CONST_PurchPrecDefaultUsed&amp;D373,E_PurchPrec!R:R,0)),CONST_NA))</f>
        <v/>
      </c>
      <c r="I373" s="266" t="str">
        <f>IF($D373="","",SUM($G373)*SUM(INDEX(InputOutput!$AJ$71:$AJ$100,MATCH($D373,InputOutput!$D$71:$D$100,0))))</f>
        <v/>
      </c>
      <c r="J373" s="266" t="str">
        <f>IF($D373="","",SUM($G373)*SUM(INDEX(InputOutput!$AL$71:$AL$100,MATCH($D373,InputOutput!$D$71:$D$100,0))))</f>
        <v/>
      </c>
      <c r="K373" s="266" t="str">
        <f t="shared" si="69"/>
        <v/>
      </c>
      <c r="L373" s="267" t="str">
        <f>IF(D373="","",SUM(I373)*SUM(AD345))</f>
        <v/>
      </c>
      <c r="M373" s="267" t="str">
        <f>IF(D373="","",SUM(J373)*SUM(AD345))</f>
        <v/>
      </c>
      <c r="N373" s="267" t="str">
        <f t="shared" si="70"/>
        <v/>
      </c>
      <c r="O373" s="267" t="str">
        <f>IF(AG373,INDEX(E_PurchPrec!U:U,MATCH(CONST_CNTR_ElecEFMethod&amp;D373,E_PurchPrec!R:R,0)),INDEX(D_Processes!T:T,MATCH(CONST_CNTR_ElecEFMethod&amp;D373,D_Processes!R:R,0)))</f>
        <v/>
      </c>
      <c r="P373" s="266" t="str">
        <f>IF($D373="","",SUM($G373)*SUM(INDEX(InputOutput!$AN$71:$AN$100,MATCH($D373,InputOutput!$D$71:$D$100,0))))</f>
        <v/>
      </c>
      <c r="Q373" s="673" t="str">
        <f>IF(D373="","",IF(AG373,INDEX(A_InstData!$F$102:$F$121,MATCH(D373,CNTR_List_ExistPurchPrecNames,0)),""))</f>
        <v/>
      </c>
      <c r="R373" s="678" t="str">
        <f>IF($D373="","",SUM($G373)*SUM(INDEX(F_Tools!$T$101:$T$130,MATCH($D373,F_Tools!$E$101:$E$130,0))))</f>
        <v/>
      </c>
      <c r="S373" s="669" t="str">
        <f>IF($D373="","",SUM($G373)*SUM(INDEX(F_Tools!$U$101:$U$130,MATCH($D373,F_Tools!$E$101:$E$130,0))))</f>
        <v/>
      </c>
      <c r="T373" s="428"/>
      <c r="Z373" s="123"/>
      <c r="AB373" s="268" t="str">
        <f>CONST_PrecursorToGoodInput &amp; D373 &amp; "_" &amp; D342</f>
        <v>PrecToGood__</v>
      </c>
      <c r="AD373" s="269">
        <f>SUMIF(D_Processes!R:R,AB373,D_Processes!K:K)</f>
        <v>0</v>
      </c>
      <c r="AE373" s="268">
        <f>SUMIF(D_Processes!R:R,CONST_CNTR_TotProd &amp; D373,D_Processes!L:L)</f>
        <v>0</v>
      </c>
      <c r="AG373" s="102" t="b">
        <f t="shared" si="72"/>
        <v>0</v>
      </c>
    </row>
    <row r="374" spans="1:41" ht="12.75" customHeight="1" outlineLevel="1" x14ac:dyDescent="0.35">
      <c r="A374" s="92"/>
      <c r="B374" s="94"/>
      <c r="C374" s="978">
        <v>29</v>
      </c>
      <c r="D374" s="1417" t="str">
        <f>IF(D342="","",IF(COUNTIF(INDEX(CNTR_IOSupplyChain,MATCH(D342,CNTR_IOProcAndPrec,0),),C374)=0,"",INDEX(CNTR_IOProcAndPrec,MATCH(C374,INDEX(CNTR_IOSupplyChain,MATCH(D342,CNTR_IOProcAndPrec,0),),0))))</f>
        <v/>
      </c>
      <c r="E374" s="1418"/>
      <c r="F374" s="265" t="str">
        <f t="shared" si="71"/>
        <v/>
      </c>
      <c r="G374" s="266" t="str">
        <f>IF(D374="","",INDEX(CNTR_Matrix_Inv,MATCH(D342,CNTR_IOProcAndPrec,0),MATCH(D374,CNTR_IOProcAndPrec,0)))</f>
        <v/>
      </c>
      <c r="H374" s="286" t="str">
        <f>IF(D374="","",IF(AG374,INDEX(E_PurchPrec!U:U,MATCH(CONST_PurchPrecDefaultUsed&amp;D374,E_PurchPrec!R:R,0)),CONST_NA))</f>
        <v/>
      </c>
      <c r="I374" s="266" t="str">
        <f>IF($D374="","",SUM($G374)*SUM(INDEX(InputOutput!$AJ$71:$AJ$100,MATCH($D374,InputOutput!$D$71:$D$100,0))))</f>
        <v/>
      </c>
      <c r="J374" s="266" t="str">
        <f>IF($D374="","",SUM($G374)*SUM(INDEX(InputOutput!$AL$71:$AL$100,MATCH($D374,InputOutput!$D$71:$D$100,0))))</f>
        <v/>
      </c>
      <c r="K374" s="266" t="str">
        <f t="shared" si="69"/>
        <v/>
      </c>
      <c r="L374" s="267" t="str">
        <f>IF(D374="","",SUM(I374)*SUM(AD345))</f>
        <v/>
      </c>
      <c r="M374" s="267" t="str">
        <f>IF(D374="","",SUM(J374)*SUM(AD345))</f>
        <v/>
      </c>
      <c r="N374" s="267" t="str">
        <f t="shared" si="70"/>
        <v/>
      </c>
      <c r="O374" s="267" t="str">
        <f>IF(AG374,INDEX(E_PurchPrec!U:U,MATCH(CONST_CNTR_ElecEFMethod&amp;D374,E_PurchPrec!R:R,0)),INDEX(D_Processes!T:T,MATCH(CONST_CNTR_ElecEFMethod&amp;D374,D_Processes!R:R,0)))</f>
        <v/>
      </c>
      <c r="P374" s="266" t="str">
        <f>IF($D374="","",SUM($G374)*SUM(INDEX(InputOutput!$AN$71:$AN$100,MATCH($D374,InputOutput!$D$71:$D$100,0))))</f>
        <v/>
      </c>
      <c r="Q374" s="673" t="str">
        <f>IF(D374="","",IF(AG374,INDEX(A_InstData!$F$102:$F$121,MATCH(D374,CNTR_List_ExistPurchPrecNames,0)),""))</f>
        <v/>
      </c>
      <c r="R374" s="678" t="str">
        <f>IF($D374="","",SUM($G374)*SUM(INDEX(F_Tools!$T$101:$T$130,MATCH($D374,F_Tools!$E$101:$E$130,0))))</f>
        <v/>
      </c>
      <c r="S374" s="669" t="str">
        <f>IF($D374="","",SUM($G374)*SUM(INDEX(F_Tools!$U$101:$U$130,MATCH($D374,F_Tools!$E$101:$E$130,0))))</f>
        <v/>
      </c>
      <c r="T374" s="428"/>
      <c r="Z374" s="123"/>
      <c r="AB374" s="268" t="str">
        <f>CONST_PrecursorToGoodInput &amp; D374 &amp; "_" &amp; D342</f>
        <v>PrecToGood__</v>
      </c>
      <c r="AD374" s="269">
        <f>SUMIF(D_Processes!R:R,AB374,D_Processes!K:K)</f>
        <v>0</v>
      </c>
      <c r="AE374" s="268">
        <f>SUMIF(D_Processes!R:R,CONST_CNTR_TotProd &amp; D374,D_Processes!L:L)</f>
        <v>0</v>
      </c>
      <c r="AG374" s="102" t="b">
        <f t="shared" si="72"/>
        <v>0</v>
      </c>
    </row>
    <row r="375" spans="1:41" ht="12.75" customHeight="1" outlineLevel="1" thickBot="1" x14ac:dyDescent="0.4">
      <c r="A375" s="92"/>
      <c r="B375" s="94"/>
      <c r="C375" s="978">
        <v>30</v>
      </c>
      <c r="D375" s="1451" t="str">
        <f>IF(D342="","",IF(COUNTIF(INDEX(CNTR_IOSupplyChain,MATCH(D342,CNTR_IOProcAndPrec,0),),C375)=0,"",INDEX(CNTR_IOProcAndPrec,MATCH(C375,INDEX(CNTR_IOSupplyChain,MATCH(D342,CNTR_IOProcAndPrec,0),),0))))</f>
        <v/>
      </c>
      <c r="E375" s="1452"/>
      <c r="F375" s="270" t="str">
        <f t="shared" si="71"/>
        <v/>
      </c>
      <c r="G375" s="271" t="str">
        <f>IF(D375="","",INDEX(CNTR_Matrix_Inv,MATCH(D342,CNTR_IOProcAndPrec,0),MATCH(D375,CNTR_IOProcAndPrec,0)))</f>
        <v/>
      </c>
      <c r="H375" s="287" t="str">
        <f>IF(D375="","",IF(AG375,INDEX(E_PurchPrec!U:U,MATCH(CONST_PurchPrecDefaultUsed&amp;D375,E_PurchPrec!R:R,0)),CONST_NA))</f>
        <v/>
      </c>
      <c r="I375" s="271" t="str">
        <f>IF($D375="","",SUM($G375)*SUM(INDEX(InputOutput!$AJ$71:$AJ$100,MATCH($D375,InputOutput!$D$71:$D$100,0))))</f>
        <v/>
      </c>
      <c r="J375" s="271" t="str">
        <f>IF($D375="","",SUM($G375)*SUM(INDEX(InputOutput!$AL$71:$AL$100,MATCH($D375,InputOutput!$D$71:$D$100,0))))</f>
        <v/>
      </c>
      <c r="K375" s="271" t="str">
        <f>IF(COUNT(I375:J375)&gt;0,SUM(I375:J375),"")</f>
        <v/>
      </c>
      <c r="L375" s="272" t="str">
        <f>IF(D375="","",SUM(I375)*SUM(AD345))</f>
        <v/>
      </c>
      <c r="M375" s="272" t="str">
        <f>IF(D375="","",SUM(J375)*SUM(AD345))</f>
        <v/>
      </c>
      <c r="N375" s="272" t="str">
        <f>IF(COUNT(L375:M375)&gt;0,SUM(L375:M375),"")</f>
        <v/>
      </c>
      <c r="O375" s="272" t="str">
        <f>IF(AG375,INDEX(E_PurchPrec!U:U,MATCH(CONST_CNTR_ElecEFMethod&amp;D375,E_PurchPrec!R:R,0)),INDEX(D_Processes!T:T,MATCH(CONST_CNTR_ElecEFMethod&amp;D375,D_Processes!R:R,0)))</f>
        <v/>
      </c>
      <c r="P375" s="271" t="str">
        <f>IF($D375="","",SUM($G375)*SUM(INDEX(InputOutput!$AN$71:$AN$100,MATCH($D375,InputOutput!$D$71:$D$100,0))))</f>
        <v/>
      </c>
      <c r="Q375" s="674" t="str">
        <f>IF(D375="","",IF(AG375,INDEX(A_InstData!$F$102:$F$121,MATCH(D375,CNTR_List_ExistPurchPrecNames,0)),""))</f>
        <v/>
      </c>
      <c r="R375" s="679" t="str">
        <f>IF($D375="","",SUM($G375)*SUM(INDEX(F_Tools!$T$101:$T$130,MATCH($D375,F_Tools!$E$101:$E$130,0))))</f>
        <v/>
      </c>
      <c r="S375" s="680" t="str">
        <f>IF($D375="","",SUM($G375)*SUM(INDEX(F_Tools!$U$101:$U$130,MATCH($D375,F_Tools!$E$101:$E$130,0))))</f>
        <v/>
      </c>
      <c r="T375" s="428"/>
      <c r="AB375" s="273" t="str">
        <f>CONST_PrecursorToGoodInput &amp; D375 &amp; "_" &amp; D342</f>
        <v>PrecToGood__</v>
      </c>
      <c r="AD375" s="274">
        <f>SUMIF(D_Processes!R:R,AB375,D_Processes!K:K)</f>
        <v>0</v>
      </c>
      <c r="AE375" s="273">
        <f>SUMIF(D_Processes!R:R,CONST_CNTR_TotProd &amp; D375,D_Processes!L:L)</f>
        <v>0</v>
      </c>
      <c r="AG375" s="102" t="b">
        <f t="shared" si="72"/>
        <v>0</v>
      </c>
    </row>
    <row r="376" spans="1:41" ht="12.75" customHeight="1" thickBot="1" x14ac:dyDescent="0.4">
      <c r="A376" s="92"/>
      <c r="B376" s="94"/>
      <c r="C376" s="144"/>
      <c r="D376" s="144"/>
      <c r="E376" s="144"/>
      <c r="F376" s="144"/>
      <c r="G376" s="144"/>
      <c r="H376" s="144"/>
      <c r="I376" s="979"/>
      <c r="J376" s="979"/>
      <c r="K376" s="979"/>
      <c r="L376" s="144"/>
      <c r="M376" s="144"/>
      <c r="N376" s="144"/>
      <c r="O376" s="144"/>
      <c r="P376" s="979"/>
      <c r="Q376" s="144"/>
      <c r="R376" s="144"/>
      <c r="S376" s="144"/>
      <c r="T376" s="428"/>
    </row>
    <row r="377" spans="1:41" ht="12.75" customHeight="1" thickBot="1" x14ac:dyDescent="0.4">
      <c r="A377" s="92"/>
      <c r="B377" s="94"/>
      <c r="C377" s="145"/>
      <c r="D377" s="145"/>
      <c r="E377" s="145"/>
      <c r="F377" s="145"/>
      <c r="G377" s="145"/>
      <c r="H377" s="145"/>
      <c r="I377" s="664"/>
      <c r="J377" s="664"/>
      <c r="K377" s="664"/>
      <c r="L377" s="145"/>
      <c r="M377" s="145"/>
      <c r="N377" s="145"/>
      <c r="O377" s="145"/>
      <c r="P377" s="664"/>
      <c r="Q377" s="145"/>
      <c r="R377" s="145"/>
      <c r="S377" s="145"/>
      <c r="T377" s="428"/>
    </row>
    <row r="378" spans="1:41" s="249" customFormat="1" ht="25.5" customHeight="1" x14ac:dyDescent="0.35">
      <c r="A378" s="977"/>
      <c r="B378" s="981"/>
      <c r="C378" s="1439">
        <f>C342+1</f>
        <v>7</v>
      </c>
      <c r="D378" s="1421" t="str">
        <f>IF(INDEX(CNTR_List_ExistProdProcNames,C378)=CONST_NA,"",INDEX(CNTR_List_ExistProdProcNames,C378))</f>
        <v/>
      </c>
      <c r="E378" s="1422"/>
      <c r="F378" s="1419" t="str">
        <f>Translations!$B$107</f>
        <v>Aggregated goods category</v>
      </c>
      <c r="G378" s="250" t="str">
        <f>Translations!$B$584</f>
        <v>Mass share</v>
      </c>
      <c r="H378" s="1448" t="str">
        <f>Translations!$B$586</f>
        <v>(Share of) Default value</v>
      </c>
      <c r="I378" s="250" t="str">
        <f>Translations!$B$570</f>
        <v>SEE (direct)</v>
      </c>
      <c r="J378" s="250" t="str">
        <f>Translations!$B$574</f>
        <v>SEE (indirect)</v>
      </c>
      <c r="K378" s="250" t="str">
        <f>Translations!$B$344</f>
        <v>SEE (total)</v>
      </c>
      <c r="L378" s="250" t="str">
        <f>Translations!$B$589</f>
        <v>EmbEm (direct)</v>
      </c>
      <c r="M378" s="250" t="str">
        <f>Translations!$B$591</f>
        <v>EmbEm (indirect)</v>
      </c>
      <c r="N378" s="250" t="str">
        <f>Translations!$B$593</f>
        <v>EmbEm (total)</v>
      </c>
      <c r="O378" s="1448" t="str">
        <f>Translations!$B$594</f>
        <v>Source of electricity EF</v>
      </c>
      <c r="P378" s="250" t="str">
        <f>Translations!$B$480</f>
        <v>Embedded electricity</v>
      </c>
      <c r="Q378" s="1415" t="str">
        <f>Translations!$B$1957</f>
        <v>Country code</v>
      </c>
      <c r="R378" s="1444" t="str">
        <f>Translations!$B$351</f>
        <v>CP due (per produced t or MWh)</v>
      </c>
      <c r="S378" s="1446" t="str">
        <f>Translations!$B$352</f>
        <v>Rebate (per produced t or MWh)</v>
      </c>
      <c r="T378" s="431"/>
      <c r="U378" s="93"/>
      <c r="V378" s="248"/>
      <c r="W378" s="248"/>
      <c r="X378" s="91"/>
      <c r="Y378" s="248"/>
      <c r="Z378" s="123"/>
      <c r="AA378" s="248"/>
      <c r="AB378" s="248"/>
      <c r="AC378" s="248"/>
      <c r="AD378" s="248"/>
      <c r="AE378" s="248"/>
      <c r="AF378" s="104" t="str">
        <f>H378</f>
        <v>(Share of) Default value</v>
      </c>
      <c r="AG378" s="681" t="str">
        <f>H380</f>
        <v/>
      </c>
      <c r="AH378" s="91"/>
      <c r="AI378" s="91"/>
      <c r="AJ378" s="91"/>
      <c r="AK378" s="91"/>
      <c r="AL378" s="91"/>
      <c r="AM378" s="91"/>
      <c r="AN378" s="91"/>
      <c r="AO378" s="91"/>
    </row>
    <row r="379" spans="1:41" s="249" customFormat="1" ht="15" customHeight="1" thickBot="1" x14ac:dyDescent="0.4">
      <c r="A379" s="977"/>
      <c r="B379" s="981"/>
      <c r="C379" s="1440"/>
      <c r="D379" s="1423"/>
      <c r="E379" s="1424"/>
      <c r="F379" s="1420"/>
      <c r="G379" s="251" t="str">
        <f>IF($F380="",CONST_t,INDEX(CONST_LIST_GoodsUnit,MATCH($F380,CONST_LIST_Goods,0))) &amp;"/"&amp; IF($F380="",CONST_t,INDEX(CONST_LIST_GoodsUnit,MATCH($F380,CONST_LIST_Goods,0)))</f>
        <v>t/t</v>
      </c>
      <c r="H379" s="1449"/>
      <c r="I379" s="251" t="str">
        <f>CONST_tCO2eq &amp; "/" &amp; IF($F380="",CONST_t,INDEX(CONST_LIST_GoodsUnit,MATCH($F380,CONST_LIST_Goods,0)))</f>
        <v>tCO2e/t</v>
      </c>
      <c r="J379" s="251" t="str">
        <f>CONST_tCO2eq &amp; "/" &amp; IF($F380="",CONST_t,INDEX(CONST_LIST_GoodsUnit,MATCH($F380,CONST_LIST_Goods,0)))</f>
        <v>tCO2e/t</v>
      </c>
      <c r="K379" s="251" t="str">
        <f>CONST_tCO2eq &amp; "/" &amp; IF($F380="",CONST_t,INDEX(CONST_LIST_GoodsUnit,MATCH($F380,CONST_LIST_Goods,0)))</f>
        <v>tCO2e/t</v>
      </c>
      <c r="L379" s="252" t="str">
        <f>CONST_tCO2eq</f>
        <v>tCO2e</v>
      </c>
      <c r="M379" s="252" t="str">
        <f>CONST_tCO2eq</f>
        <v>tCO2e</v>
      </c>
      <c r="N379" s="252" t="str">
        <f>CONST_tCO2eq</f>
        <v>tCO2e</v>
      </c>
      <c r="O379" s="1449"/>
      <c r="P379" s="251" t="str">
        <f>CONST_MWh &amp; "/" &amp; IF($F380="",CONST_t,INDEX(CONST_LIST_GoodsUnit,MATCH($F380,CONST_LIST_Goods,0)))</f>
        <v>MWh/t</v>
      </c>
      <c r="Q379" s="1416"/>
      <c r="R379" s="1445"/>
      <c r="S379" s="1447"/>
      <c r="T379" s="431"/>
      <c r="V379" s="248"/>
      <c r="W379" s="248"/>
      <c r="X379" s="91"/>
      <c r="Y379" s="248"/>
      <c r="Z379" s="123"/>
      <c r="AA379" s="248"/>
      <c r="AB379" s="248"/>
      <c r="AC379" s="248"/>
      <c r="AD379" s="248"/>
      <c r="AE379" s="248"/>
      <c r="AF379" s="91"/>
      <c r="AG379" s="91"/>
      <c r="AH379" s="91"/>
      <c r="AI379" s="91"/>
      <c r="AJ379" s="91"/>
      <c r="AK379" s="91"/>
      <c r="AL379" s="91"/>
      <c r="AM379" s="91"/>
      <c r="AN379" s="91"/>
      <c r="AO379" s="91"/>
    </row>
    <row r="380" spans="1:41" ht="15" customHeight="1" thickBot="1" x14ac:dyDescent="0.4">
      <c r="A380" s="92"/>
      <c r="B380" s="94"/>
      <c r="C380" s="1441"/>
      <c r="D380" s="1429" t="str">
        <f>Translations!$B$600</f>
        <v>Total production process</v>
      </c>
      <c r="E380" s="1430"/>
      <c r="F380" s="253" t="str">
        <f>IF(D381="","",INDEX(CNTR_List_ExistProdProc,MATCH(D381,CNTR_List_ExistProdProcNames,0)))</f>
        <v/>
      </c>
      <c r="G380" s="254" t="s">
        <v>206</v>
      </c>
      <c r="H380" s="896" t="str">
        <f>IF(D378="","",IFERROR(SUMIFS(I382:I411,H382:H411,TRUE)/I380,""))</f>
        <v/>
      </c>
      <c r="I380" s="662" t="str">
        <f>IF(COUNT(I381:I411)&gt;0,SUM(I381:I411),"")</f>
        <v/>
      </c>
      <c r="J380" s="662" t="str">
        <f>IF(COUNT(J381:J411)&gt;0,SUM(J381:J411),"")</f>
        <v/>
      </c>
      <c r="K380" s="662" t="str">
        <f t="shared" ref="K380:L380" si="73">IF(COUNT(K381:K411)&gt;0,SUM(K381:K411),"")</f>
        <v/>
      </c>
      <c r="L380" s="255" t="str">
        <f t="shared" si="73"/>
        <v/>
      </c>
      <c r="M380" s="255" t="str">
        <f>IF(COUNT(M381:M411)&gt;0,SUM(M381:M411),"")</f>
        <v/>
      </c>
      <c r="N380" s="255" t="str">
        <f t="shared" ref="N380" si="74">IF(COUNT(N381:N411)&gt;0,SUM(N381:N411),"")</f>
        <v/>
      </c>
      <c r="O380" s="254" t="s">
        <v>206</v>
      </c>
      <c r="P380" s="662" t="str">
        <f t="shared" ref="P380" si="75">IF(COUNT(P381:P411)&gt;0,SUM(P381:P411),"")</f>
        <v/>
      </c>
      <c r="Q380" s="670" t="s">
        <v>206</v>
      </c>
      <c r="R380" s="675" t="str">
        <f t="shared" ref="R380:S380" si="76">IF(COUNT(R381:R411)&gt;0,SUM(R381:R411),"")</f>
        <v/>
      </c>
      <c r="S380" s="666" t="str">
        <f t="shared" si="76"/>
        <v/>
      </c>
      <c r="T380" s="428"/>
      <c r="Z380" s="123"/>
      <c r="AD380" s="91" t="s">
        <v>199</v>
      </c>
      <c r="AE380" s="91" t="s">
        <v>200</v>
      </c>
      <c r="AG380" s="91" t="s">
        <v>418</v>
      </c>
    </row>
    <row r="381" spans="1:41" ht="12.75" customHeight="1" thickBot="1" x14ac:dyDescent="0.4">
      <c r="A381" s="92"/>
      <c r="B381" s="94"/>
      <c r="C381" s="144"/>
      <c r="D381" s="1431" t="str">
        <f>D378</f>
        <v/>
      </c>
      <c r="E381" s="1432"/>
      <c r="F381" s="283" t="str">
        <f>IF(D381="","",INDEX(CNTR_List_ExistProdProc,MATCH(D381,CNTR_List_ExistProdProcNames,0)))</f>
        <v/>
      </c>
      <c r="G381" s="256">
        <v>1</v>
      </c>
      <c r="H381" s="284" t="s">
        <v>206</v>
      </c>
      <c r="I381" s="663" t="str">
        <f>IF($D381="","",SUM($G381)*SUM(INDEX(InputOutput!$AJ$71:$AJ$100,MATCH($D381,InputOutput!$D$71:$D$100,0))))</f>
        <v/>
      </c>
      <c r="J381" s="663" t="str">
        <f>IF($D381="","",SUM($G381)*SUM(INDEX(InputOutput!$AL$71:$AL$100,MATCH($D381,InputOutput!$D$71:$D$100,0))))</f>
        <v/>
      </c>
      <c r="K381" s="663" t="str">
        <f t="shared" ref="K381:K410" si="77">IF(COUNT(I381:J381)&gt;0,SUM(I381:J381),"")</f>
        <v/>
      </c>
      <c r="L381" s="257" t="str">
        <f>IF(D381="","",SUM(I381)*SUM(AD381))</f>
        <v/>
      </c>
      <c r="M381" s="257" t="str">
        <f>IF(D381="","",SUM(J381)*SUM(AD381))</f>
        <v/>
      </c>
      <c r="N381" s="257" t="str">
        <f t="shared" ref="N381:N410" si="78">IF(COUNT(L381:M381)&gt;0,SUM(L381:M381),"")</f>
        <v/>
      </c>
      <c r="O381" s="257" t="str">
        <f>IF(AG381,INDEX(E_PurchPrec!U:U,MATCH(CONST_CNTR_ElecEFMethod&amp;D381,E_PurchPrec!R:R,0)),INDEX(D_Processes!T:T,MATCH(CONST_CNTR_ElecEFMethod&amp;D381,D_Processes!R:R,0)))</f>
        <v/>
      </c>
      <c r="P381" s="663" t="str">
        <f>IF($D381="","",SUM($G381)*SUM(INDEX(InputOutput!$AN$71:$AN$100,MATCH($D381,InputOutput!$D$71:$D$100,0))))</f>
        <v/>
      </c>
      <c r="Q381" s="671"/>
      <c r="R381" s="676" t="str">
        <f>IF($D381="","",SUM($G381)*SUM(INDEX(F_Tools!$T$101:$T$130,MATCH($D381,F_Tools!$E$101:$E$130,0))))</f>
        <v/>
      </c>
      <c r="S381" s="667" t="str">
        <f>IF($D381="","",SUM($G381)*SUM(INDEX(F_Tools!$U$101:$U$130,MATCH($D381,F_Tools!$E$101:$E$130,0))))</f>
        <v/>
      </c>
      <c r="T381" s="428"/>
      <c r="Z381" s="123"/>
      <c r="AB381" s="150" t="str">
        <f>CONST_CNTR_TotProd &amp; D378</f>
        <v>TotProd_</v>
      </c>
      <c r="AD381" s="258">
        <f>SUMIF(D_Processes!R:R,AB381,D_Processes!L:L)</f>
        <v>0</v>
      </c>
    </row>
    <row r="382" spans="1:41" ht="12.75" customHeight="1" x14ac:dyDescent="0.35">
      <c r="A382" s="92"/>
      <c r="B382" s="94"/>
      <c r="C382" s="978">
        <v>1</v>
      </c>
      <c r="D382" s="1442" t="str">
        <f>IF(D378="","",IF(COUNTIF(INDEX(CNTR_IOSupplyChain,MATCH(D378,CNTR_IOProcAndPrec,0),),C382)=0,"",INDEX(CNTR_IOProcAndPrec,MATCH(C382,INDEX(CNTR_IOSupplyChain,MATCH(D378,CNTR_IOProcAndPrec,0),),0))))</f>
        <v/>
      </c>
      <c r="E382" s="1443"/>
      <c r="F382" s="260" t="str">
        <f t="shared" ref="F382:F411" si="79">IF(D382="","",IF(COUNTIF(CNTR_List_ExistProdProcNames,D382)&gt;0,INDEX(CNTR_List_ExistProdProc,MATCH(D382,CNTR_List_ExistProdProcNames,0)),INDEX(CNTR_List_ExistPurchPrec,MATCH(D382,CNTR_List_ExistPurchPrecNames,0))))</f>
        <v/>
      </c>
      <c r="G382" s="261" t="str">
        <f>IF(D382="","",INDEX(CNTR_Matrix_Inv,MATCH(D378,CNTR_IOProcAndPrec,0),MATCH(D382,CNTR_IOProcAndPrec,0)))</f>
        <v/>
      </c>
      <c r="H382" s="285" t="str">
        <f>IF(D382="","",IF(AG382,INDEX(E_PurchPrec!U:U,MATCH(CONST_PurchPrecDefaultUsed&amp;D382,E_PurchPrec!R:R,0)),CONST_NA))</f>
        <v/>
      </c>
      <c r="I382" s="261" t="str">
        <f>IF($D382="","",SUM($G382)*SUM(INDEX(InputOutput!$AJ$71:$AJ$100,MATCH($D382,InputOutput!$D$71:$D$100,0))))</f>
        <v/>
      </c>
      <c r="J382" s="261" t="str">
        <f>IF($D382="","",SUM($G382)*SUM(INDEX(InputOutput!$AL$71:$AL$100,MATCH($D382,InputOutput!$D$71:$D$100,0))))</f>
        <v/>
      </c>
      <c r="K382" s="261" t="str">
        <f t="shared" si="77"/>
        <v/>
      </c>
      <c r="L382" s="262" t="str">
        <f>IF(D382="","",SUM(I382)*SUM(AD381))</f>
        <v/>
      </c>
      <c r="M382" s="262" t="str">
        <f>IF(D382="","",SUM(J382)*SUM(AD381))</f>
        <v/>
      </c>
      <c r="N382" s="262" t="str">
        <f t="shared" si="78"/>
        <v/>
      </c>
      <c r="O382" s="262" t="str">
        <f>IF(AG382,INDEX(E_PurchPrec!U:U,MATCH(CONST_CNTR_ElecEFMethod&amp;D382,E_PurchPrec!R:R,0)),INDEX(D_Processes!T:T,MATCH(CONST_CNTR_ElecEFMethod&amp;D382,D_Processes!R:R,0)))</f>
        <v/>
      </c>
      <c r="P382" s="261" t="str">
        <f>IF($D382="","",SUM($G382)*SUM(INDEX(InputOutput!$AN$71:$AN$100,MATCH($D382,InputOutput!$D$71:$D$100,0))))</f>
        <v/>
      </c>
      <c r="Q382" s="672" t="str">
        <f>IF(D382="","",IF(AG382,INDEX(A_InstData!$F$102:$F$121,MATCH(D382,CNTR_List_ExistPurchPrecNames,0)),""))</f>
        <v/>
      </c>
      <c r="R382" s="677" t="str">
        <f>IF($D382="","",SUM($G382)*SUM(INDEX(F_Tools!$T$101:$T$130,MATCH($D382,F_Tools!$E$101:$E$130,0))))</f>
        <v/>
      </c>
      <c r="S382" s="668" t="str">
        <f>IF($D382="","",SUM($G382)*SUM(INDEX(F_Tools!$U$101:$U$130,MATCH($D382,F_Tools!$E$101:$E$130,0))))</f>
        <v/>
      </c>
      <c r="T382" s="428"/>
      <c r="Z382" s="123"/>
      <c r="AB382" s="263" t="str">
        <f>CONST_PrecursorToGoodInput &amp; D382 &amp; "_" &amp; D378</f>
        <v>PrecToGood__</v>
      </c>
      <c r="AD382" s="264">
        <f>SUMIF(D_Processes!R:R,AB382,D_Processes!K:K)</f>
        <v>0</v>
      </c>
      <c r="AE382" s="263">
        <f>SUMIF(D_Processes!R:R,CONST_CNTR_TotProd &amp; D382,D_Processes!L:L)</f>
        <v>0</v>
      </c>
      <c r="AG382" s="102" t="b">
        <f t="shared" ref="AG382:AG411" si="80">COUNTIF(CNTR_List_ExistPurchPrecNames,D382)&gt;0</f>
        <v>0</v>
      </c>
    </row>
    <row r="383" spans="1:41" ht="12.75" customHeight="1" x14ac:dyDescent="0.35">
      <c r="A383" s="92"/>
      <c r="B383" s="94"/>
      <c r="C383" s="978">
        <v>2</v>
      </c>
      <c r="D383" s="1417" t="str">
        <f>IF(D378="","",IF(COUNTIF(INDEX(CNTR_IOSupplyChain,MATCH(D378,CNTR_IOProcAndPrec,0),),C383)=0,"",INDEX(CNTR_IOProcAndPrec,MATCH(C383,INDEX(CNTR_IOSupplyChain,MATCH(D378,CNTR_IOProcAndPrec,0),),0))))</f>
        <v/>
      </c>
      <c r="E383" s="1418"/>
      <c r="F383" s="265" t="str">
        <f t="shared" si="79"/>
        <v/>
      </c>
      <c r="G383" s="266" t="str">
        <f>IF(D383="","",INDEX(CNTR_Matrix_Inv,MATCH(D378,CNTR_IOProcAndPrec,0),MATCH(D383,CNTR_IOProcAndPrec,0)))</f>
        <v/>
      </c>
      <c r="H383" s="286" t="str">
        <f>IF(D383="","",IF(AG383,INDEX(E_PurchPrec!U:U,MATCH(CONST_PurchPrecDefaultUsed&amp;D383,E_PurchPrec!R:R,0)),CONST_NA))</f>
        <v/>
      </c>
      <c r="I383" s="266" t="str">
        <f>IF($D383="","",SUM($G383)*SUM(INDEX(InputOutput!$AJ$71:$AJ$100,MATCH($D383,InputOutput!$D$71:$D$100,0))))</f>
        <v/>
      </c>
      <c r="J383" s="266" t="str">
        <f>IF($D383="","",SUM($G383)*SUM(INDEX(InputOutput!$AL$71:$AL$100,MATCH($D383,InputOutput!$D$71:$D$100,0))))</f>
        <v/>
      </c>
      <c r="K383" s="266" t="str">
        <f t="shared" si="77"/>
        <v/>
      </c>
      <c r="L383" s="267" t="str">
        <f>IF(D383="","",SUM(I383)*SUM(AD381))</f>
        <v/>
      </c>
      <c r="M383" s="267" t="str">
        <f>IF(D383="","",SUM(J383)*SUM(AD381))</f>
        <v/>
      </c>
      <c r="N383" s="267" t="str">
        <f t="shared" si="78"/>
        <v/>
      </c>
      <c r="O383" s="267" t="str">
        <f>IF(AG383,INDEX(E_PurchPrec!U:U,MATCH(CONST_CNTR_ElecEFMethod&amp;D383,E_PurchPrec!R:R,0)),INDEX(D_Processes!T:T,MATCH(CONST_CNTR_ElecEFMethod&amp;D383,D_Processes!R:R,0)))</f>
        <v/>
      </c>
      <c r="P383" s="266" t="str">
        <f>IF($D383="","",SUM($G383)*SUM(INDEX(InputOutput!$AN$71:$AN$100,MATCH($D383,InputOutput!$D$71:$D$100,0))))</f>
        <v/>
      </c>
      <c r="Q383" s="673" t="str">
        <f>IF(D383="","",IF(AG383,INDEX(A_InstData!$F$102:$F$121,MATCH(D383,CNTR_List_ExistPurchPrecNames,0)),""))</f>
        <v/>
      </c>
      <c r="R383" s="678" t="str">
        <f>IF($D383="","",SUM($G383)*SUM(INDEX(F_Tools!$T$101:$T$130,MATCH($D383,F_Tools!$E$101:$E$130,0))))</f>
        <v/>
      </c>
      <c r="S383" s="669" t="str">
        <f>IF($D383="","",SUM($G383)*SUM(INDEX(F_Tools!$U$101:$U$130,MATCH($D383,F_Tools!$E$101:$E$130,0))))</f>
        <v/>
      </c>
      <c r="T383" s="428"/>
      <c r="Z383" s="123"/>
      <c r="AB383" s="268" t="str">
        <f>CONST_PrecursorToGoodInput &amp; D383 &amp; "_" &amp; D378</f>
        <v>PrecToGood__</v>
      </c>
      <c r="AD383" s="269">
        <f>SUMIF(D_Processes!R:R,AB383,D_Processes!K:K)</f>
        <v>0</v>
      </c>
      <c r="AE383" s="268">
        <f>SUMIF(D_Processes!R:R,CONST_CNTR_TotProd &amp; D383,D_Processes!L:L)</f>
        <v>0</v>
      </c>
      <c r="AG383" s="102" t="b">
        <f t="shared" si="80"/>
        <v>0</v>
      </c>
    </row>
    <row r="384" spans="1:41" ht="12.75" customHeight="1" x14ac:dyDescent="0.35">
      <c r="A384" s="92"/>
      <c r="B384" s="94"/>
      <c r="C384" s="978">
        <v>3</v>
      </c>
      <c r="D384" s="1417" t="str">
        <f>IF(D378="","",IF(COUNTIF(INDEX(CNTR_IOSupplyChain,MATCH(D378,CNTR_IOProcAndPrec,0),),C384)=0,"",INDEX(CNTR_IOProcAndPrec,MATCH(C384,INDEX(CNTR_IOSupplyChain,MATCH(D378,CNTR_IOProcAndPrec,0),),0))))</f>
        <v/>
      </c>
      <c r="E384" s="1418"/>
      <c r="F384" s="265" t="str">
        <f t="shared" si="79"/>
        <v/>
      </c>
      <c r="G384" s="266" t="str">
        <f>IF(D384="","",INDEX(CNTR_Matrix_Inv,MATCH(D378,CNTR_IOProcAndPrec,0),MATCH(D384,CNTR_IOProcAndPrec,0)))</f>
        <v/>
      </c>
      <c r="H384" s="286" t="str">
        <f>IF(D384="","",IF(AG384,INDEX(E_PurchPrec!U:U,MATCH(CONST_PurchPrecDefaultUsed&amp;D384,E_PurchPrec!R:R,0)),CONST_NA))</f>
        <v/>
      </c>
      <c r="I384" s="266" t="str">
        <f>IF($D384="","",SUM($G384)*SUM(INDEX(InputOutput!$AJ$71:$AJ$100,MATCH($D384,InputOutput!$D$71:$D$100,0))))</f>
        <v/>
      </c>
      <c r="J384" s="266" t="str">
        <f>IF($D384="","",SUM($G384)*SUM(INDEX(InputOutput!$AL$71:$AL$100,MATCH($D384,InputOutput!$D$71:$D$100,0))))</f>
        <v/>
      </c>
      <c r="K384" s="266" t="str">
        <f t="shared" si="77"/>
        <v/>
      </c>
      <c r="L384" s="267" t="str">
        <f>IF(D384="","",SUM(I384)*SUM(AD381))</f>
        <v/>
      </c>
      <c r="M384" s="267" t="str">
        <f>IF(D384="","",SUM(J384)*SUM(AD381))</f>
        <v/>
      </c>
      <c r="N384" s="267" t="str">
        <f t="shared" si="78"/>
        <v/>
      </c>
      <c r="O384" s="267" t="str">
        <f>IF(AG384,INDEX(E_PurchPrec!U:U,MATCH(CONST_CNTR_ElecEFMethod&amp;D384,E_PurchPrec!R:R,0)),INDEX(D_Processes!T:T,MATCH(CONST_CNTR_ElecEFMethod&amp;D384,D_Processes!R:R,0)))</f>
        <v/>
      </c>
      <c r="P384" s="266" t="str">
        <f>IF($D384="","",SUM($G384)*SUM(INDEX(InputOutput!$AN$71:$AN$100,MATCH($D384,InputOutput!$D$71:$D$100,0))))</f>
        <v/>
      </c>
      <c r="Q384" s="673" t="str">
        <f>IF(D384="","",IF(AG384,INDEX(A_InstData!$F$102:$F$121,MATCH(D384,CNTR_List_ExistPurchPrecNames,0)),""))</f>
        <v/>
      </c>
      <c r="R384" s="678" t="str">
        <f>IF($D384="","",SUM($G384)*SUM(INDEX(F_Tools!$T$101:$T$130,MATCH($D384,F_Tools!$E$101:$E$130,0))))</f>
        <v/>
      </c>
      <c r="S384" s="669" t="str">
        <f>IF($D384="","",SUM($G384)*SUM(INDEX(F_Tools!$U$101:$U$130,MATCH($D384,F_Tools!$E$101:$E$130,0))))</f>
        <v/>
      </c>
      <c r="T384" s="428"/>
      <c r="Z384" s="123"/>
      <c r="AB384" s="268" t="str">
        <f>CONST_PrecursorToGoodInput &amp; D384 &amp; "_" &amp; D378</f>
        <v>PrecToGood__</v>
      </c>
      <c r="AD384" s="269">
        <f>SUMIF(D_Processes!R:R,AB384,D_Processes!K:K)</f>
        <v>0</v>
      </c>
      <c r="AE384" s="268">
        <f>SUMIF(D_Processes!R:R,CONST_CNTR_TotProd &amp; D384,D_Processes!L:L)</f>
        <v>0</v>
      </c>
      <c r="AG384" s="102" t="b">
        <f t="shared" si="80"/>
        <v>0</v>
      </c>
    </row>
    <row r="385" spans="1:33" ht="12.75" customHeight="1" x14ac:dyDescent="0.35">
      <c r="A385" s="92"/>
      <c r="B385" s="94"/>
      <c r="C385" s="978">
        <v>4</v>
      </c>
      <c r="D385" s="1417" t="str">
        <f>IF(D378="","",IF(COUNTIF(INDEX(CNTR_IOSupplyChain,MATCH(D378,CNTR_IOProcAndPrec,0),),C385)=0,"",INDEX(CNTR_IOProcAndPrec,MATCH(C385,INDEX(CNTR_IOSupplyChain,MATCH(D378,CNTR_IOProcAndPrec,0),),0))))</f>
        <v/>
      </c>
      <c r="E385" s="1418"/>
      <c r="F385" s="265" t="str">
        <f t="shared" si="79"/>
        <v/>
      </c>
      <c r="G385" s="266" t="str">
        <f>IF(D385="","",INDEX(CNTR_Matrix_Inv,MATCH(D378,CNTR_IOProcAndPrec,0),MATCH(D385,CNTR_IOProcAndPrec,0)))</f>
        <v/>
      </c>
      <c r="H385" s="286" t="str">
        <f>IF(D385="","",IF(AG385,INDEX(E_PurchPrec!U:U,MATCH(CONST_PurchPrecDefaultUsed&amp;D385,E_PurchPrec!R:R,0)),CONST_NA))</f>
        <v/>
      </c>
      <c r="I385" s="266" t="str">
        <f>IF($D385="","",SUM($G385)*SUM(INDEX(InputOutput!$AJ$71:$AJ$100,MATCH($D385,InputOutput!$D$71:$D$100,0))))</f>
        <v/>
      </c>
      <c r="J385" s="266" t="str">
        <f>IF($D385="","",SUM($G385)*SUM(INDEX(InputOutput!$AL$71:$AL$100,MATCH($D385,InputOutput!$D$71:$D$100,0))))</f>
        <v/>
      </c>
      <c r="K385" s="266" t="str">
        <f t="shared" si="77"/>
        <v/>
      </c>
      <c r="L385" s="267" t="str">
        <f>IF(D385="","",SUM(I385)*SUM(AD381))</f>
        <v/>
      </c>
      <c r="M385" s="267" t="str">
        <f>IF(D385="","",SUM(J385)*SUM(AD381))</f>
        <v/>
      </c>
      <c r="N385" s="267" t="str">
        <f t="shared" si="78"/>
        <v/>
      </c>
      <c r="O385" s="267" t="str">
        <f>IF(AG385,INDEX(E_PurchPrec!U:U,MATCH(CONST_CNTR_ElecEFMethod&amp;D385,E_PurchPrec!R:R,0)),INDEX(D_Processes!T:T,MATCH(CONST_CNTR_ElecEFMethod&amp;D385,D_Processes!R:R,0)))</f>
        <v/>
      </c>
      <c r="P385" s="266" t="str">
        <f>IF($D385="","",SUM($G385)*SUM(INDEX(InputOutput!$AN$71:$AN$100,MATCH($D385,InputOutput!$D$71:$D$100,0))))</f>
        <v/>
      </c>
      <c r="Q385" s="673" t="str">
        <f>IF(D385="","",IF(AG385,INDEX(A_InstData!$F$102:$F$121,MATCH(D385,CNTR_List_ExistPurchPrecNames,0)),""))</f>
        <v/>
      </c>
      <c r="R385" s="678" t="str">
        <f>IF($D385="","",SUM($G385)*SUM(INDEX(F_Tools!$T$101:$T$130,MATCH($D385,F_Tools!$E$101:$E$130,0))))</f>
        <v/>
      </c>
      <c r="S385" s="669" t="str">
        <f>IF($D385="","",SUM($G385)*SUM(INDEX(F_Tools!$U$101:$U$130,MATCH($D385,F_Tools!$E$101:$E$130,0))))</f>
        <v/>
      </c>
      <c r="T385" s="428"/>
      <c r="Z385" s="123"/>
      <c r="AB385" s="268" t="str">
        <f>CONST_PrecursorToGoodInput &amp; D385 &amp; "_" &amp; D378</f>
        <v>PrecToGood__</v>
      </c>
      <c r="AD385" s="269">
        <f>SUMIF(D_Processes!R:R,AB385,D_Processes!K:K)</f>
        <v>0</v>
      </c>
      <c r="AE385" s="268">
        <f>SUMIF(D_Processes!R:R,CONST_CNTR_TotProd &amp; D385,D_Processes!L:L)</f>
        <v>0</v>
      </c>
      <c r="AG385" s="102" t="b">
        <f t="shared" si="80"/>
        <v>0</v>
      </c>
    </row>
    <row r="386" spans="1:33" ht="12.75" customHeight="1" x14ac:dyDescent="0.35">
      <c r="A386" s="92"/>
      <c r="B386" s="94"/>
      <c r="C386" s="978">
        <v>5</v>
      </c>
      <c r="D386" s="1417" t="str">
        <f>IF(D378="","",IF(COUNTIF(INDEX(CNTR_IOSupplyChain,MATCH(D378,CNTR_IOProcAndPrec,0),),C386)=0,"",INDEX(CNTR_IOProcAndPrec,MATCH(C386,INDEX(CNTR_IOSupplyChain,MATCH(D378,CNTR_IOProcAndPrec,0),),0))))</f>
        <v/>
      </c>
      <c r="E386" s="1418"/>
      <c r="F386" s="265" t="str">
        <f t="shared" si="79"/>
        <v/>
      </c>
      <c r="G386" s="266" t="str">
        <f>IF(D386="","",INDEX(CNTR_Matrix_Inv,MATCH(D378,CNTR_IOProcAndPrec,0),MATCH(D386,CNTR_IOProcAndPrec,0)))</f>
        <v/>
      </c>
      <c r="H386" s="286" t="str">
        <f>IF(D386="","",IF(AG386,INDEX(E_PurchPrec!U:U,MATCH(CONST_PurchPrecDefaultUsed&amp;D386,E_PurchPrec!R:R,0)),CONST_NA))</f>
        <v/>
      </c>
      <c r="I386" s="266" t="str">
        <f>IF($D386="","",SUM($G386)*SUM(INDEX(InputOutput!$AJ$71:$AJ$100,MATCH($D386,InputOutput!$D$71:$D$100,0))))</f>
        <v/>
      </c>
      <c r="J386" s="266" t="str">
        <f>IF($D386="","",SUM($G386)*SUM(INDEX(InputOutput!$AL$71:$AL$100,MATCH($D386,InputOutput!$D$71:$D$100,0))))</f>
        <v/>
      </c>
      <c r="K386" s="266" t="str">
        <f t="shared" si="77"/>
        <v/>
      </c>
      <c r="L386" s="267" t="str">
        <f>IF(D386="","",SUM(I386)*SUM(AD381))</f>
        <v/>
      </c>
      <c r="M386" s="267" t="str">
        <f>IF(D386="","",SUM(J386)*SUM(AD381))</f>
        <v/>
      </c>
      <c r="N386" s="267" t="str">
        <f t="shared" si="78"/>
        <v/>
      </c>
      <c r="O386" s="267" t="str">
        <f>IF(AG386,INDEX(E_PurchPrec!U:U,MATCH(CONST_CNTR_ElecEFMethod&amp;D386,E_PurchPrec!R:R,0)),INDEX(D_Processes!T:T,MATCH(CONST_CNTR_ElecEFMethod&amp;D386,D_Processes!R:R,0)))</f>
        <v/>
      </c>
      <c r="P386" s="266" t="str">
        <f>IF($D386="","",SUM($G386)*SUM(INDEX(InputOutput!$AN$71:$AN$100,MATCH($D386,InputOutput!$D$71:$D$100,0))))</f>
        <v/>
      </c>
      <c r="Q386" s="673" t="str">
        <f>IF(D386="","",IF(AG386,INDEX(A_InstData!$F$102:$F$121,MATCH(D386,CNTR_List_ExistPurchPrecNames,0)),""))</f>
        <v/>
      </c>
      <c r="R386" s="678" t="str">
        <f>IF($D386="","",SUM($G386)*SUM(INDEX(F_Tools!$T$101:$T$130,MATCH($D386,F_Tools!$E$101:$E$130,0))))</f>
        <v/>
      </c>
      <c r="S386" s="669" t="str">
        <f>IF($D386="","",SUM($G386)*SUM(INDEX(F_Tools!$U$101:$U$130,MATCH($D386,F_Tools!$E$101:$E$130,0))))</f>
        <v/>
      </c>
      <c r="T386" s="428"/>
      <c r="Z386" s="123"/>
      <c r="AB386" s="268" t="str">
        <f>CONST_PrecursorToGoodInput &amp; D386 &amp; "_" &amp; D378</f>
        <v>PrecToGood__</v>
      </c>
      <c r="AD386" s="269">
        <f>SUMIF(D_Processes!R:R,AB386,D_Processes!K:K)</f>
        <v>0</v>
      </c>
      <c r="AE386" s="268">
        <f>SUMIF(D_Processes!R:R,CONST_CNTR_TotProd &amp; D386,D_Processes!L:L)</f>
        <v>0</v>
      </c>
      <c r="AG386" s="102" t="b">
        <f t="shared" si="80"/>
        <v>0</v>
      </c>
    </row>
    <row r="387" spans="1:33" ht="12.75" customHeight="1" outlineLevel="1" x14ac:dyDescent="0.35">
      <c r="A387" s="92"/>
      <c r="B387" s="94"/>
      <c r="C387" s="978">
        <v>6</v>
      </c>
      <c r="D387" s="1417" t="str">
        <f>IF(D378="","",IF(COUNTIF(INDEX(CNTR_IOSupplyChain,MATCH(D378,CNTR_IOProcAndPrec,0),),C387)=0,"",INDEX(CNTR_IOProcAndPrec,MATCH(C387,INDEX(CNTR_IOSupplyChain,MATCH(D378,CNTR_IOProcAndPrec,0),),0))))</f>
        <v/>
      </c>
      <c r="E387" s="1418"/>
      <c r="F387" s="265" t="str">
        <f t="shared" si="79"/>
        <v/>
      </c>
      <c r="G387" s="266" t="str">
        <f>IF(D387="","",INDEX(CNTR_Matrix_Inv,MATCH(D378,CNTR_IOProcAndPrec,0),MATCH(D387,CNTR_IOProcAndPrec,0)))</f>
        <v/>
      </c>
      <c r="H387" s="286" t="str">
        <f>IF(D387="","",IF(AG387,INDEX(E_PurchPrec!U:U,MATCH(CONST_PurchPrecDefaultUsed&amp;D387,E_PurchPrec!R:R,0)),CONST_NA))</f>
        <v/>
      </c>
      <c r="I387" s="266" t="str">
        <f>IF($D387="","",SUM($G387)*SUM(INDEX(InputOutput!$AJ$71:$AJ$100,MATCH($D387,InputOutput!$D$71:$D$100,0))))</f>
        <v/>
      </c>
      <c r="J387" s="266" t="str">
        <f>IF($D387="","",SUM($G387)*SUM(INDEX(InputOutput!$AL$71:$AL$100,MATCH($D387,InputOutput!$D$71:$D$100,0))))</f>
        <v/>
      </c>
      <c r="K387" s="266" t="str">
        <f t="shared" si="77"/>
        <v/>
      </c>
      <c r="L387" s="267" t="str">
        <f>IF(D387="","",SUM(I387)*SUM(AD381))</f>
        <v/>
      </c>
      <c r="M387" s="267" t="str">
        <f>IF(D387="","",SUM(J387)*SUM(AD381))</f>
        <v/>
      </c>
      <c r="N387" s="267" t="str">
        <f t="shared" si="78"/>
        <v/>
      </c>
      <c r="O387" s="267" t="str">
        <f>IF(AG387,INDEX(E_PurchPrec!U:U,MATCH(CONST_CNTR_ElecEFMethod&amp;D387,E_PurchPrec!R:R,0)),INDEX(D_Processes!T:T,MATCH(CONST_CNTR_ElecEFMethod&amp;D387,D_Processes!R:R,0)))</f>
        <v/>
      </c>
      <c r="P387" s="266" t="str">
        <f>IF($D387="","",SUM($G387)*SUM(INDEX(InputOutput!$AN$71:$AN$100,MATCH($D387,InputOutput!$D$71:$D$100,0))))</f>
        <v/>
      </c>
      <c r="Q387" s="673" t="str">
        <f>IF(D387="","",IF(AG387,INDEX(A_InstData!$F$102:$F$121,MATCH(D387,CNTR_List_ExistPurchPrecNames,0)),""))</f>
        <v/>
      </c>
      <c r="R387" s="678" t="str">
        <f>IF($D387="","",SUM($G387)*SUM(INDEX(F_Tools!$T$101:$T$130,MATCH($D387,F_Tools!$E$101:$E$130,0))))</f>
        <v/>
      </c>
      <c r="S387" s="669" t="str">
        <f>IF($D387="","",SUM($G387)*SUM(INDEX(F_Tools!$U$101:$U$130,MATCH($D387,F_Tools!$E$101:$E$130,0))))</f>
        <v/>
      </c>
      <c r="T387" s="428"/>
      <c r="Z387" s="123"/>
      <c r="AB387" s="268" t="str">
        <f>CONST_PrecursorToGoodInput &amp; D387 &amp; "_" &amp; D378</f>
        <v>PrecToGood__</v>
      </c>
      <c r="AD387" s="269">
        <f>SUMIF(D_Processes!R:R,AB387,D_Processes!K:K)</f>
        <v>0</v>
      </c>
      <c r="AE387" s="268">
        <f>SUMIF(D_Processes!R:R,CONST_CNTR_TotProd &amp; D387,D_Processes!L:L)</f>
        <v>0</v>
      </c>
      <c r="AG387" s="102" t="b">
        <f t="shared" si="80"/>
        <v>0</v>
      </c>
    </row>
    <row r="388" spans="1:33" ht="12.75" customHeight="1" outlineLevel="1" x14ac:dyDescent="0.35">
      <c r="A388" s="92"/>
      <c r="B388" s="94"/>
      <c r="C388" s="978">
        <v>7</v>
      </c>
      <c r="D388" s="1417" t="str">
        <f>IF(D378="","",IF(COUNTIF(INDEX(CNTR_IOSupplyChain,MATCH(D378,CNTR_IOProcAndPrec,0),),C388)=0,"",INDEX(CNTR_IOProcAndPrec,MATCH(C388,INDEX(CNTR_IOSupplyChain,MATCH(D378,CNTR_IOProcAndPrec,0),),0))))</f>
        <v/>
      </c>
      <c r="E388" s="1418"/>
      <c r="F388" s="265" t="str">
        <f t="shared" si="79"/>
        <v/>
      </c>
      <c r="G388" s="266" t="str">
        <f>IF(D388="","",INDEX(CNTR_Matrix_Inv,MATCH(D378,CNTR_IOProcAndPrec,0),MATCH(D388,CNTR_IOProcAndPrec,0)))</f>
        <v/>
      </c>
      <c r="H388" s="286" t="str">
        <f>IF(D388="","",IF(AG388,INDEX(E_PurchPrec!U:U,MATCH(CONST_PurchPrecDefaultUsed&amp;D388,E_PurchPrec!R:R,0)),CONST_NA))</f>
        <v/>
      </c>
      <c r="I388" s="266" t="str">
        <f>IF($D388="","",SUM($G388)*SUM(INDEX(InputOutput!$AJ$71:$AJ$100,MATCH($D388,InputOutput!$D$71:$D$100,0))))</f>
        <v/>
      </c>
      <c r="J388" s="266" t="str">
        <f>IF($D388="","",SUM($G388)*SUM(INDEX(InputOutput!$AL$71:$AL$100,MATCH($D388,InputOutput!$D$71:$D$100,0))))</f>
        <v/>
      </c>
      <c r="K388" s="266" t="str">
        <f t="shared" si="77"/>
        <v/>
      </c>
      <c r="L388" s="267" t="str">
        <f>IF(D388="","",SUM(I388)*SUM(AD381))</f>
        <v/>
      </c>
      <c r="M388" s="267" t="str">
        <f>IF(D388="","",SUM(J388)*SUM(AD381))</f>
        <v/>
      </c>
      <c r="N388" s="267" t="str">
        <f t="shared" si="78"/>
        <v/>
      </c>
      <c r="O388" s="267" t="str">
        <f>IF(AG388,INDEX(E_PurchPrec!U:U,MATCH(CONST_CNTR_ElecEFMethod&amp;D388,E_PurchPrec!R:R,0)),INDEX(D_Processes!T:T,MATCH(CONST_CNTR_ElecEFMethod&amp;D388,D_Processes!R:R,0)))</f>
        <v/>
      </c>
      <c r="P388" s="266" t="str">
        <f>IF($D388="","",SUM($G388)*SUM(INDEX(InputOutput!$AN$71:$AN$100,MATCH($D388,InputOutput!$D$71:$D$100,0))))</f>
        <v/>
      </c>
      <c r="Q388" s="673" t="str">
        <f>IF(D388="","",IF(AG388,INDEX(A_InstData!$F$102:$F$121,MATCH(D388,CNTR_List_ExistPurchPrecNames,0)),""))</f>
        <v/>
      </c>
      <c r="R388" s="678" t="str">
        <f>IF($D388="","",SUM($G388)*SUM(INDEX(F_Tools!$T$101:$T$130,MATCH($D388,F_Tools!$E$101:$E$130,0))))</f>
        <v/>
      </c>
      <c r="S388" s="669" t="str">
        <f>IF($D388="","",SUM($G388)*SUM(INDEX(F_Tools!$U$101:$U$130,MATCH($D388,F_Tools!$E$101:$E$130,0))))</f>
        <v/>
      </c>
      <c r="T388" s="428"/>
      <c r="Z388" s="123"/>
      <c r="AB388" s="268" t="str">
        <f>CONST_PrecursorToGoodInput &amp; D388 &amp; "_" &amp; D378</f>
        <v>PrecToGood__</v>
      </c>
      <c r="AD388" s="269">
        <f>SUMIF(D_Processes!R:R,AB388,D_Processes!K:K)</f>
        <v>0</v>
      </c>
      <c r="AE388" s="268">
        <f>SUMIF(D_Processes!R:R,CONST_CNTR_TotProd &amp; D388,D_Processes!L:L)</f>
        <v>0</v>
      </c>
      <c r="AG388" s="102" t="b">
        <f t="shared" si="80"/>
        <v>0</v>
      </c>
    </row>
    <row r="389" spans="1:33" ht="12.75" customHeight="1" outlineLevel="1" x14ac:dyDescent="0.35">
      <c r="A389" s="92"/>
      <c r="B389" s="94"/>
      <c r="C389" s="978">
        <v>8</v>
      </c>
      <c r="D389" s="1417" t="str">
        <f>IF(D378="","",IF(COUNTIF(INDEX(CNTR_IOSupplyChain,MATCH(D378,CNTR_IOProcAndPrec,0),),C389)=0,"",INDEX(CNTR_IOProcAndPrec,MATCH(C389,INDEX(CNTR_IOSupplyChain,MATCH(D378,CNTR_IOProcAndPrec,0),),0))))</f>
        <v/>
      </c>
      <c r="E389" s="1418"/>
      <c r="F389" s="265" t="str">
        <f t="shared" si="79"/>
        <v/>
      </c>
      <c r="G389" s="266" t="str">
        <f>IF(D389="","",INDEX(CNTR_Matrix_Inv,MATCH(D378,CNTR_IOProcAndPrec,0),MATCH(D389,CNTR_IOProcAndPrec,0)))</f>
        <v/>
      </c>
      <c r="H389" s="286" t="str">
        <f>IF(D389="","",IF(AG389,INDEX(E_PurchPrec!U:U,MATCH(CONST_PurchPrecDefaultUsed&amp;D389,E_PurchPrec!R:R,0)),CONST_NA))</f>
        <v/>
      </c>
      <c r="I389" s="266" t="str">
        <f>IF($D389="","",SUM($G389)*SUM(INDEX(InputOutput!$AJ$71:$AJ$100,MATCH($D389,InputOutput!$D$71:$D$100,0))))</f>
        <v/>
      </c>
      <c r="J389" s="266" t="str">
        <f>IF($D389="","",SUM($G389)*SUM(INDEX(InputOutput!$AL$71:$AL$100,MATCH($D389,InputOutput!$D$71:$D$100,0))))</f>
        <v/>
      </c>
      <c r="K389" s="266" t="str">
        <f t="shared" si="77"/>
        <v/>
      </c>
      <c r="L389" s="267" t="str">
        <f>IF(D389="","",SUM(I389)*SUM(AD381))</f>
        <v/>
      </c>
      <c r="M389" s="267" t="str">
        <f>IF(D389="","",SUM(J389)*SUM(AD381))</f>
        <v/>
      </c>
      <c r="N389" s="267" t="str">
        <f t="shared" si="78"/>
        <v/>
      </c>
      <c r="O389" s="267" t="str">
        <f>IF(AG389,INDEX(E_PurchPrec!U:U,MATCH(CONST_CNTR_ElecEFMethod&amp;D389,E_PurchPrec!R:R,0)),INDEX(D_Processes!T:T,MATCH(CONST_CNTR_ElecEFMethod&amp;D389,D_Processes!R:R,0)))</f>
        <v/>
      </c>
      <c r="P389" s="266" t="str">
        <f>IF($D389="","",SUM($G389)*SUM(INDEX(InputOutput!$AN$71:$AN$100,MATCH($D389,InputOutput!$D$71:$D$100,0))))</f>
        <v/>
      </c>
      <c r="Q389" s="673" t="str">
        <f>IF(D389="","",IF(AG389,INDEX(A_InstData!$F$102:$F$121,MATCH(D389,CNTR_List_ExistPurchPrecNames,0)),""))</f>
        <v/>
      </c>
      <c r="R389" s="678" t="str">
        <f>IF($D389="","",SUM($G389)*SUM(INDEX(F_Tools!$T$101:$T$130,MATCH($D389,F_Tools!$E$101:$E$130,0))))</f>
        <v/>
      </c>
      <c r="S389" s="669" t="str">
        <f>IF($D389="","",SUM($G389)*SUM(INDEX(F_Tools!$U$101:$U$130,MATCH($D389,F_Tools!$E$101:$E$130,0))))</f>
        <v/>
      </c>
      <c r="T389" s="428"/>
      <c r="Z389" s="123"/>
      <c r="AB389" s="268" t="str">
        <f>CONST_PrecursorToGoodInput &amp; D389 &amp; "_" &amp; D378</f>
        <v>PrecToGood__</v>
      </c>
      <c r="AD389" s="269">
        <f>SUMIF(D_Processes!R:R,AB389,D_Processes!K:K)</f>
        <v>0</v>
      </c>
      <c r="AE389" s="268">
        <f>SUMIF(D_Processes!R:R,CONST_CNTR_TotProd &amp; D389,D_Processes!L:L)</f>
        <v>0</v>
      </c>
      <c r="AG389" s="102" t="b">
        <f t="shared" si="80"/>
        <v>0</v>
      </c>
    </row>
    <row r="390" spans="1:33" ht="12.75" customHeight="1" outlineLevel="1" x14ac:dyDescent="0.35">
      <c r="A390" s="92"/>
      <c r="B390" s="94"/>
      <c r="C390" s="978">
        <v>9</v>
      </c>
      <c r="D390" s="1417" t="str">
        <f>IF(D378="","",IF(COUNTIF(INDEX(CNTR_IOSupplyChain,MATCH(D378,CNTR_IOProcAndPrec,0),),C390)=0,"",INDEX(CNTR_IOProcAndPrec,MATCH(C390,INDEX(CNTR_IOSupplyChain,MATCH(D378,CNTR_IOProcAndPrec,0),),0))))</f>
        <v/>
      </c>
      <c r="E390" s="1418"/>
      <c r="F390" s="265" t="str">
        <f t="shared" si="79"/>
        <v/>
      </c>
      <c r="G390" s="266" t="str">
        <f>IF(D390="","",INDEX(CNTR_Matrix_Inv,MATCH(D378,CNTR_IOProcAndPrec,0),MATCH(D390,CNTR_IOProcAndPrec,0)))</f>
        <v/>
      </c>
      <c r="H390" s="286" t="str">
        <f>IF(D390="","",IF(AG390,INDEX(E_PurchPrec!U:U,MATCH(CONST_PurchPrecDefaultUsed&amp;D390,E_PurchPrec!R:R,0)),CONST_NA))</f>
        <v/>
      </c>
      <c r="I390" s="266" t="str">
        <f>IF($D390="","",SUM($G390)*SUM(INDEX(InputOutput!$AJ$71:$AJ$100,MATCH($D390,InputOutput!$D$71:$D$100,0))))</f>
        <v/>
      </c>
      <c r="J390" s="266" t="str">
        <f>IF($D390="","",SUM($G390)*SUM(INDEX(InputOutput!$AL$71:$AL$100,MATCH($D390,InputOutput!$D$71:$D$100,0))))</f>
        <v/>
      </c>
      <c r="K390" s="266" t="str">
        <f t="shared" si="77"/>
        <v/>
      </c>
      <c r="L390" s="267" t="str">
        <f>IF(D390="","",SUM(I390)*SUM(AD381))</f>
        <v/>
      </c>
      <c r="M390" s="267" t="str">
        <f>IF(D390="","",SUM(J390)*SUM(AD381))</f>
        <v/>
      </c>
      <c r="N390" s="267" t="str">
        <f t="shared" si="78"/>
        <v/>
      </c>
      <c r="O390" s="267" t="str">
        <f>IF(AG390,INDEX(E_PurchPrec!U:U,MATCH(CONST_CNTR_ElecEFMethod&amp;D390,E_PurchPrec!R:R,0)),INDEX(D_Processes!T:T,MATCH(CONST_CNTR_ElecEFMethod&amp;D390,D_Processes!R:R,0)))</f>
        <v/>
      </c>
      <c r="P390" s="266" t="str">
        <f>IF($D390="","",SUM($G390)*SUM(INDEX(InputOutput!$AN$71:$AN$100,MATCH($D390,InputOutput!$D$71:$D$100,0))))</f>
        <v/>
      </c>
      <c r="Q390" s="673" t="str">
        <f>IF(D390="","",IF(AG390,INDEX(A_InstData!$F$102:$F$121,MATCH(D390,CNTR_List_ExistPurchPrecNames,0)),""))</f>
        <v/>
      </c>
      <c r="R390" s="678" t="str">
        <f>IF($D390="","",SUM($G390)*SUM(INDEX(F_Tools!$T$101:$T$130,MATCH($D390,F_Tools!$E$101:$E$130,0))))</f>
        <v/>
      </c>
      <c r="S390" s="669" t="str">
        <f>IF($D390="","",SUM($G390)*SUM(INDEX(F_Tools!$U$101:$U$130,MATCH($D390,F_Tools!$E$101:$E$130,0))))</f>
        <v/>
      </c>
      <c r="T390" s="428"/>
      <c r="Z390" s="123"/>
      <c r="AB390" s="268" t="str">
        <f>CONST_PrecursorToGoodInput &amp; D390 &amp; "_" &amp; D378</f>
        <v>PrecToGood__</v>
      </c>
      <c r="AD390" s="269">
        <f>SUMIF(D_Processes!R:R,AB390,D_Processes!K:K)</f>
        <v>0</v>
      </c>
      <c r="AE390" s="268">
        <f>SUMIF(D_Processes!R:R,CONST_CNTR_TotProd &amp; D390,D_Processes!L:L)</f>
        <v>0</v>
      </c>
      <c r="AG390" s="102" t="b">
        <f t="shared" si="80"/>
        <v>0</v>
      </c>
    </row>
    <row r="391" spans="1:33" ht="12.75" customHeight="1" outlineLevel="1" x14ac:dyDescent="0.35">
      <c r="A391" s="92"/>
      <c r="B391" s="94"/>
      <c r="C391" s="978">
        <v>10</v>
      </c>
      <c r="D391" s="1417" t="str">
        <f>IF(D378="","",IF(COUNTIF(INDEX(CNTR_IOSupplyChain,MATCH(D378,CNTR_IOProcAndPrec,0),),C391)=0,"",INDEX(CNTR_IOProcAndPrec,MATCH(C391,INDEX(CNTR_IOSupplyChain,MATCH(D378,CNTR_IOProcAndPrec,0),),0))))</f>
        <v/>
      </c>
      <c r="E391" s="1418"/>
      <c r="F391" s="265" t="str">
        <f t="shared" si="79"/>
        <v/>
      </c>
      <c r="G391" s="266" t="str">
        <f>IF(D391="","",INDEX(CNTR_Matrix_Inv,MATCH(D378,CNTR_IOProcAndPrec,0),MATCH(D391,CNTR_IOProcAndPrec,0)))</f>
        <v/>
      </c>
      <c r="H391" s="286" t="str">
        <f>IF(D391="","",IF(AG391,INDEX(E_PurchPrec!U:U,MATCH(CONST_PurchPrecDefaultUsed&amp;D391,E_PurchPrec!R:R,0)),CONST_NA))</f>
        <v/>
      </c>
      <c r="I391" s="266" t="str">
        <f>IF($D391="","",SUM($G391)*SUM(INDEX(InputOutput!$AJ$71:$AJ$100,MATCH($D391,InputOutput!$D$71:$D$100,0))))</f>
        <v/>
      </c>
      <c r="J391" s="266" t="str">
        <f>IF($D391="","",SUM($G391)*SUM(INDEX(InputOutput!$AL$71:$AL$100,MATCH($D391,InputOutput!$D$71:$D$100,0))))</f>
        <v/>
      </c>
      <c r="K391" s="266" t="str">
        <f t="shared" si="77"/>
        <v/>
      </c>
      <c r="L391" s="267" t="str">
        <f>IF(D391="","",SUM(I391)*SUM(AD381))</f>
        <v/>
      </c>
      <c r="M391" s="267" t="str">
        <f>IF(D391="","",SUM(J391)*SUM(AD381))</f>
        <v/>
      </c>
      <c r="N391" s="267" t="str">
        <f t="shared" si="78"/>
        <v/>
      </c>
      <c r="O391" s="267" t="str">
        <f>IF(AG391,INDEX(E_PurchPrec!U:U,MATCH(CONST_CNTR_ElecEFMethod&amp;D391,E_PurchPrec!R:R,0)),INDEX(D_Processes!T:T,MATCH(CONST_CNTR_ElecEFMethod&amp;D391,D_Processes!R:R,0)))</f>
        <v/>
      </c>
      <c r="P391" s="266" t="str">
        <f>IF($D391="","",SUM($G391)*SUM(INDEX(InputOutput!$AN$71:$AN$100,MATCH($D391,InputOutput!$D$71:$D$100,0))))</f>
        <v/>
      </c>
      <c r="Q391" s="673" t="str">
        <f>IF(D391="","",IF(AG391,INDEX(A_InstData!$F$102:$F$121,MATCH(D391,CNTR_List_ExistPurchPrecNames,0)),""))</f>
        <v/>
      </c>
      <c r="R391" s="678" t="str">
        <f>IF($D391="","",SUM($G391)*SUM(INDEX(F_Tools!$T$101:$T$130,MATCH($D391,F_Tools!$E$101:$E$130,0))))</f>
        <v/>
      </c>
      <c r="S391" s="669" t="str">
        <f>IF($D391="","",SUM($G391)*SUM(INDEX(F_Tools!$U$101:$U$130,MATCH($D391,F_Tools!$E$101:$E$130,0))))</f>
        <v/>
      </c>
      <c r="T391" s="428"/>
      <c r="Z391" s="123"/>
      <c r="AB391" s="268" t="str">
        <f>CONST_PrecursorToGoodInput &amp; D391 &amp; "_" &amp; D378</f>
        <v>PrecToGood__</v>
      </c>
      <c r="AD391" s="269">
        <f>SUMIF(D_Processes!R:R,AB391,D_Processes!K:K)</f>
        <v>0</v>
      </c>
      <c r="AE391" s="268">
        <f>SUMIF(D_Processes!R:R,CONST_CNTR_TotProd &amp; D391,D_Processes!L:L)</f>
        <v>0</v>
      </c>
      <c r="AG391" s="102" t="b">
        <f t="shared" si="80"/>
        <v>0</v>
      </c>
    </row>
    <row r="392" spans="1:33" ht="12.75" customHeight="1" outlineLevel="1" x14ac:dyDescent="0.35">
      <c r="A392" s="92"/>
      <c r="B392" s="94"/>
      <c r="C392" s="978">
        <v>11</v>
      </c>
      <c r="D392" s="1417" t="str">
        <f>IF(D378="","",IF(COUNTIF(INDEX(CNTR_IOSupplyChain,MATCH(D378,CNTR_IOProcAndPrec,0),),C392)=0,"",INDEX(CNTR_IOProcAndPrec,MATCH(C392,INDEX(CNTR_IOSupplyChain,MATCH(D378,CNTR_IOProcAndPrec,0),),0))))</f>
        <v/>
      </c>
      <c r="E392" s="1418"/>
      <c r="F392" s="265" t="str">
        <f t="shared" si="79"/>
        <v/>
      </c>
      <c r="G392" s="266" t="str">
        <f>IF(D392="","",INDEX(CNTR_Matrix_Inv,MATCH(D378,CNTR_IOProcAndPrec,0),MATCH(D392,CNTR_IOProcAndPrec,0)))</f>
        <v/>
      </c>
      <c r="H392" s="286" t="str">
        <f>IF(D392="","",IF(AG392,INDEX(E_PurchPrec!U:U,MATCH(CONST_PurchPrecDefaultUsed&amp;D392,E_PurchPrec!R:R,0)),CONST_NA))</f>
        <v/>
      </c>
      <c r="I392" s="266" t="str">
        <f>IF($D392="","",SUM($G392)*SUM(INDEX(InputOutput!$AJ$71:$AJ$100,MATCH($D392,InputOutput!$D$71:$D$100,0))))</f>
        <v/>
      </c>
      <c r="J392" s="266" t="str">
        <f>IF($D392="","",SUM($G392)*SUM(INDEX(InputOutput!$AL$71:$AL$100,MATCH($D392,InputOutput!$D$71:$D$100,0))))</f>
        <v/>
      </c>
      <c r="K392" s="266" t="str">
        <f t="shared" si="77"/>
        <v/>
      </c>
      <c r="L392" s="267" t="str">
        <f>IF(D392="","",SUM(I392)*SUM(AD381))</f>
        <v/>
      </c>
      <c r="M392" s="267" t="str">
        <f>IF(D392="","",SUM(J392)*SUM(AD381))</f>
        <v/>
      </c>
      <c r="N392" s="267" t="str">
        <f t="shared" si="78"/>
        <v/>
      </c>
      <c r="O392" s="267" t="str">
        <f>IF(AG392,INDEX(E_PurchPrec!U:U,MATCH(CONST_CNTR_ElecEFMethod&amp;D392,E_PurchPrec!R:R,0)),INDEX(D_Processes!T:T,MATCH(CONST_CNTR_ElecEFMethod&amp;D392,D_Processes!R:R,0)))</f>
        <v/>
      </c>
      <c r="P392" s="266" t="str">
        <f>IF($D392="","",SUM($G392)*SUM(INDEX(InputOutput!$AN$71:$AN$100,MATCH($D392,InputOutput!$D$71:$D$100,0))))</f>
        <v/>
      </c>
      <c r="Q392" s="673" t="str">
        <f>IF(D392="","",IF(AG392,INDEX(A_InstData!$F$102:$F$121,MATCH(D392,CNTR_List_ExistPurchPrecNames,0)),""))</f>
        <v/>
      </c>
      <c r="R392" s="678" t="str">
        <f>IF($D392="","",SUM($G392)*SUM(INDEX(F_Tools!$T$101:$T$130,MATCH($D392,F_Tools!$E$101:$E$130,0))))</f>
        <v/>
      </c>
      <c r="S392" s="669" t="str">
        <f>IF($D392="","",SUM($G392)*SUM(INDEX(F_Tools!$U$101:$U$130,MATCH($D392,F_Tools!$E$101:$E$130,0))))</f>
        <v/>
      </c>
      <c r="T392" s="428"/>
      <c r="Z392" s="123"/>
      <c r="AB392" s="268" t="str">
        <f>CONST_PrecursorToGoodInput &amp; D392 &amp; "_" &amp; D378</f>
        <v>PrecToGood__</v>
      </c>
      <c r="AD392" s="269">
        <f>SUMIF(D_Processes!R:R,AB392,D_Processes!K:K)</f>
        <v>0</v>
      </c>
      <c r="AE392" s="268">
        <f>SUMIF(D_Processes!R:R,CONST_CNTR_TotProd &amp; D392,D_Processes!L:L)</f>
        <v>0</v>
      </c>
      <c r="AG392" s="102" t="b">
        <f t="shared" si="80"/>
        <v>0</v>
      </c>
    </row>
    <row r="393" spans="1:33" ht="12.75" customHeight="1" outlineLevel="1" x14ac:dyDescent="0.35">
      <c r="A393" s="92"/>
      <c r="B393" s="94"/>
      <c r="C393" s="978">
        <v>12</v>
      </c>
      <c r="D393" s="1417" t="str">
        <f>IF(D378="","",IF(COUNTIF(INDEX(CNTR_IOSupplyChain,MATCH(D378,CNTR_IOProcAndPrec,0),),C393)=0,"",INDEX(CNTR_IOProcAndPrec,MATCH(C393,INDEX(CNTR_IOSupplyChain,MATCH(D378,CNTR_IOProcAndPrec,0),),0))))</f>
        <v/>
      </c>
      <c r="E393" s="1418"/>
      <c r="F393" s="265" t="str">
        <f t="shared" si="79"/>
        <v/>
      </c>
      <c r="G393" s="266" t="str">
        <f>IF(D393="","",INDEX(CNTR_Matrix_Inv,MATCH(D378,CNTR_IOProcAndPrec,0),MATCH(D393,CNTR_IOProcAndPrec,0)))</f>
        <v/>
      </c>
      <c r="H393" s="286" t="str">
        <f>IF(D393="","",IF(AG393,INDEX(E_PurchPrec!U:U,MATCH(CONST_PurchPrecDefaultUsed&amp;D393,E_PurchPrec!R:R,0)),CONST_NA))</f>
        <v/>
      </c>
      <c r="I393" s="266" t="str">
        <f>IF($D393="","",SUM($G393)*SUM(INDEX(InputOutput!$AJ$71:$AJ$100,MATCH($D393,InputOutput!$D$71:$D$100,0))))</f>
        <v/>
      </c>
      <c r="J393" s="266" t="str">
        <f>IF($D393="","",SUM($G393)*SUM(INDEX(InputOutput!$AL$71:$AL$100,MATCH($D393,InputOutput!$D$71:$D$100,0))))</f>
        <v/>
      </c>
      <c r="K393" s="266" t="str">
        <f t="shared" si="77"/>
        <v/>
      </c>
      <c r="L393" s="267" t="str">
        <f>IF(D393="","",SUM(I393)*SUM(AD381))</f>
        <v/>
      </c>
      <c r="M393" s="267" t="str">
        <f>IF(D393="","",SUM(J393)*SUM(AD381))</f>
        <v/>
      </c>
      <c r="N393" s="267" t="str">
        <f t="shared" si="78"/>
        <v/>
      </c>
      <c r="O393" s="267" t="str">
        <f>IF(AG393,INDEX(E_PurchPrec!U:U,MATCH(CONST_CNTR_ElecEFMethod&amp;D393,E_PurchPrec!R:R,0)),INDEX(D_Processes!T:T,MATCH(CONST_CNTR_ElecEFMethod&amp;D393,D_Processes!R:R,0)))</f>
        <v/>
      </c>
      <c r="P393" s="266" t="str">
        <f>IF($D393="","",SUM($G393)*SUM(INDEX(InputOutput!$AN$71:$AN$100,MATCH($D393,InputOutput!$D$71:$D$100,0))))</f>
        <v/>
      </c>
      <c r="Q393" s="673" t="str">
        <f>IF(D393="","",IF(AG393,INDEX(A_InstData!$F$102:$F$121,MATCH(D393,CNTR_List_ExistPurchPrecNames,0)),""))</f>
        <v/>
      </c>
      <c r="R393" s="678" t="str">
        <f>IF($D393="","",SUM($G393)*SUM(INDEX(F_Tools!$T$101:$T$130,MATCH($D393,F_Tools!$E$101:$E$130,0))))</f>
        <v/>
      </c>
      <c r="S393" s="669" t="str">
        <f>IF($D393="","",SUM($G393)*SUM(INDEX(F_Tools!$U$101:$U$130,MATCH($D393,F_Tools!$E$101:$E$130,0))))</f>
        <v/>
      </c>
      <c r="T393" s="428"/>
      <c r="Z393" s="123"/>
      <c r="AB393" s="268" t="str">
        <f>CONST_PrecursorToGoodInput &amp; D393 &amp; "_" &amp; D378</f>
        <v>PrecToGood__</v>
      </c>
      <c r="AD393" s="269">
        <f>SUMIF(D_Processes!R:R,AB393,D_Processes!K:K)</f>
        <v>0</v>
      </c>
      <c r="AE393" s="268">
        <f>SUMIF(D_Processes!R:R,CONST_CNTR_TotProd &amp; D393,D_Processes!L:L)</f>
        <v>0</v>
      </c>
      <c r="AG393" s="102" t="b">
        <f t="shared" si="80"/>
        <v>0</v>
      </c>
    </row>
    <row r="394" spans="1:33" ht="12.75" customHeight="1" outlineLevel="1" x14ac:dyDescent="0.35">
      <c r="A394" s="92"/>
      <c r="B394" s="94"/>
      <c r="C394" s="978">
        <v>13</v>
      </c>
      <c r="D394" s="1417" t="str">
        <f>IF(D378="","",IF(COUNTIF(INDEX(CNTR_IOSupplyChain,MATCH(D378,CNTR_IOProcAndPrec,0),),C394)=0,"",INDEX(CNTR_IOProcAndPrec,MATCH(C394,INDEX(CNTR_IOSupplyChain,MATCH(D378,CNTR_IOProcAndPrec,0),),0))))</f>
        <v/>
      </c>
      <c r="E394" s="1418"/>
      <c r="F394" s="265" t="str">
        <f t="shared" si="79"/>
        <v/>
      </c>
      <c r="G394" s="266" t="str">
        <f>IF(D394="","",INDEX(CNTR_Matrix_Inv,MATCH(D378,CNTR_IOProcAndPrec,0),MATCH(D394,CNTR_IOProcAndPrec,0)))</f>
        <v/>
      </c>
      <c r="H394" s="286" t="str">
        <f>IF(D394="","",IF(AG394,INDEX(E_PurchPrec!U:U,MATCH(CONST_PurchPrecDefaultUsed&amp;D394,E_PurchPrec!R:R,0)),CONST_NA))</f>
        <v/>
      </c>
      <c r="I394" s="266" t="str">
        <f>IF($D394="","",SUM($G394)*SUM(INDEX(InputOutput!$AJ$71:$AJ$100,MATCH($D394,InputOutput!$D$71:$D$100,0))))</f>
        <v/>
      </c>
      <c r="J394" s="266" t="str">
        <f>IF($D394="","",SUM($G394)*SUM(INDEX(InputOutput!$AL$71:$AL$100,MATCH($D394,InputOutput!$D$71:$D$100,0))))</f>
        <v/>
      </c>
      <c r="K394" s="266" t="str">
        <f t="shared" si="77"/>
        <v/>
      </c>
      <c r="L394" s="267" t="str">
        <f>IF(D394="","",SUM(I394)*SUM(AD381))</f>
        <v/>
      </c>
      <c r="M394" s="267" t="str">
        <f>IF(D394="","",SUM(J394)*SUM(AD381))</f>
        <v/>
      </c>
      <c r="N394" s="267" t="str">
        <f t="shared" si="78"/>
        <v/>
      </c>
      <c r="O394" s="267" t="str">
        <f>IF(AG394,INDEX(E_PurchPrec!U:U,MATCH(CONST_CNTR_ElecEFMethod&amp;D394,E_PurchPrec!R:R,0)),INDEX(D_Processes!T:T,MATCH(CONST_CNTR_ElecEFMethod&amp;D394,D_Processes!R:R,0)))</f>
        <v/>
      </c>
      <c r="P394" s="266" t="str">
        <f>IF($D394="","",SUM($G394)*SUM(INDEX(InputOutput!$AN$71:$AN$100,MATCH($D394,InputOutput!$D$71:$D$100,0))))</f>
        <v/>
      </c>
      <c r="Q394" s="673" t="str">
        <f>IF(D394="","",IF(AG394,INDEX(A_InstData!$F$102:$F$121,MATCH(D394,CNTR_List_ExistPurchPrecNames,0)),""))</f>
        <v/>
      </c>
      <c r="R394" s="678" t="str">
        <f>IF($D394="","",SUM($G394)*SUM(INDEX(F_Tools!$T$101:$T$130,MATCH($D394,F_Tools!$E$101:$E$130,0))))</f>
        <v/>
      </c>
      <c r="S394" s="669" t="str">
        <f>IF($D394="","",SUM($G394)*SUM(INDEX(F_Tools!$U$101:$U$130,MATCH($D394,F_Tools!$E$101:$E$130,0))))</f>
        <v/>
      </c>
      <c r="T394" s="428"/>
      <c r="Z394" s="123"/>
      <c r="AB394" s="268" t="str">
        <f>CONST_PrecursorToGoodInput &amp; D394 &amp; "_" &amp; D378</f>
        <v>PrecToGood__</v>
      </c>
      <c r="AD394" s="269">
        <f>SUMIF(D_Processes!R:R,AB394,D_Processes!K:K)</f>
        <v>0</v>
      </c>
      <c r="AE394" s="268">
        <f>SUMIF(D_Processes!R:R,CONST_CNTR_TotProd &amp; D394,D_Processes!L:L)</f>
        <v>0</v>
      </c>
      <c r="AG394" s="102" t="b">
        <f t="shared" si="80"/>
        <v>0</v>
      </c>
    </row>
    <row r="395" spans="1:33" ht="12.75" customHeight="1" outlineLevel="1" x14ac:dyDescent="0.35">
      <c r="A395" s="92"/>
      <c r="B395" s="94"/>
      <c r="C395" s="978">
        <v>14</v>
      </c>
      <c r="D395" s="1417" t="str">
        <f>IF(D378="","",IF(COUNTIF(INDEX(CNTR_IOSupplyChain,MATCH(D378,CNTR_IOProcAndPrec,0),),C395)=0,"",INDEX(CNTR_IOProcAndPrec,MATCH(C395,INDEX(CNTR_IOSupplyChain,MATCH(D378,CNTR_IOProcAndPrec,0),),0))))</f>
        <v/>
      </c>
      <c r="E395" s="1418"/>
      <c r="F395" s="265" t="str">
        <f t="shared" si="79"/>
        <v/>
      </c>
      <c r="G395" s="266" t="str">
        <f>IF(D395="","",INDEX(CNTR_Matrix_Inv,MATCH(D378,CNTR_IOProcAndPrec,0),MATCH(D395,CNTR_IOProcAndPrec,0)))</f>
        <v/>
      </c>
      <c r="H395" s="286" t="str">
        <f>IF(D395="","",IF(AG395,INDEX(E_PurchPrec!U:U,MATCH(CONST_PurchPrecDefaultUsed&amp;D395,E_PurchPrec!R:R,0)),CONST_NA))</f>
        <v/>
      </c>
      <c r="I395" s="266" t="str">
        <f>IF($D395="","",SUM($G395)*SUM(INDEX(InputOutput!$AJ$71:$AJ$100,MATCH($D395,InputOutput!$D$71:$D$100,0))))</f>
        <v/>
      </c>
      <c r="J395" s="266" t="str">
        <f>IF($D395="","",SUM($G395)*SUM(INDEX(InputOutput!$AL$71:$AL$100,MATCH($D395,InputOutput!$D$71:$D$100,0))))</f>
        <v/>
      </c>
      <c r="K395" s="266" t="str">
        <f t="shared" si="77"/>
        <v/>
      </c>
      <c r="L395" s="267" t="str">
        <f>IF(D395="","",SUM(I395)*SUM(AD381))</f>
        <v/>
      </c>
      <c r="M395" s="267" t="str">
        <f>IF(D395="","",SUM(J395)*SUM(AD381))</f>
        <v/>
      </c>
      <c r="N395" s="267" t="str">
        <f t="shared" si="78"/>
        <v/>
      </c>
      <c r="O395" s="267" t="str">
        <f>IF(AG395,INDEX(E_PurchPrec!U:U,MATCH(CONST_CNTR_ElecEFMethod&amp;D395,E_PurchPrec!R:R,0)),INDEX(D_Processes!T:T,MATCH(CONST_CNTR_ElecEFMethod&amp;D395,D_Processes!R:R,0)))</f>
        <v/>
      </c>
      <c r="P395" s="266" t="str">
        <f>IF($D395="","",SUM($G395)*SUM(INDEX(InputOutput!$AN$71:$AN$100,MATCH($D395,InputOutput!$D$71:$D$100,0))))</f>
        <v/>
      </c>
      <c r="Q395" s="673" t="str">
        <f>IF(D395="","",IF(AG395,INDEX(A_InstData!$F$102:$F$121,MATCH(D395,CNTR_List_ExistPurchPrecNames,0)),""))</f>
        <v/>
      </c>
      <c r="R395" s="678" t="str">
        <f>IF($D395="","",SUM($G395)*SUM(INDEX(F_Tools!$T$101:$T$130,MATCH($D395,F_Tools!$E$101:$E$130,0))))</f>
        <v/>
      </c>
      <c r="S395" s="669" t="str">
        <f>IF($D395="","",SUM($G395)*SUM(INDEX(F_Tools!$U$101:$U$130,MATCH($D395,F_Tools!$E$101:$E$130,0))))</f>
        <v/>
      </c>
      <c r="T395" s="428"/>
      <c r="Z395" s="123"/>
      <c r="AB395" s="268" t="str">
        <f>CONST_PrecursorToGoodInput &amp; D395 &amp; "_" &amp; D378</f>
        <v>PrecToGood__</v>
      </c>
      <c r="AD395" s="269">
        <f>SUMIF(D_Processes!R:R,AB395,D_Processes!K:K)</f>
        <v>0</v>
      </c>
      <c r="AE395" s="268">
        <f>SUMIF(D_Processes!R:R,CONST_CNTR_TotProd &amp; D395,D_Processes!L:L)</f>
        <v>0</v>
      </c>
      <c r="AG395" s="102" t="b">
        <f t="shared" si="80"/>
        <v>0</v>
      </c>
    </row>
    <row r="396" spans="1:33" ht="12.75" customHeight="1" outlineLevel="1" x14ac:dyDescent="0.35">
      <c r="A396" s="92"/>
      <c r="B396" s="94"/>
      <c r="C396" s="978">
        <v>15</v>
      </c>
      <c r="D396" s="1417" t="str">
        <f>IF(D378="","",IF(COUNTIF(INDEX(CNTR_IOSupplyChain,MATCH(D378,CNTR_IOProcAndPrec,0),),C396)=0,"",INDEX(CNTR_IOProcAndPrec,MATCH(C396,INDEX(CNTR_IOSupplyChain,MATCH(D378,CNTR_IOProcAndPrec,0),),0))))</f>
        <v/>
      </c>
      <c r="E396" s="1418"/>
      <c r="F396" s="265" t="str">
        <f t="shared" si="79"/>
        <v/>
      </c>
      <c r="G396" s="266" t="str">
        <f>IF(D396="","",INDEX(CNTR_Matrix_Inv,MATCH(D378,CNTR_IOProcAndPrec,0),MATCH(D396,CNTR_IOProcAndPrec,0)))</f>
        <v/>
      </c>
      <c r="H396" s="286" t="str">
        <f>IF(D396="","",IF(AG396,INDEX(E_PurchPrec!U:U,MATCH(CONST_PurchPrecDefaultUsed&amp;D396,E_PurchPrec!R:R,0)),CONST_NA))</f>
        <v/>
      </c>
      <c r="I396" s="266" t="str">
        <f>IF($D396="","",SUM($G396)*SUM(INDEX(InputOutput!$AJ$71:$AJ$100,MATCH($D396,InputOutput!$D$71:$D$100,0))))</f>
        <v/>
      </c>
      <c r="J396" s="266" t="str">
        <f>IF($D396="","",SUM($G396)*SUM(INDEX(InputOutput!$AL$71:$AL$100,MATCH($D396,InputOutput!$D$71:$D$100,0))))</f>
        <v/>
      </c>
      <c r="K396" s="266" t="str">
        <f t="shared" si="77"/>
        <v/>
      </c>
      <c r="L396" s="267" t="str">
        <f>IF(D396="","",SUM(I396)*SUM(AD381))</f>
        <v/>
      </c>
      <c r="M396" s="267" t="str">
        <f>IF(D396="","",SUM(J396)*SUM(AD381))</f>
        <v/>
      </c>
      <c r="N396" s="267" t="str">
        <f t="shared" si="78"/>
        <v/>
      </c>
      <c r="O396" s="267" t="str">
        <f>IF(AG396,INDEX(E_PurchPrec!U:U,MATCH(CONST_CNTR_ElecEFMethod&amp;D396,E_PurchPrec!R:R,0)),INDEX(D_Processes!T:T,MATCH(CONST_CNTR_ElecEFMethod&amp;D396,D_Processes!R:R,0)))</f>
        <v/>
      </c>
      <c r="P396" s="266" t="str">
        <f>IF($D396="","",SUM($G396)*SUM(INDEX(InputOutput!$AN$71:$AN$100,MATCH($D396,InputOutput!$D$71:$D$100,0))))</f>
        <v/>
      </c>
      <c r="Q396" s="673" t="str">
        <f>IF(D396="","",IF(AG396,INDEX(A_InstData!$F$102:$F$121,MATCH(D396,CNTR_List_ExistPurchPrecNames,0)),""))</f>
        <v/>
      </c>
      <c r="R396" s="678" t="str">
        <f>IF($D396="","",SUM($G396)*SUM(INDEX(F_Tools!$T$101:$T$130,MATCH($D396,F_Tools!$E$101:$E$130,0))))</f>
        <v/>
      </c>
      <c r="S396" s="669" t="str">
        <f>IF($D396="","",SUM($G396)*SUM(INDEX(F_Tools!$U$101:$U$130,MATCH($D396,F_Tools!$E$101:$E$130,0))))</f>
        <v/>
      </c>
      <c r="T396" s="428"/>
      <c r="Z396" s="123"/>
      <c r="AB396" s="268" t="str">
        <f>CONST_PrecursorToGoodInput &amp; D396 &amp; "_" &amp; D378</f>
        <v>PrecToGood__</v>
      </c>
      <c r="AD396" s="269">
        <f>SUMIF(D_Processes!R:R,AB396,D_Processes!K:K)</f>
        <v>0</v>
      </c>
      <c r="AE396" s="268">
        <f>SUMIF(D_Processes!R:R,CONST_CNTR_TotProd &amp; D396,D_Processes!L:L)</f>
        <v>0</v>
      </c>
      <c r="AG396" s="102" t="b">
        <f t="shared" si="80"/>
        <v>0</v>
      </c>
    </row>
    <row r="397" spans="1:33" ht="12.75" customHeight="1" outlineLevel="1" x14ac:dyDescent="0.35">
      <c r="A397" s="92"/>
      <c r="B397" s="94"/>
      <c r="C397" s="978">
        <v>16</v>
      </c>
      <c r="D397" s="1417" t="str">
        <f>IF(D378="","",IF(COUNTIF(INDEX(CNTR_IOSupplyChain,MATCH(D378,CNTR_IOProcAndPrec,0),),C397)=0,"",INDEX(CNTR_IOProcAndPrec,MATCH(C397,INDEX(CNTR_IOSupplyChain,MATCH(D378,CNTR_IOProcAndPrec,0),),0))))</f>
        <v/>
      </c>
      <c r="E397" s="1418"/>
      <c r="F397" s="265" t="str">
        <f t="shared" si="79"/>
        <v/>
      </c>
      <c r="G397" s="266" t="str">
        <f>IF(D397="","",INDEX(CNTR_Matrix_Inv,MATCH(D378,CNTR_IOProcAndPrec,0),MATCH(D397,CNTR_IOProcAndPrec,0)))</f>
        <v/>
      </c>
      <c r="H397" s="286" t="str">
        <f>IF(D397="","",IF(AG397,INDEX(E_PurchPrec!U:U,MATCH(CONST_PurchPrecDefaultUsed&amp;D397,E_PurchPrec!R:R,0)),CONST_NA))</f>
        <v/>
      </c>
      <c r="I397" s="266" t="str">
        <f>IF($D397="","",SUM($G397)*SUM(INDEX(InputOutput!$AJ$71:$AJ$100,MATCH($D397,InputOutput!$D$71:$D$100,0))))</f>
        <v/>
      </c>
      <c r="J397" s="266" t="str">
        <f>IF($D397="","",SUM($G397)*SUM(INDEX(InputOutput!$AL$71:$AL$100,MATCH($D397,InputOutput!$D$71:$D$100,0))))</f>
        <v/>
      </c>
      <c r="K397" s="266" t="str">
        <f t="shared" si="77"/>
        <v/>
      </c>
      <c r="L397" s="267" t="str">
        <f>IF(D397="","",SUM(I397)*SUM(AD381))</f>
        <v/>
      </c>
      <c r="M397" s="267" t="str">
        <f>IF(D397="","",SUM(J397)*SUM(AD381))</f>
        <v/>
      </c>
      <c r="N397" s="267" t="str">
        <f t="shared" si="78"/>
        <v/>
      </c>
      <c r="O397" s="267" t="str">
        <f>IF(AG397,INDEX(E_PurchPrec!U:U,MATCH(CONST_CNTR_ElecEFMethod&amp;D397,E_PurchPrec!R:R,0)),INDEX(D_Processes!T:T,MATCH(CONST_CNTR_ElecEFMethod&amp;D397,D_Processes!R:R,0)))</f>
        <v/>
      </c>
      <c r="P397" s="266" t="str">
        <f>IF($D397="","",SUM($G397)*SUM(INDEX(InputOutput!$AN$71:$AN$100,MATCH($D397,InputOutput!$D$71:$D$100,0))))</f>
        <v/>
      </c>
      <c r="Q397" s="673" t="str">
        <f>IF(D397="","",IF(AG397,INDEX(A_InstData!$F$102:$F$121,MATCH(D397,CNTR_List_ExistPurchPrecNames,0)),""))</f>
        <v/>
      </c>
      <c r="R397" s="678" t="str">
        <f>IF($D397="","",SUM($G397)*SUM(INDEX(F_Tools!$T$101:$T$130,MATCH($D397,F_Tools!$E$101:$E$130,0))))</f>
        <v/>
      </c>
      <c r="S397" s="669" t="str">
        <f>IF($D397="","",SUM($G397)*SUM(INDEX(F_Tools!$U$101:$U$130,MATCH($D397,F_Tools!$E$101:$E$130,0))))</f>
        <v/>
      </c>
      <c r="T397" s="428"/>
      <c r="Z397" s="123"/>
      <c r="AB397" s="268" t="str">
        <f>CONST_PrecursorToGoodInput &amp; D397 &amp; "_" &amp; D378</f>
        <v>PrecToGood__</v>
      </c>
      <c r="AD397" s="269">
        <f>SUMIF(D_Processes!R:R,AB397,D_Processes!K:K)</f>
        <v>0</v>
      </c>
      <c r="AE397" s="268">
        <f>SUMIF(D_Processes!R:R,CONST_CNTR_TotProd &amp; D397,D_Processes!L:L)</f>
        <v>0</v>
      </c>
      <c r="AG397" s="102" t="b">
        <f t="shared" si="80"/>
        <v>0</v>
      </c>
    </row>
    <row r="398" spans="1:33" ht="12.75" customHeight="1" outlineLevel="1" x14ac:dyDescent="0.35">
      <c r="A398" s="92"/>
      <c r="B398" s="94"/>
      <c r="C398" s="978">
        <v>17</v>
      </c>
      <c r="D398" s="1417" t="str">
        <f>IF(D378="","",IF(COUNTIF(INDEX(CNTR_IOSupplyChain,MATCH(D378,CNTR_IOProcAndPrec,0),),C398)=0,"",INDEX(CNTR_IOProcAndPrec,MATCH(C398,INDEX(CNTR_IOSupplyChain,MATCH(D378,CNTR_IOProcAndPrec,0),),0))))</f>
        <v/>
      </c>
      <c r="E398" s="1418"/>
      <c r="F398" s="265" t="str">
        <f t="shared" si="79"/>
        <v/>
      </c>
      <c r="G398" s="266" t="str">
        <f>IF(D398="","",INDEX(CNTR_Matrix_Inv,MATCH(D378,CNTR_IOProcAndPrec,0),MATCH(D398,CNTR_IOProcAndPrec,0)))</f>
        <v/>
      </c>
      <c r="H398" s="286" t="str">
        <f>IF(D398="","",IF(AG398,INDEX(E_PurchPrec!U:U,MATCH(CONST_PurchPrecDefaultUsed&amp;D398,E_PurchPrec!R:R,0)),CONST_NA))</f>
        <v/>
      </c>
      <c r="I398" s="266" t="str">
        <f>IF($D398="","",SUM($G398)*SUM(INDEX(InputOutput!$AJ$71:$AJ$100,MATCH($D398,InputOutput!$D$71:$D$100,0))))</f>
        <v/>
      </c>
      <c r="J398" s="266" t="str">
        <f>IF($D398="","",SUM($G398)*SUM(INDEX(InputOutput!$AL$71:$AL$100,MATCH($D398,InputOutput!$D$71:$D$100,0))))</f>
        <v/>
      </c>
      <c r="K398" s="266" t="str">
        <f t="shared" si="77"/>
        <v/>
      </c>
      <c r="L398" s="267" t="str">
        <f>IF(D398="","",SUM(I398)*SUM(AD381))</f>
        <v/>
      </c>
      <c r="M398" s="267" t="str">
        <f>IF(D398="","",SUM(J398)*SUM(AD381))</f>
        <v/>
      </c>
      <c r="N398" s="267" t="str">
        <f t="shared" si="78"/>
        <v/>
      </c>
      <c r="O398" s="267" t="str">
        <f>IF(AG398,INDEX(E_PurchPrec!U:U,MATCH(CONST_CNTR_ElecEFMethod&amp;D398,E_PurchPrec!R:R,0)),INDEX(D_Processes!T:T,MATCH(CONST_CNTR_ElecEFMethod&amp;D398,D_Processes!R:R,0)))</f>
        <v/>
      </c>
      <c r="P398" s="266" t="str">
        <f>IF($D398="","",SUM($G398)*SUM(INDEX(InputOutput!$AN$71:$AN$100,MATCH($D398,InputOutput!$D$71:$D$100,0))))</f>
        <v/>
      </c>
      <c r="Q398" s="673" t="str">
        <f>IF(D398="","",IF(AG398,INDEX(A_InstData!$F$102:$F$121,MATCH(D398,CNTR_List_ExistPurchPrecNames,0)),""))</f>
        <v/>
      </c>
      <c r="R398" s="678" t="str">
        <f>IF($D398="","",SUM($G398)*SUM(INDEX(F_Tools!$T$101:$T$130,MATCH($D398,F_Tools!$E$101:$E$130,0))))</f>
        <v/>
      </c>
      <c r="S398" s="669" t="str">
        <f>IF($D398="","",SUM($G398)*SUM(INDEX(F_Tools!$U$101:$U$130,MATCH($D398,F_Tools!$E$101:$E$130,0))))</f>
        <v/>
      </c>
      <c r="T398" s="428"/>
      <c r="Z398" s="123"/>
      <c r="AB398" s="268" t="str">
        <f>CONST_PrecursorToGoodInput &amp; D398 &amp; "_" &amp; D378</f>
        <v>PrecToGood__</v>
      </c>
      <c r="AD398" s="269">
        <f>SUMIF(D_Processes!R:R,AB398,D_Processes!K:K)</f>
        <v>0</v>
      </c>
      <c r="AE398" s="268">
        <f>SUMIF(D_Processes!R:R,CONST_CNTR_TotProd &amp; D398,D_Processes!L:L)</f>
        <v>0</v>
      </c>
      <c r="AG398" s="102" t="b">
        <f t="shared" si="80"/>
        <v>0</v>
      </c>
    </row>
    <row r="399" spans="1:33" ht="12.75" customHeight="1" outlineLevel="1" x14ac:dyDescent="0.35">
      <c r="A399" s="92"/>
      <c r="B399" s="94"/>
      <c r="C399" s="978">
        <v>18</v>
      </c>
      <c r="D399" s="1417" t="str">
        <f>IF(D378="","",IF(COUNTIF(INDEX(CNTR_IOSupplyChain,MATCH(D378,CNTR_IOProcAndPrec,0),),C399)=0,"",INDEX(CNTR_IOProcAndPrec,MATCH(C399,INDEX(CNTR_IOSupplyChain,MATCH(D378,CNTR_IOProcAndPrec,0),),0))))</f>
        <v/>
      </c>
      <c r="E399" s="1418"/>
      <c r="F399" s="265" t="str">
        <f t="shared" si="79"/>
        <v/>
      </c>
      <c r="G399" s="266" t="str">
        <f>IF(D399="","",INDEX(CNTR_Matrix_Inv,MATCH(D378,CNTR_IOProcAndPrec,0),MATCH(D399,CNTR_IOProcAndPrec,0)))</f>
        <v/>
      </c>
      <c r="H399" s="286" t="str">
        <f>IF(D399="","",IF(AG399,INDEX(E_PurchPrec!U:U,MATCH(CONST_PurchPrecDefaultUsed&amp;D399,E_PurchPrec!R:R,0)),CONST_NA))</f>
        <v/>
      </c>
      <c r="I399" s="266" t="str">
        <f>IF($D399="","",SUM($G399)*SUM(INDEX(InputOutput!$AJ$71:$AJ$100,MATCH($D399,InputOutput!$D$71:$D$100,0))))</f>
        <v/>
      </c>
      <c r="J399" s="266" t="str">
        <f>IF($D399="","",SUM($G399)*SUM(INDEX(InputOutput!$AL$71:$AL$100,MATCH($D399,InputOutput!$D$71:$D$100,0))))</f>
        <v/>
      </c>
      <c r="K399" s="266" t="str">
        <f t="shared" si="77"/>
        <v/>
      </c>
      <c r="L399" s="267" t="str">
        <f>IF(D399="","",SUM(I399)*SUM(AD381))</f>
        <v/>
      </c>
      <c r="M399" s="267" t="str">
        <f>IF(D399="","",SUM(J399)*SUM(AD381))</f>
        <v/>
      </c>
      <c r="N399" s="267" t="str">
        <f t="shared" si="78"/>
        <v/>
      </c>
      <c r="O399" s="267" t="str">
        <f>IF(AG399,INDEX(E_PurchPrec!U:U,MATCH(CONST_CNTR_ElecEFMethod&amp;D399,E_PurchPrec!R:R,0)),INDEX(D_Processes!T:T,MATCH(CONST_CNTR_ElecEFMethod&amp;D399,D_Processes!R:R,0)))</f>
        <v/>
      </c>
      <c r="P399" s="266" t="str">
        <f>IF($D399="","",SUM($G399)*SUM(INDEX(InputOutput!$AN$71:$AN$100,MATCH($D399,InputOutput!$D$71:$D$100,0))))</f>
        <v/>
      </c>
      <c r="Q399" s="673" t="str">
        <f>IF(D399="","",IF(AG399,INDEX(A_InstData!$F$102:$F$121,MATCH(D399,CNTR_List_ExistPurchPrecNames,0)),""))</f>
        <v/>
      </c>
      <c r="R399" s="678" t="str">
        <f>IF($D399="","",SUM($G399)*SUM(INDEX(F_Tools!$T$101:$T$130,MATCH($D399,F_Tools!$E$101:$E$130,0))))</f>
        <v/>
      </c>
      <c r="S399" s="669" t="str">
        <f>IF($D399="","",SUM($G399)*SUM(INDEX(F_Tools!$U$101:$U$130,MATCH($D399,F_Tools!$E$101:$E$130,0))))</f>
        <v/>
      </c>
      <c r="T399" s="428"/>
      <c r="Z399" s="123"/>
      <c r="AB399" s="268" t="str">
        <f>CONST_PrecursorToGoodInput &amp; D399 &amp; "_" &amp; D378</f>
        <v>PrecToGood__</v>
      </c>
      <c r="AD399" s="269">
        <f>SUMIF(D_Processes!R:R,AB399,D_Processes!K:K)</f>
        <v>0</v>
      </c>
      <c r="AE399" s="268">
        <f>SUMIF(D_Processes!R:R,CONST_CNTR_TotProd &amp; D399,D_Processes!L:L)</f>
        <v>0</v>
      </c>
      <c r="AG399" s="102" t="b">
        <f t="shared" si="80"/>
        <v>0</v>
      </c>
    </row>
    <row r="400" spans="1:33" ht="12.75" customHeight="1" outlineLevel="1" x14ac:dyDescent="0.35">
      <c r="A400" s="92"/>
      <c r="B400" s="94"/>
      <c r="C400" s="978">
        <v>19</v>
      </c>
      <c r="D400" s="1417" t="str">
        <f>IF(D378="","",IF(COUNTIF(INDEX(CNTR_IOSupplyChain,MATCH(D378,CNTR_IOProcAndPrec,0),),C400)=0,"",INDEX(CNTR_IOProcAndPrec,MATCH(C400,INDEX(CNTR_IOSupplyChain,MATCH(D378,CNTR_IOProcAndPrec,0),),0))))</f>
        <v/>
      </c>
      <c r="E400" s="1418"/>
      <c r="F400" s="265" t="str">
        <f t="shared" si="79"/>
        <v/>
      </c>
      <c r="G400" s="266" t="str">
        <f>IF(D400="","",INDEX(CNTR_Matrix_Inv,MATCH(D378,CNTR_IOProcAndPrec,0),MATCH(D400,CNTR_IOProcAndPrec,0)))</f>
        <v/>
      </c>
      <c r="H400" s="286" t="str">
        <f>IF(D400="","",IF(AG400,INDEX(E_PurchPrec!U:U,MATCH(CONST_PurchPrecDefaultUsed&amp;D400,E_PurchPrec!R:R,0)),CONST_NA))</f>
        <v/>
      </c>
      <c r="I400" s="266" t="str">
        <f>IF($D400="","",SUM($G400)*SUM(INDEX(InputOutput!$AJ$71:$AJ$100,MATCH($D400,InputOutput!$D$71:$D$100,0))))</f>
        <v/>
      </c>
      <c r="J400" s="266" t="str">
        <f>IF($D400="","",SUM($G400)*SUM(INDEX(InputOutput!$AL$71:$AL$100,MATCH($D400,InputOutput!$D$71:$D$100,0))))</f>
        <v/>
      </c>
      <c r="K400" s="266" t="str">
        <f t="shared" si="77"/>
        <v/>
      </c>
      <c r="L400" s="267" t="str">
        <f>IF(D400="","",SUM(I400)*SUM(AD381))</f>
        <v/>
      </c>
      <c r="M400" s="267" t="str">
        <f>IF(D400="","",SUM(J400)*SUM(AD381))</f>
        <v/>
      </c>
      <c r="N400" s="267" t="str">
        <f t="shared" si="78"/>
        <v/>
      </c>
      <c r="O400" s="267" t="str">
        <f>IF(AG400,INDEX(E_PurchPrec!U:U,MATCH(CONST_CNTR_ElecEFMethod&amp;D400,E_PurchPrec!R:R,0)),INDEX(D_Processes!T:T,MATCH(CONST_CNTR_ElecEFMethod&amp;D400,D_Processes!R:R,0)))</f>
        <v/>
      </c>
      <c r="P400" s="266" t="str">
        <f>IF($D400="","",SUM($G400)*SUM(INDEX(InputOutput!$AN$71:$AN$100,MATCH($D400,InputOutput!$D$71:$D$100,0))))</f>
        <v/>
      </c>
      <c r="Q400" s="673" t="str">
        <f>IF(D400="","",IF(AG400,INDEX(A_InstData!$F$102:$F$121,MATCH(D400,CNTR_List_ExistPurchPrecNames,0)),""))</f>
        <v/>
      </c>
      <c r="R400" s="678" t="str">
        <f>IF($D400="","",SUM($G400)*SUM(INDEX(F_Tools!$T$101:$T$130,MATCH($D400,F_Tools!$E$101:$E$130,0))))</f>
        <v/>
      </c>
      <c r="S400" s="669" t="str">
        <f>IF($D400="","",SUM($G400)*SUM(INDEX(F_Tools!$U$101:$U$130,MATCH($D400,F_Tools!$E$101:$E$130,0))))</f>
        <v/>
      </c>
      <c r="T400" s="428"/>
      <c r="Z400" s="123"/>
      <c r="AB400" s="268" t="str">
        <f>CONST_PrecursorToGoodInput &amp; D400 &amp; "_" &amp; D378</f>
        <v>PrecToGood__</v>
      </c>
      <c r="AD400" s="269">
        <f>SUMIF(D_Processes!R:R,AB400,D_Processes!K:K)</f>
        <v>0</v>
      </c>
      <c r="AE400" s="268">
        <f>SUMIF(D_Processes!R:R,CONST_CNTR_TotProd &amp; D400,D_Processes!L:L)</f>
        <v>0</v>
      </c>
      <c r="AG400" s="102" t="b">
        <f t="shared" si="80"/>
        <v>0</v>
      </c>
    </row>
    <row r="401" spans="1:41" ht="12.75" customHeight="1" outlineLevel="1" x14ac:dyDescent="0.35">
      <c r="A401" s="92"/>
      <c r="B401" s="94"/>
      <c r="C401" s="978">
        <v>20</v>
      </c>
      <c r="D401" s="1417" t="str">
        <f>IF(D378="","",IF(COUNTIF(INDEX(CNTR_IOSupplyChain,MATCH(D378,CNTR_IOProcAndPrec,0),),C401)=0,"",INDEX(CNTR_IOProcAndPrec,MATCH(C401,INDEX(CNTR_IOSupplyChain,MATCH(D378,CNTR_IOProcAndPrec,0),),0))))</f>
        <v/>
      </c>
      <c r="E401" s="1418"/>
      <c r="F401" s="265" t="str">
        <f t="shared" si="79"/>
        <v/>
      </c>
      <c r="G401" s="266" t="str">
        <f>IF(D401="","",INDEX(CNTR_Matrix_Inv,MATCH(D378,CNTR_IOProcAndPrec,0),MATCH(D401,CNTR_IOProcAndPrec,0)))</f>
        <v/>
      </c>
      <c r="H401" s="286" t="str">
        <f>IF(D401="","",IF(AG401,INDEX(E_PurchPrec!U:U,MATCH(CONST_PurchPrecDefaultUsed&amp;D401,E_PurchPrec!R:R,0)),CONST_NA))</f>
        <v/>
      </c>
      <c r="I401" s="266" t="str">
        <f>IF($D401="","",SUM($G401)*SUM(INDEX(InputOutput!$AJ$71:$AJ$100,MATCH($D401,InputOutput!$D$71:$D$100,0))))</f>
        <v/>
      </c>
      <c r="J401" s="266" t="str">
        <f>IF($D401="","",SUM($G401)*SUM(INDEX(InputOutput!$AL$71:$AL$100,MATCH($D401,InputOutput!$D$71:$D$100,0))))</f>
        <v/>
      </c>
      <c r="K401" s="266" t="str">
        <f t="shared" si="77"/>
        <v/>
      </c>
      <c r="L401" s="267" t="str">
        <f>IF(D401="","",SUM(I401)*SUM(AD381))</f>
        <v/>
      </c>
      <c r="M401" s="267" t="str">
        <f>IF(D401="","",SUM(J401)*SUM(AD381))</f>
        <v/>
      </c>
      <c r="N401" s="267" t="str">
        <f t="shared" si="78"/>
        <v/>
      </c>
      <c r="O401" s="267" t="str">
        <f>IF(AG401,INDEX(E_PurchPrec!U:U,MATCH(CONST_CNTR_ElecEFMethod&amp;D401,E_PurchPrec!R:R,0)),INDEX(D_Processes!T:T,MATCH(CONST_CNTR_ElecEFMethod&amp;D401,D_Processes!R:R,0)))</f>
        <v/>
      </c>
      <c r="P401" s="266" t="str">
        <f>IF($D401="","",SUM($G401)*SUM(INDEX(InputOutput!$AN$71:$AN$100,MATCH($D401,InputOutput!$D$71:$D$100,0))))</f>
        <v/>
      </c>
      <c r="Q401" s="673" t="str">
        <f>IF(D401="","",IF(AG401,INDEX(A_InstData!$F$102:$F$121,MATCH(D401,CNTR_List_ExistPurchPrecNames,0)),""))</f>
        <v/>
      </c>
      <c r="R401" s="678" t="str">
        <f>IF($D401="","",SUM($G401)*SUM(INDEX(F_Tools!$T$101:$T$130,MATCH($D401,F_Tools!$E$101:$E$130,0))))</f>
        <v/>
      </c>
      <c r="S401" s="669" t="str">
        <f>IF($D401="","",SUM($G401)*SUM(INDEX(F_Tools!$U$101:$U$130,MATCH($D401,F_Tools!$E$101:$E$130,0))))</f>
        <v/>
      </c>
      <c r="T401" s="428"/>
      <c r="Z401" s="123"/>
      <c r="AB401" s="268" t="str">
        <f>CONST_PrecursorToGoodInput &amp; D401 &amp; "_" &amp; D378</f>
        <v>PrecToGood__</v>
      </c>
      <c r="AD401" s="269">
        <f>SUMIF(D_Processes!R:R,AB401,D_Processes!K:K)</f>
        <v>0</v>
      </c>
      <c r="AE401" s="268">
        <f>SUMIF(D_Processes!R:R,CONST_CNTR_TotProd &amp; D401,D_Processes!L:L)</f>
        <v>0</v>
      </c>
      <c r="AG401" s="102" t="b">
        <f t="shared" si="80"/>
        <v>0</v>
      </c>
    </row>
    <row r="402" spans="1:41" ht="12.75" customHeight="1" outlineLevel="1" x14ac:dyDescent="0.35">
      <c r="A402" s="92"/>
      <c r="B402" s="94"/>
      <c r="C402" s="978">
        <v>21</v>
      </c>
      <c r="D402" s="1417" t="str">
        <f>IF(D378="","",IF(COUNTIF(INDEX(CNTR_IOSupplyChain,MATCH(D378,CNTR_IOProcAndPrec,0),),C402)=0,"",INDEX(CNTR_IOProcAndPrec,MATCH(C402,INDEX(CNTR_IOSupplyChain,MATCH(D378,CNTR_IOProcAndPrec,0),),0))))</f>
        <v/>
      </c>
      <c r="E402" s="1418"/>
      <c r="F402" s="265" t="str">
        <f t="shared" si="79"/>
        <v/>
      </c>
      <c r="G402" s="266" t="str">
        <f>IF(D402="","",INDEX(CNTR_Matrix_Inv,MATCH(D378,CNTR_IOProcAndPrec,0),MATCH(D402,CNTR_IOProcAndPrec,0)))</f>
        <v/>
      </c>
      <c r="H402" s="286" t="str">
        <f>IF(D402="","",IF(AG402,INDEX(E_PurchPrec!U:U,MATCH(CONST_PurchPrecDefaultUsed&amp;D402,E_PurchPrec!R:R,0)),CONST_NA))</f>
        <v/>
      </c>
      <c r="I402" s="266" t="str">
        <f>IF($D402="","",SUM($G402)*SUM(INDEX(InputOutput!$AJ$71:$AJ$100,MATCH($D402,InputOutput!$D$71:$D$100,0))))</f>
        <v/>
      </c>
      <c r="J402" s="266" t="str">
        <f>IF($D402="","",SUM($G402)*SUM(INDEX(InputOutput!$AL$71:$AL$100,MATCH($D402,InputOutput!$D$71:$D$100,0))))</f>
        <v/>
      </c>
      <c r="K402" s="266" t="str">
        <f t="shared" si="77"/>
        <v/>
      </c>
      <c r="L402" s="267" t="str">
        <f>IF(D402="","",SUM(I402)*SUM(AD381))</f>
        <v/>
      </c>
      <c r="M402" s="267" t="str">
        <f>IF(D402="","",SUM(J402)*SUM(AD381))</f>
        <v/>
      </c>
      <c r="N402" s="267" t="str">
        <f t="shared" si="78"/>
        <v/>
      </c>
      <c r="O402" s="267" t="str">
        <f>IF(AG402,INDEX(E_PurchPrec!U:U,MATCH(CONST_CNTR_ElecEFMethod&amp;D402,E_PurchPrec!R:R,0)),INDEX(D_Processes!T:T,MATCH(CONST_CNTR_ElecEFMethod&amp;D402,D_Processes!R:R,0)))</f>
        <v/>
      </c>
      <c r="P402" s="266" t="str">
        <f>IF($D402="","",SUM($G402)*SUM(INDEX(InputOutput!$AN$71:$AN$100,MATCH($D402,InputOutput!$D$71:$D$100,0))))</f>
        <v/>
      </c>
      <c r="Q402" s="673" t="str">
        <f>IF(D402="","",IF(AG402,INDEX(A_InstData!$F$102:$F$121,MATCH(D402,CNTR_List_ExistPurchPrecNames,0)),""))</f>
        <v/>
      </c>
      <c r="R402" s="678" t="str">
        <f>IF($D402="","",SUM($G402)*SUM(INDEX(F_Tools!$T$101:$T$130,MATCH($D402,F_Tools!$E$101:$E$130,0))))</f>
        <v/>
      </c>
      <c r="S402" s="669" t="str">
        <f>IF($D402="","",SUM($G402)*SUM(INDEX(F_Tools!$U$101:$U$130,MATCH($D402,F_Tools!$E$101:$E$130,0))))</f>
        <v/>
      </c>
      <c r="T402" s="428"/>
      <c r="Z402" s="123"/>
      <c r="AB402" s="268" t="str">
        <f>CONST_PrecursorToGoodInput &amp; D402 &amp; "_" &amp; D378</f>
        <v>PrecToGood__</v>
      </c>
      <c r="AD402" s="269">
        <f>SUMIF(D_Processes!R:R,AB402,D_Processes!K:K)</f>
        <v>0</v>
      </c>
      <c r="AE402" s="268">
        <f>SUMIF(D_Processes!R:R,CONST_CNTR_TotProd &amp; D402,D_Processes!L:L)</f>
        <v>0</v>
      </c>
      <c r="AG402" s="102" t="b">
        <f t="shared" si="80"/>
        <v>0</v>
      </c>
    </row>
    <row r="403" spans="1:41" ht="12.75" customHeight="1" outlineLevel="1" x14ac:dyDescent="0.35">
      <c r="A403" s="92"/>
      <c r="B403" s="94"/>
      <c r="C403" s="978">
        <v>22</v>
      </c>
      <c r="D403" s="1417" t="str">
        <f>IF(D378="","",IF(COUNTIF(INDEX(CNTR_IOSupplyChain,MATCH(D378,CNTR_IOProcAndPrec,0),),C403)=0,"",INDEX(CNTR_IOProcAndPrec,MATCH(C403,INDEX(CNTR_IOSupplyChain,MATCH(D378,CNTR_IOProcAndPrec,0),),0))))</f>
        <v/>
      </c>
      <c r="E403" s="1418"/>
      <c r="F403" s="265" t="str">
        <f t="shared" si="79"/>
        <v/>
      </c>
      <c r="G403" s="266" t="str">
        <f>IF(D403="","",INDEX(CNTR_Matrix_Inv,MATCH(D378,CNTR_IOProcAndPrec,0),MATCH(D403,CNTR_IOProcAndPrec,0)))</f>
        <v/>
      </c>
      <c r="H403" s="286" t="str">
        <f>IF(D403="","",IF(AG403,INDEX(E_PurchPrec!U:U,MATCH(CONST_PurchPrecDefaultUsed&amp;D403,E_PurchPrec!R:R,0)),CONST_NA))</f>
        <v/>
      </c>
      <c r="I403" s="266" t="str">
        <f>IF($D403="","",SUM($G403)*SUM(INDEX(InputOutput!$AJ$71:$AJ$100,MATCH($D403,InputOutput!$D$71:$D$100,0))))</f>
        <v/>
      </c>
      <c r="J403" s="266" t="str">
        <f>IF($D403="","",SUM($G403)*SUM(INDEX(InputOutput!$AL$71:$AL$100,MATCH($D403,InputOutput!$D$71:$D$100,0))))</f>
        <v/>
      </c>
      <c r="K403" s="266" t="str">
        <f t="shared" si="77"/>
        <v/>
      </c>
      <c r="L403" s="267" t="str">
        <f>IF(D403="","",SUM(I403)*SUM(AD381))</f>
        <v/>
      </c>
      <c r="M403" s="267" t="str">
        <f>IF(D403="","",SUM(J403)*SUM(AD381))</f>
        <v/>
      </c>
      <c r="N403" s="267" t="str">
        <f t="shared" si="78"/>
        <v/>
      </c>
      <c r="O403" s="267" t="str">
        <f>IF(AG403,INDEX(E_PurchPrec!U:U,MATCH(CONST_CNTR_ElecEFMethod&amp;D403,E_PurchPrec!R:R,0)),INDEX(D_Processes!T:T,MATCH(CONST_CNTR_ElecEFMethod&amp;D403,D_Processes!R:R,0)))</f>
        <v/>
      </c>
      <c r="P403" s="266" t="str">
        <f>IF($D403="","",SUM($G403)*SUM(INDEX(InputOutput!$AN$71:$AN$100,MATCH($D403,InputOutput!$D$71:$D$100,0))))</f>
        <v/>
      </c>
      <c r="Q403" s="673" t="str">
        <f>IF(D403="","",IF(AG403,INDEX(A_InstData!$F$102:$F$121,MATCH(D403,CNTR_List_ExistPurchPrecNames,0)),""))</f>
        <v/>
      </c>
      <c r="R403" s="678" t="str">
        <f>IF($D403="","",SUM($G403)*SUM(INDEX(F_Tools!$T$101:$T$130,MATCH($D403,F_Tools!$E$101:$E$130,0))))</f>
        <v/>
      </c>
      <c r="S403" s="669" t="str">
        <f>IF($D403="","",SUM($G403)*SUM(INDEX(F_Tools!$U$101:$U$130,MATCH($D403,F_Tools!$E$101:$E$130,0))))</f>
        <v/>
      </c>
      <c r="T403" s="428"/>
      <c r="Z403" s="123"/>
      <c r="AB403" s="268" t="str">
        <f>CONST_PrecursorToGoodInput &amp; D403 &amp; "_" &amp; D378</f>
        <v>PrecToGood__</v>
      </c>
      <c r="AD403" s="269">
        <f>SUMIF(D_Processes!R:R,AB403,D_Processes!K:K)</f>
        <v>0</v>
      </c>
      <c r="AE403" s="268">
        <f>SUMIF(D_Processes!R:R,CONST_CNTR_TotProd &amp; D403,D_Processes!L:L)</f>
        <v>0</v>
      </c>
      <c r="AG403" s="102" t="b">
        <f t="shared" si="80"/>
        <v>0</v>
      </c>
    </row>
    <row r="404" spans="1:41" ht="12.75" customHeight="1" outlineLevel="1" x14ac:dyDescent="0.35">
      <c r="A404" s="92"/>
      <c r="B404" s="94"/>
      <c r="C404" s="978">
        <v>23</v>
      </c>
      <c r="D404" s="1417" t="str">
        <f>IF(D378="","",IF(COUNTIF(INDEX(CNTR_IOSupplyChain,MATCH(D378,CNTR_IOProcAndPrec,0),),C404)=0,"",INDEX(CNTR_IOProcAndPrec,MATCH(C404,INDEX(CNTR_IOSupplyChain,MATCH(D378,CNTR_IOProcAndPrec,0),),0))))</f>
        <v/>
      </c>
      <c r="E404" s="1418"/>
      <c r="F404" s="265" t="str">
        <f t="shared" si="79"/>
        <v/>
      </c>
      <c r="G404" s="266" t="str">
        <f>IF(D404="","",INDEX(CNTR_Matrix_Inv,MATCH(D378,CNTR_IOProcAndPrec,0),MATCH(D404,CNTR_IOProcAndPrec,0)))</f>
        <v/>
      </c>
      <c r="H404" s="286" t="str">
        <f>IF(D404="","",IF(AG404,INDEX(E_PurchPrec!U:U,MATCH(CONST_PurchPrecDefaultUsed&amp;D404,E_PurchPrec!R:R,0)),CONST_NA))</f>
        <v/>
      </c>
      <c r="I404" s="266" t="str">
        <f>IF($D404="","",SUM($G404)*SUM(INDEX(InputOutput!$AJ$71:$AJ$100,MATCH($D404,InputOutput!$D$71:$D$100,0))))</f>
        <v/>
      </c>
      <c r="J404" s="266" t="str">
        <f>IF($D404="","",SUM($G404)*SUM(INDEX(InputOutput!$AL$71:$AL$100,MATCH($D404,InputOutput!$D$71:$D$100,0))))</f>
        <v/>
      </c>
      <c r="K404" s="266" t="str">
        <f t="shared" si="77"/>
        <v/>
      </c>
      <c r="L404" s="267" t="str">
        <f>IF(D404="","",SUM(I404)*SUM(AD381))</f>
        <v/>
      </c>
      <c r="M404" s="267" t="str">
        <f>IF(D404="","",SUM(J404)*SUM(AD381))</f>
        <v/>
      </c>
      <c r="N404" s="267" t="str">
        <f t="shared" si="78"/>
        <v/>
      </c>
      <c r="O404" s="267" t="str">
        <f>IF(AG404,INDEX(E_PurchPrec!U:U,MATCH(CONST_CNTR_ElecEFMethod&amp;D404,E_PurchPrec!R:R,0)),INDEX(D_Processes!T:T,MATCH(CONST_CNTR_ElecEFMethod&amp;D404,D_Processes!R:R,0)))</f>
        <v/>
      </c>
      <c r="P404" s="266" t="str">
        <f>IF($D404="","",SUM($G404)*SUM(INDEX(InputOutput!$AN$71:$AN$100,MATCH($D404,InputOutput!$D$71:$D$100,0))))</f>
        <v/>
      </c>
      <c r="Q404" s="673" t="str">
        <f>IF(D404="","",IF(AG404,INDEX(A_InstData!$F$102:$F$121,MATCH(D404,CNTR_List_ExistPurchPrecNames,0)),""))</f>
        <v/>
      </c>
      <c r="R404" s="678" t="str">
        <f>IF($D404="","",SUM($G404)*SUM(INDEX(F_Tools!$T$101:$T$130,MATCH($D404,F_Tools!$E$101:$E$130,0))))</f>
        <v/>
      </c>
      <c r="S404" s="669" t="str">
        <f>IF($D404="","",SUM($G404)*SUM(INDEX(F_Tools!$U$101:$U$130,MATCH($D404,F_Tools!$E$101:$E$130,0))))</f>
        <v/>
      </c>
      <c r="T404" s="428"/>
      <c r="Z404" s="123"/>
      <c r="AB404" s="268" t="str">
        <f>CONST_PrecursorToGoodInput &amp; D404 &amp; "_" &amp; D378</f>
        <v>PrecToGood__</v>
      </c>
      <c r="AD404" s="269">
        <f>SUMIF(D_Processes!R:R,AB404,D_Processes!K:K)</f>
        <v>0</v>
      </c>
      <c r="AE404" s="268">
        <f>SUMIF(D_Processes!R:R,CONST_CNTR_TotProd &amp; D404,D_Processes!L:L)</f>
        <v>0</v>
      </c>
      <c r="AG404" s="102" t="b">
        <f t="shared" si="80"/>
        <v>0</v>
      </c>
    </row>
    <row r="405" spans="1:41" ht="12.75" customHeight="1" outlineLevel="1" x14ac:dyDescent="0.35">
      <c r="A405" s="92"/>
      <c r="B405" s="94"/>
      <c r="C405" s="978">
        <v>24</v>
      </c>
      <c r="D405" s="1417" t="str">
        <f>IF(D378="","",IF(COUNTIF(INDEX(CNTR_IOSupplyChain,MATCH(D378,CNTR_IOProcAndPrec,0),),C405)=0,"",INDEX(CNTR_IOProcAndPrec,MATCH(C405,INDEX(CNTR_IOSupplyChain,MATCH(D378,CNTR_IOProcAndPrec,0),),0))))</f>
        <v/>
      </c>
      <c r="E405" s="1418"/>
      <c r="F405" s="265" t="str">
        <f t="shared" si="79"/>
        <v/>
      </c>
      <c r="G405" s="266" t="str">
        <f>IF(D405="","",INDEX(CNTR_Matrix_Inv,MATCH(D378,CNTR_IOProcAndPrec,0),MATCH(D405,CNTR_IOProcAndPrec,0)))</f>
        <v/>
      </c>
      <c r="H405" s="286" t="str">
        <f>IF(D405="","",IF(AG405,INDEX(E_PurchPrec!U:U,MATCH(CONST_PurchPrecDefaultUsed&amp;D405,E_PurchPrec!R:R,0)),CONST_NA))</f>
        <v/>
      </c>
      <c r="I405" s="266" t="str">
        <f>IF($D405="","",SUM($G405)*SUM(INDEX(InputOutput!$AJ$71:$AJ$100,MATCH($D405,InputOutput!$D$71:$D$100,0))))</f>
        <v/>
      </c>
      <c r="J405" s="266" t="str">
        <f>IF($D405="","",SUM($G405)*SUM(INDEX(InputOutput!$AL$71:$AL$100,MATCH($D405,InputOutput!$D$71:$D$100,0))))</f>
        <v/>
      </c>
      <c r="K405" s="266" t="str">
        <f t="shared" si="77"/>
        <v/>
      </c>
      <c r="L405" s="267" t="str">
        <f>IF(D405="","",SUM(I405)*SUM(AD381))</f>
        <v/>
      </c>
      <c r="M405" s="267" t="str">
        <f>IF(D405="","",SUM(J405)*SUM(AD381))</f>
        <v/>
      </c>
      <c r="N405" s="267" t="str">
        <f t="shared" si="78"/>
        <v/>
      </c>
      <c r="O405" s="267" t="str">
        <f>IF(AG405,INDEX(E_PurchPrec!U:U,MATCH(CONST_CNTR_ElecEFMethod&amp;D405,E_PurchPrec!R:R,0)),INDEX(D_Processes!T:T,MATCH(CONST_CNTR_ElecEFMethod&amp;D405,D_Processes!R:R,0)))</f>
        <v/>
      </c>
      <c r="P405" s="266" t="str">
        <f>IF($D405="","",SUM($G405)*SUM(INDEX(InputOutput!$AN$71:$AN$100,MATCH($D405,InputOutput!$D$71:$D$100,0))))</f>
        <v/>
      </c>
      <c r="Q405" s="673" t="str">
        <f>IF(D405="","",IF(AG405,INDEX(A_InstData!$F$102:$F$121,MATCH(D405,CNTR_List_ExistPurchPrecNames,0)),""))</f>
        <v/>
      </c>
      <c r="R405" s="678" t="str">
        <f>IF($D405="","",SUM($G405)*SUM(INDEX(F_Tools!$T$101:$T$130,MATCH($D405,F_Tools!$E$101:$E$130,0))))</f>
        <v/>
      </c>
      <c r="S405" s="669" t="str">
        <f>IF($D405="","",SUM($G405)*SUM(INDEX(F_Tools!$U$101:$U$130,MATCH($D405,F_Tools!$E$101:$E$130,0))))</f>
        <v/>
      </c>
      <c r="T405" s="428"/>
      <c r="Z405" s="123"/>
      <c r="AB405" s="268" t="str">
        <f>CONST_PrecursorToGoodInput &amp; D405 &amp; "_" &amp; D378</f>
        <v>PrecToGood__</v>
      </c>
      <c r="AD405" s="269">
        <f>SUMIF(D_Processes!R:R,AB405,D_Processes!K:K)</f>
        <v>0</v>
      </c>
      <c r="AE405" s="268">
        <f>SUMIF(D_Processes!R:R,CONST_CNTR_TotProd &amp; D405,D_Processes!L:L)</f>
        <v>0</v>
      </c>
      <c r="AG405" s="102" t="b">
        <f t="shared" si="80"/>
        <v>0</v>
      </c>
    </row>
    <row r="406" spans="1:41" ht="12.75" customHeight="1" outlineLevel="1" x14ac:dyDescent="0.35">
      <c r="A406" s="92"/>
      <c r="B406" s="94"/>
      <c r="C406" s="978">
        <v>25</v>
      </c>
      <c r="D406" s="1417" t="str">
        <f>IF(D378="","",IF(COUNTIF(INDEX(CNTR_IOSupplyChain,MATCH(D378,CNTR_IOProcAndPrec,0),),C406)=0,"",INDEX(CNTR_IOProcAndPrec,MATCH(C406,INDEX(CNTR_IOSupplyChain,MATCH(D378,CNTR_IOProcAndPrec,0),),0))))</f>
        <v/>
      </c>
      <c r="E406" s="1418"/>
      <c r="F406" s="265" t="str">
        <f t="shared" si="79"/>
        <v/>
      </c>
      <c r="G406" s="266" t="str">
        <f>IF(D406="","",INDEX(CNTR_Matrix_Inv,MATCH(D378,CNTR_IOProcAndPrec,0),MATCH(D406,CNTR_IOProcAndPrec,0)))</f>
        <v/>
      </c>
      <c r="H406" s="286" t="str">
        <f>IF(D406="","",IF(AG406,INDEX(E_PurchPrec!U:U,MATCH(CONST_PurchPrecDefaultUsed&amp;D406,E_PurchPrec!R:R,0)),CONST_NA))</f>
        <v/>
      </c>
      <c r="I406" s="266" t="str">
        <f>IF($D406="","",SUM($G406)*SUM(INDEX(InputOutput!$AJ$71:$AJ$100,MATCH($D406,InputOutput!$D$71:$D$100,0))))</f>
        <v/>
      </c>
      <c r="J406" s="266" t="str">
        <f>IF($D406="","",SUM($G406)*SUM(INDEX(InputOutput!$AL$71:$AL$100,MATCH($D406,InputOutput!$D$71:$D$100,0))))</f>
        <v/>
      </c>
      <c r="K406" s="266" t="str">
        <f t="shared" si="77"/>
        <v/>
      </c>
      <c r="L406" s="267" t="str">
        <f>IF(D406="","",SUM(I406)*SUM(AD381))</f>
        <v/>
      </c>
      <c r="M406" s="267" t="str">
        <f>IF(D406="","",SUM(J406)*SUM(AD381))</f>
        <v/>
      </c>
      <c r="N406" s="267" t="str">
        <f t="shared" si="78"/>
        <v/>
      </c>
      <c r="O406" s="267" t="str">
        <f>IF(AG406,INDEX(E_PurchPrec!U:U,MATCH(CONST_CNTR_ElecEFMethod&amp;D406,E_PurchPrec!R:R,0)),INDEX(D_Processes!T:T,MATCH(CONST_CNTR_ElecEFMethod&amp;D406,D_Processes!R:R,0)))</f>
        <v/>
      </c>
      <c r="P406" s="266" t="str">
        <f>IF($D406="","",SUM($G406)*SUM(INDEX(InputOutput!$AN$71:$AN$100,MATCH($D406,InputOutput!$D$71:$D$100,0))))</f>
        <v/>
      </c>
      <c r="Q406" s="673" t="str">
        <f>IF(D406="","",IF(AG406,INDEX(A_InstData!$F$102:$F$121,MATCH(D406,CNTR_List_ExistPurchPrecNames,0)),""))</f>
        <v/>
      </c>
      <c r="R406" s="678" t="str">
        <f>IF($D406="","",SUM($G406)*SUM(INDEX(F_Tools!$T$101:$T$130,MATCH($D406,F_Tools!$E$101:$E$130,0))))</f>
        <v/>
      </c>
      <c r="S406" s="669" t="str">
        <f>IF($D406="","",SUM($G406)*SUM(INDEX(F_Tools!$U$101:$U$130,MATCH($D406,F_Tools!$E$101:$E$130,0))))</f>
        <v/>
      </c>
      <c r="T406" s="428"/>
      <c r="Z406" s="123"/>
      <c r="AB406" s="268" t="str">
        <f>CONST_PrecursorToGoodInput &amp; D406 &amp; "_" &amp; D378</f>
        <v>PrecToGood__</v>
      </c>
      <c r="AD406" s="269">
        <f>SUMIF(D_Processes!R:R,AB406,D_Processes!K:K)</f>
        <v>0</v>
      </c>
      <c r="AE406" s="268">
        <f>SUMIF(D_Processes!R:R,CONST_CNTR_TotProd &amp; D406,D_Processes!L:L)</f>
        <v>0</v>
      </c>
      <c r="AG406" s="102" t="b">
        <f t="shared" si="80"/>
        <v>0</v>
      </c>
    </row>
    <row r="407" spans="1:41" ht="12.75" customHeight="1" outlineLevel="1" x14ac:dyDescent="0.35">
      <c r="A407" s="92"/>
      <c r="B407" s="94"/>
      <c r="C407" s="978">
        <v>26</v>
      </c>
      <c r="D407" s="1417" t="str">
        <f>IF(D378="","",IF(COUNTIF(INDEX(CNTR_IOSupplyChain,MATCH(D378,CNTR_IOProcAndPrec,0),),C407)=0,"",INDEX(CNTR_IOProcAndPrec,MATCH(C407,INDEX(CNTR_IOSupplyChain,MATCH(D378,CNTR_IOProcAndPrec,0),),0))))</f>
        <v/>
      </c>
      <c r="E407" s="1418"/>
      <c r="F407" s="265" t="str">
        <f t="shared" si="79"/>
        <v/>
      </c>
      <c r="G407" s="266" t="str">
        <f>IF(D407="","",INDEX(CNTR_Matrix_Inv,MATCH(D378,CNTR_IOProcAndPrec,0),MATCH(D407,CNTR_IOProcAndPrec,0)))</f>
        <v/>
      </c>
      <c r="H407" s="286" t="str">
        <f>IF(D407="","",IF(AG407,INDEX(E_PurchPrec!U:U,MATCH(CONST_PurchPrecDefaultUsed&amp;D407,E_PurchPrec!R:R,0)),CONST_NA))</f>
        <v/>
      </c>
      <c r="I407" s="266" t="str">
        <f>IF($D407="","",SUM($G407)*SUM(INDEX(InputOutput!$AJ$71:$AJ$100,MATCH($D407,InputOutput!$D$71:$D$100,0))))</f>
        <v/>
      </c>
      <c r="J407" s="266" t="str">
        <f>IF($D407="","",SUM($G407)*SUM(INDEX(InputOutput!$AL$71:$AL$100,MATCH($D407,InputOutput!$D$71:$D$100,0))))</f>
        <v/>
      </c>
      <c r="K407" s="266" t="str">
        <f t="shared" si="77"/>
        <v/>
      </c>
      <c r="L407" s="267" t="str">
        <f>IF(D407="","",SUM(I407)*SUM(AD381))</f>
        <v/>
      </c>
      <c r="M407" s="267" t="str">
        <f>IF(D407="","",SUM(J407)*SUM(AD381))</f>
        <v/>
      </c>
      <c r="N407" s="267" t="str">
        <f t="shared" si="78"/>
        <v/>
      </c>
      <c r="O407" s="267" t="str">
        <f>IF(AG407,INDEX(E_PurchPrec!U:U,MATCH(CONST_CNTR_ElecEFMethod&amp;D407,E_PurchPrec!R:R,0)),INDEX(D_Processes!T:T,MATCH(CONST_CNTR_ElecEFMethod&amp;D407,D_Processes!R:R,0)))</f>
        <v/>
      </c>
      <c r="P407" s="266" t="str">
        <f>IF($D407="","",SUM($G407)*SUM(INDEX(InputOutput!$AN$71:$AN$100,MATCH($D407,InputOutput!$D$71:$D$100,0))))</f>
        <v/>
      </c>
      <c r="Q407" s="673" t="str">
        <f>IF(D407="","",IF(AG407,INDEX(A_InstData!$F$102:$F$121,MATCH(D407,CNTR_List_ExistPurchPrecNames,0)),""))</f>
        <v/>
      </c>
      <c r="R407" s="678" t="str">
        <f>IF($D407="","",SUM($G407)*SUM(INDEX(F_Tools!$T$101:$T$130,MATCH($D407,F_Tools!$E$101:$E$130,0))))</f>
        <v/>
      </c>
      <c r="S407" s="669" t="str">
        <f>IF($D407="","",SUM($G407)*SUM(INDEX(F_Tools!$U$101:$U$130,MATCH($D407,F_Tools!$E$101:$E$130,0))))</f>
        <v/>
      </c>
      <c r="T407" s="428"/>
      <c r="Z407" s="123"/>
      <c r="AB407" s="268" t="str">
        <f>CONST_PrecursorToGoodInput &amp; D407 &amp; "_" &amp; D378</f>
        <v>PrecToGood__</v>
      </c>
      <c r="AD407" s="269">
        <f>SUMIF(D_Processes!R:R,AB407,D_Processes!K:K)</f>
        <v>0</v>
      </c>
      <c r="AE407" s="268">
        <f>SUMIF(D_Processes!R:R,CONST_CNTR_TotProd &amp; D407,D_Processes!L:L)</f>
        <v>0</v>
      </c>
      <c r="AG407" s="102" t="b">
        <f t="shared" si="80"/>
        <v>0</v>
      </c>
    </row>
    <row r="408" spans="1:41" ht="12.75" customHeight="1" outlineLevel="1" x14ac:dyDescent="0.35">
      <c r="A408" s="92"/>
      <c r="B408" s="94"/>
      <c r="C408" s="978">
        <v>27</v>
      </c>
      <c r="D408" s="1417" t="str">
        <f>IF(D378="","",IF(COUNTIF(INDEX(CNTR_IOSupplyChain,MATCH(D378,CNTR_IOProcAndPrec,0),),C408)=0,"",INDEX(CNTR_IOProcAndPrec,MATCH(C408,INDEX(CNTR_IOSupplyChain,MATCH(D378,CNTR_IOProcAndPrec,0),),0))))</f>
        <v/>
      </c>
      <c r="E408" s="1418"/>
      <c r="F408" s="265" t="str">
        <f t="shared" si="79"/>
        <v/>
      </c>
      <c r="G408" s="266" t="str">
        <f>IF(D408="","",INDEX(CNTR_Matrix_Inv,MATCH(D378,CNTR_IOProcAndPrec,0),MATCH(D408,CNTR_IOProcAndPrec,0)))</f>
        <v/>
      </c>
      <c r="H408" s="286" t="str">
        <f>IF(D408="","",IF(AG408,INDEX(E_PurchPrec!U:U,MATCH(CONST_PurchPrecDefaultUsed&amp;D408,E_PurchPrec!R:R,0)),CONST_NA))</f>
        <v/>
      </c>
      <c r="I408" s="266" t="str">
        <f>IF($D408="","",SUM($G408)*SUM(INDEX(InputOutput!$AJ$71:$AJ$100,MATCH($D408,InputOutput!$D$71:$D$100,0))))</f>
        <v/>
      </c>
      <c r="J408" s="266" t="str">
        <f>IF($D408="","",SUM($G408)*SUM(INDEX(InputOutput!$AL$71:$AL$100,MATCH($D408,InputOutput!$D$71:$D$100,0))))</f>
        <v/>
      </c>
      <c r="K408" s="266" t="str">
        <f t="shared" si="77"/>
        <v/>
      </c>
      <c r="L408" s="267" t="str">
        <f>IF(D408="","",SUM(I408)*SUM(AD381))</f>
        <v/>
      </c>
      <c r="M408" s="267" t="str">
        <f>IF(D408="","",SUM(J408)*SUM(AD381))</f>
        <v/>
      </c>
      <c r="N408" s="267" t="str">
        <f t="shared" si="78"/>
        <v/>
      </c>
      <c r="O408" s="267" t="str">
        <f>IF(AG408,INDEX(E_PurchPrec!U:U,MATCH(CONST_CNTR_ElecEFMethod&amp;D408,E_PurchPrec!R:R,0)),INDEX(D_Processes!T:T,MATCH(CONST_CNTR_ElecEFMethod&amp;D408,D_Processes!R:R,0)))</f>
        <v/>
      </c>
      <c r="P408" s="266" t="str">
        <f>IF($D408="","",SUM($G408)*SUM(INDEX(InputOutput!$AN$71:$AN$100,MATCH($D408,InputOutput!$D$71:$D$100,0))))</f>
        <v/>
      </c>
      <c r="Q408" s="673" t="str">
        <f>IF(D408="","",IF(AG408,INDEX(A_InstData!$F$102:$F$121,MATCH(D408,CNTR_List_ExistPurchPrecNames,0)),""))</f>
        <v/>
      </c>
      <c r="R408" s="678" t="str">
        <f>IF($D408="","",SUM($G408)*SUM(INDEX(F_Tools!$T$101:$T$130,MATCH($D408,F_Tools!$E$101:$E$130,0))))</f>
        <v/>
      </c>
      <c r="S408" s="669" t="str">
        <f>IF($D408="","",SUM($G408)*SUM(INDEX(F_Tools!$U$101:$U$130,MATCH($D408,F_Tools!$E$101:$E$130,0))))</f>
        <v/>
      </c>
      <c r="T408" s="428"/>
      <c r="Z408" s="123"/>
      <c r="AB408" s="268" t="str">
        <f>CONST_PrecursorToGoodInput &amp; D408 &amp; "_" &amp; D378</f>
        <v>PrecToGood__</v>
      </c>
      <c r="AD408" s="269">
        <f>SUMIF(D_Processes!R:R,AB408,D_Processes!K:K)</f>
        <v>0</v>
      </c>
      <c r="AE408" s="268">
        <f>SUMIF(D_Processes!R:R,CONST_CNTR_TotProd &amp; D408,D_Processes!L:L)</f>
        <v>0</v>
      </c>
      <c r="AG408" s="102" t="b">
        <f t="shared" si="80"/>
        <v>0</v>
      </c>
    </row>
    <row r="409" spans="1:41" ht="12.75" customHeight="1" outlineLevel="1" x14ac:dyDescent="0.35">
      <c r="A409" s="92"/>
      <c r="B409" s="94"/>
      <c r="C409" s="978">
        <v>28</v>
      </c>
      <c r="D409" s="1417" t="str">
        <f>IF(D378="","",IF(COUNTIF(INDEX(CNTR_IOSupplyChain,MATCH(D378,CNTR_IOProcAndPrec,0),),C409)=0,"",INDEX(CNTR_IOProcAndPrec,MATCH(C409,INDEX(CNTR_IOSupplyChain,MATCH(D378,CNTR_IOProcAndPrec,0),),0))))</f>
        <v/>
      </c>
      <c r="E409" s="1418"/>
      <c r="F409" s="265" t="str">
        <f t="shared" si="79"/>
        <v/>
      </c>
      <c r="G409" s="266" t="str">
        <f>IF(D409="","",INDEX(CNTR_Matrix_Inv,MATCH(D378,CNTR_IOProcAndPrec,0),MATCH(D409,CNTR_IOProcAndPrec,0)))</f>
        <v/>
      </c>
      <c r="H409" s="286" t="str">
        <f>IF(D409="","",IF(AG409,INDEX(E_PurchPrec!U:U,MATCH(CONST_PurchPrecDefaultUsed&amp;D409,E_PurchPrec!R:R,0)),CONST_NA))</f>
        <v/>
      </c>
      <c r="I409" s="266" t="str">
        <f>IF($D409="","",SUM($G409)*SUM(INDEX(InputOutput!$AJ$71:$AJ$100,MATCH($D409,InputOutput!$D$71:$D$100,0))))</f>
        <v/>
      </c>
      <c r="J409" s="266" t="str">
        <f>IF($D409="","",SUM($G409)*SUM(INDEX(InputOutput!$AL$71:$AL$100,MATCH($D409,InputOutput!$D$71:$D$100,0))))</f>
        <v/>
      </c>
      <c r="K409" s="266" t="str">
        <f t="shared" si="77"/>
        <v/>
      </c>
      <c r="L409" s="267" t="str">
        <f>IF(D409="","",SUM(I409)*SUM(AD381))</f>
        <v/>
      </c>
      <c r="M409" s="267" t="str">
        <f>IF(D409="","",SUM(J409)*SUM(AD381))</f>
        <v/>
      </c>
      <c r="N409" s="267" t="str">
        <f t="shared" si="78"/>
        <v/>
      </c>
      <c r="O409" s="267" t="str">
        <f>IF(AG409,INDEX(E_PurchPrec!U:U,MATCH(CONST_CNTR_ElecEFMethod&amp;D409,E_PurchPrec!R:R,0)),INDEX(D_Processes!T:T,MATCH(CONST_CNTR_ElecEFMethod&amp;D409,D_Processes!R:R,0)))</f>
        <v/>
      </c>
      <c r="P409" s="266" t="str">
        <f>IF($D409="","",SUM($G409)*SUM(INDEX(InputOutput!$AN$71:$AN$100,MATCH($D409,InputOutput!$D$71:$D$100,0))))</f>
        <v/>
      </c>
      <c r="Q409" s="673" t="str">
        <f>IF(D409="","",IF(AG409,INDEX(A_InstData!$F$102:$F$121,MATCH(D409,CNTR_List_ExistPurchPrecNames,0)),""))</f>
        <v/>
      </c>
      <c r="R409" s="678" t="str">
        <f>IF($D409="","",SUM($G409)*SUM(INDEX(F_Tools!$T$101:$T$130,MATCH($D409,F_Tools!$E$101:$E$130,0))))</f>
        <v/>
      </c>
      <c r="S409" s="669" t="str">
        <f>IF($D409="","",SUM($G409)*SUM(INDEX(F_Tools!$U$101:$U$130,MATCH($D409,F_Tools!$E$101:$E$130,0))))</f>
        <v/>
      </c>
      <c r="T409" s="428"/>
      <c r="Z409" s="123"/>
      <c r="AB409" s="268" t="str">
        <f>CONST_PrecursorToGoodInput &amp; D409 &amp; "_" &amp; D378</f>
        <v>PrecToGood__</v>
      </c>
      <c r="AD409" s="269">
        <f>SUMIF(D_Processes!R:R,AB409,D_Processes!K:K)</f>
        <v>0</v>
      </c>
      <c r="AE409" s="268">
        <f>SUMIF(D_Processes!R:R,CONST_CNTR_TotProd &amp; D409,D_Processes!L:L)</f>
        <v>0</v>
      </c>
      <c r="AG409" s="102" t="b">
        <f t="shared" si="80"/>
        <v>0</v>
      </c>
    </row>
    <row r="410" spans="1:41" ht="12.75" customHeight="1" outlineLevel="1" x14ac:dyDescent="0.35">
      <c r="A410" s="92"/>
      <c r="B410" s="94"/>
      <c r="C410" s="978">
        <v>29</v>
      </c>
      <c r="D410" s="1417" t="str">
        <f>IF(D378="","",IF(COUNTIF(INDEX(CNTR_IOSupplyChain,MATCH(D378,CNTR_IOProcAndPrec,0),),C410)=0,"",INDEX(CNTR_IOProcAndPrec,MATCH(C410,INDEX(CNTR_IOSupplyChain,MATCH(D378,CNTR_IOProcAndPrec,0),),0))))</f>
        <v/>
      </c>
      <c r="E410" s="1418"/>
      <c r="F410" s="265" t="str">
        <f t="shared" si="79"/>
        <v/>
      </c>
      <c r="G410" s="266" t="str">
        <f>IF(D410="","",INDEX(CNTR_Matrix_Inv,MATCH(D378,CNTR_IOProcAndPrec,0),MATCH(D410,CNTR_IOProcAndPrec,0)))</f>
        <v/>
      </c>
      <c r="H410" s="286" t="str">
        <f>IF(D410="","",IF(AG410,INDEX(E_PurchPrec!U:U,MATCH(CONST_PurchPrecDefaultUsed&amp;D410,E_PurchPrec!R:R,0)),CONST_NA))</f>
        <v/>
      </c>
      <c r="I410" s="266" t="str">
        <f>IF($D410="","",SUM($G410)*SUM(INDEX(InputOutput!$AJ$71:$AJ$100,MATCH($D410,InputOutput!$D$71:$D$100,0))))</f>
        <v/>
      </c>
      <c r="J410" s="266" t="str">
        <f>IF($D410="","",SUM($G410)*SUM(INDEX(InputOutput!$AL$71:$AL$100,MATCH($D410,InputOutput!$D$71:$D$100,0))))</f>
        <v/>
      </c>
      <c r="K410" s="266" t="str">
        <f t="shared" si="77"/>
        <v/>
      </c>
      <c r="L410" s="267" t="str">
        <f>IF(D410="","",SUM(I410)*SUM(AD381))</f>
        <v/>
      </c>
      <c r="M410" s="267" t="str">
        <f>IF(D410="","",SUM(J410)*SUM(AD381))</f>
        <v/>
      </c>
      <c r="N410" s="267" t="str">
        <f t="shared" si="78"/>
        <v/>
      </c>
      <c r="O410" s="267" t="str">
        <f>IF(AG410,INDEX(E_PurchPrec!U:U,MATCH(CONST_CNTR_ElecEFMethod&amp;D410,E_PurchPrec!R:R,0)),INDEX(D_Processes!T:T,MATCH(CONST_CNTR_ElecEFMethod&amp;D410,D_Processes!R:R,0)))</f>
        <v/>
      </c>
      <c r="P410" s="266" t="str">
        <f>IF($D410="","",SUM($G410)*SUM(INDEX(InputOutput!$AN$71:$AN$100,MATCH($D410,InputOutput!$D$71:$D$100,0))))</f>
        <v/>
      </c>
      <c r="Q410" s="673" t="str">
        <f>IF(D410="","",IF(AG410,INDEX(A_InstData!$F$102:$F$121,MATCH(D410,CNTR_List_ExistPurchPrecNames,0)),""))</f>
        <v/>
      </c>
      <c r="R410" s="678" t="str">
        <f>IF($D410="","",SUM($G410)*SUM(INDEX(F_Tools!$T$101:$T$130,MATCH($D410,F_Tools!$E$101:$E$130,0))))</f>
        <v/>
      </c>
      <c r="S410" s="669" t="str">
        <f>IF($D410="","",SUM($G410)*SUM(INDEX(F_Tools!$U$101:$U$130,MATCH($D410,F_Tools!$E$101:$E$130,0))))</f>
        <v/>
      </c>
      <c r="T410" s="428"/>
      <c r="Z410" s="123"/>
      <c r="AB410" s="268" t="str">
        <f>CONST_PrecursorToGoodInput &amp; D410 &amp; "_" &amp; D378</f>
        <v>PrecToGood__</v>
      </c>
      <c r="AD410" s="269">
        <f>SUMIF(D_Processes!R:R,AB410,D_Processes!K:K)</f>
        <v>0</v>
      </c>
      <c r="AE410" s="268">
        <f>SUMIF(D_Processes!R:R,CONST_CNTR_TotProd &amp; D410,D_Processes!L:L)</f>
        <v>0</v>
      </c>
      <c r="AG410" s="102" t="b">
        <f t="shared" si="80"/>
        <v>0</v>
      </c>
    </row>
    <row r="411" spans="1:41" ht="12.75" customHeight="1" outlineLevel="1" thickBot="1" x14ac:dyDescent="0.4">
      <c r="A411" s="92"/>
      <c r="B411" s="94"/>
      <c r="C411" s="978">
        <v>30</v>
      </c>
      <c r="D411" s="1451" t="str">
        <f>IF(D378="","",IF(COUNTIF(INDEX(CNTR_IOSupplyChain,MATCH(D378,CNTR_IOProcAndPrec,0),),C411)=0,"",INDEX(CNTR_IOProcAndPrec,MATCH(C411,INDEX(CNTR_IOSupplyChain,MATCH(D378,CNTR_IOProcAndPrec,0),),0))))</f>
        <v/>
      </c>
      <c r="E411" s="1452"/>
      <c r="F411" s="270" t="str">
        <f t="shared" si="79"/>
        <v/>
      </c>
      <c r="G411" s="271" t="str">
        <f>IF(D411="","",INDEX(CNTR_Matrix_Inv,MATCH(D378,CNTR_IOProcAndPrec,0),MATCH(D411,CNTR_IOProcAndPrec,0)))</f>
        <v/>
      </c>
      <c r="H411" s="287" t="str">
        <f>IF(D411="","",IF(AG411,INDEX(E_PurchPrec!U:U,MATCH(CONST_PurchPrecDefaultUsed&amp;D411,E_PurchPrec!R:R,0)),CONST_NA))</f>
        <v/>
      </c>
      <c r="I411" s="271" t="str">
        <f>IF($D411="","",SUM($G411)*SUM(INDEX(InputOutput!$AJ$71:$AJ$100,MATCH($D411,InputOutput!$D$71:$D$100,0))))</f>
        <v/>
      </c>
      <c r="J411" s="271" t="str">
        <f>IF($D411="","",SUM($G411)*SUM(INDEX(InputOutput!$AL$71:$AL$100,MATCH($D411,InputOutput!$D$71:$D$100,0))))</f>
        <v/>
      </c>
      <c r="K411" s="271" t="str">
        <f>IF(COUNT(I411:J411)&gt;0,SUM(I411:J411),"")</f>
        <v/>
      </c>
      <c r="L411" s="272" t="str">
        <f>IF(D411="","",SUM(I411)*SUM(AD381))</f>
        <v/>
      </c>
      <c r="M411" s="272" t="str">
        <f>IF(D411="","",SUM(J411)*SUM(AD381))</f>
        <v/>
      </c>
      <c r="N411" s="272" t="str">
        <f>IF(COUNT(L411:M411)&gt;0,SUM(L411:M411),"")</f>
        <v/>
      </c>
      <c r="O411" s="272" t="str">
        <f>IF(AG411,INDEX(E_PurchPrec!U:U,MATCH(CONST_CNTR_ElecEFMethod&amp;D411,E_PurchPrec!R:R,0)),INDEX(D_Processes!T:T,MATCH(CONST_CNTR_ElecEFMethod&amp;D411,D_Processes!R:R,0)))</f>
        <v/>
      </c>
      <c r="P411" s="271" t="str">
        <f>IF($D411="","",SUM($G411)*SUM(INDEX(InputOutput!$AN$71:$AN$100,MATCH($D411,InputOutput!$D$71:$D$100,0))))</f>
        <v/>
      </c>
      <c r="Q411" s="674" t="str">
        <f>IF(D411="","",IF(AG411,INDEX(A_InstData!$F$102:$F$121,MATCH(D411,CNTR_List_ExistPurchPrecNames,0)),""))</f>
        <v/>
      </c>
      <c r="R411" s="679" t="str">
        <f>IF($D411="","",SUM($G411)*SUM(INDEX(F_Tools!$T$101:$T$130,MATCH($D411,F_Tools!$E$101:$E$130,0))))</f>
        <v/>
      </c>
      <c r="S411" s="680" t="str">
        <f>IF($D411="","",SUM($G411)*SUM(INDEX(F_Tools!$U$101:$U$130,MATCH($D411,F_Tools!$E$101:$E$130,0))))</f>
        <v/>
      </c>
      <c r="T411" s="428"/>
      <c r="AB411" s="273" t="str">
        <f>CONST_PrecursorToGoodInput &amp; D411 &amp; "_" &amp; D378</f>
        <v>PrecToGood__</v>
      </c>
      <c r="AD411" s="274">
        <f>SUMIF(D_Processes!R:R,AB411,D_Processes!K:K)</f>
        <v>0</v>
      </c>
      <c r="AE411" s="273">
        <f>SUMIF(D_Processes!R:R,CONST_CNTR_TotProd &amp; D411,D_Processes!L:L)</f>
        <v>0</v>
      </c>
      <c r="AG411" s="102" t="b">
        <f t="shared" si="80"/>
        <v>0</v>
      </c>
    </row>
    <row r="412" spans="1:41" ht="12.75" customHeight="1" thickBot="1" x14ac:dyDescent="0.4">
      <c r="A412" s="92"/>
      <c r="B412" s="94"/>
      <c r="C412" s="144"/>
      <c r="D412" s="144"/>
      <c r="E412" s="144"/>
      <c r="F412" s="144"/>
      <c r="G412" s="144"/>
      <c r="H412" s="144"/>
      <c r="I412" s="979"/>
      <c r="J412" s="979"/>
      <c r="K412" s="979"/>
      <c r="L412" s="144"/>
      <c r="M412" s="144"/>
      <c r="N412" s="144"/>
      <c r="O412" s="144"/>
      <c r="P412" s="979"/>
      <c r="Q412" s="144"/>
      <c r="R412" s="144"/>
      <c r="S412" s="144"/>
      <c r="T412" s="428"/>
    </row>
    <row r="413" spans="1:41" ht="12.75" customHeight="1" thickBot="1" x14ac:dyDescent="0.4">
      <c r="A413" s="92"/>
      <c r="B413" s="94"/>
      <c r="C413" s="145"/>
      <c r="D413" s="145"/>
      <c r="E413" s="145"/>
      <c r="F413" s="145"/>
      <c r="G413" s="145"/>
      <c r="H413" s="145"/>
      <c r="I413" s="664"/>
      <c r="J413" s="664"/>
      <c r="K413" s="664"/>
      <c r="L413" s="145"/>
      <c r="M413" s="145"/>
      <c r="N413" s="145"/>
      <c r="O413" s="145"/>
      <c r="P413" s="664"/>
      <c r="Q413" s="145"/>
      <c r="R413" s="145"/>
      <c r="S413" s="145"/>
      <c r="T413" s="428"/>
    </row>
    <row r="414" spans="1:41" s="249" customFormat="1" ht="25.5" customHeight="1" x14ac:dyDescent="0.35">
      <c r="A414" s="977"/>
      <c r="B414" s="981"/>
      <c r="C414" s="1439">
        <f>C378+1</f>
        <v>8</v>
      </c>
      <c r="D414" s="1421" t="str">
        <f>IF(INDEX(CNTR_List_ExistProdProcNames,C414)=CONST_NA,"",INDEX(CNTR_List_ExistProdProcNames,C414))</f>
        <v/>
      </c>
      <c r="E414" s="1422"/>
      <c r="F414" s="1419" t="str">
        <f>Translations!$B$107</f>
        <v>Aggregated goods category</v>
      </c>
      <c r="G414" s="250" t="str">
        <f>Translations!$B$584</f>
        <v>Mass share</v>
      </c>
      <c r="H414" s="1448" t="str">
        <f>Translations!$B$586</f>
        <v>(Share of) Default value</v>
      </c>
      <c r="I414" s="250" t="str">
        <f>Translations!$B$570</f>
        <v>SEE (direct)</v>
      </c>
      <c r="J414" s="250" t="str">
        <f>Translations!$B$574</f>
        <v>SEE (indirect)</v>
      </c>
      <c r="K414" s="250" t="str">
        <f>Translations!$B$344</f>
        <v>SEE (total)</v>
      </c>
      <c r="L414" s="250" t="str">
        <f>Translations!$B$589</f>
        <v>EmbEm (direct)</v>
      </c>
      <c r="M414" s="250" t="str">
        <f>Translations!$B$591</f>
        <v>EmbEm (indirect)</v>
      </c>
      <c r="N414" s="250" t="str">
        <f>Translations!$B$593</f>
        <v>EmbEm (total)</v>
      </c>
      <c r="O414" s="1448" t="str">
        <f>Translations!$B$594</f>
        <v>Source of electricity EF</v>
      </c>
      <c r="P414" s="250" t="str">
        <f>Translations!$B$480</f>
        <v>Embedded electricity</v>
      </c>
      <c r="Q414" s="1415" t="str">
        <f>Translations!$B$1957</f>
        <v>Country code</v>
      </c>
      <c r="R414" s="1444" t="str">
        <f>Translations!$B$351</f>
        <v>CP due (per produced t or MWh)</v>
      </c>
      <c r="S414" s="1446" t="str">
        <f>Translations!$B$352</f>
        <v>Rebate (per produced t or MWh)</v>
      </c>
      <c r="T414" s="431"/>
      <c r="U414" s="93"/>
      <c r="V414" s="248"/>
      <c r="W414" s="248"/>
      <c r="X414" s="91"/>
      <c r="Y414" s="248"/>
      <c r="Z414" s="123"/>
      <c r="AA414" s="248"/>
      <c r="AB414" s="248"/>
      <c r="AC414" s="248"/>
      <c r="AD414" s="248"/>
      <c r="AE414" s="248"/>
      <c r="AF414" s="104" t="str">
        <f>H414</f>
        <v>(Share of) Default value</v>
      </c>
      <c r="AG414" s="681" t="str">
        <f>H416</f>
        <v/>
      </c>
      <c r="AH414" s="91"/>
      <c r="AI414" s="91"/>
      <c r="AJ414" s="91"/>
      <c r="AK414" s="91"/>
      <c r="AL414" s="91"/>
      <c r="AM414" s="91"/>
      <c r="AN414" s="91"/>
      <c r="AO414" s="91"/>
    </row>
    <row r="415" spans="1:41" s="249" customFormat="1" ht="15" customHeight="1" thickBot="1" x14ac:dyDescent="0.4">
      <c r="A415" s="977"/>
      <c r="B415" s="981"/>
      <c r="C415" s="1440"/>
      <c r="D415" s="1423"/>
      <c r="E415" s="1424"/>
      <c r="F415" s="1420"/>
      <c r="G415" s="251" t="str">
        <f>IF($F416="",CONST_t,INDEX(CONST_LIST_GoodsUnit,MATCH($F416,CONST_LIST_Goods,0))) &amp;"/"&amp; IF($F416="",CONST_t,INDEX(CONST_LIST_GoodsUnit,MATCH($F416,CONST_LIST_Goods,0)))</f>
        <v>t/t</v>
      </c>
      <c r="H415" s="1449"/>
      <c r="I415" s="251" t="str">
        <f>CONST_tCO2eq &amp; "/" &amp; IF($F416="",CONST_t,INDEX(CONST_LIST_GoodsUnit,MATCH($F416,CONST_LIST_Goods,0)))</f>
        <v>tCO2e/t</v>
      </c>
      <c r="J415" s="251" t="str">
        <f>CONST_tCO2eq &amp; "/" &amp; IF($F416="",CONST_t,INDEX(CONST_LIST_GoodsUnit,MATCH($F416,CONST_LIST_Goods,0)))</f>
        <v>tCO2e/t</v>
      </c>
      <c r="K415" s="251" t="str">
        <f>CONST_tCO2eq &amp; "/" &amp; IF($F416="",CONST_t,INDEX(CONST_LIST_GoodsUnit,MATCH($F416,CONST_LIST_Goods,0)))</f>
        <v>tCO2e/t</v>
      </c>
      <c r="L415" s="252" t="str">
        <f>CONST_tCO2eq</f>
        <v>tCO2e</v>
      </c>
      <c r="M415" s="252" t="str">
        <f>CONST_tCO2eq</f>
        <v>tCO2e</v>
      </c>
      <c r="N415" s="252" t="str">
        <f>CONST_tCO2eq</f>
        <v>tCO2e</v>
      </c>
      <c r="O415" s="1449"/>
      <c r="P415" s="251" t="str">
        <f>CONST_MWh &amp; "/" &amp; IF($F416="",CONST_t,INDEX(CONST_LIST_GoodsUnit,MATCH($F416,CONST_LIST_Goods,0)))</f>
        <v>MWh/t</v>
      </c>
      <c r="Q415" s="1416"/>
      <c r="R415" s="1445"/>
      <c r="S415" s="1447"/>
      <c r="T415" s="431"/>
      <c r="V415" s="248"/>
      <c r="W415" s="248"/>
      <c r="X415" s="91"/>
      <c r="Y415" s="248"/>
      <c r="Z415" s="123"/>
      <c r="AA415" s="248"/>
      <c r="AB415" s="248"/>
      <c r="AC415" s="248"/>
      <c r="AD415" s="248"/>
      <c r="AE415" s="248"/>
      <c r="AF415" s="91"/>
      <c r="AG415" s="91"/>
      <c r="AH415" s="91"/>
      <c r="AI415" s="91"/>
      <c r="AJ415" s="91"/>
      <c r="AK415" s="91"/>
      <c r="AL415" s="91"/>
      <c r="AM415" s="91"/>
      <c r="AN415" s="91"/>
      <c r="AO415" s="91"/>
    </row>
    <row r="416" spans="1:41" ht="15" customHeight="1" thickBot="1" x14ac:dyDescent="0.4">
      <c r="A416" s="92"/>
      <c r="B416" s="94"/>
      <c r="C416" s="1441"/>
      <c r="D416" s="1429" t="str">
        <f>Translations!$B$600</f>
        <v>Total production process</v>
      </c>
      <c r="E416" s="1430"/>
      <c r="F416" s="253" t="str">
        <f>IF(D417="","",INDEX(CNTR_List_ExistProdProc,MATCH(D417,CNTR_List_ExistProdProcNames,0)))</f>
        <v/>
      </c>
      <c r="G416" s="254" t="s">
        <v>206</v>
      </c>
      <c r="H416" s="896" t="str">
        <f>IF(D414="","",IFERROR(SUMIFS(I418:I447,H418:H447,TRUE)/I416,""))</f>
        <v/>
      </c>
      <c r="I416" s="662" t="str">
        <f>IF(COUNT(I417:I447)&gt;0,SUM(I417:I447),"")</f>
        <v/>
      </c>
      <c r="J416" s="662" t="str">
        <f>IF(COUNT(J417:J447)&gt;0,SUM(J417:J447),"")</f>
        <v/>
      </c>
      <c r="K416" s="662" t="str">
        <f t="shared" ref="K416:L416" si="81">IF(COUNT(K417:K447)&gt;0,SUM(K417:K447),"")</f>
        <v/>
      </c>
      <c r="L416" s="255" t="str">
        <f t="shared" si="81"/>
        <v/>
      </c>
      <c r="M416" s="255" t="str">
        <f>IF(COUNT(M417:M447)&gt;0,SUM(M417:M447),"")</f>
        <v/>
      </c>
      <c r="N416" s="255" t="str">
        <f t="shared" ref="N416" si="82">IF(COUNT(N417:N447)&gt;0,SUM(N417:N447),"")</f>
        <v/>
      </c>
      <c r="O416" s="254" t="s">
        <v>206</v>
      </c>
      <c r="P416" s="662" t="str">
        <f t="shared" ref="P416" si="83">IF(COUNT(P417:P447)&gt;0,SUM(P417:P447),"")</f>
        <v/>
      </c>
      <c r="Q416" s="670" t="s">
        <v>206</v>
      </c>
      <c r="R416" s="675" t="str">
        <f t="shared" ref="R416:S416" si="84">IF(COUNT(R417:R447)&gt;0,SUM(R417:R447),"")</f>
        <v/>
      </c>
      <c r="S416" s="666" t="str">
        <f t="shared" si="84"/>
        <v/>
      </c>
      <c r="T416" s="428"/>
      <c r="Z416" s="123"/>
      <c r="AD416" s="91" t="s">
        <v>199</v>
      </c>
      <c r="AE416" s="91" t="s">
        <v>200</v>
      </c>
      <c r="AG416" s="91" t="s">
        <v>418</v>
      </c>
    </row>
    <row r="417" spans="1:33" ht="12.75" customHeight="1" thickBot="1" x14ac:dyDescent="0.4">
      <c r="A417" s="92"/>
      <c r="B417" s="94"/>
      <c r="C417" s="144"/>
      <c r="D417" s="1431" t="str">
        <f>D414</f>
        <v/>
      </c>
      <c r="E417" s="1432"/>
      <c r="F417" s="283" t="str">
        <f>IF(D417="","",INDEX(CNTR_List_ExistProdProc,MATCH(D417,CNTR_List_ExistProdProcNames,0)))</f>
        <v/>
      </c>
      <c r="G417" s="256">
        <v>1</v>
      </c>
      <c r="H417" s="284" t="s">
        <v>206</v>
      </c>
      <c r="I417" s="663" t="str">
        <f>IF($D417="","",SUM($G417)*SUM(INDEX(InputOutput!$AJ$71:$AJ$100,MATCH($D417,InputOutput!$D$71:$D$100,0))))</f>
        <v/>
      </c>
      <c r="J417" s="663" t="str">
        <f>IF($D417="","",SUM($G417)*SUM(INDEX(InputOutput!$AL$71:$AL$100,MATCH($D417,InputOutput!$D$71:$D$100,0))))</f>
        <v/>
      </c>
      <c r="K417" s="663" t="str">
        <f t="shared" ref="K417:K446" si="85">IF(COUNT(I417:J417)&gt;0,SUM(I417:J417),"")</f>
        <v/>
      </c>
      <c r="L417" s="257" t="str">
        <f>IF(D417="","",SUM(I417)*SUM(AD417))</f>
        <v/>
      </c>
      <c r="M417" s="257" t="str">
        <f>IF(D417="","",SUM(J417)*SUM(AD417))</f>
        <v/>
      </c>
      <c r="N417" s="257" t="str">
        <f t="shared" ref="N417:N446" si="86">IF(COUNT(L417:M417)&gt;0,SUM(L417:M417),"")</f>
        <v/>
      </c>
      <c r="O417" s="257" t="str">
        <f>IF(AG417,INDEX(E_PurchPrec!U:U,MATCH(CONST_CNTR_ElecEFMethod&amp;D417,E_PurchPrec!R:R,0)),INDEX(D_Processes!T:T,MATCH(CONST_CNTR_ElecEFMethod&amp;D417,D_Processes!R:R,0)))</f>
        <v/>
      </c>
      <c r="P417" s="663" t="str">
        <f>IF($D417="","",SUM($G417)*SUM(INDEX(InputOutput!$AN$71:$AN$100,MATCH($D417,InputOutput!$D$71:$D$100,0))))</f>
        <v/>
      </c>
      <c r="Q417" s="671"/>
      <c r="R417" s="676" t="str">
        <f>IF($D417="","",SUM($G417)*SUM(INDEX(F_Tools!$T$101:$T$130,MATCH($D417,F_Tools!$E$101:$E$130,0))))</f>
        <v/>
      </c>
      <c r="S417" s="667" t="str">
        <f>IF($D417="","",SUM($G417)*SUM(INDEX(F_Tools!$U$101:$U$130,MATCH($D417,F_Tools!$E$101:$E$130,0))))</f>
        <v/>
      </c>
      <c r="T417" s="428"/>
      <c r="Z417" s="123"/>
      <c r="AB417" s="150" t="str">
        <f>CONST_CNTR_TotProd &amp; D414</f>
        <v>TotProd_</v>
      </c>
      <c r="AD417" s="258">
        <f>SUMIF(D_Processes!R:R,AB417,D_Processes!L:L)</f>
        <v>0</v>
      </c>
    </row>
    <row r="418" spans="1:33" ht="12.75" customHeight="1" x14ac:dyDescent="0.35">
      <c r="A418" s="92"/>
      <c r="B418" s="94"/>
      <c r="C418" s="978">
        <v>1</v>
      </c>
      <c r="D418" s="1442" t="str">
        <f>IF(D414="","",IF(COUNTIF(INDEX(CNTR_IOSupplyChain,MATCH(D414,CNTR_IOProcAndPrec,0),),C418)=0,"",INDEX(CNTR_IOProcAndPrec,MATCH(C418,INDEX(CNTR_IOSupplyChain,MATCH(D414,CNTR_IOProcAndPrec,0),),0))))</f>
        <v/>
      </c>
      <c r="E418" s="1443"/>
      <c r="F418" s="260" t="str">
        <f t="shared" ref="F418:F447" si="87">IF(D418="","",IF(COUNTIF(CNTR_List_ExistProdProcNames,D418)&gt;0,INDEX(CNTR_List_ExistProdProc,MATCH(D418,CNTR_List_ExistProdProcNames,0)),INDEX(CNTR_List_ExistPurchPrec,MATCH(D418,CNTR_List_ExistPurchPrecNames,0))))</f>
        <v/>
      </c>
      <c r="G418" s="261" t="str">
        <f>IF(D418="","",INDEX(CNTR_Matrix_Inv,MATCH(D414,CNTR_IOProcAndPrec,0),MATCH(D418,CNTR_IOProcAndPrec,0)))</f>
        <v/>
      </c>
      <c r="H418" s="285" t="str">
        <f>IF(D418="","",IF(AG418,INDEX(E_PurchPrec!U:U,MATCH(CONST_PurchPrecDefaultUsed&amp;D418,E_PurchPrec!R:R,0)),CONST_NA))</f>
        <v/>
      </c>
      <c r="I418" s="261" t="str">
        <f>IF($D418="","",SUM($G418)*SUM(INDEX(InputOutput!$AJ$71:$AJ$100,MATCH($D418,InputOutput!$D$71:$D$100,0))))</f>
        <v/>
      </c>
      <c r="J418" s="261" t="str">
        <f>IF($D418="","",SUM($G418)*SUM(INDEX(InputOutput!$AL$71:$AL$100,MATCH($D418,InputOutput!$D$71:$D$100,0))))</f>
        <v/>
      </c>
      <c r="K418" s="261" t="str">
        <f t="shared" si="85"/>
        <v/>
      </c>
      <c r="L418" s="262" t="str">
        <f>IF(D418="","",SUM(I418)*SUM(AD417))</f>
        <v/>
      </c>
      <c r="M418" s="262" t="str">
        <f>IF(D418="","",SUM(J418)*SUM(AD417))</f>
        <v/>
      </c>
      <c r="N418" s="262" t="str">
        <f t="shared" si="86"/>
        <v/>
      </c>
      <c r="O418" s="262" t="str">
        <f>IF(AG418,INDEX(E_PurchPrec!U:U,MATCH(CONST_CNTR_ElecEFMethod&amp;D418,E_PurchPrec!R:R,0)),INDEX(D_Processes!T:T,MATCH(CONST_CNTR_ElecEFMethod&amp;D418,D_Processes!R:R,0)))</f>
        <v/>
      </c>
      <c r="P418" s="261" t="str">
        <f>IF($D418="","",SUM($G418)*SUM(INDEX(InputOutput!$AN$71:$AN$100,MATCH($D418,InputOutput!$D$71:$D$100,0))))</f>
        <v/>
      </c>
      <c r="Q418" s="672" t="str">
        <f>IF(D418="","",IF(AG418,INDEX(A_InstData!$F$102:$F$121,MATCH(D418,CNTR_List_ExistPurchPrecNames,0)),""))</f>
        <v/>
      </c>
      <c r="R418" s="677" t="str">
        <f>IF($D418="","",SUM($G418)*SUM(INDEX(F_Tools!$T$101:$T$130,MATCH($D418,F_Tools!$E$101:$E$130,0))))</f>
        <v/>
      </c>
      <c r="S418" s="668" t="str">
        <f>IF($D418="","",SUM($G418)*SUM(INDEX(F_Tools!$U$101:$U$130,MATCH($D418,F_Tools!$E$101:$E$130,0))))</f>
        <v/>
      </c>
      <c r="T418" s="428"/>
      <c r="Z418" s="123"/>
      <c r="AB418" s="263" t="str">
        <f>CONST_PrecursorToGoodInput &amp; D418 &amp; "_" &amp; D414</f>
        <v>PrecToGood__</v>
      </c>
      <c r="AD418" s="264">
        <f>SUMIF(D_Processes!R:R,AB418,D_Processes!K:K)</f>
        <v>0</v>
      </c>
      <c r="AE418" s="263">
        <f>SUMIF(D_Processes!R:R,CONST_CNTR_TotProd &amp; D418,D_Processes!L:L)</f>
        <v>0</v>
      </c>
      <c r="AG418" s="102" t="b">
        <f t="shared" ref="AG418:AG447" si="88">COUNTIF(CNTR_List_ExistPurchPrecNames,D418)&gt;0</f>
        <v>0</v>
      </c>
    </row>
    <row r="419" spans="1:33" ht="12.75" customHeight="1" x14ac:dyDescent="0.35">
      <c r="A419" s="92"/>
      <c r="B419" s="94"/>
      <c r="C419" s="978">
        <v>2</v>
      </c>
      <c r="D419" s="1417" t="str">
        <f>IF(D414="","",IF(COUNTIF(INDEX(CNTR_IOSupplyChain,MATCH(D414,CNTR_IOProcAndPrec,0),),C419)=0,"",INDEX(CNTR_IOProcAndPrec,MATCH(C419,INDEX(CNTR_IOSupplyChain,MATCH(D414,CNTR_IOProcAndPrec,0),),0))))</f>
        <v/>
      </c>
      <c r="E419" s="1418"/>
      <c r="F419" s="265" t="str">
        <f t="shared" si="87"/>
        <v/>
      </c>
      <c r="G419" s="266" t="str">
        <f>IF(D419="","",INDEX(CNTR_Matrix_Inv,MATCH(D414,CNTR_IOProcAndPrec,0),MATCH(D419,CNTR_IOProcAndPrec,0)))</f>
        <v/>
      </c>
      <c r="H419" s="286" t="str">
        <f>IF(D419="","",IF(AG419,INDEX(E_PurchPrec!U:U,MATCH(CONST_PurchPrecDefaultUsed&amp;D419,E_PurchPrec!R:R,0)),CONST_NA))</f>
        <v/>
      </c>
      <c r="I419" s="266" t="str">
        <f>IF($D419="","",SUM($G419)*SUM(INDEX(InputOutput!$AJ$71:$AJ$100,MATCH($D419,InputOutput!$D$71:$D$100,0))))</f>
        <v/>
      </c>
      <c r="J419" s="266" t="str">
        <f>IF($D419="","",SUM($G419)*SUM(INDEX(InputOutput!$AL$71:$AL$100,MATCH($D419,InputOutput!$D$71:$D$100,0))))</f>
        <v/>
      </c>
      <c r="K419" s="266" t="str">
        <f t="shared" si="85"/>
        <v/>
      </c>
      <c r="L419" s="267" t="str">
        <f>IF(D419="","",SUM(I419)*SUM(AD417))</f>
        <v/>
      </c>
      <c r="M419" s="267" t="str">
        <f>IF(D419="","",SUM(J419)*SUM(AD417))</f>
        <v/>
      </c>
      <c r="N419" s="267" t="str">
        <f t="shared" si="86"/>
        <v/>
      </c>
      <c r="O419" s="267" t="str">
        <f>IF(AG419,INDEX(E_PurchPrec!U:U,MATCH(CONST_CNTR_ElecEFMethod&amp;D419,E_PurchPrec!R:R,0)),INDEX(D_Processes!T:T,MATCH(CONST_CNTR_ElecEFMethod&amp;D419,D_Processes!R:R,0)))</f>
        <v/>
      </c>
      <c r="P419" s="266" t="str">
        <f>IF($D419="","",SUM($G419)*SUM(INDEX(InputOutput!$AN$71:$AN$100,MATCH($D419,InputOutput!$D$71:$D$100,0))))</f>
        <v/>
      </c>
      <c r="Q419" s="673" t="str">
        <f>IF(D419="","",IF(AG419,INDEX(A_InstData!$F$102:$F$121,MATCH(D419,CNTR_List_ExistPurchPrecNames,0)),""))</f>
        <v/>
      </c>
      <c r="R419" s="678" t="str">
        <f>IF($D419="","",SUM($G419)*SUM(INDEX(F_Tools!$T$101:$T$130,MATCH($D419,F_Tools!$E$101:$E$130,0))))</f>
        <v/>
      </c>
      <c r="S419" s="669" t="str">
        <f>IF($D419="","",SUM($G419)*SUM(INDEX(F_Tools!$U$101:$U$130,MATCH($D419,F_Tools!$E$101:$E$130,0))))</f>
        <v/>
      </c>
      <c r="T419" s="428"/>
      <c r="Z419" s="123"/>
      <c r="AB419" s="268" t="str">
        <f>CONST_PrecursorToGoodInput &amp; D419 &amp; "_" &amp; D414</f>
        <v>PrecToGood__</v>
      </c>
      <c r="AD419" s="269">
        <f>SUMIF(D_Processes!R:R,AB419,D_Processes!K:K)</f>
        <v>0</v>
      </c>
      <c r="AE419" s="268">
        <f>SUMIF(D_Processes!R:R,CONST_CNTR_TotProd &amp; D419,D_Processes!L:L)</f>
        <v>0</v>
      </c>
      <c r="AG419" s="102" t="b">
        <f t="shared" si="88"/>
        <v>0</v>
      </c>
    </row>
    <row r="420" spans="1:33" ht="12.75" customHeight="1" x14ac:dyDescent="0.35">
      <c r="A420" s="92"/>
      <c r="B420" s="94"/>
      <c r="C420" s="978">
        <v>3</v>
      </c>
      <c r="D420" s="1417" t="str">
        <f>IF(D414="","",IF(COUNTIF(INDEX(CNTR_IOSupplyChain,MATCH(D414,CNTR_IOProcAndPrec,0),),C420)=0,"",INDEX(CNTR_IOProcAndPrec,MATCH(C420,INDEX(CNTR_IOSupplyChain,MATCH(D414,CNTR_IOProcAndPrec,0),),0))))</f>
        <v/>
      </c>
      <c r="E420" s="1418"/>
      <c r="F420" s="265" t="str">
        <f t="shared" si="87"/>
        <v/>
      </c>
      <c r="G420" s="266" t="str">
        <f>IF(D420="","",INDEX(CNTR_Matrix_Inv,MATCH(D414,CNTR_IOProcAndPrec,0),MATCH(D420,CNTR_IOProcAndPrec,0)))</f>
        <v/>
      </c>
      <c r="H420" s="286" t="str">
        <f>IF(D420="","",IF(AG420,INDEX(E_PurchPrec!U:U,MATCH(CONST_PurchPrecDefaultUsed&amp;D420,E_PurchPrec!R:R,0)),CONST_NA))</f>
        <v/>
      </c>
      <c r="I420" s="266" t="str">
        <f>IF($D420="","",SUM($G420)*SUM(INDEX(InputOutput!$AJ$71:$AJ$100,MATCH($D420,InputOutput!$D$71:$D$100,0))))</f>
        <v/>
      </c>
      <c r="J420" s="266" t="str">
        <f>IF($D420="","",SUM($G420)*SUM(INDEX(InputOutput!$AL$71:$AL$100,MATCH($D420,InputOutput!$D$71:$D$100,0))))</f>
        <v/>
      </c>
      <c r="K420" s="266" t="str">
        <f t="shared" si="85"/>
        <v/>
      </c>
      <c r="L420" s="267" t="str">
        <f>IF(D420="","",SUM(I420)*SUM(AD417))</f>
        <v/>
      </c>
      <c r="M420" s="267" t="str">
        <f>IF(D420="","",SUM(J420)*SUM(AD417))</f>
        <v/>
      </c>
      <c r="N420" s="267" t="str">
        <f t="shared" si="86"/>
        <v/>
      </c>
      <c r="O420" s="267" t="str">
        <f>IF(AG420,INDEX(E_PurchPrec!U:U,MATCH(CONST_CNTR_ElecEFMethod&amp;D420,E_PurchPrec!R:R,0)),INDEX(D_Processes!T:T,MATCH(CONST_CNTR_ElecEFMethod&amp;D420,D_Processes!R:R,0)))</f>
        <v/>
      </c>
      <c r="P420" s="266" t="str">
        <f>IF($D420="","",SUM($G420)*SUM(INDEX(InputOutput!$AN$71:$AN$100,MATCH($D420,InputOutput!$D$71:$D$100,0))))</f>
        <v/>
      </c>
      <c r="Q420" s="673" t="str">
        <f>IF(D420="","",IF(AG420,INDEX(A_InstData!$F$102:$F$121,MATCH(D420,CNTR_List_ExistPurchPrecNames,0)),""))</f>
        <v/>
      </c>
      <c r="R420" s="678" t="str">
        <f>IF($D420="","",SUM($G420)*SUM(INDEX(F_Tools!$T$101:$T$130,MATCH($D420,F_Tools!$E$101:$E$130,0))))</f>
        <v/>
      </c>
      <c r="S420" s="669" t="str">
        <f>IF($D420="","",SUM($G420)*SUM(INDEX(F_Tools!$U$101:$U$130,MATCH($D420,F_Tools!$E$101:$E$130,0))))</f>
        <v/>
      </c>
      <c r="T420" s="428"/>
      <c r="Z420" s="123"/>
      <c r="AB420" s="268" t="str">
        <f>CONST_PrecursorToGoodInput &amp; D420 &amp; "_" &amp; D414</f>
        <v>PrecToGood__</v>
      </c>
      <c r="AD420" s="269">
        <f>SUMIF(D_Processes!R:R,AB420,D_Processes!K:K)</f>
        <v>0</v>
      </c>
      <c r="AE420" s="268">
        <f>SUMIF(D_Processes!R:R,CONST_CNTR_TotProd &amp; D420,D_Processes!L:L)</f>
        <v>0</v>
      </c>
      <c r="AG420" s="102" t="b">
        <f t="shared" si="88"/>
        <v>0</v>
      </c>
    </row>
    <row r="421" spans="1:33" ht="12.75" customHeight="1" x14ac:dyDescent="0.35">
      <c r="A421" s="92"/>
      <c r="B421" s="94"/>
      <c r="C421" s="978">
        <v>4</v>
      </c>
      <c r="D421" s="1417" t="str">
        <f>IF(D414="","",IF(COUNTIF(INDEX(CNTR_IOSupplyChain,MATCH(D414,CNTR_IOProcAndPrec,0),),C421)=0,"",INDEX(CNTR_IOProcAndPrec,MATCH(C421,INDEX(CNTR_IOSupplyChain,MATCH(D414,CNTR_IOProcAndPrec,0),),0))))</f>
        <v/>
      </c>
      <c r="E421" s="1418"/>
      <c r="F421" s="265" t="str">
        <f t="shared" si="87"/>
        <v/>
      </c>
      <c r="G421" s="266" t="str">
        <f>IF(D421="","",INDEX(CNTR_Matrix_Inv,MATCH(D414,CNTR_IOProcAndPrec,0),MATCH(D421,CNTR_IOProcAndPrec,0)))</f>
        <v/>
      </c>
      <c r="H421" s="286" t="str">
        <f>IF(D421="","",IF(AG421,INDEX(E_PurchPrec!U:U,MATCH(CONST_PurchPrecDefaultUsed&amp;D421,E_PurchPrec!R:R,0)),CONST_NA))</f>
        <v/>
      </c>
      <c r="I421" s="266" t="str">
        <f>IF($D421="","",SUM($G421)*SUM(INDEX(InputOutput!$AJ$71:$AJ$100,MATCH($D421,InputOutput!$D$71:$D$100,0))))</f>
        <v/>
      </c>
      <c r="J421" s="266" t="str">
        <f>IF($D421="","",SUM($G421)*SUM(INDEX(InputOutput!$AL$71:$AL$100,MATCH($D421,InputOutput!$D$71:$D$100,0))))</f>
        <v/>
      </c>
      <c r="K421" s="266" t="str">
        <f t="shared" si="85"/>
        <v/>
      </c>
      <c r="L421" s="267" t="str">
        <f>IF(D421="","",SUM(I421)*SUM(AD417))</f>
        <v/>
      </c>
      <c r="M421" s="267" t="str">
        <f>IF(D421="","",SUM(J421)*SUM(AD417))</f>
        <v/>
      </c>
      <c r="N421" s="267" t="str">
        <f t="shared" si="86"/>
        <v/>
      </c>
      <c r="O421" s="267" t="str">
        <f>IF(AG421,INDEX(E_PurchPrec!U:U,MATCH(CONST_CNTR_ElecEFMethod&amp;D421,E_PurchPrec!R:R,0)),INDEX(D_Processes!T:T,MATCH(CONST_CNTR_ElecEFMethod&amp;D421,D_Processes!R:R,0)))</f>
        <v/>
      </c>
      <c r="P421" s="266" t="str">
        <f>IF($D421="","",SUM($G421)*SUM(INDEX(InputOutput!$AN$71:$AN$100,MATCH($D421,InputOutput!$D$71:$D$100,0))))</f>
        <v/>
      </c>
      <c r="Q421" s="673" t="str">
        <f>IF(D421="","",IF(AG421,INDEX(A_InstData!$F$102:$F$121,MATCH(D421,CNTR_List_ExistPurchPrecNames,0)),""))</f>
        <v/>
      </c>
      <c r="R421" s="678" t="str">
        <f>IF($D421="","",SUM($G421)*SUM(INDEX(F_Tools!$T$101:$T$130,MATCH($D421,F_Tools!$E$101:$E$130,0))))</f>
        <v/>
      </c>
      <c r="S421" s="669" t="str">
        <f>IF($D421="","",SUM($G421)*SUM(INDEX(F_Tools!$U$101:$U$130,MATCH($D421,F_Tools!$E$101:$E$130,0))))</f>
        <v/>
      </c>
      <c r="T421" s="428"/>
      <c r="Z421" s="123"/>
      <c r="AB421" s="268" t="str">
        <f>CONST_PrecursorToGoodInput &amp; D421 &amp; "_" &amp; D414</f>
        <v>PrecToGood__</v>
      </c>
      <c r="AD421" s="269">
        <f>SUMIF(D_Processes!R:R,AB421,D_Processes!K:K)</f>
        <v>0</v>
      </c>
      <c r="AE421" s="268">
        <f>SUMIF(D_Processes!R:R,CONST_CNTR_TotProd &amp; D421,D_Processes!L:L)</f>
        <v>0</v>
      </c>
      <c r="AG421" s="102" t="b">
        <f t="shared" si="88"/>
        <v>0</v>
      </c>
    </row>
    <row r="422" spans="1:33" ht="12.75" customHeight="1" x14ac:dyDescent="0.35">
      <c r="A422" s="92"/>
      <c r="B422" s="94"/>
      <c r="C422" s="978">
        <v>5</v>
      </c>
      <c r="D422" s="1417" t="str">
        <f>IF(D414="","",IF(COUNTIF(INDEX(CNTR_IOSupplyChain,MATCH(D414,CNTR_IOProcAndPrec,0),),C422)=0,"",INDEX(CNTR_IOProcAndPrec,MATCH(C422,INDEX(CNTR_IOSupplyChain,MATCH(D414,CNTR_IOProcAndPrec,0),),0))))</f>
        <v/>
      </c>
      <c r="E422" s="1418"/>
      <c r="F422" s="265" t="str">
        <f t="shared" si="87"/>
        <v/>
      </c>
      <c r="G422" s="266" t="str">
        <f>IF(D422="","",INDEX(CNTR_Matrix_Inv,MATCH(D414,CNTR_IOProcAndPrec,0),MATCH(D422,CNTR_IOProcAndPrec,0)))</f>
        <v/>
      </c>
      <c r="H422" s="286" t="str">
        <f>IF(D422="","",IF(AG422,INDEX(E_PurchPrec!U:U,MATCH(CONST_PurchPrecDefaultUsed&amp;D422,E_PurchPrec!R:R,0)),CONST_NA))</f>
        <v/>
      </c>
      <c r="I422" s="266" t="str">
        <f>IF($D422="","",SUM($G422)*SUM(INDEX(InputOutput!$AJ$71:$AJ$100,MATCH($D422,InputOutput!$D$71:$D$100,0))))</f>
        <v/>
      </c>
      <c r="J422" s="266" t="str">
        <f>IF($D422="","",SUM($G422)*SUM(INDEX(InputOutput!$AL$71:$AL$100,MATCH($D422,InputOutput!$D$71:$D$100,0))))</f>
        <v/>
      </c>
      <c r="K422" s="266" t="str">
        <f t="shared" si="85"/>
        <v/>
      </c>
      <c r="L422" s="267" t="str">
        <f>IF(D422="","",SUM(I422)*SUM(AD417))</f>
        <v/>
      </c>
      <c r="M422" s="267" t="str">
        <f>IF(D422="","",SUM(J422)*SUM(AD417))</f>
        <v/>
      </c>
      <c r="N422" s="267" t="str">
        <f t="shared" si="86"/>
        <v/>
      </c>
      <c r="O422" s="267" t="str">
        <f>IF(AG422,INDEX(E_PurchPrec!U:U,MATCH(CONST_CNTR_ElecEFMethod&amp;D422,E_PurchPrec!R:R,0)),INDEX(D_Processes!T:T,MATCH(CONST_CNTR_ElecEFMethod&amp;D422,D_Processes!R:R,0)))</f>
        <v/>
      </c>
      <c r="P422" s="266" t="str">
        <f>IF($D422="","",SUM($G422)*SUM(INDEX(InputOutput!$AN$71:$AN$100,MATCH($D422,InputOutput!$D$71:$D$100,0))))</f>
        <v/>
      </c>
      <c r="Q422" s="673" t="str">
        <f>IF(D422="","",IF(AG422,INDEX(A_InstData!$F$102:$F$121,MATCH(D422,CNTR_List_ExistPurchPrecNames,0)),""))</f>
        <v/>
      </c>
      <c r="R422" s="678" t="str">
        <f>IF($D422="","",SUM($G422)*SUM(INDEX(F_Tools!$T$101:$T$130,MATCH($D422,F_Tools!$E$101:$E$130,0))))</f>
        <v/>
      </c>
      <c r="S422" s="669" t="str">
        <f>IF($D422="","",SUM($G422)*SUM(INDEX(F_Tools!$U$101:$U$130,MATCH($D422,F_Tools!$E$101:$E$130,0))))</f>
        <v/>
      </c>
      <c r="T422" s="428"/>
      <c r="Z422" s="123"/>
      <c r="AB422" s="268" t="str">
        <f>CONST_PrecursorToGoodInput &amp; D422 &amp; "_" &amp; D414</f>
        <v>PrecToGood__</v>
      </c>
      <c r="AD422" s="269">
        <f>SUMIF(D_Processes!R:R,AB422,D_Processes!K:K)</f>
        <v>0</v>
      </c>
      <c r="AE422" s="268">
        <f>SUMIF(D_Processes!R:R,CONST_CNTR_TotProd &amp; D422,D_Processes!L:L)</f>
        <v>0</v>
      </c>
      <c r="AG422" s="102" t="b">
        <f t="shared" si="88"/>
        <v>0</v>
      </c>
    </row>
    <row r="423" spans="1:33" ht="12.75" customHeight="1" outlineLevel="1" x14ac:dyDescent="0.35">
      <c r="A423" s="92"/>
      <c r="B423" s="94"/>
      <c r="C423" s="978">
        <v>6</v>
      </c>
      <c r="D423" s="1417" t="str">
        <f>IF(D414="","",IF(COUNTIF(INDEX(CNTR_IOSupplyChain,MATCH(D414,CNTR_IOProcAndPrec,0),),C423)=0,"",INDEX(CNTR_IOProcAndPrec,MATCH(C423,INDEX(CNTR_IOSupplyChain,MATCH(D414,CNTR_IOProcAndPrec,0),),0))))</f>
        <v/>
      </c>
      <c r="E423" s="1418"/>
      <c r="F423" s="265" t="str">
        <f t="shared" si="87"/>
        <v/>
      </c>
      <c r="G423" s="266" t="str">
        <f>IF(D423="","",INDEX(CNTR_Matrix_Inv,MATCH(D414,CNTR_IOProcAndPrec,0),MATCH(D423,CNTR_IOProcAndPrec,0)))</f>
        <v/>
      </c>
      <c r="H423" s="286" t="str">
        <f>IF(D423="","",IF(AG423,INDEX(E_PurchPrec!U:U,MATCH(CONST_PurchPrecDefaultUsed&amp;D423,E_PurchPrec!R:R,0)),CONST_NA))</f>
        <v/>
      </c>
      <c r="I423" s="266" t="str">
        <f>IF($D423="","",SUM($G423)*SUM(INDEX(InputOutput!$AJ$71:$AJ$100,MATCH($D423,InputOutput!$D$71:$D$100,0))))</f>
        <v/>
      </c>
      <c r="J423" s="266" t="str">
        <f>IF($D423="","",SUM($G423)*SUM(INDEX(InputOutput!$AL$71:$AL$100,MATCH($D423,InputOutput!$D$71:$D$100,0))))</f>
        <v/>
      </c>
      <c r="K423" s="266" t="str">
        <f t="shared" si="85"/>
        <v/>
      </c>
      <c r="L423" s="267" t="str">
        <f>IF(D423="","",SUM(I423)*SUM(AD417))</f>
        <v/>
      </c>
      <c r="M423" s="267" t="str">
        <f>IF(D423="","",SUM(J423)*SUM(AD417))</f>
        <v/>
      </c>
      <c r="N423" s="267" t="str">
        <f t="shared" si="86"/>
        <v/>
      </c>
      <c r="O423" s="267" t="str">
        <f>IF(AG423,INDEX(E_PurchPrec!U:U,MATCH(CONST_CNTR_ElecEFMethod&amp;D423,E_PurchPrec!R:R,0)),INDEX(D_Processes!T:T,MATCH(CONST_CNTR_ElecEFMethod&amp;D423,D_Processes!R:R,0)))</f>
        <v/>
      </c>
      <c r="P423" s="266" t="str">
        <f>IF($D423="","",SUM($G423)*SUM(INDEX(InputOutput!$AN$71:$AN$100,MATCH($D423,InputOutput!$D$71:$D$100,0))))</f>
        <v/>
      </c>
      <c r="Q423" s="673" t="str">
        <f>IF(D423="","",IF(AG423,INDEX(A_InstData!$F$102:$F$121,MATCH(D423,CNTR_List_ExistPurchPrecNames,0)),""))</f>
        <v/>
      </c>
      <c r="R423" s="678" t="str">
        <f>IF($D423="","",SUM($G423)*SUM(INDEX(F_Tools!$T$101:$T$130,MATCH($D423,F_Tools!$E$101:$E$130,0))))</f>
        <v/>
      </c>
      <c r="S423" s="669" t="str">
        <f>IF($D423="","",SUM($G423)*SUM(INDEX(F_Tools!$U$101:$U$130,MATCH($D423,F_Tools!$E$101:$E$130,0))))</f>
        <v/>
      </c>
      <c r="T423" s="428"/>
      <c r="Z423" s="123"/>
      <c r="AB423" s="268" t="str">
        <f>CONST_PrecursorToGoodInput &amp; D423 &amp; "_" &amp; D414</f>
        <v>PrecToGood__</v>
      </c>
      <c r="AD423" s="269">
        <f>SUMIF(D_Processes!R:R,AB423,D_Processes!K:K)</f>
        <v>0</v>
      </c>
      <c r="AE423" s="268">
        <f>SUMIF(D_Processes!R:R,CONST_CNTR_TotProd &amp; D423,D_Processes!L:L)</f>
        <v>0</v>
      </c>
      <c r="AG423" s="102" t="b">
        <f t="shared" si="88"/>
        <v>0</v>
      </c>
    </row>
    <row r="424" spans="1:33" ht="12.75" customHeight="1" outlineLevel="1" x14ac:dyDescent="0.35">
      <c r="A424" s="92"/>
      <c r="B424" s="94"/>
      <c r="C424" s="978">
        <v>7</v>
      </c>
      <c r="D424" s="1417" t="str">
        <f>IF(D414="","",IF(COUNTIF(INDEX(CNTR_IOSupplyChain,MATCH(D414,CNTR_IOProcAndPrec,0),),C424)=0,"",INDEX(CNTR_IOProcAndPrec,MATCH(C424,INDEX(CNTR_IOSupplyChain,MATCH(D414,CNTR_IOProcAndPrec,0),),0))))</f>
        <v/>
      </c>
      <c r="E424" s="1418"/>
      <c r="F424" s="265" t="str">
        <f t="shared" si="87"/>
        <v/>
      </c>
      <c r="G424" s="266" t="str">
        <f>IF(D424="","",INDEX(CNTR_Matrix_Inv,MATCH(D414,CNTR_IOProcAndPrec,0),MATCH(D424,CNTR_IOProcAndPrec,0)))</f>
        <v/>
      </c>
      <c r="H424" s="286" t="str">
        <f>IF(D424="","",IF(AG424,INDEX(E_PurchPrec!U:U,MATCH(CONST_PurchPrecDefaultUsed&amp;D424,E_PurchPrec!R:R,0)),CONST_NA))</f>
        <v/>
      </c>
      <c r="I424" s="266" t="str">
        <f>IF($D424="","",SUM($G424)*SUM(INDEX(InputOutput!$AJ$71:$AJ$100,MATCH($D424,InputOutput!$D$71:$D$100,0))))</f>
        <v/>
      </c>
      <c r="J424" s="266" t="str">
        <f>IF($D424="","",SUM($G424)*SUM(INDEX(InputOutput!$AL$71:$AL$100,MATCH($D424,InputOutput!$D$71:$D$100,0))))</f>
        <v/>
      </c>
      <c r="K424" s="266" t="str">
        <f t="shared" si="85"/>
        <v/>
      </c>
      <c r="L424" s="267" t="str">
        <f>IF(D424="","",SUM(I424)*SUM(AD417))</f>
        <v/>
      </c>
      <c r="M424" s="267" t="str">
        <f>IF(D424="","",SUM(J424)*SUM(AD417))</f>
        <v/>
      </c>
      <c r="N424" s="267" t="str">
        <f t="shared" si="86"/>
        <v/>
      </c>
      <c r="O424" s="267" t="str">
        <f>IF(AG424,INDEX(E_PurchPrec!U:U,MATCH(CONST_CNTR_ElecEFMethod&amp;D424,E_PurchPrec!R:R,0)),INDEX(D_Processes!T:T,MATCH(CONST_CNTR_ElecEFMethod&amp;D424,D_Processes!R:R,0)))</f>
        <v/>
      </c>
      <c r="P424" s="266" t="str">
        <f>IF($D424="","",SUM($G424)*SUM(INDEX(InputOutput!$AN$71:$AN$100,MATCH($D424,InputOutput!$D$71:$D$100,0))))</f>
        <v/>
      </c>
      <c r="Q424" s="673" t="str">
        <f>IF(D424="","",IF(AG424,INDEX(A_InstData!$F$102:$F$121,MATCH(D424,CNTR_List_ExistPurchPrecNames,0)),""))</f>
        <v/>
      </c>
      <c r="R424" s="678" t="str">
        <f>IF($D424="","",SUM($G424)*SUM(INDEX(F_Tools!$T$101:$T$130,MATCH($D424,F_Tools!$E$101:$E$130,0))))</f>
        <v/>
      </c>
      <c r="S424" s="669" t="str">
        <f>IF($D424="","",SUM($G424)*SUM(INDEX(F_Tools!$U$101:$U$130,MATCH($D424,F_Tools!$E$101:$E$130,0))))</f>
        <v/>
      </c>
      <c r="T424" s="428"/>
      <c r="Z424" s="123"/>
      <c r="AB424" s="268" t="str">
        <f>CONST_PrecursorToGoodInput &amp; D424 &amp; "_" &amp; D414</f>
        <v>PrecToGood__</v>
      </c>
      <c r="AD424" s="269">
        <f>SUMIF(D_Processes!R:R,AB424,D_Processes!K:K)</f>
        <v>0</v>
      </c>
      <c r="AE424" s="268">
        <f>SUMIF(D_Processes!R:R,CONST_CNTR_TotProd &amp; D424,D_Processes!L:L)</f>
        <v>0</v>
      </c>
      <c r="AG424" s="102" t="b">
        <f t="shared" si="88"/>
        <v>0</v>
      </c>
    </row>
    <row r="425" spans="1:33" ht="12.75" customHeight="1" outlineLevel="1" x14ac:dyDescent="0.35">
      <c r="A425" s="92"/>
      <c r="B425" s="94"/>
      <c r="C425" s="978">
        <v>8</v>
      </c>
      <c r="D425" s="1417" t="str">
        <f>IF(D414="","",IF(COUNTIF(INDEX(CNTR_IOSupplyChain,MATCH(D414,CNTR_IOProcAndPrec,0),),C425)=0,"",INDEX(CNTR_IOProcAndPrec,MATCH(C425,INDEX(CNTR_IOSupplyChain,MATCH(D414,CNTR_IOProcAndPrec,0),),0))))</f>
        <v/>
      </c>
      <c r="E425" s="1418"/>
      <c r="F425" s="265" t="str">
        <f t="shared" si="87"/>
        <v/>
      </c>
      <c r="G425" s="266" t="str">
        <f>IF(D425="","",INDEX(CNTR_Matrix_Inv,MATCH(D414,CNTR_IOProcAndPrec,0),MATCH(D425,CNTR_IOProcAndPrec,0)))</f>
        <v/>
      </c>
      <c r="H425" s="286" t="str">
        <f>IF(D425="","",IF(AG425,INDEX(E_PurchPrec!U:U,MATCH(CONST_PurchPrecDefaultUsed&amp;D425,E_PurchPrec!R:R,0)),CONST_NA))</f>
        <v/>
      </c>
      <c r="I425" s="266" t="str">
        <f>IF($D425="","",SUM($G425)*SUM(INDEX(InputOutput!$AJ$71:$AJ$100,MATCH($D425,InputOutput!$D$71:$D$100,0))))</f>
        <v/>
      </c>
      <c r="J425" s="266" t="str">
        <f>IF($D425="","",SUM($G425)*SUM(INDEX(InputOutput!$AL$71:$AL$100,MATCH($D425,InputOutput!$D$71:$D$100,0))))</f>
        <v/>
      </c>
      <c r="K425" s="266" t="str">
        <f t="shared" si="85"/>
        <v/>
      </c>
      <c r="L425" s="267" t="str">
        <f>IF(D425="","",SUM(I425)*SUM(AD417))</f>
        <v/>
      </c>
      <c r="M425" s="267" t="str">
        <f>IF(D425="","",SUM(J425)*SUM(AD417))</f>
        <v/>
      </c>
      <c r="N425" s="267" t="str">
        <f t="shared" si="86"/>
        <v/>
      </c>
      <c r="O425" s="267" t="str">
        <f>IF(AG425,INDEX(E_PurchPrec!U:U,MATCH(CONST_CNTR_ElecEFMethod&amp;D425,E_PurchPrec!R:R,0)),INDEX(D_Processes!T:T,MATCH(CONST_CNTR_ElecEFMethod&amp;D425,D_Processes!R:R,0)))</f>
        <v/>
      </c>
      <c r="P425" s="266" t="str">
        <f>IF($D425="","",SUM($G425)*SUM(INDEX(InputOutput!$AN$71:$AN$100,MATCH($D425,InputOutput!$D$71:$D$100,0))))</f>
        <v/>
      </c>
      <c r="Q425" s="673" t="str">
        <f>IF(D425="","",IF(AG425,INDEX(A_InstData!$F$102:$F$121,MATCH(D425,CNTR_List_ExistPurchPrecNames,0)),""))</f>
        <v/>
      </c>
      <c r="R425" s="678" t="str">
        <f>IF($D425="","",SUM($G425)*SUM(INDEX(F_Tools!$T$101:$T$130,MATCH($D425,F_Tools!$E$101:$E$130,0))))</f>
        <v/>
      </c>
      <c r="S425" s="669" t="str">
        <f>IF($D425="","",SUM($G425)*SUM(INDEX(F_Tools!$U$101:$U$130,MATCH($D425,F_Tools!$E$101:$E$130,0))))</f>
        <v/>
      </c>
      <c r="T425" s="428"/>
      <c r="Z425" s="123"/>
      <c r="AB425" s="268" t="str">
        <f>CONST_PrecursorToGoodInput &amp; D425 &amp; "_" &amp; D414</f>
        <v>PrecToGood__</v>
      </c>
      <c r="AD425" s="269">
        <f>SUMIF(D_Processes!R:R,AB425,D_Processes!K:K)</f>
        <v>0</v>
      </c>
      <c r="AE425" s="268">
        <f>SUMIF(D_Processes!R:R,CONST_CNTR_TotProd &amp; D425,D_Processes!L:L)</f>
        <v>0</v>
      </c>
      <c r="AG425" s="102" t="b">
        <f t="shared" si="88"/>
        <v>0</v>
      </c>
    </row>
    <row r="426" spans="1:33" ht="12.75" customHeight="1" outlineLevel="1" x14ac:dyDescent="0.35">
      <c r="A426" s="92"/>
      <c r="B426" s="94"/>
      <c r="C426" s="978">
        <v>9</v>
      </c>
      <c r="D426" s="1417" t="str">
        <f>IF(D414="","",IF(COUNTIF(INDEX(CNTR_IOSupplyChain,MATCH(D414,CNTR_IOProcAndPrec,0),),C426)=0,"",INDEX(CNTR_IOProcAndPrec,MATCH(C426,INDEX(CNTR_IOSupplyChain,MATCH(D414,CNTR_IOProcAndPrec,0),),0))))</f>
        <v/>
      </c>
      <c r="E426" s="1418"/>
      <c r="F426" s="265" t="str">
        <f t="shared" si="87"/>
        <v/>
      </c>
      <c r="G426" s="266" t="str">
        <f>IF(D426="","",INDEX(CNTR_Matrix_Inv,MATCH(D414,CNTR_IOProcAndPrec,0),MATCH(D426,CNTR_IOProcAndPrec,0)))</f>
        <v/>
      </c>
      <c r="H426" s="286" t="str">
        <f>IF(D426="","",IF(AG426,INDEX(E_PurchPrec!U:U,MATCH(CONST_PurchPrecDefaultUsed&amp;D426,E_PurchPrec!R:R,0)),CONST_NA))</f>
        <v/>
      </c>
      <c r="I426" s="266" t="str">
        <f>IF($D426="","",SUM($G426)*SUM(INDEX(InputOutput!$AJ$71:$AJ$100,MATCH($D426,InputOutput!$D$71:$D$100,0))))</f>
        <v/>
      </c>
      <c r="J426" s="266" t="str">
        <f>IF($D426="","",SUM($G426)*SUM(INDEX(InputOutput!$AL$71:$AL$100,MATCH($D426,InputOutput!$D$71:$D$100,0))))</f>
        <v/>
      </c>
      <c r="K426" s="266" t="str">
        <f t="shared" si="85"/>
        <v/>
      </c>
      <c r="L426" s="267" t="str">
        <f>IF(D426="","",SUM(I426)*SUM(AD417))</f>
        <v/>
      </c>
      <c r="M426" s="267" t="str">
        <f>IF(D426="","",SUM(J426)*SUM(AD417))</f>
        <v/>
      </c>
      <c r="N426" s="267" t="str">
        <f t="shared" si="86"/>
        <v/>
      </c>
      <c r="O426" s="267" t="str">
        <f>IF(AG426,INDEX(E_PurchPrec!U:U,MATCH(CONST_CNTR_ElecEFMethod&amp;D426,E_PurchPrec!R:R,0)),INDEX(D_Processes!T:T,MATCH(CONST_CNTR_ElecEFMethod&amp;D426,D_Processes!R:R,0)))</f>
        <v/>
      </c>
      <c r="P426" s="266" t="str">
        <f>IF($D426="","",SUM($G426)*SUM(INDEX(InputOutput!$AN$71:$AN$100,MATCH($D426,InputOutput!$D$71:$D$100,0))))</f>
        <v/>
      </c>
      <c r="Q426" s="673" t="str">
        <f>IF(D426="","",IF(AG426,INDEX(A_InstData!$F$102:$F$121,MATCH(D426,CNTR_List_ExistPurchPrecNames,0)),""))</f>
        <v/>
      </c>
      <c r="R426" s="678" t="str">
        <f>IF($D426="","",SUM($G426)*SUM(INDEX(F_Tools!$T$101:$T$130,MATCH($D426,F_Tools!$E$101:$E$130,0))))</f>
        <v/>
      </c>
      <c r="S426" s="669" t="str">
        <f>IF($D426="","",SUM($G426)*SUM(INDEX(F_Tools!$U$101:$U$130,MATCH($D426,F_Tools!$E$101:$E$130,0))))</f>
        <v/>
      </c>
      <c r="T426" s="428"/>
      <c r="Z426" s="123"/>
      <c r="AB426" s="268" t="str">
        <f>CONST_PrecursorToGoodInput &amp; D426 &amp; "_" &amp; D414</f>
        <v>PrecToGood__</v>
      </c>
      <c r="AD426" s="269">
        <f>SUMIF(D_Processes!R:R,AB426,D_Processes!K:K)</f>
        <v>0</v>
      </c>
      <c r="AE426" s="268">
        <f>SUMIF(D_Processes!R:R,CONST_CNTR_TotProd &amp; D426,D_Processes!L:L)</f>
        <v>0</v>
      </c>
      <c r="AG426" s="102" t="b">
        <f t="shared" si="88"/>
        <v>0</v>
      </c>
    </row>
    <row r="427" spans="1:33" ht="12.75" customHeight="1" outlineLevel="1" x14ac:dyDescent="0.35">
      <c r="A427" s="92"/>
      <c r="B427" s="94"/>
      <c r="C427" s="978">
        <v>10</v>
      </c>
      <c r="D427" s="1417" t="str">
        <f>IF(D414="","",IF(COUNTIF(INDEX(CNTR_IOSupplyChain,MATCH(D414,CNTR_IOProcAndPrec,0),),C427)=0,"",INDEX(CNTR_IOProcAndPrec,MATCH(C427,INDEX(CNTR_IOSupplyChain,MATCH(D414,CNTR_IOProcAndPrec,0),),0))))</f>
        <v/>
      </c>
      <c r="E427" s="1418"/>
      <c r="F427" s="265" t="str">
        <f t="shared" si="87"/>
        <v/>
      </c>
      <c r="G427" s="266" t="str">
        <f>IF(D427="","",INDEX(CNTR_Matrix_Inv,MATCH(D414,CNTR_IOProcAndPrec,0),MATCH(D427,CNTR_IOProcAndPrec,0)))</f>
        <v/>
      </c>
      <c r="H427" s="286" t="str">
        <f>IF(D427="","",IF(AG427,INDEX(E_PurchPrec!U:U,MATCH(CONST_PurchPrecDefaultUsed&amp;D427,E_PurchPrec!R:R,0)),CONST_NA))</f>
        <v/>
      </c>
      <c r="I427" s="266" t="str">
        <f>IF($D427="","",SUM($G427)*SUM(INDEX(InputOutput!$AJ$71:$AJ$100,MATCH($D427,InputOutput!$D$71:$D$100,0))))</f>
        <v/>
      </c>
      <c r="J427" s="266" t="str">
        <f>IF($D427="","",SUM($G427)*SUM(INDEX(InputOutput!$AL$71:$AL$100,MATCH($D427,InputOutput!$D$71:$D$100,0))))</f>
        <v/>
      </c>
      <c r="K427" s="266" t="str">
        <f t="shared" si="85"/>
        <v/>
      </c>
      <c r="L427" s="267" t="str">
        <f>IF(D427="","",SUM(I427)*SUM(AD417))</f>
        <v/>
      </c>
      <c r="M427" s="267" t="str">
        <f>IF(D427="","",SUM(J427)*SUM(AD417))</f>
        <v/>
      </c>
      <c r="N427" s="267" t="str">
        <f t="shared" si="86"/>
        <v/>
      </c>
      <c r="O427" s="267" t="str">
        <f>IF(AG427,INDEX(E_PurchPrec!U:U,MATCH(CONST_CNTR_ElecEFMethod&amp;D427,E_PurchPrec!R:R,0)),INDEX(D_Processes!T:T,MATCH(CONST_CNTR_ElecEFMethod&amp;D427,D_Processes!R:R,0)))</f>
        <v/>
      </c>
      <c r="P427" s="266" t="str">
        <f>IF($D427="","",SUM($G427)*SUM(INDEX(InputOutput!$AN$71:$AN$100,MATCH($D427,InputOutput!$D$71:$D$100,0))))</f>
        <v/>
      </c>
      <c r="Q427" s="673" t="str">
        <f>IF(D427="","",IF(AG427,INDEX(A_InstData!$F$102:$F$121,MATCH(D427,CNTR_List_ExistPurchPrecNames,0)),""))</f>
        <v/>
      </c>
      <c r="R427" s="678" t="str">
        <f>IF($D427="","",SUM($G427)*SUM(INDEX(F_Tools!$T$101:$T$130,MATCH($D427,F_Tools!$E$101:$E$130,0))))</f>
        <v/>
      </c>
      <c r="S427" s="669" t="str">
        <f>IF($D427="","",SUM($G427)*SUM(INDEX(F_Tools!$U$101:$U$130,MATCH($D427,F_Tools!$E$101:$E$130,0))))</f>
        <v/>
      </c>
      <c r="T427" s="428"/>
      <c r="Z427" s="123"/>
      <c r="AB427" s="268" t="str">
        <f>CONST_PrecursorToGoodInput &amp; D427 &amp; "_" &amp; D414</f>
        <v>PrecToGood__</v>
      </c>
      <c r="AD427" s="269">
        <f>SUMIF(D_Processes!R:R,AB427,D_Processes!K:K)</f>
        <v>0</v>
      </c>
      <c r="AE427" s="268">
        <f>SUMIF(D_Processes!R:R,CONST_CNTR_TotProd &amp; D427,D_Processes!L:L)</f>
        <v>0</v>
      </c>
      <c r="AG427" s="102" t="b">
        <f t="shared" si="88"/>
        <v>0</v>
      </c>
    </row>
    <row r="428" spans="1:33" ht="12.75" customHeight="1" outlineLevel="1" x14ac:dyDescent="0.35">
      <c r="A428" s="92"/>
      <c r="B428" s="94"/>
      <c r="C428" s="978">
        <v>11</v>
      </c>
      <c r="D428" s="1417" t="str">
        <f>IF(D414="","",IF(COUNTIF(INDEX(CNTR_IOSupplyChain,MATCH(D414,CNTR_IOProcAndPrec,0),),C428)=0,"",INDEX(CNTR_IOProcAndPrec,MATCH(C428,INDEX(CNTR_IOSupplyChain,MATCH(D414,CNTR_IOProcAndPrec,0),),0))))</f>
        <v/>
      </c>
      <c r="E428" s="1418"/>
      <c r="F428" s="265" t="str">
        <f t="shared" si="87"/>
        <v/>
      </c>
      <c r="G428" s="266" t="str">
        <f>IF(D428="","",INDEX(CNTR_Matrix_Inv,MATCH(D414,CNTR_IOProcAndPrec,0),MATCH(D428,CNTR_IOProcAndPrec,0)))</f>
        <v/>
      </c>
      <c r="H428" s="286" t="str">
        <f>IF(D428="","",IF(AG428,INDEX(E_PurchPrec!U:U,MATCH(CONST_PurchPrecDefaultUsed&amp;D428,E_PurchPrec!R:R,0)),CONST_NA))</f>
        <v/>
      </c>
      <c r="I428" s="266" t="str">
        <f>IF($D428="","",SUM($G428)*SUM(INDEX(InputOutput!$AJ$71:$AJ$100,MATCH($D428,InputOutput!$D$71:$D$100,0))))</f>
        <v/>
      </c>
      <c r="J428" s="266" t="str">
        <f>IF($D428="","",SUM($G428)*SUM(INDEX(InputOutput!$AL$71:$AL$100,MATCH($D428,InputOutput!$D$71:$D$100,0))))</f>
        <v/>
      </c>
      <c r="K428" s="266" t="str">
        <f t="shared" si="85"/>
        <v/>
      </c>
      <c r="L428" s="267" t="str">
        <f>IF(D428="","",SUM(I428)*SUM(AD417))</f>
        <v/>
      </c>
      <c r="M428" s="267" t="str">
        <f>IF(D428="","",SUM(J428)*SUM(AD417))</f>
        <v/>
      </c>
      <c r="N428" s="267" t="str">
        <f t="shared" si="86"/>
        <v/>
      </c>
      <c r="O428" s="267" t="str">
        <f>IF(AG428,INDEX(E_PurchPrec!U:U,MATCH(CONST_CNTR_ElecEFMethod&amp;D428,E_PurchPrec!R:R,0)),INDEX(D_Processes!T:T,MATCH(CONST_CNTR_ElecEFMethod&amp;D428,D_Processes!R:R,0)))</f>
        <v/>
      </c>
      <c r="P428" s="266" t="str">
        <f>IF($D428="","",SUM($G428)*SUM(INDEX(InputOutput!$AN$71:$AN$100,MATCH($D428,InputOutput!$D$71:$D$100,0))))</f>
        <v/>
      </c>
      <c r="Q428" s="673" t="str">
        <f>IF(D428="","",IF(AG428,INDEX(A_InstData!$F$102:$F$121,MATCH(D428,CNTR_List_ExistPurchPrecNames,0)),""))</f>
        <v/>
      </c>
      <c r="R428" s="678" t="str">
        <f>IF($D428="","",SUM($G428)*SUM(INDEX(F_Tools!$T$101:$T$130,MATCH($D428,F_Tools!$E$101:$E$130,0))))</f>
        <v/>
      </c>
      <c r="S428" s="669" t="str">
        <f>IF($D428="","",SUM($G428)*SUM(INDEX(F_Tools!$U$101:$U$130,MATCH($D428,F_Tools!$E$101:$E$130,0))))</f>
        <v/>
      </c>
      <c r="T428" s="428"/>
      <c r="Z428" s="123"/>
      <c r="AB428" s="268" t="str">
        <f>CONST_PrecursorToGoodInput &amp; D428 &amp; "_" &amp; D414</f>
        <v>PrecToGood__</v>
      </c>
      <c r="AD428" s="269">
        <f>SUMIF(D_Processes!R:R,AB428,D_Processes!K:K)</f>
        <v>0</v>
      </c>
      <c r="AE428" s="268">
        <f>SUMIF(D_Processes!R:R,CONST_CNTR_TotProd &amp; D428,D_Processes!L:L)</f>
        <v>0</v>
      </c>
      <c r="AG428" s="102" t="b">
        <f t="shared" si="88"/>
        <v>0</v>
      </c>
    </row>
    <row r="429" spans="1:33" ht="12.75" customHeight="1" outlineLevel="1" x14ac:dyDescent="0.35">
      <c r="A429" s="92"/>
      <c r="B429" s="94"/>
      <c r="C429" s="978">
        <v>12</v>
      </c>
      <c r="D429" s="1417" t="str">
        <f>IF(D414="","",IF(COUNTIF(INDEX(CNTR_IOSupplyChain,MATCH(D414,CNTR_IOProcAndPrec,0),),C429)=0,"",INDEX(CNTR_IOProcAndPrec,MATCH(C429,INDEX(CNTR_IOSupplyChain,MATCH(D414,CNTR_IOProcAndPrec,0),),0))))</f>
        <v/>
      </c>
      <c r="E429" s="1418"/>
      <c r="F429" s="265" t="str">
        <f t="shared" si="87"/>
        <v/>
      </c>
      <c r="G429" s="266" t="str">
        <f>IF(D429="","",INDEX(CNTR_Matrix_Inv,MATCH(D414,CNTR_IOProcAndPrec,0),MATCH(D429,CNTR_IOProcAndPrec,0)))</f>
        <v/>
      </c>
      <c r="H429" s="286" t="str">
        <f>IF(D429="","",IF(AG429,INDEX(E_PurchPrec!U:U,MATCH(CONST_PurchPrecDefaultUsed&amp;D429,E_PurchPrec!R:R,0)),CONST_NA))</f>
        <v/>
      </c>
      <c r="I429" s="266" t="str">
        <f>IF($D429="","",SUM($G429)*SUM(INDEX(InputOutput!$AJ$71:$AJ$100,MATCH($D429,InputOutput!$D$71:$D$100,0))))</f>
        <v/>
      </c>
      <c r="J429" s="266" t="str">
        <f>IF($D429="","",SUM($G429)*SUM(INDEX(InputOutput!$AL$71:$AL$100,MATCH($D429,InputOutput!$D$71:$D$100,0))))</f>
        <v/>
      </c>
      <c r="K429" s="266" t="str">
        <f t="shared" si="85"/>
        <v/>
      </c>
      <c r="L429" s="267" t="str">
        <f>IF(D429="","",SUM(I429)*SUM(AD417))</f>
        <v/>
      </c>
      <c r="M429" s="267" t="str">
        <f>IF(D429="","",SUM(J429)*SUM(AD417))</f>
        <v/>
      </c>
      <c r="N429" s="267" t="str">
        <f t="shared" si="86"/>
        <v/>
      </c>
      <c r="O429" s="267" t="str">
        <f>IF(AG429,INDEX(E_PurchPrec!U:U,MATCH(CONST_CNTR_ElecEFMethod&amp;D429,E_PurchPrec!R:R,0)),INDEX(D_Processes!T:T,MATCH(CONST_CNTR_ElecEFMethod&amp;D429,D_Processes!R:R,0)))</f>
        <v/>
      </c>
      <c r="P429" s="266" t="str">
        <f>IF($D429="","",SUM($G429)*SUM(INDEX(InputOutput!$AN$71:$AN$100,MATCH($D429,InputOutput!$D$71:$D$100,0))))</f>
        <v/>
      </c>
      <c r="Q429" s="673" t="str">
        <f>IF(D429="","",IF(AG429,INDEX(A_InstData!$F$102:$F$121,MATCH(D429,CNTR_List_ExistPurchPrecNames,0)),""))</f>
        <v/>
      </c>
      <c r="R429" s="678" t="str">
        <f>IF($D429="","",SUM($G429)*SUM(INDEX(F_Tools!$T$101:$T$130,MATCH($D429,F_Tools!$E$101:$E$130,0))))</f>
        <v/>
      </c>
      <c r="S429" s="669" t="str">
        <f>IF($D429="","",SUM($G429)*SUM(INDEX(F_Tools!$U$101:$U$130,MATCH($D429,F_Tools!$E$101:$E$130,0))))</f>
        <v/>
      </c>
      <c r="T429" s="428"/>
      <c r="Z429" s="123"/>
      <c r="AB429" s="268" t="str">
        <f>CONST_PrecursorToGoodInput &amp; D429 &amp; "_" &amp; D414</f>
        <v>PrecToGood__</v>
      </c>
      <c r="AD429" s="269">
        <f>SUMIF(D_Processes!R:R,AB429,D_Processes!K:K)</f>
        <v>0</v>
      </c>
      <c r="AE429" s="268">
        <f>SUMIF(D_Processes!R:R,CONST_CNTR_TotProd &amp; D429,D_Processes!L:L)</f>
        <v>0</v>
      </c>
      <c r="AG429" s="102" t="b">
        <f t="shared" si="88"/>
        <v>0</v>
      </c>
    </row>
    <row r="430" spans="1:33" ht="12.75" customHeight="1" outlineLevel="1" x14ac:dyDescent="0.35">
      <c r="A430" s="92"/>
      <c r="B430" s="94"/>
      <c r="C430" s="978">
        <v>13</v>
      </c>
      <c r="D430" s="1417" t="str">
        <f>IF(D414="","",IF(COUNTIF(INDEX(CNTR_IOSupplyChain,MATCH(D414,CNTR_IOProcAndPrec,0),),C430)=0,"",INDEX(CNTR_IOProcAndPrec,MATCH(C430,INDEX(CNTR_IOSupplyChain,MATCH(D414,CNTR_IOProcAndPrec,0),),0))))</f>
        <v/>
      </c>
      <c r="E430" s="1418"/>
      <c r="F430" s="265" t="str">
        <f t="shared" si="87"/>
        <v/>
      </c>
      <c r="G430" s="266" t="str">
        <f>IF(D430="","",INDEX(CNTR_Matrix_Inv,MATCH(D414,CNTR_IOProcAndPrec,0),MATCH(D430,CNTR_IOProcAndPrec,0)))</f>
        <v/>
      </c>
      <c r="H430" s="286" t="str">
        <f>IF(D430="","",IF(AG430,INDEX(E_PurchPrec!U:U,MATCH(CONST_PurchPrecDefaultUsed&amp;D430,E_PurchPrec!R:R,0)),CONST_NA))</f>
        <v/>
      </c>
      <c r="I430" s="266" t="str">
        <f>IF($D430="","",SUM($G430)*SUM(INDEX(InputOutput!$AJ$71:$AJ$100,MATCH($D430,InputOutput!$D$71:$D$100,0))))</f>
        <v/>
      </c>
      <c r="J430" s="266" t="str">
        <f>IF($D430="","",SUM($G430)*SUM(INDEX(InputOutput!$AL$71:$AL$100,MATCH($D430,InputOutput!$D$71:$D$100,0))))</f>
        <v/>
      </c>
      <c r="K430" s="266" t="str">
        <f t="shared" si="85"/>
        <v/>
      </c>
      <c r="L430" s="267" t="str">
        <f>IF(D430="","",SUM(I430)*SUM(AD417))</f>
        <v/>
      </c>
      <c r="M430" s="267" t="str">
        <f>IF(D430="","",SUM(J430)*SUM(AD417))</f>
        <v/>
      </c>
      <c r="N430" s="267" t="str">
        <f t="shared" si="86"/>
        <v/>
      </c>
      <c r="O430" s="267" t="str">
        <f>IF(AG430,INDEX(E_PurchPrec!U:U,MATCH(CONST_CNTR_ElecEFMethod&amp;D430,E_PurchPrec!R:R,0)),INDEX(D_Processes!T:T,MATCH(CONST_CNTR_ElecEFMethod&amp;D430,D_Processes!R:R,0)))</f>
        <v/>
      </c>
      <c r="P430" s="266" t="str">
        <f>IF($D430="","",SUM($G430)*SUM(INDEX(InputOutput!$AN$71:$AN$100,MATCH($D430,InputOutput!$D$71:$D$100,0))))</f>
        <v/>
      </c>
      <c r="Q430" s="673" t="str">
        <f>IF(D430="","",IF(AG430,INDEX(A_InstData!$F$102:$F$121,MATCH(D430,CNTR_List_ExistPurchPrecNames,0)),""))</f>
        <v/>
      </c>
      <c r="R430" s="678" t="str">
        <f>IF($D430="","",SUM($G430)*SUM(INDEX(F_Tools!$T$101:$T$130,MATCH($D430,F_Tools!$E$101:$E$130,0))))</f>
        <v/>
      </c>
      <c r="S430" s="669" t="str">
        <f>IF($D430="","",SUM($G430)*SUM(INDEX(F_Tools!$U$101:$U$130,MATCH($D430,F_Tools!$E$101:$E$130,0))))</f>
        <v/>
      </c>
      <c r="T430" s="428"/>
      <c r="Z430" s="123"/>
      <c r="AB430" s="268" t="str">
        <f>CONST_PrecursorToGoodInput &amp; D430 &amp; "_" &amp; D414</f>
        <v>PrecToGood__</v>
      </c>
      <c r="AD430" s="269">
        <f>SUMIF(D_Processes!R:R,AB430,D_Processes!K:K)</f>
        <v>0</v>
      </c>
      <c r="AE430" s="268">
        <f>SUMIF(D_Processes!R:R,CONST_CNTR_TotProd &amp; D430,D_Processes!L:L)</f>
        <v>0</v>
      </c>
      <c r="AG430" s="102" t="b">
        <f t="shared" si="88"/>
        <v>0</v>
      </c>
    </row>
    <row r="431" spans="1:33" ht="12.75" customHeight="1" outlineLevel="1" x14ac:dyDescent="0.35">
      <c r="A431" s="92"/>
      <c r="B431" s="94"/>
      <c r="C431" s="978">
        <v>14</v>
      </c>
      <c r="D431" s="1417" t="str">
        <f>IF(D414="","",IF(COUNTIF(INDEX(CNTR_IOSupplyChain,MATCH(D414,CNTR_IOProcAndPrec,0),),C431)=0,"",INDEX(CNTR_IOProcAndPrec,MATCH(C431,INDEX(CNTR_IOSupplyChain,MATCH(D414,CNTR_IOProcAndPrec,0),),0))))</f>
        <v/>
      </c>
      <c r="E431" s="1418"/>
      <c r="F431" s="265" t="str">
        <f t="shared" si="87"/>
        <v/>
      </c>
      <c r="G431" s="266" t="str">
        <f>IF(D431="","",INDEX(CNTR_Matrix_Inv,MATCH(D414,CNTR_IOProcAndPrec,0),MATCH(D431,CNTR_IOProcAndPrec,0)))</f>
        <v/>
      </c>
      <c r="H431" s="286" t="str">
        <f>IF(D431="","",IF(AG431,INDEX(E_PurchPrec!U:U,MATCH(CONST_PurchPrecDefaultUsed&amp;D431,E_PurchPrec!R:R,0)),CONST_NA))</f>
        <v/>
      </c>
      <c r="I431" s="266" t="str">
        <f>IF($D431="","",SUM($G431)*SUM(INDEX(InputOutput!$AJ$71:$AJ$100,MATCH($D431,InputOutput!$D$71:$D$100,0))))</f>
        <v/>
      </c>
      <c r="J431" s="266" t="str">
        <f>IF($D431="","",SUM($G431)*SUM(INDEX(InputOutput!$AL$71:$AL$100,MATCH($D431,InputOutput!$D$71:$D$100,0))))</f>
        <v/>
      </c>
      <c r="K431" s="266" t="str">
        <f t="shared" si="85"/>
        <v/>
      </c>
      <c r="L431" s="267" t="str">
        <f>IF(D431="","",SUM(I431)*SUM(AD417))</f>
        <v/>
      </c>
      <c r="M431" s="267" t="str">
        <f>IF(D431="","",SUM(J431)*SUM(AD417))</f>
        <v/>
      </c>
      <c r="N431" s="267" t="str">
        <f t="shared" si="86"/>
        <v/>
      </c>
      <c r="O431" s="267" t="str">
        <f>IF(AG431,INDEX(E_PurchPrec!U:U,MATCH(CONST_CNTR_ElecEFMethod&amp;D431,E_PurchPrec!R:R,0)),INDEX(D_Processes!T:T,MATCH(CONST_CNTR_ElecEFMethod&amp;D431,D_Processes!R:R,0)))</f>
        <v/>
      </c>
      <c r="P431" s="266" t="str">
        <f>IF($D431="","",SUM($G431)*SUM(INDEX(InputOutput!$AN$71:$AN$100,MATCH($D431,InputOutput!$D$71:$D$100,0))))</f>
        <v/>
      </c>
      <c r="Q431" s="673" t="str">
        <f>IF(D431="","",IF(AG431,INDEX(A_InstData!$F$102:$F$121,MATCH(D431,CNTR_List_ExistPurchPrecNames,0)),""))</f>
        <v/>
      </c>
      <c r="R431" s="678" t="str">
        <f>IF($D431="","",SUM($G431)*SUM(INDEX(F_Tools!$T$101:$T$130,MATCH($D431,F_Tools!$E$101:$E$130,0))))</f>
        <v/>
      </c>
      <c r="S431" s="669" t="str">
        <f>IF($D431="","",SUM($G431)*SUM(INDEX(F_Tools!$U$101:$U$130,MATCH($D431,F_Tools!$E$101:$E$130,0))))</f>
        <v/>
      </c>
      <c r="T431" s="428"/>
      <c r="Z431" s="123"/>
      <c r="AB431" s="268" t="str">
        <f>CONST_PrecursorToGoodInput &amp; D431 &amp; "_" &amp; D414</f>
        <v>PrecToGood__</v>
      </c>
      <c r="AD431" s="269">
        <f>SUMIF(D_Processes!R:R,AB431,D_Processes!K:K)</f>
        <v>0</v>
      </c>
      <c r="AE431" s="268">
        <f>SUMIF(D_Processes!R:R,CONST_CNTR_TotProd &amp; D431,D_Processes!L:L)</f>
        <v>0</v>
      </c>
      <c r="AG431" s="102" t="b">
        <f t="shared" si="88"/>
        <v>0</v>
      </c>
    </row>
    <row r="432" spans="1:33" ht="12.75" customHeight="1" outlineLevel="1" x14ac:dyDescent="0.35">
      <c r="A432" s="92"/>
      <c r="B432" s="94"/>
      <c r="C432" s="978">
        <v>15</v>
      </c>
      <c r="D432" s="1417" t="str">
        <f>IF(D414="","",IF(COUNTIF(INDEX(CNTR_IOSupplyChain,MATCH(D414,CNTR_IOProcAndPrec,0),),C432)=0,"",INDEX(CNTR_IOProcAndPrec,MATCH(C432,INDEX(CNTR_IOSupplyChain,MATCH(D414,CNTR_IOProcAndPrec,0),),0))))</f>
        <v/>
      </c>
      <c r="E432" s="1418"/>
      <c r="F432" s="265" t="str">
        <f t="shared" si="87"/>
        <v/>
      </c>
      <c r="G432" s="266" t="str">
        <f>IF(D432="","",INDEX(CNTR_Matrix_Inv,MATCH(D414,CNTR_IOProcAndPrec,0),MATCH(D432,CNTR_IOProcAndPrec,0)))</f>
        <v/>
      </c>
      <c r="H432" s="286" t="str">
        <f>IF(D432="","",IF(AG432,INDEX(E_PurchPrec!U:U,MATCH(CONST_PurchPrecDefaultUsed&amp;D432,E_PurchPrec!R:R,0)),CONST_NA))</f>
        <v/>
      </c>
      <c r="I432" s="266" t="str">
        <f>IF($D432="","",SUM($G432)*SUM(INDEX(InputOutput!$AJ$71:$AJ$100,MATCH($D432,InputOutput!$D$71:$D$100,0))))</f>
        <v/>
      </c>
      <c r="J432" s="266" t="str">
        <f>IF($D432="","",SUM($G432)*SUM(INDEX(InputOutput!$AL$71:$AL$100,MATCH($D432,InputOutput!$D$71:$D$100,0))))</f>
        <v/>
      </c>
      <c r="K432" s="266" t="str">
        <f t="shared" si="85"/>
        <v/>
      </c>
      <c r="L432" s="267" t="str">
        <f>IF(D432="","",SUM(I432)*SUM(AD417))</f>
        <v/>
      </c>
      <c r="M432" s="267" t="str">
        <f>IF(D432="","",SUM(J432)*SUM(AD417))</f>
        <v/>
      </c>
      <c r="N432" s="267" t="str">
        <f t="shared" si="86"/>
        <v/>
      </c>
      <c r="O432" s="267" t="str">
        <f>IF(AG432,INDEX(E_PurchPrec!U:U,MATCH(CONST_CNTR_ElecEFMethod&amp;D432,E_PurchPrec!R:R,0)),INDEX(D_Processes!T:T,MATCH(CONST_CNTR_ElecEFMethod&amp;D432,D_Processes!R:R,0)))</f>
        <v/>
      </c>
      <c r="P432" s="266" t="str">
        <f>IF($D432="","",SUM($G432)*SUM(INDEX(InputOutput!$AN$71:$AN$100,MATCH($D432,InputOutput!$D$71:$D$100,0))))</f>
        <v/>
      </c>
      <c r="Q432" s="673" t="str">
        <f>IF(D432="","",IF(AG432,INDEX(A_InstData!$F$102:$F$121,MATCH(D432,CNTR_List_ExistPurchPrecNames,0)),""))</f>
        <v/>
      </c>
      <c r="R432" s="678" t="str">
        <f>IF($D432="","",SUM($G432)*SUM(INDEX(F_Tools!$T$101:$T$130,MATCH($D432,F_Tools!$E$101:$E$130,0))))</f>
        <v/>
      </c>
      <c r="S432" s="669" t="str">
        <f>IF($D432="","",SUM($G432)*SUM(INDEX(F_Tools!$U$101:$U$130,MATCH($D432,F_Tools!$E$101:$E$130,0))))</f>
        <v/>
      </c>
      <c r="T432" s="428"/>
      <c r="Z432" s="123"/>
      <c r="AB432" s="268" t="str">
        <f>CONST_PrecursorToGoodInput &amp; D432 &amp; "_" &amp; D414</f>
        <v>PrecToGood__</v>
      </c>
      <c r="AD432" s="269">
        <f>SUMIF(D_Processes!R:R,AB432,D_Processes!K:K)</f>
        <v>0</v>
      </c>
      <c r="AE432" s="268">
        <f>SUMIF(D_Processes!R:R,CONST_CNTR_TotProd &amp; D432,D_Processes!L:L)</f>
        <v>0</v>
      </c>
      <c r="AG432" s="102" t="b">
        <f t="shared" si="88"/>
        <v>0</v>
      </c>
    </row>
    <row r="433" spans="1:33" ht="12.75" customHeight="1" outlineLevel="1" x14ac:dyDescent="0.35">
      <c r="A433" s="92"/>
      <c r="B433" s="94"/>
      <c r="C433" s="978">
        <v>16</v>
      </c>
      <c r="D433" s="1417" t="str">
        <f>IF(D414="","",IF(COUNTIF(INDEX(CNTR_IOSupplyChain,MATCH(D414,CNTR_IOProcAndPrec,0),),C433)=0,"",INDEX(CNTR_IOProcAndPrec,MATCH(C433,INDEX(CNTR_IOSupplyChain,MATCH(D414,CNTR_IOProcAndPrec,0),),0))))</f>
        <v/>
      </c>
      <c r="E433" s="1418"/>
      <c r="F433" s="265" t="str">
        <f t="shared" si="87"/>
        <v/>
      </c>
      <c r="G433" s="266" t="str">
        <f>IF(D433="","",INDEX(CNTR_Matrix_Inv,MATCH(D414,CNTR_IOProcAndPrec,0),MATCH(D433,CNTR_IOProcAndPrec,0)))</f>
        <v/>
      </c>
      <c r="H433" s="286" t="str">
        <f>IF(D433="","",IF(AG433,INDEX(E_PurchPrec!U:U,MATCH(CONST_PurchPrecDefaultUsed&amp;D433,E_PurchPrec!R:R,0)),CONST_NA))</f>
        <v/>
      </c>
      <c r="I433" s="266" t="str">
        <f>IF($D433="","",SUM($G433)*SUM(INDEX(InputOutput!$AJ$71:$AJ$100,MATCH($D433,InputOutput!$D$71:$D$100,0))))</f>
        <v/>
      </c>
      <c r="J433" s="266" t="str">
        <f>IF($D433="","",SUM($G433)*SUM(INDEX(InputOutput!$AL$71:$AL$100,MATCH($D433,InputOutput!$D$71:$D$100,0))))</f>
        <v/>
      </c>
      <c r="K433" s="266" t="str">
        <f t="shared" si="85"/>
        <v/>
      </c>
      <c r="L433" s="267" t="str">
        <f>IF(D433="","",SUM(I433)*SUM(AD417))</f>
        <v/>
      </c>
      <c r="M433" s="267" t="str">
        <f>IF(D433="","",SUM(J433)*SUM(AD417))</f>
        <v/>
      </c>
      <c r="N433" s="267" t="str">
        <f t="shared" si="86"/>
        <v/>
      </c>
      <c r="O433" s="267" t="str">
        <f>IF(AG433,INDEX(E_PurchPrec!U:U,MATCH(CONST_CNTR_ElecEFMethod&amp;D433,E_PurchPrec!R:R,0)),INDEX(D_Processes!T:T,MATCH(CONST_CNTR_ElecEFMethod&amp;D433,D_Processes!R:R,0)))</f>
        <v/>
      </c>
      <c r="P433" s="266" t="str">
        <f>IF($D433="","",SUM($G433)*SUM(INDEX(InputOutput!$AN$71:$AN$100,MATCH($D433,InputOutput!$D$71:$D$100,0))))</f>
        <v/>
      </c>
      <c r="Q433" s="673" t="str">
        <f>IF(D433="","",IF(AG433,INDEX(A_InstData!$F$102:$F$121,MATCH(D433,CNTR_List_ExistPurchPrecNames,0)),""))</f>
        <v/>
      </c>
      <c r="R433" s="678" t="str">
        <f>IF($D433="","",SUM($G433)*SUM(INDEX(F_Tools!$T$101:$T$130,MATCH($D433,F_Tools!$E$101:$E$130,0))))</f>
        <v/>
      </c>
      <c r="S433" s="669" t="str">
        <f>IF($D433="","",SUM($G433)*SUM(INDEX(F_Tools!$U$101:$U$130,MATCH($D433,F_Tools!$E$101:$E$130,0))))</f>
        <v/>
      </c>
      <c r="T433" s="428"/>
      <c r="Z433" s="123"/>
      <c r="AB433" s="268" t="str">
        <f>CONST_PrecursorToGoodInput &amp; D433 &amp; "_" &amp; D414</f>
        <v>PrecToGood__</v>
      </c>
      <c r="AD433" s="269">
        <f>SUMIF(D_Processes!R:R,AB433,D_Processes!K:K)</f>
        <v>0</v>
      </c>
      <c r="AE433" s="268">
        <f>SUMIF(D_Processes!R:R,CONST_CNTR_TotProd &amp; D433,D_Processes!L:L)</f>
        <v>0</v>
      </c>
      <c r="AG433" s="102" t="b">
        <f t="shared" si="88"/>
        <v>0</v>
      </c>
    </row>
    <row r="434" spans="1:33" ht="12.75" customHeight="1" outlineLevel="1" x14ac:dyDescent="0.35">
      <c r="A434" s="92"/>
      <c r="B434" s="94"/>
      <c r="C434" s="978">
        <v>17</v>
      </c>
      <c r="D434" s="1417" t="str">
        <f>IF(D414="","",IF(COUNTIF(INDEX(CNTR_IOSupplyChain,MATCH(D414,CNTR_IOProcAndPrec,0),),C434)=0,"",INDEX(CNTR_IOProcAndPrec,MATCH(C434,INDEX(CNTR_IOSupplyChain,MATCH(D414,CNTR_IOProcAndPrec,0),),0))))</f>
        <v/>
      </c>
      <c r="E434" s="1418"/>
      <c r="F434" s="265" t="str">
        <f t="shared" si="87"/>
        <v/>
      </c>
      <c r="G434" s="266" t="str">
        <f>IF(D434="","",INDEX(CNTR_Matrix_Inv,MATCH(D414,CNTR_IOProcAndPrec,0),MATCH(D434,CNTR_IOProcAndPrec,0)))</f>
        <v/>
      </c>
      <c r="H434" s="286" t="str">
        <f>IF(D434="","",IF(AG434,INDEX(E_PurchPrec!U:U,MATCH(CONST_PurchPrecDefaultUsed&amp;D434,E_PurchPrec!R:R,0)),CONST_NA))</f>
        <v/>
      </c>
      <c r="I434" s="266" t="str">
        <f>IF($D434="","",SUM($G434)*SUM(INDEX(InputOutput!$AJ$71:$AJ$100,MATCH($D434,InputOutput!$D$71:$D$100,0))))</f>
        <v/>
      </c>
      <c r="J434" s="266" t="str">
        <f>IF($D434="","",SUM($G434)*SUM(INDEX(InputOutput!$AL$71:$AL$100,MATCH($D434,InputOutput!$D$71:$D$100,0))))</f>
        <v/>
      </c>
      <c r="K434" s="266" t="str">
        <f t="shared" si="85"/>
        <v/>
      </c>
      <c r="L434" s="267" t="str">
        <f>IF(D434="","",SUM(I434)*SUM(AD417))</f>
        <v/>
      </c>
      <c r="M434" s="267" t="str">
        <f>IF(D434="","",SUM(J434)*SUM(AD417))</f>
        <v/>
      </c>
      <c r="N434" s="267" t="str">
        <f t="shared" si="86"/>
        <v/>
      </c>
      <c r="O434" s="267" t="str">
        <f>IF(AG434,INDEX(E_PurchPrec!U:U,MATCH(CONST_CNTR_ElecEFMethod&amp;D434,E_PurchPrec!R:R,0)),INDEX(D_Processes!T:T,MATCH(CONST_CNTR_ElecEFMethod&amp;D434,D_Processes!R:R,0)))</f>
        <v/>
      </c>
      <c r="P434" s="266" t="str">
        <f>IF($D434="","",SUM($G434)*SUM(INDEX(InputOutput!$AN$71:$AN$100,MATCH($D434,InputOutput!$D$71:$D$100,0))))</f>
        <v/>
      </c>
      <c r="Q434" s="673" t="str">
        <f>IF(D434="","",IF(AG434,INDEX(A_InstData!$F$102:$F$121,MATCH(D434,CNTR_List_ExistPurchPrecNames,0)),""))</f>
        <v/>
      </c>
      <c r="R434" s="678" t="str">
        <f>IF($D434="","",SUM($G434)*SUM(INDEX(F_Tools!$T$101:$T$130,MATCH($D434,F_Tools!$E$101:$E$130,0))))</f>
        <v/>
      </c>
      <c r="S434" s="669" t="str">
        <f>IF($D434="","",SUM($G434)*SUM(INDEX(F_Tools!$U$101:$U$130,MATCH($D434,F_Tools!$E$101:$E$130,0))))</f>
        <v/>
      </c>
      <c r="T434" s="428"/>
      <c r="Z434" s="123"/>
      <c r="AB434" s="268" t="str">
        <f>CONST_PrecursorToGoodInput &amp; D434 &amp; "_" &amp; D414</f>
        <v>PrecToGood__</v>
      </c>
      <c r="AD434" s="269">
        <f>SUMIF(D_Processes!R:R,AB434,D_Processes!K:K)</f>
        <v>0</v>
      </c>
      <c r="AE434" s="268">
        <f>SUMIF(D_Processes!R:R,CONST_CNTR_TotProd &amp; D434,D_Processes!L:L)</f>
        <v>0</v>
      </c>
      <c r="AG434" s="102" t="b">
        <f t="shared" si="88"/>
        <v>0</v>
      </c>
    </row>
    <row r="435" spans="1:33" ht="12.75" customHeight="1" outlineLevel="1" x14ac:dyDescent="0.35">
      <c r="A435" s="92"/>
      <c r="B435" s="94"/>
      <c r="C435" s="978">
        <v>18</v>
      </c>
      <c r="D435" s="1417" t="str">
        <f>IF(D414="","",IF(COUNTIF(INDEX(CNTR_IOSupplyChain,MATCH(D414,CNTR_IOProcAndPrec,0),),C435)=0,"",INDEX(CNTR_IOProcAndPrec,MATCH(C435,INDEX(CNTR_IOSupplyChain,MATCH(D414,CNTR_IOProcAndPrec,0),),0))))</f>
        <v/>
      </c>
      <c r="E435" s="1418"/>
      <c r="F435" s="265" t="str">
        <f t="shared" si="87"/>
        <v/>
      </c>
      <c r="G435" s="266" t="str">
        <f>IF(D435="","",INDEX(CNTR_Matrix_Inv,MATCH(D414,CNTR_IOProcAndPrec,0),MATCH(D435,CNTR_IOProcAndPrec,0)))</f>
        <v/>
      </c>
      <c r="H435" s="286" t="str">
        <f>IF(D435="","",IF(AG435,INDEX(E_PurchPrec!U:U,MATCH(CONST_PurchPrecDefaultUsed&amp;D435,E_PurchPrec!R:R,0)),CONST_NA))</f>
        <v/>
      </c>
      <c r="I435" s="266" t="str">
        <f>IF($D435="","",SUM($G435)*SUM(INDEX(InputOutput!$AJ$71:$AJ$100,MATCH($D435,InputOutput!$D$71:$D$100,0))))</f>
        <v/>
      </c>
      <c r="J435" s="266" t="str">
        <f>IF($D435="","",SUM($G435)*SUM(INDEX(InputOutput!$AL$71:$AL$100,MATCH($D435,InputOutput!$D$71:$D$100,0))))</f>
        <v/>
      </c>
      <c r="K435" s="266" t="str">
        <f t="shared" si="85"/>
        <v/>
      </c>
      <c r="L435" s="267" t="str">
        <f>IF(D435="","",SUM(I435)*SUM(AD417))</f>
        <v/>
      </c>
      <c r="M435" s="267" t="str">
        <f>IF(D435="","",SUM(J435)*SUM(AD417))</f>
        <v/>
      </c>
      <c r="N435" s="267" t="str">
        <f t="shared" si="86"/>
        <v/>
      </c>
      <c r="O435" s="267" t="str">
        <f>IF(AG435,INDEX(E_PurchPrec!U:U,MATCH(CONST_CNTR_ElecEFMethod&amp;D435,E_PurchPrec!R:R,0)),INDEX(D_Processes!T:T,MATCH(CONST_CNTR_ElecEFMethod&amp;D435,D_Processes!R:R,0)))</f>
        <v/>
      </c>
      <c r="P435" s="266" t="str">
        <f>IF($D435="","",SUM($G435)*SUM(INDEX(InputOutput!$AN$71:$AN$100,MATCH($D435,InputOutput!$D$71:$D$100,0))))</f>
        <v/>
      </c>
      <c r="Q435" s="673" t="str">
        <f>IF(D435="","",IF(AG435,INDEX(A_InstData!$F$102:$F$121,MATCH(D435,CNTR_List_ExistPurchPrecNames,0)),""))</f>
        <v/>
      </c>
      <c r="R435" s="678" t="str">
        <f>IF($D435="","",SUM($G435)*SUM(INDEX(F_Tools!$T$101:$T$130,MATCH($D435,F_Tools!$E$101:$E$130,0))))</f>
        <v/>
      </c>
      <c r="S435" s="669" t="str">
        <f>IF($D435="","",SUM($G435)*SUM(INDEX(F_Tools!$U$101:$U$130,MATCH($D435,F_Tools!$E$101:$E$130,0))))</f>
        <v/>
      </c>
      <c r="T435" s="428"/>
      <c r="Z435" s="123"/>
      <c r="AB435" s="268" t="str">
        <f>CONST_PrecursorToGoodInput &amp; D435 &amp; "_" &amp; D414</f>
        <v>PrecToGood__</v>
      </c>
      <c r="AD435" s="269">
        <f>SUMIF(D_Processes!R:R,AB435,D_Processes!K:K)</f>
        <v>0</v>
      </c>
      <c r="AE435" s="268">
        <f>SUMIF(D_Processes!R:R,CONST_CNTR_TotProd &amp; D435,D_Processes!L:L)</f>
        <v>0</v>
      </c>
      <c r="AG435" s="102" t="b">
        <f t="shared" si="88"/>
        <v>0</v>
      </c>
    </row>
    <row r="436" spans="1:33" ht="12.75" customHeight="1" outlineLevel="1" x14ac:dyDescent="0.35">
      <c r="A436" s="92"/>
      <c r="B436" s="94"/>
      <c r="C436" s="978">
        <v>19</v>
      </c>
      <c r="D436" s="1417" t="str">
        <f>IF(D414="","",IF(COUNTIF(INDEX(CNTR_IOSupplyChain,MATCH(D414,CNTR_IOProcAndPrec,0),),C436)=0,"",INDEX(CNTR_IOProcAndPrec,MATCH(C436,INDEX(CNTR_IOSupplyChain,MATCH(D414,CNTR_IOProcAndPrec,0),),0))))</f>
        <v/>
      </c>
      <c r="E436" s="1418"/>
      <c r="F436" s="265" t="str">
        <f t="shared" si="87"/>
        <v/>
      </c>
      <c r="G436" s="266" t="str">
        <f>IF(D436="","",INDEX(CNTR_Matrix_Inv,MATCH(D414,CNTR_IOProcAndPrec,0),MATCH(D436,CNTR_IOProcAndPrec,0)))</f>
        <v/>
      </c>
      <c r="H436" s="286" t="str">
        <f>IF(D436="","",IF(AG436,INDEX(E_PurchPrec!U:U,MATCH(CONST_PurchPrecDefaultUsed&amp;D436,E_PurchPrec!R:R,0)),CONST_NA))</f>
        <v/>
      </c>
      <c r="I436" s="266" t="str">
        <f>IF($D436="","",SUM($G436)*SUM(INDEX(InputOutput!$AJ$71:$AJ$100,MATCH($D436,InputOutput!$D$71:$D$100,0))))</f>
        <v/>
      </c>
      <c r="J436" s="266" t="str">
        <f>IF($D436="","",SUM($G436)*SUM(INDEX(InputOutput!$AL$71:$AL$100,MATCH($D436,InputOutput!$D$71:$D$100,0))))</f>
        <v/>
      </c>
      <c r="K436" s="266" t="str">
        <f t="shared" si="85"/>
        <v/>
      </c>
      <c r="L436" s="267" t="str">
        <f>IF(D436="","",SUM(I436)*SUM(AD417))</f>
        <v/>
      </c>
      <c r="M436" s="267" t="str">
        <f>IF(D436="","",SUM(J436)*SUM(AD417))</f>
        <v/>
      </c>
      <c r="N436" s="267" t="str">
        <f t="shared" si="86"/>
        <v/>
      </c>
      <c r="O436" s="267" t="str">
        <f>IF(AG436,INDEX(E_PurchPrec!U:U,MATCH(CONST_CNTR_ElecEFMethod&amp;D436,E_PurchPrec!R:R,0)),INDEX(D_Processes!T:T,MATCH(CONST_CNTR_ElecEFMethod&amp;D436,D_Processes!R:R,0)))</f>
        <v/>
      </c>
      <c r="P436" s="266" t="str">
        <f>IF($D436="","",SUM($G436)*SUM(INDEX(InputOutput!$AN$71:$AN$100,MATCH($D436,InputOutput!$D$71:$D$100,0))))</f>
        <v/>
      </c>
      <c r="Q436" s="673" t="str">
        <f>IF(D436="","",IF(AG436,INDEX(A_InstData!$F$102:$F$121,MATCH(D436,CNTR_List_ExistPurchPrecNames,0)),""))</f>
        <v/>
      </c>
      <c r="R436" s="678" t="str">
        <f>IF($D436="","",SUM($G436)*SUM(INDEX(F_Tools!$T$101:$T$130,MATCH($D436,F_Tools!$E$101:$E$130,0))))</f>
        <v/>
      </c>
      <c r="S436" s="669" t="str">
        <f>IF($D436="","",SUM($G436)*SUM(INDEX(F_Tools!$U$101:$U$130,MATCH($D436,F_Tools!$E$101:$E$130,0))))</f>
        <v/>
      </c>
      <c r="T436" s="428"/>
      <c r="Z436" s="123"/>
      <c r="AB436" s="268" t="str">
        <f>CONST_PrecursorToGoodInput &amp; D436 &amp; "_" &amp; D414</f>
        <v>PrecToGood__</v>
      </c>
      <c r="AD436" s="269">
        <f>SUMIF(D_Processes!R:R,AB436,D_Processes!K:K)</f>
        <v>0</v>
      </c>
      <c r="AE436" s="268">
        <f>SUMIF(D_Processes!R:R,CONST_CNTR_TotProd &amp; D436,D_Processes!L:L)</f>
        <v>0</v>
      </c>
      <c r="AG436" s="102" t="b">
        <f t="shared" si="88"/>
        <v>0</v>
      </c>
    </row>
    <row r="437" spans="1:33" ht="12.75" customHeight="1" outlineLevel="1" x14ac:dyDescent="0.35">
      <c r="A437" s="92"/>
      <c r="B437" s="94"/>
      <c r="C437" s="978">
        <v>20</v>
      </c>
      <c r="D437" s="1417" t="str">
        <f>IF(D414="","",IF(COUNTIF(INDEX(CNTR_IOSupplyChain,MATCH(D414,CNTR_IOProcAndPrec,0),),C437)=0,"",INDEX(CNTR_IOProcAndPrec,MATCH(C437,INDEX(CNTR_IOSupplyChain,MATCH(D414,CNTR_IOProcAndPrec,0),),0))))</f>
        <v/>
      </c>
      <c r="E437" s="1418"/>
      <c r="F437" s="265" t="str">
        <f t="shared" si="87"/>
        <v/>
      </c>
      <c r="G437" s="266" t="str">
        <f>IF(D437="","",INDEX(CNTR_Matrix_Inv,MATCH(D414,CNTR_IOProcAndPrec,0),MATCH(D437,CNTR_IOProcAndPrec,0)))</f>
        <v/>
      </c>
      <c r="H437" s="286" t="str">
        <f>IF(D437="","",IF(AG437,INDEX(E_PurchPrec!U:U,MATCH(CONST_PurchPrecDefaultUsed&amp;D437,E_PurchPrec!R:R,0)),CONST_NA))</f>
        <v/>
      </c>
      <c r="I437" s="266" t="str">
        <f>IF($D437="","",SUM($G437)*SUM(INDEX(InputOutput!$AJ$71:$AJ$100,MATCH($D437,InputOutput!$D$71:$D$100,0))))</f>
        <v/>
      </c>
      <c r="J437" s="266" t="str">
        <f>IF($D437="","",SUM($G437)*SUM(INDEX(InputOutput!$AL$71:$AL$100,MATCH($D437,InputOutput!$D$71:$D$100,0))))</f>
        <v/>
      </c>
      <c r="K437" s="266" t="str">
        <f t="shared" si="85"/>
        <v/>
      </c>
      <c r="L437" s="267" t="str">
        <f>IF(D437="","",SUM(I437)*SUM(AD417))</f>
        <v/>
      </c>
      <c r="M437" s="267" t="str">
        <f>IF(D437="","",SUM(J437)*SUM(AD417))</f>
        <v/>
      </c>
      <c r="N437" s="267" t="str">
        <f t="shared" si="86"/>
        <v/>
      </c>
      <c r="O437" s="267" t="str">
        <f>IF(AG437,INDEX(E_PurchPrec!U:U,MATCH(CONST_CNTR_ElecEFMethod&amp;D437,E_PurchPrec!R:R,0)),INDEX(D_Processes!T:T,MATCH(CONST_CNTR_ElecEFMethod&amp;D437,D_Processes!R:R,0)))</f>
        <v/>
      </c>
      <c r="P437" s="266" t="str">
        <f>IF($D437="","",SUM($G437)*SUM(INDEX(InputOutput!$AN$71:$AN$100,MATCH($D437,InputOutput!$D$71:$D$100,0))))</f>
        <v/>
      </c>
      <c r="Q437" s="673" t="str">
        <f>IF(D437="","",IF(AG437,INDEX(A_InstData!$F$102:$F$121,MATCH(D437,CNTR_List_ExistPurchPrecNames,0)),""))</f>
        <v/>
      </c>
      <c r="R437" s="678" t="str">
        <f>IF($D437="","",SUM($G437)*SUM(INDEX(F_Tools!$T$101:$T$130,MATCH($D437,F_Tools!$E$101:$E$130,0))))</f>
        <v/>
      </c>
      <c r="S437" s="669" t="str">
        <f>IF($D437="","",SUM($G437)*SUM(INDEX(F_Tools!$U$101:$U$130,MATCH($D437,F_Tools!$E$101:$E$130,0))))</f>
        <v/>
      </c>
      <c r="T437" s="428"/>
      <c r="Z437" s="123"/>
      <c r="AB437" s="268" t="str">
        <f>CONST_PrecursorToGoodInput &amp; D437 &amp; "_" &amp; D414</f>
        <v>PrecToGood__</v>
      </c>
      <c r="AD437" s="269">
        <f>SUMIF(D_Processes!R:R,AB437,D_Processes!K:K)</f>
        <v>0</v>
      </c>
      <c r="AE437" s="268">
        <f>SUMIF(D_Processes!R:R,CONST_CNTR_TotProd &amp; D437,D_Processes!L:L)</f>
        <v>0</v>
      </c>
      <c r="AG437" s="102" t="b">
        <f t="shared" si="88"/>
        <v>0</v>
      </c>
    </row>
    <row r="438" spans="1:33" ht="12.75" customHeight="1" outlineLevel="1" x14ac:dyDescent="0.35">
      <c r="A438" s="92"/>
      <c r="B438" s="94"/>
      <c r="C438" s="978">
        <v>21</v>
      </c>
      <c r="D438" s="1417" t="str">
        <f>IF(D414="","",IF(COUNTIF(INDEX(CNTR_IOSupplyChain,MATCH(D414,CNTR_IOProcAndPrec,0),),C438)=0,"",INDEX(CNTR_IOProcAndPrec,MATCH(C438,INDEX(CNTR_IOSupplyChain,MATCH(D414,CNTR_IOProcAndPrec,0),),0))))</f>
        <v/>
      </c>
      <c r="E438" s="1418"/>
      <c r="F438" s="265" t="str">
        <f t="shared" si="87"/>
        <v/>
      </c>
      <c r="G438" s="266" t="str">
        <f>IF(D438="","",INDEX(CNTR_Matrix_Inv,MATCH(D414,CNTR_IOProcAndPrec,0),MATCH(D438,CNTR_IOProcAndPrec,0)))</f>
        <v/>
      </c>
      <c r="H438" s="286" t="str">
        <f>IF(D438="","",IF(AG438,INDEX(E_PurchPrec!U:U,MATCH(CONST_PurchPrecDefaultUsed&amp;D438,E_PurchPrec!R:R,0)),CONST_NA))</f>
        <v/>
      </c>
      <c r="I438" s="266" t="str">
        <f>IF($D438="","",SUM($G438)*SUM(INDEX(InputOutput!$AJ$71:$AJ$100,MATCH($D438,InputOutput!$D$71:$D$100,0))))</f>
        <v/>
      </c>
      <c r="J438" s="266" t="str">
        <f>IF($D438="","",SUM($G438)*SUM(INDEX(InputOutput!$AL$71:$AL$100,MATCH($D438,InputOutput!$D$71:$D$100,0))))</f>
        <v/>
      </c>
      <c r="K438" s="266" t="str">
        <f t="shared" si="85"/>
        <v/>
      </c>
      <c r="L438" s="267" t="str">
        <f>IF(D438="","",SUM(I438)*SUM(AD417))</f>
        <v/>
      </c>
      <c r="M438" s="267" t="str">
        <f>IF(D438="","",SUM(J438)*SUM(AD417))</f>
        <v/>
      </c>
      <c r="N438" s="267" t="str">
        <f t="shared" si="86"/>
        <v/>
      </c>
      <c r="O438" s="267" t="str">
        <f>IF(AG438,INDEX(E_PurchPrec!U:U,MATCH(CONST_CNTR_ElecEFMethod&amp;D438,E_PurchPrec!R:R,0)),INDEX(D_Processes!T:T,MATCH(CONST_CNTR_ElecEFMethod&amp;D438,D_Processes!R:R,0)))</f>
        <v/>
      </c>
      <c r="P438" s="266" t="str">
        <f>IF($D438="","",SUM($G438)*SUM(INDEX(InputOutput!$AN$71:$AN$100,MATCH($D438,InputOutput!$D$71:$D$100,0))))</f>
        <v/>
      </c>
      <c r="Q438" s="673" t="str">
        <f>IF(D438="","",IF(AG438,INDEX(A_InstData!$F$102:$F$121,MATCH(D438,CNTR_List_ExistPurchPrecNames,0)),""))</f>
        <v/>
      </c>
      <c r="R438" s="678" t="str">
        <f>IF($D438="","",SUM($G438)*SUM(INDEX(F_Tools!$T$101:$T$130,MATCH($D438,F_Tools!$E$101:$E$130,0))))</f>
        <v/>
      </c>
      <c r="S438" s="669" t="str">
        <f>IF($D438="","",SUM($G438)*SUM(INDEX(F_Tools!$U$101:$U$130,MATCH($D438,F_Tools!$E$101:$E$130,0))))</f>
        <v/>
      </c>
      <c r="T438" s="428"/>
      <c r="Z438" s="123"/>
      <c r="AB438" s="268" t="str">
        <f>CONST_PrecursorToGoodInput &amp; D438 &amp; "_" &amp; D414</f>
        <v>PrecToGood__</v>
      </c>
      <c r="AD438" s="269">
        <f>SUMIF(D_Processes!R:R,AB438,D_Processes!K:K)</f>
        <v>0</v>
      </c>
      <c r="AE438" s="268">
        <f>SUMIF(D_Processes!R:R,CONST_CNTR_TotProd &amp; D438,D_Processes!L:L)</f>
        <v>0</v>
      </c>
      <c r="AG438" s="102" t="b">
        <f t="shared" si="88"/>
        <v>0</v>
      </c>
    </row>
    <row r="439" spans="1:33" ht="12.75" customHeight="1" outlineLevel="1" x14ac:dyDescent="0.35">
      <c r="A439" s="92"/>
      <c r="B439" s="94"/>
      <c r="C439" s="978">
        <v>22</v>
      </c>
      <c r="D439" s="1417" t="str">
        <f>IF(D414="","",IF(COUNTIF(INDEX(CNTR_IOSupplyChain,MATCH(D414,CNTR_IOProcAndPrec,0),),C439)=0,"",INDEX(CNTR_IOProcAndPrec,MATCH(C439,INDEX(CNTR_IOSupplyChain,MATCH(D414,CNTR_IOProcAndPrec,0),),0))))</f>
        <v/>
      </c>
      <c r="E439" s="1418"/>
      <c r="F439" s="265" t="str">
        <f t="shared" si="87"/>
        <v/>
      </c>
      <c r="G439" s="266" t="str">
        <f>IF(D439="","",INDEX(CNTR_Matrix_Inv,MATCH(D414,CNTR_IOProcAndPrec,0),MATCH(D439,CNTR_IOProcAndPrec,0)))</f>
        <v/>
      </c>
      <c r="H439" s="286" t="str">
        <f>IF(D439="","",IF(AG439,INDEX(E_PurchPrec!U:U,MATCH(CONST_PurchPrecDefaultUsed&amp;D439,E_PurchPrec!R:R,0)),CONST_NA))</f>
        <v/>
      </c>
      <c r="I439" s="266" t="str">
        <f>IF($D439="","",SUM($G439)*SUM(INDEX(InputOutput!$AJ$71:$AJ$100,MATCH($D439,InputOutput!$D$71:$D$100,0))))</f>
        <v/>
      </c>
      <c r="J439" s="266" t="str">
        <f>IF($D439="","",SUM($G439)*SUM(INDEX(InputOutput!$AL$71:$AL$100,MATCH($D439,InputOutput!$D$71:$D$100,0))))</f>
        <v/>
      </c>
      <c r="K439" s="266" t="str">
        <f t="shared" si="85"/>
        <v/>
      </c>
      <c r="L439" s="267" t="str">
        <f>IF(D439="","",SUM(I439)*SUM(AD417))</f>
        <v/>
      </c>
      <c r="M439" s="267" t="str">
        <f>IF(D439="","",SUM(J439)*SUM(AD417))</f>
        <v/>
      </c>
      <c r="N439" s="267" t="str">
        <f t="shared" si="86"/>
        <v/>
      </c>
      <c r="O439" s="267" t="str">
        <f>IF(AG439,INDEX(E_PurchPrec!U:U,MATCH(CONST_CNTR_ElecEFMethod&amp;D439,E_PurchPrec!R:R,0)),INDEX(D_Processes!T:T,MATCH(CONST_CNTR_ElecEFMethod&amp;D439,D_Processes!R:R,0)))</f>
        <v/>
      </c>
      <c r="P439" s="266" t="str">
        <f>IF($D439="","",SUM($G439)*SUM(INDEX(InputOutput!$AN$71:$AN$100,MATCH($D439,InputOutput!$D$71:$D$100,0))))</f>
        <v/>
      </c>
      <c r="Q439" s="673" t="str">
        <f>IF(D439="","",IF(AG439,INDEX(A_InstData!$F$102:$F$121,MATCH(D439,CNTR_List_ExistPurchPrecNames,0)),""))</f>
        <v/>
      </c>
      <c r="R439" s="678" t="str">
        <f>IF($D439="","",SUM($G439)*SUM(INDEX(F_Tools!$T$101:$T$130,MATCH($D439,F_Tools!$E$101:$E$130,0))))</f>
        <v/>
      </c>
      <c r="S439" s="669" t="str">
        <f>IF($D439="","",SUM($G439)*SUM(INDEX(F_Tools!$U$101:$U$130,MATCH($D439,F_Tools!$E$101:$E$130,0))))</f>
        <v/>
      </c>
      <c r="T439" s="428"/>
      <c r="Z439" s="123"/>
      <c r="AB439" s="268" t="str">
        <f>CONST_PrecursorToGoodInput &amp; D439 &amp; "_" &amp; D414</f>
        <v>PrecToGood__</v>
      </c>
      <c r="AD439" s="269">
        <f>SUMIF(D_Processes!R:R,AB439,D_Processes!K:K)</f>
        <v>0</v>
      </c>
      <c r="AE439" s="268">
        <f>SUMIF(D_Processes!R:R,CONST_CNTR_TotProd &amp; D439,D_Processes!L:L)</f>
        <v>0</v>
      </c>
      <c r="AG439" s="102" t="b">
        <f t="shared" si="88"/>
        <v>0</v>
      </c>
    </row>
    <row r="440" spans="1:33" ht="12.75" customHeight="1" outlineLevel="1" x14ac:dyDescent="0.35">
      <c r="A440" s="92"/>
      <c r="B440" s="94"/>
      <c r="C440" s="978">
        <v>23</v>
      </c>
      <c r="D440" s="1417" t="str">
        <f>IF(D414="","",IF(COUNTIF(INDEX(CNTR_IOSupplyChain,MATCH(D414,CNTR_IOProcAndPrec,0),),C440)=0,"",INDEX(CNTR_IOProcAndPrec,MATCH(C440,INDEX(CNTR_IOSupplyChain,MATCH(D414,CNTR_IOProcAndPrec,0),),0))))</f>
        <v/>
      </c>
      <c r="E440" s="1418"/>
      <c r="F440" s="265" t="str">
        <f t="shared" si="87"/>
        <v/>
      </c>
      <c r="G440" s="266" t="str">
        <f>IF(D440="","",INDEX(CNTR_Matrix_Inv,MATCH(D414,CNTR_IOProcAndPrec,0),MATCH(D440,CNTR_IOProcAndPrec,0)))</f>
        <v/>
      </c>
      <c r="H440" s="286" t="str">
        <f>IF(D440="","",IF(AG440,INDEX(E_PurchPrec!U:U,MATCH(CONST_PurchPrecDefaultUsed&amp;D440,E_PurchPrec!R:R,0)),CONST_NA))</f>
        <v/>
      </c>
      <c r="I440" s="266" t="str">
        <f>IF($D440="","",SUM($G440)*SUM(INDEX(InputOutput!$AJ$71:$AJ$100,MATCH($D440,InputOutput!$D$71:$D$100,0))))</f>
        <v/>
      </c>
      <c r="J440" s="266" t="str">
        <f>IF($D440="","",SUM($G440)*SUM(INDEX(InputOutput!$AL$71:$AL$100,MATCH($D440,InputOutput!$D$71:$D$100,0))))</f>
        <v/>
      </c>
      <c r="K440" s="266" t="str">
        <f t="shared" si="85"/>
        <v/>
      </c>
      <c r="L440" s="267" t="str">
        <f>IF(D440="","",SUM(I440)*SUM(AD417))</f>
        <v/>
      </c>
      <c r="M440" s="267" t="str">
        <f>IF(D440="","",SUM(J440)*SUM(AD417))</f>
        <v/>
      </c>
      <c r="N440" s="267" t="str">
        <f t="shared" si="86"/>
        <v/>
      </c>
      <c r="O440" s="267" t="str">
        <f>IF(AG440,INDEX(E_PurchPrec!U:U,MATCH(CONST_CNTR_ElecEFMethod&amp;D440,E_PurchPrec!R:R,0)),INDEX(D_Processes!T:T,MATCH(CONST_CNTR_ElecEFMethod&amp;D440,D_Processes!R:R,0)))</f>
        <v/>
      </c>
      <c r="P440" s="266" t="str">
        <f>IF($D440="","",SUM($G440)*SUM(INDEX(InputOutput!$AN$71:$AN$100,MATCH($D440,InputOutput!$D$71:$D$100,0))))</f>
        <v/>
      </c>
      <c r="Q440" s="673" t="str">
        <f>IF(D440="","",IF(AG440,INDEX(A_InstData!$F$102:$F$121,MATCH(D440,CNTR_List_ExistPurchPrecNames,0)),""))</f>
        <v/>
      </c>
      <c r="R440" s="678" t="str">
        <f>IF($D440="","",SUM($G440)*SUM(INDEX(F_Tools!$T$101:$T$130,MATCH($D440,F_Tools!$E$101:$E$130,0))))</f>
        <v/>
      </c>
      <c r="S440" s="669" t="str">
        <f>IF($D440="","",SUM($G440)*SUM(INDEX(F_Tools!$U$101:$U$130,MATCH($D440,F_Tools!$E$101:$E$130,0))))</f>
        <v/>
      </c>
      <c r="T440" s="428"/>
      <c r="Z440" s="123"/>
      <c r="AB440" s="268" t="str">
        <f>CONST_PrecursorToGoodInput &amp; D440 &amp; "_" &amp; D414</f>
        <v>PrecToGood__</v>
      </c>
      <c r="AD440" s="269">
        <f>SUMIF(D_Processes!R:R,AB440,D_Processes!K:K)</f>
        <v>0</v>
      </c>
      <c r="AE440" s="268">
        <f>SUMIF(D_Processes!R:R,CONST_CNTR_TotProd &amp; D440,D_Processes!L:L)</f>
        <v>0</v>
      </c>
      <c r="AG440" s="102" t="b">
        <f t="shared" si="88"/>
        <v>0</v>
      </c>
    </row>
    <row r="441" spans="1:33" ht="12.75" customHeight="1" outlineLevel="1" x14ac:dyDescent="0.35">
      <c r="A441" s="92"/>
      <c r="B441" s="94"/>
      <c r="C441" s="978">
        <v>24</v>
      </c>
      <c r="D441" s="1417" t="str">
        <f>IF(D414="","",IF(COUNTIF(INDEX(CNTR_IOSupplyChain,MATCH(D414,CNTR_IOProcAndPrec,0),),C441)=0,"",INDEX(CNTR_IOProcAndPrec,MATCH(C441,INDEX(CNTR_IOSupplyChain,MATCH(D414,CNTR_IOProcAndPrec,0),),0))))</f>
        <v/>
      </c>
      <c r="E441" s="1418"/>
      <c r="F441" s="265" t="str">
        <f t="shared" si="87"/>
        <v/>
      </c>
      <c r="G441" s="266" t="str">
        <f>IF(D441="","",INDEX(CNTR_Matrix_Inv,MATCH(D414,CNTR_IOProcAndPrec,0),MATCH(D441,CNTR_IOProcAndPrec,0)))</f>
        <v/>
      </c>
      <c r="H441" s="286" t="str">
        <f>IF(D441="","",IF(AG441,INDEX(E_PurchPrec!U:U,MATCH(CONST_PurchPrecDefaultUsed&amp;D441,E_PurchPrec!R:R,0)),CONST_NA))</f>
        <v/>
      </c>
      <c r="I441" s="266" t="str">
        <f>IF($D441="","",SUM($G441)*SUM(INDEX(InputOutput!$AJ$71:$AJ$100,MATCH($D441,InputOutput!$D$71:$D$100,0))))</f>
        <v/>
      </c>
      <c r="J441" s="266" t="str">
        <f>IF($D441="","",SUM($G441)*SUM(INDEX(InputOutput!$AL$71:$AL$100,MATCH($D441,InputOutput!$D$71:$D$100,0))))</f>
        <v/>
      </c>
      <c r="K441" s="266" t="str">
        <f t="shared" si="85"/>
        <v/>
      </c>
      <c r="L441" s="267" t="str">
        <f>IF(D441="","",SUM(I441)*SUM(AD417))</f>
        <v/>
      </c>
      <c r="M441" s="267" t="str">
        <f>IF(D441="","",SUM(J441)*SUM(AD417))</f>
        <v/>
      </c>
      <c r="N441" s="267" t="str">
        <f t="shared" si="86"/>
        <v/>
      </c>
      <c r="O441" s="267" t="str">
        <f>IF(AG441,INDEX(E_PurchPrec!U:U,MATCH(CONST_CNTR_ElecEFMethod&amp;D441,E_PurchPrec!R:R,0)),INDEX(D_Processes!T:T,MATCH(CONST_CNTR_ElecEFMethod&amp;D441,D_Processes!R:R,0)))</f>
        <v/>
      </c>
      <c r="P441" s="266" t="str">
        <f>IF($D441="","",SUM($G441)*SUM(INDEX(InputOutput!$AN$71:$AN$100,MATCH($D441,InputOutput!$D$71:$D$100,0))))</f>
        <v/>
      </c>
      <c r="Q441" s="673" t="str">
        <f>IF(D441="","",IF(AG441,INDEX(A_InstData!$F$102:$F$121,MATCH(D441,CNTR_List_ExistPurchPrecNames,0)),""))</f>
        <v/>
      </c>
      <c r="R441" s="678" t="str">
        <f>IF($D441="","",SUM($G441)*SUM(INDEX(F_Tools!$T$101:$T$130,MATCH($D441,F_Tools!$E$101:$E$130,0))))</f>
        <v/>
      </c>
      <c r="S441" s="669" t="str">
        <f>IF($D441="","",SUM($G441)*SUM(INDEX(F_Tools!$U$101:$U$130,MATCH($D441,F_Tools!$E$101:$E$130,0))))</f>
        <v/>
      </c>
      <c r="T441" s="428"/>
      <c r="Z441" s="123"/>
      <c r="AB441" s="268" t="str">
        <f>CONST_PrecursorToGoodInput &amp; D441 &amp; "_" &amp; D414</f>
        <v>PrecToGood__</v>
      </c>
      <c r="AD441" s="269">
        <f>SUMIF(D_Processes!R:R,AB441,D_Processes!K:K)</f>
        <v>0</v>
      </c>
      <c r="AE441" s="268">
        <f>SUMIF(D_Processes!R:R,CONST_CNTR_TotProd &amp; D441,D_Processes!L:L)</f>
        <v>0</v>
      </c>
      <c r="AG441" s="102" t="b">
        <f t="shared" si="88"/>
        <v>0</v>
      </c>
    </row>
    <row r="442" spans="1:33" ht="12.75" customHeight="1" outlineLevel="1" x14ac:dyDescent="0.35">
      <c r="A442" s="92"/>
      <c r="B442" s="94"/>
      <c r="C442" s="978">
        <v>25</v>
      </c>
      <c r="D442" s="1417" t="str">
        <f>IF(D414="","",IF(COUNTIF(INDEX(CNTR_IOSupplyChain,MATCH(D414,CNTR_IOProcAndPrec,0),),C442)=0,"",INDEX(CNTR_IOProcAndPrec,MATCH(C442,INDEX(CNTR_IOSupplyChain,MATCH(D414,CNTR_IOProcAndPrec,0),),0))))</f>
        <v/>
      </c>
      <c r="E442" s="1418"/>
      <c r="F442" s="265" t="str">
        <f t="shared" si="87"/>
        <v/>
      </c>
      <c r="G442" s="266" t="str">
        <f>IF(D442="","",INDEX(CNTR_Matrix_Inv,MATCH(D414,CNTR_IOProcAndPrec,0),MATCH(D442,CNTR_IOProcAndPrec,0)))</f>
        <v/>
      </c>
      <c r="H442" s="286" t="str">
        <f>IF(D442="","",IF(AG442,INDEX(E_PurchPrec!U:U,MATCH(CONST_PurchPrecDefaultUsed&amp;D442,E_PurchPrec!R:R,0)),CONST_NA))</f>
        <v/>
      </c>
      <c r="I442" s="266" t="str">
        <f>IF($D442="","",SUM($G442)*SUM(INDEX(InputOutput!$AJ$71:$AJ$100,MATCH($D442,InputOutput!$D$71:$D$100,0))))</f>
        <v/>
      </c>
      <c r="J442" s="266" t="str">
        <f>IF($D442="","",SUM($G442)*SUM(INDEX(InputOutput!$AL$71:$AL$100,MATCH($D442,InputOutput!$D$71:$D$100,0))))</f>
        <v/>
      </c>
      <c r="K442" s="266" t="str">
        <f t="shared" si="85"/>
        <v/>
      </c>
      <c r="L442" s="267" t="str">
        <f>IF(D442="","",SUM(I442)*SUM(AD417))</f>
        <v/>
      </c>
      <c r="M442" s="267" t="str">
        <f>IF(D442="","",SUM(J442)*SUM(AD417))</f>
        <v/>
      </c>
      <c r="N442" s="267" t="str">
        <f t="shared" si="86"/>
        <v/>
      </c>
      <c r="O442" s="267" t="str">
        <f>IF(AG442,INDEX(E_PurchPrec!U:U,MATCH(CONST_CNTR_ElecEFMethod&amp;D442,E_PurchPrec!R:R,0)),INDEX(D_Processes!T:T,MATCH(CONST_CNTR_ElecEFMethod&amp;D442,D_Processes!R:R,0)))</f>
        <v/>
      </c>
      <c r="P442" s="266" t="str">
        <f>IF($D442="","",SUM($G442)*SUM(INDEX(InputOutput!$AN$71:$AN$100,MATCH($D442,InputOutput!$D$71:$D$100,0))))</f>
        <v/>
      </c>
      <c r="Q442" s="673" t="str">
        <f>IF(D442="","",IF(AG442,INDEX(A_InstData!$F$102:$F$121,MATCH(D442,CNTR_List_ExistPurchPrecNames,0)),""))</f>
        <v/>
      </c>
      <c r="R442" s="678" t="str">
        <f>IF($D442="","",SUM($G442)*SUM(INDEX(F_Tools!$T$101:$T$130,MATCH($D442,F_Tools!$E$101:$E$130,0))))</f>
        <v/>
      </c>
      <c r="S442" s="669" t="str">
        <f>IF($D442="","",SUM($G442)*SUM(INDEX(F_Tools!$U$101:$U$130,MATCH($D442,F_Tools!$E$101:$E$130,0))))</f>
        <v/>
      </c>
      <c r="T442" s="428"/>
      <c r="Z442" s="123"/>
      <c r="AB442" s="268" t="str">
        <f>CONST_PrecursorToGoodInput &amp; D442 &amp; "_" &amp; D414</f>
        <v>PrecToGood__</v>
      </c>
      <c r="AD442" s="269">
        <f>SUMIF(D_Processes!R:R,AB442,D_Processes!K:K)</f>
        <v>0</v>
      </c>
      <c r="AE442" s="268">
        <f>SUMIF(D_Processes!R:R,CONST_CNTR_TotProd &amp; D442,D_Processes!L:L)</f>
        <v>0</v>
      </c>
      <c r="AG442" s="102" t="b">
        <f t="shared" si="88"/>
        <v>0</v>
      </c>
    </row>
    <row r="443" spans="1:33" ht="12.75" customHeight="1" outlineLevel="1" x14ac:dyDescent="0.35">
      <c r="A443" s="92"/>
      <c r="B443" s="94"/>
      <c r="C443" s="978">
        <v>26</v>
      </c>
      <c r="D443" s="1417" t="str">
        <f>IF(D414="","",IF(COUNTIF(INDEX(CNTR_IOSupplyChain,MATCH(D414,CNTR_IOProcAndPrec,0),),C443)=0,"",INDEX(CNTR_IOProcAndPrec,MATCH(C443,INDEX(CNTR_IOSupplyChain,MATCH(D414,CNTR_IOProcAndPrec,0),),0))))</f>
        <v/>
      </c>
      <c r="E443" s="1418"/>
      <c r="F443" s="265" t="str">
        <f t="shared" si="87"/>
        <v/>
      </c>
      <c r="G443" s="266" t="str">
        <f>IF(D443="","",INDEX(CNTR_Matrix_Inv,MATCH(D414,CNTR_IOProcAndPrec,0),MATCH(D443,CNTR_IOProcAndPrec,0)))</f>
        <v/>
      </c>
      <c r="H443" s="286" t="str">
        <f>IF(D443="","",IF(AG443,INDEX(E_PurchPrec!U:U,MATCH(CONST_PurchPrecDefaultUsed&amp;D443,E_PurchPrec!R:R,0)),CONST_NA))</f>
        <v/>
      </c>
      <c r="I443" s="266" t="str">
        <f>IF($D443="","",SUM($G443)*SUM(INDEX(InputOutput!$AJ$71:$AJ$100,MATCH($D443,InputOutput!$D$71:$D$100,0))))</f>
        <v/>
      </c>
      <c r="J443" s="266" t="str">
        <f>IF($D443="","",SUM($G443)*SUM(INDEX(InputOutput!$AL$71:$AL$100,MATCH($D443,InputOutput!$D$71:$D$100,0))))</f>
        <v/>
      </c>
      <c r="K443" s="266" t="str">
        <f t="shared" si="85"/>
        <v/>
      </c>
      <c r="L443" s="267" t="str">
        <f>IF(D443="","",SUM(I443)*SUM(AD417))</f>
        <v/>
      </c>
      <c r="M443" s="267" t="str">
        <f>IF(D443="","",SUM(J443)*SUM(AD417))</f>
        <v/>
      </c>
      <c r="N443" s="267" t="str">
        <f t="shared" si="86"/>
        <v/>
      </c>
      <c r="O443" s="267" t="str">
        <f>IF(AG443,INDEX(E_PurchPrec!U:U,MATCH(CONST_CNTR_ElecEFMethod&amp;D443,E_PurchPrec!R:R,0)),INDEX(D_Processes!T:T,MATCH(CONST_CNTR_ElecEFMethod&amp;D443,D_Processes!R:R,0)))</f>
        <v/>
      </c>
      <c r="P443" s="266" t="str">
        <f>IF($D443="","",SUM($G443)*SUM(INDEX(InputOutput!$AN$71:$AN$100,MATCH($D443,InputOutput!$D$71:$D$100,0))))</f>
        <v/>
      </c>
      <c r="Q443" s="673" t="str">
        <f>IF(D443="","",IF(AG443,INDEX(A_InstData!$F$102:$F$121,MATCH(D443,CNTR_List_ExistPurchPrecNames,0)),""))</f>
        <v/>
      </c>
      <c r="R443" s="678" t="str">
        <f>IF($D443="","",SUM($G443)*SUM(INDEX(F_Tools!$T$101:$T$130,MATCH($D443,F_Tools!$E$101:$E$130,0))))</f>
        <v/>
      </c>
      <c r="S443" s="669" t="str">
        <f>IF($D443="","",SUM($G443)*SUM(INDEX(F_Tools!$U$101:$U$130,MATCH($D443,F_Tools!$E$101:$E$130,0))))</f>
        <v/>
      </c>
      <c r="T443" s="428"/>
      <c r="Z443" s="123"/>
      <c r="AB443" s="268" t="str">
        <f>CONST_PrecursorToGoodInput &amp; D443 &amp; "_" &amp; D414</f>
        <v>PrecToGood__</v>
      </c>
      <c r="AD443" s="269">
        <f>SUMIF(D_Processes!R:R,AB443,D_Processes!K:K)</f>
        <v>0</v>
      </c>
      <c r="AE443" s="268">
        <f>SUMIF(D_Processes!R:R,CONST_CNTR_TotProd &amp; D443,D_Processes!L:L)</f>
        <v>0</v>
      </c>
      <c r="AG443" s="102" t="b">
        <f t="shared" si="88"/>
        <v>0</v>
      </c>
    </row>
    <row r="444" spans="1:33" ht="12.75" customHeight="1" outlineLevel="1" x14ac:dyDescent="0.35">
      <c r="A444" s="92"/>
      <c r="B444" s="94"/>
      <c r="C444" s="978">
        <v>27</v>
      </c>
      <c r="D444" s="1417" t="str">
        <f>IF(D414="","",IF(COUNTIF(INDEX(CNTR_IOSupplyChain,MATCH(D414,CNTR_IOProcAndPrec,0),),C444)=0,"",INDEX(CNTR_IOProcAndPrec,MATCH(C444,INDEX(CNTR_IOSupplyChain,MATCH(D414,CNTR_IOProcAndPrec,0),),0))))</f>
        <v/>
      </c>
      <c r="E444" s="1418"/>
      <c r="F444" s="265" t="str">
        <f t="shared" si="87"/>
        <v/>
      </c>
      <c r="G444" s="266" t="str">
        <f>IF(D444="","",INDEX(CNTR_Matrix_Inv,MATCH(D414,CNTR_IOProcAndPrec,0),MATCH(D444,CNTR_IOProcAndPrec,0)))</f>
        <v/>
      </c>
      <c r="H444" s="286" t="str">
        <f>IF(D444="","",IF(AG444,INDEX(E_PurchPrec!U:U,MATCH(CONST_PurchPrecDefaultUsed&amp;D444,E_PurchPrec!R:R,0)),CONST_NA))</f>
        <v/>
      </c>
      <c r="I444" s="266" t="str">
        <f>IF($D444="","",SUM($G444)*SUM(INDEX(InputOutput!$AJ$71:$AJ$100,MATCH($D444,InputOutput!$D$71:$D$100,0))))</f>
        <v/>
      </c>
      <c r="J444" s="266" t="str">
        <f>IF($D444="","",SUM($G444)*SUM(INDEX(InputOutput!$AL$71:$AL$100,MATCH($D444,InputOutput!$D$71:$D$100,0))))</f>
        <v/>
      </c>
      <c r="K444" s="266" t="str">
        <f t="shared" si="85"/>
        <v/>
      </c>
      <c r="L444" s="267" t="str">
        <f>IF(D444="","",SUM(I444)*SUM(AD417))</f>
        <v/>
      </c>
      <c r="M444" s="267" t="str">
        <f>IF(D444="","",SUM(J444)*SUM(AD417))</f>
        <v/>
      </c>
      <c r="N444" s="267" t="str">
        <f t="shared" si="86"/>
        <v/>
      </c>
      <c r="O444" s="267" t="str">
        <f>IF(AG444,INDEX(E_PurchPrec!U:U,MATCH(CONST_CNTR_ElecEFMethod&amp;D444,E_PurchPrec!R:R,0)),INDEX(D_Processes!T:T,MATCH(CONST_CNTR_ElecEFMethod&amp;D444,D_Processes!R:R,0)))</f>
        <v/>
      </c>
      <c r="P444" s="266" t="str">
        <f>IF($D444="","",SUM($G444)*SUM(INDEX(InputOutput!$AN$71:$AN$100,MATCH($D444,InputOutput!$D$71:$D$100,0))))</f>
        <v/>
      </c>
      <c r="Q444" s="673" t="str">
        <f>IF(D444="","",IF(AG444,INDEX(A_InstData!$F$102:$F$121,MATCH(D444,CNTR_List_ExistPurchPrecNames,0)),""))</f>
        <v/>
      </c>
      <c r="R444" s="678" t="str">
        <f>IF($D444="","",SUM($G444)*SUM(INDEX(F_Tools!$T$101:$T$130,MATCH($D444,F_Tools!$E$101:$E$130,0))))</f>
        <v/>
      </c>
      <c r="S444" s="669" t="str">
        <f>IF($D444="","",SUM($G444)*SUM(INDEX(F_Tools!$U$101:$U$130,MATCH($D444,F_Tools!$E$101:$E$130,0))))</f>
        <v/>
      </c>
      <c r="T444" s="428"/>
      <c r="Z444" s="123"/>
      <c r="AB444" s="268" t="str">
        <f>CONST_PrecursorToGoodInput &amp; D444 &amp; "_" &amp; D414</f>
        <v>PrecToGood__</v>
      </c>
      <c r="AD444" s="269">
        <f>SUMIF(D_Processes!R:R,AB444,D_Processes!K:K)</f>
        <v>0</v>
      </c>
      <c r="AE444" s="268">
        <f>SUMIF(D_Processes!R:R,CONST_CNTR_TotProd &amp; D444,D_Processes!L:L)</f>
        <v>0</v>
      </c>
      <c r="AG444" s="102" t="b">
        <f t="shared" si="88"/>
        <v>0</v>
      </c>
    </row>
    <row r="445" spans="1:33" ht="12.75" customHeight="1" outlineLevel="1" x14ac:dyDescent="0.35">
      <c r="A445" s="92"/>
      <c r="B445" s="94"/>
      <c r="C445" s="978">
        <v>28</v>
      </c>
      <c r="D445" s="1417" t="str">
        <f>IF(D414="","",IF(COUNTIF(INDEX(CNTR_IOSupplyChain,MATCH(D414,CNTR_IOProcAndPrec,0),),C445)=0,"",INDEX(CNTR_IOProcAndPrec,MATCH(C445,INDEX(CNTR_IOSupplyChain,MATCH(D414,CNTR_IOProcAndPrec,0),),0))))</f>
        <v/>
      </c>
      <c r="E445" s="1418"/>
      <c r="F445" s="265" t="str">
        <f t="shared" si="87"/>
        <v/>
      </c>
      <c r="G445" s="266" t="str">
        <f>IF(D445="","",INDEX(CNTR_Matrix_Inv,MATCH(D414,CNTR_IOProcAndPrec,0),MATCH(D445,CNTR_IOProcAndPrec,0)))</f>
        <v/>
      </c>
      <c r="H445" s="286" t="str">
        <f>IF(D445="","",IF(AG445,INDEX(E_PurchPrec!U:U,MATCH(CONST_PurchPrecDefaultUsed&amp;D445,E_PurchPrec!R:R,0)),CONST_NA))</f>
        <v/>
      </c>
      <c r="I445" s="266" t="str">
        <f>IF($D445="","",SUM($G445)*SUM(INDEX(InputOutput!$AJ$71:$AJ$100,MATCH($D445,InputOutput!$D$71:$D$100,0))))</f>
        <v/>
      </c>
      <c r="J445" s="266" t="str">
        <f>IF($D445="","",SUM($G445)*SUM(INDEX(InputOutput!$AL$71:$AL$100,MATCH($D445,InputOutput!$D$71:$D$100,0))))</f>
        <v/>
      </c>
      <c r="K445" s="266" t="str">
        <f t="shared" si="85"/>
        <v/>
      </c>
      <c r="L445" s="267" t="str">
        <f>IF(D445="","",SUM(I445)*SUM(AD417))</f>
        <v/>
      </c>
      <c r="M445" s="267" t="str">
        <f>IF(D445="","",SUM(J445)*SUM(AD417))</f>
        <v/>
      </c>
      <c r="N445" s="267" t="str">
        <f t="shared" si="86"/>
        <v/>
      </c>
      <c r="O445" s="267" t="str">
        <f>IF(AG445,INDEX(E_PurchPrec!U:U,MATCH(CONST_CNTR_ElecEFMethod&amp;D445,E_PurchPrec!R:R,0)),INDEX(D_Processes!T:T,MATCH(CONST_CNTR_ElecEFMethod&amp;D445,D_Processes!R:R,0)))</f>
        <v/>
      </c>
      <c r="P445" s="266" t="str">
        <f>IF($D445="","",SUM($G445)*SUM(INDEX(InputOutput!$AN$71:$AN$100,MATCH($D445,InputOutput!$D$71:$D$100,0))))</f>
        <v/>
      </c>
      <c r="Q445" s="673" t="str">
        <f>IF(D445="","",IF(AG445,INDEX(A_InstData!$F$102:$F$121,MATCH(D445,CNTR_List_ExistPurchPrecNames,0)),""))</f>
        <v/>
      </c>
      <c r="R445" s="678" t="str">
        <f>IF($D445="","",SUM($G445)*SUM(INDEX(F_Tools!$T$101:$T$130,MATCH($D445,F_Tools!$E$101:$E$130,0))))</f>
        <v/>
      </c>
      <c r="S445" s="669" t="str">
        <f>IF($D445="","",SUM($G445)*SUM(INDEX(F_Tools!$U$101:$U$130,MATCH($D445,F_Tools!$E$101:$E$130,0))))</f>
        <v/>
      </c>
      <c r="T445" s="428"/>
      <c r="Z445" s="123"/>
      <c r="AB445" s="268" t="str">
        <f>CONST_PrecursorToGoodInput &amp; D445 &amp; "_" &amp; D414</f>
        <v>PrecToGood__</v>
      </c>
      <c r="AD445" s="269">
        <f>SUMIF(D_Processes!R:R,AB445,D_Processes!K:K)</f>
        <v>0</v>
      </c>
      <c r="AE445" s="268">
        <f>SUMIF(D_Processes!R:R,CONST_CNTR_TotProd &amp; D445,D_Processes!L:L)</f>
        <v>0</v>
      </c>
      <c r="AG445" s="102" t="b">
        <f t="shared" si="88"/>
        <v>0</v>
      </c>
    </row>
    <row r="446" spans="1:33" ht="12.75" customHeight="1" outlineLevel="1" x14ac:dyDescent="0.35">
      <c r="A446" s="92"/>
      <c r="B446" s="94"/>
      <c r="C446" s="978">
        <v>29</v>
      </c>
      <c r="D446" s="1417" t="str">
        <f>IF(D414="","",IF(COUNTIF(INDEX(CNTR_IOSupplyChain,MATCH(D414,CNTR_IOProcAndPrec,0),),C446)=0,"",INDEX(CNTR_IOProcAndPrec,MATCH(C446,INDEX(CNTR_IOSupplyChain,MATCH(D414,CNTR_IOProcAndPrec,0),),0))))</f>
        <v/>
      </c>
      <c r="E446" s="1418"/>
      <c r="F446" s="265" t="str">
        <f t="shared" si="87"/>
        <v/>
      </c>
      <c r="G446" s="266" t="str">
        <f>IF(D446="","",INDEX(CNTR_Matrix_Inv,MATCH(D414,CNTR_IOProcAndPrec,0),MATCH(D446,CNTR_IOProcAndPrec,0)))</f>
        <v/>
      </c>
      <c r="H446" s="286" t="str">
        <f>IF(D446="","",IF(AG446,INDEX(E_PurchPrec!U:U,MATCH(CONST_PurchPrecDefaultUsed&amp;D446,E_PurchPrec!R:R,0)),CONST_NA))</f>
        <v/>
      </c>
      <c r="I446" s="266" t="str">
        <f>IF($D446="","",SUM($G446)*SUM(INDEX(InputOutput!$AJ$71:$AJ$100,MATCH($D446,InputOutput!$D$71:$D$100,0))))</f>
        <v/>
      </c>
      <c r="J446" s="266" t="str">
        <f>IF($D446="","",SUM($G446)*SUM(INDEX(InputOutput!$AL$71:$AL$100,MATCH($D446,InputOutput!$D$71:$D$100,0))))</f>
        <v/>
      </c>
      <c r="K446" s="266" t="str">
        <f t="shared" si="85"/>
        <v/>
      </c>
      <c r="L446" s="267" t="str">
        <f>IF(D446="","",SUM(I446)*SUM(AD417))</f>
        <v/>
      </c>
      <c r="M446" s="267" t="str">
        <f>IF(D446="","",SUM(J446)*SUM(AD417))</f>
        <v/>
      </c>
      <c r="N446" s="267" t="str">
        <f t="shared" si="86"/>
        <v/>
      </c>
      <c r="O446" s="267" t="str">
        <f>IF(AG446,INDEX(E_PurchPrec!U:U,MATCH(CONST_CNTR_ElecEFMethod&amp;D446,E_PurchPrec!R:R,0)),INDEX(D_Processes!T:T,MATCH(CONST_CNTR_ElecEFMethod&amp;D446,D_Processes!R:R,0)))</f>
        <v/>
      </c>
      <c r="P446" s="266" t="str">
        <f>IF($D446="","",SUM($G446)*SUM(INDEX(InputOutput!$AN$71:$AN$100,MATCH($D446,InputOutput!$D$71:$D$100,0))))</f>
        <v/>
      </c>
      <c r="Q446" s="673" t="str">
        <f>IF(D446="","",IF(AG446,INDEX(A_InstData!$F$102:$F$121,MATCH(D446,CNTR_List_ExistPurchPrecNames,0)),""))</f>
        <v/>
      </c>
      <c r="R446" s="678" t="str">
        <f>IF($D446="","",SUM($G446)*SUM(INDEX(F_Tools!$T$101:$T$130,MATCH($D446,F_Tools!$E$101:$E$130,0))))</f>
        <v/>
      </c>
      <c r="S446" s="669" t="str">
        <f>IF($D446="","",SUM($G446)*SUM(INDEX(F_Tools!$U$101:$U$130,MATCH($D446,F_Tools!$E$101:$E$130,0))))</f>
        <v/>
      </c>
      <c r="T446" s="428"/>
      <c r="Z446" s="123"/>
      <c r="AB446" s="268" t="str">
        <f>CONST_PrecursorToGoodInput &amp; D446 &amp; "_" &amp; D414</f>
        <v>PrecToGood__</v>
      </c>
      <c r="AD446" s="269">
        <f>SUMIF(D_Processes!R:R,AB446,D_Processes!K:K)</f>
        <v>0</v>
      </c>
      <c r="AE446" s="268">
        <f>SUMIF(D_Processes!R:R,CONST_CNTR_TotProd &amp; D446,D_Processes!L:L)</f>
        <v>0</v>
      </c>
      <c r="AG446" s="102" t="b">
        <f t="shared" si="88"/>
        <v>0</v>
      </c>
    </row>
    <row r="447" spans="1:33" ht="12.75" customHeight="1" outlineLevel="1" thickBot="1" x14ac:dyDescent="0.4">
      <c r="A447" s="92"/>
      <c r="B447" s="94"/>
      <c r="C447" s="978">
        <v>30</v>
      </c>
      <c r="D447" s="1451" t="str">
        <f>IF(D414="","",IF(COUNTIF(INDEX(CNTR_IOSupplyChain,MATCH(D414,CNTR_IOProcAndPrec,0),),C447)=0,"",INDEX(CNTR_IOProcAndPrec,MATCH(C447,INDEX(CNTR_IOSupplyChain,MATCH(D414,CNTR_IOProcAndPrec,0),),0))))</f>
        <v/>
      </c>
      <c r="E447" s="1452"/>
      <c r="F447" s="270" t="str">
        <f t="shared" si="87"/>
        <v/>
      </c>
      <c r="G447" s="271" t="str">
        <f>IF(D447="","",INDEX(CNTR_Matrix_Inv,MATCH(D414,CNTR_IOProcAndPrec,0),MATCH(D447,CNTR_IOProcAndPrec,0)))</f>
        <v/>
      </c>
      <c r="H447" s="287" t="str">
        <f>IF(D447="","",IF(AG447,INDEX(E_PurchPrec!U:U,MATCH(CONST_PurchPrecDefaultUsed&amp;D447,E_PurchPrec!R:R,0)),CONST_NA))</f>
        <v/>
      </c>
      <c r="I447" s="271" t="str">
        <f>IF($D447="","",SUM($G447)*SUM(INDEX(InputOutput!$AJ$71:$AJ$100,MATCH($D447,InputOutput!$D$71:$D$100,0))))</f>
        <v/>
      </c>
      <c r="J447" s="271" t="str">
        <f>IF($D447="","",SUM($G447)*SUM(INDEX(InputOutput!$AL$71:$AL$100,MATCH($D447,InputOutput!$D$71:$D$100,0))))</f>
        <v/>
      </c>
      <c r="K447" s="271" t="str">
        <f>IF(COUNT(I447:J447)&gt;0,SUM(I447:J447),"")</f>
        <v/>
      </c>
      <c r="L447" s="272" t="str">
        <f>IF(D447="","",SUM(I447)*SUM(AD417))</f>
        <v/>
      </c>
      <c r="M447" s="272" t="str">
        <f>IF(D447="","",SUM(J447)*SUM(AD417))</f>
        <v/>
      </c>
      <c r="N447" s="272" t="str">
        <f>IF(COUNT(L447:M447)&gt;0,SUM(L447:M447),"")</f>
        <v/>
      </c>
      <c r="O447" s="272" t="str">
        <f>IF(AG447,INDEX(E_PurchPrec!U:U,MATCH(CONST_CNTR_ElecEFMethod&amp;D447,E_PurchPrec!R:R,0)),INDEX(D_Processes!T:T,MATCH(CONST_CNTR_ElecEFMethod&amp;D447,D_Processes!R:R,0)))</f>
        <v/>
      </c>
      <c r="P447" s="271" t="str">
        <f>IF($D447="","",SUM($G447)*SUM(INDEX(InputOutput!$AN$71:$AN$100,MATCH($D447,InputOutput!$D$71:$D$100,0))))</f>
        <v/>
      </c>
      <c r="Q447" s="674" t="str">
        <f>IF(D447="","",IF(AG447,INDEX(A_InstData!$F$102:$F$121,MATCH(D447,CNTR_List_ExistPurchPrecNames,0)),""))</f>
        <v/>
      </c>
      <c r="R447" s="679" t="str">
        <f>IF($D447="","",SUM($G447)*SUM(INDEX(F_Tools!$T$101:$T$130,MATCH($D447,F_Tools!$E$101:$E$130,0))))</f>
        <v/>
      </c>
      <c r="S447" s="680" t="str">
        <f>IF($D447="","",SUM($G447)*SUM(INDEX(F_Tools!$U$101:$U$130,MATCH($D447,F_Tools!$E$101:$E$130,0))))</f>
        <v/>
      </c>
      <c r="T447" s="428"/>
      <c r="AB447" s="273" t="str">
        <f>CONST_PrecursorToGoodInput &amp; D447 &amp; "_" &amp; D414</f>
        <v>PrecToGood__</v>
      </c>
      <c r="AD447" s="274">
        <f>SUMIF(D_Processes!R:R,AB447,D_Processes!K:K)</f>
        <v>0</v>
      </c>
      <c r="AE447" s="273">
        <f>SUMIF(D_Processes!R:R,CONST_CNTR_TotProd &amp; D447,D_Processes!L:L)</f>
        <v>0</v>
      </c>
      <c r="AG447" s="102" t="b">
        <f t="shared" si="88"/>
        <v>0</v>
      </c>
    </row>
    <row r="448" spans="1:33" ht="12.75" customHeight="1" thickBot="1" x14ac:dyDescent="0.4">
      <c r="A448" s="92"/>
      <c r="B448" s="94"/>
      <c r="C448" s="144"/>
      <c r="D448" s="144"/>
      <c r="E448" s="144"/>
      <c r="F448" s="144"/>
      <c r="G448" s="144"/>
      <c r="H448" s="144"/>
      <c r="I448" s="979"/>
      <c r="J448" s="979"/>
      <c r="K448" s="979"/>
      <c r="L448" s="144"/>
      <c r="M448" s="144"/>
      <c r="N448" s="144"/>
      <c r="O448" s="144"/>
      <c r="P448" s="979"/>
      <c r="Q448" s="144"/>
      <c r="R448" s="144"/>
      <c r="S448" s="144"/>
      <c r="T448" s="428"/>
    </row>
    <row r="449" spans="1:41" ht="12.75" customHeight="1" thickBot="1" x14ac:dyDescent="0.4">
      <c r="A449" s="92"/>
      <c r="B449" s="94"/>
      <c r="C449" s="145"/>
      <c r="D449" s="145"/>
      <c r="E449" s="145"/>
      <c r="F449" s="145"/>
      <c r="G449" s="145"/>
      <c r="H449" s="145"/>
      <c r="I449" s="664"/>
      <c r="J449" s="664"/>
      <c r="K449" s="664"/>
      <c r="L449" s="145"/>
      <c r="M449" s="145"/>
      <c r="N449" s="145"/>
      <c r="O449" s="145"/>
      <c r="P449" s="664"/>
      <c r="Q449" s="145"/>
      <c r="R449" s="145"/>
      <c r="S449" s="145"/>
      <c r="T449" s="428"/>
    </row>
    <row r="450" spans="1:41" s="249" customFormat="1" ht="25.5" customHeight="1" x14ac:dyDescent="0.35">
      <c r="A450" s="977"/>
      <c r="B450" s="981"/>
      <c r="C450" s="1439">
        <f>C414+1</f>
        <v>9</v>
      </c>
      <c r="D450" s="1421" t="str">
        <f>IF(INDEX(CNTR_List_ExistProdProcNames,C450)=CONST_NA,"",INDEX(CNTR_List_ExistProdProcNames,C450))</f>
        <v/>
      </c>
      <c r="E450" s="1422"/>
      <c r="F450" s="1419" t="str">
        <f>Translations!$B$107</f>
        <v>Aggregated goods category</v>
      </c>
      <c r="G450" s="250" t="str">
        <f>Translations!$B$584</f>
        <v>Mass share</v>
      </c>
      <c r="H450" s="1448" t="str">
        <f>Translations!$B$586</f>
        <v>(Share of) Default value</v>
      </c>
      <c r="I450" s="250" t="str">
        <f>Translations!$B$570</f>
        <v>SEE (direct)</v>
      </c>
      <c r="J450" s="250" t="str">
        <f>Translations!$B$574</f>
        <v>SEE (indirect)</v>
      </c>
      <c r="K450" s="250" t="str">
        <f>Translations!$B$344</f>
        <v>SEE (total)</v>
      </c>
      <c r="L450" s="250" t="str">
        <f>Translations!$B$589</f>
        <v>EmbEm (direct)</v>
      </c>
      <c r="M450" s="250" t="str">
        <f>Translations!$B$591</f>
        <v>EmbEm (indirect)</v>
      </c>
      <c r="N450" s="250" t="str">
        <f>Translations!$B$593</f>
        <v>EmbEm (total)</v>
      </c>
      <c r="O450" s="1448" t="str">
        <f>Translations!$B$594</f>
        <v>Source of electricity EF</v>
      </c>
      <c r="P450" s="250" t="str">
        <f>Translations!$B$480</f>
        <v>Embedded electricity</v>
      </c>
      <c r="Q450" s="1415" t="str">
        <f>Translations!$B$1957</f>
        <v>Country code</v>
      </c>
      <c r="R450" s="1444" t="str">
        <f>Translations!$B$351</f>
        <v>CP due (per produced t or MWh)</v>
      </c>
      <c r="S450" s="1446" t="str">
        <f>Translations!$B$352</f>
        <v>Rebate (per produced t or MWh)</v>
      </c>
      <c r="T450" s="431"/>
      <c r="U450" s="93"/>
      <c r="V450" s="248"/>
      <c r="W450" s="248"/>
      <c r="X450" s="91"/>
      <c r="Y450" s="248"/>
      <c r="Z450" s="123"/>
      <c r="AA450" s="248"/>
      <c r="AB450" s="248"/>
      <c r="AC450" s="248"/>
      <c r="AD450" s="248"/>
      <c r="AE450" s="248"/>
      <c r="AF450" s="104" t="str">
        <f>H450</f>
        <v>(Share of) Default value</v>
      </c>
      <c r="AG450" s="681" t="str">
        <f>H452</f>
        <v/>
      </c>
      <c r="AH450" s="91"/>
      <c r="AI450" s="91"/>
      <c r="AJ450" s="91"/>
      <c r="AK450" s="91"/>
      <c r="AL450" s="91"/>
      <c r="AM450" s="91"/>
      <c r="AN450" s="91"/>
      <c r="AO450" s="91"/>
    </row>
    <row r="451" spans="1:41" s="249" customFormat="1" ht="15" customHeight="1" thickBot="1" x14ac:dyDescent="0.4">
      <c r="A451" s="977"/>
      <c r="B451" s="981"/>
      <c r="C451" s="1440"/>
      <c r="D451" s="1423"/>
      <c r="E451" s="1424"/>
      <c r="F451" s="1420"/>
      <c r="G451" s="251" t="str">
        <f>IF($F452="",CONST_t,INDEX(CONST_LIST_GoodsUnit,MATCH($F452,CONST_LIST_Goods,0))) &amp;"/"&amp; IF($F452="",CONST_t,INDEX(CONST_LIST_GoodsUnit,MATCH($F452,CONST_LIST_Goods,0)))</f>
        <v>t/t</v>
      </c>
      <c r="H451" s="1449"/>
      <c r="I451" s="251" t="str">
        <f>CONST_tCO2eq &amp; "/" &amp; IF($F452="",CONST_t,INDEX(CONST_LIST_GoodsUnit,MATCH($F452,CONST_LIST_Goods,0)))</f>
        <v>tCO2e/t</v>
      </c>
      <c r="J451" s="251" t="str">
        <f>CONST_tCO2eq &amp; "/" &amp; IF($F452="",CONST_t,INDEX(CONST_LIST_GoodsUnit,MATCH($F452,CONST_LIST_Goods,0)))</f>
        <v>tCO2e/t</v>
      </c>
      <c r="K451" s="251" t="str">
        <f>CONST_tCO2eq &amp; "/" &amp; IF($F452="",CONST_t,INDEX(CONST_LIST_GoodsUnit,MATCH($F452,CONST_LIST_Goods,0)))</f>
        <v>tCO2e/t</v>
      </c>
      <c r="L451" s="252" t="str">
        <f>CONST_tCO2eq</f>
        <v>tCO2e</v>
      </c>
      <c r="M451" s="252" t="str">
        <f>CONST_tCO2eq</f>
        <v>tCO2e</v>
      </c>
      <c r="N451" s="252" t="str">
        <f>CONST_tCO2eq</f>
        <v>tCO2e</v>
      </c>
      <c r="O451" s="1449"/>
      <c r="P451" s="251" t="str">
        <f>CONST_MWh &amp; "/" &amp; IF($F452="",CONST_t,INDEX(CONST_LIST_GoodsUnit,MATCH($F452,CONST_LIST_Goods,0)))</f>
        <v>MWh/t</v>
      </c>
      <c r="Q451" s="1416"/>
      <c r="R451" s="1445"/>
      <c r="S451" s="1447"/>
      <c r="T451" s="431"/>
      <c r="V451" s="248"/>
      <c r="W451" s="248"/>
      <c r="X451" s="91"/>
      <c r="Y451" s="248"/>
      <c r="Z451" s="123"/>
      <c r="AA451" s="248"/>
      <c r="AB451" s="248"/>
      <c r="AC451" s="248"/>
      <c r="AD451" s="248"/>
      <c r="AE451" s="248"/>
      <c r="AF451" s="91"/>
      <c r="AG451" s="91"/>
      <c r="AH451" s="91"/>
      <c r="AI451" s="91"/>
      <c r="AJ451" s="91"/>
      <c r="AK451" s="91"/>
      <c r="AL451" s="91"/>
      <c r="AM451" s="91"/>
      <c r="AN451" s="91"/>
      <c r="AO451" s="91"/>
    </row>
    <row r="452" spans="1:41" ht="15" customHeight="1" thickBot="1" x14ac:dyDescent="0.4">
      <c r="A452" s="92"/>
      <c r="B452" s="94"/>
      <c r="C452" s="1441"/>
      <c r="D452" s="1429" t="str">
        <f>Translations!$B$600</f>
        <v>Total production process</v>
      </c>
      <c r="E452" s="1430"/>
      <c r="F452" s="253" t="str">
        <f>IF(D453="","",INDEX(CNTR_List_ExistProdProc,MATCH(D453,CNTR_List_ExistProdProcNames,0)))</f>
        <v/>
      </c>
      <c r="G452" s="254" t="s">
        <v>206</v>
      </c>
      <c r="H452" s="896" t="str">
        <f>IF(D450="","",IFERROR(SUMIFS(I454:I483,H454:H483,TRUE)/I452,""))</f>
        <v/>
      </c>
      <c r="I452" s="662" t="str">
        <f>IF(COUNT(I453:I483)&gt;0,SUM(I453:I483),"")</f>
        <v/>
      </c>
      <c r="J452" s="662" t="str">
        <f>IF(COUNT(J453:J483)&gt;0,SUM(J453:J483),"")</f>
        <v/>
      </c>
      <c r="K452" s="662" t="str">
        <f t="shared" ref="K452:L452" si="89">IF(COUNT(K453:K483)&gt;0,SUM(K453:K483),"")</f>
        <v/>
      </c>
      <c r="L452" s="255" t="str">
        <f t="shared" si="89"/>
        <v/>
      </c>
      <c r="M452" s="255" t="str">
        <f>IF(COUNT(M453:M483)&gt;0,SUM(M453:M483),"")</f>
        <v/>
      </c>
      <c r="N452" s="255" t="str">
        <f t="shared" ref="N452" si="90">IF(COUNT(N453:N483)&gt;0,SUM(N453:N483),"")</f>
        <v/>
      </c>
      <c r="O452" s="254" t="s">
        <v>206</v>
      </c>
      <c r="P452" s="662" t="str">
        <f t="shared" ref="P452" si="91">IF(COUNT(P453:P483)&gt;0,SUM(P453:P483),"")</f>
        <v/>
      </c>
      <c r="Q452" s="670" t="s">
        <v>206</v>
      </c>
      <c r="R452" s="675" t="str">
        <f t="shared" ref="R452:S452" si="92">IF(COUNT(R453:R483)&gt;0,SUM(R453:R483),"")</f>
        <v/>
      </c>
      <c r="S452" s="666" t="str">
        <f t="shared" si="92"/>
        <v/>
      </c>
      <c r="T452" s="428"/>
      <c r="Z452" s="123"/>
      <c r="AD452" s="91" t="s">
        <v>199</v>
      </c>
      <c r="AE452" s="91" t="s">
        <v>200</v>
      </c>
      <c r="AG452" s="91" t="s">
        <v>418</v>
      </c>
    </row>
    <row r="453" spans="1:41" ht="12.75" customHeight="1" thickBot="1" x14ac:dyDescent="0.4">
      <c r="A453" s="92"/>
      <c r="B453" s="94"/>
      <c r="C453" s="144"/>
      <c r="D453" s="1431" t="str">
        <f>D450</f>
        <v/>
      </c>
      <c r="E453" s="1432"/>
      <c r="F453" s="283" t="str">
        <f>IF(D453="","",INDEX(CNTR_List_ExistProdProc,MATCH(D453,CNTR_List_ExistProdProcNames,0)))</f>
        <v/>
      </c>
      <c r="G453" s="256">
        <v>1</v>
      </c>
      <c r="H453" s="284" t="s">
        <v>206</v>
      </c>
      <c r="I453" s="663" t="str">
        <f>IF($D453="","",SUM($G453)*SUM(INDEX(InputOutput!$AJ$71:$AJ$100,MATCH($D453,InputOutput!$D$71:$D$100,0))))</f>
        <v/>
      </c>
      <c r="J453" s="663" t="str">
        <f>IF($D453="","",SUM($G453)*SUM(INDEX(InputOutput!$AL$71:$AL$100,MATCH($D453,InputOutput!$D$71:$D$100,0))))</f>
        <v/>
      </c>
      <c r="K453" s="663" t="str">
        <f t="shared" ref="K453:K482" si="93">IF(COUNT(I453:J453)&gt;0,SUM(I453:J453),"")</f>
        <v/>
      </c>
      <c r="L453" s="257" t="str">
        <f>IF(D453="","",SUM(I453)*SUM(AD453))</f>
        <v/>
      </c>
      <c r="M453" s="257" t="str">
        <f>IF(D453="","",SUM(J453)*SUM(AD453))</f>
        <v/>
      </c>
      <c r="N453" s="257" t="str">
        <f t="shared" ref="N453:N482" si="94">IF(COUNT(L453:M453)&gt;0,SUM(L453:M453),"")</f>
        <v/>
      </c>
      <c r="O453" s="257" t="str">
        <f>IF(AG453,INDEX(E_PurchPrec!U:U,MATCH(CONST_CNTR_ElecEFMethod&amp;D453,E_PurchPrec!R:R,0)),INDEX(D_Processes!T:T,MATCH(CONST_CNTR_ElecEFMethod&amp;D453,D_Processes!R:R,0)))</f>
        <v/>
      </c>
      <c r="P453" s="663" t="str">
        <f>IF($D453="","",SUM($G453)*SUM(INDEX(InputOutput!$AN$71:$AN$100,MATCH($D453,InputOutput!$D$71:$D$100,0))))</f>
        <v/>
      </c>
      <c r="Q453" s="671"/>
      <c r="R453" s="676" t="str">
        <f>IF($D453="","",SUM($G453)*SUM(INDEX(F_Tools!$T$101:$T$130,MATCH($D453,F_Tools!$E$101:$E$130,0))))</f>
        <v/>
      </c>
      <c r="S453" s="667" t="str">
        <f>IF($D453="","",SUM($G453)*SUM(INDEX(F_Tools!$U$101:$U$130,MATCH($D453,F_Tools!$E$101:$E$130,0))))</f>
        <v/>
      </c>
      <c r="T453" s="428"/>
      <c r="Z453" s="123"/>
      <c r="AB453" s="150" t="str">
        <f>CONST_CNTR_TotProd &amp; D450</f>
        <v>TotProd_</v>
      </c>
      <c r="AD453" s="258">
        <f>SUMIF(D_Processes!R:R,AB453,D_Processes!L:L)</f>
        <v>0</v>
      </c>
    </row>
    <row r="454" spans="1:41" ht="12.75" customHeight="1" x14ac:dyDescent="0.35">
      <c r="A454" s="92"/>
      <c r="B454" s="94"/>
      <c r="C454" s="978">
        <v>1</v>
      </c>
      <c r="D454" s="1442" t="str">
        <f>IF(D450="","",IF(COUNTIF(INDEX(CNTR_IOSupplyChain,MATCH(D450,CNTR_IOProcAndPrec,0),),C454)=0,"",INDEX(CNTR_IOProcAndPrec,MATCH(C454,INDEX(CNTR_IOSupplyChain,MATCH(D450,CNTR_IOProcAndPrec,0),),0))))</f>
        <v/>
      </c>
      <c r="E454" s="1443"/>
      <c r="F454" s="260" t="str">
        <f t="shared" ref="F454:F483" si="95">IF(D454="","",IF(COUNTIF(CNTR_List_ExistProdProcNames,D454)&gt;0,INDEX(CNTR_List_ExistProdProc,MATCH(D454,CNTR_List_ExistProdProcNames,0)),INDEX(CNTR_List_ExistPurchPrec,MATCH(D454,CNTR_List_ExistPurchPrecNames,0))))</f>
        <v/>
      </c>
      <c r="G454" s="261" t="str">
        <f>IF(D454="","",INDEX(CNTR_Matrix_Inv,MATCH(D450,CNTR_IOProcAndPrec,0),MATCH(D454,CNTR_IOProcAndPrec,0)))</f>
        <v/>
      </c>
      <c r="H454" s="285" t="str">
        <f>IF(D454="","",IF(AG454,INDEX(E_PurchPrec!U:U,MATCH(CONST_PurchPrecDefaultUsed&amp;D454,E_PurchPrec!R:R,0)),CONST_NA))</f>
        <v/>
      </c>
      <c r="I454" s="261" t="str">
        <f>IF($D454="","",SUM($G454)*SUM(INDEX(InputOutput!$AJ$71:$AJ$100,MATCH($D454,InputOutput!$D$71:$D$100,0))))</f>
        <v/>
      </c>
      <c r="J454" s="261" t="str">
        <f>IF($D454="","",SUM($G454)*SUM(INDEX(InputOutput!$AL$71:$AL$100,MATCH($D454,InputOutput!$D$71:$D$100,0))))</f>
        <v/>
      </c>
      <c r="K454" s="261" t="str">
        <f t="shared" si="93"/>
        <v/>
      </c>
      <c r="L454" s="262" t="str">
        <f>IF(D454="","",SUM(I454)*SUM(AD453))</f>
        <v/>
      </c>
      <c r="M454" s="262" t="str">
        <f>IF(D454="","",SUM(J454)*SUM(AD453))</f>
        <v/>
      </c>
      <c r="N454" s="262" t="str">
        <f t="shared" si="94"/>
        <v/>
      </c>
      <c r="O454" s="262" t="str">
        <f>IF(AG454,INDEX(E_PurchPrec!U:U,MATCH(CONST_CNTR_ElecEFMethod&amp;D454,E_PurchPrec!R:R,0)),INDEX(D_Processes!T:T,MATCH(CONST_CNTR_ElecEFMethod&amp;D454,D_Processes!R:R,0)))</f>
        <v/>
      </c>
      <c r="P454" s="261" t="str">
        <f>IF($D454="","",SUM($G454)*SUM(INDEX(InputOutput!$AN$71:$AN$100,MATCH($D454,InputOutput!$D$71:$D$100,0))))</f>
        <v/>
      </c>
      <c r="Q454" s="672" t="str">
        <f>IF(D454="","",IF(AG454,INDEX(A_InstData!$F$102:$F$121,MATCH(D454,CNTR_List_ExistPurchPrecNames,0)),""))</f>
        <v/>
      </c>
      <c r="R454" s="677" t="str">
        <f>IF($D454="","",SUM($G454)*SUM(INDEX(F_Tools!$T$101:$T$130,MATCH($D454,F_Tools!$E$101:$E$130,0))))</f>
        <v/>
      </c>
      <c r="S454" s="668" t="str">
        <f>IF($D454="","",SUM($G454)*SUM(INDEX(F_Tools!$U$101:$U$130,MATCH($D454,F_Tools!$E$101:$E$130,0))))</f>
        <v/>
      </c>
      <c r="T454" s="428"/>
      <c r="Z454" s="123"/>
      <c r="AB454" s="263" t="str">
        <f>CONST_PrecursorToGoodInput &amp; D454 &amp; "_" &amp; D450</f>
        <v>PrecToGood__</v>
      </c>
      <c r="AD454" s="264">
        <f>SUMIF(D_Processes!R:R,AB454,D_Processes!K:K)</f>
        <v>0</v>
      </c>
      <c r="AE454" s="263">
        <f>SUMIF(D_Processes!R:R,CONST_CNTR_TotProd &amp; D454,D_Processes!L:L)</f>
        <v>0</v>
      </c>
      <c r="AG454" s="102" t="b">
        <f t="shared" ref="AG454:AG483" si="96">COUNTIF(CNTR_List_ExistPurchPrecNames,D454)&gt;0</f>
        <v>0</v>
      </c>
    </row>
    <row r="455" spans="1:41" ht="12.75" customHeight="1" x14ac:dyDescent="0.35">
      <c r="A455" s="92"/>
      <c r="B455" s="94"/>
      <c r="C455" s="978">
        <v>2</v>
      </c>
      <c r="D455" s="1417" t="str">
        <f>IF(D450="","",IF(COUNTIF(INDEX(CNTR_IOSupplyChain,MATCH(D450,CNTR_IOProcAndPrec,0),),C455)=0,"",INDEX(CNTR_IOProcAndPrec,MATCH(C455,INDEX(CNTR_IOSupplyChain,MATCH(D450,CNTR_IOProcAndPrec,0),),0))))</f>
        <v/>
      </c>
      <c r="E455" s="1418"/>
      <c r="F455" s="265" t="str">
        <f t="shared" si="95"/>
        <v/>
      </c>
      <c r="G455" s="266" t="str">
        <f>IF(D455="","",INDEX(CNTR_Matrix_Inv,MATCH(D450,CNTR_IOProcAndPrec,0),MATCH(D455,CNTR_IOProcAndPrec,0)))</f>
        <v/>
      </c>
      <c r="H455" s="286" t="str">
        <f>IF(D455="","",IF(AG455,INDEX(E_PurchPrec!U:U,MATCH(CONST_PurchPrecDefaultUsed&amp;D455,E_PurchPrec!R:R,0)),CONST_NA))</f>
        <v/>
      </c>
      <c r="I455" s="266" t="str">
        <f>IF($D455="","",SUM($G455)*SUM(INDEX(InputOutput!$AJ$71:$AJ$100,MATCH($D455,InputOutput!$D$71:$D$100,0))))</f>
        <v/>
      </c>
      <c r="J455" s="266" t="str">
        <f>IF($D455="","",SUM($G455)*SUM(INDEX(InputOutput!$AL$71:$AL$100,MATCH($D455,InputOutput!$D$71:$D$100,0))))</f>
        <v/>
      </c>
      <c r="K455" s="266" t="str">
        <f t="shared" si="93"/>
        <v/>
      </c>
      <c r="L455" s="267" t="str">
        <f>IF(D455="","",SUM(I455)*SUM(AD453))</f>
        <v/>
      </c>
      <c r="M455" s="267" t="str">
        <f>IF(D455="","",SUM(J455)*SUM(AD453))</f>
        <v/>
      </c>
      <c r="N455" s="267" t="str">
        <f t="shared" si="94"/>
        <v/>
      </c>
      <c r="O455" s="267" t="str">
        <f>IF(AG455,INDEX(E_PurchPrec!U:U,MATCH(CONST_CNTR_ElecEFMethod&amp;D455,E_PurchPrec!R:R,0)),INDEX(D_Processes!T:T,MATCH(CONST_CNTR_ElecEFMethod&amp;D455,D_Processes!R:R,0)))</f>
        <v/>
      </c>
      <c r="P455" s="266" t="str">
        <f>IF($D455="","",SUM($G455)*SUM(INDEX(InputOutput!$AN$71:$AN$100,MATCH($D455,InputOutput!$D$71:$D$100,0))))</f>
        <v/>
      </c>
      <c r="Q455" s="673" t="str">
        <f>IF(D455="","",IF(AG455,INDEX(A_InstData!$F$102:$F$121,MATCH(D455,CNTR_List_ExistPurchPrecNames,0)),""))</f>
        <v/>
      </c>
      <c r="R455" s="678" t="str">
        <f>IF($D455="","",SUM($G455)*SUM(INDEX(F_Tools!$T$101:$T$130,MATCH($D455,F_Tools!$E$101:$E$130,0))))</f>
        <v/>
      </c>
      <c r="S455" s="669" t="str">
        <f>IF($D455="","",SUM($G455)*SUM(INDEX(F_Tools!$U$101:$U$130,MATCH($D455,F_Tools!$E$101:$E$130,0))))</f>
        <v/>
      </c>
      <c r="T455" s="428"/>
      <c r="Z455" s="123"/>
      <c r="AB455" s="268" t="str">
        <f>CONST_PrecursorToGoodInput &amp; D455 &amp; "_" &amp; D450</f>
        <v>PrecToGood__</v>
      </c>
      <c r="AD455" s="269">
        <f>SUMIF(D_Processes!R:R,AB455,D_Processes!K:K)</f>
        <v>0</v>
      </c>
      <c r="AE455" s="268">
        <f>SUMIF(D_Processes!R:R,CONST_CNTR_TotProd &amp; D455,D_Processes!L:L)</f>
        <v>0</v>
      </c>
      <c r="AG455" s="102" t="b">
        <f t="shared" si="96"/>
        <v>0</v>
      </c>
    </row>
    <row r="456" spans="1:41" ht="12.75" customHeight="1" x14ac:dyDescent="0.35">
      <c r="A456" s="92"/>
      <c r="B456" s="94"/>
      <c r="C456" s="978">
        <v>3</v>
      </c>
      <c r="D456" s="1417" t="str">
        <f>IF(D450="","",IF(COUNTIF(INDEX(CNTR_IOSupplyChain,MATCH(D450,CNTR_IOProcAndPrec,0),),C456)=0,"",INDEX(CNTR_IOProcAndPrec,MATCH(C456,INDEX(CNTR_IOSupplyChain,MATCH(D450,CNTR_IOProcAndPrec,0),),0))))</f>
        <v/>
      </c>
      <c r="E456" s="1418"/>
      <c r="F456" s="265" t="str">
        <f t="shared" si="95"/>
        <v/>
      </c>
      <c r="G456" s="266" t="str">
        <f>IF(D456="","",INDEX(CNTR_Matrix_Inv,MATCH(D450,CNTR_IOProcAndPrec,0),MATCH(D456,CNTR_IOProcAndPrec,0)))</f>
        <v/>
      </c>
      <c r="H456" s="286" t="str">
        <f>IF(D456="","",IF(AG456,INDEX(E_PurchPrec!U:U,MATCH(CONST_PurchPrecDefaultUsed&amp;D456,E_PurchPrec!R:R,0)),CONST_NA))</f>
        <v/>
      </c>
      <c r="I456" s="266" t="str">
        <f>IF($D456="","",SUM($G456)*SUM(INDEX(InputOutput!$AJ$71:$AJ$100,MATCH($D456,InputOutput!$D$71:$D$100,0))))</f>
        <v/>
      </c>
      <c r="J456" s="266" t="str">
        <f>IF($D456="","",SUM($G456)*SUM(INDEX(InputOutput!$AL$71:$AL$100,MATCH($D456,InputOutput!$D$71:$D$100,0))))</f>
        <v/>
      </c>
      <c r="K456" s="266" t="str">
        <f t="shared" si="93"/>
        <v/>
      </c>
      <c r="L456" s="267" t="str">
        <f>IF(D456="","",SUM(I456)*SUM(AD453))</f>
        <v/>
      </c>
      <c r="M456" s="267" t="str">
        <f>IF(D456="","",SUM(J456)*SUM(AD453))</f>
        <v/>
      </c>
      <c r="N456" s="267" t="str">
        <f t="shared" si="94"/>
        <v/>
      </c>
      <c r="O456" s="267" t="str">
        <f>IF(AG456,INDEX(E_PurchPrec!U:U,MATCH(CONST_CNTR_ElecEFMethod&amp;D456,E_PurchPrec!R:R,0)),INDEX(D_Processes!T:T,MATCH(CONST_CNTR_ElecEFMethod&amp;D456,D_Processes!R:R,0)))</f>
        <v/>
      </c>
      <c r="P456" s="266" t="str">
        <f>IF($D456="","",SUM($G456)*SUM(INDEX(InputOutput!$AN$71:$AN$100,MATCH($D456,InputOutput!$D$71:$D$100,0))))</f>
        <v/>
      </c>
      <c r="Q456" s="673" t="str">
        <f>IF(D456="","",IF(AG456,INDEX(A_InstData!$F$102:$F$121,MATCH(D456,CNTR_List_ExistPurchPrecNames,0)),""))</f>
        <v/>
      </c>
      <c r="R456" s="678" t="str">
        <f>IF($D456="","",SUM($G456)*SUM(INDEX(F_Tools!$T$101:$T$130,MATCH($D456,F_Tools!$E$101:$E$130,0))))</f>
        <v/>
      </c>
      <c r="S456" s="669" t="str">
        <f>IF($D456="","",SUM($G456)*SUM(INDEX(F_Tools!$U$101:$U$130,MATCH($D456,F_Tools!$E$101:$E$130,0))))</f>
        <v/>
      </c>
      <c r="T456" s="428"/>
      <c r="Z456" s="123"/>
      <c r="AB456" s="268" t="str">
        <f>CONST_PrecursorToGoodInput &amp; D456 &amp; "_" &amp; D450</f>
        <v>PrecToGood__</v>
      </c>
      <c r="AD456" s="269">
        <f>SUMIF(D_Processes!R:R,AB456,D_Processes!K:K)</f>
        <v>0</v>
      </c>
      <c r="AE456" s="268">
        <f>SUMIF(D_Processes!R:R,CONST_CNTR_TotProd &amp; D456,D_Processes!L:L)</f>
        <v>0</v>
      </c>
      <c r="AG456" s="102" t="b">
        <f t="shared" si="96"/>
        <v>0</v>
      </c>
    </row>
    <row r="457" spans="1:41" ht="12.75" customHeight="1" x14ac:dyDescent="0.35">
      <c r="A457" s="92"/>
      <c r="B457" s="94"/>
      <c r="C457" s="978">
        <v>4</v>
      </c>
      <c r="D457" s="1417" t="str">
        <f>IF(D450="","",IF(COUNTIF(INDEX(CNTR_IOSupplyChain,MATCH(D450,CNTR_IOProcAndPrec,0),),C457)=0,"",INDEX(CNTR_IOProcAndPrec,MATCH(C457,INDEX(CNTR_IOSupplyChain,MATCH(D450,CNTR_IOProcAndPrec,0),),0))))</f>
        <v/>
      </c>
      <c r="E457" s="1418"/>
      <c r="F457" s="265" t="str">
        <f t="shared" si="95"/>
        <v/>
      </c>
      <c r="G457" s="266" t="str">
        <f>IF(D457="","",INDEX(CNTR_Matrix_Inv,MATCH(D450,CNTR_IOProcAndPrec,0),MATCH(D457,CNTR_IOProcAndPrec,0)))</f>
        <v/>
      </c>
      <c r="H457" s="286" t="str">
        <f>IF(D457="","",IF(AG457,INDEX(E_PurchPrec!U:U,MATCH(CONST_PurchPrecDefaultUsed&amp;D457,E_PurchPrec!R:R,0)),CONST_NA))</f>
        <v/>
      </c>
      <c r="I457" s="266" t="str">
        <f>IF($D457="","",SUM($G457)*SUM(INDEX(InputOutput!$AJ$71:$AJ$100,MATCH($D457,InputOutput!$D$71:$D$100,0))))</f>
        <v/>
      </c>
      <c r="J457" s="266" t="str">
        <f>IF($D457="","",SUM($G457)*SUM(INDEX(InputOutput!$AL$71:$AL$100,MATCH($D457,InputOutput!$D$71:$D$100,0))))</f>
        <v/>
      </c>
      <c r="K457" s="266" t="str">
        <f t="shared" si="93"/>
        <v/>
      </c>
      <c r="L457" s="267" t="str">
        <f>IF(D457="","",SUM(I457)*SUM(AD453))</f>
        <v/>
      </c>
      <c r="M457" s="267" t="str">
        <f>IF(D457="","",SUM(J457)*SUM(AD453))</f>
        <v/>
      </c>
      <c r="N457" s="267" t="str">
        <f t="shared" si="94"/>
        <v/>
      </c>
      <c r="O457" s="267" t="str">
        <f>IF(AG457,INDEX(E_PurchPrec!U:U,MATCH(CONST_CNTR_ElecEFMethod&amp;D457,E_PurchPrec!R:R,0)),INDEX(D_Processes!T:T,MATCH(CONST_CNTR_ElecEFMethod&amp;D457,D_Processes!R:R,0)))</f>
        <v/>
      </c>
      <c r="P457" s="266" t="str">
        <f>IF($D457="","",SUM($G457)*SUM(INDEX(InputOutput!$AN$71:$AN$100,MATCH($D457,InputOutput!$D$71:$D$100,0))))</f>
        <v/>
      </c>
      <c r="Q457" s="673" t="str">
        <f>IF(D457="","",IF(AG457,INDEX(A_InstData!$F$102:$F$121,MATCH(D457,CNTR_List_ExistPurchPrecNames,0)),""))</f>
        <v/>
      </c>
      <c r="R457" s="678" t="str">
        <f>IF($D457="","",SUM($G457)*SUM(INDEX(F_Tools!$T$101:$T$130,MATCH($D457,F_Tools!$E$101:$E$130,0))))</f>
        <v/>
      </c>
      <c r="S457" s="669" t="str">
        <f>IF($D457="","",SUM($G457)*SUM(INDEX(F_Tools!$U$101:$U$130,MATCH($D457,F_Tools!$E$101:$E$130,0))))</f>
        <v/>
      </c>
      <c r="T457" s="428"/>
      <c r="Z457" s="123"/>
      <c r="AB457" s="268" t="str">
        <f>CONST_PrecursorToGoodInput &amp; D457 &amp; "_" &amp; D450</f>
        <v>PrecToGood__</v>
      </c>
      <c r="AD457" s="269">
        <f>SUMIF(D_Processes!R:R,AB457,D_Processes!K:K)</f>
        <v>0</v>
      </c>
      <c r="AE457" s="268">
        <f>SUMIF(D_Processes!R:R,CONST_CNTR_TotProd &amp; D457,D_Processes!L:L)</f>
        <v>0</v>
      </c>
      <c r="AG457" s="102" t="b">
        <f t="shared" si="96"/>
        <v>0</v>
      </c>
    </row>
    <row r="458" spans="1:41" ht="12.75" customHeight="1" x14ac:dyDescent="0.35">
      <c r="A458" s="92"/>
      <c r="B458" s="94"/>
      <c r="C458" s="978">
        <v>5</v>
      </c>
      <c r="D458" s="1417" t="str">
        <f>IF(D450="","",IF(COUNTIF(INDEX(CNTR_IOSupplyChain,MATCH(D450,CNTR_IOProcAndPrec,0),),C458)=0,"",INDEX(CNTR_IOProcAndPrec,MATCH(C458,INDEX(CNTR_IOSupplyChain,MATCH(D450,CNTR_IOProcAndPrec,0),),0))))</f>
        <v/>
      </c>
      <c r="E458" s="1418"/>
      <c r="F458" s="265" t="str">
        <f t="shared" si="95"/>
        <v/>
      </c>
      <c r="G458" s="266" t="str">
        <f>IF(D458="","",INDEX(CNTR_Matrix_Inv,MATCH(D450,CNTR_IOProcAndPrec,0),MATCH(D458,CNTR_IOProcAndPrec,0)))</f>
        <v/>
      </c>
      <c r="H458" s="286" t="str">
        <f>IF(D458="","",IF(AG458,INDEX(E_PurchPrec!U:U,MATCH(CONST_PurchPrecDefaultUsed&amp;D458,E_PurchPrec!R:R,0)),CONST_NA))</f>
        <v/>
      </c>
      <c r="I458" s="266" t="str">
        <f>IF($D458="","",SUM($G458)*SUM(INDEX(InputOutput!$AJ$71:$AJ$100,MATCH($D458,InputOutput!$D$71:$D$100,0))))</f>
        <v/>
      </c>
      <c r="J458" s="266" t="str">
        <f>IF($D458="","",SUM($G458)*SUM(INDEX(InputOutput!$AL$71:$AL$100,MATCH($D458,InputOutput!$D$71:$D$100,0))))</f>
        <v/>
      </c>
      <c r="K458" s="266" t="str">
        <f t="shared" si="93"/>
        <v/>
      </c>
      <c r="L458" s="267" t="str">
        <f>IF(D458="","",SUM(I458)*SUM(AD453))</f>
        <v/>
      </c>
      <c r="M458" s="267" t="str">
        <f>IF(D458="","",SUM(J458)*SUM(AD453))</f>
        <v/>
      </c>
      <c r="N458" s="267" t="str">
        <f t="shared" si="94"/>
        <v/>
      </c>
      <c r="O458" s="267" t="str">
        <f>IF(AG458,INDEX(E_PurchPrec!U:U,MATCH(CONST_CNTR_ElecEFMethod&amp;D458,E_PurchPrec!R:R,0)),INDEX(D_Processes!T:T,MATCH(CONST_CNTR_ElecEFMethod&amp;D458,D_Processes!R:R,0)))</f>
        <v/>
      </c>
      <c r="P458" s="266" t="str">
        <f>IF($D458="","",SUM($G458)*SUM(INDEX(InputOutput!$AN$71:$AN$100,MATCH($D458,InputOutput!$D$71:$D$100,0))))</f>
        <v/>
      </c>
      <c r="Q458" s="673" t="str">
        <f>IF(D458="","",IF(AG458,INDEX(A_InstData!$F$102:$F$121,MATCH(D458,CNTR_List_ExistPurchPrecNames,0)),""))</f>
        <v/>
      </c>
      <c r="R458" s="678" t="str">
        <f>IF($D458="","",SUM($G458)*SUM(INDEX(F_Tools!$T$101:$T$130,MATCH($D458,F_Tools!$E$101:$E$130,0))))</f>
        <v/>
      </c>
      <c r="S458" s="669" t="str">
        <f>IF($D458="","",SUM($G458)*SUM(INDEX(F_Tools!$U$101:$U$130,MATCH($D458,F_Tools!$E$101:$E$130,0))))</f>
        <v/>
      </c>
      <c r="T458" s="428"/>
      <c r="Z458" s="123"/>
      <c r="AB458" s="268" t="str">
        <f>CONST_PrecursorToGoodInput &amp; D458 &amp; "_" &amp; D450</f>
        <v>PrecToGood__</v>
      </c>
      <c r="AD458" s="269">
        <f>SUMIF(D_Processes!R:R,AB458,D_Processes!K:K)</f>
        <v>0</v>
      </c>
      <c r="AE458" s="268">
        <f>SUMIF(D_Processes!R:R,CONST_CNTR_TotProd &amp; D458,D_Processes!L:L)</f>
        <v>0</v>
      </c>
      <c r="AG458" s="102" t="b">
        <f t="shared" si="96"/>
        <v>0</v>
      </c>
    </row>
    <row r="459" spans="1:41" ht="12.75" customHeight="1" outlineLevel="1" x14ac:dyDescent="0.35">
      <c r="A459" s="92"/>
      <c r="B459" s="94"/>
      <c r="C459" s="978">
        <v>6</v>
      </c>
      <c r="D459" s="1417" t="str">
        <f>IF(D450="","",IF(COUNTIF(INDEX(CNTR_IOSupplyChain,MATCH(D450,CNTR_IOProcAndPrec,0),),C459)=0,"",INDEX(CNTR_IOProcAndPrec,MATCH(C459,INDEX(CNTR_IOSupplyChain,MATCH(D450,CNTR_IOProcAndPrec,0),),0))))</f>
        <v/>
      </c>
      <c r="E459" s="1418"/>
      <c r="F459" s="265" t="str">
        <f t="shared" si="95"/>
        <v/>
      </c>
      <c r="G459" s="266" t="str">
        <f>IF(D459="","",INDEX(CNTR_Matrix_Inv,MATCH(D450,CNTR_IOProcAndPrec,0),MATCH(D459,CNTR_IOProcAndPrec,0)))</f>
        <v/>
      </c>
      <c r="H459" s="286" t="str">
        <f>IF(D459="","",IF(AG459,INDEX(E_PurchPrec!U:U,MATCH(CONST_PurchPrecDefaultUsed&amp;D459,E_PurchPrec!R:R,0)),CONST_NA))</f>
        <v/>
      </c>
      <c r="I459" s="266" t="str">
        <f>IF($D459="","",SUM($G459)*SUM(INDEX(InputOutput!$AJ$71:$AJ$100,MATCH($D459,InputOutput!$D$71:$D$100,0))))</f>
        <v/>
      </c>
      <c r="J459" s="266" t="str">
        <f>IF($D459="","",SUM($G459)*SUM(INDEX(InputOutput!$AL$71:$AL$100,MATCH($D459,InputOutput!$D$71:$D$100,0))))</f>
        <v/>
      </c>
      <c r="K459" s="266" t="str">
        <f t="shared" si="93"/>
        <v/>
      </c>
      <c r="L459" s="267" t="str">
        <f>IF(D459="","",SUM(I459)*SUM(AD453))</f>
        <v/>
      </c>
      <c r="M459" s="267" t="str">
        <f>IF(D459="","",SUM(J459)*SUM(AD453))</f>
        <v/>
      </c>
      <c r="N459" s="267" t="str">
        <f t="shared" si="94"/>
        <v/>
      </c>
      <c r="O459" s="267" t="str">
        <f>IF(AG459,INDEX(E_PurchPrec!U:U,MATCH(CONST_CNTR_ElecEFMethod&amp;D459,E_PurchPrec!R:R,0)),INDEX(D_Processes!T:T,MATCH(CONST_CNTR_ElecEFMethod&amp;D459,D_Processes!R:R,0)))</f>
        <v/>
      </c>
      <c r="P459" s="266" t="str">
        <f>IF($D459="","",SUM($G459)*SUM(INDEX(InputOutput!$AN$71:$AN$100,MATCH($D459,InputOutput!$D$71:$D$100,0))))</f>
        <v/>
      </c>
      <c r="Q459" s="673" t="str">
        <f>IF(D459="","",IF(AG459,INDEX(A_InstData!$F$102:$F$121,MATCH(D459,CNTR_List_ExistPurchPrecNames,0)),""))</f>
        <v/>
      </c>
      <c r="R459" s="678" t="str">
        <f>IF($D459="","",SUM($G459)*SUM(INDEX(F_Tools!$T$101:$T$130,MATCH($D459,F_Tools!$E$101:$E$130,0))))</f>
        <v/>
      </c>
      <c r="S459" s="669" t="str">
        <f>IF($D459="","",SUM($G459)*SUM(INDEX(F_Tools!$U$101:$U$130,MATCH($D459,F_Tools!$E$101:$E$130,0))))</f>
        <v/>
      </c>
      <c r="T459" s="428"/>
      <c r="Z459" s="123"/>
      <c r="AB459" s="268" t="str">
        <f>CONST_PrecursorToGoodInput &amp; D459 &amp; "_" &amp; D450</f>
        <v>PrecToGood__</v>
      </c>
      <c r="AD459" s="269">
        <f>SUMIF(D_Processes!R:R,AB459,D_Processes!K:K)</f>
        <v>0</v>
      </c>
      <c r="AE459" s="268">
        <f>SUMIF(D_Processes!R:R,CONST_CNTR_TotProd &amp; D459,D_Processes!L:L)</f>
        <v>0</v>
      </c>
      <c r="AG459" s="102" t="b">
        <f t="shared" si="96"/>
        <v>0</v>
      </c>
    </row>
    <row r="460" spans="1:41" ht="12.75" customHeight="1" outlineLevel="1" x14ac:dyDescent="0.35">
      <c r="A460" s="92"/>
      <c r="B460" s="94"/>
      <c r="C460" s="978">
        <v>7</v>
      </c>
      <c r="D460" s="1417" t="str">
        <f>IF(D450="","",IF(COUNTIF(INDEX(CNTR_IOSupplyChain,MATCH(D450,CNTR_IOProcAndPrec,0),),C460)=0,"",INDEX(CNTR_IOProcAndPrec,MATCH(C460,INDEX(CNTR_IOSupplyChain,MATCH(D450,CNTR_IOProcAndPrec,0),),0))))</f>
        <v/>
      </c>
      <c r="E460" s="1418"/>
      <c r="F460" s="265" t="str">
        <f t="shared" si="95"/>
        <v/>
      </c>
      <c r="G460" s="266" t="str">
        <f>IF(D460="","",INDEX(CNTR_Matrix_Inv,MATCH(D450,CNTR_IOProcAndPrec,0),MATCH(D460,CNTR_IOProcAndPrec,0)))</f>
        <v/>
      </c>
      <c r="H460" s="286" t="str">
        <f>IF(D460="","",IF(AG460,INDEX(E_PurchPrec!U:U,MATCH(CONST_PurchPrecDefaultUsed&amp;D460,E_PurchPrec!R:R,0)),CONST_NA))</f>
        <v/>
      </c>
      <c r="I460" s="266" t="str">
        <f>IF($D460="","",SUM($G460)*SUM(INDEX(InputOutput!$AJ$71:$AJ$100,MATCH($D460,InputOutput!$D$71:$D$100,0))))</f>
        <v/>
      </c>
      <c r="J460" s="266" t="str">
        <f>IF($D460="","",SUM($G460)*SUM(INDEX(InputOutput!$AL$71:$AL$100,MATCH($D460,InputOutput!$D$71:$D$100,0))))</f>
        <v/>
      </c>
      <c r="K460" s="266" t="str">
        <f t="shared" si="93"/>
        <v/>
      </c>
      <c r="L460" s="267" t="str">
        <f>IF(D460="","",SUM(I460)*SUM(AD453))</f>
        <v/>
      </c>
      <c r="M460" s="267" t="str">
        <f>IF(D460="","",SUM(J460)*SUM(AD453))</f>
        <v/>
      </c>
      <c r="N460" s="267" t="str">
        <f t="shared" si="94"/>
        <v/>
      </c>
      <c r="O460" s="267" t="str">
        <f>IF(AG460,INDEX(E_PurchPrec!U:U,MATCH(CONST_CNTR_ElecEFMethod&amp;D460,E_PurchPrec!R:R,0)),INDEX(D_Processes!T:T,MATCH(CONST_CNTR_ElecEFMethod&amp;D460,D_Processes!R:R,0)))</f>
        <v/>
      </c>
      <c r="P460" s="266" t="str">
        <f>IF($D460="","",SUM($G460)*SUM(INDEX(InputOutput!$AN$71:$AN$100,MATCH($D460,InputOutput!$D$71:$D$100,0))))</f>
        <v/>
      </c>
      <c r="Q460" s="673" t="str">
        <f>IF(D460="","",IF(AG460,INDEX(A_InstData!$F$102:$F$121,MATCH(D460,CNTR_List_ExistPurchPrecNames,0)),""))</f>
        <v/>
      </c>
      <c r="R460" s="678" t="str">
        <f>IF($D460="","",SUM($G460)*SUM(INDEX(F_Tools!$T$101:$T$130,MATCH($D460,F_Tools!$E$101:$E$130,0))))</f>
        <v/>
      </c>
      <c r="S460" s="669" t="str">
        <f>IF($D460="","",SUM($G460)*SUM(INDEX(F_Tools!$U$101:$U$130,MATCH($D460,F_Tools!$E$101:$E$130,0))))</f>
        <v/>
      </c>
      <c r="T460" s="428"/>
      <c r="Z460" s="123"/>
      <c r="AB460" s="268" t="str">
        <f>CONST_PrecursorToGoodInput &amp; D460 &amp; "_" &amp; D450</f>
        <v>PrecToGood__</v>
      </c>
      <c r="AD460" s="269">
        <f>SUMIF(D_Processes!R:R,AB460,D_Processes!K:K)</f>
        <v>0</v>
      </c>
      <c r="AE460" s="268">
        <f>SUMIF(D_Processes!R:R,CONST_CNTR_TotProd &amp; D460,D_Processes!L:L)</f>
        <v>0</v>
      </c>
      <c r="AG460" s="102" t="b">
        <f t="shared" si="96"/>
        <v>0</v>
      </c>
    </row>
    <row r="461" spans="1:41" ht="12.75" customHeight="1" outlineLevel="1" x14ac:dyDescent="0.35">
      <c r="A461" s="92"/>
      <c r="B461" s="94"/>
      <c r="C461" s="978">
        <v>8</v>
      </c>
      <c r="D461" s="1417" t="str">
        <f>IF(D450="","",IF(COUNTIF(INDEX(CNTR_IOSupplyChain,MATCH(D450,CNTR_IOProcAndPrec,0),),C461)=0,"",INDEX(CNTR_IOProcAndPrec,MATCH(C461,INDEX(CNTR_IOSupplyChain,MATCH(D450,CNTR_IOProcAndPrec,0),),0))))</f>
        <v/>
      </c>
      <c r="E461" s="1418"/>
      <c r="F461" s="265" t="str">
        <f t="shared" si="95"/>
        <v/>
      </c>
      <c r="G461" s="266" t="str">
        <f>IF(D461="","",INDEX(CNTR_Matrix_Inv,MATCH(D450,CNTR_IOProcAndPrec,0),MATCH(D461,CNTR_IOProcAndPrec,0)))</f>
        <v/>
      </c>
      <c r="H461" s="286" t="str">
        <f>IF(D461="","",IF(AG461,INDEX(E_PurchPrec!U:U,MATCH(CONST_PurchPrecDefaultUsed&amp;D461,E_PurchPrec!R:R,0)),CONST_NA))</f>
        <v/>
      </c>
      <c r="I461" s="266" t="str">
        <f>IF($D461="","",SUM($G461)*SUM(INDEX(InputOutput!$AJ$71:$AJ$100,MATCH($D461,InputOutput!$D$71:$D$100,0))))</f>
        <v/>
      </c>
      <c r="J461" s="266" t="str">
        <f>IF($D461="","",SUM($G461)*SUM(INDEX(InputOutput!$AL$71:$AL$100,MATCH($D461,InputOutput!$D$71:$D$100,0))))</f>
        <v/>
      </c>
      <c r="K461" s="266" t="str">
        <f t="shared" si="93"/>
        <v/>
      </c>
      <c r="L461" s="267" t="str">
        <f>IF(D461="","",SUM(I461)*SUM(AD453))</f>
        <v/>
      </c>
      <c r="M461" s="267" t="str">
        <f>IF(D461="","",SUM(J461)*SUM(AD453))</f>
        <v/>
      </c>
      <c r="N461" s="267" t="str">
        <f t="shared" si="94"/>
        <v/>
      </c>
      <c r="O461" s="267" t="str">
        <f>IF(AG461,INDEX(E_PurchPrec!U:U,MATCH(CONST_CNTR_ElecEFMethod&amp;D461,E_PurchPrec!R:R,0)),INDEX(D_Processes!T:T,MATCH(CONST_CNTR_ElecEFMethod&amp;D461,D_Processes!R:R,0)))</f>
        <v/>
      </c>
      <c r="P461" s="266" t="str">
        <f>IF($D461="","",SUM($G461)*SUM(INDEX(InputOutput!$AN$71:$AN$100,MATCH($D461,InputOutput!$D$71:$D$100,0))))</f>
        <v/>
      </c>
      <c r="Q461" s="673" t="str">
        <f>IF(D461="","",IF(AG461,INDEX(A_InstData!$F$102:$F$121,MATCH(D461,CNTR_List_ExistPurchPrecNames,0)),""))</f>
        <v/>
      </c>
      <c r="R461" s="678" t="str">
        <f>IF($D461="","",SUM($G461)*SUM(INDEX(F_Tools!$T$101:$T$130,MATCH($D461,F_Tools!$E$101:$E$130,0))))</f>
        <v/>
      </c>
      <c r="S461" s="669" t="str">
        <f>IF($D461="","",SUM($G461)*SUM(INDEX(F_Tools!$U$101:$U$130,MATCH($D461,F_Tools!$E$101:$E$130,0))))</f>
        <v/>
      </c>
      <c r="T461" s="428"/>
      <c r="Z461" s="123"/>
      <c r="AB461" s="268" t="str">
        <f>CONST_PrecursorToGoodInput &amp; D461 &amp; "_" &amp; D450</f>
        <v>PrecToGood__</v>
      </c>
      <c r="AD461" s="269">
        <f>SUMIF(D_Processes!R:R,AB461,D_Processes!K:K)</f>
        <v>0</v>
      </c>
      <c r="AE461" s="268">
        <f>SUMIF(D_Processes!R:R,CONST_CNTR_TotProd &amp; D461,D_Processes!L:L)</f>
        <v>0</v>
      </c>
      <c r="AG461" s="102" t="b">
        <f t="shared" si="96"/>
        <v>0</v>
      </c>
    </row>
    <row r="462" spans="1:41" ht="12.75" customHeight="1" outlineLevel="1" x14ac:dyDescent="0.35">
      <c r="A462" s="92"/>
      <c r="B462" s="94"/>
      <c r="C462" s="978">
        <v>9</v>
      </c>
      <c r="D462" s="1417" t="str">
        <f>IF(D450="","",IF(COUNTIF(INDEX(CNTR_IOSupplyChain,MATCH(D450,CNTR_IOProcAndPrec,0),),C462)=0,"",INDEX(CNTR_IOProcAndPrec,MATCH(C462,INDEX(CNTR_IOSupplyChain,MATCH(D450,CNTR_IOProcAndPrec,0),),0))))</f>
        <v/>
      </c>
      <c r="E462" s="1418"/>
      <c r="F462" s="265" t="str">
        <f t="shared" si="95"/>
        <v/>
      </c>
      <c r="G462" s="266" t="str">
        <f>IF(D462="","",INDEX(CNTR_Matrix_Inv,MATCH(D450,CNTR_IOProcAndPrec,0),MATCH(D462,CNTR_IOProcAndPrec,0)))</f>
        <v/>
      </c>
      <c r="H462" s="286" t="str">
        <f>IF(D462="","",IF(AG462,INDEX(E_PurchPrec!U:U,MATCH(CONST_PurchPrecDefaultUsed&amp;D462,E_PurchPrec!R:R,0)),CONST_NA))</f>
        <v/>
      </c>
      <c r="I462" s="266" t="str">
        <f>IF($D462="","",SUM($G462)*SUM(INDEX(InputOutput!$AJ$71:$AJ$100,MATCH($D462,InputOutput!$D$71:$D$100,0))))</f>
        <v/>
      </c>
      <c r="J462" s="266" t="str">
        <f>IF($D462="","",SUM($G462)*SUM(INDEX(InputOutput!$AL$71:$AL$100,MATCH($D462,InputOutput!$D$71:$D$100,0))))</f>
        <v/>
      </c>
      <c r="K462" s="266" t="str">
        <f t="shared" si="93"/>
        <v/>
      </c>
      <c r="L462" s="267" t="str">
        <f>IF(D462="","",SUM(I462)*SUM(AD453))</f>
        <v/>
      </c>
      <c r="M462" s="267" t="str">
        <f>IF(D462="","",SUM(J462)*SUM(AD453))</f>
        <v/>
      </c>
      <c r="N462" s="267" t="str">
        <f t="shared" si="94"/>
        <v/>
      </c>
      <c r="O462" s="267" t="str">
        <f>IF(AG462,INDEX(E_PurchPrec!U:U,MATCH(CONST_CNTR_ElecEFMethod&amp;D462,E_PurchPrec!R:R,0)),INDEX(D_Processes!T:T,MATCH(CONST_CNTR_ElecEFMethod&amp;D462,D_Processes!R:R,0)))</f>
        <v/>
      </c>
      <c r="P462" s="266" t="str">
        <f>IF($D462="","",SUM($G462)*SUM(INDEX(InputOutput!$AN$71:$AN$100,MATCH($D462,InputOutput!$D$71:$D$100,0))))</f>
        <v/>
      </c>
      <c r="Q462" s="673" t="str">
        <f>IF(D462="","",IF(AG462,INDEX(A_InstData!$F$102:$F$121,MATCH(D462,CNTR_List_ExistPurchPrecNames,0)),""))</f>
        <v/>
      </c>
      <c r="R462" s="678" t="str">
        <f>IF($D462="","",SUM($G462)*SUM(INDEX(F_Tools!$T$101:$T$130,MATCH($D462,F_Tools!$E$101:$E$130,0))))</f>
        <v/>
      </c>
      <c r="S462" s="669" t="str">
        <f>IF($D462="","",SUM($G462)*SUM(INDEX(F_Tools!$U$101:$U$130,MATCH($D462,F_Tools!$E$101:$E$130,0))))</f>
        <v/>
      </c>
      <c r="T462" s="428"/>
      <c r="Z462" s="123"/>
      <c r="AB462" s="268" t="str">
        <f>CONST_PrecursorToGoodInput &amp; D462 &amp; "_" &amp; D450</f>
        <v>PrecToGood__</v>
      </c>
      <c r="AD462" s="269">
        <f>SUMIF(D_Processes!R:R,AB462,D_Processes!K:K)</f>
        <v>0</v>
      </c>
      <c r="AE462" s="268">
        <f>SUMIF(D_Processes!R:R,CONST_CNTR_TotProd &amp; D462,D_Processes!L:L)</f>
        <v>0</v>
      </c>
      <c r="AG462" s="102" t="b">
        <f t="shared" si="96"/>
        <v>0</v>
      </c>
    </row>
    <row r="463" spans="1:41" ht="12.75" customHeight="1" outlineLevel="1" x14ac:dyDescent="0.35">
      <c r="A463" s="92"/>
      <c r="B463" s="94"/>
      <c r="C463" s="978">
        <v>10</v>
      </c>
      <c r="D463" s="1417" t="str">
        <f>IF(D450="","",IF(COUNTIF(INDEX(CNTR_IOSupplyChain,MATCH(D450,CNTR_IOProcAndPrec,0),),C463)=0,"",INDEX(CNTR_IOProcAndPrec,MATCH(C463,INDEX(CNTR_IOSupplyChain,MATCH(D450,CNTR_IOProcAndPrec,0),),0))))</f>
        <v/>
      </c>
      <c r="E463" s="1418"/>
      <c r="F463" s="265" t="str">
        <f t="shared" si="95"/>
        <v/>
      </c>
      <c r="G463" s="266" t="str">
        <f>IF(D463="","",INDEX(CNTR_Matrix_Inv,MATCH(D450,CNTR_IOProcAndPrec,0),MATCH(D463,CNTR_IOProcAndPrec,0)))</f>
        <v/>
      </c>
      <c r="H463" s="286" t="str">
        <f>IF(D463="","",IF(AG463,INDEX(E_PurchPrec!U:U,MATCH(CONST_PurchPrecDefaultUsed&amp;D463,E_PurchPrec!R:R,0)),CONST_NA))</f>
        <v/>
      </c>
      <c r="I463" s="266" t="str">
        <f>IF($D463="","",SUM($G463)*SUM(INDEX(InputOutput!$AJ$71:$AJ$100,MATCH($D463,InputOutput!$D$71:$D$100,0))))</f>
        <v/>
      </c>
      <c r="J463" s="266" t="str">
        <f>IF($D463="","",SUM($G463)*SUM(INDEX(InputOutput!$AL$71:$AL$100,MATCH($D463,InputOutput!$D$71:$D$100,0))))</f>
        <v/>
      </c>
      <c r="K463" s="266" t="str">
        <f t="shared" si="93"/>
        <v/>
      </c>
      <c r="L463" s="267" t="str">
        <f>IF(D463="","",SUM(I463)*SUM(AD453))</f>
        <v/>
      </c>
      <c r="M463" s="267" t="str">
        <f>IF(D463="","",SUM(J463)*SUM(AD453))</f>
        <v/>
      </c>
      <c r="N463" s="267" t="str">
        <f t="shared" si="94"/>
        <v/>
      </c>
      <c r="O463" s="267" t="str">
        <f>IF(AG463,INDEX(E_PurchPrec!U:U,MATCH(CONST_CNTR_ElecEFMethod&amp;D463,E_PurchPrec!R:R,0)),INDEX(D_Processes!T:T,MATCH(CONST_CNTR_ElecEFMethod&amp;D463,D_Processes!R:R,0)))</f>
        <v/>
      </c>
      <c r="P463" s="266" t="str">
        <f>IF($D463="","",SUM($G463)*SUM(INDEX(InputOutput!$AN$71:$AN$100,MATCH($D463,InputOutput!$D$71:$D$100,0))))</f>
        <v/>
      </c>
      <c r="Q463" s="673" t="str">
        <f>IF(D463="","",IF(AG463,INDEX(A_InstData!$F$102:$F$121,MATCH(D463,CNTR_List_ExistPurchPrecNames,0)),""))</f>
        <v/>
      </c>
      <c r="R463" s="678" t="str">
        <f>IF($D463="","",SUM($G463)*SUM(INDEX(F_Tools!$T$101:$T$130,MATCH($D463,F_Tools!$E$101:$E$130,0))))</f>
        <v/>
      </c>
      <c r="S463" s="669" t="str">
        <f>IF($D463="","",SUM($G463)*SUM(INDEX(F_Tools!$U$101:$U$130,MATCH($D463,F_Tools!$E$101:$E$130,0))))</f>
        <v/>
      </c>
      <c r="T463" s="428"/>
      <c r="Z463" s="123"/>
      <c r="AB463" s="268" t="str">
        <f>CONST_PrecursorToGoodInput &amp; D463 &amp; "_" &amp; D450</f>
        <v>PrecToGood__</v>
      </c>
      <c r="AD463" s="269">
        <f>SUMIF(D_Processes!R:R,AB463,D_Processes!K:K)</f>
        <v>0</v>
      </c>
      <c r="AE463" s="268">
        <f>SUMIF(D_Processes!R:R,CONST_CNTR_TotProd &amp; D463,D_Processes!L:L)</f>
        <v>0</v>
      </c>
      <c r="AG463" s="102" t="b">
        <f t="shared" si="96"/>
        <v>0</v>
      </c>
    </row>
    <row r="464" spans="1:41" ht="12.75" customHeight="1" outlineLevel="1" x14ac:dyDescent="0.35">
      <c r="A464" s="92"/>
      <c r="B464" s="94"/>
      <c r="C464" s="978">
        <v>11</v>
      </c>
      <c r="D464" s="1417" t="str">
        <f>IF(D450="","",IF(COUNTIF(INDEX(CNTR_IOSupplyChain,MATCH(D450,CNTR_IOProcAndPrec,0),),C464)=0,"",INDEX(CNTR_IOProcAndPrec,MATCH(C464,INDEX(CNTR_IOSupplyChain,MATCH(D450,CNTR_IOProcAndPrec,0),),0))))</f>
        <v/>
      </c>
      <c r="E464" s="1418"/>
      <c r="F464" s="265" t="str">
        <f t="shared" si="95"/>
        <v/>
      </c>
      <c r="G464" s="266" t="str">
        <f>IF(D464="","",INDEX(CNTR_Matrix_Inv,MATCH(D450,CNTR_IOProcAndPrec,0),MATCH(D464,CNTR_IOProcAndPrec,0)))</f>
        <v/>
      </c>
      <c r="H464" s="286" t="str">
        <f>IF(D464="","",IF(AG464,INDEX(E_PurchPrec!U:U,MATCH(CONST_PurchPrecDefaultUsed&amp;D464,E_PurchPrec!R:R,0)),CONST_NA))</f>
        <v/>
      </c>
      <c r="I464" s="266" t="str">
        <f>IF($D464="","",SUM($G464)*SUM(INDEX(InputOutput!$AJ$71:$AJ$100,MATCH($D464,InputOutput!$D$71:$D$100,0))))</f>
        <v/>
      </c>
      <c r="J464" s="266" t="str">
        <f>IF($D464="","",SUM($G464)*SUM(INDEX(InputOutput!$AL$71:$AL$100,MATCH($D464,InputOutput!$D$71:$D$100,0))))</f>
        <v/>
      </c>
      <c r="K464" s="266" t="str">
        <f t="shared" si="93"/>
        <v/>
      </c>
      <c r="L464" s="267" t="str">
        <f>IF(D464="","",SUM(I464)*SUM(AD453))</f>
        <v/>
      </c>
      <c r="M464" s="267" t="str">
        <f>IF(D464="","",SUM(J464)*SUM(AD453))</f>
        <v/>
      </c>
      <c r="N464" s="267" t="str">
        <f t="shared" si="94"/>
        <v/>
      </c>
      <c r="O464" s="267" t="str">
        <f>IF(AG464,INDEX(E_PurchPrec!U:U,MATCH(CONST_CNTR_ElecEFMethod&amp;D464,E_PurchPrec!R:R,0)),INDEX(D_Processes!T:T,MATCH(CONST_CNTR_ElecEFMethod&amp;D464,D_Processes!R:R,0)))</f>
        <v/>
      </c>
      <c r="P464" s="266" t="str">
        <f>IF($D464="","",SUM($G464)*SUM(INDEX(InputOutput!$AN$71:$AN$100,MATCH($D464,InputOutput!$D$71:$D$100,0))))</f>
        <v/>
      </c>
      <c r="Q464" s="673" t="str">
        <f>IF(D464="","",IF(AG464,INDEX(A_InstData!$F$102:$F$121,MATCH(D464,CNTR_List_ExistPurchPrecNames,0)),""))</f>
        <v/>
      </c>
      <c r="R464" s="678" t="str">
        <f>IF($D464="","",SUM($G464)*SUM(INDEX(F_Tools!$T$101:$T$130,MATCH($D464,F_Tools!$E$101:$E$130,0))))</f>
        <v/>
      </c>
      <c r="S464" s="669" t="str">
        <f>IF($D464="","",SUM($G464)*SUM(INDEX(F_Tools!$U$101:$U$130,MATCH($D464,F_Tools!$E$101:$E$130,0))))</f>
        <v/>
      </c>
      <c r="T464" s="428"/>
      <c r="Z464" s="123"/>
      <c r="AB464" s="268" t="str">
        <f>CONST_PrecursorToGoodInput &amp; D464 &amp; "_" &amp; D450</f>
        <v>PrecToGood__</v>
      </c>
      <c r="AD464" s="269">
        <f>SUMIF(D_Processes!R:R,AB464,D_Processes!K:K)</f>
        <v>0</v>
      </c>
      <c r="AE464" s="268">
        <f>SUMIF(D_Processes!R:R,CONST_CNTR_TotProd &amp; D464,D_Processes!L:L)</f>
        <v>0</v>
      </c>
      <c r="AG464" s="102" t="b">
        <f t="shared" si="96"/>
        <v>0</v>
      </c>
    </row>
    <row r="465" spans="1:33" ht="12.75" customHeight="1" outlineLevel="1" x14ac:dyDescent="0.35">
      <c r="A465" s="92"/>
      <c r="B465" s="94"/>
      <c r="C465" s="978">
        <v>12</v>
      </c>
      <c r="D465" s="1417" t="str">
        <f>IF(D450="","",IF(COUNTIF(INDEX(CNTR_IOSupplyChain,MATCH(D450,CNTR_IOProcAndPrec,0),),C465)=0,"",INDEX(CNTR_IOProcAndPrec,MATCH(C465,INDEX(CNTR_IOSupplyChain,MATCH(D450,CNTR_IOProcAndPrec,0),),0))))</f>
        <v/>
      </c>
      <c r="E465" s="1418"/>
      <c r="F465" s="265" t="str">
        <f t="shared" si="95"/>
        <v/>
      </c>
      <c r="G465" s="266" t="str">
        <f>IF(D465="","",INDEX(CNTR_Matrix_Inv,MATCH(D450,CNTR_IOProcAndPrec,0),MATCH(D465,CNTR_IOProcAndPrec,0)))</f>
        <v/>
      </c>
      <c r="H465" s="286" t="str">
        <f>IF(D465="","",IF(AG465,INDEX(E_PurchPrec!U:U,MATCH(CONST_PurchPrecDefaultUsed&amp;D465,E_PurchPrec!R:R,0)),CONST_NA))</f>
        <v/>
      </c>
      <c r="I465" s="266" t="str">
        <f>IF($D465="","",SUM($G465)*SUM(INDEX(InputOutput!$AJ$71:$AJ$100,MATCH($D465,InputOutput!$D$71:$D$100,0))))</f>
        <v/>
      </c>
      <c r="J465" s="266" t="str">
        <f>IF($D465="","",SUM($G465)*SUM(INDEX(InputOutput!$AL$71:$AL$100,MATCH($D465,InputOutput!$D$71:$D$100,0))))</f>
        <v/>
      </c>
      <c r="K465" s="266" t="str">
        <f t="shared" si="93"/>
        <v/>
      </c>
      <c r="L465" s="267" t="str">
        <f>IF(D465="","",SUM(I465)*SUM(AD453))</f>
        <v/>
      </c>
      <c r="M465" s="267" t="str">
        <f>IF(D465="","",SUM(J465)*SUM(AD453))</f>
        <v/>
      </c>
      <c r="N465" s="267" t="str">
        <f t="shared" si="94"/>
        <v/>
      </c>
      <c r="O465" s="267" t="str">
        <f>IF(AG465,INDEX(E_PurchPrec!U:U,MATCH(CONST_CNTR_ElecEFMethod&amp;D465,E_PurchPrec!R:R,0)),INDEX(D_Processes!T:T,MATCH(CONST_CNTR_ElecEFMethod&amp;D465,D_Processes!R:R,0)))</f>
        <v/>
      </c>
      <c r="P465" s="266" t="str">
        <f>IF($D465="","",SUM($G465)*SUM(INDEX(InputOutput!$AN$71:$AN$100,MATCH($D465,InputOutput!$D$71:$D$100,0))))</f>
        <v/>
      </c>
      <c r="Q465" s="673" t="str">
        <f>IF(D465="","",IF(AG465,INDEX(A_InstData!$F$102:$F$121,MATCH(D465,CNTR_List_ExistPurchPrecNames,0)),""))</f>
        <v/>
      </c>
      <c r="R465" s="678" t="str">
        <f>IF($D465="","",SUM($G465)*SUM(INDEX(F_Tools!$T$101:$T$130,MATCH($D465,F_Tools!$E$101:$E$130,0))))</f>
        <v/>
      </c>
      <c r="S465" s="669" t="str">
        <f>IF($D465="","",SUM($G465)*SUM(INDEX(F_Tools!$U$101:$U$130,MATCH($D465,F_Tools!$E$101:$E$130,0))))</f>
        <v/>
      </c>
      <c r="T465" s="428"/>
      <c r="Z465" s="123"/>
      <c r="AB465" s="268" t="str">
        <f>CONST_PrecursorToGoodInput &amp; D465 &amp; "_" &amp; D450</f>
        <v>PrecToGood__</v>
      </c>
      <c r="AD465" s="269">
        <f>SUMIF(D_Processes!R:R,AB465,D_Processes!K:K)</f>
        <v>0</v>
      </c>
      <c r="AE465" s="268">
        <f>SUMIF(D_Processes!R:R,CONST_CNTR_TotProd &amp; D465,D_Processes!L:L)</f>
        <v>0</v>
      </c>
      <c r="AG465" s="102" t="b">
        <f t="shared" si="96"/>
        <v>0</v>
      </c>
    </row>
    <row r="466" spans="1:33" ht="12.75" customHeight="1" outlineLevel="1" x14ac:dyDescent="0.35">
      <c r="A466" s="92"/>
      <c r="B466" s="94"/>
      <c r="C466" s="978">
        <v>13</v>
      </c>
      <c r="D466" s="1417" t="str">
        <f>IF(D450="","",IF(COUNTIF(INDEX(CNTR_IOSupplyChain,MATCH(D450,CNTR_IOProcAndPrec,0),),C466)=0,"",INDEX(CNTR_IOProcAndPrec,MATCH(C466,INDEX(CNTR_IOSupplyChain,MATCH(D450,CNTR_IOProcAndPrec,0),),0))))</f>
        <v/>
      </c>
      <c r="E466" s="1418"/>
      <c r="F466" s="265" t="str">
        <f t="shared" si="95"/>
        <v/>
      </c>
      <c r="G466" s="266" t="str">
        <f>IF(D466="","",INDEX(CNTR_Matrix_Inv,MATCH(D450,CNTR_IOProcAndPrec,0),MATCH(D466,CNTR_IOProcAndPrec,0)))</f>
        <v/>
      </c>
      <c r="H466" s="286" t="str">
        <f>IF(D466="","",IF(AG466,INDEX(E_PurchPrec!U:U,MATCH(CONST_PurchPrecDefaultUsed&amp;D466,E_PurchPrec!R:R,0)),CONST_NA))</f>
        <v/>
      </c>
      <c r="I466" s="266" t="str">
        <f>IF($D466="","",SUM($G466)*SUM(INDEX(InputOutput!$AJ$71:$AJ$100,MATCH($D466,InputOutput!$D$71:$D$100,0))))</f>
        <v/>
      </c>
      <c r="J466" s="266" t="str">
        <f>IF($D466="","",SUM($G466)*SUM(INDEX(InputOutput!$AL$71:$AL$100,MATCH($D466,InputOutput!$D$71:$D$100,0))))</f>
        <v/>
      </c>
      <c r="K466" s="266" t="str">
        <f t="shared" si="93"/>
        <v/>
      </c>
      <c r="L466" s="267" t="str">
        <f>IF(D466="","",SUM(I466)*SUM(AD453))</f>
        <v/>
      </c>
      <c r="M466" s="267" t="str">
        <f>IF(D466="","",SUM(J466)*SUM(AD453))</f>
        <v/>
      </c>
      <c r="N466" s="267" t="str">
        <f t="shared" si="94"/>
        <v/>
      </c>
      <c r="O466" s="267" t="str">
        <f>IF(AG466,INDEX(E_PurchPrec!U:U,MATCH(CONST_CNTR_ElecEFMethod&amp;D466,E_PurchPrec!R:R,0)),INDEX(D_Processes!T:T,MATCH(CONST_CNTR_ElecEFMethod&amp;D466,D_Processes!R:R,0)))</f>
        <v/>
      </c>
      <c r="P466" s="266" t="str">
        <f>IF($D466="","",SUM($G466)*SUM(INDEX(InputOutput!$AN$71:$AN$100,MATCH($D466,InputOutput!$D$71:$D$100,0))))</f>
        <v/>
      </c>
      <c r="Q466" s="673" t="str">
        <f>IF(D466="","",IF(AG466,INDEX(A_InstData!$F$102:$F$121,MATCH(D466,CNTR_List_ExistPurchPrecNames,0)),""))</f>
        <v/>
      </c>
      <c r="R466" s="678" t="str">
        <f>IF($D466="","",SUM($G466)*SUM(INDEX(F_Tools!$T$101:$T$130,MATCH($D466,F_Tools!$E$101:$E$130,0))))</f>
        <v/>
      </c>
      <c r="S466" s="669" t="str">
        <f>IF($D466="","",SUM($G466)*SUM(INDEX(F_Tools!$U$101:$U$130,MATCH($D466,F_Tools!$E$101:$E$130,0))))</f>
        <v/>
      </c>
      <c r="T466" s="428"/>
      <c r="Z466" s="123"/>
      <c r="AB466" s="268" t="str">
        <f>CONST_PrecursorToGoodInput &amp; D466 &amp; "_" &amp; D450</f>
        <v>PrecToGood__</v>
      </c>
      <c r="AD466" s="269">
        <f>SUMIF(D_Processes!R:R,AB466,D_Processes!K:K)</f>
        <v>0</v>
      </c>
      <c r="AE466" s="268">
        <f>SUMIF(D_Processes!R:R,CONST_CNTR_TotProd &amp; D466,D_Processes!L:L)</f>
        <v>0</v>
      </c>
      <c r="AG466" s="102" t="b">
        <f t="shared" si="96"/>
        <v>0</v>
      </c>
    </row>
    <row r="467" spans="1:33" ht="12.75" customHeight="1" outlineLevel="1" x14ac:dyDescent="0.35">
      <c r="A467" s="92"/>
      <c r="B467" s="94"/>
      <c r="C467" s="978">
        <v>14</v>
      </c>
      <c r="D467" s="1417" t="str">
        <f>IF(D450="","",IF(COUNTIF(INDEX(CNTR_IOSupplyChain,MATCH(D450,CNTR_IOProcAndPrec,0),),C467)=0,"",INDEX(CNTR_IOProcAndPrec,MATCH(C467,INDEX(CNTR_IOSupplyChain,MATCH(D450,CNTR_IOProcAndPrec,0),),0))))</f>
        <v/>
      </c>
      <c r="E467" s="1418"/>
      <c r="F467" s="265" t="str">
        <f t="shared" si="95"/>
        <v/>
      </c>
      <c r="G467" s="266" t="str">
        <f>IF(D467="","",INDEX(CNTR_Matrix_Inv,MATCH(D450,CNTR_IOProcAndPrec,0),MATCH(D467,CNTR_IOProcAndPrec,0)))</f>
        <v/>
      </c>
      <c r="H467" s="286" t="str">
        <f>IF(D467="","",IF(AG467,INDEX(E_PurchPrec!U:U,MATCH(CONST_PurchPrecDefaultUsed&amp;D467,E_PurchPrec!R:R,0)),CONST_NA))</f>
        <v/>
      </c>
      <c r="I467" s="266" t="str">
        <f>IF($D467="","",SUM($G467)*SUM(INDEX(InputOutput!$AJ$71:$AJ$100,MATCH($D467,InputOutput!$D$71:$D$100,0))))</f>
        <v/>
      </c>
      <c r="J467" s="266" t="str">
        <f>IF($D467="","",SUM($G467)*SUM(INDEX(InputOutput!$AL$71:$AL$100,MATCH($D467,InputOutput!$D$71:$D$100,0))))</f>
        <v/>
      </c>
      <c r="K467" s="266" t="str">
        <f t="shared" si="93"/>
        <v/>
      </c>
      <c r="L467" s="267" t="str">
        <f>IF(D467="","",SUM(I467)*SUM(AD453))</f>
        <v/>
      </c>
      <c r="M467" s="267" t="str">
        <f>IF(D467="","",SUM(J467)*SUM(AD453))</f>
        <v/>
      </c>
      <c r="N467" s="267" t="str">
        <f t="shared" si="94"/>
        <v/>
      </c>
      <c r="O467" s="267" t="str">
        <f>IF(AG467,INDEX(E_PurchPrec!U:U,MATCH(CONST_CNTR_ElecEFMethod&amp;D467,E_PurchPrec!R:R,0)),INDEX(D_Processes!T:T,MATCH(CONST_CNTR_ElecEFMethod&amp;D467,D_Processes!R:R,0)))</f>
        <v/>
      </c>
      <c r="P467" s="266" t="str">
        <f>IF($D467="","",SUM($G467)*SUM(INDEX(InputOutput!$AN$71:$AN$100,MATCH($D467,InputOutput!$D$71:$D$100,0))))</f>
        <v/>
      </c>
      <c r="Q467" s="673" t="str">
        <f>IF(D467="","",IF(AG467,INDEX(A_InstData!$F$102:$F$121,MATCH(D467,CNTR_List_ExistPurchPrecNames,0)),""))</f>
        <v/>
      </c>
      <c r="R467" s="678" t="str">
        <f>IF($D467="","",SUM($G467)*SUM(INDEX(F_Tools!$T$101:$T$130,MATCH($D467,F_Tools!$E$101:$E$130,0))))</f>
        <v/>
      </c>
      <c r="S467" s="669" t="str">
        <f>IF($D467="","",SUM($G467)*SUM(INDEX(F_Tools!$U$101:$U$130,MATCH($D467,F_Tools!$E$101:$E$130,0))))</f>
        <v/>
      </c>
      <c r="T467" s="428"/>
      <c r="Z467" s="123"/>
      <c r="AB467" s="268" t="str">
        <f>CONST_PrecursorToGoodInput &amp; D467 &amp; "_" &amp; D450</f>
        <v>PrecToGood__</v>
      </c>
      <c r="AD467" s="269">
        <f>SUMIF(D_Processes!R:R,AB467,D_Processes!K:K)</f>
        <v>0</v>
      </c>
      <c r="AE467" s="268">
        <f>SUMIF(D_Processes!R:R,CONST_CNTR_TotProd &amp; D467,D_Processes!L:L)</f>
        <v>0</v>
      </c>
      <c r="AG467" s="102" t="b">
        <f t="shared" si="96"/>
        <v>0</v>
      </c>
    </row>
    <row r="468" spans="1:33" ht="12.75" customHeight="1" outlineLevel="1" x14ac:dyDescent="0.35">
      <c r="A468" s="92"/>
      <c r="B468" s="94"/>
      <c r="C468" s="978">
        <v>15</v>
      </c>
      <c r="D468" s="1417" t="str">
        <f>IF(D450="","",IF(COUNTIF(INDEX(CNTR_IOSupplyChain,MATCH(D450,CNTR_IOProcAndPrec,0),),C468)=0,"",INDEX(CNTR_IOProcAndPrec,MATCH(C468,INDEX(CNTR_IOSupplyChain,MATCH(D450,CNTR_IOProcAndPrec,0),),0))))</f>
        <v/>
      </c>
      <c r="E468" s="1418"/>
      <c r="F468" s="265" t="str">
        <f t="shared" si="95"/>
        <v/>
      </c>
      <c r="G468" s="266" t="str">
        <f>IF(D468="","",INDEX(CNTR_Matrix_Inv,MATCH(D450,CNTR_IOProcAndPrec,0),MATCH(D468,CNTR_IOProcAndPrec,0)))</f>
        <v/>
      </c>
      <c r="H468" s="286" t="str">
        <f>IF(D468="","",IF(AG468,INDEX(E_PurchPrec!U:U,MATCH(CONST_PurchPrecDefaultUsed&amp;D468,E_PurchPrec!R:R,0)),CONST_NA))</f>
        <v/>
      </c>
      <c r="I468" s="266" t="str">
        <f>IF($D468="","",SUM($G468)*SUM(INDEX(InputOutput!$AJ$71:$AJ$100,MATCH($D468,InputOutput!$D$71:$D$100,0))))</f>
        <v/>
      </c>
      <c r="J468" s="266" t="str">
        <f>IF($D468="","",SUM($G468)*SUM(INDEX(InputOutput!$AL$71:$AL$100,MATCH($D468,InputOutput!$D$71:$D$100,0))))</f>
        <v/>
      </c>
      <c r="K468" s="266" t="str">
        <f t="shared" si="93"/>
        <v/>
      </c>
      <c r="L468" s="267" t="str">
        <f>IF(D468="","",SUM(I468)*SUM(AD453))</f>
        <v/>
      </c>
      <c r="M468" s="267" t="str">
        <f>IF(D468="","",SUM(J468)*SUM(AD453))</f>
        <v/>
      </c>
      <c r="N468" s="267" t="str">
        <f t="shared" si="94"/>
        <v/>
      </c>
      <c r="O468" s="267" t="str">
        <f>IF(AG468,INDEX(E_PurchPrec!U:U,MATCH(CONST_CNTR_ElecEFMethod&amp;D468,E_PurchPrec!R:R,0)),INDEX(D_Processes!T:T,MATCH(CONST_CNTR_ElecEFMethod&amp;D468,D_Processes!R:R,0)))</f>
        <v/>
      </c>
      <c r="P468" s="266" t="str">
        <f>IF($D468="","",SUM($G468)*SUM(INDEX(InputOutput!$AN$71:$AN$100,MATCH($D468,InputOutput!$D$71:$D$100,0))))</f>
        <v/>
      </c>
      <c r="Q468" s="673" t="str">
        <f>IF(D468="","",IF(AG468,INDEX(A_InstData!$F$102:$F$121,MATCH(D468,CNTR_List_ExistPurchPrecNames,0)),""))</f>
        <v/>
      </c>
      <c r="R468" s="678" t="str">
        <f>IF($D468="","",SUM($G468)*SUM(INDEX(F_Tools!$T$101:$T$130,MATCH($D468,F_Tools!$E$101:$E$130,0))))</f>
        <v/>
      </c>
      <c r="S468" s="669" t="str">
        <f>IF($D468="","",SUM($G468)*SUM(INDEX(F_Tools!$U$101:$U$130,MATCH($D468,F_Tools!$E$101:$E$130,0))))</f>
        <v/>
      </c>
      <c r="T468" s="428"/>
      <c r="Z468" s="123"/>
      <c r="AB468" s="268" t="str">
        <f>CONST_PrecursorToGoodInput &amp; D468 &amp; "_" &amp; D450</f>
        <v>PrecToGood__</v>
      </c>
      <c r="AD468" s="269">
        <f>SUMIF(D_Processes!R:R,AB468,D_Processes!K:K)</f>
        <v>0</v>
      </c>
      <c r="AE468" s="268">
        <f>SUMIF(D_Processes!R:R,CONST_CNTR_TotProd &amp; D468,D_Processes!L:L)</f>
        <v>0</v>
      </c>
      <c r="AG468" s="102" t="b">
        <f t="shared" si="96"/>
        <v>0</v>
      </c>
    </row>
    <row r="469" spans="1:33" ht="12.75" customHeight="1" outlineLevel="1" x14ac:dyDescent="0.35">
      <c r="A469" s="92"/>
      <c r="B469" s="94"/>
      <c r="C469" s="978">
        <v>16</v>
      </c>
      <c r="D469" s="1417" t="str">
        <f>IF(D450="","",IF(COUNTIF(INDEX(CNTR_IOSupplyChain,MATCH(D450,CNTR_IOProcAndPrec,0),),C469)=0,"",INDEX(CNTR_IOProcAndPrec,MATCH(C469,INDEX(CNTR_IOSupplyChain,MATCH(D450,CNTR_IOProcAndPrec,0),),0))))</f>
        <v/>
      </c>
      <c r="E469" s="1418"/>
      <c r="F469" s="265" t="str">
        <f t="shared" si="95"/>
        <v/>
      </c>
      <c r="G469" s="266" t="str">
        <f>IF(D469="","",INDEX(CNTR_Matrix_Inv,MATCH(D450,CNTR_IOProcAndPrec,0),MATCH(D469,CNTR_IOProcAndPrec,0)))</f>
        <v/>
      </c>
      <c r="H469" s="286" t="str">
        <f>IF(D469="","",IF(AG469,INDEX(E_PurchPrec!U:U,MATCH(CONST_PurchPrecDefaultUsed&amp;D469,E_PurchPrec!R:R,0)),CONST_NA))</f>
        <v/>
      </c>
      <c r="I469" s="266" t="str">
        <f>IF($D469="","",SUM($G469)*SUM(INDEX(InputOutput!$AJ$71:$AJ$100,MATCH($D469,InputOutput!$D$71:$D$100,0))))</f>
        <v/>
      </c>
      <c r="J469" s="266" t="str">
        <f>IF($D469="","",SUM($G469)*SUM(INDEX(InputOutput!$AL$71:$AL$100,MATCH($D469,InputOutput!$D$71:$D$100,0))))</f>
        <v/>
      </c>
      <c r="K469" s="266" t="str">
        <f t="shared" si="93"/>
        <v/>
      </c>
      <c r="L469" s="267" t="str">
        <f>IF(D469="","",SUM(I469)*SUM(AD453))</f>
        <v/>
      </c>
      <c r="M469" s="267" t="str">
        <f>IF(D469="","",SUM(J469)*SUM(AD453))</f>
        <v/>
      </c>
      <c r="N469" s="267" t="str">
        <f t="shared" si="94"/>
        <v/>
      </c>
      <c r="O469" s="267" t="str">
        <f>IF(AG469,INDEX(E_PurchPrec!U:U,MATCH(CONST_CNTR_ElecEFMethod&amp;D469,E_PurchPrec!R:R,0)),INDEX(D_Processes!T:T,MATCH(CONST_CNTR_ElecEFMethod&amp;D469,D_Processes!R:R,0)))</f>
        <v/>
      </c>
      <c r="P469" s="266" t="str">
        <f>IF($D469="","",SUM($G469)*SUM(INDEX(InputOutput!$AN$71:$AN$100,MATCH($D469,InputOutput!$D$71:$D$100,0))))</f>
        <v/>
      </c>
      <c r="Q469" s="673" t="str">
        <f>IF(D469="","",IF(AG469,INDEX(A_InstData!$F$102:$F$121,MATCH(D469,CNTR_List_ExistPurchPrecNames,0)),""))</f>
        <v/>
      </c>
      <c r="R469" s="678" t="str">
        <f>IF($D469="","",SUM($G469)*SUM(INDEX(F_Tools!$T$101:$T$130,MATCH($D469,F_Tools!$E$101:$E$130,0))))</f>
        <v/>
      </c>
      <c r="S469" s="669" t="str">
        <f>IF($D469="","",SUM($G469)*SUM(INDEX(F_Tools!$U$101:$U$130,MATCH($D469,F_Tools!$E$101:$E$130,0))))</f>
        <v/>
      </c>
      <c r="T469" s="428"/>
      <c r="Z469" s="123"/>
      <c r="AB469" s="268" t="str">
        <f>CONST_PrecursorToGoodInput &amp; D469 &amp; "_" &amp; D450</f>
        <v>PrecToGood__</v>
      </c>
      <c r="AD469" s="269">
        <f>SUMIF(D_Processes!R:R,AB469,D_Processes!K:K)</f>
        <v>0</v>
      </c>
      <c r="AE469" s="268">
        <f>SUMIF(D_Processes!R:R,CONST_CNTR_TotProd &amp; D469,D_Processes!L:L)</f>
        <v>0</v>
      </c>
      <c r="AG469" s="102" t="b">
        <f t="shared" si="96"/>
        <v>0</v>
      </c>
    </row>
    <row r="470" spans="1:33" ht="12.75" customHeight="1" outlineLevel="1" x14ac:dyDescent="0.35">
      <c r="A470" s="92"/>
      <c r="B470" s="94"/>
      <c r="C470" s="978">
        <v>17</v>
      </c>
      <c r="D470" s="1417" t="str">
        <f>IF(D450="","",IF(COUNTIF(INDEX(CNTR_IOSupplyChain,MATCH(D450,CNTR_IOProcAndPrec,0),),C470)=0,"",INDEX(CNTR_IOProcAndPrec,MATCH(C470,INDEX(CNTR_IOSupplyChain,MATCH(D450,CNTR_IOProcAndPrec,0),),0))))</f>
        <v/>
      </c>
      <c r="E470" s="1418"/>
      <c r="F470" s="265" t="str">
        <f t="shared" si="95"/>
        <v/>
      </c>
      <c r="G470" s="266" t="str">
        <f>IF(D470="","",INDEX(CNTR_Matrix_Inv,MATCH(D450,CNTR_IOProcAndPrec,0),MATCH(D470,CNTR_IOProcAndPrec,0)))</f>
        <v/>
      </c>
      <c r="H470" s="286" t="str">
        <f>IF(D470="","",IF(AG470,INDEX(E_PurchPrec!U:U,MATCH(CONST_PurchPrecDefaultUsed&amp;D470,E_PurchPrec!R:R,0)),CONST_NA))</f>
        <v/>
      </c>
      <c r="I470" s="266" t="str">
        <f>IF($D470="","",SUM($G470)*SUM(INDEX(InputOutput!$AJ$71:$AJ$100,MATCH($D470,InputOutput!$D$71:$D$100,0))))</f>
        <v/>
      </c>
      <c r="J470" s="266" t="str">
        <f>IF($D470="","",SUM($G470)*SUM(INDEX(InputOutput!$AL$71:$AL$100,MATCH($D470,InputOutput!$D$71:$D$100,0))))</f>
        <v/>
      </c>
      <c r="K470" s="266" t="str">
        <f t="shared" si="93"/>
        <v/>
      </c>
      <c r="L470" s="267" t="str">
        <f>IF(D470="","",SUM(I470)*SUM(AD453))</f>
        <v/>
      </c>
      <c r="M470" s="267" t="str">
        <f>IF(D470="","",SUM(J470)*SUM(AD453))</f>
        <v/>
      </c>
      <c r="N470" s="267" t="str">
        <f t="shared" si="94"/>
        <v/>
      </c>
      <c r="O470" s="267" t="str">
        <f>IF(AG470,INDEX(E_PurchPrec!U:U,MATCH(CONST_CNTR_ElecEFMethod&amp;D470,E_PurchPrec!R:R,0)),INDEX(D_Processes!T:T,MATCH(CONST_CNTR_ElecEFMethod&amp;D470,D_Processes!R:R,0)))</f>
        <v/>
      </c>
      <c r="P470" s="266" t="str">
        <f>IF($D470="","",SUM($G470)*SUM(INDEX(InputOutput!$AN$71:$AN$100,MATCH($D470,InputOutput!$D$71:$D$100,0))))</f>
        <v/>
      </c>
      <c r="Q470" s="673" t="str">
        <f>IF(D470="","",IF(AG470,INDEX(A_InstData!$F$102:$F$121,MATCH(D470,CNTR_List_ExistPurchPrecNames,0)),""))</f>
        <v/>
      </c>
      <c r="R470" s="678" t="str">
        <f>IF($D470="","",SUM($G470)*SUM(INDEX(F_Tools!$T$101:$T$130,MATCH($D470,F_Tools!$E$101:$E$130,0))))</f>
        <v/>
      </c>
      <c r="S470" s="669" t="str">
        <f>IF($D470="","",SUM($G470)*SUM(INDEX(F_Tools!$U$101:$U$130,MATCH($D470,F_Tools!$E$101:$E$130,0))))</f>
        <v/>
      </c>
      <c r="T470" s="428"/>
      <c r="Z470" s="123"/>
      <c r="AB470" s="268" t="str">
        <f>CONST_PrecursorToGoodInput &amp; D470 &amp; "_" &amp; D450</f>
        <v>PrecToGood__</v>
      </c>
      <c r="AD470" s="269">
        <f>SUMIF(D_Processes!R:R,AB470,D_Processes!K:K)</f>
        <v>0</v>
      </c>
      <c r="AE470" s="268">
        <f>SUMIF(D_Processes!R:R,CONST_CNTR_TotProd &amp; D470,D_Processes!L:L)</f>
        <v>0</v>
      </c>
      <c r="AG470" s="102" t="b">
        <f t="shared" si="96"/>
        <v>0</v>
      </c>
    </row>
    <row r="471" spans="1:33" ht="12.75" customHeight="1" outlineLevel="1" x14ac:dyDescent="0.35">
      <c r="A471" s="92"/>
      <c r="B471" s="94"/>
      <c r="C471" s="978">
        <v>18</v>
      </c>
      <c r="D471" s="1417" t="str">
        <f>IF(D450="","",IF(COUNTIF(INDEX(CNTR_IOSupplyChain,MATCH(D450,CNTR_IOProcAndPrec,0),),C471)=0,"",INDEX(CNTR_IOProcAndPrec,MATCH(C471,INDEX(CNTR_IOSupplyChain,MATCH(D450,CNTR_IOProcAndPrec,0),),0))))</f>
        <v/>
      </c>
      <c r="E471" s="1418"/>
      <c r="F471" s="265" t="str">
        <f t="shared" si="95"/>
        <v/>
      </c>
      <c r="G471" s="266" t="str">
        <f>IF(D471="","",INDEX(CNTR_Matrix_Inv,MATCH(D450,CNTR_IOProcAndPrec,0),MATCH(D471,CNTR_IOProcAndPrec,0)))</f>
        <v/>
      </c>
      <c r="H471" s="286" t="str">
        <f>IF(D471="","",IF(AG471,INDEX(E_PurchPrec!U:U,MATCH(CONST_PurchPrecDefaultUsed&amp;D471,E_PurchPrec!R:R,0)),CONST_NA))</f>
        <v/>
      </c>
      <c r="I471" s="266" t="str">
        <f>IF($D471="","",SUM($G471)*SUM(INDEX(InputOutput!$AJ$71:$AJ$100,MATCH($D471,InputOutput!$D$71:$D$100,0))))</f>
        <v/>
      </c>
      <c r="J471" s="266" t="str">
        <f>IF($D471="","",SUM($G471)*SUM(INDEX(InputOutput!$AL$71:$AL$100,MATCH($D471,InputOutput!$D$71:$D$100,0))))</f>
        <v/>
      </c>
      <c r="K471" s="266" t="str">
        <f t="shared" si="93"/>
        <v/>
      </c>
      <c r="L471" s="267" t="str">
        <f>IF(D471="","",SUM(I471)*SUM(AD453))</f>
        <v/>
      </c>
      <c r="M471" s="267" t="str">
        <f>IF(D471="","",SUM(J471)*SUM(AD453))</f>
        <v/>
      </c>
      <c r="N471" s="267" t="str">
        <f t="shared" si="94"/>
        <v/>
      </c>
      <c r="O471" s="267" t="str">
        <f>IF(AG471,INDEX(E_PurchPrec!U:U,MATCH(CONST_CNTR_ElecEFMethod&amp;D471,E_PurchPrec!R:R,0)),INDEX(D_Processes!T:T,MATCH(CONST_CNTR_ElecEFMethod&amp;D471,D_Processes!R:R,0)))</f>
        <v/>
      </c>
      <c r="P471" s="266" t="str">
        <f>IF($D471="","",SUM($G471)*SUM(INDEX(InputOutput!$AN$71:$AN$100,MATCH($D471,InputOutput!$D$71:$D$100,0))))</f>
        <v/>
      </c>
      <c r="Q471" s="673" t="str">
        <f>IF(D471="","",IF(AG471,INDEX(A_InstData!$F$102:$F$121,MATCH(D471,CNTR_List_ExistPurchPrecNames,0)),""))</f>
        <v/>
      </c>
      <c r="R471" s="678" t="str">
        <f>IF($D471="","",SUM($G471)*SUM(INDEX(F_Tools!$T$101:$T$130,MATCH($D471,F_Tools!$E$101:$E$130,0))))</f>
        <v/>
      </c>
      <c r="S471" s="669" t="str">
        <f>IF($D471="","",SUM($G471)*SUM(INDEX(F_Tools!$U$101:$U$130,MATCH($D471,F_Tools!$E$101:$E$130,0))))</f>
        <v/>
      </c>
      <c r="T471" s="428"/>
      <c r="Z471" s="123"/>
      <c r="AB471" s="268" t="str">
        <f>CONST_PrecursorToGoodInput &amp; D471 &amp; "_" &amp; D450</f>
        <v>PrecToGood__</v>
      </c>
      <c r="AD471" s="269">
        <f>SUMIF(D_Processes!R:R,AB471,D_Processes!K:K)</f>
        <v>0</v>
      </c>
      <c r="AE471" s="268">
        <f>SUMIF(D_Processes!R:R,CONST_CNTR_TotProd &amp; D471,D_Processes!L:L)</f>
        <v>0</v>
      </c>
      <c r="AG471" s="102" t="b">
        <f t="shared" si="96"/>
        <v>0</v>
      </c>
    </row>
    <row r="472" spans="1:33" ht="12.75" customHeight="1" outlineLevel="1" x14ac:dyDescent="0.35">
      <c r="A472" s="92"/>
      <c r="B472" s="94"/>
      <c r="C472" s="978">
        <v>19</v>
      </c>
      <c r="D472" s="1417" t="str">
        <f>IF(D450="","",IF(COUNTIF(INDEX(CNTR_IOSupplyChain,MATCH(D450,CNTR_IOProcAndPrec,0),),C472)=0,"",INDEX(CNTR_IOProcAndPrec,MATCH(C472,INDEX(CNTR_IOSupplyChain,MATCH(D450,CNTR_IOProcAndPrec,0),),0))))</f>
        <v/>
      </c>
      <c r="E472" s="1418"/>
      <c r="F472" s="265" t="str">
        <f t="shared" si="95"/>
        <v/>
      </c>
      <c r="G472" s="266" t="str">
        <f>IF(D472="","",INDEX(CNTR_Matrix_Inv,MATCH(D450,CNTR_IOProcAndPrec,0),MATCH(D472,CNTR_IOProcAndPrec,0)))</f>
        <v/>
      </c>
      <c r="H472" s="286" t="str">
        <f>IF(D472="","",IF(AG472,INDEX(E_PurchPrec!U:U,MATCH(CONST_PurchPrecDefaultUsed&amp;D472,E_PurchPrec!R:R,0)),CONST_NA))</f>
        <v/>
      </c>
      <c r="I472" s="266" t="str">
        <f>IF($D472="","",SUM($G472)*SUM(INDEX(InputOutput!$AJ$71:$AJ$100,MATCH($D472,InputOutput!$D$71:$D$100,0))))</f>
        <v/>
      </c>
      <c r="J472" s="266" t="str">
        <f>IF($D472="","",SUM($G472)*SUM(INDEX(InputOutput!$AL$71:$AL$100,MATCH($D472,InputOutput!$D$71:$D$100,0))))</f>
        <v/>
      </c>
      <c r="K472" s="266" t="str">
        <f t="shared" si="93"/>
        <v/>
      </c>
      <c r="L472" s="267" t="str">
        <f>IF(D472="","",SUM(I472)*SUM(AD453))</f>
        <v/>
      </c>
      <c r="M472" s="267" t="str">
        <f>IF(D472="","",SUM(J472)*SUM(AD453))</f>
        <v/>
      </c>
      <c r="N472" s="267" t="str">
        <f t="shared" si="94"/>
        <v/>
      </c>
      <c r="O472" s="267" t="str">
        <f>IF(AG472,INDEX(E_PurchPrec!U:U,MATCH(CONST_CNTR_ElecEFMethod&amp;D472,E_PurchPrec!R:R,0)),INDEX(D_Processes!T:T,MATCH(CONST_CNTR_ElecEFMethod&amp;D472,D_Processes!R:R,0)))</f>
        <v/>
      </c>
      <c r="P472" s="266" t="str">
        <f>IF($D472="","",SUM($G472)*SUM(INDEX(InputOutput!$AN$71:$AN$100,MATCH($D472,InputOutput!$D$71:$D$100,0))))</f>
        <v/>
      </c>
      <c r="Q472" s="673" t="str">
        <f>IF(D472="","",IF(AG472,INDEX(A_InstData!$F$102:$F$121,MATCH(D472,CNTR_List_ExistPurchPrecNames,0)),""))</f>
        <v/>
      </c>
      <c r="R472" s="678" t="str">
        <f>IF($D472="","",SUM($G472)*SUM(INDEX(F_Tools!$T$101:$T$130,MATCH($D472,F_Tools!$E$101:$E$130,0))))</f>
        <v/>
      </c>
      <c r="S472" s="669" t="str">
        <f>IF($D472="","",SUM($G472)*SUM(INDEX(F_Tools!$U$101:$U$130,MATCH($D472,F_Tools!$E$101:$E$130,0))))</f>
        <v/>
      </c>
      <c r="T472" s="428"/>
      <c r="Z472" s="123"/>
      <c r="AB472" s="268" t="str">
        <f>CONST_PrecursorToGoodInput &amp; D472 &amp; "_" &amp; D450</f>
        <v>PrecToGood__</v>
      </c>
      <c r="AD472" s="269">
        <f>SUMIF(D_Processes!R:R,AB472,D_Processes!K:K)</f>
        <v>0</v>
      </c>
      <c r="AE472" s="268">
        <f>SUMIF(D_Processes!R:R,CONST_CNTR_TotProd &amp; D472,D_Processes!L:L)</f>
        <v>0</v>
      </c>
      <c r="AG472" s="102" t="b">
        <f t="shared" si="96"/>
        <v>0</v>
      </c>
    </row>
    <row r="473" spans="1:33" ht="12.75" customHeight="1" outlineLevel="1" x14ac:dyDescent="0.35">
      <c r="A473" s="92"/>
      <c r="B473" s="94"/>
      <c r="C473" s="978">
        <v>20</v>
      </c>
      <c r="D473" s="1417" t="str">
        <f>IF(D450="","",IF(COUNTIF(INDEX(CNTR_IOSupplyChain,MATCH(D450,CNTR_IOProcAndPrec,0),),C473)=0,"",INDEX(CNTR_IOProcAndPrec,MATCH(C473,INDEX(CNTR_IOSupplyChain,MATCH(D450,CNTR_IOProcAndPrec,0),),0))))</f>
        <v/>
      </c>
      <c r="E473" s="1418"/>
      <c r="F473" s="265" t="str">
        <f t="shared" si="95"/>
        <v/>
      </c>
      <c r="G473" s="266" t="str">
        <f>IF(D473="","",INDEX(CNTR_Matrix_Inv,MATCH(D450,CNTR_IOProcAndPrec,0),MATCH(D473,CNTR_IOProcAndPrec,0)))</f>
        <v/>
      </c>
      <c r="H473" s="286" t="str">
        <f>IF(D473="","",IF(AG473,INDEX(E_PurchPrec!U:U,MATCH(CONST_PurchPrecDefaultUsed&amp;D473,E_PurchPrec!R:R,0)),CONST_NA))</f>
        <v/>
      </c>
      <c r="I473" s="266" t="str">
        <f>IF($D473="","",SUM($G473)*SUM(INDEX(InputOutput!$AJ$71:$AJ$100,MATCH($D473,InputOutput!$D$71:$D$100,0))))</f>
        <v/>
      </c>
      <c r="J473" s="266" t="str">
        <f>IF($D473="","",SUM($G473)*SUM(INDEX(InputOutput!$AL$71:$AL$100,MATCH($D473,InputOutput!$D$71:$D$100,0))))</f>
        <v/>
      </c>
      <c r="K473" s="266" t="str">
        <f t="shared" si="93"/>
        <v/>
      </c>
      <c r="L473" s="267" t="str">
        <f>IF(D473="","",SUM(I473)*SUM(AD453))</f>
        <v/>
      </c>
      <c r="M473" s="267" t="str">
        <f>IF(D473="","",SUM(J473)*SUM(AD453))</f>
        <v/>
      </c>
      <c r="N473" s="267" t="str">
        <f t="shared" si="94"/>
        <v/>
      </c>
      <c r="O473" s="267" t="str">
        <f>IF(AG473,INDEX(E_PurchPrec!U:U,MATCH(CONST_CNTR_ElecEFMethod&amp;D473,E_PurchPrec!R:R,0)),INDEX(D_Processes!T:T,MATCH(CONST_CNTR_ElecEFMethod&amp;D473,D_Processes!R:R,0)))</f>
        <v/>
      </c>
      <c r="P473" s="266" t="str">
        <f>IF($D473="","",SUM($G473)*SUM(INDEX(InputOutput!$AN$71:$AN$100,MATCH($D473,InputOutput!$D$71:$D$100,0))))</f>
        <v/>
      </c>
      <c r="Q473" s="673" t="str">
        <f>IF(D473="","",IF(AG473,INDEX(A_InstData!$F$102:$F$121,MATCH(D473,CNTR_List_ExistPurchPrecNames,0)),""))</f>
        <v/>
      </c>
      <c r="R473" s="678" t="str">
        <f>IF($D473="","",SUM($G473)*SUM(INDEX(F_Tools!$T$101:$T$130,MATCH($D473,F_Tools!$E$101:$E$130,0))))</f>
        <v/>
      </c>
      <c r="S473" s="669" t="str">
        <f>IF($D473="","",SUM($G473)*SUM(INDEX(F_Tools!$U$101:$U$130,MATCH($D473,F_Tools!$E$101:$E$130,0))))</f>
        <v/>
      </c>
      <c r="T473" s="428"/>
      <c r="Z473" s="123"/>
      <c r="AB473" s="268" t="str">
        <f>CONST_PrecursorToGoodInput &amp; D473 &amp; "_" &amp; D450</f>
        <v>PrecToGood__</v>
      </c>
      <c r="AD473" s="269">
        <f>SUMIF(D_Processes!R:R,AB473,D_Processes!K:K)</f>
        <v>0</v>
      </c>
      <c r="AE473" s="268">
        <f>SUMIF(D_Processes!R:R,CONST_CNTR_TotProd &amp; D473,D_Processes!L:L)</f>
        <v>0</v>
      </c>
      <c r="AG473" s="102" t="b">
        <f t="shared" si="96"/>
        <v>0</v>
      </c>
    </row>
    <row r="474" spans="1:33" ht="12.75" customHeight="1" outlineLevel="1" x14ac:dyDescent="0.35">
      <c r="A474" s="92"/>
      <c r="B474" s="94"/>
      <c r="C474" s="978">
        <v>21</v>
      </c>
      <c r="D474" s="1417" t="str">
        <f>IF(D450="","",IF(COUNTIF(INDEX(CNTR_IOSupplyChain,MATCH(D450,CNTR_IOProcAndPrec,0),),C474)=0,"",INDEX(CNTR_IOProcAndPrec,MATCH(C474,INDEX(CNTR_IOSupplyChain,MATCH(D450,CNTR_IOProcAndPrec,0),),0))))</f>
        <v/>
      </c>
      <c r="E474" s="1418"/>
      <c r="F474" s="265" t="str">
        <f t="shared" si="95"/>
        <v/>
      </c>
      <c r="G474" s="266" t="str">
        <f>IF(D474="","",INDEX(CNTR_Matrix_Inv,MATCH(D450,CNTR_IOProcAndPrec,0),MATCH(D474,CNTR_IOProcAndPrec,0)))</f>
        <v/>
      </c>
      <c r="H474" s="286" t="str">
        <f>IF(D474="","",IF(AG474,INDEX(E_PurchPrec!U:U,MATCH(CONST_PurchPrecDefaultUsed&amp;D474,E_PurchPrec!R:R,0)),CONST_NA))</f>
        <v/>
      </c>
      <c r="I474" s="266" t="str">
        <f>IF($D474="","",SUM($G474)*SUM(INDEX(InputOutput!$AJ$71:$AJ$100,MATCH($D474,InputOutput!$D$71:$D$100,0))))</f>
        <v/>
      </c>
      <c r="J474" s="266" t="str">
        <f>IF($D474="","",SUM($G474)*SUM(INDEX(InputOutput!$AL$71:$AL$100,MATCH($D474,InputOutput!$D$71:$D$100,0))))</f>
        <v/>
      </c>
      <c r="K474" s="266" t="str">
        <f t="shared" si="93"/>
        <v/>
      </c>
      <c r="L474" s="267" t="str">
        <f>IF(D474="","",SUM(I474)*SUM(AD453))</f>
        <v/>
      </c>
      <c r="M474" s="267" t="str">
        <f>IF(D474="","",SUM(J474)*SUM(AD453))</f>
        <v/>
      </c>
      <c r="N474" s="267" t="str">
        <f t="shared" si="94"/>
        <v/>
      </c>
      <c r="O474" s="267" t="str">
        <f>IF(AG474,INDEX(E_PurchPrec!U:U,MATCH(CONST_CNTR_ElecEFMethod&amp;D474,E_PurchPrec!R:R,0)),INDEX(D_Processes!T:T,MATCH(CONST_CNTR_ElecEFMethod&amp;D474,D_Processes!R:R,0)))</f>
        <v/>
      </c>
      <c r="P474" s="266" t="str">
        <f>IF($D474="","",SUM($G474)*SUM(INDEX(InputOutput!$AN$71:$AN$100,MATCH($D474,InputOutput!$D$71:$D$100,0))))</f>
        <v/>
      </c>
      <c r="Q474" s="673" t="str">
        <f>IF(D474="","",IF(AG474,INDEX(A_InstData!$F$102:$F$121,MATCH(D474,CNTR_List_ExistPurchPrecNames,0)),""))</f>
        <v/>
      </c>
      <c r="R474" s="678" t="str">
        <f>IF($D474="","",SUM($G474)*SUM(INDEX(F_Tools!$T$101:$T$130,MATCH($D474,F_Tools!$E$101:$E$130,0))))</f>
        <v/>
      </c>
      <c r="S474" s="669" t="str">
        <f>IF($D474="","",SUM($G474)*SUM(INDEX(F_Tools!$U$101:$U$130,MATCH($D474,F_Tools!$E$101:$E$130,0))))</f>
        <v/>
      </c>
      <c r="T474" s="428"/>
      <c r="Z474" s="123"/>
      <c r="AB474" s="268" t="str">
        <f>CONST_PrecursorToGoodInput &amp; D474 &amp; "_" &amp; D450</f>
        <v>PrecToGood__</v>
      </c>
      <c r="AD474" s="269">
        <f>SUMIF(D_Processes!R:R,AB474,D_Processes!K:K)</f>
        <v>0</v>
      </c>
      <c r="AE474" s="268">
        <f>SUMIF(D_Processes!R:R,CONST_CNTR_TotProd &amp; D474,D_Processes!L:L)</f>
        <v>0</v>
      </c>
      <c r="AG474" s="102" t="b">
        <f t="shared" si="96"/>
        <v>0</v>
      </c>
    </row>
    <row r="475" spans="1:33" ht="12.75" customHeight="1" outlineLevel="1" x14ac:dyDescent="0.35">
      <c r="A475" s="92"/>
      <c r="B475" s="94"/>
      <c r="C475" s="978">
        <v>22</v>
      </c>
      <c r="D475" s="1417" t="str">
        <f>IF(D450="","",IF(COUNTIF(INDEX(CNTR_IOSupplyChain,MATCH(D450,CNTR_IOProcAndPrec,0),),C475)=0,"",INDEX(CNTR_IOProcAndPrec,MATCH(C475,INDEX(CNTR_IOSupplyChain,MATCH(D450,CNTR_IOProcAndPrec,0),),0))))</f>
        <v/>
      </c>
      <c r="E475" s="1418"/>
      <c r="F475" s="265" t="str">
        <f t="shared" si="95"/>
        <v/>
      </c>
      <c r="G475" s="266" t="str">
        <f>IF(D475="","",INDEX(CNTR_Matrix_Inv,MATCH(D450,CNTR_IOProcAndPrec,0),MATCH(D475,CNTR_IOProcAndPrec,0)))</f>
        <v/>
      </c>
      <c r="H475" s="286" t="str">
        <f>IF(D475="","",IF(AG475,INDEX(E_PurchPrec!U:U,MATCH(CONST_PurchPrecDefaultUsed&amp;D475,E_PurchPrec!R:R,0)),CONST_NA))</f>
        <v/>
      </c>
      <c r="I475" s="266" t="str">
        <f>IF($D475="","",SUM($G475)*SUM(INDEX(InputOutput!$AJ$71:$AJ$100,MATCH($D475,InputOutput!$D$71:$D$100,0))))</f>
        <v/>
      </c>
      <c r="J475" s="266" t="str">
        <f>IF($D475="","",SUM($G475)*SUM(INDEX(InputOutput!$AL$71:$AL$100,MATCH($D475,InputOutput!$D$71:$D$100,0))))</f>
        <v/>
      </c>
      <c r="K475" s="266" t="str">
        <f t="shared" si="93"/>
        <v/>
      </c>
      <c r="L475" s="267" t="str">
        <f>IF(D475="","",SUM(I475)*SUM(AD453))</f>
        <v/>
      </c>
      <c r="M475" s="267" t="str">
        <f>IF(D475="","",SUM(J475)*SUM(AD453))</f>
        <v/>
      </c>
      <c r="N475" s="267" t="str">
        <f t="shared" si="94"/>
        <v/>
      </c>
      <c r="O475" s="267" t="str">
        <f>IF(AG475,INDEX(E_PurchPrec!U:U,MATCH(CONST_CNTR_ElecEFMethod&amp;D475,E_PurchPrec!R:R,0)),INDEX(D_Processes!T:T,MATCH(CONST_CNTR_ElecEFMethod&amp;D475,D_Processes!R:R,0)))</f>
        <v/>
      </c>
      <c r="P475" s="266" t="str">
        <f>IF($D475="","",SUM($G475)*SUM(INDEX(InputOutput!$AN$71:$AN$100,MATCH($D475,InputOutput!$D$71:$D$100,0))))</f>
        <v/>
      </c>
      <c r="Q475" s="673" t="str">
        <f>IF(D475="","",IF(AG475,INDEX(A_InstData!$F$102:$F$121,MATCH(D475,CNTR_List_ExistPurchPrecNames,0)),""))</f>
        <v/>
      </c>
      <c r="R475" s="678" t="str">
        <f>IF($D475="","",SUM($G475)*SUM(INDEX(F_Tools!$T$101:$T$130,MATCH($D475,F_Tools!$E$101:$E$130,0))))</f>
        <v/>
      </c>
      <c r="S475" s="669" t="str">
        <f>IF($D475="","",SUM($G475)*SUM(INDEX(F_Tools!$U$101:$U$130,MATCH($D475,F_Tools!$E$101:$E$130,0))))</f>
        <v/>
      </c>
      <c r="T475" s="428"/>
      <c r="Z475" s="123"/>
      <c r="AB475" s="268" t="str">
        <f>CONST_PrecursorToGoodInput &amp; D475 &amp; "_" &amp; D450</f>
        <v>PrecToGood__</v>
      </c>
      <c r="AD475" s="269">
        <f>SUMIF(D_Processes!R:R,AB475,D_Processes!K:K)</f>
        <v>0</v>
      </c>
      <c r="AE475" s="268">
        <f>SUMIF(D_Processes!R:R,CONST_CNTR_TotProd &amp; D475,D_Processes!L:L)</f>
        <v>0</v>
      </c>
      <c r="AG475" s="102" t="b">
        <f t="shared" si="96"/>
        <v>0</v>
      </c>
    </row>
    <row r="476" spans="1:33" ht="12.75" customHeight="1" outlineLevel="1" x14ac:dyDescent="0.35">
      <c r="A476" s="92"/>
      <c r="B476" s="94"/>
      <c r="C476" s="978">
        <v>23</v>
      </c>
      <c r="D476" s="1417" t="str">
        <f>IF(D450="","",IF(COUNTIF(INDEX(CNTR_IOSupplyChain,MATCH(D450,CNTR_IOProcAndPrec,0),),C476)=0,"",INDEX(CNTR_IOProcAndPrec,MATCH(C476,INDEX(CNTR_IOSupplyChain,MATCH(D450,CNTR_IOProcAndPrec,0),),0))))</f>
        <v/>
      </c>
      <c r="E476" s="1418"/>
      <c r="F476" s="265" t="str">
        <f t="shared" si="95"/>
        <v/>
      </c>
      <c r="G476" s="266" t="str">
        <f>IF(D476="","",INDEX(CNTR_Matrix_Inv,MATCH(D450,CNTR_IOProcAndPrec,0),MATCH(D476,CNTR_IOProcAndPrec,0)))</f>
        <v/>
      </c>
      <c r="H476" s="286" t="str">
        <f>IF(D476="","",IF(AG476,INDEX(E_PurchPrec!U:U,MATCH(CONST_PurchPrecDefaultUsed&amp;D476,E_PurchPrec!R:R,0)),CONST_NA))</f>
        <v/>
      </c>
      <c r="I476" s="266" t="str">
        <f>IF($D476="","",SUM($G476)*SUM(INDEX(InputOutput!$AJ$71:$AJ$100,MATCH($D476,InputOutput!$D$71:$D$100,0))))</f>
        <v/>
      </c>
      <c r="J476" s="266" t="str">
        <f>IF($D476="","",SUM($G476)*SUM(INDEX(InputOutput!$AL$71:$AL$100,MATCH($D476,InputOutput!$D$71:$D$100,0))))</f>
        <v/>
      </c>
      <c r="K476" s="266" t="str">
        <f t="shared" si="93"/>
        <v/>
      </c>
      <c r="L476" s="267" t="str">
        <f>IF(D476="","",SUM(I476)*SUM(AD453))</f>
        <v/>
      </c>
      <c r="M476" s="267" t="str">
        <f>IF(D476="","",SUM(J476)*SUM(AD453))</f>
        <v/>
      </c>
      <c r="N476" s="267" t="str">
        <f t="shared" si="94"/>
        <v/>
      </c>
      <c r="O476" s="267" t="str">
        <f>IF(AG476,INDEX(E_PurchPrec!U:U,MATCH(CONST_CNTR_ElecEFMethod&amp;D476,E_PurchPrec!R:R,0)),INDEX(D_Processes!T:T,MATCH(CONST_CNTR_ElecEFMethod&amp;D476,D_Processes!R:R,0)))</f>
        <v/>
      </c>
      <c r="P476" s="266" t="str">
        <f>IF($D476="","",SUM($G476)*SUM(INDEX(InputOutput!$AN$71:$AN$100,MATCH($D476,InputOutput!$D$71:$D$100,0))))</f>
        <v/>
      </c>
      <c r="Q476" s="673" t="str">
        <f>IF(D476="","",IF(AG476,INDEX(A_InstData!$F$102:$F$121,MATCH(D476,CNTR_List_ExistPurchPrecNames,0)),""))</f>
        <v/>
      </c>
      <c r="R476" s="678" t="str">
        <f>IF($D476="","",SUM($G476)*SUM(INDEX(F_Tools!$T$101:$T$130,MATCH($D476,F_Tools!$E$101:$E$130,0))))</f>
        <v/>
      </c>
      <c r="S476" s="669" t="str">
        <f>IF($D476="","",SUM($G476)*SUM(INDEX(F_Tools!$U$101:$U$130,MATCH($D476,F_Tools!$E$101:$E$130,0))))</f>
        <v/>
      </c>
      <c r="T476" s="428"/>
      <c r="Z476" s="123"/>
      <c r="AB476" s="268" t="str">
        <f>CONST_PrecursorToGoodInput &amp; D476 &amp; "_" &amp; D450</f>
        <v>PrecToGood__</v>
      </c>
      <c r="AD476" s="269">
        <f>SUMIF(D_Processes!R:R,AB476,D_Processes!K:K)</f>
        <v>0</v>
      </c>
      <c r="AE476" s="268">
        <f>SUMIF(D_Processes!R:R,CONST_CNTR_TotProd &amp; D476,D_Processes!L:L)</f>
        <v>0</v>
      </c>
      <c r="AG476" s="102" t="b">
        <f t="shared" si="96"/>
        <v>0</v>
      </c>
    </row>
    <row r="477" spans="1:33" ht="12.75" customHeight="1" outlineLevel="1" x14ac:dyDescent="0.35">
      <c r="A477" s="92"/>
      <c r="B477" s="94"/>
      <c r="C477" s="978">
        <v>24</v>
      </c>
      <c r="D477" s="1417" t="str">
        <f>IF(D450="","",IF(COUNTIF(INDEX(CNTR_IOSupplyChain,MATCH(D450,CNTR_IOProcAndPrec,0),),C477)=0,"",INDEX(CNTR_IOProcAndPrec,MATCH(C477,INDEX(CNTR_IOSupplyChain,MATCH(D450,CNTR_IOProcAndPrec,0),),0))))</f>
        <v/>
      </c>
      <c r="E477" s="1418"/>
      <c r="F477" s="265" t="str">
        <f t="shared" si="95"/>
        <v/>
      </c>
      <c r="G477" s="266" t="str">
        <f>IF(D477="","",INDEX(CNTR_Matrix_Inv,MATCH(D450,CNTR_IOProcAndPrec,0),MATCH(D477,CNTR_IOProcAndPrec,0)))</f>
        <v/>
      </c>
      <c r="H477" s="286" t="str">
        <f>IF(D477="","",IF(AG477,INDEX(E_PurchPrec!U:U,MATCH(CONST_PurchPrecDefaultUsed&amp;D477,E_PurchPrec!R:R,0)),CONST_NA))</f>
        <v/>
      </c>
      <c r="I477" s="266" t="str">
        <f>IF($D477="","",SUM($G477)*SUM(INDEX(InputOutput!$AJ$71:$AJ$100,MATCH($D477,InputOutput!$D$71:$D$100,0))))</f>
        <v/>
      </c>
      <c r="J477" s="266" t="str">
        <f>IF($D477="","",SUM($G477)*SUM(INDEX(InputOutput!$AL$71:$AL$100,MATCH($D477,InputOutput!$D$71:$D$100,0))))</f>
        <v/>
      </c>
      <c r="K477" s="266" t="str">
        <f t="shared" si="93"/>
        <v/>
      </c>
      <c r="L477" s="267" t="str">
        <f>IF(D477="","",SUM(I477)*SUM(AD453))</f>
        <v/>
      </c>
      <c r="M477" s="267" t="str">
        <f>IF(D477="","",SUM(J477)*SUM(AD453))</f>
        <v/>
      </c>
      <c r="N477" s="267" t="str">
        <f t="shared" si="94"/>
        <v/>
      </c>
      <c r="O477" s="267" t="str">
        <f>IF(AG477,INDEX(E_PurchPrec!U:U,MATCH(CONST_CNTR_ElecEFMethod&amp;D477,E_PurchPrec!R:R,0)),INDEX(D_Processes!T:T,MATCH(CONST_CNTR_ElecEFMethod&amp;D477,D_Processes!R:R,0)))</f>
        <v/>
      </c>
      <c r="P477" s="266" t="str">
        <f>IF($D477="","",SUM($G477)*SUM(INDEX(InputOutput!$AN$71:$AN$100,MATCH($D477,InputOutput!$D$71:$D$100,0))))</f>
        <v/>
      </c>
      <c r="Q477" s="673" t="str">
        <f>IF(D477="","",IF(AG477,INDEX(A_InstData!$F$102:$F$121,MATCH(D477,CNTR_List_ExistPurchPrecNames,0)),""))</f>
        <v/>
      </c>
      <c r="R477" s="678" t="str">
        <f>IF($D477="","",SUM($G477)*SUM(INDEX(F_Tools!$T$101:$T$130,MATCH($D477,F_Tools!$E$101:$E$130,0))))</f>
        <v/>
      </c>
      <c r="S477" s="669" t="str">
        <f>IF($D477="","",SUM($G477)*SUM(INDEX(F_Tools!$U$101:$U$130,MATCH($D477,F_Tools!$E$101:$E$130,0))))</f>
        <v/>
      </c>
      <c r="T477" s="428"/>
      <c r="Z477" s="123"/>
      <c r="AB477" s="268" t="str">
        <f>CONST_PrecursorToGoodInput &amp; D477 &amp; "_" &amp; D450</f>
        <v>PrecToGood__</v>
      </c>
      <c r="AD477" s="269">
        <f>SUMIF(D_Processes!R:R,AB477,D_Processes!K:K)</f>
        <v>0</v>
      </c>
      <c r="AE477" s="268">
        <f>SUMIF(D_Processes!R:R,CONST_CNTR_TotProd &amp; D477,D_Processes!L:L)</f>
        <v>0</v>
      </c>
      <c r="AG477" s="102" t="b">
        <f t="shared" si="96"/>
        <v>0</v>
      </c>
    </row>
    <row r="478" spans="1:33" ht="12.75" customHeight="1" outlineLevel="1" x14ac:dyDescent="0.35">
      <c r="A478" s="92"/>
      <c r="B478" s="94"/>
      <c r="C478" s="978">
        <v>25</v>
      </c>
      <c r="D478" s="1417" t="str">
        <f>IF(D450="","",IF(COUNTIF(INDEX(CNTR_IOSupplyChain,MATCH(D450,CNTR_IOProcAndPrec,0),),C478)=0,"",INDEX(CNTR_IOProcAndPrec,MATCH(C478,INDEX(CNTR_IOSupplyChain,MATCH(D450,CNTR_IOProcAndPrec,0),),0))))</f>
        <v/>
      </c>
      <c r="E478" s="1418"/>
      <c r="F478" s="265" t="str">
        <f t="shared" si="95"/>
        <v/>
      </c>
      <c r="G478" s="266" t="str">
        <f>IF(D478="","",INDEX(CNTR_Matrix_Inv,MATCH(D450,CNTR_IOProcAndPrec,0),MATCH(D478,CNTR_IOProcAndPrec,0)))</f>
        <v/>
      </c>
      <c r="H478" s="286" t="str">
        <f>IF(D478="","",IF(AG478,INDEX(E_PurchPrec!U:U,MATCH(CONST_PurchPrecDefaultUsed&amp;D478,E_PurchPrec!R:R,0)),CONST_NA))</f>
        <v/>
      </c>
      <c r="I478" s="266" t="str">
        <f>IF($D478="","",SUM($G478)*SUM(INDEX(InputOutput!$AJ$71:$AJ$100,MATCH($D478,InputOutput!$D$71:$D$100,0))))</f>
        <v/>
      </c>
      <c r="J478" s="266" t="str">
        <f>IF($D478="","",SUM($G478)*SUM(INDEX(InputOutput!$AL$71:$AL$100,MATCH($D478,InputOutput!$D$71:$D$100,0))))</f>
        <v/>
      </c>
      <c r="K478" s="266" t="str">
        <f t="shared" si="93"/>
        <v/>
      </c>
      <c r="L478" s="267" t="str">
        <f>IF(D478="","",SUM(I478)*SUM(AD453))</f>
        <v/>
      </c>
      <c r="M478" s="267" t="str">
        <f>IF(D478="","",SUM(J478)*SUM(AD453))</f>
        <v/>
      </c>
      <c r="N478" s="267" t="str">
        <f t="shared" si="94"/>
        <v/>
      </c>
      <c r="O478" s="267" t="str">
        <f>IF(AG478,INDEX(E_PurchPrec!U:U,MATCH(CONST_CNTR_ElecEFMethod&amp;D478,E_PurchPrec!R:R,0)),INDEX(D_Processes!T:T,MATCH(CONST_CNTR_ElecEFMethod&amp;D478,D_Processes!R:R,0)))</f>
        <v/>
      </c>
      <c r="P478" s="266" t="str">
        <f>IF($D478="","",SUM($G478)*SUM(INDEX(InputOutput!$AN$71:$AN$100,MATCH($D478,InputOutput!$D$71:$D$100,0))))</f>
        <v/>
      </c>
      <c r="Q478" s="673" t="str">
        <f>IF(D478="","",IF(AG478,INDEX(A_InstData!$F$102:$F$121,MATCH(D478,CNTR_List_ExistPurchPrecNames,0)),""))</f>
        <v/>
      </c>
      <c r="R478" s="678" t="str">
        <f>IF($D478="","",SUM($G478)*SUM(INDEX(F_Tools!$T$101:$T$130,MATCH($D478,F_Tools!$E$101:$E$130,0))))</f>
        <v/>
      </c>
      <c r="S478" s="669" t="str">
        <f>IF($D478="","",SUM($G478)*SUM(INDEX(F_Tools!$U$101:$U$130,MATCH($D478,F_Tools!$E$101:$E$130,0))))</f>
        <v/>
      </c>
      <c r="T478" s="428"/>
      <c r="Z478" s="123"/>
      <c r="AB478" s="268" t="str">
        <f>CONST_PrecursorToGoodInput &amp; D478 &amp; "_" &amp; D450</f>
        <v>PrecToGood__</v>
      </c>
      <c r="AD478" s="269">
        <f>SUMIF(D_Processes!R:R,AB478,D_Processes!K:K)</f>
        <v>0</v>
      </c>
      <c r="AE478" s="268">
        <f>SUMIF(D_Processes!R:R,CONST_CNTR_TotProd &amp; D478,D_Processes!L:L)</f>
        <v>0</v>
      </c>
      <c r="AG478" s="102" t="b">
        <f t="shared" si="96"/>
        <v>0</v>
      </c>
    </row>
    <row r="479" spans="1:33" ht="12.75" customHeight="1" outlineLevel="1" x14ac:dyDescent="0.35">
      <c r="A479" s="92"/>
      <c r="B479" s="94"/>
      <c r="C479" s="978">
        <v>26</v>
      </c>
      <c r="D479" s="1417" t="str">
        <f>IF(D450="","",IF(COUNTIF(INDEX(CNTR_IOSupplyChain,MATCH(D450,CNTR_IOProcAndPrec,0),),C479)=0,"",INDEX(CNTR_IOProcAndPrec,MATCH(C479,INDEX(CNTR_IOSupplyChain,MATCH(D450,CNTR_IOProcAndPrec,0),),0))))</f>
        <v/>
      </c>
      <c r="E479" s="1418"/>
      <c r="F479" s="265" t="str">
        <f t="shared" si="95"/>
        <v/>
      </c>
      <c r="G479" s="266" t="str">
        <f>IF(D479="","",INDEX(CNTR_Matrix_Inv,MATCH(D450,CNTR_IOProcAndPrec,0),MATCH(D479,CNTR_IOProcAndPrec,0)))</f>
        <v/>
      </c>
      <c r="H479" s="286" t="str">
        <f>IF(D479="","",IF(AG479,INDEX(E_PurchPrec!U:U,MATCH(CONST_PurchPrecDefaultUsed&amp;D479,E_PurchPrec!R:R,0)),CONST_NA))</f>
        <v/>
      </c>
      <c r="I479" s="266" t="str">
        <f>IF($D479="","",SUM($G479)*SUM(INDEX(InputOutput!$AJ$71:$AJ$100,MATCH($D479,InputOutput!$D$71:$D$100,0))))</f>
        <v/>
      </c>
      <c r="J479" s="266" t="str">
        <f>IF($D479="","",SUM($G479)*SUM(INDEX(InputOutput!$AL$71:$AL$100,MATCH($D479,InputOutput!$D$71:$D$100,0))))</f>
        <v/>
      </c>
      <c r="K479" s="266" t="str">
        <f t="shared" si="93"/>
        <v/>
      </c>
      <c r="L479" s="267" t="str">
        <f>IF(D479="","",SUM(I479)*SUM(AD453))</f>
        <v/>
      </c>
      <c r="M479" s="267" t="str">
        <f>IF(D479="","",SUM(J479)*SUM(AD453))</f>
        <v/>
      </c>
      <c r="N479" s="267" t="str">
        <f t="shared" si="94"/>
        <v/>
      </c>
      <c r="O479" s="267" t="str">
        <f>IF(AG479,INDEX(E_PurchPrec!U:U,MATCH(CONST_CNTR_ElecEFMethod&amp;D479,E_PurchPrec!R:R,0)),INDEX(D_Processes!T:T,MATCH(CONST_CNTR_ElecEFMethod&amp;D479,D_Processes!R:R,0)))</f>
        <v/>
      </c>
      <c r="P479" s="266" t="str">
        <f>IF($D479="","",SUM($G479)*SUM(INDEX(InputOutput!$AN$71:$AN$100,MATCH($D479,InputOutput!$D$71:$D$100,0))))</f>
        <v/>
      </c>
      <c r="Q479" s="673" t="str">
        <f>IF(D479="","",IF(AG479,INDEX(A_InstData!$F$102:$F$121,MATCH(D479,CNTR_List_ExistPurchPrecNames,0)),""))</f>
        <v/>
      </c>
      <c r="R479" s="678" t="str">
        <f>IF($D479="","",SUM($G479)*SUM(INDEX(F_Tools!$T$101:$T$130,MATCH($D479,F_Tools!$E$101:$E$130,0))))</f>
        <v/>
      </c>
      <c r="S479" s="669" t="str">
        <f>IF($D479="","",SUM($G479)*SUM(INDEX(F_Tools!$U$101:$U$130,MATCH($D479,F_Tools!$E$101:$E$130,0))))</f>
        <v/>
      </c>
      <c r="T479" s="428"/>
      <c r="Z479" s="123"/>
      <c r="AB479" s="268" t="str">
        <f>CONST_PrecursorToGoodInput &amp; D479 &amp; "_" &amp; D450</f>
        <v>PrecToGood__</v>
      </c>
      <c r="AD479" s="269">
        <f>SUMIF(D_Processes!R:R,AB479,D_Processes!K:K)</f>
        <v>0</v>
      </c>
      <c r="AE479" s="268">
        <f>SUMIF(D_Processes!R:R,CONST_CNTR_TotProd &amp; D479,D_Processes!L:L)</f>
        <v>0</v>
      </c>
      <c r="AG479" s="102" t="b">
        <f t="shared" si="96"/>
        <v>0</v>
      </c>
    </row>
    <row r="480" spans="1:33" ht="12.75" customHeight="1" outlineLevel="1" x14ac:dyDescent="0.35">
      <c r="A480" s="92"/>
      <c r="B480" s="94"/>
      <c r="C480" s="978">
        <v>27</v>
      </c>
      <c r="D480" s="1417" t="str">
        <f>IF(D450="","",IF(COUNTIF(INDEX(CNTR_IOSupplyChain,MATCH(D450,CNTR_IOProcAndPrec,0),),C480)=0,"",INDEX(CNTR_IOProcAndPrec,MATCH(C480,INDEX(CNTR_IOSupplyChain,MATCH(D450,CNTR_IOProcAndPrec,0),),0))))</f>
        <v/>
      </c>
      <c r="E480" s="1418"/>
      <c r="F480" s="265" t="str">
        <f t="shared" si="95"/>
        <v/>
      </c>
      <c r="G480" s="266" t="str">
        <f>IF(D480="","",INDEX(CNTR_Matrix_Inv,MATCH(D450,CNTR_IOProcAndPrec,0),MATCH(D480,CNTR_IOProcAndPrec,0)))</f>
        <v/>
      </c>
      <c r="H480" s="286" t="str">
        <f>IF(D480="","",IF(AG480,INDEX(E_PurchPrec!U:U,MATCH(CONST_PurchPrecDefaultUsed&amp;D480,E_PurchPrec!R:R,0)),CONST_NA))</f>
        <v/>
      </c>
      <c r="I480" s="266" t="str">
        <f>IF($D480="","",SUM($G480)*SUM(INDEX(InputOutput!$AJ$71:$AJ$100,MATCH($D480,InputOutput!$D$71:$D$100,0))))</f>
        <v/>
      </c>
      <c r="J480" s="266" t="str">
        <f>IF($D480="","",SUM($G480)*SUM(INDEX(InputOutput!$AL$71:$AL$100,MATCH($D480,InputOutput!$D$71:$D$100,0))))</f>
        <v/>
      </c>
      <c r="K480" s="266" t="str">
        <f t="shared" si="93"/>
        <v/>
      </c>
      <c r="L480" s="267" t="str">
        <f>IF(D480="","",SUM(I480)*SUM(AD453))</f>
        <v/>
      </c>
      <c r="M480" s="267" t="str">
        <f>IF(D480="","",SUM(J480)*SUM(AD453))</f>
        <v/>
      </c>
      <c r="N480" s="267" t="str">
        <f t="shared" si="94"/>
        <v/>
      </c>
      <c r="O480" s="267" t="str">
        <f>IF(AG480,INDEX(E_PurchPrec!U:U,MATCH(CONST_CNTR_ElecEFMethod&amp;D480,E_PurchPrec!R:R,0)),INDEX(D_Processes!T:T,MATCH(CONST_CNTR_ElecEFMethod&amp;D480,D_Processes!R:R,0)))</f>
        <v/>
      </c>
      <c r="P480" s="266" t="str">
        <f>IF($D480="","",SUM($G480)*SUM(INDEX(InputOutput!$AN$71:$AN$100,MATCH($D480,InputOutput!$D$71:$D$100,0))))</f>
        <v/>
      </c>
      <c r="Q480" s="673" t="str">
        <f>IF(D480="","",IF(AG480,INDEX(A_InstData!$F$102:$F$121,MATCH(D480,CNTR_List_ExistPurchPrecNames,0)),""))</f>
        <v/>
      </c>
      <c r="R480" s="678" t="str">
        <f>IF($D480="","",SUM($G480)*SUM(INDEX(F_Tools!$T$101:$T$130,MATCH($D480,F_Tools!$E$101:$E$130,0))))</f>
        <v/>
      </c>
      <c r="S480" s="669" t="str">
        <f>IF($D480="","",SUM($G480)*SUM(INDEX(F_Tools!$U$101:$U$130,MATCH($D480,F_Tools!$E$101:$E$130,0))))</f>
        <v/>
      </c>
      <c r="T480" s="428"/>
      <c r="Z480" s="123"/>
      <c r="AB480" s="268" t="str">
        <f>CONST_PrecursorToGoodInput &amp; D480 &amp; "_" &amp; D450</f>
        <v>PrecToGood__</v>
      </c>
      <c r="AD480" s="269">
        <f>SUMIF(D_Processes!R:R,AB480,D_Processes!K:K)</f>
        <v>0</v>
      </c>
      <c r="AE480" s="268">
        <f>SUMIF(D_Processes!R:R,CONST_CNTR_TotProd &amp; D480,D_Processes!L:L)</f>
        <v>0</v>
      </c>
      <c r="AG480" s="102" t="b">
        <f t="shared" si="96"/>
        <v>0</v>
      </c>
    </row>
    <row r="481" spans="1:41" ht="12.75" customHeight="1" outlineLevel="1" x14ac:dyDescent="0.35">
      <c r="A481" s="92"/>
      <c r="B481" s="94"/>
      <c r="C481" s="978">
        <v>28</v>
      </c>
      <c r="D481" s="1417" t="str">
        <f>IF(D450="","",IF(COUNTIF(INDEX(CNTR_IOSupplyChain,MATCH(D450,CNTR_IOProcAndPrec,0),),C481)=0,"",INDEX(CNTR_IOProcAndPrec,MATCH(C481,INDEX(CNTR_IOSupplyChain,MATCH(D450,CNTR_IOProcAndPrec,0),),0))))</f>
        <v/>
      </c>
      <c r="E481" s="1418"/>
      <c r="F481" s="265" t="str">
        <f t="shared" si="95"/>
        <v/>
      </c>
      <c r="G481" s="266" t="str">
        <f>IF(D481="","",INDEX(CNTR_Matrix_Inv,MATCH(D450,CNTR_IOProcAndPrec,0),MATCH(D481,CNTR_IOProcAndPrec,0)))</f>
        <v/>
      </c>
      <c r="H481" s="286" t="str">
        <f>IF(D481="","",IF(AG481,INDEX(E_PurchPrec!U:U,MATCH(CONST_PurchPrecDefaultUsed&amp;D481,E_PurchPrec!R:R,0)),CONST_NA))</f>
        <v/>
      </c>
      <c r="I481" s="266" t="str">
        <f>IF($D481="","",SUM($G481)*SUM(INDEX(InputOutput!$AJ$71:$AJ$100,MATCH($D481,InputOutput!$D$71:$D$100,0))))</f>
        <v/>
      </c>
      <c r="J481" s="266" t="str">
        <f>IF($D481="","",SUM($G481)*SUM(INDEX(InputOutput!$AL$71:$AL$100,MATCH($D481,InputOutput!$D$71:$D$100,0))))</f>
        <v/>
      </c>
      <c r="K481" s="266" t="str">
        <f t="shared" si="93"/>
        <v/>
      </c>
      <c r="L481" s="267" t="str">
        <f>IF(D481="","",SUM(I481)*SUM(AD453))</f>
        <v/>
      </c>
      <c r="M481" s="267" t="str">
        <f>IF(D481="","",SUM(J481)*SUM(AD453))</f>
        <v/>
      </c>
      <c r="N481" s="267" t="str">
        <f t="shared" si="94"/>
        <v/>
      </c>
      <c r="O481" s="267" t="str">
        <f>IF(AG481,INDEX(E_PurchPrec!U:U,MATCH(CONST_CNTR_ElecEFMethod&amp;D481,E_PurchPrec!R:R,0)),INDEX(D_Processes!T:T,MATCH(CONST_CNTR_ElecEFMethod&amp;D481,D_Processes!R:R,0)))</f>
        <v/>
      </c>
      <c r="P481" s="266" t="str">
        <f>IF($D481="","",SUM($G481)*SUM(INDEX(InputOutput!$AN$71:$AN$100,MATCH($D481,InputOutput!$D$71:$D$100,0))))</f>
        <v/>
      </c>
      <c r="Q481" s="673" t="str">
        <f>IF(D481="","",IF(AG481,INDEX(A_InstData!$F$102:$F$121,MATCH(D481,CNTR_List_ExistPurchPrecNames,0)),""))</f>
        <v/>
      </c>
      <c r="R481" s="678" t="str">
        <f>IF($D481="","",SUM($G481)*SUM(INDEX(F_Tools!$T$101:$T$130,MATCH($D481,F_Tools!$E$101:$E$130,0))))</f>
        <v/>
      </c>
      <c r="S481" s="669" t="str">
        <f>IF($D481="","",SUM($G481)*SUM(INDEX(F_Tools!$U$101:$U$130,MATCH($D481,F_Tools!$E$101:$E$130,0))))</f>
        <v/>
      </c>
      <c r="T481" s="428"/>
      <c r="Z481" s="123"/>
      <c r="AB481" s="268" t="str">
        <f>CONST_PrecursorToGoodInput &amp; D481 &amp; "_" &amp; D450</f>
        <v>PrecToGood__</v>
      </c>
      <c r="AD481" s="269">
        <f>SUMIF(D_Processes!R:R,AB481,D_Processes!K:K)</f>
        <v>0</v>
      </c>
      <c r="AE481" s="268">
        <f>SUMIF(D_Processes!R:R,CONST_CNTR_TotProd &amp; D481,D_Processes!L:L)</f>
        <v>0</v>
      </c>
      <c r="AG481" s="102" t="b">
        <f t="shared" si="96"/>
        <v>0</v>
      </c>
    </row>
    <row r="482" spans="1:41" ht="12.75" customHeight="1" outlineLevel="1" x14ac:dyDescent="0.35">
      <c r="A482" s="92"/>
      <c r="B482" s="94"/>
      <c r="C482" s="978">
        <v>29</v>
      </c>
      <c r="D482" s="1417" t="str">
        <f>IF(D450="","",IF(COUNTIF(INDEX(CNTR_IOSupplyChain,MATCH(D450,CNTR_IOProcAndPrec,0),),C482)=0,"",INDEX(CNTR_IOProcAndPrec,MATCH(C482,INDEX(CNTR_IOSupplyChain,MATCH(D450,CNTR_IOProcAndPrec,0),),0))))</f>
        <v/>
      </c>
      <c r="E482" s="1418"/>
      <c r="F482" s="265" t="str">
        <f t="shared" si="95"/>
        <v/>
      </c>
      <c r="G482" s="266" t="str">
        <f>IF(D482="","",INDEX(CNTR_Matrix_Inv,MATCH(D450,CNTR_IOProcAndPrec,0),MATCH(D482,CNTR_IOProcAndPrec,0)))</f>
        <v/>
      </c>
      <c r="H482" s="286" t="str">
        <f>IF(D482="","",IF(AG482,INDEX(E_PurchPrec!U:U,MATCH(CONST_PurchPrecDefaultUsed&amp;D482,E_PurchPrec!R:R,0)),CONST_NA))</f>
        <v/>
      </c>
      <c r="I482" s="266" t="str">
        <f>IF($D482="","",SUM($G482)*SUM(INDEX(InputOutput!$AJ$71:$AJ$100,MATCH($D482,InputOutput!$D$71:$D$100,0))))</f>
        <v/>
      </c>
      <c r="J482" s="266" t="str">
        <f>IF($D482="","",SUM($G482)*SUM(INDEX(InputOutput!$AL$71:$AL$100,MATCH($D482,InputOutput!$D$71:$D$100,0))))</f>
        <v/>
      </c>
      <c r="K482" s="266" t="str">
        <f t="shared" si="93"/>
        <v/>
      </c>
      <c r="L482" s="267" t="str">
        <f>IF(D482="","",SUM(I482)*SUM(AD453))</f>
        <v/>
      </c>
      <c r="M482" s="267" t="str">
        <f>IF(D482="","",SUM(J482)*SUM(AD453))</f>
        <v/>
      </c>
      <c r="N482" s="267" t="str">
        <f t="shared" si="94"/>
        <v/>
      </c>
      <c r="O482" s="267" t="str">
        <f>IF(AG482,INDEX(E_PurchPrec!U:U,MATCH(CONST_CNTR_ElecEFMethod&amp;D482,E_PurchPrec!R:R,0)),INDEX(D_Processes!T:T,MATCH(CONST_CNTR_ElecEFMethod&amp;D482,D_Processes!R:R,0)))</f>
        <v/>
      </c>
      <c r="P482" s="266" t="str">
        <f>IF($D482="","",SUM($G482)*SUM(INDEX(InputOutput!$AN$71:$AN$100,MATCH($D482,InputOutput!$D$71:$D$100,0))))</f>
        <v/>
      </c>
      <c r="Q482" s="673" t="str">
        <f>IF(D482="","",IF(AG482,INDEX(A_InstData!$F$102:$F$121,MATCH(D482,CNTR_List_ExistPurchPrecNames,0)),""))</f>
        <v/>
      </c>
      <c r="R482" s="678" t="str">
        <f>IF($D482="","",SUM($G482)*SUM(INDEX(F_Tools!$T$101:$T$130,MATCH($D482,F_Tools!$E$101:$E$130,0))))</f>
        <v/>
      </c>
      <c r="S482" s="669" t="str">
        <f>IF($D482="","",SUM($G482)*SUM(INDEX(F_Tools!$U$101:$U$130,MATCH($D482,F_Tools!$E$101:$E$130,0))))</f>
        <v/>
      </c>
      <c r="T482" s="428"/>
      <c r="Z482" s="123"/>
      <c r="AB482" s="268" t="str">
        <f>CONST_PrecursorToGoodInput &amp; D482 &amp; "_" &amp; D450</f>
        <v>PrecToGood__</v>
      </c>
      <c r="AD482" s="269">
        <f>SUMIF(D_Processes!R:R,AB482,D_Processes!K:K)</f>
        <v>0</v>
      </c>
      <c r="AE482" s="268">
        <f>SUMIF(D_Processes!R:R,CONST_CNTR_TotProd &amp; D482,D_Processes!L:L)</f>
        <v>0</v>
      </c>
      <c r="AG482" s="102" t="b">
        <f t="shared" si="96"/>
        <v>0</v>
      </c>
    </row>
    <row r="483" spans="1:41" ht="12.75" customHeight="1" outlineLevel="1" thickBot="1" x14ac:dyDescent="0.4">
      <c r="A483" s="92"/>
      <c r="B483" s="94"/>
      <c r="C483" s="978">
        <v>30</v>
      </c>
      <c r="D483" s="1451" t="str">
        <f>IF(D450="","",IF(COUNTIF(INDEX(CNTR_IOSupplyChain,MATCH(D450,CNTR_IOProcAndPrec,0),),C483)=0,"",INDEX(CNTR_IOProcAndPrec,MATCH(C483,INDEX(CNTR_IOSupplyChain,MATCH(D450,CNTR_IOProcAndPrec,0),),0))))</f>
        <v/>
      </c>
      <c r="E483" s="1452"/>
      <c r="F483" s="270" t="str">
        <f t="shared" si="95"/>
        <v/>
      </c>
      <c r="G483" s="271" t="str">
        <f>IF(D483="","",INDEX(CNTR_Matrix_Inv,MATCH(D450,CNTR_IOProcAndPrec,0),MATCH(D483,CNTR_IOProcAndPrec,0)))</f>
        <v/>
      </c>
      <c r="H483" s="287" t="str">
        <f>IF(D483="","",IF(AG483,INDEX(E_PurchPrec!U:U,MATCH(CONST_PurchPrecDefaultUsed&amp;D483,E_PurchPrec!R:R,0)),CONST_NA))</f>
        <v/>
      </c>
      <c r="I483" s="271" t="str">
        <f>IF($D483="","",SUM($G483)*SUM(INDEX(InputOutput!$AJ$71:$AJ$100,MATCH($D483,InputOutput!$D$71:$D$100,0))))</f>
        <v/>
      </c>
      <c r="J483" s="271" t="str">
        <f>IF($D483="","",SUM($G483)*SUM(INDEX(InputOutput!$AL$71:$AL$100,MATCH($D483,InputOutput!$D$71:$D$100,0))))</f>
        <v/>
      </c>
      <c r="K483" s="271" t="str">
        <f>IF(COUNT(I483:J483)&gt;0,SUM(I483:J483),"")</f>
        <v/>
      </c>
      <c r="L483" s="272" t="str">
        <f>IF(D483="","",SUM(I483)*SUM(AD453))</f>
        <v/>
      </c>
      <c r="M483" s="272" t="str">
        <f>IF(D483="","",SUM(J483)*SUM(AD453))</f>
        <v/>
      </c>
      <c r="N483" s="272" t="str">
        <f>IF(COUNT(L483:M483)&gt;0,SUM(L483:M483),"")</f>
        <v/>
      </c>
      <c r="O483" s="272" t="str">
        <f>IF(AG483,INDEX(E_PurchPrec!U:U,MATCH(CONST_CNTR_ElecEFMethod&amp;D483,E_PurchPrec!R:R,0)),INDEX(D_Processes!T:T,MATCH(CONST_CNTR_ElecEFMethod&amp;D483,D_Processes!R:R,0)))</f>
        <v/>
      </c>
      <c r="P483" s="271" t="str">
        <f>IF($D483="","",SUM($G483)*SUM(INDEX(InputOutput!$AN$71:$AN$100,MATCH($D483,InputOutput!$D$71:$D$100,0))))</f>
        <v/>
      </c>
      <c r="Q483" s="674" t="str">
        <f>IF(D483="","",IF(AG483,INDEX(A_InstData!$F$102:$F$121,MATCH(D483,CNTR_List_ExistPurchPrecNames,0)),""))</f>
        <v/>
      </c>
      <c r="R483" s="679" t="str">
        <f>IF($D483="","",SUM($G483)*SUM(INDEX(F_Tools!$T$101:$T$130,MATCH($D483,F_Tools!$E$101:$E$130,0))))</f>
        <v/>
      </c>
      <c r="S483" s="680" t="str">
        <f>IF($D483="","",SUM($G483)*SUM(INDEX(F_Tools!$U$101:$U$130,MATCH($D483,F_Tools!$E$101:$E$130,0))))</f>
        <v/>
      </c>
      <c r="T483" s="428"/>
      <c r="AB483" s="273" t="str">
        <f>CONST_PrecursorToGoodInput &amp; D483 &amp; "_" &amp; D450</f>
        <v>PrecToGood__</v>
      </c>
      <c r="AD483" s="274">
        <f>SUMIF(D_Processes!R:R,AB483,D_Processes!K:K)</f>
        <v>0</v>
      </c>
      <c r="AE483" s="273">
        <f>SUMIF(D_Processes!R:R,CONST_CNTR_TotProd &amp; D483,D_Processes!L:L)</f>
        <v>0</v>
      </c>
      <c r="AG483" s="102" t="b">
        <f t="shared" si="96"/>
        <v>0</v>
      </c>
    </row>
    <row r="484" spans="1:41" ht="12.75" customHeight="1" thickBot="1" x14ac:dyDescent="0.4">
      <c r="A484" s="92"/>
      <c r="B484" s="94"/>
      <c r="C484" s="144"/>
      <c r="D484" s="144"/>
      <c r="E484" s="144"/>
      <c r="F484" s="144"/>
      <c r="G484" s="144"/>
      <c r="H484" s="144"/>
      <c r="I484" s="979"/>
      <c r="J484" s="979"/>
      <c r="K484" s="979"/>
      <c r="L484" s="144"/>
      <c r="M484" s="144"/>
      <c r="N484" s="144"/>
      <c r="O484" s="144"/>
      <c r="P484" s="979"/>
      <c r="Q484" s="144"/>
      <c r="R484" s="144"/>
      <c r="S484" s="144"/>
      <c r="T484" s="428"/>
    </row>
    <row r="485" spans="1:41" ht="12.75" customHeight="1" thickBot="1" x14ac:dyDescent="0.4">
      <c r="A485" s="92"/>
      <c r="B485" s="94"/>
      <c r="C485" s="145"/>
      <c r="D485" s="145"/>
      <c r="E485" s="145"/>
      <c r="F485" s="145"/>
      <c r="G485" s="145"/>
      <c r="H485" s="145"/>
      <c r="I485" s="664"/>
      <c r="J485" s="664"/>
      <c r="K485" s="664"/>
      <c r="L485" s="145"/>
      <c r="M485" s="145"/>
      <c r="N485" s="145"/>
      <c r="O485" s="145"/>
      <c r="P485" s="664"/>
      <c r="Q485" s="145"/>
      <c r="R485" s="145"/>
      <c r="S485" s="145"/>
      <c r="T485" s="428"/>
    </row>
    <row r="486" spans="1:41" s="249" customFormat="1" ht="25.5" customHeight="1" x14ac:dyDescent="0.35">
      <c r="A486" s="977"/>
      <c r="B486" s="981"/>
      <c r="C486" s="1439">
        <f>C450+1</f>
        <v>10</v>
      </c>
      <c r="D486" s="1421" t="str">
        <f>IF(INDEX(CNTR_List_ExistProdProcNames,C486)=CONST_NA,"",INDEX(CNTR_List_ExistProdProcNames,C486))</f>
        <v/>
      </c>
      <c r="E486" s="1422"/>
      <c r="F486" s="1419" t="str">
        <f>Translations!$B$107</f>
        <v>Aggregated goods category</v>
      </c>
      <c r="G486" s="250" t="str">
        <f>Translations!$B$584</f>
        <v>Mass share</v>
      </c>
      <c r="H486" s="1448" t="str">
        <f>Translations!$B$586</f>
        <v>(Share of) Default value</v>
      </c>
      <c r="I486" s="250" t="str">
        <f>Translations!$B$570</f>
        <v>SEE (direct)</v>
      </c>
      <c r="J486" s="250" t="str">
        <f>Translations!$B$574</f>
        <v>SEE (indirect)</v>
      </c>
      <c r="K486" s="250" t="str">
        <f>Translations!$B$344</f>
        <v>SEE (total)</v>
      </c>
      <c r="L486" s="250" t="str">
        <f>Translations!$B$589</f>
        <v>EmbEm (direct)</v>
      </c>
      <c r="M486" s="250" t="str">
        <f>Translations!$B$591</f>
        <v>EmbEm (indirect)</v>
      </c>
      <c r="N486" s="250" t="str">
        <f>Translations!$B$593</f>
        <v>EmbEm (total)</v>
      </c>
      <c r="O486" s="1448" t="str">
        <f>Translations!$B$594</f>
        <v>Source of electricity EF</v>
      </c>
      <c r="P486" s="250" t="str">
        <f>Translations!$B$480</f>
        <v>Embedded electricity</v>
      </c>
      <c r="Q486" s="1415" t="str">
        <f>Translations!$B$1957</f>
        <v>Country code</v>
      </c>
      <c r="R486" s="1444" t="str">
        <f>Translations!$B$351</f>
        <v>CP due (per produced t or MWh)</v>
      </c>
      <c r="S486" s="1446" t="str">
        <f>Translations!$B$352</f>
        <v>Rebate (per produced t or MWh)</v>
      </c>
      <c r="T486" s="431"/>
      <c r="U486" s="93"/>
      <c r="V486" s="248"/>
      <c r="W486" s="248"/>
      <c r="X486" s="91"/>
      <c r="Y486" s="248"/>
      <c r="Z486" s="123"/>
      <c r="AA486" s="248"/>
      <c r="AB486" s="248"/>
      <c r="AC486" s="248"/>
      <c r="AD486" s="248"/>
      <c r="AE486" s="248"/>
      <c r="AF486" s="104" t="str">
        <f>H486</f>
        <v>(Share of) Default value</v>
      </c>
      <c r="AG486" s="681" t="str">
        <f>H488</f>
        <v/>
      </c>
      <c r="AH486" s="91"/>
      <c r="AI486" s="91"/>
      <c r="AJ486" s="91"/>
      <c r="AK486" s="91"/>
      <c r="AL486" s="91"/>
      <c r="AM486" s="91"/>
      <c r="AN486" s="91"/>
      <c r="AO486" s="91"/>
    </row>
    <row r="487" spans="1:41" s="249" customFormat="1" ht="15" customHeight="1" thickBot="1" x14ac:dyDescent="0.4">
      <c r="A487" s="977"/>
      <c r="B487" s="981"/>
      <c r="C487" s="1440"/>
      <c r="D487" s="1423"/>
      <c r="E487" s="1424"/>
      <c r="F487" s="1420"/>
      <c r="G487" s="251" t="str">
        <f>IF($F488="",CONST_t,INDEX(CONST_LIST_GoodsUnit,MATCH($F488,CONST_LIST_Goods,0))) &amp;"/"&amp; IF($F488="",CONST_t,INDEX(CONST_LIST_GoodsUnit,MATCH($F488,CONST_LIST_Goods,0)))</f>
        <v>t/t</v>
      </c>
      <c r="H487" s="1449"/>
      <c r="I487" s="251" t="str">
        <f>CONST_tCO2eq &amp; "/" &amp; IF($F488="",CONST_t,INDEX(CONST_LIST_GoodsUnit,MATCH($F488,CONST_LIST_Goods,0)))</f>
        <v>tCO2e/t</v>
      </c>
      <c r="J487" s="251" t="str">
        <f>CONST_tCO2eq &amp; "/" &amp; IF($F488="",CONST_t,INDEX(CONST_LIST_GoodsUnit,MATCH($F488,CONST_LIST_Goods,0)))</f>
        <v>tCO2e/t</v>
      </c>
      <c r="K487" s="251" t="str">
        <f>CONST_tCO2eq &amp; "/" &amp; IF($F488="",CONST_t,INDEX(CONST_LIST_GoodsUnit,MATCH($F488,CONST_LIST_Goods,0)))</f>
        <v>tCO2e/t</v>
      </c>
      <c r="L487" s="252" t="str">
        <f>CONST_tCO2eq</f>
        <v>tCO2e</v>
      </c>
      <c r="M487" s="252" t="str">
        <f>CONST_tCO2eq</f>
        <v>tCO2e</v>
      </c>
      <c r="N487" s="252" t="str">
        <f>CONST_tCO2eq</f>
        <v>tCO2e</v>
      </c>
      <c r="O487" s="1449"/>
      <c r="P487" s="251" t="str">
        <f>CONST_MWh &amp; "/" &amp; IF($F488="",CONST_t,INDEX(CONST_LIST_GoodsUnit,MATCH($F488,CONST_LIST_Goods,0)))</f>
        <v>MWh/t</v>
      </c>
      <c r="Q487" s="1416"/>
      <c r="R487" s="1445"/>
      <c r="S487" s="1447"/>
      <c r="T487" s="431"/>
      <c r="V487" s="248"/>
      <c r="W487" s="248"/>
      <c r="X487" s="91"/>
      <c r="Y487" s="248"/>
      <c r="Z487" s="123"/>
      <c r="AA487" s="248"/>
      <c r="AB487" s="248"/>
      <c r="AC487" s="248"/>
      <c r="AD487" s="248"/>
      <c r="AE487" s="248"/>
      <c r="AF487" s="91"/>
      <c r="AG487" s="91"/>
      <c r="AH487" s="91"/>
      <c r="AI487" s="91"/>
      <c r="AJ487" s="91"/>
      <c r="AK487" s="91"/>
      <c r="AL487" s="91"/>
      <c r="AM487" s="91"/>
      <c r="AN487" s="91"/>
      <c r="AO487" s="91"/>
    </row>
    <row r="488" spans="1:41" ht="15" customHeight="1" thickBot="1" x14ac:dyDescent="0.4">
      <c r="A488" s="92"/>
      <c r="B488" s="94"/>
      <c r="C488" s="1441"/>
      <c r="D488" s="1429" t="str">
        <f>Translations!$B$600</f>
        <v>Total production process</v>
      </c>
      <c r="E488" s="1430"/>
      <c r="F488" s="253" t="str">
        <f>IF(D489="","",INDEX(CNTR_List_ExistProdProc,MATCH(D489,CNTR_List_ExistProdProcNames,0)))</f>
        <v/>
      </c>
      <c r="G488" s="254" t="s">
        <v>206</v>
      </c>
      <c r="H488" s="896" t="str">
        <f>IF(D486="","",IFERROR(SUMIFS(I490:I519,H490:H519,TRUE)/I488,""))</f>
        <v/>
      </c>
      <c r="I488" s="662" t="str">
        <f>IF(COUNT(I489:I519)&gt;0,SUM(I489:I519),"")</f>
        <v/>
      </c>
      <c r="J488" s="662" t="str">
        <f>IF(COUNT(J489:J519)&gt;0,SUM(J489:J519),"")</f>
        <v/>
      </c>
      <c r="K488" s="662" t="str">
        <f t="shared" ref="K488:L488" si="97">IF(COUNT(K489:K519)&gt;0,SUM(K489:K519),"")</f>
        <v/>
      </c>
      <c r="L488" s="255" t="str">
        <f t="shared" si="97"/>
        <v/>
      </c>
      <c r="M488" s="255" t="str">
        <f>IF(COUNT(M489:M519)&gt;0,SUM(M489:M519),"")</f>
        <v/>
      </c>
      <c r="N488" s="255" t="str">
        <f t="shared" ref="N488" si="98">IF(COUNT(N489:N519)&gt;0,SUM(N489:N519),"")</f>
        <v/>
      </c>
      <c r="O488" s="254" t="s">
        <v>206</v>
      </c>
      <c r="P488" s="662" t="str">
        <f t="shared" ref="P488" si="99">IF(COUNT(P489:P519)&gt;0,SUM(P489:P519),"")</f>
        <v/>
      </c>
      <c r="Q488" s="670" t="s">
        <v>206</v>
      </c>
      <c r="R488" s="675" t="str">
        <f t="shared" ref="R488:S488" si="100">IF(COUNT(R489:R519)&gt;0,SUM(R489:R519),"")</f>
        <v/>
      </c>
      <c r="S488" s="666" t="str">
        <f t="shared" si="100"/>
        <v/>
      </c>
      <c r="T488" s="428"/>
      <c r="Z488" s="123"/>
      <c r="AD488" s="91" t="s">
        <v>199</v>
      </c>
      <c r="AE488" s="91" t="s">
        <v>200</v>
      </c>
      <c r="AG488" s="91" t="s">
        <v>418</v>
      </c>
    </row>
    <row r="489" spans="1:41" ht="12.75" customHeight="1" thickBot="1" x14ac:dyDescent="0.4">
      <c r="A489" s="92"/>
      <c r="B489" s="94"/>
      <c r="C489" s="144"/>
      <c r="D489" s="1431" t="str">
        <f>D486</f>
        <v/>
      </c>
      <c r="E489" s="1432"/>
      <c r="F489" s="283" t="str">
        <f>IF(D489="","",INDEX(CNTR_List_ExistProdProc,MATCH(D489,CNTR_List_ExistProdProcNames,0)))</f>
        <v/>
      </c>
      <c r="G489" s="256">
        <v>1</v>
      </c>
      <c r="H489" s="284" t="s">
        <v>206</v>
      </c>
      <c r="I489" s="663" t="str">
        <f>IF($D489="","",SUM($G489)*SUM(INDEX(InputOutput!$AJ$71:$AJ$100,MATCH($D489,InputOutput!$D$71:$D$100,0))))</f>
        <v/>
      </c>
      <c r="J489" s="663" t="str">
        <f>IF($D489="","",SUM($G489)*SUM(INDEX(InputOutput!$AL$71:$AL$100,MATCH($D489,InputOutput!$D$71:$D$100,0))))</f>
        <v/>
      </c>
      <c r="K489" s="663" t="str">
        <f t="shared" ref="K489:K518" si="101">IF(COUNT(I489:J489)&gt;0,SUM(I489:J489),"")</f>
        <v/>
      </c>
      <c r="L489" s="257" t="str">
        <f>IF(D489="","",SUM(I489)*SUM(AD489))</f>
        <v/>
      </c>
      <c r="M489" s="257" t="str">
        <f>IF(D489="","",SUM(J489)*SUM(AD489))</f>
        <v/>
      </c>
      <c r="N489" s="257" t="str">
        <f t="shared" ref="N489:N518" si="102">IF(COUNT(L489:M489)&gt;0,SUM(L489:M489),"")</f>
        <v/>
      </c>
      <c r="O489" s="257" t="str">
        <f>IF(AG489,INDEX(E_PurchPrec!U:U,MATCH(CONST_CNTR_ElecEFMethod&amp;D489,E_PurchPrec!R:R,0)),INDEX(D_Processes!T:T,MATCH(CONST_CNTR_ElecEFMethod&amp;D489,D_Processes!R:R,0)))</f>
        <v/>
      </c>
      <c r="P489" s="663" t="str">
        <f>IF($D489="","",SUM($G489)*SUM(INDEX(InputOutput!$AN$71:$AN$100,MATCH($D489,InputOutput!$D$71:$D$100,0))))</f>
        <v/>
      </c>
      <c r="Q489" s="671"/>
      <c r="R489" s="676" t="str">
        <f>IF($D489="","",SUM($G489)*SUM(INDEX(F_Tools!$T$101:$T$130,MATCH($D489,F_Tools!$E$101:$E$130,0))))</f>
        <v/>
      </c>
      <c r="S489" s="667" t="str">
        <f>IF($D489="","",SUM($G489)*SUM(INDEX(F_Tools!$U$101:$U$130,MATCH($D489,F_Tools!$E$101:$E$130,0))))</f>
        <v/>
      </c>
      <c r="T489" s="428"/>
      <c r="Z489" s="123"/>
      <c r="AB489" s="150" t="str">
        <f>CONST_CNTR_TotProd &amp; D486</f>
        <v>TotProd_</v>
      </c>
      <c r="AD489" s="258">
        <f>SUMIF(D_Processes!R:R,AB489,D_Processes!L:L)</f>
        <v>0</v>
      </c>
    </row>
    <row r="490" spans="1:41" ht="12.75" customHeight="1" x14ac:dyDescent="0.35">
      <c r="A490" s="92"/>
      <c r="B490" s="94"/>
      <c r="C490" s="978">
        <v>1</v>
      </c>
      <c r="D490" s="1442" t="str">
        <f>IF(D486="","",IF(COUNTIF(INDEX(CNTR_IOSupplyChain,MATCH(D486,CNTR_IOProcAndPrec,0),),C490)=0,"",INDEX(CNTR_IOProcAndPrec,MATCH(C490,INDEX(CNTR_IOSupplyChain,MATCH(D486,CNTR_IOProcAndPrec,0),),0))))</f>
        <v/>
      </c>
      <c r="E490" s="1443"/>
      <c r="F490" s="260" t="str">
        <f t="shared" ref="F490:F519" si="103">IF(D490="","",IF(COUNTIF(CNTR_List_ExistProdProcNames,D490)&gt;0,INDEX(CNTR_List_ExistProdProc,MATCH(D490,CNTR_List_ExistProdProcNames,0)),INDEX(CNTR_List_ExistPurchPrec,MATCH(D490,CNTR_List_ExistPurchPrecNames,0))))</f>
        <v/>
      </c>
      <c r="G490" s="261" t="str">
        <f>IF(D490="","",INDEX(CNTR_Matrix_Inv,MATCH(D486,CNTR_IOProcAndPrec,0),MATCH(D490,CNTR_IOProcAndPrec,0)))</f>
        <v/>
      </c>
      <c r="H490" s="285" t="str">
        <f>IF(D490="","",IF(AG490,INDEX(E_PurchPrec!U:U,MATCH(CONST_PurchPrecDefaultUsed&amp;D490,E_PurchPrec!R:R,0)),CONST_NA))</f>
        <v/>
      </c>
      <c r="I490" s="261" t="str">
        <f>IF($D490="","",SUM($G490)*SUM(INDEX(InputOutput!$AJ$71:$AJ$100,MATCH($D490,InputOutput!$D$71:$D$100,0))))</f>
        <v/>
      </c>
      <c r="J490" s="261" t="str">
        <f>IF($D490="","",SUM($G490)*SUM(INDEX(InputOutput!$AL$71:$AL$100,MATCH($D490,InputOutput!$D$71:$D$100,0))))</f>
        <v/>
      </c>
      <c r="K490" s="261" t="str">
        <f t="shared" si="101"/>
        <v/>
      </c>
      <c r="L490" s="262" t="str">
        <f>IF(D490="","",SUM(I490)*SUM(AD489))</f>
        <v/>
      </c>
      <c r="M490" s="262" t="str">
        <f>IF(D490="","",SUM(J490)*SUM(AD489))</f>
        <v/>
      </c>
      <c r="N490" s="262" t="str">
        <f t="shared" si="102"/>
        <v/>
      </c>
      <c r="O490" s="262" t="str">
        <f>IF(AG490,INDEX(E_PurchPrec!U:U,MATCH(CONST_CNTR_ElecEFMethod&amp;D490,E_PurchPrec!R:R,0)),INDEX(D_Processes!T:T,MATCH(CONST_CNTR_ElecEFMethod&amp;D490,D_Processes!R:R,0)))</f>
        <v/>
      </c>
      <c r="P490" s="261" t="str">
        <f>IF($D490="","",SUM($G490)*SUM(INDEX(InputOutput!$AN$71:$AN$100,MATCH($D490,InputOutput!$D$71:$D$100,0))))</f>
        <v/>
      </c>
      <c r="Q490" s="672" t="str">
        <f>IF(D490="","",IF(AG490,INDEX(A_InstData!$F$102:$F$121,MATCH(D490,CNTR_List_ExistPurchPrecNames,0)),""))</f>
        <v/>
      </c>
      <c r="R490" s="677" t="str">
        <f>IF($D490="","",SUM($G490)*SUM(INDEX(F_Tools!$T$101:$T$130,MATCH($D490,F_Tools!$E$101:$E$130,0))))</f>
        <v/>
      </c>
      <c r="S490" s="668" t="str">
        <f>IF($D490="","",SUM($G490)*SUM(INDEX(F_Tools!$U$101:$U$130,MATCH($D490,F_Tools!$E$101:$E$130,0))))</f>
        <v/>
      </c>
      <c r="T490" s="428"/>
      <c r="Z490" s="123"/>
      <c r="AB490" s="263" t="str">
        <f>CONST_PrecursorToGoodInput &amp; D490 &amp; "_" &amp; D486</f>
        <v>PrecToGood__</v>
      </c>
      <c r="AD490" s="264">
        <f>SUMIF(D_Processes!R:R,AB490,D_Processes!K:K)</f>
        <v>0</v>
      </c>
      <c r="AE490" s="263">
        <f>SUMIF(D_Processes!R:R,CONST_CNTR_TotProd &amp; D490,D_Processes!L:L)</f>
        <v>0</v>
      </c>
      <c r="AG490" s="102" t="b">
        <f t="shared" ref="AG490:AG519" si="104">COUNTIF(CNTR_List_ExistPurchPrecNames,D490)&gt;0</f>
        <v>0</v>
      </c>
    </row>
    <row r="491" spans="1:41" ht="12.75" customHeight="1" x14ac:dyDescent="0.35">
      <c r="A491" s="92"/>
      <c r="B491" s="94"/>
      <c r="C491" s="978">
        <v>2</v>
      </c>
      <c r="D491" s="1417" t="str">
        <f>IF(D486="","",IF(COUNTIF(INDEX(CNTR_IOSupplyChain,MATCH(D486,CNTR_IOProcAndPrec,0),),C491)=0,"",INDEX(CNTR_IOProcAndPrec,MATCH(C491,INDEX(CNTR_IOSupplyChain,MATCH(D486,CNTR_IOProcAndPrec,0),),0))))</f>
        <v/>
      </c>
      <c r="E491" s="1418"/>
      <c r="F491" s="265" t="str">
        <f t="shared" si="103"/>
        <v/>
      </c>
      <c r="G491" s="266" t="str">
        <f>IF(D491="","",INDEX(CNTR_Matrix_Inv,MATCH(D486,CNTR_IOProcAndPrec,0),MATCH(D491,CNTR_IOProcAndPrec,0)))</f>
        <v/>
      </c>
      <c r="H491" s="286" t="str">
        <f>IF(D491="","",IF(AG491,INDEX(E_PurchPrec!U:U,MATCH(CONST_PurchPrecDefaultUsed&amp;D491,E_PurchPrec!R:R,0)),CONST_NA))</f>
        <v/>
      </c>
      <c r="I491" s="266" t="str">
        <f>IF($D491="","",SUM($G491)*SUM(INDEX(InputOutput!$AJ$71:$AJ$100,MATCH($D491,InputOutput!$D$71:$D$100,0))))</f>
        <v/>
      </c>
      <c r="J491" s="266" t="str">
        <f>IF($D491="","",SUM($G491)*SUM(INDEX(InputOutput!$AL$71:$AL$100,MATCH($D491,InputOutput!$D$71:$D$100,0))))</f>
        <v/>
      </c>
      <c r="K491" s="266" t="str">
        <f t="shared" si="101"/>
        <v/>
      </c>
      <c r="L491" s="267" t="str">
        <f>IF(D491="","",SUM(I491)*SUM(AD489))</f>
        <v/>
      </c>
      <c r="M491" s="267" t="str">
        <f>IF(D491="","",SUM(J491)*SUM(AD489))</f>
        <v/>
      </c>
      <c r="N491" s="267" t="str">
        <f t="shared" si="102"/>
        <v/>
      </c>
      <c r="O491" s="267" t="str">
        <f>IF(AG491,INDEX(E_PurchPrec!U:U,MATCH(CONST_CNTR_ElecEFMethod&amp;D491,E_PurchPrec!R:R,0)),INDEX(D_Processes!T:T,MATCH(CONST_CNTR_ElecEFMethod&amp;D491,D_Processes!R:R,0)))</f>
        <v/>
      </c>
      <c r="P491" s="266" t="str">
        <f>IF($D491="","",SUM($G491)*SUM(INDEX(InputOutput!$AN$71:$AN$100,MATCH($D491,InputOutput!$D$71:$D$100,0))))</f>
        <v/>
      </c>
      <c r="Q491" s="673" t="str">
        <f>IF(D491="","",IF(AG491,INDEX(A_InstData!$F$102:$F$121,MATCH(D491,CNTR_List_ExistPurchPrecNames,0)),""))</f>
        <v/>
      </c>
      <c r="R491" s="678" t="str">
        <f>IF($D491="","",SUM($G491)*SUM(INDEX(F_Tools!$T$101:$T$130,MATCH($D491,F_Tools!$E$101:$E$130,0))))</f>
        <v/>
      </c>
      <c r="S491" s="669" t="str">
        <f>IF($D491="","",SUM($G491)*SUM(INDEX(F_Tools!$U$101:$U$130,MATCH($D491,F_Tools!$E$101:$E$130,0))))</f>
        <v/>
      </c>
      <c r="T491" s="428"/>
      <c r="Z491" s="123"/>
      <c r="AB491" s="268" t="str">
        <f>CONST_PrecursorToGoodInput &amp; D491 &amp; "_" &amp; D486</f>
        <v>PrecToGood__</v>
      </c>
      <c r="AD491" s="269">
        <f>SUMIF(D_Processes!R:R,AB491,D_Processes!K:K)</f>
        <v>0</v>
      </c>
      <c r="AE491" s="268">
        <f>SUMIF(D_Processes!R:R,CONST_CNTR_TotProd &amp; D491,D_Processes!L:L)</f>
        <v>0</v>
      </c>
      <c r="AG491" s="102" t="b">
        <f t="shared" si="104"/>
        <v>0</v>
      </c>
    </row>
    <row r="492" spans="1:41" ht="12.75" customHeight="1" x14ac:dyDescent="0.35">
      <c r="A492" s="92"/>
      <c r="B492" s="94"/>
      <c r="C492" s="978">
        <v>3</v>
      </c>
      <c r="D492" s="1417" t="str">
        <f>IF(D486="","",IF(COUNTIF(INDEX(CNTR_IOSupplyChain,MATCH(D486,CNTR_IOProcAndPrec,0),),C492)=0,"",INDEX(CNTR_IOProcAndPrec,MATCH(C492,INDEX(CNTR_IOSupplyChain,MATCH(D486,CNTR_IOProcAndPrec,0),),0))))</f>
        <v/>
      </c>
      <c r="E492" s="1418"/>
      <c r="F492" s="265" t="str">
        <f t="shared" si="103"/>
        <v/>
      </c>
      <c r="G492" s="266" t="str">
        <f>IF(D492="","",INDEX(CNTR_Matrix_Inv,MATCH(D486,CNTR_IOProcAndPrec,0),MATCH(D492,CNTR_IOProcAndPrec,0)))</f>
        <v/>
      </c>
      <c r="H492" s="286" t="str">
        <f>IF(D492="","",IF(AG492,INDEX(E_PurchPrec!U:U,MATCH(CONST_PurchPrecDefaultUsed&amp;D492,E_PurchPrec!R:R,0)),CONST_NA))</f>
        <v/>
      </c>
      <c r="I492" s="266" t="str">
        <f>IF($D492="","",SUM($G492)*SUM(INDEX(InputOutput!$AJ$71:$AJ$100,MATCH($D492,InputOutput!$D$71:$D$100,0))))</f>
        <v/>
      </c>
      <c r="J492" s="266" t="str">
        <f>IF($D492="","",SUM($G492)*SUM(INDEX(InputOutput!$AL$71:$AL$100,MATCH($D492,InputOutput!$D$71:$D$100,0))))</f>
        <v/>
      </c>
      <c r="K492" s="266" t="str">
        <f t="shared" si="101"/>
        <v/>
      </c>
      <c r="L492" s="267" t="str">
        <f>IF(D492="","",SUM(I492)*SUM(AD489))</f>
        <v/>
      </c>
      <c r="M492" s="267" t="str">
        <f>IF(D492="","",SUM(J492)*SUM(AD489))</f>
        <v/>
      </c>
      <c r="N492" s="267" t="str">
        <f t="shared" si="102"/>
        <v/>
      </c>
      <c r="O492" s="267" t="str">
        <f>IF(AG492,INDEX(E_PurchPrec!U:U,MATCH(CONST_CNTR_ElecEFMethod&amp;D492,E_PurchPrec!R:R,0)),INDEX(D_Processes!T:T,MATCH(CONST_CNTR_ElecEFMethod&amp;D492,D_Processes!R:R,0)))</f>
        <v/>
      </c>
      <c r="P492" s="266" t="str">
        <f>IF($D492="","",SUM($G492)*SUM(INDEX(InputOutput!$AN$71:$AN$100,MATCH($D492,InputOutput!$D$71:$D$100,0))))</f>
        <v/>
      </c>
      <c r="Q492" s="673" t="str">
        <f>IF(D492="","",IF(AG492,INDEX(A_InstData!$F$102:$F$121,MATCH(D492,CNTR_List_ExistPurchPrecNames,0)),""))</f>
        <v/>
      </c>
      <c r="R492" s="678" t="str">
        <f>IF($D492="","",SUM($G492)*SUM(INDEX(F_Tools!$T$101:$T$130,MATCH($D492,F_Tools!$E$101:$E$130,0))))</f>
        <v/>
      </c>
      <c r="S492" s="669" t="str">
        <f>IF($D492="","",SUM($G492)*SUM(INDEX(F_Tools!$U$101:$U$130,MATCH($D492,F_Tools!$E$101:$E$130,0))))</f>
        <v/>
      </c>
      <c r="T492" s="428"/>
      <c r="Z492" s="123"/>
      <c r="AB492" s="268" t="str">
        <f>CONST_PrecursorToGoodInput &amp; D492 &amp; "_" &amp; D486</f>
        <v>PrecToGood__</v>
      </c>
      <c r="AD492" s="269">
        <f>SUMIF(D_Processes!R:R,AB492,D_Processes!K:K)</f>
        <v>0</v>
      </c>
      <c r="AE492" s="268">
        <f>SUMIF(D_Processes!R:R,CONST_CNTR_TotProd &amp; D492,D_Processes!L:L)</f>
        <v>0</v>
      </c>
      <c r="AG492" s="102" t="b">
        <f t="shared" si="104"/>
        <v>0</v>
      </c>
    </row>
    <row r="493" spans="1:41" ht="12.75" customHeight="1" x14ac:dyDescent="0.35">
      <c r="A493" s="92"/>
      <c r="B493" s="94"/>
      <c r="C493" s="978">
        <v>4</v>
      </c>
      <c r="D493" s="1417" t="str">
        <f>IF(D486="","",IF(COUNTIF(INDEX(CNTR_IOSupplyChain,MATCH(D486,CNTR_IOProcAndPrec,0),),C493)=0,"",INDEX(CNTR_IOProcAndPrec,MATCH(C493,INDEX(CNTR_IOSupplyChain,MATCH(D486,CNTR_IOProcAndPrec,0),),0))))</f>
        <v/>
      </c>
      <c r="E493" s="1418"/>
      <c r="F493" s="265" t="str">
        <f t="shared" si="103"/>
        <v/>
      </c>
      <c r="G493" s="266" t="str">
        <f>IF(D493="","",INDEX(CNTR_Matrix_Inv,MATCH(D486,CNTR_IOProcAndPrec,0),MATCH(D493,CNTR_IOProcAndPrec,0)))</f>
        <v/>
      </c>
      <c r="H493" s="286" t="str">
        <f>IF(D493="","",IF(AG493,INDEX(E_PurchPrec!U:U,MATCH(CONST_PurchPrecDefaultUsed&amp;D493,E_PurchPrec!R:R,0)),CONST_NA))</f>
        <v/>
      </c>
      <c r="I493" s="266" t="str">
        <f>IF($D493="","",SUM($G493)*SUM(INDEX(InputOutput!$AJ$71:$AJ$100,MATCH($D493,InputOutput!$D$71:$D$100,0))))</f>
        <v/>
      </c>
      <c r="J493" s="266" t="str">
        <f>IF($D493="","",SUM($G493)*SUM(INDEX(InputOutput!$AL$71:$AL$100,MATCH($D493,InputOutput!$D$71:$D$100,0))))</f>
        <v/>
      </c>
      <c r="K493" s="266" t="str">
        <f t="shared" si="101"/>
        <v/>
      </c>
      <c r="L493" s="267" t="str">
        <f>IF(D493="","",SUM(I493)*SUM(AD489))</f>
        <v/>
      </c>
      <c r="M493" s="267" t="str">
        <f>IF(D493="","",SUM(J493)*SUM(AD489))</f>
        <v/>
      </c>
      <c r="N493" s="267" t="str">
        <f t="shared" si="102"/>
        <v/>
      </c>
      <c r="O493" s="267" t="str">
        <f>IF(AG493,INDEX(E_PurchPrec!U:U,MATCH(CONST_CNTR_ElecEFMethod&amp;D493,E_PurchPrec!R:R,0)),INDEX(D_Processes!T:T,MATCH(CONST_CNTR_ElecEFMethod&amp;D493,D_Processes!R:R,0)))</f>
        <v/>
      </c>
      <c r="P493" s="266" t="str">
        <f>IF($D493="","",SUM($G493)*SUM(INDEX(InputOutput!$AN$71:$AN$100,MATCH($D493,InputOutput!$D$71:$D$100,0))))</f>
        <v/>
      </c>
      <c r="Q493" s="673" t="str">
        <f>IF(D493="","",IF(AG493,INDEX(A_InstData!$F$102:$F$121,MATCH(D493,CNTR_List_ExistPurchPrecNames,0)),""))</f>
        <v/>
      </c>
      <c r="R493" s="678" t="str">
        <f>IF($D493="","",SUM($G493)*SUM(INDEX(F_Tools!$T$101:$T$130,MATCH($D493,F_Tools!$E$101:$E$130,0))))</f>
        <v/>
      </c>
      <c r="S493" s="669" t="str">
        <f>IF($D493="","",SUM($G493)*SUM(INDEX(F_Tools!$U$101:$U$130,MATCH($D493,F_Tools!$E$101:$E$130,0))))</f>
        <v/>
      </c>
      <c r="T493" s="428"/>
      <c r="Z493" s="123"/>
      <c r="AB493" s="268" t="str">
        <f>CONST_PrecursorToGoodInput &amp; D493 &amp; "_" &amp; D486</f>
        <v>PrecToGood__</v>
      </c>
      <c r="AD493" s="269">
        <f>SUMIF(D_Processes!R:R,AB493,D_Processes!K:K)</f>
        <v>0</v>
      </c>
      <c r="AE493" s="268">
        <f>SUMIF(D_Processes!R:R,CONST_CNTR_TotProd &amp; D493,D_Processes!L:L)</f>
        <v>0</v>
      </c>
      <c r="AG493" s="102" t="b">
        <f t="shared" si="104"/>
        <v>0</v>
      </c>
    </row>
    <row r="494" spans="1:41" ht="12.75" customHeight="1" x14ac:dyDescent="0.35">
      <c r="A494" s="92"/>
      <c r="B494" s="94"/>
      <c r="C494" s="978">
        <v>5</v>
      </c>
      <c r="D494" s="1417" t="str">
        <f>IF(D486="","",IF(COUNTIF(INDEX(CNTR_IOSupplyChain,MATCH(D486,CNTR_IOProcAndPrec,0),),C494)=0,"",INDEX(CNTR_IOProcAndPrec,MATCH(C494,INDEX(CNTR_IOSupplyChain,MATCH(D486,CNTR_IOProcAndPrec,0),),0))))</f>
        <v/>
      </c>
      <c r="E494" s="1418"/>
      <c r="F494" s="265" t="str">
        <f t="shared" si="103"/>
        <v/>
      </c>
      <c r="G494" s="266" t="str">
        <f>IF(D494="","",INDEX(CNTR_Matrix_Inv,MATCH(D486,CNTR_IOProcAndPrec,0),MATCH(D494,CNTR_IOProcAndPrec,0)))</f>
        <v/>
      </c>
      <c r="H494" s="286" t="str">
        <f>IF(D494="","",IF(AG494,INDEX(E_PurchPrec!U:U,MATCH(CONST_PurchPrecDefaultUsed&amp;D494,E_PurchPrec!R:R,0)),CONST_NA))</f>
        <v/>
      </c>
      <c r="I494" s="266" t="str">
        <f>IF($D494="","",SUM($G494)*SUM(INDEX(InputOutput!$AJ$71:$AJ$100,MATCH($D494,InputOutput!$D$71:$D$100,0))))</f>
        <v/>
      </c>
      <c r="J494" s="266" t="str">
        <f>IF($D494="","",SUM($G494)*SUM(INDEX(InputOutput!$AL$71:$AL$100,MATCH($D494,InputOutput!$D$71:$D$100,0))))</f>
        <v/>
      </c>
      <c r="K494" s="266" t="str">
        <f t="shared" si="101"/>
        <v/>
      </c>
      <c r="L494" s="267" t="str">
        <f>IF(D494="","",SUM(I494)*SUM(AD489))</f>
        <v/>
      </c>
      <c r="M494" s="267" t="str">
        <f>IF(D494="","",SUM(J494)*SUM(AD489))</f>
        <v/>
      </c>
      <c r="N494" s="267" t="str">
        <f t="shared" si="102"/>
        <v/>
      </c>
      <c r="O494" s="267" t="str">
        <f>IF(AG494,INDEX(E_PurchPrec!U:U,MATCH(CONST_CNTR_ElecEFMethod&amp;D494,E_PurchPrec!R:R,0)),INDEX(D_Processes!T:T,MATCH(CONST_CNTR_ElecEFMethod&amp;D494,D_Processes!R:R,0)))</f>
        <v/>
      </c>
      <c r="P494" s="266" t="str">
        <f>IF($D494="","",SUM($G494)*SUM(INDEX(InputOutput!$AN$71:$AN$100,MATCH($D494,InputOutput!$D$71:$D$100,0))))</f>
        <v/>
      </c>
      <c r="Q494" s="673" t="str">
        <f>IF(D494="","",IF(AG494,INDEX(A_InstData!$F$102:$F$121,MATCH(D494,CNTR_List_ExistPurchPrecNames,0)),""))</f>
        <v/>
      </c>
      <c r="R494" s="678" t="str">
        <f>IF($D494="","",SUM($G494)*SUM(INDEX(F_Tools!$T$101:$T$130,MATCH($D494,F_Tools!$E$101:$E$130,0))))</f>
        <v/>
      </c>
      <c r="S494" s="669" t="str">
        <f>IF($D494="","",SUM($G494)*SUM(INDEX(F_Tools!$U$101:$U$130,MATCH($D494,F_Tools!$E$101:$E$130,0))))</f>
        <v/>
      </c>
      <c r="T494" s="428"/>
      <c r="Z494" s="123"/>
      <c r="AB494" s="268" t="str">
        <f>CONST_PrecursorToGoodInput &amp; D494 &amp; "_" &amp; D486</f>
        <v>PrecToGood__</v>
      </c>
      <c r="AD494" s="269">
        <f>SUMIF(D_Processes!R:R,AB494,D_Processes!K:K)</f>
        <v>0</v>
      </c>
      <c r="AE494" s="268">
        <f>SUMIF(D_Processes!R:R,CONST_CNTR_TotProd &amp; D494,D_Processes!L:L)</f>
        <v>0</v>
      </c>
      <c r="AG494" s="102" t="b">
        <f t="shared" si="104"/>
        <v>0</v>
      </c>
    </row>
    <row r="495" spans="1:41" ht="12.75" customHeight="1" outlineLevel="1" x14ac:dyDescent="0.35">
      <c r="A495" s="92"/>
      <c r="B495" s="94"/>
      <c r="C495" s="978">
        <v>6</v>
      </c>
      <c r="D495" s="1417" t="str">
        <f>IF(D486="","",IF(COUNTIF(INDEX(CNTR_IOSupplyChain,MATCH(D486,CNTR_IOProcAndPrec,0),),C495)=0,"",INDEX(CNTR_IOProcAndPrec,MATCH(C495,INDEX(CNTR_IOSupplyChain,MATCH(D486,CNTR_IOProcAndPrec,0),),0))))</f>
        <v/>
      </c>
      <c r="E495" s="1418"/>
      <c r="F495" s="265" t="str">
        <f t="shared" si="103"/>
        <v/>
      </c>
      <c r="G495" s="266" t="str">
        <f>IF(D495="","",INDEX(CNTR_Matrix_Inv,MATCH(D486,CNTR_IOProcAndPrec,0),MATCH(D495,CNTR_IOProcAndPrec,0)))</f>
        <v/>
      </c>
      <c r="H495" s="286" t="str">
        <f>IF(D495="","",IF(AG495,INDEX(E_PurchPrec!U:U,MATCH(CONST_PurchPrecDefaultUsed&amp;D495,E_PurchPrec!R:R,0)),CONST_NA))</f>
        <v/>
      </c>
      <c r="I495" s="266" t="str">
        <f>IF($D495="","",SUM($G495)*SUM(INDEX(InputOutput!$AJ$71:$AJ$100,MATCH($D495,InputOutput!$D$71:$D$100,0))))</f>
        <v/>
      </c>
      <c r="J495" s="266" t="str">
        <f>IF($D495="","",SUM($G495)*SUM(INDEX(InputOutput!$AL$71:$AL$100,MATCH($D495,InputOutput!$D$71:$D$100,0))))</f>
        <v/>
      </c>
      <c r="K495" s="266" t="str">
        <f t="shared" si="101"/>
        <v/>
      </c>
      <c r="L495" s="267" t="str">
        <f>IF(D495="","",SUM(I495)*SUM(AD489))</f>
        <v/>
      </c>
      <c r="M495" s="267" t="str">
        <f>IF(D495="","",SUM(J495)*SUM(AD489))</f>
        <v/>
      </c>
      <c r="N495" s="267" t="str">
        <f t="shared" si="102"/>
        <v/>
      </c>
      <c r="O495" s="267" t="str">
        <f>IF(AG495,INDEX(E_PurchPrec!U:U,MATCH(CONST_CNTR_ElecEFMethod&amp;D495,E_PurchPrec!R:R,0)),INDEX(D_Processes!T:T,MATCH(CONST_CNTR_ElecEFMethod&amp;D495,D_Processes!R:R,0)))</f>
        <v/>
      </c>
      <c r="P495" s="266" t="str">
        <f>IF($D495="","",SUM($G495)*SUM(INDEX(InputOutput!$AN$71:$AN$100,MATCH($D495,InputOutput!$D$71:$D$100,0))))</f>
        <v/>
      </c>
      <c r="Q495" s="673" t="str">
        <f>IF(D495="","",IF(AG495,INDEX(A_InstData!$F$102:$F$121,MATCH(D495,CNTR_List_ExistPurchPrecNames,0)),""))</f>
        <v/>
      </c>
      <c r="R495" s="678" t="str">
        <f>IF($D495="","",SUM($G495)*SUM(INDEX(F_Tools!$T$101:$T$130,MATCH($D495,F_Tools!$E$101:$E$130,0))))</f>
        <v/>
      </c>
      <c r="S495" s="669" t="str">
        <f>IF($D495="","",SUM($G495)*SUM(INDEX(F_Tools!$U$101:$U$130,MATCH($D495,F_Tools!$E$101:$E$130,0))))</f>
        <v/>
      </c>
      <c r="T495" s="428"/>
      <c r="Z495" s="123"/>
      <c r="AB495" s="268" t="str">
        <f>CONST_PrecursorToGoodInput &amp; D495 &amp; "_" &amp; D486</f>
        <v>PrecToGood__</v>
      </c>
      <c r="AD495" s="269">
        <f>SUMIF(D_Processes!R:R,AB495,D_Processes!K:K)</f>
        <v>0</v>
      </c>
      <c r="AE495" s="268">
        <f>SUMIF(D_Processes!R:R,CONST_CNTR_TotProd &amp; D495,D_Processes!L:L)</f>
        <v>0</v>
      </c>
      <c r="AG495" s="102" t="b">
        <f t="shared" si="104"/>
        <v>0</v>
      </c>
    </row>
    <row r="496" spans="1:41" ht="12.75" customHeight="1" outlineLevel="1" x14ac:dyDescent="0.35">
      <c r="A496" s="92"/>
      <c r="B496" s="94"/>
      <c r="C496" s="978">
        <v>7</v>
      </c>
      <c r="D496" s="1417" t="str">
        <f>IF(D486="","",IF(COUNTIF(INDEX(CNTR_IOSupplyChain,MATCH(D486,CNTR_IOProcAndPrec,0),),C496)=0,"",INDEX(CNTR_IOProcAndPrec,MATCH(C496,INDEX(CNTR_IOSupplyChain,MATCH(D486,CNTR_IOProcAndPrec,0),),0))))</f>
        <v/>
      </c>
      <c r="E496" s="1418"/>
      <c r="F496" s="265" t="str">
        <f t="shared" si="103"/>
        <v/>
      </c>
      <c r="G496" s="266" t="str">
        <f>IF(D496="","",INDEX(CNTR_Matrix_Inv,MATCH(D486,CNTR_IOProcAndPrec,0),MATCH(D496,CNTR_IOProcAndPrec,0)))</f>
        <v/>
      </c>
      <c r="H496" s="286" t="str">
        <f>IF(D496="","",IF(AG496,INDEX(E_PurchPrec!U:U,MATCH(CONST_PurchPrecDefaultUsed&amp;D496,E_PurchPrec!R:R,0)),CONST_NA))</f>
        <v/>
      </c>
      <c r="I496" s="266" t="str">
        <f>IF($D496="","",SUM($G496)*SUM(INDEX(InputOutput!$AJ$71:$AJ$100,MATCH($D496,InputOutput!$D$71:$D$100,0))))</f>
        <v/>
      </c>
      <c r="J496" s="266" t="str">
        <f>IF($D496="","",SUM($G496)*SUM(INDEX(InputOutput!$AL$71:$AL$100,MATCH($D496,InputOutput!$D$71:$D$100,0))))</f>
        <v/>
      </c>
      <c r="K496" s="266" t="str">
        <f t="shared" si="101"/>
        <v/>
      </c>
      <c r="L496" s="267" t="str">
        <f>IF(D496="","",SUM(I496)*SUM(AD489))</f>
        <v/>
      </c>
      <c r="M496" s="267" t="str">
        <f>IF(D496="","",SUM(J496)*SUM(AD489))</f>
        <v/>
      </c>
      <c r="N496" s="267" t="str">
        <f t="shared" si="102"/>
        <v/>
      </c>
      <c r="O496" s="267" t="str">
        <f>IF(AG496,INDEX(E_PurchPrec!U:U,MATCH(CONST_CNTR_ElecEFMethod&amp;D496,E_PurchPrec!R:R,0)),INDEX(D_Processes!T:T,MATCH(CONST_CNTR_ElecEFMethod&amp;D496,D_Processes!R:R,0)))</f>
        <v/>
      </c>
      <c r="P496" s="266" t="str">
        <f>IF($D496="","",SUM($G496)*SUM(INDEX(InputOutput!$AN$71:$AN$100,MATCH($D496,InputOutput!$D$71:$D$100,0))))</f>
        <v/>
      </c>
      <c r="Q496" s="673" t="str">
        <f>IF(D496="","",IF(AG496,INDEX(A_InstData!$F$102:$F$121,MATCH(D496,CNTR_List_ExistPurchPrecNames,0)),""))</f>
        <v/>
      </c>
      <c r="R496" s="678" t="str">
        <f>IF($D496="","",SUM($G496)*SUM(INDEX(F_Tools!$T$101:$T$130,MATCH($D496,F_Tools!$E$101:$E$130,0))))</f>
        <v/>
      </c>
      <c r="S496" s="669" t="str">
        <f>IF($D496="","",SUM($G496)*SUM(INDEX(F_Tools!$U$101:$U$130,MATCH($D496,F_Tools!$E$101:$E$130,0))))</f>
        <v/>
      </c>
      <c r="T496" s="428"/>
      <c r="Z496" s="123"/>
      <c r="AB496" s="268" t="str">
        <f>CONST_PrecursorToGoodInput &amp; D496 &amp; "_" &amp; D486</f>
        <v>PrecToGood__</v>
      </c>
      <c r="AD496" s="269">
        <f>SUMIF(D_Processes!R:R,AB496,D_Processes!K:K)</f>
        <v>0</v>
      </c>
      <c r="AE496" s="268">
        <f>SUMIF(D_Processes!R:R,CONST_CNTR_TotProd &amp; D496,D_Processes!L:L)</f>
        <v>0</v>
      </c>
      <c r="AG496" s="102" t="b">
        <f t="shared" si="104"/>
        <v>0</v>
      </c>
    </row>
    <row r="497" spans="1:33" ht="12.75" customHeight="1" outlineLevel="1" x14ac:dyDescent="0.35">
      <c r="A497" s="92"/>
      <c r="B497" s="94"/>
      <c r="C497" s="978">
        <v>8</v>
      </c>
      <c r="D497" s="1417" t="str">
        <f>IF(D486="","",IF(COUNTIF(INDEX(CNTR_IOSupplyChain,MATCH(D486,CNTR_IOProcAndPrec,0),),C497)=0,"",INDEX(CNTR_IOProcAndPrec,MATCH(C497,INDEX(CNTR_IOSupplyChain,MATCH(D486,CNTR_IOProcAndPrec,0),),0))))</f>
        <v/>
      </c>
      <c r="E497" s="1418"/>
      <c r="F497" s="265" t="str">
        <f t="shared" si="103"/>
        <v/>
      </c>
      <c r="G497" s="266" t="str">
        <f>IF(D497="","",INDEX(CNTR_Matrix_Inv,MATCH(D486,CNTR_IOProcAndPrec,0),MATCH(D497,CNTR_IOProcAndPrec,0)))</f>
        <v/>
      </c>
      <c r="H497" s="286" t="str">
        <f>IF(D497="","",IF(AG497,INDEX(E_PurchPrec!U:U,MATCH(CONST_PurchPrecDefaultUsed&amp;D497,E_PurchPrec!R:R,0)),CONST_NA))</f>
        <v/>
      </c>
      <c r="I497" s="266" t="str">
        <f>IF($D497="","",SUM($G497)*SUM(INDEX(InputOutput!$AJ$71:$AJ$100,MATCH($D497,InputOutput!$D$71:$D$100,0))))</f>
        <v/>
      </c>
      <c r="J497" s="266" t="str">
        <f>IF($D497="","",SUM($G497)*SUM(INDEX(InputOutput!$AL$71:$AL$100,MATCH($D497,InputOutput!$D$71:$D$100,0))))</f>
        <v/>
      </c>
      <c r="K497" s="266" t="str">
        <f t="shared" si="101"/>
        <v/>
      </c>
      <c r="L497" s="267" t="str">
        <f>IF(D497="","",SUM(I497)*SUM(AD489))</f>
        <v/>
      </c>
      <c r="M497" s="267" t="str">
        <f>IF(D497="","",SUM(J497)*SUM(AD489))</f>
        <v/>
      </c>
      <c r="N497" s="267" t="str">
        <f t="shared" si="102"/>
        <v/>
      </c>
      <c r="O497" s="267" t="str">
        <f>IF(AG497,INDEX(E_PurchPrec!U:U,MATCH(CONST_CNTR_ElecEFMethod&amp;D497,E_PurchPrec!R:R,0)),INDEX(D_Processes!T:T,MATCH(CONST_CNTR_ElecEFMethod&amp;D497,D_Processes!R:R,0)))</f>
        <v/>
      </c>
      <c r="P497" s="266" t="str">
        <f>IF($D497="","",SUM($G497)*SUM(INDEX(InputOutput!$AN$71:$AN$100,MATCH($D497,InputOutput!$D$71:$D$100,0))))</f>
        <v/>
      </c>
      <c r="Q497" s="673" t="str">
        <f>IF(D497="","",IF(AG497,INDEX(A_InstData!$F$102:$F$121,MATCH(D497,CNTR_List_ExistPurchPrecNames,0)),""))</f>
        <v/>
      </c>
      <c r="R497" s="678" t="str">
        <f>IF($D497="","",SUM($G497)*SUM(INDEX(F_Tools!$T$101:$T$130,MATCH($D497,F_Tools!$E$101:$E$130,0))))</f>
        <v/>
      </c>
      <c r="S497" s="669" t="str">
        <f>IF($D497="","",SUM($G497)*SUM(INDEX(F_Tools!$U$101:$U$130,MATCH($D497,F_Tools!$E$101:$E$130,0))))</f>
        <v/>
      </c>
      <c r="T497" s="428"/>
      <c r="Z497" s="123"/>
      <c r="AB497" s="268" t="str">
        <f>CONST_PrecursorToGoodInput &amp; D497 &amp; "_" &amp; D486</f>
        <v>PrecToGood__</v>
      </c>
      <c r="AD497" s="269">
        <f>SUMIF(D_Processes!R:R,AB497,D_Processes!K:K)</f>
        <v>0</v>
      </c>
      <c r="AE497" s="268">
        <f>SUMIF(D_Processes!R:R,CONST_CNTR_TotProd &amp; D497,D_Processes!L:L)</f>
        <v>0</v>
      </c>
      <c r="AG497" s="102" t="b">
        <f t="shared" si="104"/>
        <v>0</v>
      </c>
    </row>
    <row r="498" spans="1:33" ht="12.75" customHeight="1" outlineLevel="1" x14ac:dyDescent="0.35">
      <c r="A498" s="92"/>
      <c r="B498" s="94"/>
      <c r="C498" s="978">
        <v>9</v>
      </c>
      <c r="D498" s="1417" t="str">
        <f>IF(D486="","",IF(COUNTIF(INDEX(CNTR_IOSupplyChain,MATCH(D486,CNTR_IOProcAndPrec,0),),C498)=0,"",INDEX(CNTR_IOProcAndPrec,MATCH(C498,INDEX(CNTR_IOSupplyChain,MATCH(D486,CNTR_IOProcAndPrec,0),),0))))</f>
        <v/>
      </c>
      <c r="E498" s="1418"/>
      <c r="F498" s="265" t="str">
        <f t="shared" si="103"/>
        <v/>
      </c>
      <c r="G498" s="266" t="str">
        <f>IF(D498="","",INDEX(CNTR_Matrix_Inv,MATCH(D486,CNTR_IOProcAndPrec,0),MATCH(D498,CNTR_IOProcAndPrec,0)))</f>
        <v/>
      </c>
      <c r="H498" s="286" t="str">
        <f>IF(D498="","",IF(AG498,INDEX(E_PurchPrec!U:U,MATCH(CONST_PurchPrecDefaultUsed&amp;D498,E_PurchPrec!R:R,0)),CONST_NA))</f>
        <v/>
      </c>
      <c r="I498" s="266" t="str">
        <f>IF($D498="","",SUM($G498)*SUM(INDEX(InputOutput!$AJ$71:$AJ$100,MATCH($D498,InputOutput!$D$71:$D$100,0))))</f>
        <v/>
      </c>
      <c r="J498" s="266" t="str">
        <f>IF($D498="","",SUM($G498)*SUM(INDEX(InputOutput!$AL$71:$AL$100,MATCH($D498,InputOutput!$D$71:$D$100,0))))</f>
        <v/>
      </c>
      <c r="K498" s="266" t="str">
        <f t="shared" si="101"/>
        <v/>
      </c>
      <c r="L498" s="267" t="str">
        <f>IF(D498="","",SUM(I498)*SUM(AD489))</f>
        <v/>
      </c>
      <c r="M498" s="267" t="str">
        <f>IF(D498="","",SUM(J498)*SUM(AD489))</f>
        <v/>
      </c>
      <c r="N498" s="267" t="str">
        <f t="shared" si="102"/>
        <v/>
      </c>
      <c r="O498" s="267" t="str">
        <f>IF(AG498,INDEX(E_PurchPrec!U:U,MATCH(CONST_CNTR_ElecEFMethod&amp;D498,E_PurchPrec!R:R,0)),INDEX(D_Processes!T:T,MATCH(CONST_CNTR_ElecEFMethod&amp;D498,D_Processes!R:R,0)))</f>
        <v/>
      </c>
      <c r="P498" s="266" t="str">
        <f>IF($D498="","",SUM($G498)*SUM(INDEX(InputOutput!$AN$71:$AN$100,MATCH($D498,InputOutput!$D$71:$D$100,0))))</f>
        <v/>
      </c>
      <c r="Q498" s="673" t="str">
        <f>IF(D498="","",IF(AG498,INDEX(A_InstData!$F$102:$F$121,MATCH(D498,CNTR_List_ExistPurchPrecNames,0)),""))</f>
        <v/>
      </c>
      <c r="R498" s="678" t="str">
        <f>IF($D498="","",SUM($G498)*SUM(INDEX(F_Tools!$T$101:$T$130,MATCH($D498,F_Tools!$E$101:$E$130,0))))</f>
        <v/>
      </c>
      <c r="S498" s="669" t="str">
        <f>IF($D498="","",SUM($G498)*SUM(INDEX(F_Tools!$U$101:$U$130,MATCH($D498,F_Tools!$E$101:$E$130,0))))</f>
        <v/>
      </c>
      <c r="T498" s="428"/>
      <c r="Z498" s="123"/>
      <c r="AB498" s="268" t="str">
        <f>CONST_PrecursorToGoodInput &amp; D498 &amp; "_" &amp; D486</f>
        <v>PrecToGood__</v>
      </c>
      <c r="AD498" s="269">
        <f>SUMIF(D_Processes!R:R,AB498,D_Processes!K:K)</f>
        <v>0</v>
      </c>
      <c r="AE498" s="268">
        <f>SUMIF(D_Processes!R:R,CONST_CNTR_TotProd &amp; D498,D_Processes!L:L)</f>
        <v>0</v>
      </c>
      <c r="AG498" s="102" t="b">
        <f t="shared" si="104"/>
        <v>0</v>
      </c>
    </row>
    <row r="499" spans="1:33" ht="12.75" customHeight="1" outlineLevel="1" x14ac:dyDescent="0.35">
      <c r="A499" s="92"/>
      <c r="B499" s="94"/>
      <c r="C499" s="978">
        <v>10</v>
      </c>
      <c r="D499" s="1417" t="str">
        <f>IF(D486="","",IF(COUNTIF(INDEX(CNTR_IOSupplyChain,MATCH(D486,CNTR_IOProcAndPrec,0),),C499)=0,"",INDEX(CNTR_IOProcAndPrec,MATCH(C499,INDEX(CNTR_IOSupplyChain,MATCH(D486,CNTR_IOProcAndPrec,0),),0))))</f>
        <v/>
      </c>
      <c r="E499" s="1418"/>
      <c r="F499" s="265" t="str">
        <f t="shared" si="103"/>
        <v/>
      </c>
      <c r="G499" s="266" t="str">
        <f>IF(D499="","",INDEX(CNTR_Matrix_Inv,MATCH(D486,CNTR_IOProcAndPrec,0),MATCH(D499,CNTR_IOProcAndPrec,0)))</f>
        <v/>
      </c>
      <c r="H499" s="286" t="str">
        <f>IF(D499="","",IF(AG499,INDEX(E_PurchPrec!U:U,MATCH(CONST_PurchPrecDefaultUsed&amp;D499,E_PurchPrec!R:R,0)),CONST_NA))</f>
        <v/>
      </c>
      <c r="I499" s="266" t="str">
        <f>IF($D499="","",SUM($G499)*SUM(INDEX(InputOutput!$AJ$71:$AJ$100,MATCH($D499,InputOutput!$D$71:$D$100,0))))</f>
        <v/>
      </c>
      <c r="J499" s="266" t="str">
        <f>IF($D499="","",SUM($G499)*SUM(INDEX(InputOutput!$AL$71:$AL$100,MATCH($D499,InputOutput!$D$71:$D$100,0))))</f>
        <v/>
      </c>
      <c r="K499" s="266" t="str">
        <f t="shared" si="101"/>
        <v/>
      </c>
      <c r="L499" s="267" t="str">
        <f>IF(D499="","",SUM(I499)*SUM(AD489))</f>
        <v/>
      </c>
      <c r="M499" s="267" t="str">
        <f>IF(D499="","",SUM(J499)*SUM(AD489))</f>
        <v/>
      </c>
      <c r="N499" s="267" t="str">
        <f t="shared" si="102"/>
        <v/>
      </c>
      <c r="O499" s="267" t="str">
        <f>IF(AG499,INDEX(E_PurchPrec!U:U,MATCH(CONST_CNTR_ElecEFMethod&amp;D499,E_PurchPrec!R:R,0)),INDEX(D_Processes!T:T,MATCH(CONST_CNTR_ElecEFMethod&amp;D499,D_Processes!R:R,0)))</f>
        <v/>
      </c>
      <c r="P499" s="266" t="str">
        <f>IF($D499="","",SUM($G499)*SUM(INDEX(InputOutput!$AN$71:$AN$100,MATCH($D499,InputOutput!$D$71:$D$100,0))))</f>
        <v/>
      </c>
      <c r="Q499" s="673" t="str">
        <f>IF(D499="","",IF(AG499,INDEX(A_InstData!$F$102:$F$121,MATCH(D499,CNTR_List_ExistPurchPrecNames,0)),""))</f>
        <v/>
      </c>
      <c r="R499" s="678" t="str">
        <f>IF($D499="","",SUM($G499)*SUM(INDEX(F_Tools!$T$101:$T$130,MATCH($D499,F_Tools!$E$101:$E$130,0))))</f>
        <v/>
      </c>
      <c r="S499" s="669" t="str">
        <f>IF($D499="","",SUM($G499)*SUM(INDEX(F_Tools!$U$101:$U$130,MATCH($D499,F_Tools!$E$101:$E$130,0))))</f>
        <v/>
      </c>
      <c r="T499" s="428"/>
      <c r="Z499" s="123"/>
      <c r="AB499" s="268" t="str">
        <f>CONST_PrecursorToGoodInput &amp; D499 &amp; "_" &amp; D486</f>
        <v>PrecToGood__</v>
      </c>
      <c r="AD499" s="269">
        <f>SUMIF(D_Processes!R:R,AB499,D_Processes!K:K)</f>
        <v>0</v>
      </c>
      <c r="AE499" s="268">
        <f>SUMIF(D_Processes!R:R,CONST_CNTR_TotProd &amp; D499,D_Processes!L:L)</f>
        <v>0</v>
      </c>
      <c r="AG499" s="102" t="b">
        <f t="shared" si="104"/>
        <v>0</v>
      </c>
    </row>
    <row r="500" spans="1:33" ht="12.75" customHeight="1" outlineLevel="1" x14ac:dyDescent="0.35">
      <c r="A500" s="92"/>
      <c r="B500" s="94"/>
      <c r="C500" s="978">
        <v>11</v>
      </c>
      <c r="D500" s="1417" t="str">
        <f>IF(D486="","",IF(COUNTIF(INDEX(CNTR_IOSupplyChain,MATCH(D486,CNTR_IOProcAndPrec,0),),C500)=0,"",INDEX(CNTR_IOProcAndPrec,MATCH(C500,INDEX(CNTR_IOSupplyChain,MATCH(D486,CNTR_IOProcAndPrec,0),),0))))</f>
        <v/>
      </c>
      <c r="E500" s="1418"/>
      <c r="F500" s="265" t="str">
        <f t="shared" si="103"/>
        <v/>
      </c>
      <c r="G500" s="266" t="str">
        <f>IF(D500="","",INDEX(CNTR_Matrix_Inv,MATCH(D486,CNTR_IOProcAndPrec,0),MATCH(D500,CNTR_IOProcAndPrec,0)))</f>
        <v/>
      </c>
      <c r="H500" s="286" t="str">
        <f>IF(D500="","",IF(AG500,INDEX(E_PurchPrec!U:U,MATCH(CONST_PurchPrecDefaultUsed&amp;D500,E_PurchPrec!R:R,0)),CONST_NA))</f>
        <v/>
      </c>
      <c r="I500" s="266" t="str">
        <f>IF($D500="","",SUM($G500)*SUM(INDEX(InputOutput!$AJ$71:$AJ$100,MATCH($D500,InputOutput!$D$71:$D$100,0))))</f>
        <v/>
      </c>
      <c r="J500" s="266" t="str">
        <f>IF($D500="","",SUM($G500)*SUM(INDEX(InputOutput!$AL$71:$AL$100,MATCH($D500,InputOutput!$D$71:$D$100,0))))</f>
        <v/>
      </c>
      <c r="K500" s="266" t="str">
        <f t="shared" si="101"/>
        <v/>
      </c>
      <c r="L500" s="267" t="str">
        <f>IF(D500="","",SUM(I500)*SUM(AD489))</f>
        <v/>
      </c>
      <c r="M500" s="267" t="str">
        <f>IF(D500="","",SUM(J500)*SUM(AD489))</f>
        <v/>
      </c>
      <c r="N500" s="267" t="str">
        <f t="shared" si="102"/>
        <v/>
      </c>
      <c r="O500" s="267" t="str">
        <f>IF(AG500,INDEX(E_PurchPrec!U:U,MATCH(CONST_CNTR_ElecEFMethod&amp;D500,E_PurchPrec!R:R,0)),INDEX(D_Processes!T:T,MATCH(CONST_CNTR_ElecEFMethod&amp;D500,D_Processes!R:R,0)))</f>
        <v/>
      </c>
      <c r="P500" s="266" t="str">
        <f>IF($D500="","",SUM($G500)*SUM(INDEX(InputOutput!$AN$71:$AN$100,MATCH($D500,InputOutput!$D$71:$D$100,0))))</f>
        <v/>
      </c>
      <c r="Q500" s="673" t="str">
        <f>IF(D500="","",IF(AG500,INDEX(A_InstData!$F$102:$F$121,MATCH(D500,CNTR_List_ExistPurchPrecNames,0)),""))</f>
        <v/>
      </c>
      <c r="R500" s="678" t="str">
        <f>IF($D500="","",SUM($G500)*SUM(INDEX(F_Tools!$T$101:$T$130,MATCH($D500,F_Tools!$E$101:$E$130,0))))</f>
        <v/>
      </c>
      <c r="S500" s="669" t="str">
        <f>IF($D500="","",SUM($G500)*SUM(INDEX(F_Tools!$U$101:$U$130,MATCH($D500,F_Tools!$E$101:$E$130,0))))</f>
        <v/>
      </c>
      <c r="T500" s="428"/>
      <c r="Z500" s="123"/>
      <c r="AB500" s="268" t="str">
        <f>CONST_PrecursorToGoodInput &amp; D500 &amp; "_" &amp; D486</f>
        <v>PrecToGood__</v>
      </c>
      <c r="AD500" s="269">
        <f>SUMIF(D_Processes!R:R,AB500,D_Processes!K:K)</f>
        <v>0</v>
      </c>
      <c r="AE500" s="268">
        <f>SUMIF(D_Processes!R:R,CONST_CNTR_TotProd &amp; D500,D_Processes!L:L)</f>
        <v>0</v>
      </c>
      <c r="AG500" s="102" t="b">
        <f t="shared" si="104"/>
        <v>0</v>
      </c>
    </row>
    <row r="501" spans="1:33" ht="12.75" customHeight="1" outlineLevel="1" x14ac:dyDescent="0.35">
      <c r="A501" s="92"/>
      <c r="B501" s="94"/>
      <c r="C501" s="978">
        <v>12</v>
      </c>
      <c r="D501" s="1417" t="str">
        <f>IF(D486="","",IF(COUNTIF(INDEX(CNTR_IOSupplyChain,MATCH(D486,CNTR_IOProcAndPrec,0),),C501)=0,"",INDEX(CNTR_IOProcAndPrec,MATCH(C501,INDEX(CNTR_IOSupplyChain,MATCH(D486,CNTR_IOProcAndPrec,0),),0))))</f>
        <v/>
      </c>
      <c r="E501" s="1418"/>
      <c r="F501" s="265" t="str">
        <f t="shared" si="103"/>
        <v/>
      </c>
      <c r="G501" s="266" t="str">
        <f>IF(D501="","",INDEX(CNTR_Matrix_Inv,MATCH(D486,CNTR_IOProcAndPrec,0),MATCH(D501,CNTR_IOProcAndPrec,0)))</f>
        <v/>
      </c>
      <c r="H501" s="286" t="str">
        <f>IF(D501="","",IF(AG501,INDEX(E_PurchPrec!U:U,MATCH(CONST_PurchPrecDefaultUsed&amp;D501,E_PurchPrec!R:R,0)),CONST_NA))</f>
        <v/>
      </c>
      <c r="I501" s="266" t="str">
        <f>IF($D501="","",SUM($G501)*SUM(INDEX(InputOutput!$AJ$71:$AJ$100,MATCH($D501,InputOutput!$D$71:$D$100,0))))</f>
        <v/>
      </c>
      <c r="J501" s="266" t="str">
        <f>IF($D501="","",SUM($G501)*SUM(INDEX(InputOutput!$AL$71:$AL$100,MATCH($D501,InputOutput!$D$71:$D$100,0))))</f>
        <v/>
      </c>
      <c r="K501" s="266" t="str">
        <f t="shared" si="101"/>
        <v/>
      </c>
      <c r="L501" s="267" t="str">
        <f>IF(D501="","",SUM(I501)*SUM(AD489))</f>
        <v/>
      </c>
      <c r="M501" s="267" t="str">
        <f>IF(D501="","",SUM(J501)*SUM(AD489))</f>
        <v/>
      </c>
      <c r="N501" s="267" t="str">
        <f t="shared" si="102"/>
        <v/>
      </c>
      <c r="O501" s="267" t="str">
        <f>IF(AG501,INDEX(E_PurchPrec!U:U,MATCH(CONST_CNTR_ElecEFMethod&amp;D501,E_PurchPrec!R:R,0)),INDEX(D_Processes!T:T,MATCH(CONST_CNTR_ElecEFMethod&amp;D501,D_Processes!R:R,0)))</f>
        <v/>
      </c>
      <c r="P501" s="266" t="str">
        <f>IF($D501="","",SUM($G501)*SUM(INDEX(InputOutput!$AN$71:$AN$100,MATCH($D501,InputOutput!$D$71:$D$100,0))))</f>
        <v/>
      </c>
      <c r="Q501" s="673" t="str">
        <f>IF(D501="","",IF(AG501,INDEX(A_InstData!$F$102:$F$121,MATCH(D501,CNTR_List_ExistPurchPrecNames,0)),""))</f>
        <v/>
      </c>
      <c r="R501" s="678" t="str">
        <f>IF($D501="","",SUM($G501)*SUM(INDEX(F_Tools!$T$101:$T$130,MATCH($D501,F_Tools!$E$101:$E$130,0))))</f>
        <v/>
      </c>
      <c r="S501" s="669" t="str">
        <f>IF($D501="","",SUM($G501)*SUM(INDEX(F_Tools!$U$101:$U$130,MATCH($D501,F_Tools!$E$101:$E$130,0))))</f>
        <v/>
      </c>
      <c r="T501" s="428"/>
      <c r="Z501" s="123"/>
      <c r="AB501" s="268" t="str">
        <f>CONST_PrecursorToGoodInput &amp; D501 &amp; "_" &amp; D486</f>
        <v>PrecToGood__</v>
      </c>
      <c r="AD501" s="269">
        <f>SUMIF(D_Processes!R:R,AB501,D_Processes!K:K)</f>
        <v>0</v>
      </c>
      <c r="AE501" s="268">
        <f>SUMIF(D_Processes!R:R,CONST_CNTR_TotProd &amp; D501,D_Processes!L:L)</f>
        <v>0</v>
      </c>
      <c r="AG501" s="102" t="b">
        <f t="shared" si="104"/>
        <v>0</v>
      </c>
    </row>
    <row r="502" spans="1:33" ht="12.75" customHeight="1" outlineLevel="1" x14ac:dyDescent="0.35">
      <c r="A502" s="92"/>
      <c r="B502" s="94"/>
      <c r="C502" s="978">
        <v>13</v>
      </c>
      <c r="D502" s="1417" t="str">
        <f>IF(D486="","",IF(COUNTIF(INDEX(CNTR_IOSupplyChain,MATCH(D486,CNTR_IOProcAndPrec,0),),C502)=0,"",INDEX(CNTR_IOProcAndPrec,MATCH(C502,INDEX(CNTR_IOSupplyChain,MATCH(D486,CNTR_IOProcAndPrec,0),),0))))</f>
        <v/>
      </c>
      <c r="E502" s="1418"/>
      <c r="F502" s="265" t="str">
        <f t="shared" si="103"/>
        <v/>
      </c>
      <c r="G502" s="266" t="str">
        <f>IF(D502="","",INDEX(CNTR_Matrix_Inv,MATCH(D486,CNTR_IOProcAndPrec,0),MATCH(D502,CNTR_IOProcAndPrec,0)))</f>
        <v/>
      </c>
      <c r="H502" s="286" t="str">
        <f>IF(D502="","",IF(AG502,INDEX(E_PurchPrec!U:U,MATCH(CONST_PurchPrecDefaultUsed&amp;D502,E_PurchPrec!R:R,0)),CONST_NA))</f>
        <v/>
      </c>
      <c r="I502" s="266" t="str">
        <f>IF($D502="","",SUM($G502)*SUM(INDEX(InputOutput!$AJ$71:$AJ$100,MATCH($D502,InputOutput!$D$71:$D$100,0))))</f>
        <v/>
      </c>
      <c r="J502" s="266" t="str">
        <f>IF($D502="","",SUM($G502)*SUM(INDEX(InputOutput!$AL$71:$AL$100,MATCH($D502,InputOutput!$D$71:$D$100,0))))</f>
        <v/>
      </c>
      <c r="K502" s="266" t="str">
        <f t="shared" si="101"/>
        <v/>
      </c>
      <c r="L502" s="267" t="str">
        <f>IF(D502="","",SUM(I502)*SUM(AD489))</f>
        <v/>
      </c>
      <c r="M502" s="267" t="str">
        <f>IF(D502="","",SUM(J502)*SUM(AD489))</f>
        <v/>
      </c>
      <c r="N502" s="267" t="str">
        <f t="shared" si="102"/>
        <v/>
      </c>
      <c r="O502" s="267" t="str">
        <f>IF(AG502,INDEX(E_PurchPrec!U:U,MATCH(CONST_CNTR_ElecEFMethod&amp;D502,E_PurchPrec!R:R,0)),INDEX(D_Processes!T:T,MATCH(CONST_CNTR_ElecEFMethod&amp;D502,D_Processes!R:R,0)))</f>
        <v/>
      </c>
      <c r="P502" s="266" t="str">
        <f>IF($D502="","",SUM($G502)*SUM(INDEX(InputOutput!$AN$71:$AN$100,MATCH($D502,InputOutput!$D$71:$D$100,0))))</f>
        <v/>
      </c>
      <c r="Q502" s="673" t="str">
        <f>IF(D502="","",IF(AG502,INDEX(A_InstData!$F$102:$F$121,MATCH(D502,CNTR_List_ExistPurchPrecNames,0)),""))</f>
        <v/>
      </c>
      <c r="R502" s="678" t="str">
        <f>IF($D502="","",SUM($G502)*SUM(INDEX(F_Tools!$T$101:$T$130,MATCH($D502,F_Tools!$E$101:$E$130,0))))</f>
        <v/>
      </c>
      <c r="S502" s="669" t="str">
        <f>IF($D502="","",SUM($G502)*SUM(INDEX(F_Tools!$U$101:$U$130,MATCH($D502,F_Tools!$E$101:$E$130,0))))</f>
        <v/>
      </c>
      <c r="T502" s="428"/>
      <c r="Z502" s="123"/>
      <c r="AB502" s="268" t="str">
        <f>CONST_PrecursorToGoodInput &amp; D502 &amp; "_" &amp; D486</f>
        <v>PrecToGood__</v>
      </c>
      <c r="AD502" s="269">
        <f>SUMIF(D_Processes!R:R,AB502,D_Processes!K:K)</f>
        <v>0</v>
      </c>
      <c r="AE502" s="268">
        <f>SUMIF(D_Processes!R:R,CONST_CNTR_TotProd &amp; D502,D_Processes!L:L)</f>
        <v>0</v>
      </c>
      <c r="AG502" s="102" t="b">
        <f t="shared" si="104"/>
        <v>0</v>
      </c>
    </row>
    <row r="503" spans="1:33" ht="12.75" customHeight="1" outlineLevel="1" x14ac:dyDescent="0.35">
      <c r="A503" s="92"/>
      <c r="B503" s="94"/>
      <c r="C503" s="978">
        <v>14</v>
      </c>
      <c r="D503" s="1417" t="str">
        <f>IF(D486="","",IF(COUNTIF(INDEX(CNTR_IOSupplyChain,MATCH(D486,CNTR_IOProcAndPrec,0),),C503)=0,"",INDEX(CNTR_IOProcAndPrec,MATCH(C503,INDEX(CNTR_IOSupplyChain,MATCH(D486,CNTR_IOProcAndPrec,0),),0))))</f>
        <v/>
      </c>
      <c r="E503" s="1418"/>
      <c r="F503" s="265" t="str">
        <f t="shared" si="103"/>
        <v/>
      </c>
      <c r="G503" s="266" t="str">
        <f>IF(D503="","",INDEX(CNTR_Matrix_Inv,MATCH(D486,CNTR_IOProcAndPrec,0),MATCH(D503,CNTR_IOProcAndPrec,0)))</f>
        <v/>
      </c>
      <c r="H503" s="286" t="str">
        <f>IF(D503="","",IF(AG503,INDEX(E_PurchPrec!U:U,MATCH(CONST_PurchPrecDefaultUsed&amp;D503,E_PurchPrec!R:R,0)),CONST_NA))</f>
        <v/>
      </c>
      <c r="I503" s="266" t="str">
        <f>IF($D503="","",SUM($G503)*SUM(INDEX(InputOutput!$AJ$71:$AJ$100,MATCH($D503,InputOutput!$D$71:$D$100,0))))</f>
        <v/>
      </c>
      <c r="J503" s="266" t="str">
        <f>IF($D503="","",SUM($G503)*SUM(INDEX(InputOutput!$AL$71:$AL$100,MATCH($D503,InputOutput!$D$71:$D$100,0))))</f>
        <v/>
      </c>
      <c r="K503" s="266" t="str">
        <f t="shared" si="101"/>
        <v/>
      </c>
      <c r="L503" s="267" t="str">
        <f>IF(D503="","",SUM(I503)*SUM(AD489))</f>
        <v/>
      </c>
      <c r="M503" s="267" t="str">
        <f>IF(D503="","",SUM(J503)*SUM(AD489))</f>
        <v/>
      </c>
      <c r="N503" s="267" t="str">
        <f t="shared" si="102"/>
        <v/>
      </c>
      <c r="O503" s="267" t="str">
        <f>IF(AG503,INDEX(E_PurchPrec!U:U,MATCH(CONST_CNTR_ElecEFMethod&amp;D503,E_PurchPrec!R:R,0)),INDEX(D_Processes!T:T,MATCH(CONST_CNTR_ElecEFMethod&amp;D503,D_Processes!R:R,0)))</f>
        <v/>
      </c>
      <c r="P503" s="266" t="str">
        <f>IF($D503="","",SUM($G503)*SUM(INDEX(InputOutput!$AN$71:$AN$100,MATCH($D503,InputOutput!$D$71:$D$100,0))))</f>
        <v/>
      </c>
      <c r="Q503" s="673" t="str">
        <f>IF(D503="","",IF(AG503,INDEX(A_InstData!$F$102:$F$121,MATCH(D503,CNTR_List_ExistPurchPrecNames,0)),""))</f>
        <v/>
      </c>
      <c r="R503" s="678" t="str">
        <f>IF($D503="","",SUM($G503)*SUM(INDEX(F_Tools!$T$101:$T$130,MATCH($D503,F_Tools!$E$101:$E$130,0))))</f>
        <v/>
      </c>
      <c r="S503" s="669" t="str">
        <f>IF($D503="","",SUM($G503)*SUM(INDEX(F_Tools!$U$101:$U$130,MATCH($D503,F_Tools!$E$101:$E$130,0))))</f>
        <v/>
      </c>
      <c r="T503" s="428"/>
      <c r="Z503" s="123"/>
      <c r="AB503" s="268" t="str">
        <f>CONST_PrecursorToGoodInput &amp; D503 &amp; "_" &amp; D486</f>
        <v>PrecToGood__</v>
      </c>
      <c r="AD503" s="269">
        <f>SUMIF(D_Processes!R:R,AB503,D_Processes!K:K)</f>
        <v>0</v>
      </c>
      <c r="AE503" s="268">
        <f>SUMIF(D_Processes!R:R,CONST_CNTR_TotProd &amp; D503,D_Processes!L:L)</f>
        <v>0</v>
      </c>
      <c r="AG503" s="102" t="b">
        <f t="shared" si="104"/>
        <v>0</v>
      </c>
    </row>
    <row r="504" spans="1:33" ht="12.75" customHeight="1" outlineLevel="1" x14ac:dyDescent="0.35">
      <c r="A504" s="92"/>
      <c r="B504" s="94"/>
      <c r="C504" s="978">
        <v>15</v>
      </c>
      <c r="D504" s="1417" t="str">
        <f>IF(D486="","",IF(COUNTIF(INDEX(CNTR_IOSupplyChain,MATCH(D486,CNTR_IOProcAndPrec,0),),C504)=0,"",INDEX(CNTR_IOProcAndPrec,MATCH(C504,INDEX(CNTR_IOSupplyChain,MATCH(D486,CNTR_IOProcAndPrec,0),),0))))</f>
        <v/>
      </c>
      <c r="E504" s="1418"/>
      <c r="F504" s="265" t="str">
        <f t="shared" si="103"/>
        <v/>
      </c>
      <c r="G504" s="266" t="str">
        <f>IF(D504="","",INDEX(CNTR_Matrix_Inv,MATCH(D486,CNTR_IOProcAndPrec,0),MATCH(D504,CNTR_IOProcAndPrec,0)))</f>
        <v/>
      </c>
      <c r="H504" s="286" t="str">
        <f>IF(D504="","",IF(AG504,INDEX(E_PurchPrec!U:U,MATCH(CONST_PurchPrecDefaultUsed&amp;D504,E_PurchPrec!R:R,0)),CONST_NA))</f>
        <v/>
      </c>
      <c r="I504" s="266" t="str">
        <f>IF($D504="","",SUM($G504)*SUM(INDEX(InputOutput!$AJ$71:$AJ$100,MATCH($D504,InputOutput!$D$71:$D$100,0))))</f>
        <v/>
      </c>
      <c r="J504" s="266" t="str">
        <f>IF($D504="","",SUM($G504)*SUM(INDEX(InputOutput!$AL$71:$AL$100,MATCH($D504,InputOutput!$D$71:$D$100,0))))</f>
        <v/>
      </c>
      <c r="K504" s="266" t="str">
        <f t="shared" si="101"/>
        <v/>
      </c>
      <c r="L504" s="267" t="str">
        <f>IF(D504="","",SUM(I504)*SUM(AD489))</f>
        <v/>
      </c>
      <c r="M504" s="267" t="str">
        <f>IF(D504="","",SUM(J504)*SUM(AD489))</f>
        <v/>
      </c>
      <c r="N504" s="267" t="str">
        <f t="shared" si="102"/>
        <v/>
      </c>
      <c r="O504" s="267" t="str">
        <f>IF(AG504,INDEX(E_PurchPrec!U:U,MATCH(CONST_CNTR_ElecEFMethod&amp;D504,E_PurchPrec!R:R,0)),INDEX(D_Processes!T:T,MATCH(CONST_CNTR_ElecEFMethod&amp;D504,D_Processes!R:R,0)))</f>
        <v/>
      </c>
      <c r="P504" s="266" t="str">
        <f>IF($D504="","",SUM($G504)*SUM(INDEX(InputOutput!$AN$71:$AN$100,MATCH($D504,InputOutput!$D$71:$D$100,0))))</f>
        <v/>
      </c>
      <c r="Q504" s="673" t="str">
        <f>IF(D504="","",IF(AG504,INDEX(A_InstData!$F$102:$F$121,MATCH(D504,CNTR_List_ExistPurchPrecNames,0)),""))</f>
        <v/>
      </c>
      <c r="R504" s="678" t="str">
        <f>IF($D504="","",SUM($G504)*SUM(INDEX(F_Tools!$T$101:$T$130,MATCH($D504,F_Tools!$E$101:$E$130,0))))</f>
        <v/>
      </c>
      <c r="S504" s="669" t="str">
        <f>IF($D504="","",SUM($G504)*SUM(INDEX(F_Tools!$U$101:$U$130,MATCH($D504,F_Tools!$E$101:$E$130,0))))</f>
        <v/>
      </c>
      <c r="T504" s="428"/>
      <c r="Z504" s="123"/>
      <c r="AB504" s="268" t="str">
        <f>CONST_PrecursorToGoodInput &amp; D504 &amp; "_" &amp; D486</f>
        <v>PrecToGood__</v>
      </c>
      <c r="AD504" s="269">
        <f>SUMIF(D_Processes!R:R,AB504,D_Processes!K:K)</f>
        <v>0</v>
      </c>
      <c r="AE504" s="268">
        <f>SUMIF(D_Processes!R:R,CONST_CNTR_TotProd &amp; D504,D_Processes!L:L)</f>
        <v>0</v>
      </c>
      <c r="AG504" s="102" t="b">
        <f t="shared" si="104"/>
        <v>0</v>
      </c>
    </row>
    <row r="505" spans="1:33" ht="12.75" customHeight="1" outlineLevel="1" x14ac:dyDescent="0.35">
      <c r="A505" s="92"/>
      <c r="B505" s="94"/>
      <c r="C505" s="978">
        <v>16</v>
      </c>
      <c r="D505" s="1417" t="str">
        <f>IF(D486="","",IF(COUNTIF(INDEX(CNTR_IOSupplyChain,MATCH(D486,CNTR_IOProcAndPrec,0),),C505)=0,"",INDEX(CNTR_IOProcAndPrec,MATCH(C505,INDEX(CNTR_IOSupplyChain,MATCH(D486,CNTR_IOProcAndPrec,0),),0))))</f>
        <v/>
      </c>
      <c r="E505" s="1418"/>
      <c r="F505" s="265" t="str">
        <f t="shared" si="103"/>
        <v/>
      </c>
      <c r="G505" s="266" t="str">
        <f>IF(D505="","",INDEX(CNTR_Matrix_Inv,MATCH(D486,CNTR_IOProcAndPrec,0),MATCH(D505,CNTR_IOProcAndPrec,0)))</f>
        <v/>
      </c>
      <c r="H505" s="286" t="str">
        <f>IF(D505="","",IF(AG505,INDEX(E_PurchPrec!U:U,MATCH(CONST_PurchPrecDefaultUsed&amp;D505,E_PurchPrec!R:R,0)),CONST_NA))</f>
        <v/>
      </c>
      <c r="I505" s="266" t="str">
        <f>IF($D505="","",SUM($G505)*SUM(INDEX(InputOutput!$AJ$71:$AJ$100,MATCH($D505,InputOutput!$D$71:$D$100,0))))</f>
        <v/>
      </c>
      <c r="J505" s="266" t="str">
        <f>IF($D505="","",SUM($G505)*SUM(INDEX(InputOutput!$AL$71:$AL$100,MATCH($D505,InputOutput!$D$71:$D$100,0))))</f>
        <v/>
      </c>
      <c r="K505" s="266" t="str">
        <f t="shared" si="101"/>
        <v/>
      </c>
      <c r="L505" s="267" t="str">
        <f>IF(D505="","",SUM(I505)*SUM(AD489))</f>
        <v/>
      </c>
      <c r="M505" s="267" t="str">
        <f>IF(D505="","",SUM(J505)*SUM(AD489))</f>
        <v/>
      </c>
      <c r="N505" s="267" t="str">
        <f t="shared" si="102"/>
        <v/>
      </c>
      <c r="O505" s="267" t="str">
        <f>IF(AG505,INDEX(E_PurchPrec!U:U,MATCH(CONST_CNTR_ElecEFMethod&amp;D505,E_PurchPrec!R:R,0)),INDEX(D_Processes!T:T,MATCH(CONST_CNTR_ElecEFMethod&amp;D505,D_Processes!R:R,0)))</f>
        <v/>
      </c>
      <c r="P505" s="266" t="str">
        <f>IF($D505="","",SUM($G505)*SUM(INDEX(InputOutput!$AN$71:$AN$100,MATCH($D505,InputOutput!$D$71:$D$100,0))))</f>
        <v/>
      </c>
      <c r="Q505" s="673" t="str">
        <f>IF(D505="","",IF(AG505,INDEX(A_InstData!$F$102:$F$121,MATCH(D505,CNTR_List_ExistPurchPrecNames,0)),""))</f>
        <v/>
      </c>
      <c r="R505" s="678" t="str">
        <f>IF($D505="","",SUM($G505)*SUM(INDEX(F_Tools!$T$101:$T$130,MATCH($D505,F_Tools!$E$101:$E$130,0))))</f>
        <v/>
      </c>
      <c r="S505" s="669" t="str">
        <f>IF($D505="","",SUM($G505)*SUM(INDEX(F_Tools!$U$101:$U$130,MATCH($D505,F_Tools!$E$101:$E$130,0))))</f>
        <v/>
      </c>
      <c r="T505" s="428"/>
      <c r="Z505" s="123"/>
      <c r="AB505" s="268" t="str">
        <f>CONST_PrecursorToGoodInput &amp; D505 &amp; "_" &amp; D486</f>
        <v>PrecToGood__</v>
      </c>
      <c r="AD505" s="269">
        <f>SUMIF(D_Processes!R:R,AB505,D_Processes!K:K)</f>
        <v>0</v>
      </c>
      <c r="AE505" s="268">
        <f>SUMIF(D_Processes!R:R,CONST_CNTR_TotProd &amp; D505,D_Processes!L:L)</f>
        <v>0</v>
      </c>
      <c r="AG505" s="102" t="b">
        <f t="shared" si="104"/>
        <v>0</v>
      </c>
    </row>
    <row r="506" spans="1:33" ht="12.75" customHeight="1" outlineLevel="1" x14ac:dyDescent="0.35">
      <c r="A506" s="92"/>
      <c r="B506" s="94"/>
      <c r="C506" s="978">
        <v>17</v>
      </c>
      <c r="D506" s="1417" t="str">
        <f>IF(D486="","",IF(COUNTIF(INDEX(CNTR_IOSupplyChain,MATCH(D486,CNTR_IOProcAndPrec,0),),C506)=0,"",INDEX(CNTR_IOProcAndPrec,MATCH(C506,INDEX(CNTR_IOSupplyChain,MATCH(D486,CNTR_IOProcAndPrec,0),),0))))</f>
        <v/>
      </c>
      <c r="E506" s="1418"/>
      <c r="F506" s="265" t="str">
        <f t="shared" si="103"/>
        <v/>
      </c>
      <c r="G506" s="266" t="str">
        <f>IF(D506="","",INDEX(CNTR_Matrix_Inv,MATCH(D486,CNTR_IOProcAndPrec,0),MATCH(D506,CNTR_IOProcAndPrec,0)))</f>
        <v/>
      </c>
      <c r="H506" s="286" t="str">
        <f>IF(D506="","",IF(AG506,INDEX(E_PurchPrec!U:U,MATCH(CONST_PurchPrecDefaultUsed&amp;D506,E_PurchPrec!R:R,0)),CONST_NA))</f>
        <v/>
      </c>
      <c r="I506" s="266" t="str">
        <f>IF($D506="","",SUM($G506)*SUM(INDEX(InputOutput!$AJ$71:$AJ$100,MATCH($D506,InputOutput!$D$71:$D$100,0))))</f>
        <v/>
      </c>
      <c r="J506" s="266" t="str">
        <f>IF($D506="","",SUM($G506)*SUM(INDEX(InputOutput!$AL$71:$AL$100,MATCH($D506,InputOutput!$D$71:$D$100,0))))</f>
        <v/>
      </c>
      <c r="K506" s="266" t="str">
        <f t="shared" si="101"/>
        <v/>
      </c>
      <c r="L506" s="267" t="str">
        <f>IF(D506="","",SUM(I506)*SUM(AD489))</f>
        <v/>
      </c>
      <c r="M506" s="267" t="str">
        <f>IF(D506="","",SUM(J506)*SUM(AD489))</f>
        <v/>
      </c>
      <c r="N506" s="267" t="str">
        <f t="shared" si="102"/>
        <v/>
      </c>
      <c r="O506" s="267" t="str">
        <f>IF(AG506,INDEX(E_PurchPrec!U:U,MATCH(CONST_CNTR_ElecEFMethod&amp;D506,E_PurchPrec!R:R,0)),INDEX(D_Processes!T:T,MATCH(CONST_CNTR_ElecEFMethod&amp;D506,D_Processes!R:R,0)))</f>
        <v/>
      </c>
      <c r="P506" s="266" t="str">
        <f>IF($D506="","",SUM($G506)*SUM(INDEX(InputOutput!$AN$71:$AN$100,MATCH($D506,InputOutput!$D$71:$D$100,0))))</f>
        <v/>
      </c>
      <c r="Q506" s="673" t="str">
        <f>IF(D506="","",IF(AG506,INDEX(A_InstData!$F$102:$F$121,MATCH(D506,CNTR_List_ExistPurchPrecNames,0)),""))</f>
        <v/>
      </c>
      <c r="R506" s="678" t="str">
        <f>IF($D506="","",SUM($G506)*SUM(INDEX(F_Tools!$T$101:$T$130,MATCH($D506,F_Tools!$E$101:$E$130,0))))</f>
        <v/>
      </c>
      <c r="S506" s="669" t="str">
        <f>IF($D506="","",SUM($G506)*SUM(INDEX(F_Tools!$U$101:$U$130,MATCH($D506,F_Tools!$E$101:$E$130,0))))</f>
        <v/>
      </c>
      <c r="T506" s="428"/>
      <c r="Z506" s="123"/>
      <c r="AB506" s="268" t="str">
        <f>CONST_PrecursorToGoodInput &amp; D506 &amp; "_" &amp; D486</f>
        <v>PrecToGood__</v>
      </c>
      <c r="AD506" s="269">
        <f>SUMIF(D_Processes!R:R,AB506,D_Processes!K:K)</f>
        <v>0</v>
      </c>
      <c r="AE506" s="268">
        <f>SUMIF(D_Processes!R:R,CONST_CNTR_TotProd &amp; D506,D_Processes!L:L)</f>
        <v>0</v>
      </c>
      <c r="AG506" s="102" t="b">
        <f t="shared" si="104"/>
        <v>0</v>
      </c>
    </row>
    <row r="507" spans="1:33" ht="12.75" customHeight="1" outlineLevel="1" x14ac:dyDescent="0.35">
      <c r="A507" s="92"/>
      <c r="B507" s="94"/>
      <c r="C507" s="978">
        <v>18</v>
      </c>
      <c r="D507" s="1417" t="str">
        <f>IF(D486="","",IF(COUNTIF(INDEX(CNTR_IOSupplyChain,MATCH(D486,CNTR_IOProcAndPrec,0),),C507)=0,"",INDEX(CNTR_IOProcAndPrec,MATCH(C507,INDEX(CNTR_IOSupplyChain,MATCH(D486,CNTR_IOProcAndPrec,0),),0))))</f>
        <v/>
      </c>
      <c r="E507" s="1418"/>
      <c r="F507" s="265" t="str">
        <f t="shared" si="103"/>
        <v/>
      </c>
      <c r="G507" s="266" t="str">
        <f>IF(D507="","",INDEX(CNTR_Matrix_Inv,MATCH(D486,CNTR_IOProcAndPrec,0),MATCH(D507,CNTR_IOProcAndPrec,0)))</f>
        <v/>
      </c>
      <c r="H507" s="286" t="str">
        <f>IF(D507="","",IF(AG507,INDEX(E_PurchPrec!U:U,MATCH(CONST_PurchPrecDefaultUsed&amp;D507,E_PurchPrec!R:R,0)),CONST_NA))</f>
        <v/>
      </c>
      <c r="I507" s="266" t="str">
        <f>IF($D507="","",SUM($G507)*SUM(INDEX(InputOutput!$AJ$71:$AJ$100,MATCH($D507,InputOutput!$D$71:$D$100,0))))</f>
        <v/>
      </c>
      <c r="J507" s="266" t="str">
        <f>IF($D507="","",SUM($G507)*SUM(INDEX(InputOutput!$AL$71:$AL$100,MATCH($D507,InputOutput!$D$71:$D$100,0))))</f>
        <v/>
      </c>
      <c r="K507" s="266" t="str">
        <f t="shared" si="101"/>
        <v/>
      </c>
      <c r="L507" s="267" t="str">
        <f>IF(D507="","",SUM(I507)*SUM(AD489))</f>
        <v/>
      </c>
      <c r="M507" s="267" t="str">
        <f>IF(D507="","",SUM(J507)*SUM(AD489))</f>
        <v/>
      </c>
      <c r="N507" s="267" t="str">
        <f t="shared" si="102"/>
        <v/>
      </c>
      <c r="O507" s="267" t="str">
        <f>IF(AG507,INDEX(E_PurchPrec!U:U,MATCH(CONST_CNTR_ElecEFMethod&amp;D507,E_PurchPrec!R:R,0)),INDEX(D_Processes!T:T,MATCH(CONST_CNTR_ElecEFMethod&amp;D507,D_Processes!R:R,0)))</f>
        <v/>
      </c>
      <c r="P507" s="266" t="str">
        <f>IF($D507="","",SUM($G507)*SUM(INDEX(InputOutput!$AN$71:$AN$100,MATCH($D507,InputOutput!$D$71:$D$100,0))))</f>
        <v/>
      </c>
      <c r="Q507" s="673" t="str">
        <f>IF(D507="","",IF(AG507,INDEX(A_InstData!$F$102:$F$121,MATCH(D507,CNTR_List_ExistPurchPrecNames,0)),""))</f>
        <v/>
      </c>
      <c r="R507" s="678" t="str">
        <f>IF($D507="","",SUM($G507)*SUM(INDEX(F_Tools!$T$101:$T$130,MATCH($D507,F_Tools!$E$101:$E$130,0))))</f>
        <v/>
      </c>
      <c r="S507" s="669" t="str">
        <f>IF($D507="","",SUM($G507)*SUM(INDEX(F_Tools!$U$101:$U$130,MATCH($D507,F_Tools!$E$101:$E$130,0))))</f>
        <v/>
      </c>
      <c r="T507" s="428"/>
      <c r="Z507" s="123"/>
      <c r="AB507" s="268" t="str">
        <f>CONST_PrecursorToGoodInput &amp; D507 &amp; "_" &amp; D486</f>
        <v>PrecToGood__</v>
      </c>
      <c r="AD507" s="269">
        <f>SUMIF(D_Processes!R:R,AB507,D_Processes!K:K)</f>
        <v>0</v>
      </c>
      <c r="AE507" s="268">
        <f>SUMIF(D_Processes!R:R,CONST_CNTR_TotProd &amp; D507,D_Processes!L:L)</f>
        <v>0</v>
      </c>
      <c r="AG507" s="102" t="b">
        <f t="shared" si="104"/>
        <v>0</v>
      </c>
    </row>
    <row r="508" spans="1:33" ht="12.75" customHeight="1" outlineLevel="1" x14ac:dyDescent="0.35">
      <c r="A508" s="92"/>
      <c r="B508" s="94"/>
      <c r="C508" s="978">
        <v>19</v>
      </c>
      <c r="D508" s="1417" t="str">
        <f>IF(D486="","",IF(COUNTIF(INDEX(CNTR_IOSupplyChain,MATCH(D486,CNTR_IOProcAndPrec,0),),C508)=0,"",INDEX(CNTR_IOProcAndPrec,MATCH(C508,INDEX(CNTR_IOSupplyChain,MATCH(D486,CNTR_IOProcAndPrec,0),),0))))</f>
        <v/>
      </c>
      <c r="E508" s="1418"/>
      <c r="F508" s="265" t="str">
        <f t="shared" si="103"/>
        <v/>
      </c>
      <c r="G508" s="266" t="str">
        <f>IF(D508="","",INDEX(CNTR_Matrix_Inv,MATCH(D486,CNTR_IOProcAndPrec,0),MATCH(D508,CNTR_IOProcAndPrec,0)))</f>
        <v/>
      </c>
      <c r="H508" s="286" t="str">
        <f>IF(D508="","",IF(AG508,INDEX(E_PurchPrec!U:U,MATCH(CONST_PurchPrecDefaultUsed&amp;D508,E_PurchPrec!R:R,0)),CONST_NA))</f>
        <v/>
      </c>
      <c r="I508" s="266" t="str">
        <f>IF($D508="","",SUM($G508)*SUM(INDEX(InputOutput!$AJ$71:$AJ$100,MATCH($D508,InputOutput!$D$71:$D$100,0))))</f>
        <v/>
      </c>
      <c r="J508" s="266" t="str">
        <f>IF($D508="","",SUM($G508)*SUM(INDEX(InputOutput!$AL$71:$AL$100,MATCH($D508,InputOutput!$D$71:$D$100,0))))</f>
        <v/>
      </c>
      <c r="K508" s="266" t="str">
        <f t="shared" si="101"/>
        <v/>
      </c>
      <c r="L508" s="267" t="str">
        <f>IF(D508="","",SUM(I508)*SUM(AD489))</f>
        <v/>
      </c>
      <c r="M508" s="267" t="str">
        <f>IF(D508="","",SUM(J508)*SUM(AD489))</f>
        <v/>
      </c>
      <c r="N508" s="267" t="str">
        <f t="shared" si="102"/>
        <v/>
      </c>
      <c r="O508" s="267" t="str">
        <f>IF(AG508,INDEX(E_PurchPrec!U:U,MATCH(CONST_CNTR_ElecEFMethod&amp;D508,E_PurchPrec!R:R,0)),INDEX(D_Processes!T:T,MATCH(CONST_CNTR_ElecEFMethod&amp;D508,D_Processes!R:R,0)))</f>
        <v/>
      </c>
      <c r="P508" s="266" t="str">
        <f>IF($D508="","",SUM($G508)*SUM(INDEX(InputOutput!$AN$71:$AN$100,MATCH($D508,InputOutput!$D$71:$D$100,0))))</f>
        <v/>
      </c>
      <c r="Q508" s="673" t="str">
        <f>IF(D508="","",IF(AG508,INDEX(A_InstData!$F$102:$F$121,MATCH(D508,CNTR_List_ExistPurchPrecNames,0)),""))</f>
        <v/>
      </c>
      <c r="R508" s="678" t="str">
        <f>IF($D508="","",SUM($G508)*SUM(INDEX(F_Tools!$T$101:$T$130,MATCH($D508,F_Tools!$E$101:$E$130,0))))</f>
        <v/>
      </c>
      <c r="S508" s="669" t="str">
        <f>IF($D508="","",SUM($G508)*SUM(INDEX(F_Tools!$U$101:$U$130,MATCH($D508,F_Tools!$E$101:$E$130,0))))</f>
        <v/>
      </c>
      <c r="T508" s="428"/>
      <c r="Z508" s="123"/>
      <c r="AB508" s="268" t="str">
        <f>CONST_PrecursorToGoodInput &amp; D508 &amp; "_" &amp; D486</f>
        <v>PrecToGood__</v>
      </c>
      <c r="AD508" s="269">
        <f>SUMIF(D_Processes!R:R,AB508,D_Processes!K:K)</f>
        <v>0</v>
      </c>
      <c r="AE508" s="268">
        <f>SUMIF(D_Processes!R:R,CONST_CNTR_TotProd &amp; D508,D_Processes!L:L)</f>
        <v>0</v>
      </c>
      <c r="AG508" s="102" t="b">
        <f t="shared" si="104"/>
        <v>0</v>
      </c>
    </row>
    <row r="509" spans="1:33" ht="12.75" customHeight="1" outlineLevel="1" x14ac:dyDescent="0.35">
      <c r="A509" s="92"/>
      <c r="B509" s="94"/>
      <c r="C509" s="978">
        <v>20</v>
      </c>
      <c r="D509" s="1417" t="str">
        <f>IF(D486="","",IF(COUNTIF(INDEX(CNTR_IOSupplyChain,MATCH(D486,CNTR_IOProcAndPrec,0),),C509)=0,"",INDEX(CNTR_IOProcAndPrec,MATCH(C509,INDEX(CNTR_IOSupplyChain,MATCH(D486,CNTR_IOProcAndPrec,0),),0))))</f>
        <v/>
      </c>
      <c r="E509" s="1418"/>
      <c r="F509" s="265" t="str">
        <f t="shared" si="103"/>
        <v/>
      </c>
      <c r="G509" s="266" t="str">
        <f>IF(D509="","",INDEX(CNTR_Matrix_Inv,MATCH(D486,CNTR_IOProcAndPrec,0),MATCH(D509,CNTR_IOProcAndPrec,0)))</f>
        <v/>
      </c>
      <c r="H509" s="286" t="str">
        <f>IF(D509="","",IF(AG509,INDEX(E_PurchPrec!U:U,MATCH(CONST_PurchPrecDefaultUsed&amp;D509,E_PurchPrec!R:R,0)),CONST_NA))</f>
        <v/>
      </c>
      <c r="I509" s="266" t="str">
        <f>IF($D509="","",SUM($G509)*SUM(INDEX(InputOutput!$AJ$71:$AJ$100,MATCH($D509,InputOutput!$D$71:$D$100,0))))</f>
        <v/>
      </c>
      <c r="J509" s="266" t="str">
        <f>IF($D509="","",SUM($G509)*SUM(INDEX(InputOutput!$AL$71:$AL$100,MATCH($D509,InputOutput!$D$71:$D$100,0))))</f>
        <v/>
      </c>
      <c r="K509" s="266" t="str">
        <f t="shared" si="101"/>
        <v/>
      </c>
      <c r="L509" s="267" t="str">
        <f>IF(D509="","",SUM(I509)*SUM(AD489))</f>
        <v/>
      </c>
      <c r="M509" s="267" t="str">
        <f>IF(D509="","",SUM(J509)*SUM(AD489))</f>
        <v/>
      </c>
      <c r="N509" s="267" t="str">
        <f t="shared" si="102"/>
        <v/>
      </c>
      <c r="O509" s="267" t="str">
        <f>IF(AG509,INDEX(E_PurchPrec!U:U,MATCH(CONST_CNTR_ElecEFMethod&amp;D509,E_PurchPrec!R:R,0)),INDEX(D_Processes!T:T,MATCH(CONST_CNTR_ElecEFMethod&amp;D509,D_Processes!R:R,0)))</f>
        <v/>
      </c>
      <c r="P509" s="266" t="str">
        <f>IF($D509="","",SUM($G509)*SUM(INDEX(InputOutput!$AN$71:$AN$100,MATCH($D509,InputOutput!$D$71:$D$100,0))))</f>
        <v/>
      </c>
      <c r="Q509" s="673" t="str">
        <f>IF(D509="","",IF(AG509,INDEX(A_InstData!$F$102:$F$121,MATCH(D509,CNTR_List_ExistPurchPrecNames,0)),""))</f>
        <v/>
      </c>
      <c r="R509" s="678" t="str">
        <f>IF($D509="","",SUM($G509)*SUM(INDEX(F_Tools!$T$101:$T$130,MATCH($D509,F_Tools!$E$101:$E$130,0))))</f>
        <v/>
      </c>
      <c r="S509" s="669" t="str">
        <f>IF($D509="","",SUM($G509)*SUM(INDEX(F_Tools!$U$101:$U$130,MATCH($D509,F_Tools!$E$101:$E$130,0))))</f>
        <v/>
      </c>
      <c r="T509" s="428"/>
      <c r="Z509" s="123"/>
      <c r="AB509" s="268" t="str">
        <f>CONST_PrecursorToGoodInput &amp; D509 &amp; "_" &amp; D486</f>
        <v>PrecToGood__</v>
      </c>
      <c r="AD509" s="269">
        <f>SUMIF(D_Processes!R:R,AB509,D_Processes!K:K)</f>
        <v>0</v>
      </c>
      <c r="AE509" s="268">
        <f>SUMIF(D_Processes!R:R,CONST_CNTR_TotProd &amp; D509,D_Processes!L:L)</f>
        <v>0</v>
      </c>
      <c r="AG509" s="102" t="b">
        <f t="shared" si="104"/>
        <v>0</v>
      </c>
    </row>
    <row r="510" spans="1:33" ht="12.75" customHeight="1" outlineLevel="1" x14ac:dyDescent="0.35">
      <c r="A510" s="92"/>
      <c r="B510" s="94"/>
      <c r="C510" s="978">
        <v>21</v>
      </c>
      <c r="D510" s="1417" t="str">
        <f>IF(D486="","",IF(COUNTIF(INDEX(CNTR_IOSupplyChain,MATCH(D486,CNTR_IOProcAndPrec,0),),C510)=0,"",INDEX(CNTR_IOProcAndPrec,MATCH(C510,INDEX(CNTR_IOSupplyChain,MATCH(D486,CNTR_IOProcAndPrec,0),),0))))</f>
        <v/>
      </c>
      <c r="E510" s="1418"/>
      <c r="F510" s="265" t="str">
        <f t="shared" si="103"/>
        <v/>
      </c>
      <c r="G510" s="266" t="str">
        <f>IF(D510="","",INDEX(CNTR_Matrix_Inv,MATCH(D486,CNTR_IOProcAndPrec,0),MATCH(D510,CNTR_IOProcAndPrec,0)))</f>
        <v/>
      </c>
      <c r="H510" s="286" t="str">
        <f>IF(D510="","",IF(AG510,INDEX(E_PurchPrec!U:U,MATCH(CONST_PurchPrecDefaultUsed&amp;D510,E_PurchPrec!R:R,0)),CONST_NA))</f>
        <v/>
      </c>
      <c r="I510" s="266" t="str">
        <f>IF($D510="","",SUM($G510)*SUM(INDEX(InputOutput!$AJ$71:$AJ$100,MATCH($D510,InputOutput!$D$71:$D$100,0))))</f>
        <v/>
      </c>
      <c r="J510" s="266" t="str">
        <f>IF($D510="","",SUM($G510)*SUM(INDEX(InputOutput!$AL$71:$AL$100,MATCH($D510,InputOutput!$D$71:$D$100,0))))</f>
        <v/>
      </c>
      <c r="K510" s="266" t="str">
        <f t="shared" si="101"/>
        <v/>
      </c>
      <c r="L510" s="267" t="str">
        <f>IF(D510="","",SUM(I510)*SUM(AD489))</f>
        <v/>
      </c>
      <c r="M510" s="267" t="str">
        <f>IF(D510="","",SUM(J510)*SUM(AD489))</f>
        <v/>
      </c>
      <c r="N510" s="267" t="str">
        <f t="shared" si="102"/>
        <v/>
      </c>
      <c r="O510" s="267" t="str">
        <f>IF(AG510,INDEX(E_PurchPrec!U:U,MATCH(CONST_CNTR_ElecEFMethod&amp;D510,E_PurchPrec!R:R,0)),INDEX(D_Processes!T:T,MATCH(CONST_CNTR_ElecEFMethod&amp;D510,D_Processes!R:R,0)))</f>
        <v/>
      </c>
      <c r="P510" s="266" t="str">
        <f>IF($D510="","",SUM($G510)*SUM(INDEX(InputOutput!$AN$71:$AN$100,MATCH($D510,InputOutput!$D$71:$D$100,0))))</f>
        <v/>
      </c>
      <c r="Q510" s="673" t="str">
        <f>IF(D510="","",IF(AG510,INDEX(A_InstData!$F$102:$F$121,MATCH(D510,CNTR_List_ExistPurchPrecNames,0)),""))</f>
        <v/>
      </c>
      <c r="R510" s="678" t="str">
        <f>IF($D510="","",SUM($G510)*SUM(INDEX(F_Tools!$T$101:$T$130,MATCH($D510,F_Tools!$E$101:$E$130,0))))</f>
        <v/>
      </c>
      <c r="S510" s="669" t="str">
        <f>IF($D510="","",SUM($G510)*SUM(INDEX(F_Tools!$U$101:$U$130,MATCH($D510,F_Tools!$E$101:$E$130,0))))</f>
        <v/>
      </c>
      <c r="T510" s="428"/>
      <c r="Z510" s="123"/>
      <c r="AB510" s="268" t="str">
        <f>CONST_PrecursorToGoodInput &amp; D510 &amp; "_" &amp; D486</f>
        <v>PrecToGood__</v>
      </c>
      <c r="AD510" s="269">
        <f>SUMIF(D_Processes!R:R,AB510,D_Processes!K:K)</f>
        <v>0</v>
      </c>
      <c r="AE510" s="268">
        <f>SUMIF(D_Processes!R:R,CONST_CNTR_TotProd &amp; D510,D_Processes!L:L)</f>
        <v>0</v>
      </c>
      <c r="AG510" s="102" t="b">
        <f t="shared" si="104"/>
        <v>0</v>
      </c>
    </row>
    <row r="511" spans="1:33" ht="12.75" customHeight="1" outlineLevel="1" x14ac:dyDescent="0.35">
      <c r="A511" s="92"/>
      <c r="B511" s="94"/>
      <c r="C511" s="978">
        <v>22</v>
      </c>
      <c r="D511" s="1417" t="str">
        <f>IF(D486="","",IF(COUNTIF(INDEX(CNTR_IOSupplyChain,MATCH(D486,CNTR_IOProcAndPrec,0),),C511)=0,"",INDEX(CNTR_IOProcAndPrec,MATCH(C511,INDEX(CNTR_IOSupplyChain,MATCH(D486,CNTR_IOProcAndPrec,0),),0))))</f>
        <v/>
      </c>
      <c r="E511" s="1418"/>
      <c r="F511" s="265" t="str">
        <f t="shared" si="103"/>
        <v/>
      </c>
      <c r="G511" s="266" t="str">
        <f>IF(D511="","",INDEX(CNTR_Matrix_Inv,MATCH(D486,CNTR_IOProcAndPrec,0),MATCH(D511,CNTR_IOProcAndPrec,0)))</f>
        <v/>
      </c>
      <c r="H511" s="286" t="str">
        <f>IF(D511="","",IF(AG511,INDEX(E_PurchPrec!U:U,MATCH(CONST_PurchPrecDefaultUsed&amp;D511,E_PurchPrec!R:R,0)),CONST_NA))</f>
        <v/>
      </c>
      <c r="I511" s="266" t="str">
        <f>IF($D511="","",SUM($G511)*SUM(INDEX(InputOutput!$AJ$71:$AJ$100,MATCH($D511,InputOutput!$D$71:$D$100,0))))</f>
        <v/>
      </c>
      <c r="J511" s="266" t="str">
        <f>IF($D511="","",SUM($G511)*SUM(INDEX(InputOutput!$AL$71:$AL$100,MATCH($D511,InputOutput!$D$71:$D$100,0))))</f>
        <v/>
      </c>
      <c r="K511" s="266" t="str">
        <f t="shared" si="101"/>
        <v/>
      </c>
      <c r="L511" s="267" t="str">
        <f>IF(D511="","",SUM(I511)*SUM(AD489))</f>
        <v/>
      </c>
      <c r="M511" s="267" t="str">
        <f>IF(D511="","",SUM(J511)*SUM(AD489))</f>
        <v/>
      </c>
      <c r="N511" s="267" t="str">
        <f t="shared" si="102"/>
        <v/>
      </c>
      <c r="O511" s="267" t="str">
        <f>IF(AG511,INDEX(E_PurchPrec!U:U,MATCH(CONST_CNTR_ElecEFMethod&amp;D511,E_PurchPrec!R:R,0)),INDEX(D_Processes!T:T,MATCH(CONST_CNTR_ElecEFMethod&amp;D511,D_Processes!R:R,0)))</f>
        <v/>
      </c>
      <c r="P511" s="266" t="str">
        <f>IF($D511="","",SUM($G511)*SUM(INDEX(InputOutput!$AN$71:$AN$100,MATCH($D511,InputOutput!$D$71:$D$100,0))))</f>
        <v/>
      </c>
      <c r="Q511" s="673" t="str">
        <f>IF(D511="","",IF(AG511,INDEX(A_InstData!$F$102:$F$121,MATCH(D511,CNTR_List_ExistPurchPrecNames,0)),""))</f>
        <v/>
      </c>
      <c r="R511" s="678" t="str">
        <f>IF($D511="","",SUM($G511)*SUM(INDEX(F_Tools!$T$101:$T$130,MATCH($D511,F_Tools!$E$101:$E$130,0))))</f>
        <v/>
      </c>
      <c r="S511" s="669" t="str">
        <f>IF($D511="","",SUM($G511)*SUM(INDEX(F_Tools!$U$101:$U$130,MATCH($D511,F_Tools!$E$101:$E$130,0))))</f>
        <v/>
      </c>
      <c r="T511" s="428"/>
      <c r="Z511" s="123"/>
      <c r="AB511" s="268" t="str">
        <f>CONST_PrecursorToGoodInput &amp; D511 &amp; "_" &amp; D486</f>
        <v>PrecToGood__</v>
      </c>
      <c r="AD511" s="269">
        <f>SUMIF(D_Processes!R:R,AB511,D_Processes!K:K)</f>
        <v>0</v>
      </c>
      <c r="AE511" s="268">
        <f>SUMIF(D_Processes!R:R,CONST_CNTR_TotProd &amp; D511,D_Processes!L:L)</f>
        <v>0</v>
      </c>
      <c r="AG511" s="102" t="b">
        <f t="shared" si="104"/>
        <v>0</v>
      </c>
    </row>
    <row r="512" spans="1:33" ht="12.75" customHeight="1" outlineLevel="1" x14ac:dyDescent="0.35">
      <c r="A512" s="92"/>
      <c r="B512" s="94"/>
      <c r="C512" s="978">
        <v>23</v>
      </c>
      <c r="D512" s="1417" t="str">
        <f>IF(D486="","",IF(COUNTIF(INDEX(CNTR_IOSupplyChain,MATCH(D486,CNTR_IOProcAndPrec,0),),C512)=0,"",INDEX(CNTR_IOProcAndPrec,MATCH(C512,INDEX(CNTR_IOSupplyChain,MATCH(D486,CNTR_IOProcAndPrec,0),),0))))</f>
        <v/>
      </c>
      <c r="E512" s="1418"/>
      <c r="F512" s="265" t="str">
        <f t="shared" si="103"/>
        <v/>
      </c>
      <c r="G512" s="266" t="str">
        <f>IF(D512="","",INDEX(CNTR_Matrix_Inv,MATCH(D486,CNTR_IOProcAndPrec,0),MATCH(D512,CNTR_IOProcAndPrec,0)))</f>
        <v/>
      </c>
      <c r="H512" s="286" t="str">
        <f>IF(D512="","",IF(AG512,INDEX(E_PurchPrec!U:U,MATCH(CONST_PurchPrecDefaultUsed&amp;D512,E_PurchPrec!R:R,0)),CONST_NA))</f>
        <v/>
      </c>
      <c r="I512" s="266" t="str">
        <f>IF($D512="","",SUM($G512)*SUM(INDEX(InputOutput!$AJ$71:$AJ$100,MATCH($D512,InputOutput!$D$71:$D$100,0))))</f>
        <v/>
      </c>
      <c r="J512" s="266" t="str">
        <f>IF($D512="","",SUM($G512)*SUM(INDEX(InputOutput!$AL$71:$AL$100,MATCH($D512,InputOutput!$D$71:$D$100,0))))</f>
        <v/>
      </c>
      <c r="K512" s="266" t="str">
        <f t="shared" si="101"/>
        <v/>
      </c>
      <c r="L512" s="267" t="str">
        <f>IF(D512="","",SUM(I512)*SUM(AD489))</f>
        <v/>
      </c>
      <c r="M512" s="267" t="str">
        <f>IF(D512="","",SUM(J512)*SUM(AD489))</f>
        <v/>
      </c>
      <c r="N512" s="267" t="str">
        <f t="shared" si="102"/>
        <v/>
      </c>
      <c r="O512" s="267" t="str">
        <f>IF(AG512,INDEX(E_PurchPrec!U:U,MATCH(CONST_CNTR_ElecEFMethod&amp;D512,E_PurchPrec!R:R,0)),INDEX(D_Processes!T:T,MATCH(CONST_CNTR_ElecEFMethod&amp;D512,D_Processes!R:R,0)))</f>
        <v/>
      </c>
      <c r="P512" s="266" t="str">
        <f>IF($D512="","",SUM($G512)*SUM(INDEX(InputOutput!$AN$71:$AN$100,MATCH($D512,InputOutput!$D$71:$D$100,0))))</f>
        <v/>
      </c>
      <c r="Q512" s="673" t="str">
        <f>IF(D512="","",IF(AG512,INDEX(A_InstData!$F$102:$F$121,MATCH(D512,CNTR_List_ExistPurchPrecNames,0)),""))</f>
        <v/>
      </c>
      <c r="R512" s="678" t="str">
        <f>IF($D512="","",SUM($G512)*SUM(INDEX(F_Tools!$T$101:$T$130,MATCH($D512,F_Tools!$E$101:$E$130,0))))</f>
        <v/>
      </c>
      <c r="S512" s="669" t="str">
        <f>IF($D512="","",SUM($G512)*SUM(INDEX(F_Tools!$U$101:$U$130,MATCH($D512,F_Tools!$E$101:$E$130,0))))</f>
        <v/>
      </c>
      <c r="T512" s="428"/>
      <c r="Z512" s="123"/>
      <c r="AB512" s="268" t="str">
        <f>CONST_PrecursorToGoodInput &amp; D512 &amp; "_" &amp; D486</f>
        <v>PrecToGood__</v>
      </c>
      <c r="AD512" s="269">
        <f>SUMIF(D_Processes!R:R,AB512,D_Processes!K:K)</f>
        <v>0</v>
      </c>
      <c r="AE512" s="268">
        <f>SUMIF(D_Processes!R:R,CONST_CNTR_TotProd &amp; D512,D_Processes!L:L)</f>
        <v>0</v>
      </c>
      <c r="AG512" s="102" t="b">
        <f t="shared" si="104"/>
        <v>0</v>
      </c>
    </row>
    <row r="513" spans="1:33" ht="12.75" customHeight="1" outlineLevel="1" x14ac:dyDescent="0.35">
      <c r="A513" s="92"/>
      <c r="B513" s="94"/>
      <c r="C513" s="978">
        <v>24</v>
      </c>
      <c r="D513" s="1417" t="str">
        <f>IF(D486="","",IF(COUNTIF(INDEX(CNTR_IOSupplyChain,MATCH(D486,CNTR_IOProcAndPrec,0),),C513)=0,"",INDEX(CNTR_IOProcAndPrec,MATCH(C513,INDEX(CNTR_IOSupplyChain,MATCH(D486,CNTR_IOProcAndPrec,0),),0))))</f>
        <v/>
      </c>
      <c r="E513" s="1418"/>
      <c r="F513" s="265" t="str">
        <f t="shared" si="103"/>
        <v/>
      </c>
      <c r="G513" s="266" t="str">
        <f>IF(D513="","",INDEX(CNTR_Matrix_Inv,MATCH(D486,CNTR_IOProcAndPrec,0),MATCH(D513,CNTR_IOProcAndPrec,0)))</f>
        <v/>
      </c>
      <c r="H513" s="286" t="str">
        <f>IF(D513="","",IF(AG513,INDEX(E_PurchPrec!U:U,MATCH(CONST_PurchPrecDefaultUsed&amp;D513,E_PurchPrec!R:R,0)),CONST_NA))</f>
        <v/>
      </c>
      <c r="I513" s="266" t="str">
        <f>IF($D513="","",SUM($G513)*SUM(INDEX(InputOutput!$AJ$71:$AJ$100,MATCH($D513,InputOutput!$D$71:$D$100,0))))</f>
        <v/>
      </c>
      <c r="J513" s="266" t="str">
        <f>IF($D513="","",SUM($G513)*SUM(INDEX(InputOutput!$AL$71:$AL$100,MATCH($D513,InputOutput!$D$71:$D$100,0))))</f>
        <v/>
      </c>
      <c r="K513" s="266" t="str">
        <f t="shared" si="101"/>
        <v/>
      </c>
      <c r="L513" s="267" t="str">
        <f>IF(D513="","",SUM(I513)*SUM(AD489))</f>
        <v/>
      </c>
      <c r="M513" s="267" t="str">
        <f>IF(D513="","",SUM(J513)*SUM(AD489))</f>
        <v/>
      </c>
      <c r="N513" s="267" t="str">
        <f t="shared" si="102"/>
        <v/>
      </c>
      <c r="O513" s="267" t="str">
        <f>IF(AG513,INDEX(E_PurchPrec!U:U,MATCH(CONST_CNTR_ElecEFMethod&amp;D513,E_PurchPrec!R:R,0)),INDEX(D_Processes!T:T,MATCH(CONST_CNTR_ElecEFMethod&amp;D513,D_Processes!R:R,0)))</f>
        <v/>
      </c>
      <c r="P513" s="266" t="str">
        <f>IF($D513="","",SUM($G513)*SUM(INDEX(InputOutput!$AN$71:$AN$100,MATCH($D513,InputOutput!$D$71:$D$100,0))))</f>
        <v/>
      </c>
      <c r="Q513" s="673" t="str">
        <f>IF(D513="","",IF(AG513,INDEX(A_InstData!$F$102:$F$121,MATCH(D513,CNTR_List_ExistPurchPrecNames,0)),""))</f>
        <v/>
      </c>
      <c r="R513" s="678" t="str">
        <f>IF($D513="","",SUM($G513)*SUM(INDEX(F_Tools!$T$101:$T$130,MATCH($D513,F_Tools!$E$101:$E$130,0))))</f>
        <v/>
      </c>
      <c r="S513" s="669" t="str">
        <f>IF($D513="","",SUM($G513)*SUM(INDEX(F_Tools!$U$101:$U$130,MATCH($D513,F_Tools!$E$101:$E$130,0))))</f>
        <v/>
      </c>
      <c r="T513" s="428"/>
      <c r="Z513" s="123"/>
      <c r="AB513" s="268" t="str">
        <f>CONST_PrecursorToGoodInput &amp; D513 &amp; "_" &amp; D486</f>
        <v>PrecToGood__</v>
      </c>
      <c r="AD513" s="269">
        <f>SUMIF(D_Processes!R:R,AB513,D_Processes!K:K)</f>
        <v>0</v>
      </c>
      <c r="AE513" s="268">
        <f>SUMIF(D_Processes!R:R,CONST_CNTR_TotProd &amp; D513,D_Processes!L:L)</f>
        <v>0</v>
      </c>
      <c r="AG513" s="102" t="b">
        <f t="shared" si="104"/>
        <v>0</v>
      </c>
    </row>
    <row r="514" spans="1:33" ht="12.75" customHeight="1" outlineLevel="1" x14ac:dyDescent="0.35">
      <c r="A514" s="92"/>
      <c r="B514" s="94"/>
      <c r="C514" s="978">
        <v>25</v>
      </c>
      <c r="D514" s="1417" t="str">
        <f>IF(D486="","",IF(COUNTIF(INDEX(CNTR_IOSupplyChain,MATCH(D486,CNTR_IOProcAndPrec,0),),C514)=0,"",INDEX(CNTR_IOProcAndPrec,MATCH(C514,INDEX(CNTR_IOSupplyChain,MATCH(D486,CNTR_IOProcAndPrec,0),),0))))</f>
        <v/>
      </c>
      <c r="E514" s="1418"/>
      <c r="F514" s="265" t="str">
        <f t="shared" si="103"/>
        <v/>
      </c>
      <c r="G514" s="266" t="str">
        <f>IF(D514="","",INDEX(CNTR_Matrix_Inv,MATCH(D486,CNTR_IOProcAndPrec,0),MATCH(D514,CNTR_IOProcAndPrec,0)))</f>
        <v/>
      </c>
      <c r="H514" s="286" t="str">
        <f>IF(D514="","",IF(AG514,INDEX(E_PurchPrec!U:U,MATCH(CONST_PurchPrecDefaultUsed&amp;D514,E_PurchPrec!R:R,0)),CONST_NA))</f>
        <v/>
      </c>
      <c r="I514" s="266" t="str">
        <f>IF($D514="","",SUM($G514)*SUM(INDEX(InputOutput!$AJ$71:$AJ$100,MATCH($D514,InputOutput!$D$71:$D$100,0))))</f>
        <v/>
      </c>
      <c r="J514" s="266" t="str">
        <f>IF($D514="","",SUM($G514)*SUM(INDEX(InputOutput!$AL$71:$AL$100,MATCH($D514,InputOutput!$D$71:$D$100,0))))</f>
        <v/>
      </c>
      <c r="K514" s="266" t="str">
        <f t="shared" si="101"/>
        <v/>
      </c>
      <c r="L514" s="267" t="str">
        <f>IF(D514="","",SUM(I514)*SUM(AD489))</f>
        <v/>
      </c>
      <c r="M514" s="267" t="str">
        <f>IF(D514="","",SUM(J514)*SUM(AD489))</f>
        <v/>
      </c>
      <c r="N514" s="267" t="str">
        <f t="shared" si="102"/>
        <v/>
      </c>
      <c r="O514" s="267" t="str">
        <f>IF(AG514,INDEX(E_PurchPrec!U:U,MATCH(CONST_CNTR_ElecEFMethod&amp;D514,E_PurchPrec!R:R,0)),INDEX(D_Processes!T:T,MATCH(CONST_CNTR_ElecEFMethod&amp;D514,D_Processes!R:R,0)))</f>
        <v/>
      </c>
      <c r="P514" s="266" t="str">
        <f>IF($D514="","",SUM($G514)*SUM(INDEX(InputOutput!$AN$71:$AN$100,MATCH($D514,InputOutput!$D$71:$D$100,0))))</f>
        <v/>
      </c>
      <c r="Q514" s="673" t="str">
        <f>IF(D514="","",IF(AG514,INDEX(A_InstData!$F$102:$F$121,MATCH(D514,CNTR_List_ExistPurchPrecNames,0)),""))</f>
        <v/>
      </c>
      <c r="R514" s="678" t="str">
        <f>IF($D514="","",SUM($G514)*SUM(INDEX(F_Tools!$T$101:$T$130,MATCH($D514,F_Tools!$E$101:$E$130,0))))</f>
        <v/>
      </c>
      <c r="S514" s="669" t="str">
        <f>IF($D514="","",SUM($G514)*SUM(INDEX(F_Tools!$U$101:$U$130,MATCH($D514,F_Tools!$E$101:$E$130,0))))</f>
        <v/>
      </c>
      <c r="T514" s="428"/>
      <c r="Z514" s="123"/>
      <c r="AB514" s="268" t="str">
        <f>CONST_PrecursorToGoodInput &amp; D514 &amp; "_" &amp; D486</f>
        <v>PrecToGood__</v>
      </c>
      <c r="AD514" s="269">
        <f>SUMIF(D_Processes!R:R,AB514,D_Processes!K:K)</f>
        <v>0</v>
      </c>
      <c r="AE514" s="268">
        <f>SUMIF(D_Processes!R:R,CONST_CNTR_TotProd &amp; D514,D_Processes!L:L)</f>
        <v>0</v>
      </c>
      <c r="AG514" s="102" t="b">
        <f t="shared" si="104"/>
        <v>0</v>
      </c>
    </row>
    <row r="515" spans="1:33" ht="12.75" customHeight="1" outlineLevel="1" x14ac:dyDescent="0.35">
      <c r="A515" s="92"/>
      <c r="B515" s="94"/>
      <c r="C515" s="978">
        <v>26</v>
      </c>
      <c r="D515" s="1417" t="str">
        <f>IF(D486="","",IF(COUNTIF(INDEX(CNTR_IOSupplyChain,MATCH(D486,CNTR_IOProcAndPrec,0),),C515)=0,"",INDEX(CNTR_IOProcAndPrec,MATCH(C515,INDEX(CNTR_IOSupplyChain,MATCH(D486,CNTR_IOProcAndPrec,0),),0))))</f>
        <v/>
      </c>
      <c r="E515" s="1418"/>
      <c r="F515" s="265" t="str">
        <f t="shared" si="103"/>
        <v/>
      </c>
      <c r="G515" s="266" t="str">
        <f>IF(D515="","",INDEX(CNTR_Matrix_Inv,MATCH(D486,CNTR_IOProcAndPrec,0),MATCH(D515,CNTR_IOProcAndPrec,0)))</f>
        <v/>
      </c>
      <c r="H515" s="286" t="str">
        <f>IF(D515="","",IF(AG515,INDEX(E_PurchPrec!U:U,MATCH(CONST_PurchPrecDefaultUsed&amp;D515,E_PurchPrec!R:R,0)),CONST_NA))</f>
        <v/>
      </c>
      <c r="I515" s="266" t="str">
        <f>IF($D515="","",SUM($G515)*SUM(INDEX(InputOutput!$AJ$71:$AJ$100,MATCH($D515,InputOutput!$D$71:$D$100,0))))</f>
        <v/>
      </c>
      <c r="J515" s="266" t="str">
        <f>IF($D515="","",SUM($G515)*SUM(INDEX(InputOutput!$AL$71:$AL$100,MATCH($D515,InputOutput!$D$71:$D$100,0))))</f>
        <v/>
      </c>
      <c r="K515" s="266" t="str">
        <f t="shared" si="101"/>
        <v/>
      </c>
      <c r="L515" s="267" t="str">
        <f>IF(D515="","",SUM(I515)*SUM(AD489))</f>
        <v/>
      </c>
      <c r="M515" s="267" t="str">
        <f>IF(D515="","",SUM(J515)*SUM(AD489))</f>
        <v/>
      </c>
      <c r="N515" s="267" t="str">
        <f t="shared" si="102"/>
        <v/>
      </c>
      <c r="O515" s="267" t="str">
        <f>IF(AG515,INDEX(E_PurchPrec!U:U,MATCH(CONST_CNTR_ElecEFMethod&amp;D515,E_PurchPrec!R:R,0)),INDEX(D_Processes!T:T,MATCH(CONST_CNTR_ElecEFMethod&amp;D515,D_Processes!R:R,0)))</f>
        <v/>
      </c>
      <c r="P515" s="266" t="str">
        <f>IF($D515="","",SUM($G515)*SUM(INDEX(InputOutput!$AN$71:$AN$100,MATCH($D515,InputOutput!$D$71:$D$100,0))))</f>
        <v/>
      </c>
      <c r="Q515" s="673" t="str">
        <f>IF(D515="","",IF(AG515,INDEX(A_InstData!$F$102:$F$121,MATCH(D515,CNTR_List_ExistPurchPrecNames,0)),""))</f>
        <v/>
      </c>
      <c r="R515" s="678" t="str">
        <f>IF($D515="","",SUM($G515)*SUM(INDEX(F_Tools!$T$101:$T$130,MATCH($D515,F_Tools!$E$101:$E$130,0))))</f>
        <v/>
      </c>
      <c r="S515" s="669" t="str">
        <f>IF($D515="","",SUM($G515)*SUM(INDEX(F_Tools!$U$101:$U$130,MATCH($D515,F_Tools!$E$101:$E$130,0))))</f>
        <v/>
      </c>
      <c r="T515" s="428"/>
      <c r="Z515" s="123"/>
      <c r="AB515" s="268" t="str">
        <f>CONST_PrecursorToGoodInput &amp; D515 &amp; "_" &amp; D486</f>
        <v>PrecToGood__</v>
      </c>
      <c r="AD515" s="269">
        <f>SUMIF(D_Processes!R:R,AB515,D_Processes!K:K)</f>
        <v>0</v>
      </c>
      <c r="AE515" s="268">
        <f>SUMIF(D_Processes!R:R,CONST_CNTR_TotProd &amp; D515,D_Processes!L:L)</f>
        <v>0</v>
      </c>
      <c r="AG515" s="102" t="b">
        <f t="shared" si="104"/>
        <v>0</v>
      </c>
    </row>
    <row r="516" spans="1:33" ht="12.75" customHeight="1" outlineLevel="1" x14ac:dyDescent="0.35">
      <c r="A516" s="92"/>
      <c r="B516" s="94"/>
      <c r="C516" s="978">
        <v>27</v>
      </c>
      <c r="D516" s="1417" t="str">
        <f>IF(D486="","",IF(COUNTIF(INDEX(CNTR_IOSupplyChain,MATCH(D486,CNTR_IOProcAndPrec,0),),C516)=0,"",INDEX(CNTR_IOProcAndPrec,MATCH(C516,INDEX(CNTR_IOSupplyChain,MATCH(D486,CNTR_IOProcAndPrec,0),),0))))</f>
        <v/>
      </c>
      <c r="E516" s="1418"/>
      <c r="F516" s="265" t="str">
        <f t="shared" si="103"/>
        <v/>
      </c>
      <c r="G516" s="266" t="str">
        <f>IF(D516="","",INDEX(CNTR_Matrix_Inv,MATCH(D486,CNTR_IOProcAndPrec,0),MATCH(D516,CNTR_IOProcAndPrec,0)))</f>
        <v/>
      </c>
      <c r="H516" s="286" t="str">
        <f>IF(D516="","",IF(AG516,INDEX(E_PurchPrec!U:U,MATCH(CONST_PurchPrecDefaultUsed&amp;D516,E_PurchPrec!R:R,0)),CONST_NA))</f>
        <v/>
      </c>
      <c r="I516" s="266" t="str">
        <f>IF($D516="","",SUM($G516)*SUM(INDEX(InputOutput!$AJ$71:$AJ$100,MATCH($D516,InputOutput!$D$71:$D$100,0))))</f>
        <v/>
      </c>
      <c r="J516" s="266" t="str">
        <f>IF($D516="","",SUM($G516)*SUM(INDEX(InputOutput!$AL$71:$AL$100,MATCH($D516,InputOutput!$D$71:$D$100,0))))</f>
        <v/>
      </c>
      <c r="K516" s="266" t="str">
        <f t="shared" si="101"/>
        <v/>
      </c>
      <c r="L516" s="267" t="str">
        <f>IF(D516="","",SUM(I516)*SUM(AD489))</f>
        <v/>
      </c>
      <c r="M516" s="267" t="str">
        <f>IF(D516="","",SUM(J516)*SUM(AD489))</f>
        <v/>
      </c>
      <c r="N516" s="267" t="str">
        <f t="shared" si="102"/>
        <v/>
      </c>
      <c r="O516" s="267" t="str">
        <f>IF(AG516,INDEX(E_PurchPrec!U:U,MATCH(CONST_CNTR_ElecEFMethod&amp;D516,E_PurchPrec!R:R,0)),INDEX(D_Processes!T:T,MATCH(CONST_CNTR_ElecEFMethod&amp;D516,D_Processes!R:R,0)))</f>
        <v/>
      </c>
      <c r="P516" s="266" t="str">
        <f>IF($D516="","",SUM($G516)*SUM(INDEX(InputOutput!$AN$71:$AN$100,MATCH($D516,InputOutput!$D$71:$D$100,0))))</f>
        <v/>
      </c>
      <c r="Q516" s="673" t="str">
        <f>IF(D516="","",IF(AG516,INDEX(A_InstData!$F$102:$F$121,MATCH(D516,CNTR_List_ExistPurchPrecNames,0)),""))</f>
        <v/>
      </c>
      <c r="R516" s="678" t="str">
        <f>IF($D516="","",SUM($G516)*SUM(INDEX(F_Tools!$T$101:$T$130,MATCH($D516,F_Tools!$E$101:$E$130,0))))</f>
        <v/>
      </c>
      <c r="S516" s="669" t="str">
        <f>IF($D516="","",SUM($G516)*SUM(INDEX(F_Tools!$U$101:$U$130,MATCH($D516,F_Tools!$E$101:$E$130,0))))</f>
        <v/>
      </c>
      <c r="T516" s="428"/>
      <c r="Z516" s="123"/>
      <c r="AB516" s="268" t="str">
        <f>CONST_PrecursorToGoodInput &amp; D516 &amp; "_" &amp; D486</f>
        <v>PrecToGood__</v>
      </c>
      <c r="AD516" s="269">
        <f>SUMIF(D_Processes!R:R,AB516,D_Processes!K:K)</f>
        <v>0</v>
      </c>
      <c r="AE516" s="268">
        <f>SUMIF(D_Processes!R:R,CONST_CNTR_TotProd &amp; D516,D_Processes!L:L)</f>
        <v>0</v>
      </c>
      <c r="AG516" s="102" t="b">
        <f t="shared" si="104"/>
        <v>0</v>
      </c>
    </row>
    <row r="517" spans="1:33" ht="12.75" customHeight="1" outlineLevel="1" x14ac:dyDescent="0.35">
      <c r="A517" s="92"/>
      <c r="B517" s="94"/>
      <c r="C517" s="978">
        <v>28</v>
      </c>
      <c r="D517" s="1417" t="str">
        <f>IF(D486="","",IF(COUNTIF(INDEX(CNTR_IOSupplyChain,MATCH(D486,CNTR_IOProcAndPrec,0),),C517)=0,"",INDEX(CNTR_IOProcAndPrec,MATCH(C517,INDEX(CNTR_IOSupplyChain,MATCH(D486,CNTR_IOProcAndPrec,0),),0))))</f>
        <v/>
      </c>
      <c r="E517" s="1418"/>
      <c r="F517" s="265" t="str">
        <f t="shared" si="103"/>
        <v/>
      </c>
      <c r="G517" s="266" t="str">
        <f>IF(D517="","",INDEX(CNTR_Matrix_Inv,MATCH(D486,CNTR_IOProcAndPrec,0),MATCH(D517,CNTR_IOProcAndPrec,0)))</f>
        <v/>
      </c>
      <c r="H517" s="286" t="str">
        <f>IF(D517="","",IF(AG517,INDEX(E_PurchPrec!U:U,MATCH(CONST_PurchPrecDefaultUsed&amp;D517,E_PurchPrec!R:R,0)),CONST_NA))</f>
        <v/>
      </c>
      <c r="I517" s="266" t="str">
        <f>IF($D517="","",SUM($G517)*SUM(INDEX(InputOutput!$AJ$71:$AJ$100,MATCH($D517,InputOutput!$D$71:$D$100,0))))</f>
        <v/>
      </c>
      <c r="J517" s="266" t="str">
        <f>IF($D517="","",SUM($G517)*SUM(INDEX(InputOutput!$AL$71:$AL$100,MATCH($D517,InputOutput!$D$71:$D$100,0))))</f>
        <v/>
      </c>
      <c r="K517" s="266" t="str">
        <f t="shared" si="101"/>
        <v/>
      </c>
      <c r="L517" s="267" t="str">
        <f>IF(D517="","",SUM(I517)*SUM(AD489))</f>
        <v/>
      </c>
      <c r="M517" s="267" t="str">
        <f>IF(D517="","",SUM(J517)*SUM(AD489))</f>
        <v/>
      </c>
      <c r="N517" s="267" t="str">
        <f t="shared" si="102"/>
        <v/>
      </c>
      <c r="O517" s="267" t="str">
        <f>IF(AG517,INDEX(E_PurchPrec!U:U,MATCH(CONST_CNTR_ElecEFMethod&amp;D517,E_PurchPrec!R:R,0)),INDEX(D_Processes!T:T,MATCH(CONST_CNTR_ElecEFMethod&amp;D517,D_Processes!R:R,0)))</f>
        <v/>
      </c>
      <c r="P517" s="266" t="str">
        <f>IF($D517="","",SUM($G517)*SUM(INDEX(InputOutput!$AN$71:$AN$100,MATCH($D517,InputOutput!$D$71:$D$100,0))))</f>
        <v/>
      </c>
      <c r="Q517" s="673" t="str">
        <f>IF(D517="","",IF(AG517,INDEX(A_InstData!$F$102:$F$121,MATCH(D517,CNTR_List_ExistPurchPrecNames,0)),""))</f>
        <v/>
      </c>
      <c r="R517" s="678" t="str">
        <f>IF($D517="","",SUM($G517)*SUM(INDEX(F_Tools!$T$101:$T$130,MATCH($D517,F_Tools!$E$101:$E$130,0))))</f>
        <v/>
      </c>
      <c r="S517" s="669" t="str">
        <f>IF($D517="","",SUM($G517)*SUM(INDEX(F_Tools!$U$101:$U$130,MATCH($D517,F_Tools!$E$101:$E$130,0))))</f>
        <v/>
      </c>
      <c r="T517" s="428"/>
      <c r="Z517" s="123"/>
      <c r="AB517" s="268" t="str">
        <f>CONST_PrecursorToGoodInput &amp; D517 &amp; "_" &amp; D486</f>
        <v>PrecToGood__</v>
      </c>
      <c r="AD517" s="269">
        <f>SUMIF(D_Processes!R:R,AB517,D_Processes!K:K)</f>
        <v>0</v>
      </c>
      <c r="AE517" s="268">
        <f>SUMIF(D_Processes!R:R,CONST_CNTR_TotProd &amp; D517,D_Processes!L:L)</f>
        <v>0</v>
      </c>
      <c r="AG517" s="102" t="b">
        <f t="shared" si="104"/>
        <v>0</v>
      </c>
    </row>
    <row r="518" spans="1:33" ht="12.75" customHeight="1" outlineLevel="1" x14ac:dyDescent="0.35">
      <c r="A518" s="92"/>
      <c r="B518" s="94"/>
      <c r="C518" s="978">
        <v>29</v>
      </c>
      <c r="D518" s="1417" t="str">
        <f>IF(D486="","",IF(COUNTIF(INDEX(CNTR_IOSupplyChain,MATCH(D486,CNTR_IOProcAndPrec,0),),C518)=0,"",INDEX(CNTR_IOProcAndPrec,MATCH(C518,INDEX(CNTR_IOSupplyChain,MATCH(D486,CNTR_IOProcAndPrec,0),),0))))</f>
        <v/>
      </c>
      <c r="E518" s="1418"/>
      <c r="F518" s="265" t="str">
        <f t="shared" si="103"/>
        <v/>
      </c>
      <c r="G518" s="266" t="str">
        <f>IF(D518="","",INDEX(CNTR_Matrix_Inv,MATCH(D486,CNTR_IOProcAndPrec,0),MATCH(D518,CNTR_IOProcAndPrec,0)))</f>
        <v/>
      </c>
      <c r="H518" s="286" t="str">
        <f>IF(D518="","",IF(AG518,INDEX(E_PurchPrec!U:U,MATCH(CONST_PurchPrecDefaultUsed&amp;D518,E_PurchPrec!R:R,0)),CONST_NA))</f>
        <v/>
      </c>
      <c r="I518" s="266" t="str">
        <f>IF($D518="","",SUM($G518)*SUM(INDEX(InputOutput!$AJ$71:$AJ$100,MATCH($D518,InputOutput!$D$71:$D$100,0))))</f>
        <v/>
      </c>
      <c r="J518" s="266" t="str">
        <f>IF($D518="","",SUM($G518)*SUM(INDEX(InputOutput!$AL$71:$AL$100,MATCH($D518,InputOutput!$D$71:$D$100,0))))</f>
        <v/>
      </c>
      <c r="K518" s="266" t="str">
        <f t="shared" si="101"/>
        <v/>
      </c>
      <c r="L518" s="267" t="str">
        <f>IF(D518="","",SUM(I518)*SUM(AD489))</f>
        <v/>
      </c>
      <c r="M518" s="267" t="str">
        <f>IF(D518="","",SUM(J518)*SUM(AD489))</f>
        <v/>
      </c>
      <c r="N518" s="267" t="str">
        <f t="shared" si="102"/>
        <v/>
      </c>
      <c r="O518" s="267" t="str">
        <f>IF(AG518,INDEX(E_PurchPrec!U:U,MATCH(CONST_CNTR_ElecEFMethod&amp;D518,E_PurchPrec!R:R,0)),INDEX(D_Processes!T:T,MATCH(CONST_CNTR_ElecEFMethod&amp;D518,D_Processes!R:R,0)))</f>
        <v/>
      </c>
      <c r="P518" s="266" t="str">
        <f>IF($D518="","",SUM($G518)*SUM(INDEX(InputOutput!$AN$71:$AN$100,MATCH($D518,InputOutput!$D$71:$D$100,0))))</f>
        <v/>
      </c>
      <c r="Q518" s="673" t="str">
        <f>IF(D518="","",IF(AG518,INDEX(A_InstData!$F$102:$F$121,MATCH(D518,CNTR_List_ExistPurchPrecNames,0)),""))</f>
        <v/>
      </c>
      <c r="R518" s="678" t="str">
        <f>IF($D518="","",SUM($G518)*SUM(INDEX(F_Tools!$T$101:$T$130,MATCH($D518,F_Tools!$E$101:$E$130,0))))</f>
        <v/>
      </c>
      <c r="S518" s="669" t="str">
        <f>IF($D518="","",SUM($G518)*SUM(INDEX(F_Tools!$U$101:$U$130,MATCH($D518,F_Tools!$E$101:$E$130,0))))</f>
        <v/>
      </c>
      <c r="T518" s="428"/>
      <c r="Z518" s="123"/>
      <c r="AB518" s="268" t="str">
        <f>CONST_PrecursorToGoodInput &amp; D518 &amp; "_" &amp; D486</f>
        <v>PrecToGood__</v>
      </c>
      <c r="AD518" s="269">
        <f>SUMIF(D_Processes!R:R,AB518,D_Processes!K:K)</f>
        <v>0</v>
      </c>
      <c r="AE518" s="268">
        <f>SUMIF(D_Processes!R:R,CONST_CNTR_TotProd &amp; D518,D_Processes!L:L)</f>
        <v>0</v>
      </c>
      <c r="AG518" s="102" t="b">
        <f t="shared" si="104"/>
        <v>0</v>
      </c>
    </row>
    <row r="519" spans="1:33" ht="12.75" customHeight="1" outlineLevel="1" thickBot="1" x14ac:dyDescent="0.4">
      <c r="A519" s="92"/>
      <c r="B519" s="94"/>
      <c r="C519" s="978">
        <v>30</v>
      </c>
      <c r="D519" s="1451" t="str">
        <f>IF(D486="","",IF(COUNTIF(INDEX(CNTR_IOSupplyChain,MATCH(D486,CNTR_IOProcAndPrec,0),),C519)=0,"",INDEX(CNTR_IOProcAndPrec,MATCH(C519,INDEX(CNTR_IOSupplyChain,MATCH(D486,CNTR_IOProcAndPrec,0),),0))))</f>
        <v/>
      </c>
      <c r="E519" s="1452"/>
      <c r="F519" s="270" t="str">
        <f t="shared" si="103"/>
        <v/>
      </c>
      <c r="G519" s="271" t="str">
        <f>IF(D519="","",INDEX(CNTR_Matrix_Inv,MATCH(D486,CNTR_IOProcAndPrec,0),MATCH(D519,CNTR_IOProcAndPrec,0)))</f>
        <v/>
      </c>
      <c r="H519" s="287" t="str">
        <f>IF(D519="","",IF(AG519,INDEX(E_PurchPrec!U:U,MATCH(CONST_PurchPrecDefaultUsed&amp;D519,E_PurchPrec!R:R,0)),CONST_NA))</f>
        <v/>
      </c>
      <c r="I519" s="271" t="str">
        <f>IF($D519="","",SUM($G519)*SUM(INDEX(InputOutput!$AJ$71:$AJ$100,MATCH($D519,InputOutput!$D$71:$D$100,0))))</f>
        <v/>
      </c>
      <c r="J519" s="271" t="str">
        <f>IF($D519="","",SUM($G519)*SUM(INDEX(InputOutput!$AL$71:$AL$100,MATCH($D519,InputOutput!$D$71:$D$100,0))))</f>
        <v/>
      </c>
      <c r="K519" s="271" t="str">
        <f>IF(COUNT(I519:J519)&gt;0,SUM(I519:J519),"")</f>
        <v/>
      </c>
      <c r="L519" s="272" t="str">
        <f>IF(D519="","",SUM(I519)*SUM(AD489))</f>
        <v/>
      </c>
      <c r="M519" s="272" t="str">
        <f>IF(D519="","",SUM(J519)*SUM(AD489))</f>
        <v/>
      </c>
      <c r="N519" s="272" t="str">
        <f>IF(COUNT(L519:M519)&gt;0,SUM(L519:M519),"")</f>
        <v/>
      </c>
      <c r="O519" s="272" t="str">
        <f>IF(AG519,INDEX(E_PurchPrec!U:U,MATCH(CONST_CNTR_ElecEFMethod&amp;D519,E_PurchPrec!R:R,0)),INDEX(D_Processes!T:T,MATCH(CONST_CNTR_ElecEFMethod&amp;D519,D_Processes!R:R,0)))</f>
        <v/>
      </c>
      <c r="P519" s="271" t="str">
        <f>IF($D519="","",SUM($G519)*SUM(INDEX(InputOutput!$AN$71:$AN$100,MATCH($D519,InputOutput!$D$71:$D$100,0))))</f>
        <v/>
      </c>
      <c r="Q519" s="674" t="str">
        <f>IF(D519="","",IF(AG519,INDEX(A_InstData!$F$102:$F$121,MATCH(D519,CNTR_List_ExistPurchPrecNames,0)),""))</f>
        <v/>
      </c>
      <c r="R519" s="679" t="str">
        <f>IF($D519="","",SUM($G519)*SUM(INDEX(F_Tools!$T$101:$T$130,MATCH($D519,F_Tools!$E$101:$E$130,0))))</f>
        <v/>
      </c>
      <c r="S519" s="680" t="str">
        <f>IF($D519="","",SUM($G519)*SUM(INDEX(F_Tools!$U$101:$U$130,MATCH($D519,F_Tools!$E$101:$E$130,0))))</f>
        <v/>
      </c>
      <c r="T519" s="428"/>
      <c r="AB519" s="273" t="str">
        <f>CONST_PrecursorToGoodInput &amp; D519 &amp; "_" &amp; D486</f>
        <v>PrecToGood__</v>
      </c>
      <c r="AD519" s="274">
        <f>SUMIF(D_Processes!R:R,AB519,D_Processes!K:K)</f>
        <v>0</v>
      </c>
      <c r="AE519" s="273">
        <f>SUMIF(D_Processes!R:R,CONST_CNTR_TotProd &amp; D519,D_Processes!L:L)</f>
        <v>0</v>
      </c>
      <c r="AG519" s="102" t="b">
        <f t="shared" si="104"/>
        <v>0</v>
      </c>
    </row>
    <row r="520" spans="1:33" ht="12.75" customHeight="1" thickBot="1" x14ac:dyDescent="0.4">
      <c r="A520" s="918"/>
      <c r="B520" s="934"/>
      <c r="C520" s="747"/>
      <c r="D520" s="747"/>
      <c r="E520" s="747"/>
      <c r="F520" s="747"/>
      <c r="G520" s="747"/>
      <c r="H520" s="747"/>
      <c r="I520" s="980"/>
      <c r="J520" s="980"/>
      <c r="K520" s="980"/>
      <c r="L520" s="747"/>
      <c r="M520" s="747"/>
      <c r="N520" s="747"/>
      <c r="O520" s="747"/>
      <c r="P520" s="980"/>
      <c r="Q520" s="747"/>
      <c r="R520" s="747"/>
      <c r="S520" s="747"/>
      <c r="T520" s="748"/>
    </row>
    <row r="521" spans="1:33" ht="12.75" customHeight="1" x14ac:dyDescent="0.35">
      <c r="C521" s="144"/>
      <c r="D521" s="144"/>
      <c r="E521" s="144"/>
      <c r="F521" s="144"/>
      <c r="G521" s="144"/>
      <c r="H521" s="144"/>
      <c r="I521" s="144"/>
      <c r="J521" s="144"/>
      <c r="K521" s="144"/>
      <c r="L521" s="144"/>
      <c r="M521" s="144"/>
      <c r="N521" s="144"/>
      <c r="O521" s="144"/>
      <c r="P521" s="144"/>
      <c r="Q521" s="144"/>
      <c r="R521" s="144"/>
      <c r="S521" s="144"/>
    </row>
    <row r="522" spans="1:33" s="91" customFormat="1" ht="12.75" hidden="1" customHeight="1" x14ac:dyDescent="0.35">
      <c r="A522" s="91" t="s">
        <v>3</v>
      </c>
      <c r="T522" s="171"/>
      <c r="U522" s="91" t="s">
        <v>116</v>
      </c>
      <c r="Z522" s="104"/>
    </row>
  </sheetData>
  <sheetProtection sheet="1" objects="1" scenarios="1" formatCells="0" formatColumns="0" formatRows="0"/>
  <mergeCells count="485">
    <mergeCell ref="R270:R271"/>
    <mergeCell ref="S270:S271"/>
    <mergeCell ref="C378:C380"/>
    <mergeCell ref="D378:E379"/>
    <mergeCell ref="D372:E372"/>
    <mergeCell ref="D373:E373"/>
    <mergeCell ref="D374:E374"/>
    <mergeCell ref="D375:E375"/>
    <mergeCell ref="D367:E367"/>
    <mergeCell ref="F378:F379"/>
    <mergeCell ref="H378:H379"/>
    <mergeCell ref="O378:O379"/>
    <mergeCell ref="Q378:Q379"/>
    <mergeCell ref="D380:E380"/>
    <mergeCell ref="D357:E357"/>
    <mergeCell ref="D358:E358"/>
    <mergeCell ref="D359:E359"/>
    <mergeCell ref="D360:E360"/>
    <mergeCell ref="D361:E361"/>
    <mergeCell ref="D352:E352"/>
    <mergeCell ref="D353:E353"/>
    <mergeCell ref="D354:E354"/>
    <mergeCell ref="D355:E355"/>
    <mergeCell ref="D356:E356"/>
    <mergeCell ref="C414:C416"/>
    <mergeCell ref="D414:E415"/>
    <mergeCell ref="F414:F415"/>
    <mergeCell ref="H414:H415"/>
    <mergeCell ref="D419:E419"/>
    <mergeCell ref="D420:E420"/>
    <mergeCell ref="D254:E254"/>
    <mergeCell ref="D255:E255"/>
    <mergeCell ref="D256:E256"/>
    <mergeCell ref="D257:E257"/>
    <mergeCell ref="D258:E258"/>
    <mergeCell ref="D263:E263"/>
    <mergeCell ref="D368:E368"/>
    <mergeCell ref="D369:E369"/>
    <mergeCell ref="D370:E370"/>
    <mergeCell ref="D371:E371"/>
    <mergeCell ref="D362:E362"/>
    <mergeCell ref="D363:E363"/>
    <mergeCell ref="D364:E364"/>
    <mergeCell ref="D365:E365"/>
    <mergeCell ref="D366:E366"/>
    <mergeCell ref="D401:E401"/>
    <mergeCell ref="D402:E402"/>
    <mergeCell ref="D403:E403"/>
    <mergeCell ref="C450:C452"/>
    <mergeCell ref="D450:E451"/>
    <mergeCell ref="F450:F451"/>
    <mergeCell ref="H450:H451"/>
    <mergeCell ref="D424:E424"/>
    <mergeCell ref="D425:E425"/>
    <mergeCell ref="D426:E426"/>
    <mergeCell ref="D427:E427"/>
    <mergeCell ref="D428:E428"/>
    <mergeCell ref="O234:O235"/>
    <mergeCell ref="Q234:Q235"/>
    <mergeCell ref="R234:R235"/>
    <mergeCell ref="S234:S235"/>
    <mergeCell ref="D217:E217"/>
    <mergeCell ref="D208:E208"/>
    <mergeCell ref="D209:E209"/>
    <mergeCell ref="D210:E210"/>
    <mergeCell ref="D207:E207"/>
    <mergeCell ref="D215:E215"/>
    <mergeCell ref="D216:E216"/>
    <mergeCell ref="H234:H235"/>
    <mergeCell ref="F234:F235"/>
    <mergeCell ref="O198:O199"/>
    <mergeCell ref="R198:R199"/>
    <mergeCell ref="S198:S199"/>
    <mergeCell ref="D200:E200"/>
    <mergeCell ref="D203:E203"/>
    <mergeCell ref="D204:E204"/>
    <mergeCell ref="D205:E205"/>
    <mergeCell ref="D201:E201"/>
    <mergeCell ref="D202:E202"/>
    <mergeCell ref="Q198:Q199"/>
    <mergeCell ref="F198:F199"/>
    <mergeCell ref="H198:H199"/>
    <mergeCell ref="R486:R487"/>
    <mergeCell ref="S486:S487"/>
    <mergeCell ref="R306:R307"/>
    <mergeCell ref="S306:S307"/>
    <mergeCell ref="R342:R343"/>
    <mergeCell ref="S342:S343"/>
    <mergeCell ref="R378:R379"/>
    <mergeCell ref="S378:S379"/>
    <mergeCell ref="R414:R415"/>
    <mergeCell ref="S414:S415"/>
    <mergeCell ref="R450:R451"/>
    <mergeCell ref="S450:S451"/>
    <mergeCell ref="D516:E516"/>
    <mergeCell ref="D517:E517"/>
    <mergeCell ref="D518:E518"/>
    <mergeCell ref="D519:E519"/>
    <mergeCell ref="D146:E146"/>
    <mergeCell ref="D147:E147"/>
    <mergeCell ref="D148:E148"/>
    <mergeCell ref="D149:E149"/>
    <mergeCell ref="D511:E511"/>
    <mergeCell ref="D512:E512"/>
    <mergeCell ref="D513:E513"/>
    <mergeCell ref="D514:E514"/>
    <mergeCell ref="D515:E515"/>
    <mergeCell ref="D506:E506"/>
    <mergeCell ref="D507:E507"/>
    <mergeCell ref="D508:E508"/>
    <mergeCell ref="D509:E509"/>
    <mergeCell ref="D510:E510"/>
    <mergeCell ref="D501:E501"/>
    <mergeCell ref="D502:E502"/>
    <mergeCell ref="D503:E503"/>
    <mergeCell ref="D504:E504"/>
    <mergeCell ref="D505:E505"/>
    <mergeCell ref="D496:E496"/>
    <mergeCell ref="D497:E497"/>
    <mergeCell ref="D498:E498"/>
    <mergeCell ref="D499:E499"/>
    <mergeCell ref="D500:E500"/>
    <mergeCell ref="D491:E491"/>
    <mergeCell ref="D492:E492"/>
    <mergeCell ref="D493:E493"/>
    <mergeCell ref="D494:E494"/>
    <mergeCell ref="D495:E495"/>
    <mergeCell ref="O486:O487"/>
    <mergeCell ref="Q486:Q487"/>
    <mergeCell ref="D488:E488"/>
    <mergeCell ref="D489:E489"/>
    <mergeCell ref="D490:E490"/>
    <mergeCell ref="D483:E483"/>
    <mergeCell ref="C486:C488"/>
    <mergeCell ref="D486:E487"/>
    <mergeCell ref="F486:F487"/>
    <mergeCell ref="H486:H487"/>
    <mergeCell ref="D478:E478"/>
    <mergeCell ref="D479:E479"/>
    <mergeCell ref="D480:E480"/>
    <mergeCell ref="D481:E481"/>
    <mergeCell ref="D482:E482"/>
    <mergeCell ref="D473:E473"/>
    <mergeCell ref="D474:E474"/>
    <mergeCell ref="D475:E475"/>
    <mergeCell ref="D476:E476"/>
    <mergeCell ref="D477:E477"/>
    <mergeCell ref="D468:E468"/>
    <mergeCell ref="D469:E469"/>
    <mergeCell ref="D470:E470"/>
    <mergeCell ref="D471:E471"/>
    <mergeCell ref="D472:E472"/>
    <mergeCell ref="D463:E463"/>
    <mergeCell ref="D464:E464"/>
    <mergeCell ref="D465:E465"/>
    <mergeCell ref="D466:E466"/>
    <mergeCell ref="D467:E467"/>
    <mergeCell ref="D458:E458"/>
    <mergeCell ref="D459:E459"/>
    <mergeCell ref="D460:E460"/>
    <mergeCell ref="D461:E461"/>
    <mergeCell ref="D462:E462"/>
    <mergeCell ref="D453:E453"/>
    <mergeCell ref="D454:E454"/>
    <mergeCell ref="D455:E455"/>
    <mergeCell ref="D456:E456"/>
    <mergeCell ref="D457:E457"/>
    <mergeCell ref="O450:O451"/>
    <mergeCell ref="Q450:Q451"/>
    <mergeCell ref="D452:E452"/>
    <mergeCell ref="D444:E444"/>
    <mergeCell ref="D445:E445"/>
    <mergeCell ref="D446:E446"/>
    <mergeCell ref="D447:E447"/>
    <mergeCell ref="D431:E431"/>
    <mergeCell ref="D432:E432"/>
    <mergeCell ref="D433:E433"/>
    <mergeCell ref="D439:E439"/>
    <mergeCell ref="D440:E440"/>
    <mergeCell ref="D441:E441"/>
    <mergeCell ref="D442:E442"/>
    <mergeCell ref="D443:E443"/>
    <mergeCell ref="D434:E434"/>
    <mergeCell ref="D435:E435"/>
    <mergeCell ref="D436:E436"/>
    <mergeCell ref="D437:E437"/>
    <mergeCell ref="D438:E438"/>
    <mergeCell ref="O414:O415"/>
    <mergeCell ref="Q414:Q415"/>
    <mergeCell ref="D416:E416"/>
    <mergeCell ref="D417:E417"/>
    <mergeCell ref="D418:E418"/>
    <mergeCell ref="D429:E429"/>
    <mergeCell ref="D430:E430"/>
    <mergeCell ref="D411:E411"/>
    <mergeCell ref="D406:E406"/>
    <mergeCell ref="D407:E407"/>
    <mergeCell ref="D408:E408"/>
    <mergeCell ref="D409:E409"/>
    <mergeCell ref="D410:E410"/>
    <mergeCell ref="D421:E421"/>
    <mergeCell ref="D422:E422"/>
    <mergeCell ref="D423:E423"/>
    <mergeCell ref="D404:E404"/>
    <mergeCell ref="D405:E405"/>
    <mergeCell ref="D396:E396"/>
    <mergeCell ref="D397:E397"/>
    <mergeCell ref="D398:E398"/>
    <mergeCell ref="D399:E399"/>
    <mergeCell ref="D400:E400"/>
    <mergeCell ref="D391:E391"/>
    <mergeCell ref="D392:E392"/>
    <mergeCell ref="D393:E393"/>
    <mergeCell ref="D394:E394"/>
    <mergeCell ref="D395:E395"/>
    <mergeCell ref="D386:E386"/>
    <mergeCell ref="D387:E387"/>
    <mergeCell ref="D388:E388"/>
    <mergeCell ref="D389:E389"/>
    <mergeCell ref="D390:E390"/>
    <mergeCell ref="D381:E381"/>
    <mergeCell ref="D382:E382"/>
    <mergeCell ref="D383:E383"/>
    <mergeCell ref="D384:E384"/>
    <mergeCell ref="D385:E385"/>
    <mergeCell ref="D347:E347"/>
    <mergeCell ref="D348:E348"/>
    <mergeCell ref="D349:E349"/>
    <mergeCell ref="D350:E350"/>
    <mergeCell ref="D351:E351"/>
    <mergeCell ref="O342:O343"/>
    <mergeCell ref="Q342:Q343"/>
    <mergeCell ref="D344:E344"/>
    <mergeCell ref="D345:E345"/>
    <mergeCell ref="D346:E346"/>
    <mergeCell ref="D339:E339"/>
    <mergeCell ref="C342:C344"/>
    <mergeCell ref="D342:E343"/>
    <mergeCell ref="F342:F343"/>
    <mergeCell ref="H342:H343"/>
    <mergeCell ref="D334:E334"/>
    <mergeCell ref="D335:E335"/>
    <mergeCell ref="D336:E336"/>
    <mergeCell ref="D337:E337"/>
    <mergeCell ref="D338:E338"/>
    <mergeCell ref="D329:E329"/>
    <mergeCell ref="D330:E330"/>
    <mergeCell ref="D331:E331"/>
    <mergeCell ref="D332:E332"/>
    <mergeCell ref="D333:E333"/>
    <mergeCell ref="D324:E324"/>
    <mergeCell ref="D325:E325"/>
    <mergeCell ref="D326:E326"/>
    <mergeCell ref="D327:E327"/>
    <mergeCell ref="D328:E328"/>
    <mergeCell ref="D319:E319"/>
    <mergeCell ref="D320:E320"/>
    <mergeCell ref="D321:E321"/>
    <mergeCell ref="D322:E322"/>
    <mergeCell ref="D323:E323"/>
    <mergeCell ref="D314:E314"/>
    <mergeCell ref="D315:E315"/>
    <mergeCell ref="D316:E316"/>
    <mergeCell ref="D317:E317"/>
    <mergeCell ref="D318:E318"/>
    <mergeCell ref="D309:E309"/>
    <mergeCell ref="D310:E310"/>
    <mergeCell ref="D311:E311"/>
    <mergeCell ref="D312:E312"/>
    <mergeCell ref="D313:E313"/>
    <mergeCell ref="F306:F307"/>
    <mergeCell ref="H306:H307"/>
    <mergeCell ref="O306:O307"/>
    <mergeCell ref="Q306:Q307"/>
    <mergeCell ref="D308:E308"/>
    <mergeCell ref="D302:E302"/>
    <mergeCell ref="D303:E303"/>
    <mergeCell ref="C306:C308"/>
    <mergeCell ref="D306:E307"/>
    <mergeCell ref="D296:E296"/>
    <mergeCell ref="D297:E297"/>
    <mergeCell ref="D298:E298"/>
    <mergeCell ref="D299:E299"/>
    <mergeCell ref="D300:E300"/>
    <mergeCell ref="D293:E293"/>
    <mergeCell ref="D294:E294"/>
    <mergeCell ref="D295:E295"/>
    <mergeCell ref="D286:E286"/>
    <mergeCell ref="D287:E287"/>
    <mergeCell ref="D288:E288"/>
    <mergeCell ref="D289:E289"/>
    <mergeCell ref="D290:E290"/>
    <mergeCell ref="D301:E301"/>
    <mergeCell ref="D284:E284"/>
    <mergeCell ref="D285:E285"/>
    <mergeCell ref="D276:E276"/>
    <mergeCell ref="D277:E277"/>
    <mergeCell ref="D278:E278"/>
    <mergeCell ref="D279:E279"/>
    <mergeCell ref="D280:E280"/>
    <mergeCell ref="D291:E291"/>
    <mergeCell ref="D292:E292"/>
    <mergeCell ref="D275:E275"/>
    <mergeCell ref="C270:C272"/>
    <mergeCell ref="D270:E271"/>
    <mergeCell ref="F270:F271"/>
    <mergeCell ref="H270:H271"/>
    <mergeCell ref="O270:O271"/>
    <mergeCell ref="D281:E281"/>
    <mergeCell ref="D282:E282"/>
    <mergeCell ref="D283:E283"/>
    <mergeCell ref="Q270:Q271"/>
    <mergeCell ref="D272:E272"/>
    <mergeCell ref="D273:E273"/>
    <mergeCell ref="D274:E274"/>
    <mergeCell ref="D264:E264"/>
    <mergeCell ref="D265:E265"/>
    <mergeCell ref="D266:E266"/>
    <mergeCell ref="D267:E267"/>
    <mergeCell ref="D261:E261"/>
    <mergeCell ref="D262:E262"/>
    <mergeCell ref="D192:E192"/>
    <mergeCell ref="D193:E193"/>
    <mergeCell ref="D194:E194"/>
    <mergeCell ref="D253:E253"/>
    <mergeCell ref="D214:E214"/>
    <mergeCell ref="D195:E195"/>
    <mergeCell ref="D234:E235"/>
    <mergeCell ref="D259:E259"/>
    <mergeCell ref="D260:E260"/>
    <mergeCell ref="D244:E244"/>
    <mergeCell ref="D245:E245"/>
    <mergeCell ref="D246:E246"/>
    <mergeCell ref="D247:E247"/>
    <mergeCell ref="D248:E248"/>
    <mergeCell ref="D239:E239"/>
    <mergeCell ref="D240:E240"/>
    <mergeCell ref="D241:E241"/>
    <mergeCell ref="D242:E242"/>
    <mergeCell ref="D243:E243"/>
    <mergeCell ref="D236:E236"/>
    <mergeCell ref="D237:E237"/>
    <mergeCell ref="D238:E238"/>
    <mergeCell ref="D249:E249"/>
    <mergeCell ref="C198:C200"/>
    <mergeCell ref="D198:E199"/>
    <mergeCell ref="D250:E250"/>
    <mergeCell ref="D251:E251"/>
    <mergeCell ref="D252:E252"/>
    <mergeCell ref="D229:E229"/>
    <mergeCell ref="D230:E230"/>
    <mergeCell ref="D231:E231"/>
    <mergeCell ref="D228:E228"/>
    <mergeCell ref="D223:E223"/>
    <mergeCell ref="D224:E224"/>
    <mergeCell ref="D225:E225"/>
    <mergeCell ref="D226:E226"/>
    <mergeCell ref="D227:E227"/>
    <mergeCell ref="D218:E218"/>
    <mergeCell ref="D219:E219"/>
    <mergeCell ref="D220:E220"/>
    <mergeCell ref="D221:E221"/>
    <mergeCell ref="D222:E222"/>
    <mergeCell ref="D213:E213"/>
    <mergeCell ref="D206:E206"/>
    <mergeCell ref="D211:E211"/>
    <mergeCell ref="D212:E212"/>
    <mergeCell ref="C234:C236"/>
    <mergeCell ref="D190:E190"/>
    <mergeCell ref="D191:E191"/>
    <mergeCell ref="D170:E170"/>
    <mergeCell ref="D171:E171"/>
    <mergeCell ref="D172:E172"/>
    <mergeCell ref="D168:E168"/>
    <mergeCell ref="D169:E169"/>
    <mergeCell ref="D188:E188"/>
    <mergeCell ref="D189:E189"/>
    <mergeCell ref="D175:E175"/>
    <mergeCell ref="D186:E186"/>
    <mergeCell ref="D179:E179"/>
    <mergeCell ref="D180:E180"/>
    <mergeCell ref="D181:E181"/>
    <mergeCell ref="D185:E185"/>
    <mergeCell ref="D176:E176"/>
    <mergeCell ref="D177:E177"/>
    <mergeCell ref="D178:E178"/>
    <mergeCell ref="D174:E174"/>
    <mergeCell ref="D182:E182"/>
    <mergeCell ref="D187:E187"/>
    <mergeCell ref="D183:E183"/>
    <mergeCell ref="D184:E184"/>
    <mergeCell ref="D153:E153"/>
    <mergeCell ref="N2:O2"/>
    <mergeCell ref="N3:O3"/>
    <mergeCell ref="F2:G2"/>
    <mergeCell ref="N4:O4"/>
    <mergeCell ref="G10:I10"/>
    <mergeCell ref="G11:I11"/>
    <mergeCell ref="O162:O163"/>
    <mergeCell ref="H162:H163"/>
    <mergeCell ref="N100:N101"/>
    <mergeCell ref="F96:N96"/>
    <mergeCell ref="F97:N97"/>
    <mergeCell ref="F98:N98"/>
    <mergeCell ref="D159:E159"/>
    <mergeCell ref="D144:E144"/>
    <mergeCell ref="D157:E157"/>
    <mergeCell ref="D160:E160"/>
    <mergeCell ref="F113:F114"/>
    <mergeCell ref="L2:M2"/>
    <mergeCell ref="D142:E142"/>
    <mergeCell ref="H2:I2"/>
    <mergeCell ref="F4:G4"/>
    <mergeCell ref="H4:I4"/>
    <mergeCell ref="E87:L87"/>
    <mergeCell ref="L4:M4"/>
    <mergeCell ref="L3:M3"/>
    <mergeCell ref="J2:K2"/>
    <mergeCell ref="G12:I12"/>
    <mergeCell ref="G14:I14"/>
    <mergeCell ref="J4:K4"/>
    <mergeCell ref="F3:G3"/>
    <mergeCell ref="H3:I3"/>
    <mergeCell ref="J3:K3"/>
    <mergeCell ref="G13:I13"/>
    <mergeCell ref="B2:E4"/>
    <mergeCell ref="M16:S16"/>
    <mergeCell ref="M13:S13"/>
    <mergeCell ref="M14:S15"/>
    <mergeCell ref="G17:I17"/>
    <mergeCell ref="M17:S17"/>
    <mergeCell ref="C162:C164"/>
    <mergeCell ref="D166:E166"/>
    <mergeCell ref="D152:E152"/>
    <mergeCell ref="G15:I15"/>
    <mergeCell ref="G16:I16"/>
    <mergeCell ref="F152:S152"/>
    <mergeCell ref="F153:S153"/>
    <mergeCell ref="R162:R163"/>
    <mergeCell ref="S162:S163"/>
    <mergeCell ref="F154:S154"/>
    <mergeCell ref="F155:S155"/>
    <mergeCell ref="F148:S148"/>
    <mergeCell ref="F94:N94"/>
    <mergeCell ref="F95:N95"/>
    <mergeCell ref="D151:E151"/>
    <mergeCell ref="M100:M101"/>
    <mergeCell ref="F91:N91"/>
    <mergeCell ref="F92:N92"/>
    <mergeCell ref="F93:N93"/>
    <mergeCell ref="F142:S142"/>
    <mergeCell ref="F143:S143"/>
    <mergeCell ref="F144:S144"/>
    <mergeCell ref="F145:S145"/>
    <mergeCell ref="F100:F101"/>
    <mergeCell ref="F156:S156"/>
    <mergeCell ref="F157:S157"/>
    <mergeCell ref="F160:S160"/>
    <mergeCell ref="F158:S158"/>
    <mergeCell ref="F159:S159"/>
    <mergeCell ref="F141:S141"/>
    <mergeCell ref="D141:E141"/>
    <mergeCell ref="D139:E139"/>
    <mergeCell ref="D140:E140"/>
    <mergeCell ref="F139:S139"/>
    <mergeCell ref="F140:S140"/>
    <mergeCell ref="F147:S147"/>
    <mergeCell ref="D143:E143"/>
    <mergeCell ref="Q162:Q163"/>
    <mergeCell ref="D173:E173"/>
    <mergeCell ref="D145:E145"/>
    <mergeCell ref="F162:F163"/>
    <mergeCell ref="D162:E163"/>
    <mergeCell ref="D150:E150"/>
    <mergeCell ref="F146:S146"/>
    <mergeCell ref="D158:E158"/>
    <mergeCell ref="D154:E154"/>
    <mergeCell ref="D155:E155"/>
    <mergeCell ref="D156:E156"/>
    <mergeCell ref="D164:E164"/>
    <mergeCell ref="D167:E167"/>
    <mergeCell ref="D165:E165"/>
    <mergeCell ref="F149:S149"/>
    <mergeCell ref="F150:S150"/>
    <mergeCell ref="F151:S151"/>
  </mergeCells>
  <conditionalFormatting sqref="I164:K195">
    <cfRule type="dataBar" priority="71">
      <dataBar>
        <cfvo type="min"/>
        <cfvo type="max"/>
        <color theme="9" tint="0.59999389629810485"/>
      </dataBar>
      <extLst>
        <ext xmlns:x14="http://schemas.microsoft.com/office/spreadsheetml/2009/9/main" uri="{B025F937-C7B1-47D3-B67F-A62EFF666E3E}">
          <x14:id>{E68D8450-42FC-40C7-9384-E70742DB7B68}</x14:id>
        </ext>
      </extLst>
    </cfRule>
  </conditionalFormatting>
  <conditionalFormatting sqref="K84:K85 H71:L81">
    <cfRule type="dataBar" priority="64">
      <dataBar>
        <cfvo type="min"/>
        <cfvo type="max"/>
        <color rgb="FFFFB628"/>
      </dataBar>
      <extLst>
        <ext xmlns:x14="http://schemas.microsoft.com/office/spreadsheetml/2009/9/main" uri="{B025F937-C7B1-47D3-B67F-A62EFF666E3E}">
          <x14:id>{EADF2AFC-2306-4AC5-B0F6-1DAA417D8E46}</x14:id>
        </ext>
      </extLst>
    </cfRule>
  </conditionalFormatting>
  <conditionalFormatting sqref="H71:L81">
    <cfRule type="cellIs" dxfId="6" priority="61" operator="equal">
      <formula>0</formula>
    </cfRule>
  </conditionalFormatting>
  <conditionalFormatting sqref="K102:L134">
    <cfRule type="dataBar" priority="159">
      <dataBar>
        <cfvo type="min"/>
        <cfvo type="max"/>
        <color theme="7" tint="0.59999389629810485"/>
      </dataBar>
      <extLst>
        <ext xmlns:x14="http://schemas.microsoft.com/office/spreadsheetml/2009/9/main" uri="{B025F937-C7B1-47D3-B67F-A62EFF666E3E}">
          <x14:id>{40DC9DD6-D866-4A20-9EA3-01AF909EDC38}</x14:id>
        </ext>
      </extLst>
    </cfRule>
  </conditionalFormatting>
  <conditionalFormatting sqref="G102:J134">
    <cfRule type="dataBar" priority="160">
      <dataBar>
        <cfvo type="min"/>
        <cfvo type="max"/>
        <color theme="9" tint="0.59999389629810485"/>
      </dataBar>
      <extLst>
        <ext xmlns:x14="http://schemas.microsoft.com/office/spreadsheetml/2009/9/main" uri="{B025F937-C7B1-47D3-B67F-A62EFF666E3E}">
          <x14:id>{537940CE-B983-466B-A93E-0730CEE6B110}</x14:id>
        </ext>
      </extLst>
    </cfRule>
  </conditionalFormatting>
  <conditionalFormatting sqref="L84:L85">
    <cfRule type="dataBar" priority="42">
      <dataBar>
        <cfvo type="min"/>
        <cfvo type="max"/>
        <color rgb="FFFFB628"/>
      </dataBar>
      <extLst>
        <ext xmlns:x14="http://schemas.microsoft.com/office/spreadsheetml/2009/9/main" uri="{B025F937-C7B1-47D3-B67F-A62EFF666E3E}">
          <x14:id>{264DD67E-4122-4F07-AFE5-CFF002D5D021}</x14:id>
        </ext>
      </extLst>
    </cfRule>
  </conditionalFormatting>
  <conditionalFormatting sqref="R164:S195">
    <cfRule type="dataBar" priority="41">
      <dataBar>
        <cfvo type="min"/>
        <cfvo type="max"/>
        <color rgb="FFFF555A"/>
      </dataBar>
      <extLst>
        <ext xmlns:x14="http://schemas.microsoft.com/office/spreadsheetml/2009/9/main" uri="{B025F937-C7B1-47D3-B67F-A62EFF666E3E}">
          <x14:id>{FEC60922-AE1B-46D4-B5DB-ACC498D8F944}</x14:id>
        </ext>
      </extLst>
    </cfRule>
  </conditionalFormatting>
  <conditionalFormatting sqref="M102:N111">
    <cfRule type="dataBar" priority="30">
      <dataBar>
        <cfvo type="min"/>
        <cfvo type="max"/>
        <color rgb="FFFF555A"/>
      </dataBar>
      <extLst>
        <ext xmlns:x14="http://schemas.microsoft.com/office/spreadsheetml/2009/9/main" uri="{B025F937-C7B1-47D3-B67F-A62EFF666E3E}">
          <x14:id>{9305E752-4854-4B27-8F07-4342303FF979}</x14:id>
        </ext>
      </extLst>
    </cfRule>
  </conditionalFormatting>
  <conditionalFormatting sqref="P164:P195">
    <cfRule type="dataBar" priority="29">
      <dataBar>
        <cfvo type="min"/>
        <cfvo type="max"/>
        <color theme="7" tint="0.59999389629810485"/>
      </dataBar>
      <extLst>
        <ext xmlns:x14="http://schemas.microsoft.com/office/spreadsheetml/2009/9/main" uri="{B025F937-C7B1-47D3-B67F-A62EFF666E3E}">
          <x14:id>{C6186497-0B87-4B40-9929-C9FC662E4D0E}</x14:id>
        </ext>
      </extLst>
    </cfRule>
  </conditionalFormatting>
  <conditionalFormatting sqref="I200:K231">
    <cfRule type="dataBar" priority="28">
      <dataBar>
        <cfvo type="min"/>
        <cfvo type="max"/>
        <color theme="9" tint="0.59999389629810485"/>
      </dataBar>
      <extLst>
        <ext xmlns:x14="http://schemas.microsoft.com/office/spreadsheetml/2009/9/main" uri="{B025F937-C7B1-47D3-B67F-A62EFF666E3E}">
          <x14:id>{D45330A6-1932-44C1-8EF7-CB853C4165DA}</x14:id>
        </ext>
      </extLst>
    </cfRule>
  </conditionalFormatting>
  <conditionalFormatting sqref="R200:S231">
    <cfRule type="dataBar" priority="27">
      <dataBar>
        <cfvo type="min"/>
        <cfvo type="max"/>
        <color rgb="FFFF555A"/>
      </dataBar>
      <extLst>
        <ext xmlns:x14="http://schemas.microsoft.com/office/spreadsheetml/2009/9/main" uri="{B025F937-C7B1-47D3-B67F-A62EFF666E3E}">
          <x14:id>{F587BC45-05A0-4037-BF5C-EDD4F59C1503}</x14:id>
        </ext>
      </extLst>
    </cfRule>
  </conditionalFormatting>
  <conditionalFormatting sqref="P200:P231">
    <cfRule type="dataBar" priority="26">
      <dataBar>
        <cfvo type="min"/>
        <cfvo type="max"/>
        <color theme="7" tint="0.59999389629810485"/>
      </dataBar>
      <extLst>
        <ext xmlns:x14="http://schemas.microsoft.com/office/spreadsheetml/2009/9/main" uri="{B025F937-C7B1-47D3-B67F-A62EFF666E3E}">
          <x14:id>{EA969895-8E0A-43DB-A32B-D01F9D9BD98D}</x14:id>
        </ext>
      </extLst>
    </cfRule>
  </conditionalFormatting>
  <conditionalFormatting sqref="I236:K267">
    <cfRule type="dataBar" priority="25">
      <dataBar>
        <cfvo type="min"/>
        <cfvo type="max"/>
        <color theme="9" tint="0.59999389629810485"/>
      </dataBar>
      <extLst>
        <ext xmlns:x14="http://schemas.microsoft.com/office/spreadsheetml/2009/9/main" uri="{B025F937-C7B1-47D3-B67F-A62EFF666E3E}">
          <x14:id>{3ED11D5E-795A-4CD7-833C-CA75C2153D61}</x14:id>
        </ext>
      </extLst>
    </cfRule>
  </conditionalFormatting>
  <conditionalFormatting sqref="R236:S267">
    <cfRule type="dataBar" priority="24">
      <dataBar>
        <cfvo type="min"/>
        <cfvo type="max"/>
        <color rgb="FFFF555A"/>
      </dataBar>
      <extLst>
        <ext xmlns:x14="http://schemas.microsoft.com/office/spreadsheetml/2009/9/main" uri="{B025F937-C7B1-47D3-B67F-A62EFF666E3E}">
          <x14:id>{DCDEAD3D-929A-4370-8F9D-6CD3B0F26A0A}</x14:id>
        </ext>
      </extLst>
    </cfRule>
  </conditionalFormatting>
  <conditionalFormatting sqref="P236:P267">
    <cfRule type="dataBar" priority="23">
      <dataBar>
        <cfvo type="min"/>
        <cfvo type="max"/>
        <color theme="7" tint="0.59999389629810485"/>
      </dataBar>
      <extLst>
        <ext xmlns:x14="http://schemas.microsoft.com/office/spreadsheetml/2009/9/main" uri="{B025F937-C7B1-47D3-B67F-A62EFF666E3E}">
          <x14:id>{8650C619-9715-44C8-BF2C-A91E4354646F}</x14:id>
        </ext>
      </extLst>
    </cfRule>
  </conditionalFormatting>
  <conditionalFormatting sqref="I272:K303">
    <cfRule type="dataBar" priority="22">
      <dataBar>
        <cfvo type="min"/>
        <cfvo type="max"/>
        <color theme="9" tint="0.59999389629810485"/>
      </dataBar>
      <extLst>
        <ext xmlns:x14="http://schemas.microsoft.com/office/spreadsheetml/2009/9/main" uri="{B025F937-C7B1-47D3-B67F-A62EFF666E3E}">
          <x14:id>{F7924817-5F40-4179-B471-4F000899C231}</x14:id>
        </ext>
      </extLst>
    </cfRule>
  </conditionalFormatting>
  <conditionalFormatting sqref="R272:S303">
    <cfRule type="dataBar" priority="21">
      <dataBar>
        <cfvo type="min"/>
        <cfvo type="max"/>
        <color rgb="FFFF555A"/>
      </dataBar>
      <extLst>
        <ext xmlns:x14="http://schemas.microsoft.com/office/spreadsheetml/2009/9/main" uri="{B025F937-C7B1-47D3-B67F-A62EFF666E3E}">
          <x14:id>{68CBA07C-F683-4022-B716-10567DEA39B9}</x14:id>
        </ext>
      </extLst>
    </cfRule>
  </conditionalFormatting>
  <conditionalFormatting sqref="P272:P303">
    <cfRule type="dataBar" priority="20">
      <dataBar>
        <cfvo type="min"/>
        <cfvo type="max"/>
        <color theme="7" tint="0.59999389629810485"/>
      </dataBar>
      <extLst>
        <ext xmlns:x14="http://schemas.microsoft.com/office/spreadsheetml/2009/9/main" uri="{B025F937-C7B1-47D3-B67F-A62EFF666E3E}">
          <x14:id>{70030CF8-35A5-4EEA-B174-7F98D064E190}</x14:id>
        </ext>
      </extLst>
    </cfRule>
  </conditionalFormatting>
  <conditionalFormatting sqref="I308:K339">
    <cfRule type="dataBar" priority="19">
      <dataBar>
        <cfvo type="min"/>
        <cfvo type="max"/>
        <color theme="9" tint="0.59999389629810485"/>
      </dataBar>
      <extLst>
        <ext xmlns:x14="http://schemas.microsoft.com/office/spreadsheetml/2009/9/main" uri="{B025F937-C7B1-47D3-B67F-A62EFF666E3E}">
          <x14:id>{3970A1A0-A16B-44FF-9831-257B9200A9FF}</x14:id>
        </ext>
      </extLst>
    </cfRule>
  </conditionalFormatting>
  <conditionalFormatting sqref="R308:S339">
    <cfRule type="dataBar" priority="18">
      <dataBar>
        <cfvo type="min"/>
        <cfvo type="max"/>
        <color rgb="FFFF555A"/>
      </dataBar>
      <extLst>
        <ext xmlns:x14="http://schemas.microsoft.com/office/spreadsheetml/2009/9/main" uri="{B025F937-C7B1-47D3-B67F-A62EFF666E3E}">
          <x14:id>{441311DD-125B-421F-8078-BBD16FA45B9A}</x14:id>
        </ext>
      </extLst>
    </cfRule>
  </conditionalFormatting>
  <conditionalFormatting sqref="P308:P339">
    <cfRule type="dataBar" priority="17">
      <dataBar>
        <cfvo type="min"/>
        <cfvo type="max"/>
        <color theme="7" tint="0.59999389629810485"/>
      </dataBar>
      <extLst>
        <ext xmlns:x14="http://schemas.microsoft.com/office/spreadsheetml/2009/9/main" uri="{B025F937-C7B1-47D3-B67F-A62EFF666E3E}">
          <x14:id>{FB706307-969C-4278-8D61-6D7C110AFB37}</x14:id>
        </ext>
      </extLst>
    </cfRule>
  </conditionalFormatting>
  <conditionalFormatting sqref="I344:K375">
    <cfRule type="dataBar" priority="16">
      <dataBar>
        <cfvo type="min"/>
        <cfvo type="max"/>
        <color theme="9" tint="0.59999389629810485"/>
      </dataBar>
      <extLst>
        <ext xmlns:x14="http://schemas.microsoft.com/office/spreadsheetml/2009/9/main" uri="{B025F937-C7B1-47D3-B67F-A62EFF666E3E}">
          <x14:id>{5E758BEB-352E-4B81-AD80-9DE413C692AE}</x14:id>
        </ext>
      </extLst>
    </cfRule>
  </conditionalFormatting>
  <conditionalFormatting sqref="R344:S375">
    <cfRule type="dataBar" priority="15">
      <dataBar>
        <cfvo type="min"/>
        <cfvo type="max"/>
        <color rgb="FFFF555A"/>
      </dataBar>
      <extLst>
        <ext xmlns:x14="http://schemas.microsoft.com/office/spreadsheetml/2009/9/main" uri="{B025F937-C7B1-47D3-B67F-A62EFF666E3E}">
          <x14:id>{F7C3E564-7C56-4109-8A35-AF99C7EF1815}</x14:id>
        </ext>
      </extLst>
    </cfRule>
  </conditionalFormatting>
  <conditionalFormatting sqref="P344:P375">
    <cfRule type="dataBar" priority="14">
      <dataBar>
        <cfvo type="min"/>
        <cfvo type="max"/>
        <color theme="7" tint="0.59999389629810485"/>
      </dataBar>
      <extLst>
        <ext xmlns:x14="http://schemas.microsoft.com/office/spreadsheetml/2009/9/main" uri="{B025F937-C7B1-47D3-B67F-A62EFF666E3E}">
          <x14:id>{93DC1892-03FE-41F6-B86F-91010E0C32DA}</x14:id>
        </ext>
      </extLst>
    </cfRule>
  </conditionalFormatting>
  <conditionalFormatting sqref="I380:K411">
    <cfRule type="dataBar" priority="13">
      <dataBar>
        <cfvo type="min"/>
        <cfvo type="max"/>
        <color theme="9" tint="0.59999389629810485"/>
      </dataBar>
      <extLst>
        <ext xmlns:x14="http://schemas.microsoft.com/office/spreadsheetml/2009/9/main" uri="{B025F937-C7B1-47D3-B67F-A62EFF666E3E}">
          <x14:id>{A150A41B-1ABE-4649-9E7E-8F6FEB2496EB}</x14:id>
        </ext>
      </extLst>
    </cfRule>
  </conditionalFormatting>
  <conditionalFormatting sqref="R380:S411">
    <cfRule type="dataBar" priority="12">
      <dataBar>
        <cfvo type="min"/>
        <cfvo type="max"/>
        <color rgb="FFFF555A"/>
      </dataBar>
      <extLst>
        <ext xmlns:x14="http://schemas.microsoft.com/office/spreadsheetml/2009/9/main" uri="{B025F937-C7B1-47D3-B67F-A62EFF666E3E}">
          <x14:id>{F67EB518-E864-43FA-8830-986F5EFC0429}</x14:id>
        </ext>
      </extLst>
    </cfRule>
  </conditionalFormatting>
  <conditionalFormatting sqref="P380:P411">
    <cfRule type="dataBar" priority="11">
      <dataBar>
        <cfvo type="min"/>
        <cfvo type="max"/>
        <color theme="7" tint="0.59999389629810485"/>
      </dataBar>
      <extLst>
        <ext xmlns:x14="http://schemas.microsoft.com/office/spreadsheetml/2009/9/main" uri="{B025F937-C7B1-47D3-B67F-A62EFF666E3E}">
          <x14:id>{C5E1E6C5-3720-421F-A3EA-497FCBE3464C}</x14:id>
        </ext>
      </extLst>
    </cfRule>
  </conditionalFormatting>
  <conditionalFormatting sqref="I416:K447">
    <cfRule type="dataBar" priority="10">
      <dataBar>
        <cfvo type="min"/>
        <cfvo type="max"/>
        <color theme="9" tint="0.59999389629810485"/>
      </dataBar>
      <extLst>
        <ext xmlns:x14="http://schemas.microsoft.com/office/spreadsheetml/2009/9/main" uri="{B025F937-C7B1-47D3-B67F-A62EFF666E3E}">
          <x14:id>{F486E6AF-8E2A-4BB0-B3EC-F6839C71B714}</x14:id>
        </ext>
      </extLst>
    </cfRule>
  </conditionalFormatting>
  <conditionalFormatting sqref="R416:S447">
    <cfRule type="dataBar" priority="9">
      <dataBar>
        <cfvo type="min"/>
        <cfvo type="max"/>
        <color rgb="FFFF555A"/>
      </dataBar>
      <extLst>
        <ext xmlns:x14="http://schemas.microsoft.com/office/spreadsheetml/2009/9/main" uri="{B025F937-C7B1-47D3-B67F-A62EFF666E3E}">
          <x14:id>{6A35BF60-389E-4515-A800-771908F1C69F}</x14:id>
        </ext>
      </extLst>
    </cfRule>
  </conditionalFormatting>
  <conditionalFormatting sqref="P416:P447">
    <cfRule type="dataBar" priority="8">
      <dataBar>
        <cfvo type="min"/>
        <cfvo type="max"/>
        <color theme="7" tint="0.59999389629810485"/>
      </dataBar>
      <extLst>
        <ext xmlns:x14="http://schemas.microsoft.com/office/spreadsheetml/2009/9/main" uri="{B025F937-C7B1-47D3-B67F-A62EFF666E3E}">
          <x14:id>{91A37689-47D6-4767-A9E7-4E93E4F10DA4}</x14:id>
        </ext>
      </extLst>
    </cfRule>
  </conditionalFormatting>
  <conditionalFormatting sqref="I452:K483">
    <cfRule type="dataBar" priority="7">
      <dataBar>
        <cfvo type="min"/>
        <cfvo type="max"/>
        <color theme="9" tint="0.59999389629810485"/>
      </dataBar>
      <extLst>
        <ext xmlns:x14="http://schemas.microsoft.com/office/spreadsheetml/2009/9/main" uri="{B025F937-C7B1-47D3-B67F-A62EFF666E3E}">
          <x14:id>{AEC8A300-630A-4041-9191-98152003FC71}</x14:id>
        </ext>
      </extLst>
    </cfRule>
  </conditionalFormatting>
  <conditionalFormatting sqref="R452:S483">
    <cfRule type="dataBar" priority="6">
      <dataBar>
        <cfvo type="min"/>
        <cfvo type="max"/>
        <color rgb="FFFF555A"/>
      </dataBar>
      <extLst>
        <ext xmlns:x14="http://schemas.microsoft.com/office/spreadsheetml/2009/9/main" uri="{B025F937-C7B1-47D3-B67F-A62EFF666E3E}">
          <x14:id>{C8A1196C-15B2-40D1-9B0B-FFCAE77084B6}</x14:id>
        </ext>
      </extLst>
    </cfRule>
  </conditionalFormatting>
  <conditionalFormatting sqref="P452:P483">
    <cfRule type="dataBar" priority="5">
      <dataBar>
        <cfvo type="min"/>
        <cfvo type="max"/>
        <color theme="7" tint="0.59999389629810485"/>
      </dataBar>
      <extLst>
        <ext xmlns:x14="http://schemas.microsoft.com/office/spreadsheetml/2009/9/main" uri="{B025F937-C7B1-47D3-B67F-A62EFF666E3E}">
          <x14:id>{D7AF863C-A35E-4572-9216-2C9910F41FB9}</x14:id>
        </ext>
      </extLst>
    </cfRule>
  </conditionalFormatting>
  <conditionalFormatting sqref="I488:K519">
    <cfRule type="dataBar" priority="4">
      <dataBar>
        <cfvo type="min"/>
        <cfvo type="max"/>
        <color theme="9" tint="0.59999389629810485"/>
      </dataBar>
      <extLst>
        <ext xmlns:x14="http://schemas.microsoft.com/office/spreadsheetml/2009/9/main" uri="{B025F937-C7B1-47D3-B67F-A62EFF666E3E}">
          <x14:id>{2B4E1BAD-AE6C-4651-957D-9DC56D7C9BAF}</x14:id>
        </ext>
      </extLst>
    </cfRule>
  </conditionalFormatting>
  <conditionalFormatting sqref="R488:S519">
    <cfRule type="dataBar" priority="3">
      <dataBar>
        <cfvo type="min"/>
        <cfvo type="max"/>
        <color rgb="FFFF555A"/>
      </dataBar>
      <extLst>
        <ext xmlns:x14="http://schemas.microsoft.com/office/spreadsheetml/2009/9/main" uri="{B025F937-C7B1-47D3-B67F-A62EFF666E3E}">
          <x14:id>{C544DF04-FD9C-4121-940D-B0E8EBF4BEBF}</x14:id>
        </ext>
      </extLst>
    </cfRule>
  </conditionalFormatting>
  <conditionalFormatting sqref="P488:P519">
    <cfRule type="dataBar" priority="2">
      <dataBar>
        <cfvo type="min"/>
        <cfvo type="max"/>
        <color theme="7" tint="0.59999389629810485"/>
      </dataBar>
      <extLst>
        <ext xmlns:x14="http://schemas.microsoft.com/office/spreadsheetml/2009/9/main" uri="{B025F937-C7B1-47D3-B67F-A62EFF666E3E}">
          <x14:id>{229EEF8B-2BD7-4FE1-A9C0-55699C6C6510}</x14:id>
        </ext>
      </extLst>
    </cfRule>
  </conditionalFormatting>
  <conditionalFormatting sqref="N71:N80">
    <cfRule type="dataBar" priority="1">
      <dataBar>
        <cfvo type="min"/>
        <cfvo type="max"/>
        <color theme="9" tint="0.59999389629810485"/>
      </dataBar>
      <extLst>
        <ext xmlns:x14="http://schemas.microsoft.com/office/spreadsheetml/2009/9/main" uri="{B025F937-C7B1-47D3-B67F-A62EFF666E3E}">
          <x14:id>{229EB271-9641-4B98-A16D-CE209993A29F}</x14:id>
        </ext>
      </extLst>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E68D8450-42FC-40C7-9384-E70742DB7B68}">
            <x14:dataBar minLength="0" maxLength="100" gradient="0">
              <x14:cfvo type="autoMin"/>
              <x14:cfvo type="autoMax"/>
              <x14:negativeFillColor rgb="FFFF0000"/>
              <x14:axisColor rgb="FF000000"/>
            </x14:dataBar>
          </x14:cfRule>
          <xm:sqref>I164:K195</xm:sqref>
        </x14:conditionalFormatting>
        <x14:conditionalFormatting xmlns:xm="http://schemas.microsoft.com/office/excel/2006/main">
          <x14:cfRule type="dataBar" id="{EADF2AFC-2306-4AC5-B0F6-1DAA417D8E46}">
            <x14:dataBar minLength="0" maxLength="100" gradient="0">
              <x14:cfvo type="autoMin"/>
              <x14:cfvo type="autoMax"/>
              <x14:negativeFillColor rgb="FFFF0000"/>
              <x14:axisColor rgb="FF000000"/>
            </x14:dataBar>
          </x14:cfRule>
          <xm:sqref>K84:K85 H71:L81</xm:sqref>
        </x14:conditionalFormatting>
        <x14:conditionalFormatting xmlns:xm="http://schemas.microsoft.com/office/excel/2006/main">
          <x14:cfRule type="dataBar" id="{40DC9DD6-D866-4A20-9EA3-01AF909EDC38}">
            <x14:dataBar minLength="0" maxLength="100" gradient="0">
              <x14:cfvo type="autoMin"/>
              <x14:cfvo type="autoMax"/>
              <x14:negativeFillColor rgb="FFFF0000"/>
              <x14:axisColor rgb="FF000000"/>
            </x14:dataBar>
          </x14:cfRule>
          <xm:sqref>K102:L134</xm:sqref>
        </x14:conditionalFormatting>
        <x14:conditionalFormatting xmlns:xm="http://schemas.microsoft.com/office/excel/2006/main">
          <x14:cfRule type="dataBar" id="{537940CE-B983-466B-A93E-0730CEE6B110}">
            <x14:dataBar minLength="0" maxLength="100" gradient="0">
              <x14:cfvo type="autoMin"/>
              <x14:cfvo type="autoMax"/>
              <x14:negativeFillColor rgb="FFFF0000"/>
              <x14:axisColor rgb="FF000000"/>
            </x14:dataBar>
          </x14:cfRule>
          <xm:sqref>G102:J134</xm:sqref>
        </x14:conditionalFormatting>
        <x14:conditionalFormatting xmlns:xm="http://schemas.microsoft.com/office/excel/2006/main">
          <x14:cfRule type="dataBar" id="{264DD67E-4122-4F07-AFE5-CFF002D5D021}">
            <x14:dataBar minLength="0" maxLength="100" gradient="0">
              <x14:cfvo type="autoMin"/>
              <x14:cfvo type="autoMax"/>
              <x14:negativeFillColor rgb="FFFF0000"/>
              <x14:axisColor rgb="FF000000"/>
            </x14:dataBar>
          </x14:cfRule>
          <xm:sqref>L84:L85</xm:sqref>
        </x14:conditionalFormatting>
        <x14:conditionalFormatting xmlns:xm="http://schemas.microsoft.com/office/excel/2006/main">
          <x14:cfRule type="dataBar" id="{FEC60922-AE1B-46D4-B5DB-ACC498D8F944}">
            <x14:dataBar minLength="0" maxLength="100" gradient="0">
              <x14:cfvo type="autoMin"/>
              <x14:cfvo type="autoMax"/>
              <x14:negativeFillColor rgb="FFFF0000"/>
              <x14:axisColor rgb="FF000000"/>
            </x14:dataBar>
          </x14:cfRule>
          <xm:sqref>R164:S195</xm:sqref>
        </x14:conditionalFormatting>
        <x14:conditionalFormatting xmlns:xm="http://schemas.microsoft.com/office/excel/2006/main">
          <x14:cfRule type="dataBar" id="{9305E752-4854-4B27-8F07-4342303FF979}">
            <x14:dataBar minLength="0" maxLength="100" gradient="0">
              <x14:cfvo type="autoMin"/>
              <x14:cfvo type="autoMax"/>
              <x14:negativeFillColor rgb="FFFF0000"/>
              <x14:axisColor rgb="FF000000"/>
            </x14:dataBar>
          </x14:cfRule>
          <xm:sqref>M102:N111</xm:sqref>
        </x14:conditionalFormatting>
        <x14:conditionalFormatting xmlns:xm="http://schemas.microsoft.com/office/excel/2006/main">
          <x14:cfRule type="dataBar" id="{C6186497-0B87-4B40-9929-C9FC662E4D0E}">
            <x14:dataBar minLength="0" maxLength="100" gradient="0">
              <x14:cfvo type="autoMin"/>
              <x14:cfvo type="autoMax"/>
              <x14:negativeFillColor rgb="FFFF0000"/>
              <x14:axisColor rgb="FF000000"/>
            </x14:dataBar>
          </x14:cfRule>
          <xm:sqref>P164:P195</xm:sqref>
        </x14:conditionalFormatting>
        <x14:conditionalFormatting xmlns:xm="http://schemas.microsoft.com/office/excel/2006/main">
          <x14:cfRule type="dataBar" id="{D45330A6-1932-44C1-8EF7-CB853C4165DA}">
            <x14:dataBar minLength="0" maxLength="100" gradient="0">
              <x14:cfvo type="autoMin"/>
              <x14:cfvo type="autoMax"/>
              <x14:negativeFillColor rgb="FFFF0000"/>
              <x14:axisColor rgb="FF000000"/>
            </x14:dataBar>
          </x14:cfRule>
          <xm:sqref>I200:K231</xm:sqref>
        </x14:conditionalFormatting>
        <x14:conditionalFormatting xmlns:xm="http://schemas.microsoft.com/office/excel/2006/main">
          <x14:cfRule type="dataBar" id="{F587BC45-05A0-4037-BF5C-EDD4F59C1503}">
            <x14:dataBar minLength="0" maxLength="100" gradient="0">
              <x14:cfvo type="autoMin"/>
              <x14:cfvo type="autoMax"/>
              <x14:negativeFillColor rgb="FFFF0000"/>
              <x14:axisColor rgb="FF000000"/>
            </x14:dataBar>
          </x14:cfRule>
          <xm:sqref>R200:S231</xm:sqref>
        </x14:conditionalFormatting>
        <x14:conditionalFormatting xmlns:xm="http://schemas.microsoft.com/office/excel/2006/main">
          <x14:cfRule type="dataBar" id="{EA969895-8E0A-43DB-A32B-D01F9D9BD98D}">
            <x14:dataBar minLength="0" maxLength="100" gradient="0">
              <x14:cfvo type="autoMin"/>
              <x14:cfvo type="autoMax"/>
              <x14:negativeFillColor rgb="FFFF0000"/>
              <x14:axisColor rgb="FF000000"/>
            </x14:dataBar>
          </x14:cfRule>
          <xm:sqref>P200:P231</xm:sqref>
        </x14:conditionalFormatting>
        <x14:conditionalFormatting xmlns:xm="http://schemas.microsoft.com/office/excel/2006/main">
          <x14:cfRule type="dataBar" id="{3ED11D5E-795A-4CD7-833C-CA75C2153D61}">
            <x14:dataBar minLength="0" maxLength="100" gradient="0">
              <x14:cfvo type="autoMin"/>
              <x14:cfvo type="autoMax"/>
              <x14:negativeFillColor rgb="FFFF0000"/>
              <x14:axisColor rgb="FF000000"/>
            </x14:dataBar>
          </x14:cfRule>
          <xm:sqref>I236:K267</xm:sqref>
        </x14:conditionalFormatting>
        <x14:conditionalFormatting xmlns:xm="http://schemas.microsoft.com/office/excel/2006/main">
          <x14:cfRule type="dataBar" id="{DCDEAD3D-929A-4370-8F9D-6CD3B0F26A0A}">
            <x14:dataBar minLength="0" maxLength="100" gradient="0">
              <x14:cfvo type="autoMin"/>
              <x14:cfvo type="autoMax"/>
              <x14:negativeFillColor rgb="FFFF0000"/>
              <x14:axisColor rgb="FF000000"/>
            </x14:dataBar>
          </x14:cfRule>
          <xm:sqref>R236:S267</xm:sqref>
        </x14:conditionalFormatting>
        <x14:conditionalFormatting xmlns:xm="http://schemas.microsoft.com/office/excel/2006/main">
          <x14:cfRule type="dataBar" id="{8650C619-9715-44C8-BF2C-A91E4354646F}">
            <x14:dataBar minLength="0" maxLength="100" gradient="0">
              <x14:cfvo type="autoMin"/>
              <x14:cfvo type="autoMax"/>
              <x14:negativeFillColor rgb="FFFF0000"/>
              <x14:axisColor rgb="FF000000"/>
            </x14:dataBar>
          </x14:cfRule>
          <xm:sqref>P236:P267</xm:sqref>
        </x14:conditionalFormatting>
        <x14:conditionalFormatting xmlns:xm="http://schemas.microsoft.com/office/excel/2006/main">
          <x14:cfRule type="dataBar" id="{F7924817-5F40-4179-B471-4F000899C231}">
            <x14:dataBar minLength="0" maxLength="100" gradient="0">
              <x14:cfvo type="autoMin"/>
              <x14:cfvo type="autoMax"/>
              <x14:negativeFillColor rgb="FFFF0000"/>
              <x14:axisColor rgb="FF000000"/>
            </x14:dataBar>
          </x14:cfRule>
          <xm:sqref>I272:K303</xm:sqref>
        </x14:conditionalFormatting>
        <x14:conditionalFormatting xmlns:xm="http://schemas.microsoft.com/office/excel/2006/main">
          <x14:cfRule type="dataBar" id="{68CBA07C-F683-4022-B716-10567DEA39B9}">
            <x14:dataBar minLength="0" maxLength="100" gradient="0">
              <x14:cfvo type="autoMin"/>
              <x14:cfvo type="autoMax"/>
              <x14:negativeFillColor rgb="FFFF0000"/>
              <x14:axisColor rgb="FF000000"/>
            </x14:dataBar>
          </x14:cfRule>
          <xm:sqref>R272:S303</xm:sqref>
        </x14:conditionalFormatting>
        <x14:conditionalFormatting xmlns:xm="http://schemas.microsoft.com/office/excel/2006/main">
          <x14:cfRule type="dataBar" id="{70030CF8-35A5-4EEA-B174-7F98D064E190}">
            <x14:dataBar minLength="0" maxLength="100" gradient="0">
              <x14:cfvo type="autoMin"/>
              <x14:cfvo type="autoMax"/>
              <x14:negativeFillColor rgb="FFFF0000"/>
              <x14:axisColor rgb="FF000000"/>
            </x14:dataBar>
          </x14:cfRule>
          <xm:sqref>P272:P303</xm:sqref>
        </x14:conditionalFormatting>
        <x14:conditionalFormatting xmlns:xm="http://schemas.microsoft.com/office/excel/2006/main">
          <x14:cfRule type="dataBar" id="{3970A1A0-A16B-44FF-9831-257B9200A9FF}">
            <x14:dataBar minLength="0" maxLength="100" gradient="0">
              <x14:cfvo type="autoMin"/>
              <x14:cfvo type="autoMax"/>
              <x14:negativeFillColor rgb="FFFF0000"/>
              <x14:axisColor rgb="FF000000"/>
            </x14:dataBar>
          </x14:cfRule>
          <xm:sqref>I308:K339</xm:sqref>
        </x14:conditionalFormatting>
        <x14:conditionalFormatting xmlns:xm="http://schemas.microsoft.com/office/excel/2006/main">
          <x14:cfRule type="dataBar" id="{441311DD-125B-421F-8078-BBD16FA45B9A}">
            <x14:dataBar minLength="0" maxLength="100" gradient="0">
              <x14:cfvo type="autoMin"/>
              <x14:cfvo type="autoMax"/>
              <x14:negativeFillColor rgb="FFFF0000"/>
              <x14:axisColor rgb="FF000000"/>
            </x14:dataBar>
          </x14:cfRule>
          <xm:sqref>R308:S339</xm:sqref>
        </x14:conditionalFormatting>
        <x14:conditionalFormatting xmlns:xm="http://schemas.microsoft.com/office/excel/2006/main">
          <x14:cfRule type="dataBar" id="{FB706307-969C-4278-8D61-6D7C110AFB37}">
            <x14:dataBar minLength="0" maxLength="100" gradient="0">
              <x14:cfvo type="autoMin"/>
              <x14:cfvo type="autoMax"/>
              <x14:negativeFillColor rgb="FFFF0000"/>
              <x14:axisColor rgb="FF000000"/>
            </x14:dataBar>
          </x14:cfRule>
          <xm:sqref>P308:P339</xm:sqref>
        </x14:conditionalFormatting>
        <x14:conditionalFormatting xmlns:xm="http://schemas.microsoft.com/office/excel/2006/main">
          <x14:cfRule type="dataBar" id="{5E758BEB-352E-4B81-AD80-9DE413C692AE}">
            <x14:dataBar minLength="0" maxLength="100" gradient="0">
              <x14:cfvo type="autoMin"/>
              <x14:cfvo type="autoMax"/>
              <x14:negativeFillColor rgb="FFFF0000"/>
              <x14:axisColor rgb="FF000000"/>
            </x14:dataBar>
          </x14:cfRule>
          <xm:sqref>I344:K375</xm:sqref>
        </x14:conditionalFormatting>
        <x14:conditionalFormatting xmlns:xm="http://schemas.microsoft.com/office/excel/2006/main">
          <x14:cfRule type="dataBar" id="{F7C3E564-7C56-4109-8A35-AF99C7EF1815}">
            <x14:dataBar minLength="0" maxLength="100" gradient="0">
              <x14:cfvo type="autoMin"/>
              <x14:cfvo type="autoMax"/>
              <x14:negativeFillColor rgb="FFFF0000"/>
              <x14:axisColor rgb="FF000000"/>
            </x14:dataBar>
          </x14:cfRule>
          <xm:sqref>R344:S375</xm:sqref>
        </x14:conditionalFormatting>
        <x14:conditionalFormatting xmlns:xm="http://schemas.microsoft.com/office/excel/2006/main">
          <x14:cfRule type="dataBar" id="{93DC1892-03FE-41F6-B86F-91010E0C32DA}">
            <x14:dataBar minLength="0" maxLength="100" gradient="0">
              <x14:cfvo type="autoMin"/>
              <x14:cfvo type="autoMax"/>
              <x14:negativeFillColor rgb="FFFF0000"/>
              <x14:axisColor rgb="FF000000"/>
            </x14:dataBar>
          </x14:cfRule>
          <xm:sqref>P344:P375</xm:sqref>
        </x14:conditionalFormatting>
        <x14:conditionalFormatting xmlns:xm="http://schemas.microsoft.com/office/excel/2006/main">
          <x14:cfRule type="dataBar" id="{A150A41B-1ABE-4649-9E7E-8F6FEB2496EB}">
            <x14:dataBar minLength="0" maxLength="100" gradient="0">
              <x14:cfvo type="autoMin"/>
              <x14:cfvo type="autoMax"/>
              <x14:negativeFillColor rgb="FFFF0000"/>
              <x14:axisColor rgb="FF000000"/>
            </x14:dataBar>
          </x14:cfRule>
          <xm:sqref>I380:K411</xm:sqref>
        </x14:conditionalFormatting>
        <x14:conditionalFormatting xmlns:xm="http://schemas.microsoft.com/office/excel/2006/main">
          <x14:cfRule type="dataBar" id="{F67EB518-E864-43FA-8830-986F5EFC0429}">
            <x14:dataBar minLength="0" maxLength="100" gradient="0">
              <x14:cfvo type="autoMin"/>
              <x14:cfvo type="autoMax"/>
              <x14:negativeFillColor rgb="FFFF0000"/>
              <x14:axisColor rgb="FF000000"/>
            </x14:dataBar>
          </x14:cfRule>
          <xm:sqref>R380:S411</xm:sqref>
        </x14:conditionalFormatting>
        <x14:conditionalFormatting xmlns:xm="http://schemas.microsoft.com/office/excel/2006/main">
          <x14:cfRule type="dataBar" id="{C5E1E6C5-3720-421F-A3EA-497FCBE3464C}">
            <x14:dataBar minLength="0" maxLength="100" gradient="0">
              <x14:cfvo type="autoMin"/>
              <x14:cfvo type="autoMax"/>
              <x14:negativeFillColor rgb="FFFF0000"/>
              <x14:axisColor rgb="FF000000"/>
            </x14:dataBar>
          </x14:cfRule>
          <xm:sqref>P380:P411</xm:sqref>
        </x14:conditionalFormatting>
        <x14:conditionalFormatting xmlns:xm="http://schemas.microsoft.com/office/excel/2006/main">
          <x14:cfRule type="dataBar" id="{F486E6AF-8E2A-4BB0-B3EC-F6839C71B714}">
            <x14:dataBar minLength="0" maxLength="100" gradient="0">
              <x14:cfvo type="autoMin"/>
              <x14:cfvo type="autoMax"/>
              <x14:negativeFillColor rgb="FFFF0000"/>
              <x14:axisColor rgb="FF000000"/>
            </x14:dataBar>
          </x14:cfRule>
          <xm:sqref>I416:K447</xm:sqref>
        </x14:conditionalFormatting>
        <x14:conditionalFormatting xmlns:xm="http://schemas.microsoft.com/office/excel/2006/main">
          <x14:cfRule type="dataBar" id="{6A35BF60-389E-4515-A800-771908F1C69F}">
            <x14:dataBar minLength="0" maxLength="100" gradient="0">
              <x14:cfvo type="autoMin"/>
              <x14:cfvo type="autoMax"/>
              <x14:negativeFillColor rgb="FFFF0000"/>
              <x14:axisColor rgb="FF000000"/>
            </x14:dataBar>
          </x14:cfRule>
          <xm:sqref>R416:S447</xm:sqref>
        </x14:conditionalFormatting>
        <x14:conditionalFormatting xmlns:xm="http://schemas.microsoft.com/office/excel/2006/main">
          <x14:cfRule type="dataBar" id="{91A37689-47D6-4767-A9E7-4E93E4F10DA4}">
            <x14:dataBar minLength="0" maxLength="100" gradient="0">
              <x14:cfvo type="autoMin"/>
              <x14:cfvo type="autoMax"/>
              <x14:negativeFillColor rgb="FFFF0000"/>
              <x14:axisColor rgb="FF000000"/>
            </x14:dataBar>
          </x14:cfRule>
          <xm:sqref>P416:P447</xm:sqref>
        </x14:conditionalFormatting>
        <x14:conditionalFormatting xmlns:xm="http://schemas.microsoft.com/office/excel/2006/main">
          <x14:cfRule type="dataBar" id="{AEC8A300-630A-4041-9191-98152003FC71}">
            <x14:dataBar minLength="0" maxLength="100" gradient="0">
              <x14:cfvo type="autoMin"/>
              <x14:cfvo type="autoMax"/>
              <x14:negativeFillColor rgb="FFFF0000"/>
              <x14:axisColor rgb="FF000000"/>
            </x14:dataBar>
          </x14:cfRule>
          <xm:sqref>I452:K483</xm:sqref>
        </x14:conditionalFormatting>
        <x14:conditionalFormatting xmlns:xm="http://schemas.microsoft.com/office/excel/2006/main">
          <x14:cfRule type="dataBar" id="{C8A1196C-15B2-40D1-9B0B-FFCAE77084B6}">
            <x14:dataBar minLength="0" maxLength="100" gradient="0">
              <x14:cfvo type="autoMin"/>
              <x14:cfvo type="autoMax"/>
              <x14:negativeFillColor rgb="FFFF0000"/>
              <x14:axisColor rgb="FF000000"/>
            </x14:dataBar>
          </x14:cfRule>
          <xm:sqref>R452:S483</xm:sqref>
        </x14:conditionalFormatting>
        <x14:conditionalFormatting xmlns:xm="http://schemas.microsoft.com/office/excel/2006/main">
          <x14:cfRule type="dataBar" id="{D7AF863C-A35E-4572-9216-2C9910F41FB9}">
            <x14:dataBar minLength="0" maxLength="100" gradient="0">
              <x14:cfvo type="autoMin"/>
              <x14:cfvo type="autoMax"/>
              <x14:negativeFillColor rgb="FFFF0000"/>
              <x14:axisColor rgb="FF000000"/>
            </x14:dataBar>
          </x14:cfRule>
          <xm:sqref>P452:P483</xm:sqref>
        </x14:conditionalFormatting>
        <x14:conditionalFormatting xmlns:xm="http://schemas.microsoft.com/office/excel/2006/main">
          <x14:cfRule type="dataBar" id="{2B4E1BAD-AE6C-4651-957D-9DC56D7C9BAF}">
            <x14:dataBar minLength="0" maxLength="100" gradient="0">
              <x14:cfvo type="autoMin"/>
              <x14:cfvo type="autoMax"/>
              <x14:negativeFillColor rgb="FFFF0000"/>
              <x14:axisColor rgb="FF000000"/>
            </x14:dataBar>
          </x14:cfRule>
          <xm:sqref>I488:K519</xm:sqref>
        </x14:conditionalFormatting>
        <x14:conditionalFormatting xmlns:xm="http://schemas.microsoft.com/office/excel/2006/main">
          <x14:cfRule type="dataBar" id="{C544DF04-FD9C-4121-940D-B0E8EBF4BEBF}">
            <x14:dataBar minLength="0" maxLength="100" gradient="0">
              <x14:cfvo type="autoMin"/>
              <x14:cfvo type="autoMax"/>
              <x14:negativeFillColor rgb="FFFF0000"/>
              <x14:axisColor rgb="FF000000"/>
            </x14:dataBar>
          </x14:cfRule>
          <xm:sqref>R488:S519</xm:sqref>
        </x14:conditionalFormatting>
        <x14:conditionalFormatting xmlns:xm="http://schemas.microsoft.com/office/excel/2006/main">
          <x14:cfRule type="dataBar" id="{229EEF8B-2BD7-4FE1-A9C0-55699C6C6510}">
            <x14:dataBar minLength="0" maxLength="100" gradient="0">
              <x14:cfvo type="autoMin"/>
              <x14:cfvo type="autoMax"/>
              <x14:negativeFillColor rgb="FFFF0000"/>
              <x14:axisColor rgb="FF000000"/>
            </x14:dataBar>
          </x14:cfRule>
          <xm:sqref>P488:P519</xm:sqref>
        </x14:conditionalFormatting>
        <x14:conditionalFormatting xmlns:xm="http://schemas.microsoft.com/office/excel/2006/main">
          <x14:cfRule type="dataBar" id="{229EB271-9641-4B98-A16D-CE209993A29F}">
            <x14:dataBar minLength="0" maxLength="100" gradient="0">
              <x14:cfvo type="autoMin"/>
              <x14:cfvo type="autoMax"/>
              <x14:negativeFillColor rgb="FFFF0000"/>
              <x14:axisColor rgb="FF000000"/>
            </x14:dataBar>
          </x14:cfRule>
          <xm:sqref>N71:N80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7"/>
  <dimension ref="A1:BO314"/>
  <sheetViews>
    <sheetView zoomScaleNormal="100" workbookViewId="0">
      <pane xSplit="6" ySplit="9" topLeftCell="G10" activePane="bottomRight" state="frozen"/>
      <selection pane="topRight" activeCell="G1" sqref="G1"/>
      <selection pane="bottomLeft" activeCell="A10" sqref="A10"/>
      <selection pane="bottomRight" activeCell="G10" sqref="G10"/>
    </sheetView>
  </sheetViews>
  <sheetFormatPr defaultColWidth="11.453125" defaultRowHeight="11.5" x14ac:dyDescent="0.35"/>
  <cols>
    <col min="1" max="1" width="4.7265625" style="275" hidden="1" customWidth="1"/>
    <col min="2" max="2" width="1.7265625" style="241" customWidth="1"/>
    <col min="3" max="3" width="3.7265625" style="241" customWidth="1"/>
    <col min="4" max="5" width="20.7265625" style="241" customWidth="1"/>
    <col min="6" max="6" width="12.7265625" style="241" customWidth="1"/>
    <col min="7" max="7" width="75.7265625" style="241" customWidth="1"/>
    <col min="8" max="8" width="30.7265625" style="241" customWidth="1"/>
    <col min="9" max="53" width="12.7265625" style="241" customWidth="1"/>
    <col min="54" max="54" width="12.7265625" style="241" hidden="1" customWidth="1"/>
    <col min="55" max="67" width="11.453125" style="275" hidden="1" customWidth="1"/>
    <col min="68" max="16384" width="11.453125" style="241"/>
  </cols>
  <sheetData>
    <row r="1" spans="1:67" s="275" customFormat="1" ht="12" hidden="1" thickBot="1" x14ac:dyDescent="0.4">
      <c r="A1" s="275" t="s">
        <v>3</v>
      </c>
      <c r="BB1" s="275" t="s">
        <v>3</v>
      </c>
      <c r="BC1" s="275" t="s">
        <v>3</v>
      </c>
      <c r="BD1" s="275" t="s">
        <v>3</v>
      </c>
      <c r="BE1" s="275" t="s">
        <v>3</v>
      </c>
      <c r="BF1" s="275" t="s">
        <v>3</v>
      </c>
      <c r="BG1" s="275" t="s">
        <v>3</v>
      </c>
      <c r="BH1" s="275" t="s">
        <v>3</v>
      </c>
      <c r="BI1" s="275" t="s">
        <v>3</v>
      </c>
      <c r="BJ1" s="275" t="s">
        <v>3</v>
      </c>
      <c r="BK1" s="275" t="s">
        <v>3</v>
      </c>
      <c r="BL1" s="275" t="s">
        <v>3</v>
      </c>
      <c r="BM1" s="275" t="s">
        <v>3</v>
      </c>
      <c r="BN1" s="275" t="s">
        <v>3</v>
      </c>
      <c r="BO1" s="275" t="s">
        <v>3</v>
      </c>
    </row>
    <row r="2" spans="1:67" ht="15.75" customHeight="1" thickBot="1" x14ac:dyDescent="0.4">
      <c r="B2" s="1178" t="str">
        <f>Translations!$B$465</f>
        <v>Summary of products</v>
      </c>
      <c r="C2" s="1179"/>
      <c r="D2" s="1180"/>
      <c r="E2" s="1187" t="str">
        <f>Translations!$B$11</f>
        <v>Navigation Area:</v>
      </c>
      <c r="F2" s="1188"/>
      <c r="G2" s="893" t="str">
        <f ca="1">HYPERLINK("#"&amp;ADDRESS(2,3,,,a_Contents!$U$2),a_Contents!$B$2)</f>
        <v>Table of contents</v>
      </c>
      <c r="H2" s="893" t="str">
        <f ca="1">HYPERLINK("#"&amp;ADDRESS(MATCH($BD6,G_FurtherGuidance!$S:$S,0),3,,,G_FurtherGuidance!$U$2),G_FurtherGuidance!$B$2)</f>
        <v>Further Guidance</v>
      </c>
      <c r="I2" s="1192" t="str">
        <f ca="1">HYPERLINK("#"&amp;ADDRESS(2,3,,,Summary_Processes!$Y$2),Summary_Processes!$Y$2)</f>
        <v>Summary_Processes</v>
      </c>
      <c r="J2" s="1193"/>
      <c r="BC2" s="91" t="s">
        <v>114</v>
      </c>
      <c r="BD2" s="95" t="str">
        <f>ADDRESS(ROW($B$2),COLUMN($B$2)) &amp; ":" &amp; ADDRESS(MATCH("PRINT",$BB:$BB,0),COLUMN($BB$2))</f>
        <v>$B$2:$BB$111</v>
      </c>
      <c r="BE2" s="91" t="s">
        <v>25</v>
      </c>
      <c r="BF2" s="886" t="str">
        <f ca="1">IF(ISERROR(CELL("filename",BG2)),"Summary_Products",MID(CELL("filename",BG2),FIND("]",CELL("filename",BG2))+1,1024))</f>
        <v>Summary_Products</v>
      </c>
    </row>
    <row r="3" spans="1:67" ht="15" customHeight="1" x14ac:dyDescent="0.35">
      <c r="B3" s="1181"/>
      <c r="C3" s="1182"/>
      <c r="D3" s="1183"/>
      <c r="E3" s="1174"/>
      <c r="F3" s="1174"/>
      <c r="G3" s="894" t="str">
        <f>IFERROR(HYPERLINK("#"&amp;ADDRESS(ROW($C$1)+MATCH(U3,$C:$C,0)-1,COLUMN($C$1)),INDEX($U:$U,MATCH(U3,$C:$C,0))),"")</f>
        <v/>
      </c>
      <c r="H3" s="894" t="str">
        <f>IFERROR(HYPERLINK("#"&amp;ADDRESS(ROW($C$1)+MATCH(W3,$C:$C,0)-1,COLUMN($C$1)),INDEX($U:$U,MATCH(W3,$C:$C,0))),"")</f>
        <v/>
      </c>
      <c r="I3" s="1458" t="str">
        <f>IFERROR(HYPERLINK("#"&amp;ADDRESS(ROW($C$1)+MATCH(Z3,$C:$C,0)-1,COLUMN($C$1)),INDEX($U:$U,MATCH(Z3,$C:$C,0))),"")</f>
        <v/>
      </c>
      <c r="J3" s="1459"/>
    </row>
    <row r="4" spans="1:67" ht="15.75" customHeight="1" thickBot="1" x14ac:dyDescent="0.4">
      <c r="B4" s="1184"/>
      <c r="C4" s="1185"/>
      <c r="D4" s="1186"/>
      <c r="E4" s="1174"/>
      <c r="F4" s="1174"/>
      <c r="G4" s="894" t="str">
        <f>IFERROR(HYPERLINK("#"&amp;ADDRESS(ROW($C$1)+MATCH(U4,$C:$C,0)-1,COLUMN($C$1)),INDEX($U:$U,MATCH(U4,$C:$C,0))),"")</f>
        <v/>
      </c>
      <c r="H4" s="894" t="str">
        <f>IFERROR(HYPERLINK("#"&amp;ADDRESS(ROW($C$1)+MATCH(W4,$C:$C,0)-1,COLUMN($C$1)),INDEX($U:$U,MATCH(W4,$C:$C,0))),"")</f>
        <v/>
      </c>
      <c r="I4" s="1456" t="str">
        <f>IFERROR(HYPERLINK("#"&amp;ADDRESS(ROW($C$1)+MATCH(Z4,$C:$C,0)-1,COLUMN($C$1)),INDEX($U:$U,MATCH(Z4,$C:$C,0))),"")</f>
        <v/>
      </c>
      <c r="J4" s="1457"/>
    </row>
    <row r="5" spans="1:67" ht="5.15" customHeight="1" x14ac:dyDescent="0.35">
      <c r="J5" s="369"/>
    </row>
    <row r="6" spans="1:67" ht="12.75" customHeight="1" x14ac:dyDescent="0.25">
      <c r="D6" s="1290" t="str">
        <f ca="1">HYPERLINK("#"&amp;ADDRESS(MATCH($BD6,G_FurtherGuidance!$S:$S,0),3,,,G_FurtherGuidance!$U$2),CONST_LinkToGuidanceSheet)</f>
        <v>Please click on this link for further guidance on how to complete this section.</v>
      </c>
      <c r="E6" s="1290"/>
      <c r="F6" s="1290"/>
      <c r="G6" s="1290"/>
      <c r="BB6" s="12"/>
      <c r="BC6" s="104" t="s">
        <v>2771</v>
      </c>
      <c r="BD6" s="105">
        <v>5</v>
      </c>
      <c r="BE6" s="276"/>
      <c r="BF6" s="276"/>
      <c r="BG6" s="276"/>
    </row>
    <row r="7" spans="1:67" ht="5.15" customHeight="1" x14ac:dyDescent="0.35">
      <c r="AR7" s="754"/>
    </row>
    <row r="8" spans="1:67" s="277" customFormat="1" ht="69.5" x14ac:dyDescent="0.3">
      <c r="A8" s="276"/>
      <c r="D8" s="452" t="str">
        <f>Translations!$B$472</f>
        <v>Production process from which the products arise</v>
      </c>
      <c r="E8" s="452" t="str">
        <f>Translations!$B$603</f>
        <v>Type of aggregated good or precursor</v>
      </c>
      <c r="F8" s="453" t="str">
        <f>Translations!$B$474</f>
        <v>CN Codes</v>
      </c>
      <c r="G8" s="453" t="str">
        <f>Translations!$B$604</f>
        <v>CN Name</v>
      </c>
      <c r="H8" s="454" t="str">
        <f>Translations!$B$605</f>
        <v>Product name 
(used for communication with reporting declarant, e.g. on invoices)</v>
      </c>
      <c r="I8" s="455" t="str">
        <f>Translations!$B$570</f>
        <v>SEE (direct)</v>
      </c>
      <c r="J8" s="455" t="str">
        <f>Translations!$B$574</f>
        <v>SEE (indirect)</v>
      </c>
      <c r="K8" s="455" t="str">
        <f>Translations!$B$344</f>
        <v>SEE (total)</v>
      </c>
      <c r="L8" s="455" t="str">
        <f>Translations!$B$221</f>
        <v>Unit</v>
      </c>
      <c r="M8" s="455" t="str">
        <f>Translations!$B$1868</f>
        <v>Share of emissions by default value</v>
      </c>
      <c r="N8" s="455" t="str">
        <f>Translations!$B$606</f>
        <v>Source for electricity EF</v>
      </c>
      <c r="O8" s="455" t="str">
        <f>Translations!$B$607</f>
        <v>Embedded electricity (MWh/t)</v>
      </c>
      <c r="P8" s="455" t="str">
        <f>Translations!$B$483</f>
        <v>The main reducing agent of the precursor, if known</v>
      </c>
      <c r="Q8" s="455" t="str">
        <f>Translations!$B$485</f>
        <v>Steel mill identification number</v>
      </c>
      <c r="R8" s="455" t="str">
        <f>Translations!$B$487</f>
        <v>% Mn</v>
      </c>
      <c r="S8" s="455" t="str">
        <f>Translations!$B$489</f>
        <v>% Cr</v>
      </c>
      <c r="T8" s="455" t="str">
        <f>Translations!$B$491</f>
        <v>% Ni</v>
      </c>
      <c r="U8" s="455" t="str">
        <f>Translations!$B$493</f>
        <v>% other alloys</v>
      </c>
      <c r="V8" s="455" t="str">
        <f>Translations!$B$495</f>
        <v>% carbon</v>
      </c>
      <c r="W8" s="455" t="str">
        <f>Translations!$B$497</f>
        <v>t scrap per t steel</v>
      </c>
      <c r="X8" s="455" t="str">
        <f>Translations!$B$499</f>
        <v>% other materials</v>
      </c>
      <c r="Y8" s="455" t="str">
        <f>Translations!$B$503</f>
        <v>% pre-consumer scrap</v>
      </c>
      <c r="Z8" s="455" t="str">
        <f>Translations!$B$501</f>
        <v>t scrap per t aluminium</v>
      </c>
      <c r="AA8" s="455" t="str">
        <f>Translations!$B$505</f>
        <v>% non-aluminium elements</v>
      </c>
      <c r="AB8" s="455" t="str">
        <f>Translations!$B$507</f>
        <v>Clinker factor</v>
      </c>
      <c r="AC8" s="455" t="str">
        <f>Translations!$B$509</f>
        <v>Calcined or not</v>
      </c>
      <c r="AD8" s="455" t="str">
        <f>Translations!$B$511</f>
        <v>Concentration, if hydrous solution</v>
      </c>
      <c r="AE8" s="455" t="str">
        <f>Translations!$B$513</f>
        <v>% nitric acid</v>
      </c>
      <c r="AF8" s="455" t="str">
        <f>Translations!$B$515</f>
        <v>% urea</v>
      </c>
      <c r="AG8" s="455" t="str">
        <f>Translations!$B$517</f>
        <v>% N contained</v>
      </c>
      <c r="AH8" s="455" t="str">
        <f>Translations!$B$519</f>
        <v>% N as ammonium (NH4+)</v>
      </c>
      <c r="AI8" s="455" t="str">
        <f>Translations!$B$521</f>
        <v>% N as nitrate (NO3–)</v>
      </c>
      <c r="AJ8" s="455" t="str">
        <f>Translations!$B$523</f>
        <v>% N as Urea</v>
      </c>
      <c r="AK8" s="455" t="str">
        <f>Translations!$B$525</f>
        <v>% N in other (organic) forms</v>
      </c>
      <c r="AL8" s="751" t="str">
        <f>Translations!$B$530</f>
        <v>Type of instrument (carbon pricing)</v>
      </c>
      <c r="AM8" s="455" t="str">
        <f>Translations!$B$532</f>
        <v>Share of total embedded emissions covered by the carbon price</v>
      </c>
      <c r="AN8" s="1453" t="str">
        <f>Translations!$B$608</f>
        <v>Embedded emissions covered by the carbon price</v>
      </c>
      <c r="AO8" s="1454"/>
      <c r="AP8" s="1453" t="str">
        <f>Translations!$B$534</f>
        <v>Currency</v>
      </c>
      <c r="AQ8" s="1454"/>
      <c r="AR8" s="1453" t="str">
        <f>Translations!$B$347</f>
        <v>Carbon price (CP) due (per produced t or MWh)</v>
      </c>
      <c r="AS8" s="1454"/>
      <c r="AT8" s="751" t="str">
        <f>Translations!$B$537</f>
        <v>Type of rebate</v>
      </c>
      <c r="AU8" s="751" t="str">
        <f>Translations!$B$539</f>
        <v>Share of embedded emissions covered by the rebate</v>
      </c>
      <c r="AV8" s="1453" t="str">
        <f>Translations!$B$609</f>
        <v>Embedded emissions covered by rebate</v>
      </c>
      <c r="AW8" s="1454"/>
      <c r="AX8" s="1453" t="str">
        <f>Translations!$B$1872</f>
        <v>Amount of rebate (per produced t or MWh)</v>
      </c>
      <c r="AY8" s="1454"/>
      <c r="AZ8" s="1455" t="str">
        <f>Translations!$B$353</f>
        <v>Result: Effective CP due (per produced t or MWh)</v>
      </c>
      <c r="BA8" s="1455"/>
      <c r="BC8" s="276"/>
      <c r="BD8" s="276" t="s">
        <v>2758</v>
      </c>
      <c r="BE8" s="276"/>
      <c r="BF8" s="276"/>
      <c r="BG8" s="382" t="s">
        <v>359</v>
      </c>
      <c r="BH8" s="276"/>
      <c r="BI8" s="382" t="s">
        <v>2717</v>
      </c>
      <c r="BJ8" s="276"/>
      <c r="BK8" s="518" t="str">
        <f>P8</f>
        <v>The main reducing agent of the precursor, if known</v>
      </c>
      <c r="BL8" s="518" t="str">
        <f>AC8</f>
        <v>Calcined or not</v>
      </c>
      <c r="BM8" s="518" t="str">
        <f>AL8</f>
        <v>Type of instrument (carbon pricing)</v>
      </c>
      <c r="BN8" s="518" t="str">
        <f>AT8</f>
        <v>Type of rebate</v>
      </c>
      <c r="BO8" s="276"/>
    </row>
    <row r="9" spans="1:67" s="277" customFormat="1" ht="12.75" customHeight="1" x14ac:dyDescent="0.25">
      <c r="A9" s="276"/>
      <c r="C9" s="623" t="str">
        <f>Translations!$B$202</f>
        <v>Ex.</v>
      </c>
      <c r="D9" s="718" t="str">
        <f>Translations!$B$610</f>
        <v>Example process A</v>
      </c>
      <c r="E9" s="718" t="str">
        <f>Translations!$B$611</f>
        <v>Iron or steel products</v>
      </c>
      <c r="F9" s="719" t="s">
        <v>2890</v>
      </c>
      <c r="G9" s="720" t="str">
        <f>Translations!$B$612</f>
        <v>Semi-finished products of iron or non-alloy steel, containing by weight &lt; 0,25% carbon, of circular or polygonal cross-section, forged</v>
      </c>
      <c r="H9" s="719" t="str">
        <f>Translations!$B$613</f>
        <v>Example name A</v>
      </c>
      <c r="I9" s="721">
        <v>0.91500000000000004</v>
      </c>
      <c r="J9" s="721">
        <v>0.39600000000000002</v>
      </c>
      <c r="K9" s="721">
        <f>SUM(I9:J9)</f>
        <v>1.3109999999999999</v>
      </c>
      <c r="L9" s="722" t="str">
        <f>Translations!$B$614</f>
        <v>tCO2e/t</v>
      </c>
      <c r="M9" s="818">
        <v>0</v>
      </c>
      <c r="N9" s="722" t="s">
        <v>3927</v>
      </c>
      <c r="O9" s="721">
        <v>0.28100000000000003</v>
      </c>
      <c r="P9" s="722" t="str">
        <f>Translations!$B$615</f>
        <v>Coal or coke</v>
      </c>
      <c r="Q9" s="722">
        <v>623108</v>
      </c>
      <c r="R9" s="723">
        <v>0.13950000000000001</v>
      </c>
      <c r="S9" s="723">
        <v>8.4099999999999994E-2</v>
      </c>
      <c r="T9" s="723">
        <v>2.1000000000000001E-2</v>
      </c>
      <c r="U9" s="723">
        <v>0.03</v>
      </c>
      <c r="V9" s="723">
        <v>3.5000000000000001E-3</v>
      </c>
      <c r="W9" s="722"/>
      <c r="X9" s="723">
        <v>1E-4</v>
      </c>
      <c r="Y9" s="723"/>
      <c r="Z9" s="722"/>
      <c r="AA9" s="722"/>
      <c r="AB9" s="722"/>
      <c r="AC9" s="722"/>
      <c r="AD9" s="722"/>
      <c r="AE9" s="722"/>
      <c r="AF9" s="722"/>
      <c r="AG9" s="722"/>
      <c r="AH9" s="722"/>
      <c r="AI9" s="722"/>
      <c r="AJ9" s="722"/>
      <c r="AK9" s="722"/>
      <c r="AL9" s="724" t="str">
        <f>Translations!$B$636</f>
        <v>Carbon Tax</v>
      </c>
      <c r="AM9" s="725">
        <v>0.69762016221384227</v>
      </c>
      <c r="AN9" s="726">
        <v>0.91500000000000004</v>
      </c>
      <c r="AO9" s="727" t="str">
        <f>Translations!$B$614</f>
        <v>tCO2e/t</v>
      </c>
      <c r="AP9" s="728" t="s">
        <v>603</v>
      </c>
      <c r="AQ9" s="729" t="str">
        <f>Translations!$B$1719</f>
        <v>US Dollar</v>
      </c>
      <c r="AR9" s="730">
        <v>50</v>
      </c>
      <c r="AS9" s="727" t="str">
        <f>Translations!$B$618</f>
        <v>USD/t</v>
      </c>
      <c r="AT9" s="724" t="str">
        <f>Translations!$B$641</f>
        <v>Tax deduction</v>
      </c>
      <c r="AU9" s="725">
        <v>0.9</v>
      </c>
      <c r="AV9" s="726">
        <v>1.1804418000000001</v>
      </c>
      <c r="AW9" s="727" t="str">
        <f>Translations!$B$614</f>
        <v>tCO2e/t</v>
      </c>
      <c r="AX9" s="730">
        <v>20</v>
      </c>
      <c r="AY9" s="727" t="str">
        <f>Translations!$B$618</f>
        <v>USD/t</v>
      </c>
      <c r="AZ9" s="730">
        <v>35.413254000000002</v>
      </c>
      <c r="BA9" s="731" t="str">
        <f>Translations!$B$618</f>
        <v>USD/t</v>
      </c>
      <c r="BC9" s="276"/>
      <c r="BD9" s="276"/>
      <c r="BE9" s="276"/>
      <c r="BF9" s="276"/>
      <c r="BG9" s="382"/>
      <c r="BH9" s="276"/>
      <c r="BI9" s="382"/>
      <c r="BJ9" s="276"/>
      <c r="BK9" s="276"/>
      <c r="BL9" s="276"/>
      <c r="BM9" s="276"/>
      <c r="BN9" s="276"/>
      <c r="BO9" s="276"/>
    </row>
    <row r="10" spans="1:67" ht="12.75" customHeight="1" x14ac:dyDescent="0.35">
      <c r="B10" s="278"/>
      <c r="C10" s="259">
        <v>1</v>
      </c>
      <c r="D10" s="462"/>
      <c r="E10" s="463" t="str">
        <f t="shared" ref="E10:E39" si="0">IF(D10="","",INDEX(CNTR_List_ExistProdProc,MATCH(D10,CNTR_List_ExistProdProcNames,0)))</f>
        <v/>
      </c>
      <c r="F10" s="732"/>
      <c r="G10" s="464" t="str">
        <f t="shared" ref="G10:G39" si="1">IF(F10="","",INDEX(CNCodes_ListNames,MATCH(F10,CNCodes_ListKey,0)))</f>
        <v/>
      </c>
      <c r="H10" s="462"/>
      <c r="I10" s="261" t="str">
        <f>IF(OR($D10="",$D10=CONST_NA),"",INDEX(InputOutput!$AK$71:$AK$80,MATCH($D10,InputOutput!$D$71:$D$80,0)))</f>
        <v/>
      </c>
      <c r="J10" s="261" t="str">
        <f>IF(OR($D10="",$D10=CONST_NA),"",INDEX(InputOutput!$AM$71:$AM$80,MATCH($D10,InputOutput!$D$71:$D$80,0)))</f>
        <v/>
      </c>
      <c r="K10" s="261" t="str">
        <f t="shared" ref="K10:K41" si="2">IF(OR($D10="",$D10=CONST_NA),"",SUM(I10:J10))</f>
        <v/>
      </c>
      <c r="L10" s="261" t="str">
        <f t="shared" ref="L10:L41" si="3">IF(E10="","",CONST_tCO2eq &amp; "/" &amp; INDEX(CONST_LIST_GoodsUnit,MATCH(E10,CONST_LIST_Goods,0)))</f>
        <v/>
      </c>
      <c r="M10" s="682" t="str">
        <f>IF($E10="","",INDEX(Summary_Processes!$AG$162:$AG$520,MATCH($D10,Summary_Processes!$D$162:$D$520,0)))</f>
        <v/>
      </c>
      <c r="N10" s="261" t="str">
        <f>IF(D10="","",INDEX(D_Processes!T:T,MATCH(CONST_CNTR_ElecEFMethod&amp;D10,D_Processes!R:R,0)))</f>
        <v/>
      </c>
      <c r="O10" s="261" t="str">
        <f>IF(OR($D10="",$D10=CONST_NA),"",INDEX(InputOutput!$AO$71:$AO$80,MATCH($D10,InputOutput!$D$71:$D$80,0)))</f>
        <v/>
      </c>
      <c r="P10" s="465"/>
      <c r="Q10" s="465"/>
      <c r="R10" s="755"/>
      <c r="S10" s="755"/>
      <c r="T10" s="755"/>
      <c r="U10" s="755"/>
      <c r="V10" s="755"/>
      <c r="W10" s="755"/>
      <c r="X10" s="755"/>
      <c r="Y10" s="755"/>
      <c r="Z10" s="755"/>
      <c r="AA10" s="755"/>
      <c r="AB10" s="466"/>
      <c r="AC10" s="466"/>
      <c r="AD10" s="466"/>
      <c r="AE10" s="466"/>
      <c r="AF10" s="466"/>
      <c r="AG10" s="466"/>
      <c r="AH10" s="466"/>
      <c r="AI10" s="466"/>
      <c r="AJ10" s="466"/>
      <c r="AK10" s="466"/>
      <c r="AL10" s="445"/>
      <c r="AM10" s="446"/>
      <c r="AN10" s="459" t="str">
        <f>IF($K10="","",$K10*AM10)</f>
        <v/>
      </c>
      <c r="AO10" s="458" t="str">
        <f t="shared" ref="AO10:AO41" si="4">L10</f>
        <v/>
      </c>
      <c r="AP10" s="447"/>
      <c r="AQ10" s="686" t="str">
        <f t="shared" ref="AQ10:AQ41" si="5">IF(AP10="","",INDEX(CNTR_ListCurrenciesName,MATCH(AP10,CNTR_ListCurrenciesCode,0)))</f>
        <v/>
      </c>
      <c r="AR10" s="461"/>
      <c r="AS10" s="457" t="str">
        <f t="shared" ref="AS10:AS41" si="6">IF(OR(D10="",AP10=""),"",AP10&amp;"/"&amp;INDEX(CONST_LIST_GoodsUnit,MATCH($E10,CONST_LIST_Goods,0)))</f>
        <v/>
      </c>
      <c r="AT10" s="445"/>
      <c r="AU10" s="446"/>
      <c r="AV10" s="459" t="str">
        <f>IF($K10="","",$K10*AU10)</f>
        <v/>
      </c>
      <c r="AW10" s="458" t="str">
        <f>AO10</f>
        <v/>
      </c>
      <c r="AX10" s="461"/>
      <c r="AY10" s="457" t="str">
        <f>AS10</f>
        <v/>
      </c>
      <c r="AZ10" s="460" t="str">
        <f t="shared" ref="AZ10:AZ41" si="7">IF(K10="","",(AR10-AX10))</f>
        <v/>
      </c>
      <c r="BA10" s="456" t="str">
        <f>AS10</f>
        <v/>
      </c>
      <c r="BD10" s="279" t="str">
        <f t="shared" ref="BD10:BD41" si="8">IF(OR($D10="",$D10=CONST_NA),"",INDEX(CONST_CNTR_ListGoodsForCN,MATCH(E10,CONST_LIST_Goods,0)))</f>
        <v/>
      </c>
      <c r="BI10" s="279" t="str">
        <f t="shared" ref="BI10:BI41" si="9">IF(CNTR_HasEntriesA,IF(AND(D10&lt;&gt;"",COUNTIF(D214:BA214,TRUE)&gt;0),CONST_ErrorOrMissing,IF(AND(D10&lt;&gt;"",COUNTIF(D214:BA214,TRUE)=0),TRUE,CONST_NA)),CONST_NA)</f>
        <v>n.a.</v>
      </c>
      <c r="BK10" s="517" t="str">
        <f t="shared" ref="BK10:BK41" si="10">IF(P10="","",MATCH(P10,CONST_ReducingAgent,0))</f>
        <v/>
      </c>
      <c r="BL10" s="517" t="str">
        <f t="shared" ref="BL10:BL41" si="11">IF(AC10="","",MATCH(AC10,CONST_TrueFalse,0))</f>
        <v/>
      </c>
      <c r="BM10" s="517" t="str">
        <f>IF(AL10="","",MATCH(AL10,CONST_CarbonPriceType,0))</f>
        <v/>
      </c>
      <c r="BN10" s="517" t="str">
        <f t="shared" ref="BN10:BN41" si="12">IF(AT10="","",MATCH(AT10,CONST_RebateType,0))</f>
        <v/>
      </c>
    </row>
    <row r="11" spans="1:67" ht="12.75" customHeight="1" x14ac:dyDescent="0.35">
      <c r="B11" s="278"/>
      <c r="C11" s="259">
        <v>2</v>
      </c>
      <c r="D11" s="468"/>
      <c r="E11" s="467" t="str">
        <f t="shared" si="0"/>
        <v/>
      </c>
      <c r="F11" s="733"/>
      <c r="G11" s="716" t="str">
        <f t="shared" si="1"/>
        <v/>
      </c>
      <c r="H11" s="468"/>
      <c r="I11" s="266" t="str">
        <f>IF(OR($D11="",$D11=CONST_NA),"",INDEX(InputOutput!$AK$71:$AK$80,MATCH($D11,InputOutput!$D$71:$D$80,0)))</f>
        <v/>
      </c>
      <c r="J11" s="266" t="str">
        <f>IF(OR($D11="",$D11=CONST_NA),"",INDEX(InputOutput!$AM$71:$AM$80,MATCH($D11,InputOutput!$D$71:$D$80,0)))</f>
        <v/>
      </c>
      <c r="K11" s="266" t="str">
        <f t="shared" si="2"/>
        <v/>
      </c>
      <c r="L11" s="266" t="str">
        <f t="shared" si="3"/>
        <v/>
      </c>
      <c r="M11" s="683" t="str">
        <f>IF($E11="","",INDEX(Summary_Processes!$AG$162:$AG$520,MATCH($D11,Summary_Processes!$D$162:$D$520,0)))</f>
        <v/>
      </c>
      <c r="N11" s="266" t="str">
        <f>IF(D11="","",INDEX(D_Processes!T:T,MATCH(CONST_CNTR_ElecEFMethod&amp;D11,D_Processes!R:R,0)))</f>
        <v/>
      </c>
      <c r="O11" s="266" t="str">
        <f>IF(OR($D11="",$D11=CONST_NA),"",INDEX(InputOutput!$AO$71:$AO$80,MATCH($D11,InputOutput!$D$71:$D$80,0)))</f>
        <v/>
      </c>
      <c r="P11" s="469"/>
      <c r="Q11" s="469"/>
      <c r="R11" s="756"/>
      <c r="S11" s="756"/>
      <c r="T11" s="756"/>
      <c r="U11" s="756"/>
      <c r="V11" s="756"/>
      <c r="W11" s="756"/>
      <c r="X11" s="756"/>
      <c r="Y11" s="756"/>
      <c r="Z11" s="756"/>
      <c r="AA11" s="756"/>
      <c r="AB11" s="470"/>
      <c r="AC11" s="470"/>
      <c r="AD11" s="470"/>
      <c r="AE11" s="470"/>
      <c r="AF11" s="470"/>
      <c r="AG11" s="470"/>
      <c r="AH11" s="470"/>
      <c r="AI11" s="470"/>
      <c r="AJ11" s="470"/>
      <c r="AK11" s="470"/>
      <c r="AL11" s="471"/>
      <c r="AM11" s="472"/>
      <c r="AN11" s="473" t="str">
        <f t="shared" ref="AN11:AN74" si="13">IF($K11="","",$K11*AM11)</f>
        <v/>
      </c>
      <c r="AO11" s="474" t="str">
        <f t="shared" si="4"/>
        <v/>
      </c>
      <c r="AP11" s="475"/>
      <c r="AQ11" s="687" t="str">
        <f t="shared" si="5"/>
        <v/>
      </c>
      <c r="AR11" s="476"/>
      <c r="AS11" s="474" t="str">
        <f t="shared" si="6"/>
        <v/>
      </c>
      <c r="AT11" s="471"/>
      <c r="AU11" s="472"/>
      <c r="AV11" s="473" t="str">
        <f t="shared" ref="AV11:AV74" si="14">IF($K11="","",$K11*AU11)</f>
        <v/>
      </c>
      <c r="AW11" s="474" t="str">
        <f t="shared" ref="AW11:AW74" si="15">AO11</f>
        <v/>
      </c>
      <c r="AX11" s="476"/>
      <c r="AY11" s="474" t="str">
        <f t="shared" ref="AY11:AY74" si="16">AS11</f>
        <v/>
      </c>
      <c r="AZ11" s="477" t="str">
        <f t="shared" si="7"/>
        <v/>
      </c>
      <c r="BA11" s="478" t="str">
        <f t="shared" ref="BA11:BA74" si="17">AS11</f>
        <v/>
      </c>
      <c r="BD11" s="279" t="str">
        <f t="shared" si="8"/>
        <v/>
      </c>
      <c r="BG11" s="279" t="b">
        <f t="shared" ref="BG11:BG42" si="18">AND(CNTR_HasEntriesA,D11="")</f>
        <v>0</v>
      </c>
      <c r="BI11" s="279" t="str">
        <f t="shared" si="9"/>
        <v>n.a.</v>
      </c>
      <c r="BK11" s="517" t="str">
        <f t="shared" si="10"/>
        <v/>
      </c>
      <c r="BL11" s="517" t="str">
        <f t="shared" si="11"/>
        <v/>
      </c>
      <c r="BM11" s="517" t="str">
        <f t="shared" ref="BM11:BM41" si="19">IF(AL11="","",MATCH(AL11,CONST_CarbonPriceType,0))</f>
        <v/>
      </c>
      <c r="BN11" s="517" t="str">
        <f t="shared" si="12"/>
        <v/>
      </c>
    </row>
    <row r="12" spans="1:67" ht="12.75" customHeight="1" x14ac:dyDescent="0.35">
      <c r="B12" s="278"/>
      <c r="C12" s="259">
        <v>3</v>
      </c>
      <c r="D12" s="468"/>
      <c r="E12" s="467" t="str">
        <f t="shared" si="0"/>
        <v/>
      </c>
      <c r="F12" s="733"/>
      <c r="G12" s="716" t="str">
        <f t="shared" si="1"/>
        <v/>
      </c>
      <c r="H12" s="468"/>
      <c r="I12" s="266" t="str">
        <f>IF(OR($D12="",$D12=CONST_NA),"",INDEX(InputOutput!$AK$71:$AK$80,MATCH($D12,InputOutput!$D$71:$D$80,0)))</f>
        <v/>
      </c>
      <c r="J12" s="266" t="str">
        <f>IF(OR($D12="",$D12=CONST_NA),"",INDEX(InputOutput!$AM$71:$AM$80,MATCH($D12,InputOutput!$D$71:$D$80,0)))</f>
        <v/>
      </c>
      <c r="K12" s="266" t="str">
        <f t="shared" si="2"/>
        <v/>
      </c>
      <c r="L12" s="266" t="str">
        <f t="shared" si="3"/>
        <v/>
      </c>
      <c r="M12" s="683" t="str">
        <f>IF($E12="","",INDEX(Summary_Processes!$AG$162:$AG$520,MATCH($D12,Summary_Processes!$D$162:$D$520,0)))</f>
        <v/>
      </c>
      <c r="N12" s="266" t="str">
        <f>IF(D12="","",INDEX(D_Processes!T:T,MATCH(CONST_CNTR_ElecEFMethod&amp;D12,D_Processes!R:R,0)))</f>
        <v/>
      </c>
      <c r="O12" s="266" t="str">
        <f>IF(OR($D12="",$D12=CONST_NA),"",INDEX(InputOutput!$AO$71:$AO$80,MATCH($D12,InputOutput!$D$71:$D$80,0)))</f>
        <v/>
      </c>
      <c r="P12" s="469"/>
      <c r="Q12" s="469"/>
      <c r="R12" s="756"/>
      <c r="S12" s="756"/>
      <c r="T12" s="756"/>
      <c r="U12" s="756"/>
      <c r="V12" s="756"/>
      <c r="W12" s="756"/>
      <c r="X12" s="756"/>
      <c r="Y12" s="756"/>
      <c r="Z12" s="756"/>
      <c r="AA12" s="756"/>
      <c r="AB12" s="470"/>
      <c r="AC12" s="470"/>
      <c r="AD12" s="470"/>
      <c r="AE12" s="470"/>
      <c r="AF12" s="470"/>
      <c r="AG12" s="470"/>
      <c r="AH12" s="470"/>
      <c r="AI12" s="470"/>
      <c r="AJ12" s="470"/>
      <c r="AK12" s="470"/>
      <c r="AL12" s="471"/>
      <c r="AM12" s="472"/>
      <c r="AN12" s="473" t="str">
        <f t="shared" si="13"/>
        <v/>
      </c>
      <c r="AO12" s="474" t="str">
        <f t="shared" si="4"/>
        <v/>
      </c>
      <c r="AP12" s="475"/>
      <c r="AQ12" s="687" t="str">
        <f t="shared" si="5"/>
        <v/>
      </c>
      <c r="AR12" s="476"/>
      <c r="AS12" s="474" t="str">
        <f t="shared" si="6"/>
        <v/>
      </c>
      <c r="AT12" s="471"/>
      <c r="AU12" s="472"/>
      <c r="AV12" s="473" t="str">
        <f t="shared" si="14"/>
        <v/>
      </c>
      <c r="AW12" s="474" t="str">
        <f t="shared" si="15"/>
        <v/>
      </c>
      <c r="AX12" s="476"/>
      <c r="AY12" s="474" t="str">
        <f t="shared" si="16"/>
        <v/>
      </c>
      <c r="AZ12" s="477" t="str">
        <f t="shared" si="7"/>
        <v/>
      </c>
      <c r="BA12" s="478" t="str">
        <f t="shared" si="17"/>
        <v/>
      </c>
      <c r="BD12" s="279" t="str">
        <f t="shared" si="8"/>
        <v/>
      </c>
      <c r="BG12" s="279" t="b">
        <f t="shared" si="18"/>
        <v>0</v>
      </c>
      <c r="BI12" s="279" t="str">
        <f t="shared" si="9"/>
        <v>n.a.</v>
      </c>
      <c r="BK12" s="517" t="str">
        <f t="shared" si="10"/>
        <v/>
      </c>
      <c r="BL12" s="517" t="str">
        <f t="shared" si="11"/>
        <v/>
      </c>
      <c r="BM12" s="517" t="str">
        <f t="shared" si="19"/>
        <v/>
      </c>
      <c r="BN12" s="517" t="str">
        <f t="shared" si="12"/>
        <v/>
      </c>
    </row>
    <row r="13" spans="1:67" ht="12.75" customHeight="1" x14ac:dyDescent="0.35">
      <c r="B13" s="278"/>
      <c r="C13" s="259">
        <v>4</v>
      </c>
      <c r="D13" s="468"/>
      <c r="E13" s="467" t="str">
        <f t="shared" si="0"/>
        <v/>
      </c>
      <c r="F13" s="733"/>
      <c r="G13" s="716" t="str">
        <f t="shared" si="1"/>
        <v/>
      </c>
      <c r="H13" s="468"/>
      <c r="I13" s="266" t="str">
        <f>IF(OR($D13="",$D13=CONST_NA),"",INDEX(InputOutput!$AK$71:$AK$80,MATCH($D13,InputOutput!$D$71:$D$80,0)))</f>
        <v/>
      </c>
      <c r="J13" s="266" t="str">
        <f>IF(OR($D13="",$D13=CONST_NA),"",INDEX(InputOutput!$AM$71:$AM$80,MATCH($D13,InputOutput!$D$71:$D$80,0)))</f>
        <v/>
      </c>
      <c r="K13" s="266" t="str">
        <f t="shared" si="2"/>
        <v/>
      </c>
      <c r="L13" s="266" t="str">
        <f t="shared" si="3"/>
        <v/>
      </c>
      <c r="M13" s="683" t="str">
        <f>IF($E13="","",INDEX(Summary_Processes!$AG$162:$AG$520,MATCH($D13,Summary_Processes!$D$162:$D$520,0)))</f>
        <v/>
      </c>
      <c r="N13" s="266" t="str">
        <f>IF(D13="","",INDEX(D_Processes!T:T,MATCH(CONST_CNTR_ElecEFMethod&amp;D13,D_Processes!R:R,0)))</f>
        <v/>
      </c>
      <c r="O13" s="266" t="str">
        <f>IF(OR($D13="",$D13=CONST_NA),"",INDEX(InputOutput!$AO$71:$AO$80,MATCH($D13,InputOutput!$D$71:$D$80,0)))</f>
        <v/>
      </c>
      <c r="P13" s="469"/>
      <c r="Q13" s="469"/>
      <c r="R13" s="756"/>
      <c r="S13" s="756"/>
      <c r="T13" s="756"/>
      <c r="U13" s="756"/>
      <c r="V13" s="756"/>
      <c r="W13" s="756"/>
      <c r="X13" s="756"/>
      <c r="Y13" s="756"/>
      <c r="Z13" s="756"/>
      <c r="AA13" s="756"/>
      <c r="AB13" s="470"/>
      <c r="AC13" s="470"/>
      <c r="AD13" s="470"/>
      <c r="AE13" s="470"/>
      <c r="AF13" s="470"/>
      <c r="AG13" s="470"/>
      <c r="AH13" s="470"/>
      <c r="AI13" s="470"/>
      <c r="AJ13" s="470"/>
      <c r="AK13" s="470"/>
      <c r="AL13" s="471"/>
      <c r="AM13" s="472"/>
      <c r="AN13" s="473" t="str">
        <f t="shared" si="13"/>
        <v/>
      </c>
      <c r="AO13" s="474" t="str">
        <f t="shared" si="4"/>
        <v/>
      </c>
      <c r="AP13" s="475"/>
      <c r="AQ13" s="687" t="str">
        <f t="shared" si="5"/>
        <v/>
      </c>
      <c r="AR13" s="476"/>
      <c r="AS13" s="474" t="str">
        <f t="shared" si="6"/>
        <v/>
      </c>
      <c r="AT13" s="471"/>
      <c r="AU13" s="472"/>
      <c r="AV13" s="473" t="str">
        <f t="shared" si="14"/>
        <v/>
      </c>
      <c r="AW13" s="474" t="str">
        <f t="shared" si="15"/>
        <v/>
      </c>
      <c r="AX13" s="476"/>
      <c r="AY13" s="474" t="str">
        <f t="shared" si="16"/>
        <v/>
      </c>
      <c r="AZ13" s="477" t="str">
        <f t="shared" si="7"/>
        <v/>
      </c>
      <c r="BA13" s="478" t="str">
        <f t="shared" si="17"/>
        <v/>
      </c>
      <c r="BD13" s="279" t="str">
        <f t="shared" si="8"/>
        <v/>
      </c>
      <c r="BG13" s="279" t="b">
        <f t="shared" si="18"/>
        <v>0</v>
      </c>
      <c r="BI13" s="279" t="str">
        <f t="shared" si="9"/>
        <v>n.a.</v>
      </c>
      <c r="BK13" s="517" t="str">
        <f t="shared" si="10"/>
        <v/>
      </c>
      <c r="BL13" s="517" t="str">
        <f t="shared" si="11"/>
        <v/>
      </c>
      <c r="BM13" s="517" t="str">
        <f t="shared" si="19"/>
        <v/>
      </c>
      <c r="BN13" s="517" t="str">
        <f t="shared" si="12"/>
        <v/>
      </c>
    </row>
    <row r="14" spans="1:67" ht="12.75" customHeight="1" x14ac:dyDescent="0.35">
      <c r="B14" s="278"/>
      <c r="C14" s="259">
        <v>5</v>
      </c>
      <c r="D14" s="468"/>
      <c r="E14" s="467" t="str">
        <f t="shared" si="0"/>
        <v/>
      </c>
      <c r="F14" s="733"/>
      <c r="G14" s="716" t="str">
        <f t="shared" si="1"/>
        <v/>
      </c>
      <c r="H14" s="468"/>
      <c r="I14" s="266" t="str">
        <f>IF(OR($D14="",$D14=CONST_NA),"",INDEX(InputOutput!$AK$71:$AK$80,MATCH($D14,InputOutput!$D$71:$D$80,0)))</f>
        <v/>
      </c>
      <c r="J14" s="266" t="str">
        <f>IF(OR($D14="",$D14=CONST_NA),"",INDEX(InputOutput!$AM$71:$AM$80,MATCH($D14,InputOutput!$D$71:$D$80,0)))</f>
        <v/>
      </c>
      <c r="K14" s="266" t="str">
        <f t="shared" si="2"/>
        <v/>
      </c>
      <c r="L14" s="266" t="str">
        <f t="shared" si="3"/>
        <v/>
      </c>
      <c r="M14" s="683" t="str">
        <f>IF($E14="","",INDEX(Summary_Processes!$AG$162:$AG$520,MATCH($D14,Summary_Processes!$D$162:$D$520,0)))</f>
        <v/>
      </c>
      <c r="N14" s="266" t="str">
        <f>IF(D14="","",INDEX(D_Processes!T:T,MATCH(CONST_CNTR_ElecEFMethod&amp;D14,D_Processes!R:R,0)))</f>
        <v/>
      </c>
      <c r="O14" s="266" t="str">
        <f>IF(OR($D14="",$D14=CONST_NA),"",INDEX(InputOutput!$AO$71:$AO$80,MATCH($D14,InputOutput!$D$71:$D$80,0)))</f>
        <v/>
      </c>
      <c r="P14" s="469"/>
      <c r="Q14" s="469"/>
      <c r="R14" s="756"/>
      <c r="S14" s="756"/>
      <c r="T14" s="756"/>
      <c r="U14" s="756"/>
      <c r="V14" s="756"/>
      <c r="W14" s="756"/>
      <c r="X14" s="756"/>
      <c r="Y14" s="756"/>
      <c r="Z14" s="756"/>
      <c r="AA14" s="756"/>
      <c r="AB14" s="470"/>
      <c r="AC14" s="470"/>
      <c r="AD14" s="470"/>
      <c r="AE14" s="470"/>
      <c r="AF14" s="470"/>
      <c r="AG14" s="470"/>
      <c r="AH14" s="470"/>
      <c r="AI14" s="470"/>
      <c r="AJ14" s="470"/>
      <c r="AK14" s="470"/>
      <c r="AL14" s="471"/>
      <c r="AM14" s="472"/>
      <c r="AN14" s="473" t="str">
        <f t="shared" si="13"/>
        <v/>
      </c>
      <c r="AO14" s="715" t="str">
        <f t="shared" si="4"/>
        <v/>
      </c>
      <c r="AP14" s="475"/>
      <c r="AQ14" s="687" t="str">
        <f t="shared" si="5"/>
        <v/>
      </c>
      <c r="AR14" s="476"/>
      <c r="AS14" s="474" t="str">
        <f t="shared" si="6"/>
        <v/>
      </c>
      <c r="AT14" s="471"/>
      <c r="AU14" s="472"/>
      <c r="AV14" s="473" t="str">
        <f t="shared" si="14"/>
        <v/>
      </c>
      <c r="AW14" s="474" t="str">
        <f t="shared" si="15"/>
        <v/>
      </c>
      <c r="AX14" s="476"/>
      <c r="AY14" s="474" t="str">
        <f t="shared" si="16"/>
        <v/>
      </c>
      <c r="AZ14" s="477" t="str">
        <f t="shared" si="7"/>
        <v/>
      </c>
      <c r="BA14" s="478" t="str">
        <f t="shared" si="17"/>
        <v/>
      </c>
      <c r="BD14" s="279" t="str">
        <f t="shared" si="8"/>
        <v/>
      </c>
      <c r="BG14" s="279" t="b">
        <f t="shared" si="18"/>
        <v>0</v>
      </c>
      <c r="BI14" s="279" t="str">
        <f t="shared" si="9"/>
        <v>n.a.</v>
      </c>
      <c r="BK14" s="517" t="str">
        <f t="shared" si="10"/>
        <v/>
      </c>
      <c r="BL14" s="517" t="str">
        <f t="shared" si="11"/>
        <v/>
      </c>
      <c r="BM14" s="517" t="str">
        <f t="shared" si="19"/>
        <v/>
      </c>
      <c r="BN14" s="517" t="str">
        <f t="shared" si="12"/>
        <v/>
      </c>
    </row>
    <row r="15" spans="1:67" ht="12.75" customHeight="1" x14ac:dyDescent="0.35">
      <c r="B15" s="278"/>
      <c r="C15" s="259">
        <v>6</v>
      </c>
      <c r="D15" s="468"/>
      <c r="E15" s="467" t="str">
        <f t="shared" si="0"/>
        <v/>
      </c>
      <c r="F15" s="733"/>
      <c r="G15" s="716" t="str">
        <f t="shared" si="1"/>
        <v/>
      </c>
      <c r="H15" s="468"/>
      <c r="I15" s="266" t="str">
        <f>IF(OR($D15="",$D15=CONST_NA),"",INDEX(InputOutput!$AK$71:$AK$80,MATCH($D15,InputOutput!$D$71:$D$80,0)))</f>
        <v/>
      </c>
      <c r="J15" s="266" t="str">
        <f>IF(OR($D15="",$D15=CONST_NA),"",INDEX(InputOutput!$AM$71:$AM$80,MATCH($D15,InputOutput!$D$71:$D$80,0)))</f>
        <v/>
      </c>
      <c r="K15" s="266" t="str">
        <f t="shared" si="2"/>
        <v/>
      </c>
      <c r="L15" s="266" t="str">
        <f t="shared" si="3"/>
        <v/>
      </c>
      <c r="M15" s="683" t="str">
        <f>IF($E15="","",INDEX(Summary_Processes!$AG$162:$AG$520,MATCH($D15,Summary_Processes!$D$162:$D$520,0)))</f>
        <v/>
      </c>
      <c r="N15" s="266" t="str">
        <f>IF(D15="","",INDEX(D_Processes!T:T,MATCH(CONST_CNTR_ElecEFMethod&amp;D15,D_Processes!R:R,0)))</f>
        <v/>
      </c>
      <c r="O15" s="266" t="str">
        <f>IF(OR($D15="",$D15=CONST_NA),"",INDEX(InputOutput!$AO$71:$AO$80,MATCH($D15,InputOutput!$D$71:$D$80,0)))</f>
        <v/>
      </c>
      <c r="P15" s="469"/>
      <c r="Q15" s="469"/>
      <c r="R15" s="756"/>
      <c r="S15" s="756"/>
      <c r="T15" s="756"/>
      <c r="U15" s="756"/>
      <c r="V15" s="756"/>
      <c r="W15" s="756"/>
      <c r="X15" s="756"/>
      <c r="Y15" s="756"/>
      <c r="Z15" s="756"/>
      <c r="AA15" s="756"/>
      <c r="AB15" s="470"/>
      <c r="AC15" s="470"/>
      <c r="AD15" s="470"/>
      <c r="AE15" s="470"/>
      <c r="AF15" s="470"/>
      <c r="AG15" s="470"/>
      <c r="AH15" s="470"/>
      <c r="AI15" s="470"/>
      <c r="AJ15" s="470"/>
      <c r="AK15" s="470"/>
      <c r="AL15" s="471"/>
      <c r="AM15" s="472"/>
      <c r="AN15" s="473" t="str">
        <f t="shared" si="13"/>
        <v/>
      </c>
      <c r="AO15" s="474" t="str">
        <f t="shared" si="4"/>
        <v/>
      </c>
      <c r="AP15" s="475"/>
      <c r="AQ15" s="687" t="str">
        <f t="shared" si="5"/>
        <v/>
      </c>
      <c r="AR15" s="476"/>
      <c r="AS15" s="474" t="str">
        <f t="shared" si="6"/>
        <v/>
      </c>
      <c r="AT15" s="471"/>
      <c r="AU15" s="472"/>
      <c r="AV15" s="473" t="str">
        <f t="shared" si="14"/>
        <v/>
      </c>
      <c r="AW15" s="474" t="str">
        <f t="shared" si="15"/>
        <v/>
      </c>
      <c r="AX15" s="476"/>
      <c r="AY15" s="474" t="str">
        <f t="shared" si="16"/>
        <v/>
      </c>
      <c r="AZ15" s="477" t="str">
        <f t="shared" si="7"/>
        <v/>
      </c>
      <c r="BA15" s="478" t="str">
        <f t="shared" si="17"/>
        <v/>
      </c>
      <c r="BD15" s="279" t="str">
        <f t="shared" si="8"/>
        <v/>
      </c>
      <c r="BG15" s="279" t="b">
        <f t="shared" si="18"/>
        <v>0</v>
      </c>
      <c r="BI15" s="279" t="str">
        <f t="shared" si="9"/>
        <v>n.a.</v>
      </c>
      <c r="BK15" s="517" t="str">
        <f t="shared" si="10"/>
        <v/>
      </c>
      <c r="BL15" s="517" t="str">
        <f t="shared" si="11"/>
        <v/>
      </c>
      <c r="BM15" s="517" t="str">
        <f t="shared" si="19"/>
        <v/>
      </c>
      <c r="BN15" s="517" t="str">
        <f t="shared" si="12"/>
        <v/>
      </c>
    </row>
    <row r="16" spans="1:67" ht="12.75" customHeight="1" x14ac:dyDescent="0.35">
      <c r="B16" s="278"/>
      <c r="C16" s="259">
        <v>7</v>
      </c>
      <c r="D16" s="468"/>
      <c r="E16" s="467" t="str">
        <f t="shared" si="0"/>
        <v/>
      </c>
      <c r="F16" s="733"/>
      <c r="G16" s="716" t="str">
        <f t="shared" si="1"/>
        <v/>
      </c>
      <c r="H16" s="468"/>
      <c r="I16" s="266" t="str">
        <f>IF(OR($D16="",$D16=CONST_NA),"",INDEX(InputOutput!$AK$71:$AK$80,MATCH($D16,InputOutput!$D$71:$D$80,0)))</f>
        <v/>
      </c>
      <c r="J16" s="266" t="str">
        <f>IF(OR($D16="",$D16=CONST_NA),"",INDEX(InputOutput!$AM$71:$AM$80,MATCH($D16,InputOutput!$D$71:$D$80,0)))</f>
        <v/>
      </c>
      <c r="K16" s="266" t="str">
        <f t="shared" si="2"/>
        <v/>
      </c>
      <c r="L16" s="266" t="str">
        <f t="shared" si="3"/>
        <v/>
      </c>
      <c r="M16" s="683" t="str">
        <f>IF($E16="","",INDEX(Summary_Processes!$AG$162:$AG$520,MATCH($D16,Summary_Processes!$D$162:$D$520,0)))</f>
        <v/>
      </c>
      <c r="N16" s="266" t="str">
        <f>IF(D16="","",INDEX(D_Processes!T:T,MATCH(CONST_CNTR_ElecEFMethod&amp;D16,D_Processes!R:R,0)))</f>
        <v/>
      </c>
      <c r="O16" s="266" t="str">
        <f>IF(OR($D16="",$D16=CONST_NA),"",INDEX(InputOutput!$AO$71:$AO$80,MATCH($D16,InputOutput!$D$71:$D$80,0)))</f>
        <v/>
      </c>
      <c r="P16" s="469"/>
      <c r="Q16" s="469"/>
      <c r="R16" s="756"/>
      <c r="S16" s="756"/>
      <c r="T16" s="756"/>
      <c r="U16" s="756"/>
      <c r="V16" s="756"/>
      <c r="W16" s="756"/>
      <c r="X16" s="756"/>
      <c r="Y16" s="756"/>
      <c r="Z16" s="756"/>
      <c r="AA16" s="756"/>
      <c r="AB16" s="470"/>
      <c r="AC16" s="470"/>
      <c r="AD16" s="470"/>
      <c r="AE16" s="470"/>
      <c r="AF16" s="470"/>
      <c r="AG16" s="470"/>
      <c r="AH16" s="470"/>
      <c r="AI16" s="470"/>
      <c r="AJ16" s="470"/>
      <c r="AK16" s="470"/>
      <c r="AL16" s="471"/>
      <c r="AM16" s="472"/>
      <c r="AN16" s="473" t="str">
        <f t="shared" si="13"/>
        <v/>
      </c>
      <c r="AO16" s="474" t="str">
        <f t="shared" si="4"/>
        <v/>
      </c>
      <c r="AP16" s="475"/>
      <c r="AQ16" s="687" t="str">
        <f t="shared" si="5"/>
        <v/>
      </c>
      <c r="AR16" s="476"/>
      <c r="AS16" s="474" t="str">
        <f t="shared" si="6"/>
        <v/>
      </c>
      <c r="AT16" s="471"/>
      <c r="AU16" s="472"/>
      <c r="AV16" s="473" t="str">
        <f t="shared" si="14"/>
        <v/>
      </c>
      <c r="AW16" s="474" t="str">
        <f t="shared" si="15"/>
        <v/>
      </c>
      <c r="AX16" s="476"/>
      <c r="AY16" s="474" t="str">
        <f t="shared" si="16"/>
        <v/>
      </c>
      <c r="AZ16" s="477" t="str">
        <f t="shared" si="7"/>
        <v/>
      </c>
      <c r="BA16" s="478" t="str">
        <f t="shared" si="17"/>
        <v/>
      </c>
      <c r="BD16" s="279" t="str">
        <f t="shared" si="8"/>
        <v/>
      </c>
      <c r="BG16" s="279" t="b">
        <f t="shared" si="18"/>
        <v>0</v>
      </c>
      <c r="BI16" s="279" t="str">
        <f t="shared" si="9"/>
        <v>n.a.</v>
      </c>
      <c r="BK16" s="517" t="str">
        <f t="shared" si="10"/>
        <v/>
      </c>
      <c r="BL16" s="517" t="str">
        <f t="shared" si="11"/>
        <v/>
      </c>
      <c r="BM16" s="517" t="str">
        <f t="shared" si="19"/>
        <v/>
      </c>
      <c r="BN16" s="517" t="str">
        <f t="shared" si="12"/>
        <v/>
      </c>
    </row>
    <row r="17" spans="2:66" ht="12.75" customHeight="1" x14ac:dyDescent="0.35">
      <c r="B17" s="278"/>
      <c r="C17" s="259">
        <v>8</v>
      </c>
      <c r="D17" s="468"/>
      <c r="E17" s="467" t="str">
        <f t="shared" si="0"/>
        <v/>
      </c>
      <c r="F17" s="733"/>
      <c r="G17" s="716" t="str">
        <f t="shared" si="1"/>
        <v/>
      </c>
      <c r="H17" s="468"/>
      <c r="I17" s="266" t="str">
        <f>IF(OR($D17="",$D17=CONST_NA),"",INDEX(InputOutput!$AK$71:$AK$80,MATCH($D17,InputOutput!$D$71:$D$80,0)))</f>
        <v/>
      </c>
      <c r="J17" s="266" t="str">
        <f>IF(OR($D17="",$D17=CONST_NA),"",INDEX(InputOutput!$AM$71:$AM$80,MATCH($D17,InputOutput!$D$71:$D$80,0)))</f>
        <v/>
      </c>
      <c r="K17" s="266" t="str">
        <f t="shared" si="2"/>
        <v/>
      </c>
      <c r="L17" s="266" t="str">
        <f t="shared" si="3"/>
        <v/>
      </c>
      <c r="M17" s="683" t="str">
        <f>IF($E17="","",INDEX(Summary_Processes!$AG$162:$AG$520,MATCH($D17,Summary_Processes!$D$162:$D$520,0)))</f>
        <v/>
      </c>
      <c r="N17" s="266" t="str">
        <f>IF(D17="","",INDEX(D_Processes!T:T,MATCH(CONST_CNTR_ElecEFMethod&amp;D17,D_Processes!R:R,0)))</f>
        <v/>
      </c>
      <c r="O17" s="266" t="str">
        <f>IF(OR($D17="",$D17=CONST_NA),"",INDEX(InputOutput!$AO$71:$AO$80,MATCH($D17,InputOutput!$D$71:$D$80,0)))</f>
        <v/>
      </c>
      <c r="P17" s="469"/>
      <c r="Q17" s="469"/>
      <c r="R17" s="756"/>
      <c r="S17" s="756"/>
      <c r="T17" s="756"/>
      <c r="U17" s="756"/>
      <c r="V17" s="756"/>
      <c r="W17" s="756"/>
      <c r="X17" s="756"/>
      <c r="Y17" s="756"/>
      <c r="Z17" s="756"/>
      <c r="AA17" s="756"/>
      <c r="AB17" s="470"/>
      <c r="AC17" s="470"/>
      <c r="AD17" s="470"/>
      <c r="AE17" s="470"/>
      <c r="AF17" s="470"/>
      <c r="AG17" s="470"/>
      <c r="AH17" s="470"/>
      <c r="AI17" s="470"/>
      <c r="AJ17" s="470"/>
      <c r="AK17" s="470"/>
      <c r="AL17" s="471"/>
      <c r="AM17" s="472"/>
      <c r="AN17" s="473" t="str">
        <f t="shared" si="13"/>
        <v/>
      </c>
      <c r="AO17" s="474" t="str">
        <f t="shared" si="4"/>
        <v/>
      </c>
      <c r="AP17" s="475"/>
      <c r="AQ17" s="687" t="str">
        <f t="shared" si="5"/>
        <v/>
      </c>
      <c r="AR17" s="476"/>
      <c r="AS17" s="474" t="str">
        <f t="shared" si="6"/>
        <v/>
      </c>
      <c r="AT17" s="471"/>
      <c r="AU17" s="472"/>
      <c r="AV17" s="473" t="str">
        <f t="shared" si="14"/>
        <v/>
      </c>
      <c r="AW17" s="474" t="str">
        <f t="shared" si="15"/>
        <v/>
      </c>
      <c r="AX17" s="476"/>
      <c r="AY17" s="474" t="str">
        <f t="shared" si="16"/>
        <v/>
      </c>
      <c r="AZ17" s="477" t="str">
        <f t="shared" si="7"/>
        <v/>
      </c>
      <c r="BA17" s="478" t="str">
        <f t="shared" si="17"/>
        <v/>
      </c>
      <c r="BD17" s="279" t="str">
        <f t="shared" si="8"/>
        <v/>
      </c>
      <c r="BG17" s="279" t="b">
        <f t="shared" si="18"/>
        <v>0</v>
      </c>
      <c r="BI17" s="279" t="str">
        <f t="shared" si="9"/>
        <v>n.a.</v>
      </c>
      <c r="BK17" s="517" t="str">
        <f t="shared" si="10"/>
        <v/>
      </c>
      <c r="BL17" s="517" t="str">
        <f t="shared" si="11"/>
        <v/>
      </c>
      <c r="BM17" s="517" t="str">
        <f t="shared" si="19"/>
        <v/>
      </c>
      <c r="BN17" s="517" t="str">
        <f t="shared" si="12"/>
        <v/>
      </c>
    </row>
    <row r="18" spans="2:66" ht="12.75" customHeight="1" x14ac:dyDescent="0.35">
      <c r="B18" s="278"/>
      <c r="C18" s="259">
        <v>9</v>
      </c>
      <c r="D18" s="468"/>
      <c r="E18" s="467" t="str">
        <f t="shared" si="0"/>
        <v/>
      </c>
      <c r="F18" s="733"/>
      <c r="G18" s="716" t="str">
        <f t="shared" si="1"/>
        <v/>
      </c>
      <c r="H18" s="468"/>
      <c r="I18" s="266" t="str">
        <f>IF(OR($D18="",$D18=CONST_NA),"",INDEX(InputOutput!$AK$71:$AK$80,MATCH($D18,InputOutput!$D$71:$D$80,0)))</f>
        <v/>
      </c>
      <c r="J18" s="266" t="str">
        <f>IF(OR($D18="",$D18=CONST_NA),"",INDEX(InputOutput!$AM$71:$AM$80,MATCH($D18,InputOutput!$D$71:$D$80,0)))</f>
        <v/>
      </c>
      <c r="K18" s="266" t="str">
        <f t="shared" si="2"/>
        <v/>
      </c>
      <c r="L18" s="266" t="str">
        <f t="shared" si="3"/>
        <v/>
      </c>
      <c r="M18" s="683" t="str">
        <f>IF($E18="","",INDEX(Summary_Processes!$AG$162:$AG$520,MATCH($D18,Summary_Processes!$D$162:$D$520,0)))</f>
        <v/>
      </c>
      <c r="N18" s="266" t="str">
        <f>IF(D18="","",INDEX(D_Processes!T:T,MATCH(CONST_CNTR_ElecEFMethod&amp;D18,D_Processes!R:R,0)))</f>
        <v/>
      </c>
      <c r="O18" s="266" t="str">
        <f>IF(OR($D18="",$D18=CONST_NA),"",INDEX(InputOutput!$AO$71:$AO$80,MATCH($D18,InputOutput!$D$71:$D$80,0)))</f>
        <v/>
      </c>
      <c r="P18" s="469"/>
      <c r="Q18" s="469"/>
      <c r="R18" s="756"/>
      <c r="S18" s="756"/>
      <c r="T18" s="756"/>
      <c r="U18" s="756"/>
      <c r="V18" s="756"/>
      <c r="W18" s="756"/>
      <c r="X18" s="756"/>
      <c r="Y18" s="756"/>
      <c r="Z18" s="756"/>
      <c r="AA18" s="756"/>
      <c r="AB18" s="470"/>
      <c r="AC18" s="470"/>
      <c r="AD18" s="470"/>
      <c r="AE18" s="470"/>
      <c r="AF18" s="470"/>
      <c r="AG18" s="470"/>
      <c r="AH18" s="470"/>
      <c r="AI18" s="470"/>
      <c r="AJ18" s="470"/>
      <c r="AK18" s="470"/>
      <c r="AL18" s="471"/>
      <c r="AM18" s="472"/>
      <c r="AN18" s="473" t="str">
        <f t="shared" si="13"/>
        <v/>
      </c>
      <c r="AO18" s="474" t="str">
        <f t="shared" si="4"/>
        <v/>
      </c>
      <c r="AP18" s="475"/>
      <c r="AQ18" s="687" t="str">
        <f t="shared" si="5"/>
        <v/>
      </c>
      <c r="AR18" s="476"/>
      <c r="AS18" s="474" t="str">
        <f t="shared" si="6"/>
        <v/>
      </c>
      <c r="AT18" s="471"/>
      <c r="AU18" s="472"/>
      <c r="AV18" s="473" t="str">
        <f t="shared" si="14"/>
        <v/>
      </c>
      <c r="AW18" s="474" t="str">
        <f t="shared" si="15"/>
        <v/>
      </c>
      <c r="AX18" s="476"/>
      <c r="AY18" s="474" t="str">
        <f t="shared" si="16"/>
        <v/>
      </c>
      <c r="AZ18" s="477" t="str">
        <f t="shared" si="7"/>
        <v/>
      </c>
      <c r="BA18" s="478" t="str">
        <f t="shared" si="17"/>
        <v/>
      </c>
      <c r="BD18" s="279" t="str">
        <f t="shared" si="8"/>
        <v/>
      </c>
      <c r="BG18" s="279" t="b">
        <f t="shared" si="18"/>
        <v>0</v>
      </c>
      <c r="BI18" s="279" t="str">
        <f t="shared" si="9"/>
        <v>n.a.</v>
      </c>
      <c r="BK18" s="517" t="str">
        <f t="shared" si="10"/>
        <v/>
      </c>
      <c r="BL18" s="517" t="str">
        <f t="shared" si="11"/>
        <v/>
      </c>
      <c r="BM18" s="517" t="str">
        <f t="shared" si="19"/>
        <v/>
      </c>
      <c r="BN18" s="517" t="str">
        <f t="shared" si="12"/>
        <v/>
      </c>
    </row>
    <row r="19" spans="2:66" ht="12.75" customHeight="1" x14ac:dyDescent="0.35">
      <c r="B19" s="278"/>
      <c r="C19" s="259">
        <v>10</v>
      </c>
      <c r="D19" s="468"/>
      <c r="E19" s="467" t="str">
        <f t="shared" si="0"/>
        <v/>
      </c>
      <c r="F19" s="733"/>
      <c r="G19" s="716" t="str">
        <f t="shared" si="1"/>
        <v/>
      </c>
      <c r="H19" s="468"/>
      <c r="I19" s="266" t="str">
        <f>IF(OR($D19="",$D19=CONST_NA),"",INDEX(InputOutput!$AK$71:$AK$80,MATCH($D19,InputOutput!$D$71:$D$80,0)))</f>
        <v/>
      </c>
      <c r="J19" s="266" t="str">
        <f>IF(OR($D19="",$D19=CONST_NA),"",INDEX(InputOutput!$AM$71:$AM$80,MATCH($D19,InputOutput!$D$71:$D$80,0)))</f>
        <v/>
      </c>
      <c r="K19" s="266" t="str">
        <f t="shared" si="2"/>
        <v/>
      </c>
      <c r="L19" s="266" t="str">
        <f t="shared" si="3"/>
        <v/>
      </c>
      <c r="M19" s="683" t="str">
        <f>IF($E19="","",INDEX(Summary_Processes!$AG$162:$AG$520,MATCH($D19,Summary_Processes!$D$162:$D$520,0)))</f>
        <v/>
      </c>
      <c r="N19" s="266" t="str">
        <f>IF(D19="","",INDEX(D_Processes!T:T,MATCH(CONST_CNTR_ElecEFMethod&amp;D19,D_Processes!R:R,0)))</f>
        <v/>
      </c>
      <c r="O19" s="266" t="str">
        <f>IF(OR($D19="",$D19=CONST_NA),"",INDEX(InputOutput!$AO$71:$AO$80,MATCH($D19,InputOutput!$D$71:$D$80,0)))</f>
        <v/>
      </c>
      <c r="P19" s="469"/>
      <c r="Q19" s="469"/>
      <c r="R19" s="756"/>
      <c r="S19" s="756"/>
      <c r="T19" s="756"/>
      <c r="U19" s="756"/>
      <c r="V19" s="756"/>
      <c r="W19" s="756"/>
      <c r="X19" s="756"/>
      <c r="Y19" s="756"/>
      <c r="Z19" s="756"/>
      <c r="AA19" s="756"/>
      <c r="AB19" s="470"/>
      <c r="AC19" s="470"/>
      <c r="AD19" s="470"/>
      <c r="AE19" s="470"/>
      <c r="AF19" s="470"/>
      <c r="AG19" s="470"/>
      <c r="AH19" s="470"/>
      <c r="AI19" s="470"/>
      <c r="AJ19" s="470"/>
      <c r="AK19" s="470"/>
      <c r="AL19" s="471"/>
      <c r="AM19" s="472"/>
      <c r="AN19" s="473" t="str">
        <f t="shared" si="13"/>
        <v/>
      </c>
      <c r="AO19" s="474" t="str">
        <f t="shared" si="4"/>
        <v/>
      </c>
      <c r="AP19" s="475"/>
      <c r="AQ19" s="687" t="str">
        <f t="shared" si="5"/>
        <v/>
      </c>
      <c r="AR19" s="476"/>
      <c r="AS19" s="474" t="str">
        <f t="shared" si="6"/>
        <v/>
      </c>
      <c r="AT19" s="471"/>
      <c r="AU19" s="472"/>
      <c r="AV19" s="473" t="str">
        <f t="shared" si="14"/>
        <v/>
      </c>
      <c r="AW19" s="474" t="str">
        <f t="shared" si="15"/>
        <v/>
      </c>
      <c r="AX19" s="476"/>
      <c r="AY19" s="474" t="str">
        <f t="shared" si="16"/>
        <v/>
      </c>
      <c r="AZ19" s="477" t="str">
        <f t="shared" si="7"/>
        <v/>
      </c>
      <c r="BA19" s="478" t="str">
        <f t="shared" si="17"/>
        <v/>
      </c>
      <c r="BD19" s="279" t="str">
        <f t="shared" si="8"/>
        <v/>
      </c>
      <c r="BG19" s="279" t="b">
        <f t="shared" si="18"/>
        <v>0</v>
      </c>
      <c r="BI19" s="279" t="str">
        <f t="shared" si="9"/>
        <v>n.a.</v>
      </c>
      <c r="BK19" s="517" t="str">
        <f t="shared" si="10"/>
        <v/>
      </c>
      <c r="BL19" s="517" t="str">
        <f t="shared" si="11"/>
        <v/>
      </c>
      <c r="BM19" s="517" t="str">
        <f t="shared" si="19"/>
        <v/>
      </c>
      <c r="BN19" s="517" t="str">
        <f t="shared" si="12"/>
        <v/>
      </c>
    </row>
    <row r="20" spans="2:66" ht="12.75" customHeight="1" x14ac:dyDescent="0.35">
      <c r="B20" s="278"/>
      <c r="C20" s="259">
        <v>11</v>
      </c>
      <c r="D20" s="468"/>
      <c r="E20" s="467" t="str">
        <f t="shared" si="0"/>
        <v/>
      </c>
      <c r="F20" s="733"/>
      <c r="G20" s="716" t="str">
        <f t="shared" si="1"/>
        <v/>
      </c>
      <c r="H20" s="468"/>
      <c r="I20" s="266" t="str">
        <f>IF(OR($D20="",$D20=CONST_NA),"",INDEX(InputOutput!$AK$71:$AK$80,MATCH($D20,InputOutput!$D$71:$D$80,0)))</f>
        <v/>
      </c>
      <c r="J20" s="266" t="str">
        <f>IF(OR($D20="",$D20=CONST_NA),"",INDEX(InputOutput!$AM$71:$AM$80,MATCH($D20,InputOutput!$D$71:$D$80,0)))</f>
        <v/>
      </c>
      <c r="K20" s="266" t="str">
        <f t="shared" si="2"/>
        <v/>
      </c>
      <c r="L20" s="266" t="str">
        <f t="shared" si="3"/>
        <v/>
      </c>
      <c r="M20" s="683" t="str">
        <f>IF($E20="","",INDEX(Summary_Processes!$AG$162:$AG$520,MATCH($D20,Summary_Processes!$D$162:$D$520,0)))</f>
        <v/>
      </c>
      <c r="N20" s="266" t="str">
        <f>IF(D20="","",INDEX(D_Processes!T:T,MATCH(CONST_CNTR_ElecEFMethod&amp;D20,D_Processes!R:R,0)))</f>
        <v/>
      </c>
      <c r="O20" s="266" t="str">
        <f>IF(OR($D20="",$D20=CONST_NA),"",INDEX(InputOutput!$AO$71:$AO$80,MATCH($D20,InputOutput!$D$71:$D$80,0)))</f>
        <v/>
      </c>
      <c r="P20" s="469"/>
      <c r="Q20" s="469"/>
      <c r="R20" s="756"/>
      <c r="S20" s="756"/>
      <c r="T20" s="756"/>
      <c r="U20" s="756"/>
      <c r="V20" s="756"/>
      <c r="W20" s="756"/>
      <c r="X20" s="756"/>
      <c r="Y20" s="756"/>
      <c r="Z20" s="756"/>
      <c r="AA20" s="756"/>
      <c r="AB20" s="470"/>
      <c r="AC20" s="470"/>
      <c r="AD20" s="470"/>
      <c r="AE20" s="470"/>
      <c r="AF20" s="470"/>
      <c r="AG20" s="470"/>
      <c r="AH20" s="470"/>
      <c r="AI20" s="470"/>
      <c r="AJ20" s="470"/>
      <c r="AK20" s="470"/>
      <c r="AL20" s="471"/>
      <c r="AM20" s="472"/>
      <c r="AN20" s="473" t="str">
        <f t="shared" si="13"/>
        <v/>
      </c>
      <c r="AO20" s="474" t="str">
        <f t="shared" si="4"/>
        <v/>
      </c>
      <c r="AP20" s="475"/>
      <c r="AQ20" s="687" t="str">
        <f t="shared" si="5"/>
        <v/>
      </c>
      <c r="AR20" s="476"/>
      <c r="AS20" s="474" t="str">
        <f t="shared" si="6"/>
        <v/>
      </c>
      <c r="AT20" s="471"/>
      <c r="AU20" s="472"/>
      <c r="AV20" s="473" t="str">
        <f t="shared" si="14"/>
        <v/>
      </c>
      <c r="AW20" s="474" t="str">
        <f t="shared" si="15"/>
        <v/>
      </c>
      <c r="AX20" s="476"/>
      <c r="AY20" s="474" t="str">
        <f t="shared" si="16"/>
        <v/>
      </c>
      <c r="AZ20" s="477" t="str">
        <f t="shared" si="7"/>
        <v/>
      </c>
      <c r="BA20" s="478" t="str">
        <f t="shared" si="17"/>
        <v/>
      </c>
      <c r="BD20" s="279" t="str">
        <f t="shared" si="8"/>
        <v/>
      </c>
      <c r="BG20" s="279" t="b">
        <f t="shared" si="18"/>
        <v>0</v>
      </c>
      <c r="BI20" s="279" t="str">
        <f t="shared" si="9"/>
        <v>n.a.</v>
      </c>
      <c r="BK20" s="517" t="str">
        <f t="shared" si="10"/>
        <v/>
      </c>
      <c r="BL20" s="517" t="str">
        <f t="shared" si="11"/>
        <v/>
      </c>
      <c r="BM20" s="517" t="str">
        <f t="shared" si="19"/>
        <v/>
      </c>
      <c r="BN20" s="517" t="str">
        <f t="shared" si="12"/>
        <v/>
      </c>
    </row>
    <row r="21" spans="2:66" ht="12.75" customHeight="1" x14ac:dyDescent="0.35">
      <c r="B21" s="278"/>
      <c r="C21" s="259">
        <v>12</v>
      </c>
      <c r="D21" s="468"/>
      <c r="E21" s="467" t="str">
        <f t="shared" si="0"/>
        <v/>
      </c>
      <c r="F21" s="733"/>
      <c r="G21" s="716" t="str">
        <f t="shared" si="1"/>
        <v/>
      </c>
      <c r="H21" s="468"/>
      <c r="I21" s="266" t="str">
        <f>IF(OR($D21="",$D21=CONST_NA),"",INDEX(InputOutput!$AK$71:$AK$80,MATCH($D21,InputOutput!$D$71:$D$80,0)))</f>
        <v/>
      </c>
      <c r="J21" s="266" t="str">
        <f>IF(OR($D21="",$D21=CONST_NA),"",INDEX(InputOutput!$AM$71:$AM$80,MATCH($D21,InputOutput!$D$71:$D$80,0)))</f>
        <v/>
      </c>
      <c r="K21" s="266" t="str">
        <f t="shared" si="2"/>
        <v/>
      </c>
      <c r="L21" s="266" t="str">
        <f t="shared" si="3"/>
        <v/>
      </c>
      <c r="M21" s="683" t="str">
        <f>IF($E21="","",INDEX(Summary_Processes!$AG$162:$AG$520,MATCH($D21,Summary_Processes!$D$162:$D$520,0)))</f>
        <v/>
      </c>
      <c r="N21" s="266" t="str">
        <f>IF(D21="","",INDEX(D_Processes!T:T,MATCH(CONST_CNTR_ElecEFMethod&amp;D21,D_Processes!R:R,0)))</f>
        <v/>
      </c>
      <c r="O21" s="266" t="str">
        <f>IF(OR($D21="",$D21=CONST_NA),"",INDEX(InputOutput!$AO$71:$AO$80,MATCH($D21,InputOutput!$D$71:$D$80,0)))</f>
        <v/>
      </c>
      <c r="P21" s="469"/>
      <c r="Q21" s="469"/>
      <c r="R21" s="756"/>
      <c r="S21" s="756"/>
      <c r="T21" s="756"/>
      <c r="U21" s="756"/>
      <c r="V21" s="756"/>
      <c r="W21" s="756"/>
      <c r="X21" s="756"/>
      <c r="Y21" s="756"/>
      <c r="Z21" s="756"/>
      <c r="AA21" s="756"/>
      <c r="AB21" s="470"/>
      <c r="AC21" s="470"/>
      <c r="AD21" s="470"/>
      <c r="AE21" s="470"/>
      <c r="AF21" s="470"/>
      <c r="AG21" s="470"/>
      <c r="AH21" s="470"/>
      <c r="AI21" s="470"/>
      <c r="AJ21" s="470"/>
      <c r="AK21" s="470"/>
      <c r="AL21" s="471"/>
      <c r="AM21" s="472"/>
      <c r="AN21" s="473" t="str">
        <f t="shared" si="13"/>
        <v/>
      </c>
      <c r="AO21" s="474" t="str">
        <f t="shared" si="4"/>
        <v/>
      </c>
      <c r="AP21" s="475"/>
      <c r="AQ21" s="687" t="str">
        <f t="shared" si="5"/>
        <v/>
      </c>
      <c r="AR21" s="476"/>
      <c r="AS21" s="474" t="str">
        <f t="shared" si="6"/>
        <v/>
      </c>
      <c r="AT21" s="471"/>
      <c r="AU21" s="472"/>
      <c r="AV21" s="473" t="str">
        <f t="shared" si="14"/>
        <v/>
      </c>
      <c r="AW21" s="474" t="str">
        <f t="shared" si="15"/>
        <v/>
      </c>
      <c r="AX21" s="476"/>
      <c r="AY21" s="474" t="str">
        <f t="shared" si="16"/>
        <v/>
      </c>
      <c r="AZ21" s="477" t="str">
        <f t="shared" si="7"/>
        <v/>
      </c>
      <c r="BA21" s="478" t="str">
        <f t="shared" si="17"/>
        <v/>
      </c>
      <c r="BD21" s="279" t="str">
        <f t="shared" si="8"/>
        <v/>
      </c>
      <c r="BG21" s="279" t="b">
        <f t="shared" si="18"/>
        <v>0</v>
      </c>
      <c r="BI21" s="279" t="str">
        <f t="shared" si="9"/>
        <v>n.a.</v>
      </c>
      <c r="BK21" s="517" t="str">
        <f t="shared" si="10"/>
        <v/>
      </c>
      <c r="BL21" s="517" t="str">
        <f t="shared" si="11"/>
        <v/>
      </c>
      <c r="BM21" s="517" t="str">
        <f t="shared" si="19"/>
        <v/>
      </c>
      <c r="BN21" s="517" t="str">
        <f t="shared" si="12"/>
        <v/>
      </c>
    </row>
    <row r="22" spans="2:66" ht="12.75" customHeight="1" x14ac:dyDescent="0.35">
      <c r="B22" s="278"/>
      <c r="C22" s="259">
        <v>13</v>
      </c>
      <c r="D22" s="468"/>
      <c r="E22" s="467" t="str">
        <f t="shared" si="0"/>
        <v/>
      </c>
      <c r="F22" s="733"/>
      <c r="G22" s="716" t="str">
        <f t="shared" si="1"/>
        <v/>
      </c>
      <c r="H22" s="468"/>
      <c r="I22" s="266" t="str">
        <f>IF(OR($D22="",$D22=CONST_NA),"",INDEX(InputOutput!$AK$71:$AK$80,MATCH($D22,InputOutput!$D$71:$D$80,0)))</f>
        <v/>
      </c>
      <c r="J22" s="266" t="str">
        <f>IF(OR($D22="",$D22=CONST_NA),"",INDEX(InputOutput!$AM$71:$AM$80,MATCH($D22,InputOutput!$D$71:$D$80,0)))</f>
        <v/>
      </c>
      <c r="K22" s="266" t="str">
        <f t="shared" si="2"/>
        <v/>
      </c>
      <c r="L22" s="266" t="str">
        <f t="shared" si="3"/>
        <v/>
      </c>
      <c r="M22" s="683" t="str">
        <f>IF($E22="","",INDEX(Summary_Processes!$AG$162:$AG$520,MATCH($D22,Summary_Processes!$D$162:$D$520,0)))</f>
        <v/>
      </c>
      <c r="N22" s="266" t="str">
        <f>IF(D22="","",INDEX(D_Processes!T:T,MATCH(CONST_CNTR_ElecEFMethod&amp;D22,D_Processes!R:R,0)))</f>
        <v/>
      </c>
      <c r="O22" s="266" t="str">
        <f>IF(OR($D22="",$D22=CONST_NA),"",INDEX(InputOutput!$AO$71:$AO$80,MATCH($D22,InputOutput!$D$71:$D$80,0)))</f>
        <v/>
      </c>
      <c r="P22" s="469"/>
      <c r="Q22" s="469"/>
      <c r="R22" s="756"/>
      <c r="S22" s="756"/>
      <c r="T22" s="756"/>
      <c r="U22" s="756"/>
      <c r="V22" s="756"/>
      <c r="W22" s="756"/>
      <c r="X22" s="756"/>
      <c r="Y22" s="756"/>
      <c r="Z22" s="756"/>
      <c r="AA22" s="756"/>
      <c r="AB22" s="470"/>
      <c r="AC22" s="470"/>
      <c r="AD22" s="470"/>
      <c r="AE22" s="470"/>
      <c r="AF22" s="470"/>
      <c r="AG22" s="470"/>
      <c r="AH22" s="470"/>
      <c r="AI22" s="470"/>
      <c r="AJ22" s="470"/>
      <c r="AK22" s="470"/>
      <c r="AL22" s="471"/>
      <c r="AM22" s="472"/>
      <c r="AN22" s="473" t="str">
        <f t="shared" si="13"/>
        <v/>
      </c>
      <c r="AO22" s="474" t="str">
        <f t="shared" si="4"/>
        <v/>
      </c>
      <c r="AP22" s="475"/>
      <c r="AQ22" s="687" t="str">
        <f t="shared" si="5"/>
        <v/>
      </c>
      <c r="AR22" s="476"/>
      <c r="AS22" s="474" t="str">
        <f t="shared" si="6"/>
        <v/>
      </c>
      <c r="AT22" s="471"/>
      <c r="AU22" s="472"/>
      <c r="AV22" s="473" t="str">
        <f t="shared" si="14"/>
        <v/>
      </c>
      <c r="AW22" s="474" t="str">
        <f t="shared" si="15"/>
        <v/>
      </c>
      <c r="AX22" s="476"/>
      <c r="AY22" s="474" t="str">
        <f t="shared" si="16"/>
        <v/>
      </c>
      <c r="AZ22" s="477" t="str">
        <f t="shared" si="7"/>
        <v/>
      </c>
      <c r="BA22" s="478" t="str">
        <f t="shared" si="17"/>
        <v/>
      </c>
      <c r="BD22" s="279" t="str">
        <f t="shared" si="8"/>
        <v/>
      </c>
      <c r="BG22" s="279" t="b">
        <f t="shared" si="18"/>
        <v>0</v>
      </c>
      <c r="BI22" s="279" t="str">
        <f t="shared" si="9"/>
        <v>n.a.</v>
      </c>
      <c r="BK22" s="517" t="str">
        <f t="shared" si="10"/>
        <v/>
      </c>
      <c r="BL22" s="517" t="str">
        <f t="shared" si="11"/>
        <v/>
      </c>
      <c r="BM22" s="517" t="str">
        <f t="shared" si="19"/>
        <v/>
      </c>
      <c r="BN22" s="517" t="str">
        <f t="shared" si="12"/>
        <v/>
      </c>
    </row>
    <row r="23" spans="2:66" ht="12.75" customHeight="1" x14ac:dyDescent="0.35">
      <c r="B23" s="278"/>
      <c r="C23" s="259">
        <v>14</v>
      </c>
      <c r="D23" s="468"/>
      <c r="E23" s="467" t="str">
        <f t="shared" si="0"/>
        <v/>
      </c>
      <c r="F23" s="733"/>
      <c r="G23" s="716" t="str">
        <f t="shared" si="1"/>
        <v/>
      </c>
      <c r="H23" s="468"/>
      <c r="I23" s="266" t="str">
        <f>IF(OR($D23="",$D23=CONST_NA),"",INDEX(InputOutput!$AK$71:$AK$80,MATCH($D23,InputOutput!$D$71:$D$80,0)))</f>
        <v/>
      </c>
      <c r="J23" s="266" t="str">
        <f>IF(OR($D23="",$D23=CONST_NA),"",INDEX(InputOutput!$AM$71:$AM$80,MATCH($D23,InputOutput!$D$71:$D$80,0)))</f>
        <v/>
      </c>
      <c r="K23" s="266" t="str">
        <f t="shared" si="2"/>
        <v/>
      </c>
      <c r="L23" s="266" t="str">
        <f t="shared" si="3"/>
        <v/>
      </c>
      <c r="M23" s="683" t="str">
        <f>IF($E23="","",INDEX(Summary_Processes!$AG$162:$AG$520,MATCH($D23,Summary_Processes!$D$162:$D$520,0)))</f>
        <v/>
      </c>
      <c r="N23" s="266" t="str">
        <f>IF(D23="","",INDEX(D_Processes!T:T,MATCH(CONST_CNTR_ElecEFMethod&amp;D23,D_Processes!R:R,0)))</f>
        <v/>
      </c>
      <c r="O23" s="266" t="str">
        <f>IF(OR($D23="",$D23=CONST_NA),"",INDEX(InputOutput!$AO$71:$AO$80,MATCH($D23,InputOutput!$D$71:$D$80,0)))</f>
        <v/>
      </c>
      <c r="P23" s="469"/>
      <c r="Q23" s="469"/>
      <c r="R23" s="756"/>
      <c r="S23" s="756"/>
      <c r="T23" s="756"/>
      <c r="U23" s="756"/>
      <c r="V23" s="756"/>
      <c r="W23" s="756"/>
      <c r="X23" s="756"/>
      <c r="Y23" s="756"/>
      <c r="Z23" s="756"/>
      <c r="AA23" s="756"/>
      <c r="AB23" s="470"/>
      <c r="AC23" s="470"/>
      <c r="AD23" s="470"/>
      <c r="AE23" s="470"/>
      <c r="AF23" s="470"/>
      <c r="AG23" s="470"/>
      <c r="AH23" s="470"/>
      <c r="AI23" s="470"/>
      <c r="AJ23" s="470"/>
      <c r="AK23" s="470"/>
      <c r="AL23" s="471"/>
      <c r="AM23" s="472"/>
      <c r="AN23" s="473" t="str">
        <f t="shared" si="13"/>
        <v/>
      </c>
      <c r="AO23" s="474" t="str">
        <f t="shared" si="4"/>
        <v/>
      </c>
      <c r="AP23" s="475"/>
      <c r="AQ23" s="687" t="str">
        <f t="shared" si="5"/>
        <v/>
      </c>
      <c r="AR23" s="476"/>
      <c r="AS23" s="474" t="str">
        <f t="shared" si="6"/>
        <v/>
      </c>
      <c r="AT23" s="471"/>
      <c r="AU23" s="472"/>
      <c r="AV23" s="473" t="str">
        <f t="shared" si="14"/>
        <v/>
      </c>
      <c r="AW23" s="474" t="str">
        <f t="shared" si="15"/>
        <v/>
      </c>
      <c r="AX23" s="476"/>
      <c r="AY23" s="474" t="str">
        <f t="shared" si="16"/>
        <v/>
      </c>
      <c r="AZ23" s="477" t="str">
        <f t="shared" si="7"/>
        <v/>
      </c>
      <c r="BA23" s="478" t="str">
        <f t="shared" si="17"/>
        <v/>
      </c>
      <c r="BD23" s="279" t="str">
        <f t="shared" si="8"/>
        <v/>
      </c>
      <c r="BG23" s="279" t="b">
        <f t="shared" si="18"/>
        <v>0</v>
      </c>
      <c r="BI23" s="279" t="str">
        <f t="shared" si="9"/>
        <v>n.a.</v>
      </c>
      <c r="BK23" s="517" t="str">
        <f t="shared" si="10"/>
        <v/>
      </c>
      <c r="BL23" s="517" t="str">
        <f t="shared" si="11"/>
        <v/>
      </c>
      <c r="BM23" s="517" t="str">
        <f t="shared" si="19"/>
        <v/>
      </c>
      <c r="BN23" s="517" t="str">
        <f t="shared" si="12"/>
        <v/>
      </c>
    </row>
    <row r="24" spans="2:66" ht="12.75" customHeight="1" x14ac:dyDescent="0.35">
      <c r="B24" s="278"/>
      <c r="C24" s="259">
        <v>15</v>
      </c>
      <c r="D24" s="468"/>
      <c r="E24" s="467" t="str">
        <f t="shared" si="0"/>
        <v/>
      </c>
      <c r="F24" s="733"/>
      <c r="G24" s="716" t="str">
        <f t="shared" si="1"/>
        <v/>
      </c>
      <c r="H24" s="468"/>
      <c r="I24" s="266" t="str">
        <f>IF(OR($D24="",$D24=CONST_NA),"",INDEX(InputOutput!$AK$71:$AK$80,MATCH($D24,InputOutput!$D$71:$D$80,0)))</f>
        <v/>
      </c>
      <c r="J24" s="266" t="str">
        <f>IF(OR($D24="",$D24=CONST_NA),"",INDEX(InputOutput!$AM$71:$AM$80,MATCH($D24,InputOutput!$D$71:$D$80,0)))</f>
        <v/>
      </c>
      <c r="K24" s="266" t="str">
        <f t="shared" si="2"/>
        <v/>
      </c>
      <c r="L24" s="266" t="str">
        <f t="shared" si="3"/>
        <v/>
      </c>
      <c r="M24" s="683" t="str">
        <f>IF($E24="","",INDEX(Summary_Processes!$AG$162:$AG$520,MATCH($D24,Summary_Processes!$D$162:$D$520,0)))</f>
        <v/>
      </c>
      <c r="N24" s="266" t="str">
        <f>IF(D24="","",INDEX(D_Processes!T:T,MATCH(CONST_CNTR_ElecEFMethod&amp;D24,D_Processes!R:R,0)))</f>
        <v/>
      </c>
      <c r="O24" s="266" t="str">
        <f>IF(OR($D24="",$D24=CONST_NA),"",INDEX(InputOutput!$AO$71:$AO$80,MATCH($D24,InputOutput!$D$71:$D$80,0)))</f>
        <v/>
      </c>
      <c r="P24" s="469"/>
      <c r="Q24" s="469"/>
      <c r="R24" s="756"/>
      <c r="S24" s="756"/>
      <c r="T24" s="756"/>
      <c r="U24" s="756"/>
      <c r="V24" s="756"/>
      <c r="W24" s="756"/>
      <c r="X24" s="756"/>
      <c r="Y24" s="756"/>
      <c r="Z24" s="756"/>
      <c r="AA24" s="756"/>
      <c r="AB24" s="470"/>
      <c r="AC24" s="470"/>
      <c r="AD24" s="470"/>
      <c r="AE24" s="470"/>
      <c r="AF24" s="470"/>
      <c r="AG24" s="470"/>
      <c r="AH24" s="470"/>
      <c r="AI24" s="470"/>
      <c r="AJ24" s="470"/>
      <c r="AK24" s="470"/>
      <c r="AL24" s="471"/>
      <c r="AM24" s="472"/>
      <c r="AN24" s="473" t="str">
        <f t="shared" si="13"/>
        <v/>
      </c>
      <c r="AO24" s="474" t="str">
        <f t="shared" si="4"/>
        <v/>
      </c>
      <c r="AP24" s="475"/>
      <c r="AQ24" s="687" t="str">
        <f t="shared" si="5"/>
        <v/>
      </c>
      <c r="AR24" s="476"/>
      <c r="AS24" s="474" t="str">
        <f t="shared" si="6"/>
        <v/>
      </c>
      <c r="AT24" s="471"/>
      <c r="AU24" s="472"/>
      <c r="AV24" s="473" t="str">
        <f t="shared" si="14"/>
        <v/>
      </c>
      <c r="AW24" s="474" t="str">
        <f t="shared" si="15"/>
        <v/>
      </c>
      <c r="AX24" s="476"/>
      <c r="AY24" s="474" t="str">
        <f t="shared" si="16"/>
        <v/>
      </c>
      <c r="AZ24" s="477" t="str">
        <f t="shared" si="7"/>
        <v/>
      </c>
      <c r="BA24" s="478" t="str">
        <f t="shared" si="17"/>
        <v/>
      </c>
      <c r="BD24" s="279" t="str">
        <f t="shared" si="8"/>
        <v/>
      </c>
      <c r="BG24" s="279" t="b">
        <f t="shared" si="18"/>
        <v>0</v>
      </c>
      <c r="BI24" s="279" t="str">
        <f t="shared" si="9"/>
        <v>n.a.</v>
      </c>
      <c r="BK24" s="517" t="str">
        <f t="shared" si="10"/>
        <v/>
      </c>
      <c r="BL24" s="517" t="str">
        <f t="shared" si="11"/>
        <v/>
      </c>
      <c r="BM24" s="517" t="str">
        <f t="shared" si="19"/>
        <v/>
      </c>
      <c r="BN24" s="517" t="str">
        <f t="shared" si="12"/>
        <v/>
      </c>
    </row>
    <row r="25" spans="2:66" ht="12.75" customHeight="1" x14ac:dyDescent="0.35">
      <c r="B25" s="278"/>
      <c r="C25" s="259">
        <v>16</v>
      </c>
      <c r="D25" s="468"/>
      <c r="E25" s="467" t="str">
        <f t="shared" si="0"/>
        <v/>
      </c>
      <c r="F25" s="733"/>
      <c r="G25" s="716" t="str">
        <f t="shared" si="1"/>
        <v/>
      </c>
      <c r="H25" s="468"/>
      <c r="I25" s="266" t="str">
        <f>IF(OR($D25="",$D25=CONST_NA),"",INDEX(InputOutput!$AK$71:$AK$80,MATCH($D25,InputOutput!$D$71:$D$80,0)))</f>
        <v/>
      </c>
      <c r="J25" s="266" t="str">
        <f>IF(OR($D25="",$D25=CONST_NA),"",INDEX(InputOutput!$AM$71:$AM$80,MATCH($D25,InputOutput!$D$71:$D$80,0)))</f>
        <v/>
      </c>
      <c r="K25" s="266" t="str">
        <f t="shared" si="2"/>
        <v/>
      </c>
      <c r="L25" s="266" t="str">
        <f t="shared" si="3"/>
        <v/>
      </c>
      <c r="M25" s="683" t="str">
        <f>IF($E25="","",INDEX(Summary_Processes!$AG$162:$AG$520,MATCH($D25,Summary_Processes!$D$162:$D$520,0)))</f>
        <v/>
      </c>
      <c r="N25" s="266" t="str">
        <f>IF(D25="","",INDEX(D_Processes!T:T,MATCH(CONST_CNTR_ElecEFMethod&amp;D25,D_Processes!R:R,0)))</f>
        <v/>
      </c>
      <c r="O25" s="266" t="str">
        <f>IF(OR($D25="",$D25=CONST_NA),"",INDEX(InputOutput!$AO$71:$AO$80,MATCH($D25,InputOutput!$D$71:$D$80,0)))</f>
        <v/>
      </c>
      <c r="P25" s="469"/>
      <c r="Q25" s="469"/>
      <c r="R25" s="756"/>
      <c r="S25" s="756"/>
      <c r="T25" s="756"/>
      <c r="U25" s="756"/>
      <c r="V25" s="756"/>
      <c r="W25" s="756"/>
      <c r="X25" s="756"/>
      <c r="Y25" s="756"/>
      <c r="Z25" s="756"/>
      <c r="AA25" s="756"/>
      <c r="AB25" s="470"/>
      <c r="AC25" s="470"/>
      <c r="AD25" s="470"/>
      <c r="AE25" s="470"/>
      <c r="AF25" s="470"/>
      <c r="AG25" s="470"/>
      <c r="AH25" s="470"/>
      <c r="AI25" s="470"/>
      <c r="AJ25" s="470"/>
      <c r="AK25" s="470"/>
      <c r="AL25" s="471"/>
      <c r="AM25" s="472"/>
      <c r="AN25" s="473" t="str">
        <f t="shared" si="13"/>
        <v/>
      </c>
      <c r="AO25" s="474" t="str">
        <f t="shared" si="4"/>
        <v/>
      </c>
      <c r="AP25" s="475"/>
      <c r="AQ25" s="687" t="str">
        <f t="shared" si="5"/>
        <v/>
      </c>
      <c r="AR25" s="476"/>
      <c r="AS25" s="474" t="str">
        <f t="shared" si="6"/>
        <v/>
      </c>
      <c r="AT25" s="471"/>
      <c r="AU25" s="472"/>
      <c r="AV25" s="473" t="str">
        <f t="shared" si="14"/>
        <v/>
      </c>
      <c r="AW25" s="474" t="str">
        <f t="shared" si="15"/>
        <v/>
      </c>
      <c r="AX25" s="476"/>
      <c r="AY25" s="474" t="str">
        <f t="shared" si="16"/>
        <v/>
      </c>
      <c r="AZ25" s="477" t="str">
        <f t="shared" si="7"/>
        <v/>
      </c>
      <c r="BA25" s="478" t="str">
        <f t="shared" si="17"/>
        <v/>
      </c>
      <c r="BD25" s="279" t="str">
        <f t="shared" si="8"/>
        <v/>
      </c>
      <c r="BG25" s="279" t="b">
        <f t="shared" si="18"/>
        <v>0</v>
      </c>
      <c r="BI25" s="279" t="str">
        <f t="shared" si="9"/>
        <v>n.a.</v>
      </c>
      <c r="BK25" s="517" t="str">
        <f t="shared" si="10"/>
        <v/>
      </c>
      <c r="BL25" s="517" t="str">
        <f t="shared" si="11"/>
        <v/>
      </c>
      <c r="BM25" s="517" t="str">
        <f t="shared" si="19"/>
        <v/>
      </c>
      <c r="BN25" s="517" t="str">
        <f t="shared" si="12"/>
        <v/>
      </c>
    </row>
    <row r="26" spans="2:66" ht="12.75" customHeight="1" x14ac:dyDescent="0.35">
      <c r="B26" s="278"/>
      <c r="C26" s="259">
        <v>17</v>
      </c>
      <c r="D26" s="468"/>
      <c r="E26" s="467" t="str">
        <f t="shared" si="0"/>
        <v/>
      </c>
      <c r="F26" s="733"/>
      <c r="G26" s="716" t="str">
        <f t="shared" si="1"/>
        <v/>
      </c>
      <c r="H26" s="468"/>
      <c r="I26" s="266" t="str">
        <f>IF(OR($D26="",$D26=CONST_NA),"",INDEX(InputOutput!$AK$71:$AK$80,MATCH($D26,InputOutput!$D$71:$D$80,0)))</f>
        <v/>
      </c>
      <c r="J26" s="266" t="str">
        <f>IF(OR($D26="",$D26=CONST_NA),"",INDEX(InputOutput!$AM$71:$AM$80,MATCH($D26,InputOutput!$D$71:$D$80,0)))</f>
        <v/>
      </c>
      <c r="K26" s="266" t="str">
        <f t="shared" si="2"/>
        <v/>
      </c>
      <c r="L26" s="266" t="str">
        <f t="shared" si="3"/>
        <v/>
      </c>
      <c r="M26" s="683" t="str">
        <f>IF($E26="","",INDEX(Summary_Processes!$AG$162:$AG$520,MATCH($D26,Summary_Processes!$D$162:$D$520,0)))</f>
        <v/>
      </c>
      <c r="N26" s="266" t="str">
        <f>IF(D26="","",INDEX(D_Processes!T:T,MATCH(CONST_CNTR_ElecEFMethod&amp;D26,D_Processes!R:R,0)))</f>
        <v/>
      </c>
      <c r="O26" s="266" t="str">
        <f>IF(OR($D26="",$D26=CONST_NA),"",INDEX(InputOutput!$AO$71:$AO$80,MATCH($D26,InputOutput!$D$71:$D$80,0)))</f>
        <v/>
      </c>
      <c r="P26" s="469"/>
      <c r="Q26" s="469"/>
      <c r="R26" s="756"/>
      <c r="S26" s="756"/>
      <c r="T26" s="756"/>
      <c r="U26" s="756"/>
      <c r="V26" s="756"/>
      <c r="W26" s="756"/>
      <c r="X26" s="756"/>
      <c r="Y26" s="756"/>
      <c r="Z26" s="756"/>
      <c r="AA26" s="756"/>
      <c r="AB26" s="470"/>
      <c r="AC26" s="470"/>
      <c r="AD26" s="470"/>
      <c r="AE26" s="470"/>
      <c r="AF26" s="470"/>
      <c r="AG26" s="470"/>
      <c r="AH26" s="470"/>
      <c r="AI26" s="470"/>
      <c r="AJ26" s="470"/>
      <c r="AK26" s="470"/>
      <c r="AL26" s="471"/>
      <c r="AM26" s="472"/>
      <c r="AN26" s="473" t="str">
        <f t="shared" si="13"/>
        <v/>
      </c>
      <c r="AO26" s="474" t="str">
        <f t="shared" si="4"/>
        <v/>
      </c>
      <c r="AP26" s="475"/>
      <c r="AQ26" s="687" t="str">
        <f t="shared" si="5"/>
        <v/>
      </c>
      <c r="AR26" s="476"/>
      <c r="AS26" s="474" t="str">
        <f t="shared" si="6"/>
        <v/>
      </c>
      <c r="AT26" s="471"/>
      <c r="AU26" s="472"/>
      <c r="AV26" s="473" t="str">
        <f t="shared" si="14"/>
        <v/>
      </c>
      <c r="AW26" s="474" t="str">
        <f t="shared" si="15"/>
        <v/>
      </c>
      <c r="AX26" s="476"/>
      <c r="AY26" s="474" t="str">
        <f t="shared" si="16"/>
        <v/>
      </c>
      <c r="AZ26" s="477" t="str">
        <f t="shared" si="7"/>
        <v/>
      </c>
      <c r="BA26" s="478" t="str">
        <f t="shared" si="17"/>
        <v/>
      </c>
      <c r="BD26" s="279" t="str">
        <f t="shared" si="8"/>
        <v/>
      </c>
      <c r="BG26" s="279" t="b">
        <f t="shared" si="18"/>
        <v>0</v>
      </c>
      <c r="BI26" s="279" t="str">
        <f t="shared" si="9"/>
        <v>n.a.</v>
      </c>
      <c r="BK26" s="517" t="str">
        <f t="shared" si="10"/>
        <v/>
      </c>
      <c r="BL26" s="517" t="str">
        <f t="shared" si="11"/>
        <v/>
      </c>
      <c r="BM26" s="517" t="str">
        <f t="shared" si="19"/>
        <v/>
      </c>
      <c r="BN26" s="517" t="str">
        <f t="shared" si="12"/>
        <v/>
      </c>
    </row>
    <row r="27" spans="2:66" ht="12.75" customHeight="1" x14ac:dyDescent="0.35">
      <c r="B27" s="278"/>
      <c r="C27" s="259">
        <v>18</v>
      </c>
      <c r="D27" s="468"/>
      <c r="E27" s="467" t="str">
        <f t="shared" si="0"/>
        <v/>
      </c>
      <c r="F27" s="733"/>
      <c r="G27" s="716" t="str">
        <f t="shared" si="1"/>
        <v/>
      </c>
      <c r="H27" s="468"/>
      <c r="I27" s="266" t="str">
        <f>IF(OR($D27="",$D27=CONST_NA),"",INDEX(InputOutput!$AK$71:$AK$80,MATCH($D27,InputOutput!$D$71:$D$80,0)))</f>
        <v/>
      </c>
      <c r="J27" s="266" t="str">
        <f>IF(OR($D27="",$D27=CONST_NA),"",INDEX(InputOutput!$AM$71:$AM$80,MATCH($D27,InputOutput!$D$71:$D$80,0)))</f>
        <v/>
      </c>
      <c r="K27" s="266" t="str">
        <f t="shared" si="2"/>
        <v/>
      </c>
      <c r="L27" s="266" t="str">
        <f t="shared" si="3"/>
        <v/>
      </c>
      <c r="M27" s="683" t="str">
        <f>IF($E27="","",INDEX(Summary_Processes!$AG$162:$AG$520,MATCH($D27,Summary_Processes!$D$162:$D$520,0)))</f>
        <v/>
      </c>
      <c r="N27" s="266" t="str">
        <f>IF(D27="","",INDEX(D_Processes!T:T,MATCH(CONST_CNTR_ElecEFMethod&amp;D27,D_Processes!R:R,0)))</f>
        <v/>
      </c>
      <c r="O27" s="266" t="str">
        <f>IF(OR($D27="",$D27=CONST_NA),"",INDEX(InputOutput!$AO$71:$AO$80,MATCH($D27,InputOutput!$D$71:$D$80,0)))</f>
        <v/>
      </c>
      <c r="P27" s="469"/>
      <c r="Q27" s="469"/>
      <c r="R27" s="756"/>
      <c r="S27" s="756"/>
      <c r="T27" s="756"/>
      <c r="U27" s="756"/>
      <c r="V27" s="756"/>
      <c r="W27" s="756"/>
      <c r="X27" s="756"/>
      <c r="Y27" s="756"/>
      <c r="Z27" s="756"/>
      <c r="AA27" s="756"/>
      <c r="AB27" s="470"/>
      <c r="AC27" s="470"/>
      <c r="AD27" s="470"/>
      <c r="AE27" s="470"/>
      <c r="AF27" s="470"/>
      <c r="AG27" s="470"/>
      <c r="AH27" s="470"/>
      <c r="AI27" s="470"/>
      <c r="AJ27" s="470"/>
      <c r="AK27" s="470"/>
      <c r="AL27" s="471"/>
      <c r="AM27" s="472"/>
      <c r="AN27" s="473" t="str">
        <f t="shared" si="13"/>
        <v/>
      </c>
      <c r="AO27" s="474" t="str">
        <f t="shared" si="4"/>
        <v/>
      </c>
      <c r="AP27" s="475"/>
      <c r="AQ27" s="687" t="str">
        <f t="shared" si="5"/>
        <v/>
      </c>
      <c r="AR27" s="476"/>
      <c r="AS27" s="474" t="str">
        <f t="shared" si="6"/>
        <v/>
      </c>
      <c r="AT27" s="471"/>
      <c r="AU27" s="472"/>
      <c r="AV27" s="473" t="str">
        <f t="shared" si="14"/>
        <v/>
      </c>
      <c r="AW27" s="474" t="str">
        <f t="shared" si="15"/>
        <v/>
      </c>
      <c r="AX27" s="476"/>
      <c r="AY27" s="474" t="str">
        <f t="shared" si="16"/>
        <v/>
      </c>
      <c r="AZ27" s="477" t="str">
        <f t="shared" si="7"/>
        <v/>
      </c>
      <c r="BA27" s="478" t="str">
        <f t="shared" si="17"/>
        <v/>
      </c>
      <c r="BD27" s="279" t="str">
        <f t="shared" si="8"/>
        <v/>
      </c>
      <c r="BG27" s="279" t="b">
        <f t="shared" si="18"/>
        <v>0</v>
      </c>
      <c r="BI27" s="279" t="str">
        <f t="shared" si="9"/>
        <v>n.a.</v>
      </c>
      <c r="BK27" s="517" t="str">
        <f t="shared" si="10"/>
        <v/>
      </c>
      <c r="BL27" s="517" t="str">
        <f t="shared" si="11"/>
        <v/>
      </c>
      <c r="BM27" s="517" t="str">
        <f t="shared" si="19"/>
        <v/>
      </c>
      <c r="BN27" s="517" t="str">
        <f t="shared" si="12"/>
        <v/>
      </c>
    </row>
    <row r="28" spans="2:66" ht="12.75" customHeight="1" x14ac:dyDescent="0.35">
      <c r="B28" s="278"/>
      <c r="C28" s="259">
        <v>19</v>
      </c>
      <c r="D28" s="468"/>
      <c r="E28" s="467" t="str">
        <f t="shared" si="0"/>
        <v/>
      </c>
      <c r="F28" s="733"/>
      <c r="G28" s="716" t="str">
        <f t="shared" si="1"/>
        <v/>
      </c>
      <c r="H28" s="468"/>
      <c r="I28" s="266" t="str">
        <f>IF(OR($D28="",$D28=CONST_NA),"",INDEX(InputOutput!$AK$71:$AK$80,MATCH($D28,InputOutput!$D$71:$D$80,0)))</f>
        <v/>
      </c>
      <c r="J28" s="266" t="str">
        <f>IF(OR($D28="",$D28=CONST_NA),"",INDEX(InputOutput!$AM$71:$AM$80,MATCH($D28,InputOutput!$D$71:$D$80,0)))</f>
        <v/>
      </c>
      <c r="K28" s="266" t="str">
        <f t="shared" si="2"/>
        <v/>
      </c>
      <c r="L28" s="266" t="str">
        <f t="shared" si="3"/>
        <v/>
      </c>
      <c r="M28" s="683" t="str">
        <f>IF($E28="","",INDEX(Summary_Processes!$AG$162:$AG$520,MATCH($D28,Summary_Processes!$D$162:$D$520,0)))</f>
        <v/>
      </c>
      <c r="N28" s="266" t="str">
        <f>IF(D28="","",INDEX(D_Processes!T:T,MATCH(CONST_CNTR_ElecEFMethod&amp;D28,D_Processes!R:R,0)))</f>
        <v/>
      </c>
      <c r="O28" s="266" t="str">
        <f>IF(OR($D28="",$D28=CONST_NA),"",INDEX(InputOutput!$AO$71:$AO$80,MATCH($D28,InputOutput!$D$71:$D$80,0)))</f>
        <v/>
      </c>
      <c r="P28" s="469"/>
      <c r="Q28" s="469"/>
      <c r="R28" s="756"/>
      <c r="S28" s="756"/>
      <c r="T28" s="756"/>
      <c r="U28" s="756"/>
      <c r="V28" s="756"/>
      <c r="W28" s="756"/>
      <c r="X28" s="756"/>
      <c r="Y28" s="756"/>
      <c r="Z28" s="756"/>
      <c r="AA28" s="756"/>
      <c r="AB28" s="470"/>
      <c r="AC28" s="470"/>
      <c r="AD28" s="470"/>
      <c r="AE28" s="470"/>
      <c r="AF28" s="470"/>
      <c r="AG28" s="470"/>
      <c r="AH28" s="470"/>
      <c r="AI28" s="470"/>
      <c r="AJ28" s="470"/>
      <c r="AK28" s="470"/>
      <c r="AL28" s="471"/>
      <c r="AM28" s="472"/>
      <c r="AN28" s="473" t="str">
        <f t="shared" si="13"/>
        <v/>
      </c>
      <c r="AO28" s="474" t="str">
        <f t="shared" si="4"/>
        <v/>
      </c>
      <c r="AP28" s="475"/>
      <c r="AQ28" s="687" t="str">
        <f t="shared" si="5"/>
        <v/>
      </c>
      <c r="AR28" s="476"/>
      <c r="AS28" s="474" t="str">
        <f t="shared" si="6"/>
        <v/>
      </c>
      <c r="AT28" s="471"/>
      <c r="AU28" s="472"/>
      <c r="AV28" s="473" t="str">
        <f t="shared" si="14"/>
        <v/>
      </c>
      <c r="AW28" s="474" t="str">
        <f t="shared" si="15"/>
        <v/>
      </c>
      <c r="AX28" s="476"/>
      <c r="AY28" s="474" t="str">
        <f t="shared" si="16"/>
        <v/>
      </c>
      <c r="AZ28" s="477" t="str">
        <f t="shared" si="7"/>
        <v/>
      </c>
      <c r="BA28" s="478" t="str">
        <f t="shared" si="17"/>
        <v/>
      </c>
      <c r="BD28" s="279" t="str">
        <f t="shared" si="8"/>
        <v/>
      </c>
      <c r="BG28" s="279" t="b">
        <f t="shared" si="18"/>
        <v>0</v>
      </c>
      <c r="BI28" s="279" t="str">
        <f t="shared" si="9"/>
        <v>n.a.</v>
      </c>
      <c r="BK28" s="517" t="str">
        <f t="shared" si="10"/>
        <v/>
      </c>
      <c r="BL28" s="517" t="str">
        <f t="shared" si="11"/>
        <v/>
      </c>
      <c r="BM28" s="517" t="str">
        <f t="shared" si="19"/>
        <v/>
      </c>
      <c r="BN28" s="517" t="str">
        <f t="shared" si="12"/>
        <v/>
      </c>
    </row>
    <row r="29" spans="2:66" ht="12.75" customHeight="1" x14ac:dyDescent="0.35">
      <c r="B29" s="278"/>
      <c r="C29" s="259">
        <v>20</v>
      </c>
      <c r="D29" s="468"/>
      <c r="E29" s="467" t="str">
        <f t="shared" si="0"/>
        <v/>
      </c>
      <c r="F29" s="733"/>
      <c r="G29" s="716" t="str">
        <f t="shared" si="1"/>
        <v/>
      </c>
      <c r="H29" s="468"/>
      <c r="I29" s="266" t="str">
        <f>IF(OR($D29="",$D29=CONST_NA),"",INDEX(InputOutput!$AK$71:$AK$80,MATCH($D29,InputOutput!$D$71:$D$80,0)))</f>
        <v/>
      </c>
      <c r="J29" s="266" t="str">
        <f>IF(OR($D29="",$D29=CONST_NA),"",INDEX(InputOutput!$AM$71:$AM$80,MATCH($D29,InputOutput!$D$71:$D$80,0)))</f>
        <v/>
      </c>
      <c r="K29" s="266" t="str">
        <f t="shared" si="2"/>
        <v/>
      </c>
      <c r="L29" s="266" t="str">
        <f t="shared" si="3"/>
        <v/>
      </c>
      <c r="M29" s="683" t="str">
        <f>IF($E29="","",INDEX(Summary_Processes!$AG$162:$AG$520,MATCH($D29,Summary_Processes!$D$162:$D$520,0)))</f>
        <v/>
      </c>
      <c r="N29" s="266" t="str">
        <f>IF(D29="","",INDEX(D_Processes!T:T,MATCH(CONST_CNTR_ElecEFMethod&amp;D29,D_Processes!R:R,0)))</f>
        <v/>
      </c>
      <c r="O29" s="266" t="str">
        <f>IF(OR($D29="",$D29=CONST_NA),"",INDEX(InputOutput!$AO$71:$AO$80,MATCH($D29,InputOutput!$D$71:$D$80,0)))</f>
        <v/>
      </c>
      <c r="P29" s="469"/>
      <c r="Q29" s="469"/>
      <c r="R29" s="756"/>
      <c r="S29" s="756"/>
      <c r="T29" s="756"/>
      <c r="U29" s="756"/>
      <c r="V29" s="756"/>
      <c r="W29" s="756"/>
      <c r="X29" s="756"/>
      <c r="Y29" s="756"/>
      <c r="Z29" s="756"/>
      <c r="AA29" s="756"/>
      <c r="AB29" s="470"/>
      <c r="AC29" s="470"/>
      <c r="AD29" s="470"/>
      <c r="AE29" s="470"/>
      <c r="AF29" s="470"/>
      <c r="AG29" s="470"/>
      <c r="AH29" s="470"/>
      <c r="AI29" s="470"/>
      <c r="AJ29" s="470"/>
      <c r="AK29" s="470"/>
      <c r="AL29" s="471"/>
      <c r="AM29" s="472"/>
      <c r="AN29" s="473" t="str">
        <f t="shared" si="13"/>
        <v/>
      </c>
      <c r="AO29" s="474" t="str">
        <f t="shared" si="4"/>
        <v/>
      </c>
      <c r="AP29" s="475"/>
      <c r="AQ29" s="687" t="str">
        <f t="shared" si="5"/>
        <v/>
      </c>
      <c r="AR29" s="476"/>
      <c r="AS29" s="474" t="str">
        <f t="shared" si="6"/>
        <v/>
      </c>
      <c r="AT29" s="471"/>
      <c r="AU29" s="472"/>
      <c r="AV29" s="473" t="str">
        <f t="shared" si="14"/>
        <v/>
      </c>
      <c r="AW29" s="474" t="str">
        <f t="shared" si="15"/>
        <v/>
      </c>
      <c r="AX29" s="476"/>
      <c r="AY29" s="474" t="str">
        <f t="shared" si="16"/>
        <v/>
      </c>
      <c r="AZ29" s="477" t="str">
        <f t="shared" si="7"/>
        <v/>
      </c>
      <c r="BA29" s="478" t="str">
        <f t="shared" si="17"/>
        <v/>
      </c>
      <c r="BD29" s="279" t="str">
        <f t="shared" si="8"/>
        <v/>
      </c>
      <c r="BG29" s="279" t="b">
        <f t="shared" si="18"/>
        <v>0</v>
      </c>
      <c r="BI29" s="279" t="str">
        <f t="shared" si="9"/>
        <v>n.a.</v>
      </c>
      <c r="BK29" s="517" t="str">
        <f t="shared" si="10"/>
        <v/>
      </c>
      <c r="BL29" s="517" t="str">
        <f t="shared" si="11"/>
        <v/>
      </c>
      <c r="BM29" s="517" t="str">
        <f t="shared" si="19"/>
        <v/>
      </c>
      <c r="BN29" s="517" t="str">
        <f t="shared" si="12"/>
        <v/>
      </c>
    </row>
    <row r="30" spans="2:66" ht="12.75" customHeight="1" x14ac:dyDescent="0.35">
      <c r="B30" s="278"/>
      <c r="C30" s="259">
        <v>21</v>
      </c>
      <c r="D30" s="468"/>
      <c r="E30" s="467" t="str">
        <f t="shared" si="0"/>
        <v/>
      </c>
      <c r="F30" s="733"/>
      <c r="G30" s="716" t="str">
        <f t="shared" si="1"/>
        <v/>
      </c>
      <c r="H30" s="468"/>
      <c r="I30" s="266" t="str">
        <f>IF(OR($D30="",$D30=CONST_NA),"",INDEX(InputOutput!$AK$71:$AK$80,MATCH($D30,InputOutput!$D$71:$D$80,0)))</f>
        <v/>
      </c>
      <c r="J30" s="266" t="str">
        <f>IF(OR($D30="",$D30=CONST_NA),"",INDEX(InputOutput!$AM$71:$AM$80,MATCH($D30,InputOutput!$D$71:$D$80,0)))</f>
        <v/>
      </c>
      <c r="K30" s="266" t="str">
        <f t="shared" si="2"/>
        <v/>
      </c>
      <c r="L30" s="266" t="str">
        <f t="shared" si="3"/>
        <v/>
      </c>
      <c r="M30" s="683" t="str">
        <f>IF($E30="","",INDEX(Summary_Processes!$AG$162:$AG$520,MATCH($D30,Summary_Processes!$D$162:$D$520,0)))</f>
        <v/>
      </c>
      <c r="N30" s="266" t="str">
        <f>IF(D30="","",INDEX(D_Processes!T:T,MATCH(CONST_CNTR_ElecEFMethod&amp;D30,D_Processes!R:R,0)))</f>
        <v/>
      </c>
      <c r="O30" s="266" t="str">
        <f>IF(OR($D30="",$D30=CONST_NA),"",INDEX(InputOutput!$AO$71:$AO$80,MATCH($D30,InputOutput!$D$71:$D$80,0)))</f>
        <v/>
      </c>
      <c r="P30" s="469"/>
      <c r="Q30" s="469"/>
      <c r="R30" s="756"/>
      <c r="S30" s="756"/>
      <c r="T30" s="756"/>
      <c r="U30" s="756"/>
      <c r="V30" s="756"/>
      <c r="W30" s="756"/>
      <c r="X30" s="756"/>
      <c r="Y30" s="756"/>
      <c r="Z30" s="756"/>
      <c r="AA30" s="756"/>
      <c r="AB30" s="470"/>
      <c r="AC30" s="470"/>
      <c r="AD30" s="470"/>
      <c r="AE30" s="470"/>
      <c r="AF30" s="470"/>
      <c r="AG30" s="470"/>
      <c r="AH30" s="470"/>
      <c r="AI30" s="470"/>
      <c r="AJ30" s="470"/>
      <c r="AK30" s="470"/>
      <c r="AL30" s="471"/>
      <c r="AM30" s="472"/>
      <c r="AN30" s="473" t="str">
        <f t="shared" si="13"/>
        <v/>
      </c>
      <c r="AO30" s="474" t="str">
        <f t="shared" si="4"/>
        <v/>
      </c>
      <c r="AP30" s="475"/>
      <c r="AQ30" s="687" t="str">
        <f t="shared" si="5"/>
        <v/>
      </c>
      <c r="AR30" s="476"/>
      <c r="AS30" s="474" t="str">
        <f t="shared" si="6"/>
        <v/>
      </c>
      <c r="AT30" s="471"/>
      <c r="AU30" s="472"/>
      <c r="AV30" s="473" t="str">
        <f t="shared" si="14"/>
        <v/>
      </c>
      <c r="AW30" s="474" t="str">
        <f t="shared" si="15"/>
        <v/>
      </c>
      <c r="AX30" s="476"/>
      <c r="AY30" s="474" t="str">
        <f t="shared" si="16"/>
        <v/>
      </c>
      <c r="AZ30" s="477" t="str">
        <f t="shared" si="7"/>
        <v/>
      </c>
      <c r="BA30" s="478" t="str">
        <f t="shared" si="17"/>
        <v/>
      </c>
      <c r="BD30" s="279" t="str">
        <f t="shared" si="8"/>
        <v/>
      </c>
      <c r="BG30" s="279" t="b">
        <f t="shared" si="18"/>
        <v>0</v>
      </c>
      <c r="BI30" s="279" t="str">
        <f t="shared" si="9"/>
        <v>n.a.</v>
      </c>
      <c r="BK30" s="517" t="str">
        <f t="shared" si="10"/>
        <v/>
      </c>
      <c r="BL30" s="517" t="str">
        <f t="shared" si="11"/>
        <v/>
      </c>
      <c r="BM30" s="517" t="str">
        <f t="shared" si="19"/>
        <v/>
      </c>
      <c r="BN30" s="517" t="str">
        <f t="shared" si="12"/>
        <v/>
      </c>
    </row>
    <row r="31" spans="2:66" ht="12.75" customHeight="1" x14ac:dyDescent="0.35">
      <c r="B31" s="278"/>
      <c r="C31" s="259">
        <v>22</v>
      </c>
      <c r="D31" s="468"/>
      <c r="E31" s="467" t="str">
        <f t="shared" si="0"/>
        <v/>
      </c>
      <c r="F31" s="733"/>
      <c r="G31" s="716" t="str">
        <f t="shared" si="1"/>
        <v/>
      </c>
      <c r="H31" s="468"/>
      <c r="I31" s="266" t="str">
        <f>IF(OR($D31="",$D31=CONST_NA),"",INDEX(InputOutput!$AK$71:$AK$80,MATCH($D31,InputOutput!$D$71:$D$80,0)))</f>
        <v/>
      </c>
      <c r="J31" s="266" t="str">
        <f>IF(OR($D31="",$D31=CONST_NA),"",INDEX(InputOutput!$AM$71:$AM$80,MATCH($D31,InputOutput!$D$71:$D$80,0)))</f>
        <v/>
      </c>
      <c r="K31" s="266" t="str">
        <f t="shared" si="2"/>
        <v/>
      </c>
      <c r="L31" s="266" t="str">
        <f t="shared" si="3"/>
        <v/>
      </c>
      <c r="M31" s="683" t="str">
        <f>IF($E31="","",INDEX(Summary_Processes!$AG$162:$AG$520,MATCH($D31,Summary_Processes!$D$162:$D$520,0)))</f>
        <v/>
      </c>
      <c r="N31" s="266" t="str">
        <f>IF(D31="","",INDEX(D_Processes!T:T,MATCH(CONST_CNTR_ElecEFMethod&amp;D31,D_Processes!R:R,0)))</f>
        <v/>
      </c>
      <c r="O31" s="266" t="str">
        <f>IF(OR($D31="",$D31=CONST_NA),"",INDEX(InputOutput!$AO$71:$AO$80,MATCH($D31,InputOutput!$D$71:$D$80,0)))</f>
        <v/>
      </c>
      <c r="P31" s="469"/>
      <c r="Q31" s="469"/>
      <c r="R31" s="756"/>
      <c r="S31" s="756"/>
      <c r="T31" s="756"/>
      <c r="U31" s="756"/>
      <c r="V31" s="756"/>
      <c r="W31" s="756"/>
      <c r="X31" s="756"/>
      <c r="Y31" s="756"/>
      <c r="Z31" s="756"/>
      <c r="AA31" s="756"/>
      <c r="AB31" s="470"/>
      <c r="AC31" s="470"/>
      <c r="AD31" s="470"/>
      <c r="AE31" s="470"/>
      <c r="AF31" s="470"/>
      <c r="AG31" s="470"/>
      <c r="AH31" s="470"/>
      <c r="AI31" s="470"/>
      <c r="AJ31" s="470"/>
      <c r="AK31" s="470"/>
      <c r="AL31" s="471"/>
      <c r="AM31" s="472"/>
      <c r="AN31" s="473" t="str">
        <f t="shared" si="13"/>
        <v/>
      </c>
      <c r="AO31" s="474" t="str">
        <f t="shared" si="4"/>
        <v/>
      </c>
      <c r="AP31" s="475"/>
      <c r="AQ31" s="687" t="str">
        <f t="shared" si="5"/>
        <v/>
      </c>
      <c r="AR31" s="476"/>
      <c r="AS31" s="474" t="str">
        <f t="shared" si="6"/>
        <v/>
      </c>
      <c r="AT31" s="471"/>
      <c r="AU31" s="472"/>
      <c r="AV31" s="473" t="str">
        <f t="shared" si="14"/>
        <v/>
      </c>
      <c r="AW31" s="474" t="str">
        <f t="shared" si="15"/>
        <v/>
      </c>
      <c r="AX31" s="476"/>
      <c r="AY31" s="474" t="str">
        <f t="shared" si="16"/>
        <v/>
      </c>
      <c r="AZ31" s="477" t="str">
        <f t="shared" si="7"/>
        <v/>
      </c>
      <c r="BA31" s="478" t="str">
        <f t="shared" si="17"/>
        <v/>
      </c>
      <c r="BD31" s="279" t="str">
        <f t="shared" si="8"/>
        <v/>
      </c>
      <c r="BG31" s="279" t="b">
        <f t="shared" si="18"/>
        <v>0</v>
      </c>
      <c r="BI31" s="279" t="str">
        <f t="shared" si="9"/>
        <v>n.a.</v>
      </c>
      <c r="BK31" s="517" t="str">
        <f t="shared" si="10"/>
        <v/>
      </c>
      <c r="BL31" s="517" t="str">
        <f t="shared" si="11"/>
        <v/>
      </c>
      <c r="BM31" s="517" t="str">
        <f t="shared" si="19"/>
        <v/>
      </c>
      <c r="BN31" s="517" t="str">
        <f t="shared" si="12"/>
        <v/>
      </c>
    </row>
    <row r="32" spans="2:66" ht="12.75" customHeight="1" x14ac:dyDescent="0.35">
      <c r="B32" s="278"/>
      <c r="C32" s="259">
        <v>23</v>
      </c>
      <c r="D32" s="468"/>
      <c r="E32" s="467" t="str">
        <f t="shared" si="0"/>
        <v/>
      </c>
      <c r="F32" s="733"/>
      <c r="G32" s="716" t="str">
        <f t="shared" si="1"/>
        <v/>
      </c>
      <c r="H32" s="468"/>
      <c r="I32" s="266" t="str">
        <f>IF(OR($D32="",$D32=CONST_NA),"",INDEX(InputOutput!$AK$71:$AK$80,MATCH($D32,InputOutput!$D$71:$D$80,0)))</f>
        <v/>
      </c>
      <c r="J32" s="266" t="str">
        <f>IF(OR($D32="",$D32=CONST_NA),"",INDEX(InputOutput!$AM$71:$AM$80,MATCH($D32,InputOutput!$D$71:$D$80,0)))</f>
        <v/>
      </c>
      <c r="K32" s="266" t="str">
        <f t="shared" si="2"/>
        <v/>
      </c>
      <c r="L32" s="266" t="str">
        <f t="shared" si="3"/>
        <v/>
      </c>
      <c r="M32" s="683" t="str">
        <f>IF($E32="","",INDEX(Summary_Processes!$AG$162:$AG$520,MATCH($D32,Summary_Processes!$D$162:$D$520,0)))</f>
        <v/>
      </c>
      <c r="N32" s="266" t="str">
        <f>IF(D32="","",INDEX(D_Processes!T:T,MATCH(CONST_CNTR_ElecEFMethod&amp;D32,D_Processes!R:R,0)))</f>
        <v/>
      </c>
      <c r="O32" s="266" t="str">
        <f>IF(OR($D32="",$D32=CONST_NA),"",INDEX(InputOutput!$AO$71:$AO$80,MATCH($D32,InputOutput!$D$71:$D$80,0)))</f>
        <v/>
      </c>
      <c r="P32" s="469"/>
      <c r="Q32" s="469"/>
      <c r="R32" s="756"/>
      <c r="S32" s="756"/>
      <c r="T32" s="756"/>
      <c r="U32" s="756"/>
      <c r="V32" s="756"/>
      <c r="W32" s="756"/>
      <c r="X32" s="756"/>
      <c r="Y32" s="756"/>
      <c r="Z32" s="756"/>
      <c r="AA32" s="756"/>
      <c r="AB32" s="470"/>
      <c r="AC32" s="470"/>
      <c r="AD32" s="470"/>
      <c r="AE32" s="470"/>
      <c r="AF32" s="470"/>
      <c r="AG32" s="470"/>
      <c r="AH32" s="470"/>
      <c r="AI32" s="470"/>
      <c r="AJ32" s="470"/>
      <c r="AK32" s="470"/>
      <c r="AL32" s="471"/>
      <c r="AM32" s="472"/>
      <c r="AN32" s="473" t="str">
        <f t="shared" si="13"/>
        <v/>
      </c>
      <c r="AO32" s="474" t="str">
        <f t="shared" si="4"/>
        <v/>
      </c>
      <c r="AP32" s="475"/>
      <c r="AQ32" s="687" t="str">
        <f t="shared" si="5"/>
        <v/>
      </c>
      <c r="AR32" s="476"/>
      <c r="AS32" s="474" t="str">
        <f t="shared" si="6"/>
        <v/>
      </c>
      <c r="AT32" s="471"/>
      <c r="AU32" s="472"/>
      <c r="AV32" s="473" t="str">
        <f t="shared" si="14"/>
        <v/>
      </c>
      <c r="AW32" s="474" t="str">
        <f t="shared" si="15"/>
        <v/>
      </c>
      <c r="AX32" s="476"/>
      <c r="AY32" s="474" t="str">
        <f t="shared" si="16"/>
        <v/>
      </c>
      <c r="AZ32" s="477" t="str">
        <f t="shared" si="7"/>
        <v/>
      </c>
      <c r="BA32" s="478" t="str">
        <f t="shared" si="17"/>
        <v/>
      </c>
      <c r="BD32" s="279" t="str">
        <f t="shared" si="8"/>
        <v/>
      </c>
      <c r="BG32" s="279" t="b">
        <f t="shared" si="18"/>
        <v>0</v>
      </c>
      <c r="BI32" s="279" t="str">
        <f t="shared" si="9"/>
        <v>n.a.</v>
      </c>
      <c r="BK32" s="517" t="str">
        <f t="shared" si="10"/>
        <v/>
      </c>
      <c r="BL32" s="517" t="str">
        <f t="shared" si="11"/>
        <v/>
      </c>
      <c r="BM32" s="517" t="str">
        <f t="shared" si="19"/>
        <v/>
      </c>
      <c r="BN32" s="517" t="str">
        <f t="shared" si="12"/>
        <v/>
      </c>
    </row>
    <row r="33" spans="2:66" ht="12.75" customHeight="1" x14ac:dyDescent="0.35">
      <c r="B33" s="278"/>
      <c r="C33" s="259">
        <v>24</v>
      </c>
      <c r="D33" s="468"/>
      <c r="E33" s="467" t="str">
        <f t="shared" si="0"/>
        <v/>
      </c>
      <c r="F33" s="733"/>
      <c r="G33" s="716" t="str">
        <f t="shared" si="1"/>
        <v/>
      </c>
      <c r="H33" s="468"/>
      <c r="I33" s="266" t="str">
        <f>IF(OR($D33="",$D33=CONST_NA),"",INDEX(InputOutput!$AK$71:$AK$80,MATCH($D33,InputOutput!$D$71:$D$80,0)))</f>
        <v/>
      </c>
      <c r="J33" s="266" t="str">
        <f>IF(OR($D33="",$D33=CONST_NA),"",INDEX(InputOutput!$AM$71:$AM$80,MATCH($D33,InputOutput!$D$71:$D$80,0)))</f>
        <v/>
      </c>
      <c r="K33" s="266" t="str">
        <f t="shared" si="2"/>
        <v/>
      </c>
      <c r="L33" s="266" t="str">
        <f t="shared" si="3"/>
        <v/>
      </c>
      <c r="M33" s="683" t="str">
        <f>IF($E33="","",INDEX(Summary_Processes!$AG$162:$AG$520,MATCH($D33,Summary_Processes!$D$162:$D$520,0)))</f>
        <v/>
      </c>
      <c r="N33" s="266" t="str">
        <f>IF(D33="","",INDEX(D_Processes!T:T,MATCH(CONST_CNTR_ElecEFMethod&amp;D33,D_Processes!R:R,0)))</f>
        <v/>
      </c>
      <c r="O33" s="266" t="str">
        <f>IF(OR($D33="",$D33=CONST_NA),"",INDEX(InputOutput!$AO$71:$AO$80,MATCH($D33,InputOutput!$D$71:$D$80,0)))</f>
        <v/>
      </c>
      <c r="P33" s="469"/>
      <c r="Q33" s="469"/>
      <c r="R33" s="756"/>
      <c r="S33" s="756"/>
      <c r="T33" s="756"/>
      <c r="U33" s="756"/>
      <c r="V33" s="756"/>
      <c r="W33" s="756"/>
      <c r="X33" s="756"/>
      <c r="Y33" s="756"/>
      <c r="Z33" s="756"/>
      <c r="AA33" s="756"/>
      <c r="AB33" s="470"/>
      <c r="AC33" s="470"/>
      <c r="AD33" s="470"/>
      <c r="AE33" s="470"/>
      <c r="AF33" s="470"/>
      <c r="AG33" s="470"/>
      <c r="AH33" s="470"/>
      <c r="AI33" s="470"/>
      <c r="AJ33" s="470"/>
      <c r="AK33" s="470"/>
      <c r="AL33" s="471"/>
      <c r="AM33" s="472"/>
      <c r="AN33" s="473" t="str">
        <f t="shared" si="13"/>
        <v/>
      </c>
      <c r="AO33" s="474" t="str">
        <f t="shared" si="4"/>
        <v/>
      </c>
      <c r="AP33" s="475"/>
      <c r="AQ33" s="687" t="str">
        <f t="shared" si="5"/>
        <v/>
      </c>
      <c r="AR33" s="476"/>
      <c r="AS33" s="474" t="str">
        <f t="shared" si="6"/>
        <v/>
      </c>
      <c r="AT33" s="471"/>
      <c r="AU33" s="472"/>
      <c r="AV33" s="473" t="str">
        <f t="shared" si="14"/>
        <v/>
      </c>
      <c r="AW33" s="474" t="str">
        <f t="shared" si="15"/>
        <v/>
      </c>
      <c r="AX33" s="476"/>
      <c r="AY33" s="474" t="str">
        <f t="shared" si="16"/>
        <v/>
      </c>
      <c r="AZ33" s="477" t="str">
        <f t="shared" si="7"/>
        <v/>
      </c>
      <c r="BA33" s="478" t="str">
        <f t="shared" si="17"/>
        <v/>
      </c>
      <c r="BD33" s="279" t="str">
        <f t="shared" si="8"/>
        <v/>
      </c>
      <c r="BG33" s="279" t="b">
        <f t="shared" si="18"/>
        <v>0</v>
      </c>
      <c r="BI33" s="279" t="str">
        <f t="shared" si="9"/>
        <v>n.a.</v>
      </c>
      <c r="BK33" s="517" t="str">
        <f t="shared" si="10"/>
        <v/>
      </c>
      <c r="BL33" s="517" t="str">
        <f t="shared" si="11"/>
        <v/>
      </c>
      <c r="BM33" s="517" t="str">
        <f t="shared" si="19"/>
        <v/>
      </c>
      <c r="BN33" s="517" t="str">
        <f t="shared" si="12"/>
        <v/>
      </c>
    </row>
    <row r="34" spans="2:66" ht="12.75" customHeight="1" x14ac:dyDescent="0.35">
      <c r="B34" s="278"/>
      <c r="C34" s="259">
        <v>25</v>
      </c>
      <c r="D34" s="468"/>
      <c r="E34" s="467" t="str">
        <f t="shared" si="0"/>
        <v/>
      </c>
      <c r="F34" s="733"/>
      <c r="G34" s="716" t="str">
        <f t="shared" si="1"/>
        <v/>
      </c>
      <c r="H34" s="468"/>
      <c r="I34" s="266" t="str">
        <f>IF(OR($D34="",$D34=CONST_NA),"",INDEX(InputOutput!$AK$71:$AK$80,MATCH($D34,InputOutput!$D$71:$D$80,0)))</f>
        <v/>
      </c>
      <c r="J34" s="266" t="str">
        <f>IF(OR($D34="",$D34=CONST_NA),"",INDEX(InputOutput!$AM$71:$AM$80,MATCH($D34,InputOutput!$D$71:$D$80,0)))</f>
        <v/>
      </c>
      <c r="K34" s="266" t="str">
        <f t="shared" si="2"/>
        <v/>
      </c>
      <c r="L34" s="266" t="str">
        <f t="shared" si="3"/>
        <v/>
      </c>
      <c r="M34" s="683" t="str">
        <f>IF($E34="","",INDEX(Summary_Processes!$AG$162:$AG$520,MATCH($D34,Summary_Processes!$D$162:$D$520,0)))</f>
        <v/>
      </c>
      <c r="N34" s="266" t="str">
        <f>IF(D34="","",INDEX(D_Processes!T:T,MATCH(CONST_CNTR_ElecEFMethod&amp;D34,D_Processes!R:R,0)))</f>
        <v/>
      </c>
      <c r="O34" s="266" t="str">
        <f>IF(OR($D34="",$D34=CONST_NA),"",INDEX(InputOutput!$AO$71:$AO$80,MATCH($D34,InputOutput!$D$71:$D$80,0)))</f>
        <v/>
      </c>
      <c r="P34" s="469"/>
      <c r="Q34" s="469"/>
      <c r="R34" s="756"/>
      <c r="S34" s="756"/>
      <c r="T34" s="756"/>
      <c r="U34" s="756"/>
      <c r="V34" s="756"/>
      <c r="W34" s="756"/>
      <c r="X34" s="756"/>
      <c r="Y34" s="756"/>
      <c r="Z34" s="756"/>
      <c r="AA34" s="756"/>
      <c r="AB34" s="470"/>
      <c r="AC34" s="470"/>
      <c r="AD34" s="470"/>
      <c r="AE34" s="470"/>
      <c r="AF34" s="470"/>
      <c r="AG34" s="470"/>
      <c r="AH34" s="470"/>
      <c r="AI34" s="470"/>
      <c r="AJ34" s="470"/>
      <c r="AK34" s="470"/>
      <c r="AL34" s="471"/>
      <c r="AM34" s="472"/>
      <c r="AN34" s="473" t="str">
        <f t="shared" si="13"/>
        <v/>
      </c>
      <c r="AO34" s="474" t="str">
        <f t="shared" si="4"/>
        <v/>
      </c>
      <c r="AP34" s="475"/>
      <c r="AQ34" s="687" t="str">
        <f t="shared" si="5"/>
        <v/>
      </c>
      <c r="AR34" s="476"/>
      <c r="AS34" s="474" t="str">
        <f t="shared" si="6"/>
        <v/>
      </c>
      <c r="AT34" s="471"/>
      <c r="AU34" s="472"/>
      <c r="AV34" s="473" t="str">
        <f t="shared" si="14"/>
        <v/>
      </c>
      <c r="AW34" s="474" t="str">
        <f t="shared" si="15"/>
        <v/>
      </c>
      <c r="AX34" s="476"/>
      <c r="AY34" s="474" t="str">
        <f t="shared" si="16"/>
        <v/>
      </c>
      <c r="AZ34" s="477" t="str">
        <f t="shared" si="7"/>
        <v/>
      </c>
      <c r="BA34" s="478" t="str">
        <f t="shared" si="17"/>
        <v/>
      </c>
      <c r="BD34" s="279" t="str">
        <f t="shared" si="8"/>
        <v/>
      </c>
      <c r="BG34" s="279" t="b">
        <f t="shared" si="18"/>
        <v>0</v>
      </c>
      <c r="BI34" s="279" t="str">
        <f t="shared" si="9"/>
        <v>n.a.</v>
      </c>
      <c r="BK34" s="517" t="str">
        <f t="shared" si="10"/>
        <v/>
      </c>
      <c r="BL34" s="517" t="str">
        <f t="shared" si="11"/>
        <v/>
      </c>
      <c r="BM34" s="517" t="str">
        <f t="shared" si="19"/>
        <v/>
      </c>
      <c r="BN34" s="517" t="str">
        <f t="shared" si="12"/>
        <v/>
      </c>
    </row>
    <row r="35" spans="2:66" ht="12.75" customHeight="1" x14ac:dyDescent="0.35">
      <c r="B35" s="278"/>
      <c r="C35" s="259">
        <v>26</v>
      </c>
      <c r="D35" s="468"/>
      <c r="E35" s="467" t="str">
        <f t="shared" si="0"/>
        <v/>
      </c>
      <c r="F35" s="733"/>
      <c r="G35" s="716" t="str">
        <f t="shared" si="1"/>
        <v/>
      </c>
      <c r="H35" s="468"/>
      <c r="I35" s="266" t="str">
        <f>IF(OR($D35="",$D35=CONST_NA),"",INDEX(InputOutput!$AK$71:$AK$80,MATCH($D35,InputOutput!$D$71:$D$80,0)))</f>
        <v/>
      </c>
      <c r="J35" s="266" t="str">
        <f>IF(OR($D35="",$D35=CONST_NA),"",INDEX(InputOutput!$AM$71:$AM$80,MATCH($D35,InputOutput!$D$71:$D$80,0)))</f>
        <v/>
      </c>
      <c r="K35" s="266" t="str">
        <f t="shared" si="2"/>
        <v/>
      </c>
      <c r="L35" s="266" t="str">
        <f t="shared" si="3"/>
        <v/>
      </c>
      <c r="M35" s="683" t="str">
        <f>IF($E35="","",INDEX(Summary_Processes!$AG$162:$AG$520,MATCH($D35,Summary_Processes!$D$162:$D$520,0)))</f>
        <v/>
      </c>
      <c r="N35" s="266" t="str">
        <f>IF(D35="","",INDEX(D_Processes!T:T,MATCH(CONST_CNTR_ElecEFMethod&amp;D35,D_Processes!R:R,0)))</f>
        <v/>
      </c>
      <c r="O35" s="266" t="str">
        <f>IF(OR($D35="",$D35=CONST_NA),"",INDEX(InputOutput!$AO$71:$AO$80,MATCH($D35,InputOutput!$D$71:$D$80,0)))</f>
        <v/>
      </c>
      <c r="P35" s="469"/>
      <c r="Q35" s="469"/>
      <c r="R35" s="756"/>
      <c r="S35" s="756"/>
      <c r="T35" s="756"/>
      <c r="U35" s="756"/>
      <c r="V35" s="756"/>
      <c r="W35" s="756"/>
      <c r="X35" s="756"/>
      <c r="Y35" s="756"/>
      <c r="Z35" s="756"/>
      <c r="AA35" s="756"/>
      <c r="AB35" s="470"/>
      <c r="AC35" s="470"/>
      <c r="AD35" s="470"/>
      <c r="AE35" s="470"/>
      <c r="AF35" s="470"/>
      <c r="AG35" s="470"/>
      <c r="AH35" s="470"/>
      <c r="AI35" s="470"/>
      <c r="AJ35" s="470"/>
      <c r="AK35" s="470"/>
      <c r="AL35" s="471"/>
      <c r="AM35" s="472"/>
      <c r="AN35" s="473" t="str">
        <f t="shared" si="13"/>
        <v/>
      </c>
      <c r="AO35" s="474" t="str">
        <f t="shared" si="4"/>
        <v/>
      </c>
      <c r="AP35" s="475"/>
      <c r="AQ35" s="687" t="str">
        <f t="shared" si="5"/>
        <v/>
      </c>
      <c r="AR35" s="476"/>
      <c r="AS35" s="474" t="str">
        <f t="shared" si="6"/>
        <v/>
      </c>
      <c r="AT35" s="471"/>
      <c r="AU35" s="472"/>
      <c r="AV35" s="473" t="str">
        <f t="shared" si="14"/>
        <v/>
      </c>
      <c r="AW35" s="474" t="str">
        <f t="shared" si="15"/>
        <v/>
      </c>
      <c r="AX35" s="476"/>
      <c r="AY35" s="474" t="str">
        <f t="shared" si="16"/>
        <v/>
      </c>
      <c r="AZ35" s="477" t="str">
        <f t="shared" si="7"/>
        <v/>
      </c>
      <c r="BA35" s="478" t="str">
        <f t="shared" si="17"/>
        <v/>
      </c>
      <c r="BD35" s="279" t="str">
        <f t="shared" si="8"/>
        <v/>
      </c>
      <c r="BG35" s="279" t="b">
        <f t="shared" si="18"/>
        <v>0</v>
      </c>
      <c r="BI35" s="279" t="str">
        <f t="shared" si="9"/>
        <v>n.a.</v>
      </c>
      <c r="BK35" s="517" t="str">
        <f t="shared" si="10"/>
        <v/>
      </c>
      <c r="BL35" s="517" t="str">
        <f t="shared" si="11"/>
        <v/>
      </c>
      <c r="BM35" s="517" t="str">
        <f t="shared" si="19"/>
        <v/>
      </c>
      <c r="BN35" s="517" t="str">
        <f t="shared" si="12"/>
        <v/>
      </c>
    </row>
    <row r="36" spans="2:66" ht="12.75" customHeight="1" x14ac:dyDescent="0.35">
      <c r="B36" s="278"/>
      <c r="C36" s="259">
        <v>27</v>
      </c>
      <c r="D36" s="468"/>
      <c r="E36" s="467" t="str">
        <f t="shared" si="0"/>
        <v/>
      </c>
      <c r="F36" s="733"/>
      <c r="G36" s="716" t="str">
        <f t="shared" si="1"/>
        <v/>
      </c>
      <c r="H36" s="468"/>
      <c r="I36" s="266" t="str">
        <f>IF(OR($D36="",$D36=CONST_NA),"",INDEX(InputOutput!$AK$71:$AK$80,MATCH($D36,InputOutput!$D$71:$D$80,0)))</f>
        <v/>
      </c>
      <c r="J36" s="266" t="str">
        <f>IF(OR($D36="",$D36=CONST_NA),"",INDEX(InputOutput!$AM$71:$AM$80,MATCH($D36,InputOutput!$D$71:$D$80,0)))</f>
        <v/>
      </c>
      <c r="K36" s="266" t="str">
        <f t="shared" si="2"/>
        <v/>
      </c>
      <c r="L36" s="266" t="str">
        <f t="shared" si="3"/>
        <v/>
      </c>
      <c r="M36" s="683" t="str">
        <f>IF($E36="","",INDEX(Summary_Processes!$AG$162:$AG$520,MATCH($D36,Summary_Processes!$D$162:$D$520,0)))</f>
        <v/>
      </c>
      <c r="N36" s="266" t="str">
        <f>IF(D36="","",INDEX(D_Processes!T:T,MATCH(CONST_CNTR_ElecEFMethod&amp;D36,D_Processes!R:R,0)))</f>
        <v/>
      </c>
      <c r="O36" s="266" t="str">
        <f>IF(OR($D36="",$D36=CONST_NA),"",INDEX(InputOutput!$AO$71:$AO$80,MATCH($D36,InputOutput!$D$71:$D$80,0)))</f>
        <v/>
      </c>
      <c r="P36" s="469"/>
      <c r="Q36" s="469"/>
      <c r="R36" s="756"/>
      <c r="S36" s="756"/>
      <c r="T36" s="756"/>
      <c r="U36" s="756"/>
      <c r="V36" s="756"/>
      <c r="W36" s="756"/>
      <c r="X36" s="756"/>
      <c r="Y36" s="756"/>
      <c r="Z36" s="756"/>
      <c r="AA36" s="756"/>
      <c r="AB36" s="470"/>
      <c r="AC36" s="470"/>
      <c r="AD36" s="470"/>
      <c r="AE36" s="470"/>
      <c r="AF36" s="470"/>
      <c r="AG36" s="470"/>
      <c r="AH36" s="470"/>
      <c r="AI36" s="470"/>
      <c r="AJ36" s="470"/>
      <c r="AK36" s="470"/>
      <c r="AL36" s="471"/>
      <c r="AM36" s="472"/>
      <c r="AN36" s="473" t="str">
        <f t="shared" si="13"/>
        <v/>
      </c>
      <c r="AO36" s="474" t="str">
        <f t="shared" si="4"/>
        <v/>
      </c>
      <c r="AP36" s="475"/>
      <c r="AQ36" s="687" t="str">
        <f t="shared" si="5"/>
        <v/>
      </c>
      <c r="AR36" s="476"/>
      <c r="AS36" s="474" t="str">
        <f t="shared" si="6"/>
        <v/>
      </c>
      <c r="AT36" s="471"/>
      <c r="AU36" s="472"/>
      <c r="AV36" s="473" t="str">
        <f t="shared" si="14"/>
        <v/>
      </c>
      <c r="AW36" s="474" t="str">
        <f t="shared" si="15"/>
        <v/>
      </c>
      <c r="AX36" s="476"/>
      <c r="AY36" s="474" t="str">
        <f t="shared" si="16"/>
        <v/>
      </c>
      <c r="AZ36" s="477" t="str">
        <f t="shared" si="7"/>
        <v/>
      </c>
      <c r="BA36" s="478" t="str">
        <f t="shared" si="17"/>
        <v/>
      </c>
      <c r="BD36" s="279" t="str">
        <f t="shared" si="8"/>
        <v/>
      </c>
      <c r="BG36" s="279" t="b">
        <f t="shared" si="18"/>
        <v>0</v>
      </c>
      <c r="BI36" s="279" t="str">
        <f t="shared" si="9"/>
        <v>n.a.</v>
      </c>
      <c r="BK36" s="517" t="str">
        <f t="shared" si="10"/>
        <v/>
      </c>
      <c r="BL36" s="517" t="str">
        <f t="shared" si="11"/>
        <v/>
      </c>
      <c r="BM36" s="517" t="str">
        <f t="shared" si="19"/>
        <v/>
      </c>
      <c r="BN36" s="517" t="str">
        <f t="shared" si="12"/>
        <v/>
      </c>
    </row>
    <row r="37" spans="2:66" ht="12.75" customHeight="1" x14ac:dyDescent="0.35">
      <c r="B37" s="278"/>
      <c r="C37" s="259">
        <v>28</v>
      </c>
      <c r="D37" s="468"/>
      <c r="E37" s="467" t="str">
        <f t="shared" si="0"/>
        <v/>
      </c>
      <c r="F37" s="733"/>
      <c r="G37" s="716" t="str">
        <f t="shared" si="1"/>
        <v/>
      </c>
      <c r="H37" s="468"/>
      <c r="I37" s="266" t="str">
        <f>IF(OR($D37="",$D37=CONST_NA),"",INDEX(InputOutput!$AK$71:$AK$80,MATCH($D37,InputOutput!$D$71:$D$80,0)))</f>
        <v/>
      </c>
      <c r="J37" s="266" t="str">
        <f>IF(OR($D37="",$D37=CONST_NA),"",INDEX(InputOutput!$AM$71:$AM$80,MATCH($D37,InputOutput!$D$71:$D$80,0)))</f>
        <v/>
      </c>
      <c r="K37" s="266" t="str">
        <f t="shared" si="2"/>
        <v/>
      </c>
      <c r="L37" s="266" t="str">
        <f t="shared" si="3"/>
        <v/>
      </c>
      <c r="M37" s="683" t="str">
        <f>IF($E37="","",INDEX(Summary_Processes!$AG$162:$AG$520,MATCH($D37,Summary_Processes!$D$162:$D$520,0)))</f>
        <v/>
      </c>
      <c r="N37" s="266" t="str">
        <f>IF(D37="","",INDEX(D_Processes!T:T,MATCH(CONST_CNTR_ElecEFMethod&amp;D37,D_Processes!R:R,0)))</f>
        <v/>
      </c>
      <c r="O37" s="266" t="str">
        <f>IF(OR($D37="",$D37=CONST_NA),"",INDEX(InputOutput!$AO$71:$AO$80,MATCH($D37,InputOutput!$D$71:$D$80,0)))</f>
        <v/>
      </c>
      <c r="P37" s="469"/>
      <c r="Q37" s="469"/>
      <c r="R37" s="756"/>
      <c r="S37" s="756"/>
      <c r="T37" s="756"/>
      <c r="U37" s="756"/>
      <c r="V37" s="756"/>
      <c r="W37" s="756"/>
      <c r="X37" s="756"/>
      <c r="Y37" s="756"/>
      <c r="Z37" s="756"/>
      <c r="AA37" s="756"/>
      <c r="AB37" s="470"/>
      <c r="AC37" s="470"/>
      <c r="AD37" s="470"/>
      <c r="AE37" s="470"/>
      <c r="AF37" s="470"/>
      <c r="AG37" s="470"/>
      <c r="AH37" s="470"/>
      <c r="AI37" s="470"/>
      <c r="AJ37" s="470"/>
      <c r="AK37" s="470"/>
      <c r="AL37" s="471"/>
      <c r="AM37" s="472"/>
      <c r="AN37" s="473" t="str">
        <f t="shared" si="13"/>
        <v/>
      </c>
      <c r="AO37" s="474" t="str">
        <f t="shared" si="4"/>
        <v/>
      </c>
      <c r="AP37" s="475"/>
      <c r="AQ37" s="687" t="str">
        <f t="shared" si="5"/>
        <v/>
      </c>
      <c r="AR37" s="476"/>
      <c r="AS37" s="474" t="str">
        <f t="shared" si="6"/>
        <v/>
      </c>
      <c r="AT37" s="471"/>
      <c r="AU37" s="472"/>
      <c r="AV37" s="473" t="str">
        <f t="shared" si="14"/>
        <v/>
      </c>
      <c r="AW37" s="474" t="str">
        <f t="shared" si="15"/>
        <v/>
      </c>
      <c r="AX37" s="476"/>
      <c r="AY37" s="474" t="str">
        <f t="shared" si="16"/>
        <v/>
      </c>
      <c r="AZ37" s="477" t="str">
        <f t="shared" si="7"/>
        <v/>
      </c>
      <c r="BA37" s="478" t="str">
        <f t="shared" si="17"/>
        <v/>
      </c>
      <c r="BD37" s="279" t="str">
        <f t="shared" si="8"/>
        <v/>
      </c>
      <c r="BG37" s="279" t="b">
        <f t="shared" si="18"/>
        <v>0</v>
      </c>
      <c r="BI37" s="279" t="str">
        <f t="shared" si="9"/>
        <v>n.a.</v>
      </c>
      <c r="BK37" s="517" t="str">
        <f t="shared" si="10"/>
        <v/>
      </c>
      <c r="BL37" s="517" t="str">
        <f t="shared" si="11"/>
        <v/>
      </c>
      <c r="BM37" s="517" t="str">
        <f t="shared" si="19"/>
        <v/>
      </c>
      <c r="BN37" s="517" t="str">
        <f t="shared" si="12"/>
        <v/>
      </c>
    </row>
    <row r="38" spans="2:66" ht="12.75" customHeight="1" x14ac:dyDescent="0.35">
      <c r="B38" s="278"/>
      <c r="C38" s="259">
        <v>29</v>
      </c>
      <c r="D38" s="468"/>
      <c r="E38" s="467" t="str">
        <f t="shared" si="0"/>
        <v/>
      </c>
      <c r="F38" s="733"/>
      <c r="G38" s="716" t="str">
        <f t="shared" si="1"/>
        <v/>
      </c>
      <c r="H38" s="468"/>
      <c r="I38" s="266" t="str">
        <f>IF(OR($D38="",$D38=CONST_NA),"",INDEX(InputOutput!$AK$71:$AK$80,MATCH($D38,InputOutput!$D$71:$D$80,0)))</f>
        <v/>
      </c>
      <c r="J38" s="266" t="str">
        <f>IF(OR($D38="",$D38=CONST_NA),"",INDEX(InputOutput!$AM$71:$AM$80,MATCH($D38,InputOutput!$D$71:$D$80,0)))</f>
        <v/>
      </c>
      <c r="K38" s="266" t="str">
        <f t="shared" si="2"/>
        <v/>
      </c>
      <c r="L38" s="266" t="str">
        <f t="shared" si="3"/>
        <v/>
      </c>
      <c r="M38" s="683" t="str">
        <f>IF($E38="","",INDEX(Summary_Processes!$AG$162:$AG$520,MATCH($D38,Summary_Processes!$D$162:$D$520,0)))</f>
        <v/>
      </c>
      <c r="N38" s="266" t="str">
        <f>IF(D38="","",INDEX(D_Processes!T:T,MATCH(CONST_CNTR_ElecEFMethod&amp;D38,D_Processes!R:R,0)))</f>
        <v/>
      </c>
      <c r="O38" s="266" t="str">
        <f>IF(OR($D38="",$D38=CONST_NA),"",INDEX(InputOutput!$AO$71:$AO$80,MATCH($D38,InputOutput!$D$71:$D$80,0)))</f>
        <v/>
      </c>
      <c r="P38" s="469"/>
      <c r="Q38" s="469"/>
      <c r="R38" s="756"/>
      <c r="S38" s="756"/>
      <c r="T38" s="756"/>
      <c r="U38" s="756"/>
      <c r="V38" s="756"/>
      <c r="W38" s="756"/>
      <c r="X38" s="756"/>
      <c r="Y38" s="756"/>
      <c r="Z38" s="756"/>
      <c r="AA38" s="756"/>
      <c r="AB38" s="470"/>
      <c r="AC38" s="470"/>
      <c r="AD38" s="470"/>
      <c r="AE38" s="470"/>
      <c r="AF38" s="470"/>
      <c r="AG38" s="470"/>
      <c r="AH38" s="470"/>
      <c r="AI38" s="470"/>
      <c r="AJ38" s="470"/>
      <c r="AK38" s="470"/>
      <c r="AL38" s="471"/>
      <c r="AM38" s="472"/>
      <c r="AN38" s="473" t="str">
        <f t="shared" si="13"/>
        <v/>
      </c>
      <c r="AO38" s="474" t="str">
        <f t="shared" si="4"/>
        <v/>
      </c>
      <c r="AP38" s="475"/>
      <c r="AQ38" s="687" t="str">
        <f t="shared" si="5"/>
        <v/>
      </c>
      <c r="AR38" s="476"/>
      <c r="AS38" s="474" t="str">
        <f t="shared" si="6"/>
        <v/>
      </c>
      <c r="AT38" s="471"/>
      <c r="AU38" s="472"/>
      <c r="AV38" s="473" t="str">
        <f t="shared" si="14"/>
        <v/>
      </c>
      <c r="AW38" s="474" t="str">
        <f t="shared" si="15"/>
        <v/>
      </c>
      <c r="AX38" s="476"/>
      <c r="AY38" s="474" t="str">
        <f t="shared" si="16"/>
        <v/>
      </c>
      <c r="AZ38" s="477" t="str">
        <f t="shared" si="7"/>
        <v/>
      </c>
      <c r="BA38" s="478" t="str">
        <f t="shared" si="17"/>
        <v/>
      </c>
      <c r="BD38" s="279" t="str">
        <f t="shared" si="8"/>
        <v/>
      </c>
      <c r="BG38" s="279" t="b">
        <f t="shared" si="18"/>
        <v>0</v>
      </c>
      <c r="BI38" s="279" t="str">
        <f t="shared" si="9"/>
        <v>n.a.</v>
      </c>
      <c r="BK38" s="517" t="str">
        <f t="shared" si="10"/>
        <v/>
      </c>
      <c r="BL38" s="517" t="str">
        <f t="shared" si="11"/>
        <v/>
      </c>
      <c r="BM38" s="517" t="str">
        <f t="shared" si="19"/>
        <v/>
      </c>
      <c r="BN38" s="517" t="str">
        <f t="shared" si="12"/>
        <v/>
      </c>
    </row>
    <row r="39" spans="2:66" ht="12.75" customHeight="1" x14ac:dyDescent="0.35">
      <c r="B39" s="278"/>
      <c r="C39" s="259">
        <v>30</v>
      </c>
      <c r="D39" s="468"/>
      <c r="E39" s="467" t="str">
        <f t="shared" si="0"/>
        <v/>
      </c>
      <c r="F39" s="733"/>
      <c r="G39" s="716" t="str">
        <f t="shared" si="1"/>
        <v/>
      </c>
      <c r="H39" s="468"/>
      <c r="I39" s="266" t="str">
        <f>IF(OR($D39="",$D39=CONST_NA),"",INDEX(InputOutput!$AK$71:$AK$80,MATCH($D39,InputOutput!$D$71:$D$80,0)))</f>
        <v/>
      </c>
      <c r="J39" s="266" t="str">
        <f>IF(OR($D39="",$D39=CONST_NA),"",INDEX(InputOutput!$AM$71:$AM$80,MATCH($D39,InputOutput!$D$71:$D$80,0)))</f>
        <v/>
      </c>
      <c r="K39" s="266" t="str">
        <f t="shared" si="2"/>
        <v/>
      </c>
      <c r="L39" s="266" t="str">
        <f t="shared" si="3"/>
        <v/>
      </c>
      <c r="M39" s="683" t="str">
        <f>IF($E39="","",INDEX(Summary_Processes!$AG$162:$AG$520,MATCH($D39,Summary_Processes!$D$162:$D$520,0)))</f>
        <v/>
      </c>
      <c r="N39" s="266" t="str">
        <f>IF(D39="","",INDEX(D_Processes!T:T,MATCH(CONST_CNTR_ElecEFMethod&amp;D39,D_Processes!R:R,0)))</f>
        <v/>
      </c>
      <c r="O39" s="266" t="str">
        <f>IF(OR($D39="",$D39=CONST_NA),"",INDEX(InputOutput!$AO$71:$AO$80,MATCH($D39,InputOutput!$D$71:$D$80,0)))</f>
        <v/>
      </c>
      <c r="P39" s="469"/>
      <c r="Q39" s="469"/>
      <c r="R39" s="756"/>
      <c r="S39" s="756"/>
      <c r="T39" s="756"/>
      <c r="U39" s="756"/>
      <c r="V39" s="756"/>
      <c r="W39" s="756"/>
      <c r="X39" s="756"/>
      <c r="Y39" s="756"/>
      <c r="Z39" s="756"/>
      <c r="AA39" s="756"/>
      <c r="AB39" s="470"/>
      <c r="AC39" s="470"/>
      <c r="AD39" s="470"/>
      <c r="AE39" s="470"/>
      <c r="AF39" s="470"/>
      <c r="AG39" s="470"/>
      <c r="AH39" s="470"/>
      <c r="AI39" s="470"/>
      <c r="AJ39" s="470"/>
      <c r="AK39" s="470"/>
      <c r="AL39" s="471"/>
      <c r="AM39" s="472"/>
      <c r="AN39" s="473" t="str">
        <f t="shared" si="13"/>
        <v/>
      </c>
      <c r="AO39" s="474" t="str">
        <f t="shared" si="4"/>
        <v/>
      </c>
      <c r="AP39" s="475"/>
      <c r="AQ39" s="687" t="str">
        <f t="shared" si="5"/>
        <v/>
      </c>
      <c r="AR39" s="476"/>
      <c r="AS39" s="474" t="str">
        <f t="shared" si="6"/>
        <v/>
      </c>
      <c r="AT39" s="471"/>
      <c r="AU39" s="472"/>
      <c r="AV39" s="473" t="str">
        <f t="shared" si="14"/>
        <v/>
      </c>
      <c r="AW39" s="474" t="str">
        <f t="shared" si="15"/>
        <v/>
      </c>
      <c r="AX39" s="476"/>
      <c r="AY39" s="474" t="str">
        <f t="shared" si="16"/>
        <v/>
      </c>
      <c r="AZ39" s="477" t="str">
        <f t="shared" si="7"/>
        <v/>
      </c>
      <c r="BA39" s="478" t="str">
        <f t="shared" si="17"/>
        <v/>
      </c>
      <c r="BD39" s="279" t="str">
        <f t="shared" si="8"/>
        <v/>
      </c>
      <c r="BG39" s="279" t="b">
        <f t="shared" si="18"/>
        <v>0</v>
      </c>
      <c r="BI39" s="279" t="str">
        <f t="shared" si="9"/>
        <v>n.a.</v>
      </c>
      <c r="BK39" s="517" t="str">
        <f t="shared" si="10"/>
        <v/>
      </c>
      <c r="BL39" s="517" t="str">
        <f t="shared" si="11"/>
        <v/>
      </c>
      <c r="BM39" s="517" t="str">
        <f t="shared" si="19"/>
        <v/>
      </c>
      <c r="BN39" s="517" t="str">
        <f t="shared" si="12"/>
        <v/>
      </c>
    </row>
    <row r="40" spans="2:66" ht="12.5" x14ac:dyDescent="0.35">
      <c r="B40" s="278"/>
      <c r="C40" s="259">
        <v>31</v>
      </c>
      <c r="D40" s="468"/>
      <c r="E40" s="467" t="str">
        <f t="shared" ref="E40:E87" si="20">IF(D40="","",INDEX(CNTR_List_ExistProdProc,MATCH(D40,CNTR_List_ExistProdProcNames,0)))</f>
        <v/>
      </c>
      <c r="F40" s="733"/>
      <c r="G40" s="716" t="str">
        <f t="shared" ref="G40:G87" si="21">IF(F40="","",INDEX(CNCodes_ListNames,MATCH(F40,CNCodes_ListKey,0)))</f>
        <v/>
      </c>
      <c r="H40" s="468"/>
      <c r="I40" s="266" t="str">
        <f>IF(OR($D40="",$D40=CONST_NA),"",INDEX(InputOutput!$AK$71:$AK$80,MATCH($D40,InputOutput!$D$71:$D$80,0)))</f>
        <v/>
      </c>
      <c r="J40" s="266" t="str">
        <f>IF(OR($D40="",$D40=CONST_NA),"",INDEX(InputOutput!$AM$71:$AM$80,MATCH($D40,InputOutput!$D$71:$D$80,0)))</f>
        <v/>
      </c>
      <c r="K40" s="266" t="str">
        <f t="shared" si="2"/>
        <v/>
      </c>
      <c r="L40" s="266" t="str">
        <f t="shared" si="3"/>
        <v/>
      </c>
      <c r="M40" s="683" t="str">
        <f>IF($E40="","",INDEX(Summary_Processes!$AG$162:$AG$520,MATCH($D40,Summary_Processes!$D$162:$D$520,0)))</f>
        <v/>
      </c>
      <c r="N40" s="266" t="str">
        <f>IF(D40="","",INDEX(D_Processes!T:T,MATCH(CONST_CNTR_ElecEFMethod&amp;D40,D_Processes!R:R,0)))</f>
        <v/>
      </c>
      <c r="O40" s="266" t="str">
        <f>IF(OR($D40="",$D40=CONST_NA),"",INDEX(InputOutput!$AO$71:$AO$80,MATCH($D40,InputOutput!$D$71:$D$80,0)))</f>
        <v/>
      </c>
      <c r="P40" s="469"/>
      <c r="Q40" s="469"/>
      <c r="R40" s="756"/>
      <c r="S40" s="756"/>
      <c r="T40" s="756"/>
      <c r="U40" s="756"/>
      <c r="V40" s="756"/>
      <c r="W40" s="756"/>
      <c r="X40" s="756"/>
      <c r="Y40" s="756"/>
      <c r="Z40" s="756"/>
      <c r="AA40" s="756"/>
      <c r="AB40" s="470"/>
      <c r="AC40" s="470"/>
      <c r="AD40" s="470"/>
      <c r="AE40" s="470"/>
      <c r="AF40" s="470"/>
      <c r="AG40" s="470"/>
      <c r="AH40" s="470"/>
      <c r="AI40" s="470"/>
      <c r="AJ40" s="470"/>
      <c r="AK40" s="470"/>
      <c r="AL40" s="471"/>
      <c r="AM40" s="472"/>
      <c r="AN40" s="473" t="str">
        <f t="shared" si="13"/>
        <v/>
      </c>
      <c r="AO40" s="474" t="str">
        <f t="shared" si="4"/>
        <v/>
      </c>
      <c r="AP40" s="475"/>
      <c r="AQ40" s="687" t="str">
        <f t="shared" si="5"/>
        <v/>
      </c>
      <c r="AR40" s="476"/>
      <c r="AS40" s="474" t="str">
        <f t="shared" si="6"/>
        <v/>
      </c>
      <c r="AT40" s="471"/>
      <c r="AU40" s="472"/>
      <c r="AV40" s="473" t="str">
        <f t="shared" si="14"/>
        <v/>
      </c>
      <c r="AW40" s="474" t="str">
        <f t="shared" si="15"/>
        <v/>
      </c>
      <c r="AX40" s="476"/>
      <c r="AY40" s="474" t="str">
        <f t="shared" si="16"/>
        <v/>
      </c>
      <c r="AZ40" s="477" t="str">
        <f t="shared" si="7"/>
        <v/>
      </c>
      <c r="BA40" s="478" t="str">
        <f t="shared" si="17"/>
        <v/>
      </c>
      <c r="BD40" s="279" t="str">
        <f t="shared" si="8"/>
        <v/>
      </c>
      <c r="BG40" s="279" t="b">
        <f t="shared" si="18"/>
        <v>0</v>
      </c>
      <c r="BI40" s="279" t="str">
        <f t="shared" si="9"/>
        <v>n.a.</v>
      </c>
      <c r="BK40" s="517" t="str">
        <f t="shared" si="10"/>
        <v/>
      </c>
      <c r="BL40" s="517" t="str">
        <f t="shared" si="11"/>
        <v/>
      </c>
      <c r="BM40" s="517" t="str">
        <f t="shared" si="19"/>
        <v/>
      </c>
      <c r="BN40" s="517" t="str">
        <f t="shared" si="12"/>
        <v/>
      </c>
    </row>
    <row r="41" spans="2:66" ht="12.5" x14ac:dyDescent="0.35">
      <c r="B41" s="278"/>
      <c r="C41" s="259">
        <v>32</v>
      </c>
      <c r="D41" s="468"/>
      <c r="E41" s="467" t="str">
        <f t="shared" si="20"/>
        <v/>
      </c>
      <c r="F41" s="733"/>
      <c r="G41" s="716" t="str">
        <f t="shared" si="21"/>
        <v/>
      </c>
      <c r="H41" s="468"/>
      <c r="I41" s="266" t="str">
        <f>IF(OR($D41="",$D41=CONST_NA),"",INDEX(InputOutput!$AK$71:$AK$80,MATCH($D41,InputOutput!$D$71:$D$80,0)))</f>
        <v/>
      </c>
      <c r="J41" s="266" t="str">
        <f>IF(OR($D41="",$D41=CONST_NA),"",INDEX(InputOutput!$AM$71:$AM$80,MATCH($D41,InputOutput!$D$71:$D$80,0)))</f>
        <v/>
      </c>
      <c r="K41" s="266" t="str">
        <f t="shared" si="2"/>
        <v/>
      </c>
      <c r="L41" s="266" t="str">
        <f t="shared" si="3"/>
        <v/>
      </c>
      <c r="M41" s="683" t="str">
        <f>IF($E41="","",INDEX(Summary_Processes!$AG$162:$AG$520,MATCH($D41,Summary_Processes!$D$162:$D$520,0)))</f>
        <v/>
      </c>
      <c r="N41" s="266" t="str">
        <f>IF(D41="","",INDEX(D_Processes!T:T,MATCH(CONST_CNTR_ElecEFMethod&amp;D41,D_Processes!R:R,0)))</f>
        <v/>
      </c>
      <c r="O41" s="266" t="str">
        <f>IF(OR($D41="",$D41=CONST_NA),"",INDEX(InputOutput!$AO$71:$AO$80,MATCH($D41,InputOutput!$D$71:$D$80,0)))</f>
        <v/>
      </c>
      <c r="P41" s="469"/>
      <c r="Q41" s="469"/>
      <c r="R41" s="756"/>
      <c r="S41" s="756"/>
      <c r="T41" s="756"/>
      <c r="U41" s="756"/>
      <c r="V41" s="756"/>
      <c r="W41" s="756"/>
      <c r="X41" s="756"/>
      <c r="Y41" s="756"/>
      <c r="Z41" s="756"/>
      <c r="AA41" s="756"/>
      <c r="AB41" s="470"/>
      <c r="AC41" s="470"/>
      <c r="AD41" s="470"/>
      <c r="AE41" s="470"/>
      <c r="AF41" s="470"/>
      <c r="AG41" s="470"/>
      <c r="AH41" s="470"/>
      <c r="AI41" s="470"/>
      <c r="AJ41" s="470"/>
      <c r="AK41" s="470"/>
      <c r="AL41" s="471"/>
      <c r="AM41" s="472"/>
      <c r="AN41" s="473" t="str">
        <f t="shared" si="13"/>
        <v/>
      </c>
      <c r="AO41" s="474" t="str">
        <f t="shared" si="4"/>
        <v/>
      </c>
      <c r="AP41" s="475"/>
      <c r="AQ41" s="687" t="str">
        <f t="shared" si="5"/>
        <v/>
      </c>
      <c r="AR41" s="476"/>
      <c r="AS41" s="474" t="str">
        <f t="shared" si="6"/>
        <v/>
      </c>
      <c r="AT41" s="471"/>
      <c r="AU41" s="472"/>
      <c r="AV41" s="473" t="str">
        <f t="shared" si="14"/>
        <v/>
      </c>
      <c r="AW41" s="474" t="str">
        <f t="shared" si="15"/>
        <v/>
      </c>
      <c r="AX41" s="476"/>
      <c r="AY41" s="474" t="str">
        <f t="shared" si="16"/>
        <v/>
      </c>
      <c r="AZ41" s="477" t="str">
        <f t="shared" si="7"/>
        <v/>
      </c>
      <c r="BA41" s="478" t="str">
        <f t="shared" si="17"/>
        <v/>
      </c>
      <c r="BD41" s="279" t="str">
        <f t="shared" si="8"/>
        <v/>
      </c>
      <c r="BG41" s="279" t="b">
        <f t="shared" si="18"/>
        <v>0</v>
      </c>
      <c r="BI41" s="279" t="str">
        <f t="shared" si="9"/>
        <v>n.a.</v>
      </c>
      <c r="BK41" s="517" t="str">
        <f t="shared" si="10"/>
        <v/>
      </c>
      <c r="BL41" s="517" t="str">
        <f t="shared" si="11"/>
        <v/>
      </c>
      <c r="BM41" s="517" t="str">
        <f t="shared" si="19"/>
        <v/>
      </c>
      <c r="BN41" s="517" t="str">
        <f t="shared" si="12"/>
        <v/>
      </c>
    </row>
    <row r="42" spans="2:66" ht="12.5" x14ac:dyDescent="0.35">
      <c r="B42" s="278"/>
      <c r="C42" s="259">
        <v>33</v>
      </c>
      <c r="D42" s="468"/>
      <c r="E42" s="467" t="str">
        <f t="shared" si="20"/>
        <v/>
      </c>
      <c r="F42" s="733"/>
      <c r="G42" s="716" t="str">
        <f t="shared" si="21"/>
        <v/>
      </c>
      <c r="H42" s="468"/>
      <c r="I42" s="266" t="str">
        <f>IF(OR($D42="",$D42=CONST_NA),"",INDEX(InputOutput!$AK$71:$AK$80,MATCH($D42,InputOutput!$D$71:$D$80,0)))</f>
        <v/>
      </c>
      <c r="J42" s="266" t="str">
        <f>IF(OR($D42="",$D42=CONST_NA),"",INDEX(InputOutput!$AM$71:$AM$80,MATCH($D42,InputOutput!$D$71:$D$80,0)))</f>
        <v/>
      </c>
      <c r="K42" s="266" t="str">
        <f t="shared" ref="K42:K73" si="22">IF(OR($D42="",$D42=CONST_NA),"",SUM(I42:J42))</f>
        <v/>
      </c>
      <c r="L42" s="266" t="str">
        <f t="shared" ref="L42:L73" si="23">IF(E42="","",CONST_tCO2eq &amp; "/" &amp; INDEX(CONST_LIST_GoodsUnit,MATCH(E42,CONST_LIST_Goods,0)))</f>
        <v/>
      </c>
      <c r="M42" s="683" t="str">
        <f>IF($E42="","",INDEX(Summary_Processes!$AG$162:$AG$520,MATCH($D42,Summary_Processes!$D$162:$D$520,0)))</f>
        <v/>
      </c>
      <c r="N42" s="266" t="str">
        <f>IF(D42="","",INDEX(D_Processes!T:T,MATCH(CONST_CNTR_ElecEFMethod&amp;D42,D_Processes!R:R,0)))</f>
        <v/>
      </c>
      <c r="O42" s="266" t="str">
        <f>IF(OR($D42="",$D42=CONST_NA),"",INDEX(InputOutput!$AO$71:$AO$80,MATCH($D42,InputOutput!$D$71:$D$80,0)))</f>
        <v/>
      </c>
      <c r="P42" s="469"/>
      <c r="Q42" s="469"/>
      <c r="R42" s="756"/>
      <c r="S42" s="756"/>
      <c r="T42" s="756"/>
      <c r="U42" s="756"/>
      <c r="V42" s="756"/>
      <c r="W42" s="756"/>
      <c r="X42" s="756"/>
      <c r="Y42" s="756"/>
      <c r="Z42" s="756"/>
      <c r="AA42" s="756"/>
      <c r="AB42" s="470"/>
      <c r="AC42" s="470"/>
      <c r="AD42" s="470"/>
      <c r="AE42" s="470"/>
      <c r="AF42" s="470"/>
      <c r="AG42" s="470"/>
      <c r="AH42" s="470"/>
      <c r="AI42" s="470"/>
      <c r="AJ42" s="470"/>
      <c r="AK42" s="470"/>
      <c r="AL42" s="471"/>
      <c r="AM42" s="472"/>
      <c r="AN42" s="473" t="str">
        <f t="shared" si="13"/>
        <v/>
      </c>
      <c r="AO42" s="474" t="str">
        <f t="shared" ref="AO42:AO73" si="24">L42</f>
        <v/>
      </c>
      <c r="AP42" s="475"/>
      <c r="AQ42" s="687" t="str">
        <f t="shared" ref="AQ42:AQ73" si="25">IF(AP42="","",INDEX(CNTR_ListCurrenciesName,MATCH(AP42,CNTR_ListCurrenciesCode,0)))</f>
        <v/>
      </c>
      <c r="AR42" s="476"/>
      <c r="AS42" s="474" t="str">
        <f t="shared" ref="AS42:AS73" si="26">IF(OR(D42="",AP42=""),"",AP42&amp;"/"&amp;INDEX(CONST_LIST_GoodsUnit,MATCH($E42,CONST_LIST_Goods,0)))</f>
        <v/>
      </c>
      <c r="AT42" s="471"/>
      <c r="AU42" s="472"/>
      <c r="AV42" s="473" t="str">
        <f t="shared" si="14"/>
        <v/>
      </c>
      <c r="AW42" s="474" t="str">
        <f t="shared" si="15"/>
        <v/>
      </c>
      <c r="AX42" s="476"/>
      <c r="AY42" s="474" t="str">
        <f t="shared" si="16"/>
        <v/>
      </c>
      <c r="AZ42" s="477" t="str">
        <f t="shared" ref="AZ42:AZ73" si="27">IF(K42="","",(AR42-AX42))</f>
        <v/>
      </c>
      <c r="BA42" s="478" t="str">
        <f t="shared" si="17"/>
        <v/>
      </c>
      <c r="BD42" s="279" t="str">
        <f t="shared" ref="BD42:BD73" si="28">IF(OR($D42="",$D42=CONST_NA),"",INDEX(CONST_CNTR_ListGoodsForCN,MATCH(E42,CONST_LIST_Goods,0)))</f>
        <v/>
      </c>
      <c r="BG42" s="279" t="b">
        <f t="shared" si="18"/>
        <v>0</v>
      </c>
      <c r="BI42" s="279" t="str">
        <f t="shared" ref="BI42:BI73" si="29">IF(CNTR_HasEntriesA,IF(AND(D42&lt;&gt;"",COUNTIF(D246:BA246,TRUE)&gt;0),CONST_ErrorOrMissing,IF(AND(D42&lt;&gt;"",COUNTIF(D246:BA246,TRUE)=0),TRUE,CONST_NA)),CONST_NA)</f>
        <v>n.a.</v>
      </c>
      <c r="BK42" s="517" t="str">
        <f t="shared" ref="BK42:BK73" si="30">IF(P42="","",MATCH(P42,CONST_ReducingAgent,0))</f>
        <v/>
      </c>
      <c r="BL42" s="517" t="str">
        <f t="shared" ref="BL42:BL73" si="31">IF(AC42="","",MATCH(AC42,CONST_TrueFalse,0))</f>
        <v/>
      </c>
      <c r="BM42" s="517" t="str">
        <f t="shared" ref="BM42:BM73" si="32">IF(AL42="","",MATCH(AL42,CONST_CarbonPriceType,0))</f>
        <v/>
      </c>
      <c r="BN42" s="517" t="str">
        <f t="shared" ref="BN42:BN73" si="33">IF(AT42="","",MATCH(AT42,CONST_RebateType,0))</f>
        <v/>
      </c>
    </row>
    <row r="43" spans="2:66" ht="12.5" x14ac:dyDescent="0.35">
      <c r="B43" s="278"/>
      <c r="C43" s="259">
        <v>34</v>
      </c>
      <c r="D43" s="468"/>
      <c r="E43" s="467" t="str">
        <f t="shared" si="20"/>
        <v/>
      </c>
      <c r="F43" s="733"/>
      <c r="G43" s="716" t="str">
        <f t="shared" si="21"/>
        <v/>
      </c>
      <c r="H43" s="468"/>
      <c r="I43" s="266" t="str">
        <f>IF(OR($D43="",$D43=CONST_NA),"",INDEX(InputOutput!$AK$71:$AK$80,MATCH($D43,InputOutput!$D$71:$D$80,0)))</f>
        <v/>
      </c>
      <c r="J43" s="266" t="str">
        <f>IF(OR($D43="",$D43=CONST_NA),"",INDEX(InputOutput!$AM$71:$AM$80,MATCH($D43,InputOutput!$D$71:$D$80,0)))</f>
        <v/>
      </c>
      <c r="K43" s="266" t="str">
        <f t="shared" si="22"/>
        <v/>
      </c>
      <c r="L43" s="266" t="str">
        <f t="shared" si="23"/>
        <v/>
      </c>
      <c r="M43" s="683" t="str">
        <f>IF($E43="","",INDEX(Summary_Processes!$AG$162:$AG$520,MATCH($D43,Summary_Processes!$D$162:$D$520,0)))</f>
        <v/>
      </c>
      <c r="N43" s="266" t="str">
        <f>IF(D43="","",INDEX(D_Processes!T:T,MATCH(CONST_CNTR_ElecEFMethod&amp;D43,D_Processes!R:R,0)))</f>
        <v/>
      </c>
      <c r="O43" s="266" t="str">
        <f>IF(OR($D43="",$D43=CONST_NA),"",INDEX(InputOutput!$AO$71:$AO$80,MATCH($D43,InputOutput!$D$71:$D$80,0)))</f>
        <v/>
      </c>
      <c r="P43" s="469"/>
      <c r="Q43" s="469"/>
      <c r="R43" s="756"/>
      <c r="S43" s="756"/>
      <c r="T43" s="756"/>
      <c r="U43" s="756"/>
      <c r="V43" s="756"/>
      <c r="W43" s="756"/>
      <c r="X43" s="756"/>
      <c r="Y43" s="756"/>
      <c r="Z43" s="756"/>
      <c r="AA43" s="756"/>
      <c r="AB43" s="470"/>
      <c r="AC43" s="470"/>
      <c r="AD43" s="470"/>
      <c r="AE43" s="470"/>
      <c r="AF43" s="470"/>
      <c r="AG43" s="470"/>
      <c r="AH43" s="470"/>
      <c r="AI43" s="470"/>
      <c r="AJ43" s="470"/>
      <c r="AK43" s="470"/>
      <c r="AL43" s="471"/>
      <c r="AM43" s="472"/>
      <c r="AN43" s="473" t="str">
        <f t="shared" si="13"/>
        <v/>
      </c>
      <c r="AO43" s="474" t="str">
        <f t="shared" si="24"/>
        <v/>
      </c>
      <c r="AP43" s="475"/>
      <c r="AQ43" s="687" t="str">
        <f t="shared" si="25"/>
        <v/>
      </c>
      <c r="AR43" s="476"/>
      <c r="AS43" s="474" t="str">
        <f t="shared" si="26"/>
        <v/>
      </c>
      <c r="AT43" s="471"/>
      <c r="AU43" s="472"/>
      <c r="AV43" s="473" t="str">
        <f t="shared" si="14"/>
        <v/>
      </c>
      <c r="AW43" s="474" t="str">
        <f t="shared" si="15"/>
        <v/>
      </c>
      <c r="AX43" s="476"/>
      <c r="AY43" s="474" t="str">
        <f t="shared" si="16"/>
        <v/>
      </c>
      <c r="AZ43" s="477" t="str">
        <f t="shared" si="27"/>
        <v/>
      </c>
      <c r="BA43" s="478" t="str">
        <f t="shared" si="17"/>
        <v/>
      </c>
      <c r="BD43" s="279" t="str">
        <f t="shared" si="28"/>
        <v/>
      </c>
      <c r="BG43" s="279" t="b">
        <f t="shared" ref="BG43:BG74" si="34">AND(CNTR_HasEntriesA,D43="")</f>
        <v>0</v>
      </c>
      <c r="BI43" s="279" t="str">
        <f t="shared" si="29"/>
        <v>n.a.</v>
      </c>
      <c r="BK43" s="517" t="str">
        <f t="shared" si="30"/>
        <v/>
      </c>
      <c r="BL43" s="517" t="str">
        <f t="shared" si="31"/>
        <v/>
      </c>
      <c r="BM43" s="517" t="str">
        <f t="shared" si="32"/>
        <v/>
      </c>
      <c r="BN43" s="517" t="str">
        <f t="shared" si="33"/>
        <v/>
      </c>
    </row>
    <row r="44" spans="2:66" ht="12.5" x14ac:dyDescent="0.35">
      <c r="B44" s="278"/>
      <c r="C44" s="259">
        <v>35</v>
      </c>
      <c r="D44" s="468"/>
      <c r="E44" s="467" t="str">
        <f t="shared" si="20"/>
        <v/>
      </c>
      <c r="F44" s="733"/>
      <c r="G44" s="716" t="str">
        <f t="shared" si="21"/>
        <v/>
      </c>
      <c r="H44" s="468"/>
      <c r="I44" s="266" t="str">
        <f>IF(OR($D44="",$D44=CONST_NA),"",INDEX(InputOutput!$AK$71:$AK$80,MATCH($D44,InputOutput!$D$71:$D$80,0)))</f>
        <v/>
      </c>
      <c r="J44" s="266" t="str">
        <f>IF(OR($D44="",$D44=CONST_NA),"",INDEX(InputOutput!$AM$71:$AM$80,MATCH($D44,InputOutput!$D$71:$D$80,0)))</f>
        <v/>
      </c>
      <c r="K44" s="266" t="str">
        <f t="shared" si="22"/>
        <v/>
      </c>
      <c r="L44" s="266" t="str">
        <f t="shared" si="23"/>
        <v/>
      </c>
      <c r="M44" s="683" t="str">
        <f>IF($E44="","",INDEX(Summary_Processes!$AG$162:$AG$520,MATCH($D44,Summary_Processes!$D$162:$D$520,0)))</f>
        <v/>
      </c>
      <c r="N44" s="266" t="str">
        <f>IF(D44="","",INDEX(D_Processes!T:T,MATCH(CONST_CNTR_ElecEFMethod&amp;D44,D_Processes!R:R,0)))</f>
        <v/>
      </c>
      <c r="O44" s="266" t="str">
        <f>IF(OR($D44="",$D44=CONST_NA),"",INDEX(InputOutput!$AO$71:$AO$80,MATCH($D44,InputOutput!$D$71:$D$80,0)))</f>
        <v/>
      </c>
      <c r="P44" s="469"/>
      <c r="Q44" s="469"/>
      <c r="R44" s="756"/>
      <c r="S44" s="756"/>
      <c r="T44" s="756"/>
      <c r="U44" s="756"/>
      <c r="V44" s="756"/>
      <c r="W44" s="756"/>
      <c r="X44" s="756"/>
      <c r="Y44" s="756"/>
      <c r="Z44" s="756"/>
      <c r="AA44" s="756"/>
      <c r="AB44" s="470"/>
      <c r="AC44" s="470"/>
      <c r="AD44" s="470"/>
      <c r="AE44" s="470"/>
      <c r="AF44" s="470"/>
      <c r="AG44" s="470"/>
      <c r="AH44" s="470"/>
      <c r="AI44" s="470"/>
      <c r="AJ44" s="470"/>
      <c r="AK44" s="470"/>
      <c r="AL44" s="471"/>
      <c r="AM44" s="472"/>
      <c r="AN44" s="473" t="str">
        <f t="shared" si="13"/>
        <v/>
      </c>
      <c r="AO44" s="474" t="str">
        <f t="shared" si="24"/>
        <v/>
      </c>
      <c r="AP44" s="475"/>
      <c r="AQ44" s="687" t="str">
        <f t="shared" si="25"/>
        <v/>
      </c>
      <c r="AR44" s="476"/>
      <c r="AS44" s="474" t="str">
        <f t="shared" si="26"/>
        <v/>
      </c>
      <c r="AT44" s="471"/>
      <c r="AU44" s="472"/>
      <c r="AV44" s="473" t="str">
        <f t="shared" si="14"/>
        <v/>
      </c>
      <c r="AW44" s="474" t="str">
        <f t="shared" si="15"/>
        <v/>
      </c>
      <c r="AX44" s="476"/>
      <c r="AY44" s="474" t="str">
        <f t="shared" si="16"/>
        <v/>
      </c>
      <c r="AZ44" s="477" t="str">
        <f t="shared" si="27"/>
        <v/>
      </c>
      <c r="BA44" s="478" t="str">
        <f t="shared" si="17"/>
        <v/>
      </c>
      <c r="BD44" s="279" t="str">
        <f t="shared" si="28"/>
        <v/>
      </c>
      <c r="BG44" s="279" t="b">
        <f t="shared" si="34"/>
        <v>0</v>
      </c>
      <c r="BI44" s="279" t="str">
        <f t="shared" si="29"/>
        <v>n.a.</v>
      </c>
      <c r="BK44" s="517" t="str">
        <f t="shared" si="30"/>
        <v/>
      </c>
      <c r="BL44" s="517" t="str">
        <f t="shared" si="31"/>
        <v/>
      </c>
      <c r="BM44" s="517" t="str">
        <f t="shared" si="32"/>
        <v/>
      </c>
      <c r="BN44" s="517" t="str">
        <f t="shared" si="33"/>
        <v/>
      </c>
    </row>
    <row r="45" spans="2:66" ht="12.5" x14ac:dyDescent="0.35">
      <c r="B45" s="278"/>
      <c r="C45" s="259">
        <v>36</v>
      </c>
      <c r="D45" s="468"/>
      <c r="E45" s="467" t="str">
        <f t="shared" si="20"/>
        <v/>
      </c>
      <c r="F45" s="733"/>
      <c r="G45" s="716" t="str">
        <f t="shared" si="21"/>
        <v/>
      </c>
      <c r="H45" s="468"/>
      <c r="I45" s="266" t="str">
        <f>IF(OR($D45="",$D45=CONST_NA),"",INDEX(InputOutput!$AK$71:$AK$80,MATCH($D45,InputOutput!$D$71:$D$80,0)))</f>
        <v/>
      </c>
      <c r="J45" s="266" t="str">
        <f>IF(OR($D45="",$D45=CONST_NA),"",INDEX(InputOutput!$AM$71:$AM$80,MATCH($D45,InputOutput!$D$71:$D$80,0)))</f>
        <v/>
      </c>
      <c r="K45" s="266" t="str">
        <f t="shared" si="22"/>
        <v/>
      </c>
      <c r="L45" s="266" t="str">
        <f t="shared" si="23"/>
        <v/>
      </c>
      <c r="M45" s="683" t="str">
        <f>IF($E45="","",INDEX(Summary_Processes!$AG$162:$AG$520,MATCH($D45,Summary_Processes!$D$162:$D$520,0)))</f>
        <v/>
      </c>
      <c r="N45" s="266" t="str">
        <f>IF(D45="","",INDEX(D_Processes!T:T,MATCH(CONST_CNTR_ElecEFMethod&amp;D45,D_Processes!R:R,0)))</f>
        <v/>
      </c>
      <c r="O45" s="266" t="str">
        <f>IF(OR($D45="",$D45=CONST_NA),"",INDEX(InputOutput!$AO$71:$AO$80,MATCH($D45,InputOutput!$D$71:$D$80,0)))</f>
        <v/>
      </c>
      <c r="P45" s="469"/>
      <c r="Q45" s="469"/>
      <c r="R45" s="756"/>
      <c r="S45" s="756"/>
      <c r="T45" s="756"/>
      <c r="U45" s="756"/>
      <c r="V45" s="756"/>
      <c r="W45" s="756"/>
      <c r="X45" s="756"/>
      <c r="Y45" s="756"/>
      <c r="Z45" s="756"/>
      <c r="AA45" s="756"/>
      <c r="AB45" s="470"/>
      <c r="AC45" s="470"/>
      <c r="AD45" s="470"/>
      <c r="AE45" s="470"/>
      <c r="AF45" s="470"/>
      <c r="AG45" s="470"/>
      <c r="AH45" s="470"/>
      <c r="AI45" s="470"/>
      <c r="AJ45" s="470"/>
      <c r="AK45" s="470"/>
      <c r="AL45" s="471"/>
      <c r="AM45" s="472"/>
      <c r="AN45" s="473" t="str">
        <f t="shared" si="13"/>
        <v/>
      </c>
      <c r="AO45" s="474" t="str">
        <f t="shared" si="24"/>
        <v/>
      </c>
      <c r="AP45" s="475"/>
      <c r="AQ45" s="687" t="str">
        <f t="shared" si="25"/>
        <v/>
      </c>
      <c r="AR45" s="476"/>
      <c r="AS45" s="474" t="str">
        <f t="shared" si="26"/>
        <v/>
      </c>
      <c r="AT45" s="471"/>
      <c r="AU45" s="472"/>
      <c r="AV45" s="473" t="str">
        <f t="shared" si="14"/>
        <v/>
      </c>
      <c r="AW45" s="474" t="str">
        <f t="shared" si="15"/>
        <v/>
      </c>
      <c r="AX45" s="476"/>
      <c r="AY45" s="474" t="str">
        <f t="shared" si="16"/>
        <v/>
      </c>
      <c r="AZ45" s="477" t="str">
        <f t="shared" si="27"/>
        <v/>
      </c>
      <c r="BA45" s="478" t="str">
        <f t="shared" si="17"/>
        <v/>
      </c>
      <c r="BD45" s="279" t="str">
        <f t="shared" si="28"/>
        <v/>
      </c>
      <c r="BG45" s="279" t="b">
        <f t="shared" si="34"/>
        <v>0</v>
      </c>
      <c r="BI45" s="279" t="str">
        <f t="shared" si="29"/>
        <v>n.a.</v>
      </c>
      <c r="BK45" s="517" t="str">
        <f t="shared" si="30"/>
        <v/>
      </c>
      <c r="BL45" s="517" t="str">
        <f t="shared" si="31"/>
        <v/>
      </c>
      <c r="BM45" s="517" t="str">
        <f t="shared" si="32"/>
        <v/>
      </c>
      <c r="BN45" s="517" t="str">
        <f t="shared" si="33"/>
        <v/>
      </c>
    </row>
    <row r="46" spans="2:66" ht="12.5" x14ac:dyDescent="0.35">
      <c r="B46" s="278"/>
      <c r="C46" s="259">
        <v>37</v>
      </c>
      <c r="D46" s="468"/>
      <c r="E46" s="467" t="str">
        <f t="shared" si="20"/>
        <v/>
      </c>
      <c r="F46" s="733"/>
      <c r="G46" s="716" t="str">
        <f t="shared" si="21"/>
        <v/>
      </c>
      <c r="H46" s="468"/>
      <c r="I46" s="266" t="str">
        <f>IF(OR($D46="",$D46=CONST_NA),"",INDEX(InputOutput!$AK$71:$AK$80,MATCH($D46,InputOutput!$D$71:$D$80,0)))</f>
        <v/>
      </c>
      <c r="J46" s="266" t="str">
        <f>IF(OR($D46="",$D46=CONST_NA),"",INDEX(InputOutput!$AM$71:$AM$80,MATCH($D46,InputOutput!$D$71:$D$80,0)))</f>
        <v/>
      </c>
      <c r="K46" s="266" t="str">
        <f t="shared" si="22"/>
        <v/>
      </c>
      <c r="L46" s="266" t="str">
        <f t="shared" si="23"/>
        <v/>
      </c>
      <c r="M46" s="683" t="str">
        <f>IF($E46="","",INDEX(Summary_Processes!$AG$162:$AG$520,MATCH($D46,Summary_Processes!$D$162:$D$520,0)))</f>
        <v/>
      </c>
      <c r="N46" s="266" t="str">
        <f>IF(D46="","",INDEX(D_Processes!T:T,MATCH(CONST_CNTR_ElecEFMethod&amp;D46,D_Processes!R:R,0)))</f>
        <v/>
      </c>
      <c r="O46" s="266" t="str">
        <f>IF(OR($D46="",$D46=CONST_NA),"",INDEX(InputOutput!$AO$71:$AO$80,MATCH($D46,InputOutput!$D$71:$D$80,0)))</f>
        <v/>
      </c>
      <c r="P46" s="469"/>
      <c r="Q46" s="469"/>
      <c r="R46" s="756"/>
      <c r="S46" s="756"/>
      <c r="T46" s="756"/>
      <c r="U46" s="756"/>
      <c r="V46" s="756"/>
      <c r="W46" s="756"/>
      <c r="X46" s="756"/>
      <c r="Y46" s="756"/>
      <c r="Z46" s="756"/>
      <c r="AA46" s="756"/>
      <c r="AB46" s="470"/>
      <c r="AC46" s="470"/>
      <c r="AD46" s="470"/>
      <c r="AE46" s="470"/>
      <c r="AF46" s="470"/>
      <c r="AG46" s="470"/>
      <c r="AH46" s="470"/>
      <c r="AI46" s="470"/>
      <c r="AJ46" s="470"/>
      <c r="AK46" s="470"/>
      <c r="AL46" s="471"/>
      <c r="AM46" s="472"/>
      <c r="AN46" s="473" t="str">
        <f t="shared" si="13"/>
        <v/>
      </c>
      <c r="AO46" s="474" t="str">
        <f t="shared" si="24"/>
        <v/>
      </c>
      <c r="AP46" s="475"/>
      <c r="AQ46" s="687" t="str">
        <f t="shared" si="25"/>
        <v/>
      </c>
      <c r="AR46" s="476"/>
      <c r="AS46" s="474" t="str">
        <f t="shared" si="26"/>
        <v/>
      </c>
      <c r="AT46" s="471"/>
      <c r="AU46" s="472"/>
      <c r="AV46" s="473" t="str">
        <f t="shared" si="14"/>
        <v/>
      </c>
      <c r="AW46" s="474" t="str">
        <f t="shared" si="15"/>
        <v/>
      </c>
      <c r="AX46" s="476"/>
      <c r="AY46" s="474" t="str">
        <f t="shared" si="16"/>
        <v/>
      </c>
      <c r="AZ46" s="477" t="str">
        <f t="shared" si="27"/>
        <v/>
      </c>
      <c r="BA46" s="478" t="str">
        <f t="shared" si="17"/>
        <v/>
      </c>
      <c r="BD46" s="279" t="str">
        <f t="shared" si="28"/>
        <v/>
      </c>
      <c r="BG46" s="279" t="b">
        <f t="shared" si="34"/>
        <v>0</v>
      </c>
      <c r="BI46" s="279" t="str">
        <f t="shared" si="29"/>
        <v>n.a.</v>
      </c>
      <c r="BK46" s="517" t="str">
        <f t="shared" si="30"/>
        <v/>
      </c>
      <c r="BL46" s="517" t="str">
        <f t="shared" si="31"/>
        <v/>
      </c>
      <c r="BM46" s="517" t="str">
        <f t="shared" si="32"/>
        <v/>
      </c>
      <c r="BN46" s="517" t="str">
        <f t="shared" si="33"/>
        <v/>
      </c>
    </row>
    <row r="47" spans="2:66" ht="12.5" x14ac:dyDescent="0.35">
      <c r="B47" s="278"/>
      <c r="C47" s="259">
        <v>38</v>
      </c>
      <c r="D47" s="468"/>
      <c r="E47" s="467" t="str">
        <f t="shared" si="20"/>
        <v/>
      </c>
      <c r="F47" s="733"/>
      <c r="G47" s="716" t="str">
        <f t="shared" si="21"/>
        <v/>
      </c>
      <c r="H47" s="468"/>
      <c r="I47" s="266" t="str">
        <f>IF(OR($D47="",$D47=CONST_NA),"",INDEX(InputOutput!$AK$71:$AK$80,MATCH($D47,InputOutput!$D$71:$D$80,0)))</f>
        <v/>
      </c>
      <c r="J47" s="266" t="str">
        <f>IF(OR($D47="",$D47=CONST_NA),"",INDEX(InputOutput!$AM$71:$AM$80,MATCH($D47,InputOutput!$D$71:$D$80,0)))</f>
        <v/>
      </c>
      <c r="K47" s="266" t="str">
        <f t="shared" si="22"/>
        <v/>
      </c>
      <c r="L47" s="266" t="str">
        <f t="shared" si="23"/>
        <v/>
      </c>
      <c r="M47" s="683" t="str">
        <f>IF($E47="","",INDEX(Summary_Processes!$AG$162:$AG$520,MATCH($D47,Summary_Processes!$D$162:$D$520,0)))</f>
        <v/>
      </c>
      <c r="N47" s="266" t="str">
        <f>IF(D47="","",INDEX(D_Processes!T:T,MATCH(CONST_CNTR_ElecEFMethod&amp;D47,D_Processes!R:R,0)))</f>
        <v/>
      </c>
      <c r="O47" s="266" t="str">
        <f>IF(OR($D47="",$D47=CONST_NA),"",INDEX(InputOutput!$AO$71:$AO$80,MATCH($D47,InputOutput!$D$71:$D$80,0)))</f>
        <v/>
      </c>
      <c r="P47" s="469"/>
      <c r="Q47" s="469"/>
      <c r="R47" s="756"/>
      <c r="S47" s="756"/>
      <c r="T47" s="756"/>
      <c r="U47" s="756"/>
      <c r="V47" s="756"/>
      <c r="W47" s="756"/>
      <c r="X47" s="756"/>
      <c r="Y47" s="756"/>
      <c r="Z47" s="756"/>
      <c r="AA47" s="756"/>
      <c r="AB47" s="470"/>
      <c r="AC47" s="470"/>
      <c r="AD47" s="470"/>
      <c r="AE47" s="470"/>
      <c r="AF47" s="470"/>
      <c r="AG47" s="470"/>
      <c r="AH47" s="470"/>
      <c r="AI47" s="470"/>
      <c r="AJ47" s="470"/>
      <c r="AK47" s="470"/>
      <c r="AL47" s="471"/>
      <c r="AM47" s="472"/>
      <c r="AN47" s="473" t="str">
        <f t="shared" si="13"/>
        <v/>
      </c>
      <c r="AO47" s="474" t="str">
        <f t="shared" si="24"/>
        <v/>
      </c>
      <c r="AP47" s="475"/>
      <c r="AQ47" s="687" t="str">
        <f t="shared" si="25"/>
        <v/>
      </c>
      <c r="AR47" s="476"/>
      <c r="AS47" s="474" t="str">
        <f t="shared" si="26"/>
        <v/>
      </c>
      <c r="AT47" s="471"/>
      <c r="AU47" s="472"/>
      <c r="AV47" s="473" t="str">
        <f t="shared" si="14"/>
        <v/>
      </c>
      <c r="AW47" s="474" t="str">
        <f t="shared" si="15"/>
        <v/>
      </c>
      <c r="AX47" s="476"/>
      <c r="AY47" s="474" t="str">
        <f t="shared" si="16"/>
        <v/>
      </c>
      <c r="AZ47" s="477" t="str">
        <f t="shared" si="27"/>
        <v/>
      </c>
      <c r="BA47" s="478" t="str">
        <f t="shared" si="17"/>
        <v/>
      </c>
      <c r="BD47" s="279" t="str">
        <f t="shared" si="28"/>
        <v/>
      </c>
      <c r="BG47" s="279" t="b">
        <f t="shared" si="34"/>
        <v>0</v>
      </c>
      <c r="BI47" s="279" t="str">
        <f t="shared" si="29"/>
        <v>n.a.</v>
      </c>
      <c r="BK47" s="517" t="str">
        <f t="shared" si="30"/>
        <v/>
      </c>
      <c r="BL47" s="517" t="str">
        <f t="shared" si="31"/>
        <v/>
      </c>
      <c r="BM47" s="517" t="str">
        <f t="shared" si="32"/>
        <v/>
      </c>
      <c r="BN47" s="517" t="str">
        <f t="shared" si="33"/>
        <v/>
      </c>
    </row>
    <row r="48" spans="2:66" ht="12.5" x14ac:dyDescent="0.35">
      <c r="B48" s="278"/>
      <c r="C48" s="259">
        <v>39</v>
      </c>
      <c r="D48" s="468"/>
      <c r="E48" s="467" t="str">
        <f t="shared" si="20"/>
        <v/>
      </c>
      <c r="F48" s="733"/>
      <c r="G48" s="716" t="str">
        <f t="shared" si="21"/>
        <v/>
      </c>
      <c r="H48" s="468"/>
      <c r="I48" s="266" t="str">
        <f>IF(OR($D48="",$D48=CONST_NA),"",INDEX(InputOutput!$AK$71:$AK$80,MATCH($D48,InputOutput!$D$71:$D$80,0)))</f>
        <v/>
      </c>
      <c r="J48" s="266" t="str">
        <f>IF(OR($D48="",$D48=CONST_NA),"",INDEX(InputOutput!$AM$71:$AM$80,MATCH($D48,InputOutput!$D$71:$D$80,0)))</f>
        <v/>
      </c>
      <c r="K48" s="266" t="str">
        <f t="shared" si="22"/>
        <v/>
      </c>
      <c r="L48" s="266" t="str">
        <f t="shared" si="23"/>
        <v/>
      </c>
      <c r="M48" s="683" t="str">
        <f>IF($E48="","",INDEX(Summary_Processes!$AG$162:$AG$520,MATCH($D48,Summary_Processes!$D$162:$D$520,0)))</f>
        <v/>
      </c>
      <c r="N48" s="266" t="str">
        <f>IF(D48="","",INDEX(D_Processes!T:T,MATCH(CONST_CNTR_ElecEFMethod&amp;D48,D_Processes!R:R,0)))</f>
        <v/>
      </c>
      <c r="O48" s="266" t="str">
        <f>IF(OR($D48="",$D48=CONST_NA),"",INDEX(InputOutput!$AO$71:$AO$80,MATCH($D48,InputOutput!$D$71:$D$80,0)))</f>
        <v/>
      </c>
      <c r="P48" s="469"/>
      <c r="Q48" s="469"/>
      <c r="R48" s="756"/>
      <c r="S48" s="756"/>
      <c r="T48" s="756"/>
      <c r="U48" s="756"/>
      <c r="V48" s="756"/>
      <c r="W48" s="756"/>
      <c r="X48" s="756"/>
      <c r="Y48" s="756"/>
      <c r="Z48" s="756"/>
      <c r="AA48" s="756"/>
      <c r="AB48" s="470"/>
      <c r="AC48" s="470"/>
      <c r="AD48" s="470"/>
      <c r="AE48" s="470"/>
      <c r="AF48" s="470"/>
      <c r="AG48" s="470"/>
      <c r="AH48" s="470"/>
      <c r="AI48" s="470"/>
      <c r="AJ48" s="470"/>
      <c r="AK48" s="470"/>
      <c r="AL48" s="471"/>
      <c r="AM48" s="472"/>
      <c r="AN48" s="473" t="str">
        <f t="shared" si="13"/>
        <v/>
      </c>
      <c r="AO48" s="474" t="str">
        <f t="shared" si="24"/>
        <v/>
      </c>
      <c r="AP48" s="475"/>
      <c r="AQ48" s="687" t="str">
        <f t="shared" si="25"/>
        <v/>
      </c>
      <c r="AR48" s="476"/>
      <c r="AS48" s="474" t="str">
        <f t="shared" si="26"/>
        <v/>
      </c>
      <c r="AT48" s="471"/>
      <c r="AU48" s="472"/>
      <c r="AV48" s="473" t="str">
        <f t="shared" si="14"/>
        <v/>
      </c>
      <c r="AW48" s="474" t="str">
        <f t="shared" si="15"/>
        <v/>
      </c>
      <c r="AX48" s="476"/>
      <c r="AY48" s="474" t="str">
        <f t="shared" si="16"/>
        <v/>
      </c>
      <c r="AZ48" s="477" t="str">
        <f t="shared" si="27"/>
        <v/>
      </c>
      <c r="BA48" s="478" t="str">
        <f t="shared" si="17"/>
        <v/>
      </c>
      <c r="BD48" s="279" t="str">
        <f t="shared" si="28"/>
        <v/>
      </c>
      <c r="BG48" s="279" t="b">
        <f t="shared" si="34"/>
        <v>0</v>
      </c>
      <c r="BI48" s="279" t="str">
        <f t="shared" si="29"/>
        <v>n.a.</v>
      </c>
      <c r="BK48" s="517" t="str">
        <f t="shared" si="30"/>
        <v/>
      </c>
      <c r="BL48" s="517" t="str">
        <f t="shared" si="31"/>
        <v/>
      </c>
      <c r="BM48" s="517" t="str">
        <f t="shared" si="32"/>
        <v/>
      </c>
      <c r="BN48" s="517" t="str">
        <f t="shared" si="33"/>
        <v/>
      </c>
    </row>
    <row r="49" spans="2:66" ht="12.5" x14ac:dyDescent="0.35">
      <c r="B49" s="278"/>
      <c r="C49" s="259">
        <v>40</v>
      </c>
      <c r="D49" s="468"/>
      <c r="E49" s="467" t="str">
        <f t="shared" si="20"/>
        <v/>
      </c>
      <c r="F49" s="733"/>
      <c r="G49" s="716" t="str">
        <f t="shared" si="21"/>
        <v/>
      </c>
      <c r="H49" s="468"/>
      <c r="I49" s="266" t="str">
        <f>IF(OR($D49="",$D49=CONST_NA),"",INDEX(InputOutput!$AK$71:$AK$80,MATCH($D49,InputOutput!$D$71:$D$80,0)))</f>
        <v/>
      </c>
      <c r="J49" s="266" t="str">
        <f>IF(OR($D49="",$D49=CONST_NA),"",INDEX(InputOutput!$AM$71:$AM$80,MATCH($D49,InputOutput!$D$71:$D$80,0)))</f>
        <v/>
      </c>
      <c r="K49" s="266" t="str">
        <f t="shared" si="22"/>
        <v/>
      </c>
      <c r="L49" s="266" t="str">
        <f t="shared" si="23"/>
        <v/>
      </c>
      <c r="M49" s="683" t="str">
        <f>IF($E49="","",INDEX(Summary_Processes!$AG$162:$AG$520,MATCH($D49,Summary_Processes!$D$162:$D$520,0)))</f>
        <v/>
      </c>
      <c r="N49" s="266" t="str">
        <f>IF(D49="","",INDEX(D_Processes!T:T,MATCH(CONST_CNTR_ElecEFMethod&amp;D49,D_Processes!R:R,0)))</f>
        <v/>
      </c>
      <c r="O49" s="266" t="str">
        <f>IF(OR($D49="",$D49=CONST_NA),"",INDEX(InputOutput!$AO$71:$AO$80,MATCH($D49,InputOutput!$D$71:$D$80,0)))</f>
        <v/>
      </c>
      <c r="P49" s="469"/>
      <c r="Q49" s="469"/>
      <c r="R49" s="756"/>
      <c r="S49" s="756"/>
      <c r="T49" s="756"/>
      <c r="U49" s="756"/>
      <c r="V49" s="756"/>
      <c r="W49" s="756"/>
      <c r="X49" s="756"/>
      <c r="Y49" s="756"/>
      <c r="Z49" s="756"/>
      <c r="AA49" s="756"/>
      <c r="AB49" s="470"/>
      <c r="AC49" s="470"/>
      <c r="AD49" s="470"/>
      <c r="AE49" s="470"/>
      <c r="AF49" s="470"/>
      <c r="AG49" s="470"/>
      <c r="AH49" s="470"/>
      <c r="AI49" s="470"/>
      <c r="AJ49" s="470"/>
      <c r="AK49" s="470"/>
      <c r="AL49" s="471"/>
      <c r="AM49" s="472"/>
      <c r="AN49" s="473" t="str">
        <f t="shared" si="13"/>
        <v/>
      </c>
      <c r="AO49" s="474" t="str">
        <f t="shared" si="24"/>
        <v/>
      </c>
      <c r="AP49" s="475"/>
      <c r="AQ49" s="687" t="str">
        <f t="shared" si="25"/>
        <v/>
      </c>
      <c r="AR49" s="476"/>
      <c r="AS49" s="474" t="str">
        <f t="shared" si="26"/>
        <v/>
      </c>
      <c r="AT49" s="471"/>
      <c r="AU49" s="472"/>
      <c r="AV49" s="473" t="str">
        <f t="shared" si="14"/>
        <v/>
      </c>
      <c r="AW49" s="474" t="str">
        <f t="shared" si="15"/>
        <v/>
      </c>
      <c r="AX49" s="476"/>
      <c r="AY49" s="474" t="str">
        <f t="shared" si="16"/>
        <v/>
      </c>
      <c r="AZ49" s="477" t="str">
        <f t="shared" si="27"/>
        <v/>
      </c>
      <c r="BA49" s="478" t="str">
        <f t="shared" si="17"/>
        <v/>
      </c>
      <c r="BD49" s="279" t="str">
        <f t="shared" si="28"/>
        <v/>
      </c>
      <c r="BG49" s="279" t="b">
        <f t="shared" si="34"/>
        <v>0</v>
      </c>
      <c r="BI49" s="279" t="str">
        <f t="shared" si="29"/>
        <v>n.a.</v>
      </c>
      <c r="BK49" s="517" t="str">
        <f t="shared" si="30"/>
        <v/>
      </c>
      <c r="BL49" s="517" t="str">
        <f t="shared" si="31"/>
        <v/>
      </c>
      <c r="BM49" s="517" t="str">
        <f t="shared" si="32"/>
        <v/>
      </c>
      <c r="BN49" s="517" t="str">
        <f t="shared" si="33"/>
        <v/>
      </c>
    </row>
    <row r="50" spans="2:66" ht="12.5" x14ac:dyDescent="0.35">
      <c r="B50" s="278"/>
      <c r="C50" s="259">
        <v>41</v>
      </c>
      <c r="D50" s="468"/>
      <c r="E50" s="467" t="str">
        <f t="shared" si="20"/>
        <v/>
      </c>
      <c r="F50" s="733"/>
      <c r="G50" s="716" t="str">
        <f t="shared" si="21"/>
        <v/>
      </c>
      <c r="H50" s="468"/>
      <c r="I50" s="266" t="str">
        <f>IF(OR($D50="",$D50=CONST_NA),"",INDEX(InputOutput!$AK$71:$AK$80,MATCH($D50,InputOutput!$D$71:$D$80,0)))</f>
        <v/>
      </c>
      <c r="J50" s="266" t="str">
        <f>IF(OR($D50="",$D50=CONST_NA),"",INDEX(InputOutput!$AM$71:$AM$80,MATCH($D50,InputOutput!$D$71:$D$80,0)))</f>
        <v/>
      </c>
      <c r="K50" s="266" t="str">
        <f t="shared" si="22"/>
        <v/>
      </c>
      <c r="L50" s="266" t="str">
        <f t="shared" si="23"/>
        <v/>
      </c>
      <c r="M50" s="683" t="str">
        <f>IF($E50="","",INDEX(Summary_Processes!$AG$162:$AG$520,MATCH($D50,Summary_Processes!$D$162:$D$520,0)))</f>
        <v/>
      </c>
      <c r="N50" s="266" t="str">
        <f>IF(D50="","",INDEX(D_Processes!T:T,MATCH(CONST_CNTR_ElecEFMethod&amp;D50,D_Processes!R:R,0)))</f>
        <v/>
      </c>
      <c r="O50" s="266" t="str">
        <f>IF(OR($D50="",$D50=CONST_NA),"",INDEX(InputOutput!$AO$71:$AO$80,MATCH($D50,InputOutput!$D$71:$D$80,0)))</f>
        <v/>
      </c>
      <c r="P50" s="469"/>
      <c r="Q50" s="469"/>
      <c r="R50" s="756"/>
      <c r="S50" s="756"/>
      <c r="T50" s="756"/>
      <c r="U50" s="756"/>
      <c r="V50" s="756"/>
      <c r="W50" s="756"/>
      <c r="X50" s="756"/>
      <c r="Y50" s="756"/>
      <c r="Z50" s="756"/>
      <c r="AA50" s="756"/>
      <c r="AB50" s="470"/>
      <c r="AC50" s="470"/>
      <c r="AD50" s="470"/>
      <c r="AE50" s="470"/>
      <c r="AF50" s="470"/>
      <c r="AG50" s="470"/>
      <c r="AH50" s="470"/>
      <c r="AI50" s="470"/>
      <c r="AJ50" s="470"/>
      <c r="AK50" s="470"/>
      <c r="AL50" s="471"/>
      <c r="AM50" s="472"/>
      <c r="AN50" s="473" t="str">
        <f t="shared" si="13"/>
        <v/>
      </c>
      <c r="AO50" s="474" t="str">
        <f t="shared" si="24"/>
        <v/>
      </c>
      <c r="AP50" s="475"/>
      <c r="AQ50" s="687" t="str">
        <f t="shared" si="25"/>
        <v/>
      </c>
      <c r="AR50" s="476"/>
      <c r="AS50" s="474" t="str">
        <f t="shared" si="26"/>
        <v/>
      </c>
      <c r="AT50" s="471"/>
      <c r="AU50" s="472"/>
      <c r="AV50" s="473" t="str">
        <f t="shared" si="14"/>
        <v/>
      </c>
      <c r="AW50" s="474" t="str">
        <f t="shared" si="15"/>
        <v/>
      </c>
      <c r="AX50" s="476"/>
      <c r="AY50" s="474" t="str">
        <f t="shared" si="16"/>
        <v/>
      </c>
      <c r="AZ50" s="477" t="str">
        <f t="shared" si="27"/>
        <v/>
      </c>
      <c r="BA50" s="478" t="str">
        <f t="shared" si="17"/>
        <v/>
      </c>
      <c r="BD50" s="279" t="str">
        <f t="shared" si="28"/>
        <v/>
      </c>
      <c r="BG50" s="279" t="b">
        <f t="shared" si="34"/>
        <v>0</v>
      </c>
      <c r="BI50" s="279" t="str">
        <f t="shared" si="29"/>
        <v>n.a.</v>
      </c>
      <c r="BK50" s="517" t="str">
        <f t="shared" si="30"/>
        <v/>
      </c>
      <c r="BL50" s="517" t="str">
        <f t="shared" si="31"/>
        <v/>
      </c>
      <c r="BM50" s="517" t="str">
        <f t="shared" si="32"/>
        <v/>
      </c>
      <c r="BN50" s="517" t="str">
        <f t="shared" si="33"/>
        <v/>
      </c>
    </row>
    <row r="51" spans="2:66" ht="12.5" x14ac:dyDescent="0.35">
      <c r="B51" s="278"/>
      <c r="C51" s="259">
        <v>42</v>
      </c>
      <c r="D51" s="468"/>
      <c r="E51" s="467" t="str">
        <f t="shared" si="20"/>
        <v/>
      </c>
      <c r="F51" s="733"/>
      <c r="G51" s="716" t="str">
        <f t="shared" si="21"/>
        <v/>
      </c>
      <c r="H51" s="468"/>
      <c r="I51" s="266" t="str">
        <f>IF(OR($D51="",$D51=CONST_NA),"",INDEX(InputOutput!$AK$71:$AK$80,MATCH($D51,InputOutput!$D$71:$D$80,0)))</f>
        <v/>
      </c>
      <c r="J51" s="266" t="str">
        <f>IF(OR($D51="",$D51=CONST_NA),"",INDEX(InputOutput!$AM$71:$AM$80,MATCH($D51,InputOutput!$D$71:$D$80,0)))</f>
        <v/>
      </c>
      <c r="K51" s="266" t="str">
        <f t="shared" si="22"/>
        <v/>
      </c>
      <c r="L51" s="266" t="str">
        <f t="shared" si="23"/>
        <v/>
      </c>
      <c r="M51" s="683" t="str">
        <f>IF($E51="","",INDEX(Summary_Processes!$AG$162:$AG$520,MATCH($D51,Summary_Processes!$D$162:$D$520,0)))</f>
        <v/>
      </c>
      <c r="N51" s="266" t="str">
        <f>IF(D51="","",INDEX(D_Processes!T:T,MATCH(CONST_CNTR_ElecEFMethod&amp;D51,D_Processes!R:R,0)))</f>
        <v/>
      </c>
      <c r="O51" s="266" t="str">
        <f>IF(OR($D51="",$D51=CONST_NA),"",INDEX(InputOutput!$AO$71:$AO$80,MATCH($D51,InputOutput!$D$71:$D$80,0)))</f>
        <v/>
      </c>
      <c r="P51" s="469"/>
      <c r="Q51" s="469"/>
      <c r="R51" s="756"/>
      <c r="S51" s="756"/>
      <c r="T51" s="756"/>
      <c r="U51" s="756"/>
      <c r="V51" s="756"/>
      <c r="W51" s="756"/>
      <c r="X51" s="756"/>
      <c r="Y51" s="756"/>
      <c r="Z51" s="756"/>
      <c r="AA51" s="756"/>
      <c r="AB51" s="470"/>
      <c r="AC51" s="470"/>
      <c r="AD51" s="470"/>
      <c r="AE51" s="470"/>
      <c r="AF51" s="470"/>
      <c r="AG51" s="470"/>
      <c r="AH51" s="470"/>
      <c r="AI51" s="470"/>
      <c r="AJ51" s="470"/>
      <c r="AK51" s="470"/>
      <c r="AL51" s="471"/>
      <c r="AM51" s="472"/>
      <c r="AN51" s="473" t="str">
        <f t="shared" si="13"/>
        <v/>
      </c>
      <c r="AO51" s="474" t="str">
        <f t="shared" si="24"/>
        <v/>
      </c>
      <c r="AP51" s="475"/>
      <c r="AQ51" s="687" t="str">
        <f t="shared" si="25"/>
        <v/>
      </c>
      <c r="AR51" s="476"/>
      <c r="AS51" s="474" t="str">
        <f t="shared" si="26"/>
        <v/>
      </c>
      <c r="AT51" s="471"/>
      <c r="AU51" s="472"/>
      <c r="AV51" s="473" t="str">
        <f t="shared" si="14"/>
        <v/>
      </c>
      <c r="AW51" s="474" t="str">
        <f t="shared" si="15"/>
        <v/>
      </c>
      <c r="AX51" s="476"/>
      <c r="AY51" s="474" t="str">
        <f t="shared" si="16"/>
        <v/>
      </c>
      <c r="AZ51" s="477" t="str">
        <f t="shared" si="27"/>
        <v/>
      </c>
      <c r="BA51" s="478" t="str">
        <f t="shared" si="17"/>
        <v/>
      </c>
      <c r="BD51" s="279" t="str">
        <f t="shared" si="28"/>
        <v/>
      </c>
      <c r="BG51" s="279" t="b">
        <f t="shared" si="34"/>
        <v>0</v>
      </c>
      <c r="BI51" s="279" t="str">
        <f t="shared" si="29"/>
        <v>n.a.</v>
      </c>
      <c r="BK51" s="517" t="str">
        <f t="shared" si="30"/>
        <v/>
      </c>
      <c r="BL51" s="517" t="str">
        <f t="shared" si="31"/>
        <v/>
      </c>
      <c r="BM51" s="517" t="str">
        <f t="shared" si="32"/>
        <v/>
      </c>
      <c r="BN51" s="517" t="str">
        <f t="shared" si="33"/>
        <v/>
      </c>
    </row>
    <row r="52" spans="2:66" ht="12.5" x14ac:dyDescent="0.35">
      <c r="B52" s="278"/>
      <c r="C52" s="259">
        <v>43</v>
      </c>
      <c r="D52" s="468"/>
      <c r="E52" s="467" t="str">
        <f t="shared" si="20"/>
        <v/>
      </c>
      <c r="F52" s="733"/>
      <c r="G52" s="716" t="str">
        <f t="shared" si="21"/>
        <v/>
      </c>
      <c r="H52" s="468"/>
      <c r="I52" s="266" t="str">
        <f>IF(OR($D52="",$D52=CONST_NA),"",INDEX(InputOutput!$AK$71:$AK$80,MATCH($D52,InputOutput!$D$71:$D$80,0)))</f>
        <v/>
      </c>
      <c r="J52" s="266" t="str">
        <f>IF(OR($D52="",$D52=CONST_NA),"",INDEX(InputOutput!$AM$71:$AM$80,MATCH($D52,InputOutput!$D$71:$D$80,0)))</f>
        <v/>
      </c>
      <c r="K52" s="266" t="str">
        <f t="shared" si="22"/>
        <v/>
      </c>
      <c r="L52" s="266" t="str">
        <f t="shared" si="23"/>
        <v/>
      </c>
      <c r="M52" s="683" t="str">
        <f>IF($E52="","",INDEX(Summary_Processes!$AG$162:$AG$520,MATCH($D52,Summary_Processes!$D$162:$D$520,0)))</f>
        <v/>
      </c>
      <c r="N52" s="266" t="str">
        <f>IF(D52="","",INDEX(D_Processes!T:T,MATCH(CONST_CNTR_ElecEFMethod&amp;D52,D_Processes!R:R,0)))</f>
        <v/>
      </c>
      <c r="O52" s="266" t="str">
        <f>IF(OR($D52="",$D52=CONST_NA),"",INDEX(InputOutput!$AO$71:$AO$80,MATCH($D52,InputOutput!$D$71:$D$80,0)))</f>
        <v/>
      </c>
      <c r="P52" s="469"/>
      <c r="Q52" s="469"/>
      <c r="R52" s="756"/>
      <c r="S52" s="756"/>
      <c r="T52" s="756"/>
      <c r="U52" s="756"/>
      <c r="V52" s="756"/>
      <c r="W52" s="756"/>
      <c r="X52" s="756"/>
      <c r="Y52" s="756"/>
      <c r="Z52" s="756"/>
      <c r="AA52" s="756"/>
      <c r="AB52" s="470"/>
      <c r="AC52" s="470"/>
      <c r="AD52" s="470"/>
      <c r="AE52" s="470"/>
      <c r="AF52" s="470"/>
      <c r="AG52" s="470"/>
      <c r="AH52" s="470"/>
      <c r="AI52" s="470"/>
      <c r="AJ52" s="470"/>
      <c r="AK52" s="470"/>
      <c r="AL52" s="471"/>
      <c r="AM52" s="472"/>
      <c r="AN52" s="473" t="str">
        <f t="shared" si="13"/>
        <v/>
      </c>
      <c r="AO52" s="474" t="str">
        <f t="shared" si="24"/>
        <v/>
      </c>
      <c r="AP52" s="475"/>
      <c r="AQ52" s="687" t="str">
        <f t="shared" si="25"/>
        <v/>
      </c>
      <c r="AR52" s="476"/>
      <c r="AS52" s="474" t="str">
        <f t="shared" si="26"/>
        <v/>
      </c>
      <c r="AT52" s="471"/>
      <c r="AU52" s="472"/>
      <c r="AV52" s="473" t="str">
        <f t="shared" si="14"/>
        <v/>
      </c>
      <c r="AW52" s="474" t="str">
        <f t="shared" si="15"/>
        <v/>
      </c>
      <c r="AX52" s="476"/>
      <c r="AY52" s="474" t="str">
        <f t="shared" si="16"/>
        <v/>
      </c>
      <c r="AZ52" s="477" t="str">
        <f t="shared" si="27"/>
        <v/>
      </c>
      <c r="BA52" s="478" t="str">
        <f t="shared" si="17"/>
        <v/>
      </c>
      <c r="BD52" s="279" t="str">
        <f t="shared" si="28"/>
        <v/>
      </c>
      <c r="BG52" s="279" t="b">
        <f t="shared" si="34"/>
        <v>0</v>
      </c>
      <c r="BI52" s="279" t="str">
        <f t="shared" si="29"/>
        <v>n.a.</v>
      </c>
      <c r="BK52" s="517" t="str">
        <f t="shared" si="30"/>
        <v/>
      </c>
      <c r="BL52" s="517" t="str">
        <f t="shared" si="31"/>
        <v/>
      </c>
      <c r="BM52" s="517" t="str">
        <f t="shared" si="32"/>
        <v/>
      </c>
      <c r="BN52" s="517" t="str">
        <f t="shared" si="33"/>
        <v/>
      </c>
    </row>
    <row r="53" spans="2:66" ht="12.5" x14ac:dyDescent="0.35">
      <c r="B53" s="278"/>
      <c r="C53" s="259">
        <v>44</v>
      </c>
      <c r="D53" s="468"/>
      <c r="E53" s="467" t="str">
        <f t="shared" si="20"/>
        <v/>
      </c>
      <c r="F53" s="733"/>
      <c r="G53" s="716" t="str">
        <f t="shared" si="21"/>
        <v/>
      </c>
      <c r="H53" s="468"/>
      <c r="I53" s="266" t="str">
        <f>IF(OR($D53="",$D53=CONST_NA),"",INDEX(InputOutput!$AK$71:$AK$80,MATCH($D53,InputOutput!$D$71:$D$80,0)))</f>
        <v/>
      </c>
      <c r="J53" s="266" t="str">
        <f>IF(OR($D53="",$D53=CONST_NA),"",INDEX(InputOutput!$AM$71:$AM$80,MATCH($D53,InputOutput!$D$71:$D$80,0)))</f>
        <v/>
      </c>
      <c r="K53" s="266" t="str">
        <f t="shared" si="22"/>
        <v/>
      </c>
      <c r="L53" s="266" t="str">
        <f t="shared" si="23"/>
        <v/>
      </c>
      <c r="M53" s="683" t="str">
        <f>IF($E53="","",INDEX(Summary_Processes!$AG$162:$AG$520,MATCH($D53,Summary_Processes!$D$162:$D$520,0)))</f>
        <v/>
      </c>
      <c r="N53" s="266" t="str">
        <f>IF(D53="","",INDEX(D_Processes!T:T,MATCH(CONST_CNTR_ElecEFMethod&amp;D53,D_Processes!R:R,0)))</f>
        <v/>
      </c>
      <c r="O53" s="266" t="str">
        <f>IF(OR($D53="",$D53=CONST_NA),"",INDEX(InputOutput!$AO$71:$AO$80,MATCH($D53,InputOutput!$D$71:$D$80,0)))</f>
        <v/>
      </c>
      <c r="P53" s="469"/>
      <c r="Q53" s="469"/>
      <c r="R53" s="756"/>
      <c r="S53" s="756"/>
      <c r="T53" s="756"/>
      <c r="U53" s="756"/>
      <c r="V53" s="756"/>
      <c r="W53" s="756"/>
      <c r="X53" s="756"/>
      <c r="Y53" s="756"/>
      <c r="Z53" s="756"/>
      <c r="AA53" s="756"/>
      <c r="AB53" s="470"/>
      <c r="AC53" s="470"/>
      <c r="AD53" s="470"/>
      <c r="AE53" s="470"/>
      <c r="AF53" s="470"/>
      <c r="AG53" s="470"/>
      <c r="AH53" s="470"/>
      <c r="AI53" s="470"/>
      <c r="AJ53" s="470"/>
      <c r="AK53" s="470"/>
      <c r="AL53" s="471"/>
      <c r="AM53" s="472"/>
      <c r="AN53" s="473" t="str">
        <f t="shared" si="13"/>
        <v/>
      </c>
      <c r="AO53" s="474" t="str">
        <f t="shared" si="24"/>
        <v/>
      </c>
      <c r="AP53" s="475"/>
      <c r="AQ53" s="687" t="str">
        <f t="shared" si="25"/>
        <v/>
      </c>
      <c r="AR53" s="476"/>
      <c r="AS53" s="474" t="str">
        <f t="shared" si="26"/>
        <v/>
      </c>
      <c r="AT53" s="471"/>
      <c r="AU53" s="472"/>
      <c r="AV53" s="473" t="str">
        <f t="shared" si="14"/>
        <v/>
      </c>
      <c r="AW53" s="474" t="str">
        <f t="shared" si="15"/>
        <v/>
      </c>
      <c r="AX53" s="476"/>
      <c r="AY53" s="474" t="str">
        <f t="shared" si="16"/>
        <v/>
      </c>
      <c r="AZ53" s="477" t="str">
        <f t="shared" si="27"/>
        <v/>
      </c>
      <c r="BA53" s="478" t="str">
        <f t="shared" si="17"/>
        <v/>
      </c>
      <c r="BD53" s="279" t="str">
        <f t="shared" si="28"/>
        <v/>
      </c>
      <c r="BG53" s="279" t="b">
        <f t="shared" si="34"/>
        <v>0</v>
      </c>
      <c r="BI53" s="279" t="str">
        <f t="shared" si="29"/>
        <v>n.a.</v>
      </c>
      <c r="BK53" s="517" t="str">
        <f t="shared" si="30"/>
        <v/>
      </c>
      <c r="BL53" s="517" t="str">
        <f t="shared" si="31"/>
        <v/>
      </c>
      <c r="BM53" s="517" t="str">
        <f t="shared" si="32"/>
        <v/>
      </c>
      <c r="BN53" s="517" t="str">
        <f t="shared" si="33"/>
        <v/>
      </c>
    </row>
    <row r="54" spans="2:66" ht="12.5" x14ac:dyDescent="0.35">
      <c r="B54" s="278"/>
      <c r="C54" s="259">
        <v>45</v>
      </c>
      <c r="D54" s="468"/>
      <c r="E54" s="467" t="str">
        <f t="shared" si="20"/>
        <v/>
      </c>
      <c r="F54" s="733"/>
      <c r="G54" s="716" t="str">
        <f t="shared" si="21"/>
        <v/>
      </c>
      <c r="H54" s="468"/>
      <c r="I54" s="266" t="str">
        <f>IF(OR($D54="",$D54=CONST_NA),"",INDEX(InputOutput!$AK$71:$AK$80,MATCH($D54,InputOutput!$D$71:$D$80,0)))</f>
        <v/>
      </c>
      <c r="J54" s="266" t="str">
        <f>IF(OR($D54="",$D54=CONST_NA),"",INDEX(InputOutput!$AM$71:$AM$80,MATCH($D54,InputOutput!$D$71:$D$80,0)))</f>
        <v/>
      </c>
      <c r="K54" s="266" t="str">
        <f t="shared" si="22"/>
        <v/>
      </c>
      <c r="L54" s="266" t="str">
        <f t="shared" si="23"/>
        <v/>
      </c>
      <c r="M54" s="683" t="str">
        <f>IF($E54="","",INDEX(Summary_Processes!$AG$162:$AG$520,MATCH($D54,Summary_Processes!$D$162:$D$520,0)))</f>
        <v/>
      </c>
      <c r="N54" s="266" t="str">
        <f>IF(D54="","",INDEX(D_Processes!T:T,MATCH(CONST_CNTR_ElecEFMethod&amp;D54,D_Processes!R:R,0)))</f>
        <v/>
      </c>
      <c r="O54" s="266" t="str">
        <f>IF(OR($D54="",$D54=CONST_NA),"",INDEX(InputOutput!$AO$71:$AO$80,MATCH($D54,InputOutput!$D$71:$D$80,0)))</f>
        <v/>
      </c>
      <c r="P54" s="469"/>
      <c r="Q54" s="469"/>
      <c r="R54" s="756"/>
      <c r="S54" s="756"/>
      <c r="T54" s="756"/>
      <c r="U54" s="756"/>
      <c r="V54" s="756"/>
      <c r="W54" s="756"/>
      <c r="X54" s="756"/>
      <c r="Y54" s="756"/>
      <c r="Z54" s="756"/>
      <c r="AA54" s="756"/>
      <c r="AB54" s="470"/>
      <c r="AC54" s="470"/>
      <c r="AD54" s="470"/>
      <c r="AE54" s="470"/>
      <c r="AF54" s="470"/>
      <c r="AG54" s="470"/>
      <c r="AH54" s="470"/>
      <c r="AI54" s="470"/>
      <c r="AJ54" s="470"/>
      <c r="AK54" s="470"/>
      <c r="AL54" s="471"/>
      <c r="AM54" s="472"/>
      <c r="AN54" s="473" t="str">
        <f t="shared" si="13"/>
        <v/>
      </c>
      <c r="AO54" s="474" t="str">
        <f t="shared" si="24"/>
        <v/>
      </c>
      <c r="AP54" s="475"/>
      <c r="AQ54" s="687" t="str">
        <f t="shared" si="25"/>
        <v/>
      </c>
      <c r="AR54" s="476"/>
      <c r="AS54" s="474" t="str">
        <f t="shared" si="26"/>
        <v/>
      </c>
      <c r="AT54" s="471"/>
      <c r="AU54" s="472"/>
      <c r="AV54" s="473" t="str">
        <f t="shared" si="14"/>
        <v/>
      </c>
      <c r="AW54" s="474" t="str">
        <f t="shared" si="15"/>
        <v/>
      </c>
      <c r="AX54" s="476"/>
      <c r="AY54" s="474" t="str">
        <f t="shared" si="16"/>
        <v/>
      </c>
      <c r="AZ54" s="477" t="str">
        <f t="shared" si="27"/>
        <v/>
      </c>
      <c r="BA54" s="478" t="str">
        <f t="shared" si="17"/>
        <v/>
      </c>
      <c r="BD54" s="279" t="str">
        <f t="shared" si="28"/>
        <v/>
      </c>
      <c r="BG54" s="279" t="b">
        <f t="shared" si="34"/>
        <v>0</v>
      </c>
      <c r="BI54" s="279" t="str">
        <f t="shared" si="29"/>
        <v>n.a.</v>
      </c>
      <c r="BK54" s="517" t="str">
        <f t="shared" si="30"/>
        <v/>
      </c>
      <c r="BL54" s="517" t="str">
        <f t="shared" si="31"/>
        <v/>
      </c>
      <c r="BM54" s="517" t="str">
        <f t="shared" si="32"/>
        <v/>
      </c>
      <c r="BN54" s="517" t="str">
        <f t="shared" si="33"/>
        <v/>
      </c>
    </row>
    <row r="55" spans="2:66" ht="12.5" x14ac:dyDescent="0.35">
      <c r="B55" s="278"/>
      <c r="C55" s="259">
        <v>46</v>
      </c>
      <c r="D55" s="468"/>
      <c r="E55" s="467" t="str">
        <f t="shared" si="20"/>
        <v/>
      </c>
      <c r="F55" s="733"/>
      <c r="G55" s="716" t="str">
        <f t="shared" si="21"/>
        <v/>
      </c>
      <c r="H55" s="468"/>
      <c r="I55" s="266" t="str">
        <f>IF(OR($D55="",$D55=CONST_NA),"",INDEX(InputOutput!$AK$71:$AK$80,MATCH($D55,InputOutput!$D$71:$D$80,0)))</f>
        <v/>
      </c>
      <c r="J55" s="266" t="str">
        <f>IF(OR($D55="",$D55=CONST_NA),"",INDEX(InputOutput!$AM$71:$AM$80,MATCH($D55,InputOutput!$D$71:$D$80,0)))</f>
        <v/>
      </c>
      <c r="K55" s="266" t="str">
        <f t="shared" si="22"/>
        <v/>
      </c>
      <c r="L55" s="266" t="str">
        <f t="shared" si="23"/>
        <v/>
      </c>
      <c r="M55" s="683" t="str">
        <f>IF($E55="","",INDEX(Summary_Processes!$AG$162:$AG$520,MATCH($D55,Summary_Processes!$D$162:$D$520,0)))</f>
        <v/>
      </c>
      <c r="N55" s="266" t="str">
        <f>IF(D55="","",INDEX(D_Processes!T:T,MATCH(CONST_CNTR_ElecEFMethod&amp;D55,D_Processes!R:R,0)))</f>
        <v/>
      </c>
      <c r="O55" s="266" t="str">
        <f>IF(OR($D55="",$D55=CONST_NA),"",INDEX(InputOutput!$AO$71:$AO$80,MATCH($D55,InputOutput!$D$71:$D$80,0)))</f>
        <v/>
      </c>
      <c r="P55" s="469"/>
      <c r="Q55" s="469"/>
      <c r="R55" s="756"/>
      <c r="S55" s="756"/>
      <c r="T55" s="756"/>
      <c r="U55" s="756"/>
      <c r="V55" s="756"/>
      <c r="W55" s="756"/>
      <c r="X55" s="756"/>
      <c r="Y55" s="756"/>
      <c r="Z55" s="756"/>
      <c r="AA55" s="756"/>
      <c r="AB55" s="470"/>
      <c r="AC55" s="470"/>
      <c r="AD55" s="470"/>
      <c r="AE55" s="470"/>
      <c r="AF55" s="470"/>
      <c r="AG55" s="470"/>
      <c r="AH55" s="470"/>
      <c r="AI55" s="470"/>
      <c r="AJ55" s="470"/>
      <c r="AK55" s="470"/>
      <c r="AL55" s="471"/>
      <c r="AM55" s="472"/>
      <c r="AN55" s="473" t="str">
        <f t="shared" si="13"/>
        <v/>
      </c>
      <c r="AO55" s="474" t="str">
        <f t="shared" si="24"/>
        <v/>
      </c>
      <c r="AP55" s="475"/>
      <c r="AQ55" s="687" t="str">
        <f t="shared" si="25"/>
        <v/>
      </c>
      <c r="AR55" s="476"/>
      <c r="AS55" s="474" t="str">
        <f t="shared" si="26"/>
        <v/>
      </c>
      <c r="AT55" s="471"/>
      <c r="AU55" s="472"/>
      <c r="AV55" s="473" t="str">
        <f t="shared" si="14"/>
        <v/>
      </c>
      <c r="AW55" s="474" t="str">
        <f t="shared" si="15"/>
        <v/>
      </c>
      <c r="AX55" s="476"/>
      <c r="AY55" s="474" t="str">
        <f t="shared" si="16"/>
        <v/>
      </c>
      <c r="AZ55" s="477" t="str">
        <f t="shared" si="27"/>
        <v/>
      </c>
      <c r="BA55" s="478" t="str">
        <f t="shared" si="17"/>
        <v/>
      </c>
      <c r="BD55" s="279" t="str">
        <f t="shared" si="28"/>
        <v/>
      </c>
      <c r="BG55" s="279" t="b">
        <f t="shared" si="34"/>
        <v>0</v>
      </c>
      <c r="BI55" s="279" t="str">
        <f t="shared" si="29"/>
        <v>n.a.</v>
      </c>
      <c r="BK55" s="517" t="str">
        <f t="shared" si="30"/>
        <v/>
      </c>
      <c r="BL55" s="517" t="str">
        <f t="shared" si="31"/>
        <v/>
      </c>
      <c r="BM55" s="517" t="str">
        <f t="shared" si="32"/>
        <v/>
      </c>
      <c r="BN55" s="517" t="str">
        <f t="shared" si="33"/>
        <v/>
      </c>
    </row>
    <row r="56" spans="2:66" ht="12.5" x14ac:dyDescent="0.35">
      <c r="B56" s="278"/>
      <c r="C56" s="259">
        <v>47</v>
      </c>
      <c r="D56" s="468"/>
      <c r="E56" s="467" t="str">
        <f t="shared" si="20"/>
        <v/>
      </c>
      <c r="F56" s="733"/>
      <c r="G56" s="716" t="str">
        <f t="shared" si="21"/>
        <v/>
      </c>
      <c r="H56" s="468"/>
      <c r="I56" s="266" t="str">
        <f>IF(OR($D56="",$D56=CONST_NA),"",INDEX(InputOutput!$AK$71:$AK$80,MATCH($D56,InputOutput!$D$71:$D$80,0)))</f>
        <v/>
      </c>
      <c r="J56" s="266" t="str">
        <f>IF(OR($D56="",$D56=CONST_NA),"",INDEX(InputOutput!$AM$71:$AM$80,MATCH($D56,InputOutput!$D$71:$D$80,0)))</f>
        <v/>
      </c>
      <c r="K56" s="266" t="str">
        <f t="shared" si="22"/>
        <v/>
      </c>
      <c r="L56" s="266" t="str">
        <f t="shared" si="23"/>
        <v/>
      </c>
      <c r="M56" s="683" t="str">
        <f>IF($E56="","",INDEX(Summary_Processes!$AG$162:$AG$520,MATCH($D56,Summary_Processes!$D$162:$D$520,0)))</f>
        <v/>
      </c>
      <c r="N56" s="266" t="str">
        <f>IF(D56="","",INDEX(D_Processes!T:T,MATCH(CONST_CNTR_ElecEFMethod&amp;D56,D_Processes!R:R,0)))</f>
        <v/>
      </c>
      <c r="O56" s="266" t="str">
        <f>IF(OR($D56="",$D56=CONST_NA),"",INDEX(InputOutput!$AO$71:$AO$80,MATCH($D56,InputOutput!$D$71:$D$80,0)))</f>
        <v/>
      </c>
      <c r="P56" s="469"/>
      <c r="Q56" s="469"/>
      <c r="R56" s="756"/>
      <c r="S56" s="756"/>
      <c r="T56" s="756"/>
      <c r="U56" s="756"/>
      <c r="V56" s="756"/>
      <c r="W56" s="756"/>
      <c r="X56" s="756"/>
      <c r="Y56" s="756"/>
      <c r="Z56" s="756"/>
      <c r="AA56" s="756"/>
      <c r="AB56" s="470"/>
      <c r="AC56" s="470"/>
      <c r="AD56" s="470"/>
      <c r="AE56" s="470"/>
      <c r="AF56" s="470"/>
      <c r="AG56" s="470"/>
      <c r="AH56" s="470"/>
      <c r="AI56" s="470"/>
      <c r="AJ56" s="470"/>
      <c r="AK56" s="470"/>
      <c r="AL56" s="471"/>
      <c r="AM56" s="472"/>
      <c r="AN56" s="473" t="str">
        <f t="shared" si="13"/>
        <v/>
      </c>
      <c r="AO56" s="474" t="str">
        <f t="shared" si="24"/>
        <v/>
      </c>
      <c r="AP56" s="475"/>
      <c r="AQ56" s="687" t="str">
        <f t="shared" si="25"/>
        <v/>
      </c>
      <c r="AR56" s="476"/>
      <c r="AS56" s="474" t="str">
        <f t="shared" si="26"/>
        <v/>
      </c>
      <c r="AT56" s="471"/>
      <c r="AU56" s="472"/>
      <c r="AV56" s="473" t="str">
        <f t="shared" si="14"/>
        <v/>
      </c>
      <c r="AW56" s="474" t="str">
        <f t="shared" si="15"/>
        <v/>
      </c>
      <c r="AX56" s="476"/>
      <c r="AY56" s="474" t="str">
        <f t="shared" si="16"/>
        <v/>
      </c>
      <c r="AZ56" s="477" t="str">
        <f t="shared" si="27"/>
        <v/>
      </c>
      <c r="BA56" s="478" t="str">
        <f t="shared" si="17"/>
        <v/>
      </c>
      <c r="BD56" s="279" t="str">
        <f t="shared" si="28"/>
        <v/>
      </c>
      <c r="BG56" s="279" t="b">
        <f t="shared" si="34"/>
        <v>0</v>
      </c>
      <c r="BI56" s="279" t="str">
        <f t="shared" si="29"/>
        <v>n.a.</v>
      </c>
      <c r="BK56" s="517" t="str">
        <f t="shared" si="30"/>
        <v/>
      </c>
      <c r="BL56" s="517" t="str">
        <f t="shared" si="31"/>
        <v/>
      </c>
      <c r="BM56" s="517" t="str">
        <f t="shared" si="32"/>
        <v/>
      </c>
      <c r="BN56" s="517" t="str">
        <f t="shared" si="33"/>
        <v/>
      </c>
    </row>
    <row r="57" spans="2:66" ht="12.5" x14ac:dyDescent="0.35">
      <c r="B57" s="278"/>
      <c r="C57" s="259">
        <v>48</v>
      </c>
      <c r="D57" s="468"/>
      <c r="E57" s="467" t="str">
        <f t="shared" si="20"/>
        <v/>
      </c>
      <c r="F57" s="733"/>
      <c r="G57" s="716" t="str">
        <f t="shared" si="21"/>
        <v/>
      </c>
      <c r="H57" s="468"/>
      <c r="I57" s="266" t="str">
        <f>IF(OR($D57="",$D57=CONST_NA),"",INDEX(InputOutput!$AK$71:$AK$80,MATCH($D57,InputOutput!$D$71:$D$80,0)))</f>
        <v/>
      </c>
      <c r="J57" s="266" t="str">
        <f>IF(OR($D57="",$D57=CONST_NA),"",INDEX(InputOutput!$AM$71:$AM$80,MATCH($D57,InputOutput!$D$71:$D$80,0)))</f>
        <v/>
      </c>
      <c r="K57" s="266" t="str">
        <f t="shared" si="22"/>
        <v/>
      </c>
      <c r="L57" s="266" t="str">
        <f t="shared" si="23"/>
        <v/>
      </c>
      <c r="M57" s="683" t="str">
        <f>IF($E57="","",INDEX(Summary_Processes!$AG$162:$AG$520,MATCH($D57,Summary_Processes!$D$162:$D$520,0)))</f>
        <v/>
      </c>
      <c r="N57" s="266" t="str">
        <f>IF(D57="","",INDEX(D_Processes!T:T,MATCH(CONST_CNTR_ElecEFMethod&amp;D57,D_Processes!R:R,0)))</f>
        <v/>
      </c>
      <c r="O57" s="266" t="str">
        <f>IF(OR($D57="",$D57=CONST_NA),"",INDEX(InputOutput!$AO$71:$AO$80,MATCH($D57,InputOutput!$D$71:$D$80,0)))</f>
        <v/>
      </c>
      <c r="P57" s="469"/>
      <c r="Q57" s="469"/>
      <c r="R57" s="756"/>
      <c r="S57" s="756"/>
      <c r="T57" s="756"/>
      <c r="U57" s="756"/>
      <c r="V57" s="756"/>
      <c r="W57" s="756"/>
      <c r="X57" s="756"/>
      <c r="Y57" s="756"/>
      <c r="Z57" s="756"/>
      <c r="AA57" s="756"/>
      <c r="AB57" s="470"/>
      <c r="AC57" s="470"/>
      <c r="AD57" s="470"/>
      <c r="AE57" s="470"/>
      <c r="AF57" s="470"/>
      <c r="AG57" s="470"/>
      <c r="AH57" s="470"/>
      <c r="AI57" s="470"/>
      <c r="AJ57" s="470"/>
      <c r="AK57" s="470"/>
      <c r="AL57" s="471"/>
      <c r="AM57" s="472"/>
      <c r="AN57" s="473" t="str">
        <f t="shared" si="13"/>
        <v/>
      </c>
      <c r="AO57" s="474" t="str">
        <f t="shared" si="24"/>
        <v/>
      </c>
      <c r="AP57" s="475"/>
      <c r="AQ57" s="687" t="str">
        <f t="shared" si="25"/>
        <v/>
      </c>
      <c r="AR57" s="476"/>
      <c r="AS57" s="474" t="str">
        <f t="shared" si="26"/>
        <v/>
      </c>
      <c r="AT57" s="471"/>
      <c r="AU57" s="472"/>
      <c r="AV57" s="473" t="str">
        <f t="shared" si="14"/>
        <v/>
      </c>
      <c r="AW57" s="474" t="str">
        <f t="shared" si="15"/>
        <v/>
      </c>
      <c r="AX57" s="476"/>
      <c r="AY57" s="474" t="str">
        <f t="shared" si="16"/>
        <v/>
      </c>
      <c r="AZ57" s="477" t="str">
        <f t="shared" si="27"/>
        <v/>
      </c>
      <c r="BA57" s="478" t="str">
        <f t="shared" si="17"/>
        <v/>
      </c>
      <c r="BD57" s="279" t="str">
        <f t="shared" si="28"/>
        <v/>
      </c>
      <c r="BG57" s="279" t="b">
        <f t="shared" si="34"/>
        <v>0</v>
      </c>
      <c r="BI57" s="279" t="str">
        <f t="shared" si="29"/>
        <v>n.a.</v>
      </c>
      <c r="BK57" s="517" t="str">
        <f t="shared" si="30"/>
        <v/>
      </c>
      <c r="BL57" s="517" t="str">
        <f t="shared" si="31"/>
        <v/>
      </c>
      <c r="BM57" s="517" t="str">
        <f t="shared" si="32"/>
        <v/>
      </c>
      <c r="BN57" s="517" t="str">
        <f t="shared" si="33"/>
        <v/>
      </c>
    </row>
    <row r="58" spans="2:66" ht="12.5" x14ac:dyDescent="0.35">
      <c r="B58" s="278"/>
      <c r="C58" s="259">
        <v>49</v>
      </c>
      <c r="D58" s="468"/>
      <c r="E58" s="467" t="str">
        <f t="shared" si="20"/>
        <v/>
      </c>
      <c r="F58" s="733"/>
      <c r="G58" s="716" t="str">
        <f t="shared" si="21"/>
        <v/>
      </c>
      <c r="H58" s="468"/>
      <c r="I58" s="266" t="str">
        <f>IF(OR($D58="",$D58=CONST_NA),"",INDEX(InputOutput!$AK$71:$AK$80,MATCH($D58,InputOutput!$D$71:$D$80,0)))</f>
        <v/>
      </c>
      <c r="J58" s="266" t="str">
        <f>IF(OR($D58="",$D58=CONST_NA),"",INDEX(InputOutput!$AM$71:$AM$80,MATCH($D58,InputOutput!$D$71:$D$80,0)))</f>
        <v/>
      </c>
      <c r="K58" s="266" t="str">
        <f t="shared" si="22"/>
        <v/>
      </c>
      <c r="L58" s="266" t="str">
        <f t="shared" si="23"/>
        <v/>
      </c>
      <c r="M58" s="683" t="str">
        <f>IF($E58="","",INDEX(Summary_Processes!$AG$162:$AG$520,MATCH($D58,Summary_Processes!$D$162:$D$520,0)))</f>
        <v/>
      </c>
      <c r="N58" s="266" t="str">
        <f>IF(D58="","",INDEX(D_Processes!T:T,MATCH(CONST_CNTR_ElecEFMethod&amp;D58,D_Processes!R:R,0)))</f>
        <v/>
      </c>
      <c r="O58" s="266" t="str">
        <f>IF(OR($D58="",$D58=CONST_NA),"",INDEX(InputOutput!$AO$71:$AO$80,MATCH($D58,InputOutput!$D$71:$D$80,0)))</f>
        <v/>
      </c>
      <c r="P58" s="469"/>
      <c r="Q58" s="469"/>
      <c r="R58" s="756"/>
      <c r="S58" s="756"/>
      <c r="T58" s="756"/>
      <c r="U58" s="756"/>
      <c r="V58" s="756"/>
      <c r="W58" s="756"/>
      <c r="X58" s="756"/>
      <c r="Y58" s="756"/>
      <c r="Z58" s="756"/>
      <c r="AA58" s="756"/>
      <c r="AB58" s="470"/>
      <c r="AC58" s="470"/>
      <c r="AD58" s="470"/>
      <c r="AE58" s="470"/>
      <c r="AF58" s="470"/>
      <c r="AG58" s="470"/>
      <c r="AH58" s="470"/>
      <c r="AI58" s="470"/>
      <c r="AJ58" s="470"/>
      <c r="AK58" s="470"/>
      <c r="AL58" s="471"/>
      <c r="AM58" s="472"/>
      <c r="AN58" s="473" t="str">
        <f t="shared" si="13"/>
        <v/>
      </c>
      <c r="AO58" s="474" t="str">
        <f t="shared" si="24"/>
        <v/>
      </c>
      <c r="AP58" s="475"/>
      <c r="AQ58" s="687" t="str">
        <f t="shared" si="25"/>
        <v/>
      </c>
      <c r="AR58" s="476"/>
      <c r="AS58" s="474" t="str">
        <f t="shared" si="26"/>
        <v/>
      </c>
      <c r="AT58" s="471"/>
      <c r="AU58" s="472"/>
      <c r="AV58" s="473" t="str">
        <f t="shared" si="14"/>
        <v/>
      </c>
      <c r="AW58" s="474" t="str">
        <f t="shared" si="15"/>
        <v/>
      </c>
      <c r="AX58" s="476"/>
      <c r="AY58" s="474" t="str">
        <f t="shared" si="16"/>
        <v/>
      </c>
      <c r="AZ58" s="477" t="str">
        <f t="shared" si="27"/>
        <v/>
      </c>
      <c r="BA58" s="478" t="str">
        <f t="shared" si="17"/>
        <v/>
      </c>
      <c r="BD58" s="279" t="str">
        <f t="shared" si="28"/>
        <v/>
      </c>
      <c r="BG58" s="279" t="b">
        <f t="shared" si="34"/>
        <v>0</v>
      </c>
      <c r="BI58" s="279" t="str">
        <f t="shared" si="29"/>
        <v>n.a.</v>
      </c>
      <c r="BK58" s="517" t="str">
        <f t="shared" si="30"/>
        <v/>
      </c>
      <c r="BL58" s="517" t="str">
        <f t="shared" si="31"/>
        <v/>
      </c>
      <c r="BM58" s="517" t="str">
        <f t="shared" si="32"/>
        <v/>
      </c>
      <c r="BN58" s="517" t="str">
        <f t="shared" si="33"/>
        <v/>
      </c>
    </row>
    <row r="59" spans="2:66" ht="12.5" x14ac:dyDescent="0.35">
      <c r="B59" s="278"/>
      <c r="C59" s="259">
        <v>50</v>
      </c>
      <c r="D59" s="468"/>
      <c r="E59" s="467" t="str">
        <f t="shared" si="20"/>
        <v/>
      </c>
      <c r="F59" s="733"/>
      <c r="G59" s="716" t="str">
        <f t="shared" si="21"/>
        <v/>
      </c>
      <c r="H59" s="468"/>
      <c r="I59" s="266" t="str">
        <f>IF(OR($D59="",$D59=CONST_NA),"",INDEX(InputOutput!$AK$71:$AK$80,MATCH($D59,InputOutput!$D$71:$D$80,0)))</f>
        <v/>
      </c>
      <c r="J59" s="266" t="str">
        <f>IF(OR($D59="",$D59=CONST_NA),"",INDEX(InputOutput!$AM$71:$AM$80,MATCH($D59,InputOutput!$D$71:$D$80,0)))</f>
        <v/>
      </c>
      <c r="K59" s="266" t="str">
        <f t="shared" si="22"/>
        <v/>
      </c>
      <c r="L59" s="266" t="str">
        <f t="shared" si="23"/>
        <v/>
      </c>
      <c r="M59" s="683" t="str">
        <f>IF($E59="","",INDEX(Summary_Processes!$AG$162:$AG$520,MATCH($D59,Summary_Processes!$D$162:$D$520,0)))</f>
        <v/>
      </c>
      <c r="N59" s="266" t="str">
        <f>IF(D59="","",INDEX(D_Processes!T:T,MATCH(CONST_CNTR_ElecEFMethod&amp;D59,D_Processes!R:R,0)))</f>
        <v/>
      </c>
      <c r="O59" s="266" t="str">
        <f>IF(OR($D59="",$D59=CONST_NA),"",INDEX(InputOutput!$AO$71:$AO$80,MATCH($D59,InputOutput!$D$71:$D$80,0)))</f>
        <v/>
      </c>
      <c r="P59" s="469"/>
      <c r="Q59" s="469"/>
      <c r="R59" s="756"/>
      <c r="S59" s="756"/>
      <c r="T59" s="756"/>
      <c r="U59" s="756"/>
      <c r="V59" s="756"/>
      <c r="W59" s="756"/>
      <c r="X59" s="756"/>
      <c r="Y59" s="756"/>
      <c r="Z59" s="756"/>
      <c r="AA59" s="756"/>
      <c r="AB59" s="470"/>
      <c r="AC59" s="470"/>
      <c r="AD59" s="470"/>
      <c r="AE59" s="470"/>
      <c r="AF59" s="470"/>
      <c r="AG59" s="470"/>
      <c r="AH59" s="470"/>
      <c r="AI59" s="470"/>
      <c r="AJ59" s="470"/>
      <c r="AK59" s="470"/>
      <c r="AL59" s="471"/>
      <c r="AM59" s="472"/>
      <c r="AN59" s="473" t="str">
        <f t="shared" si="13"/>
        <v/>
      </c>
      <c r="AO59" s="474" t="str">
        <f t="shared" si="24"/>
        <v/>
      </c>
      <c r="AP59" s="475"/>
      <c r="AQ59" s="687" t="str">
        <f t="shared" si="25"/>
        <v/>
      </c>
      <c r="AR59" s="476"/>
      <c r="AS59" s="474" t="str">
        <f t="shared" si="26"/>
        <v/>
      </c>
      <c r="AT59" s="471"/>
      <c r="AU59" s="472"/>
      <c r="AV59" s="473" t="str">
        <f t="shared" si="14"/>
        <v/>
      </c>
      <c r="AW59" s="474" t="str">
        <f t="shared" si="15"/>
        <v/>
      </c>
      <c r="AX59" s="476"/>
      <c r="AY59" s="474" t="str">
        <f t="shared" si="16"/>
        <v/>
      </c>
      <c r="AZ59" s="477" t="str">
        <f t="shared" si="27"/>
        <v/>
      </c>
      <c r="BA59" s="478" t="str">
        <f t="shared" si="17"/>
        <v/>
      </c>
      <c r="BD59" s="279" t="str">
        <f t="shared" si="28"/>
        <v/>
      </c>
      <c r="BG59" s="279" t="b">
        <f t="shared" si="34"/>
        <v>0</v>
      </c>
      <c r="BI59" s="279" t="str">
        <f t="shared" si="29"/>
        <v>n.a.</v>
      </c>
      <c r="BK59" s="517" t="str">
        <f t="shared" si="30"/>
        <v/>
      </c>
      <c r="BL59" s="517" t="str">
        <f t="shared" si="31"/>
        <v/>
      </c>
      <c r="BM59" s="517" t="str">
        <f t="shared" si="32"/>
        <v/>
      </c>
      <c r="BN59" s="517" t="str">
        <f t="shared" si="33"/>
        <v/>
      </c>
    </row>
    <row r="60" spans="2:66" ht="12.5" x14ac:dyDescent="0.35">
      <c r="B60" s="278"/>
      <c r="C60" s="259">
        <v>51</v>
      </c>
      <c r="D60" s="468"/>
      <c r="E60" s="467" t="str">
        <f t="shared" si="20"/>
        <v/>
      </c>
      <c r="F60" s="733"/>
      <c r="G60" s="716" t="str">
        <f t="shared" si="21"/>
        <v/>
      </c>
      <c r="H60" s="468"/>
      <c r="I60" s="266" t="str">
        <f>IF(OR($D60="",$D60=CONST_NA),"",INDEX(InputOutput!$AK$71:$AK$80,MATCH($D60,InputOutput!$D$71:$D$80,0)))</f>
        <v/>
      </c>
      <c r="J60" s="266" t="str">
        <f>IF(OR($D60="",$D60=CONST_NA),"",INDEX(InputOutput!$AM$71:$AM$80,MATCH($D60,InputOutput!$D$71:$D$80,0)))</f>
        <v/>
      </c>
      <c r="K60" s="266" t="str">
        <f t="shared" si="22"/>
        <v/>
      </c>
      <c r="L60" s="266" t="str">
        <f t="shared" si="23"/>
        <v/>
      </c>
      <c r="M60" s="683" t="str">
        <f>IF($E60="","",INDEX(Summary_Processes!$AG$162:$AG$520,MATCH($D60,Summary_Processes!$D$162:$D$520,0)))</f>
        <v/>
      </c>
      <c r="N60" s="266" t="str">
        <f>IF(D60="","",INDEX(D_Processes!T:T,MATCH(CONST_CNTR_ElecEFMethod&amp;D60,D_Processes!R:R,0)))</f>
        <v/>
      </c>
      <c r="O60" s="266" t="str">
        <f>IF(OR($D60="",$D60=CONST_NA),"",INDEX(InputOutput!$AO$71:$AO$80,MATCH($D60,InputOutput!$D$71:$D$80,0)))</f>
        <v/>
      </c>
      <c r="P60" s="469"/>
      <c r="Q60" s="469"/>
      <c r="R60" s="756"/>
      <c r="S60" s="756"/>
      <c r="T60" s="756"/>
      <c r="U60" s="756"/>
      <c r="V60" s="756"/>
      <c r="W60" s="756"/>
      <c r="X60" s="756"/>
      <c r="Y60" s="756"/>
      <c r="Z60" s="756"/>
      <c r="AA60" s="756"/>
      <c r="AB60" s="470"/>
      <c r="AC60" s="470"/>
      <c r="AD60" s="470"/>
      <c r="AE60" s="470"/>
      <c r="AF60" s="470"/>
      <c r="AG60" s="470"/>
      <c r="AH60" s="470"/>
      <c r="AI60" s="470"/>
      <c r="AJ60" s="470"/>
      <c r="AK60" s="470"/>
      <c r="AL60" s="471"/>
      <c r="AM60" s="472"/>
      <c r="AN60" s="473" t="str">
        <f t="shared" si="13"/>
        <v/>
      </c>
      <c r="AO60" s="474" t="str">
        <f t="shared" si="24"/>
        <v/>
      </c>
      <c r="AP60" s="475"/>
      <c r="AQ60" s="687" t="str">
        <f t="shared" si="25"/>
        <v/>
      </c>
      <c r="AR60" s="476"/>
      <c r="AS60" s="474" t="str">
        <f t="shared" si="26"/>
        <v/>
      </c>
      <c r="AT60" s="471"/>
      <c r="AU60" s="472"/>
      <c r="AV60" s="473" t="str">
        <f t="shared" si="14"/>
        <v/>
      </c>
      <c r="AW60" s="474" t="str">
        <f t="shared" si="15"/>
        <v/>
      </c>
      <c r="AX60" s="476"/>
      <c r="AY60" s="474" t="str">
        <f t="shared" si="16"/>
        <v/>
      </c>
      <c r="AZ60" s="477" t="str">
        <f t="shared" si="27"/>
        <v/>
      </c>
      <c r="BA60" s="478" t="str">
        <f t="shared" si="17"/>
        <v/>
      </c>
      <c r="BD60" s="279" t="str">
        <f t="shared" si="28"/>
        <v/>
      </c>
      <c r="BG60" s="279" t="b">
        <f t="shared" si="34"/>
        <v>0</v>
      </c>
      <c r="BI60" s="279" t="str">
        <f t="shared" si="29"/>
        <v>n.a.</v>
      </c>
      <c r="BK60" s="517" t="str">
        <f t="shared" si="30"/>
        <v/>
      </c>
      <c r="BL60" s="517" t="str">
        <f t="shared" si="31"/>
        <v/>
      </c>
      <c r="BM60" s="517" t="str">
        <f t="shared" si="32"/>
        <v/>
      </c>
      <c r="BN60" s="517" t="str">
        <f t="shared" si="33"/>
        <v/>
      </c>
    </row>
    <row r="61" spans="2:66" ht="12.5" x14ac:dyDescent="0.35">
      <c r="B61" s="278"/>
      <c r="C61" s="259">
        <v>52</v>
      </c>
      <c r="D61" s="468"/>
      <c r="E61" s="467" t="str">
        <f t="shared" si="20"/>
        <v/>
      </c>
      <c r="F61" s="733"/>
      <c r="G61" s="716" t="str">
        <f t="shared" si="21"/>
        <v/>
      </c>
      <c r="H61" s="468"/>
      <c r="I61" s="266" t="str">
        <f>IF(OR($D61="",$D61=CONST_NA),"",INDEX(InputOutput!$AK$71:$AK$80,MATCH($D61,InputOutput!$D$71:$D$80,0)))</f>
        <v/>
      </c>
      <c r="J61" s="266" t="str">
        <f>IF(OR($D61="",$D61=CONST_NA),"",INDEX(InputOutput!$AM$71:$AM$80,MATCH($D61,InputOutput!$D$71:$D$80,0)))</f>
        <v/>
      </c>
      <c r="K61" s="266" t="str">
        <f t="shared" si="22"/>
        <v/>
      </c>
      <c r="L61" s="266" t="str">
        <f t="shared" si="23"/>
        <v/>
      </c>
      <c r="M61" s="683" t="str">
        <f>IF($E61="","",INDEX(Summary_Processes!$AG$162:$AG$520,MATCH($D61,Summary_Processes!$D$162:$D$520,0)))</f>
        <v/>
      </c>
      <c r="N61" s="266" t="str">
        <f>IF(D61="","",INDEX(D_Processes!T:T,MATCH(CONST_CNTR_ElecEFMethod&amp;D61,D_Processes!R:R,0)))</f>
        <v/>
      </c>
      <c r="O61" s="266" t="str">
        <f>IF(OR($D61="",$D61=CONST_NA),"",INDEX(InputOutput!$AO$71:$AO$80,MATCH($D61,InputOutput!$D$71:$D$80,0)))</f>
        <v/>
      </c>
      <c r="P61" s="469"/>
      <c r="Q61" s="469"/>
      <c r="R61" s="756"/>
      <c r="S61" s="756"/>
      <c r="T61" s="756"/>
      <c r="U61" s="756"/>
      <c r="V61" s="756"/>
      <c r="W61" s="756"/>
      <c r="X61" s="756"/>
      <c r="Y61" s="756"/>
      <c r="Z61" s="756"/>
      <c r="AA61" s="756"/>
      <c r="AB61" s="470"/>
      <c r="AC61" s="470"/>
      <c r="AD61" s="470"/>
      <c r="AE61" s="470"/>
      <c r="AF61" s="470"/>
      <c r="AG61" s="470"/>
      <c r="AH61" s="470"/>
      <c r="AI61" s="470"/>
      <c r="AJ61" s="470"/>
      <c r="AK61" s="470"/>
      <c r="AL61" s="471"/>
      <c r="AM61" s="472"/>
      <c r="AN61" s="473" t="str">
        <f t="shared" si="13"/>
        <v/>
      </c>
      <c r="AO61" s="474" t="str">
        <f t="shared" si="24"/>
        <v/>
      </c>
      <c r="AP61" s="475"/>
      <c r="AQ61" s="687" t="str">
        <f t="shared" si="25"/>
        <v/>
      </c>
      <c r="AR61" s="476"/>
      <c r="AS61" s="474" t="str">
        <f t="shared" si="26"/>
        <v/>
      </c>
      <c r="AT61" s="471"/>
      <c r="AU61" s="472"/>
      <c r="AV61" s="473" t="str">
        <f t="shared" si="14"/>
        <v/>
      </c>
      <c r="AW61" s="474" t="str">
        <f t="shared" si="15"/>
        <v/>
      </c>
      <c r="AX61" s="476"/>
      <c r="AY61" s="474" t="str">
        <f t="shared" si="16"/>
        <v/>
      </c>
      <c r="AZ61" s="477" t="str">
        <f t="shared" si="27"/>
        <v/>
      </c>
      <c r="BA61" s="478" t="str">
        <f t="shared" si="17"/>
        <v/>
      </c>
      <c r="BD61" s="279" t="str">
        <f t="shared" si="28"/>
        <v/>
      </c>
      <c r="BG61" s="279" t="b">
        <f t="shared" si="34"/>
        <v>0</v>
      </c>
      <c r="BI61" s="279" t="str">
        <f t="shared" si="29"/>
        <v>n.a.</v>
      </c>
      <c r="BK61" s="517" t="str">
        <f t="shared" si="30"/>
        <v/>
      </c>
      <c r="BL61" s="517" t="str">
        <f t="shared" si="31"/>
        <v/>
      </c>
      <c r="BM61" s="517" t="str">
        <f t="shared" si="32"/>
        <v/>
      </c>
      <c r="BN61" s="517" t="str">
        <f t="shared" si="33"/>
        <v/>
      </c>
    </row>
    <row r="62" spans="2:66" ht="12.5" x14ac:dyDescent="0.35">
      <c r="B62" s="278"/>
      <c r="C62" s="259">
        <v>53</v>
      </c>
      <c r="D62" s="468"/>
      <c r="E62" s="467" t="str">
        <f t="shared" si="20"/>
        <v/>
      </c>
      <c r="F62" s="733"/>
      <c r="G62" s="716" t="str">
        <f t="shared" si="21"/>
        <v/>
      </c>
      <c r="H62" s="468"/>
      <c r="I62" s="266" t="str">
        <f>IF(OR($D62="",$D62=CONST_NA),"",INDEX(InputOutput!$AK$71:$AK$80,MATCH($D62,InputOutput!$D$71:$D$80,0)))</f>
        <v/>
      </c>
      <c r="J62" s="266" t="str">
        <f>IF(OR($D62="",$D62=CONST_NA),"",INDEX(InputOutput!$AM$71:$AM$80,MATCH($D62,InputOutput!$D$71:$D$80,0)))</f>
        <v/>
      </c>
      <c r="K62" s="266" t="str">
        <f t="shared" si="22"/>
        <v/>
      </c>
      <c r="L62" s="266" t="str">
        <f t="shared" si="23"/>
        <v/>
      </c>
      <c r="M62" s="683" t="str">
        <f>IF($E62="","",INDEX(Summary_Processes!$AG$162:$AG$520,MATCH($D62,Summary_Processes!$D$162:$D$520,0)))</f>
        <v/>
      </c>
      <c r="N62" s="266" t="str">
        <f>IF(D62="","",INDEX(D_Processes!T:T,MATCH(CONST_CNTR_ElecEFMethod&amp;D62,D_Processes!R:R,0)))</f>
        <v/>
      </c>
      <c r="O62" s="266" t="str">
        <f>IF(OR($D62="",$D62=CONST_NA),"",INDEX(InputOutput!$AO$71:$AO$80,MATCH($D62,InputOutput!$D$71:$D$80,0)))</f>
        <v/>
      </c>
      <c r="P62" s="469"/>
      <c r="Q62" s="469"/>
      <c r="R62" s="756"/>
      <c r="S62" s="756"/>
      <c r="T62" s="756"/>
      <c r="U62" s="756"/>
      <c r="V62" s="756"/>
      <c r="W62" s="756"/>
      <c r="X62" s="756"/>
      <c r="Y62" s="756"/>
      <c r="Z62" s="756"/>
      <c r="AA62" s="756"/>
      <c r="AB62" s="470"/>
      <c r="AC62" s="470"/>
      <c r="AD62" s="470"/>
      <c r="AE62" s="470"/>
      <c r="AF62" s="470"/>
      <c r="AG62" s="470"/>
      <c r="AH62" s="470"/>
      <c r="AI62" s="470"/>
      <c r="AJ62" s="470"/>
      <c r="AK62" s="470"/>
      <c r="AL62" s="471"/>
      <c r="AM62" s="472"/>
      <c r="AN62" s="473" t="str">
        <f t="shared" si="13"/>
        <v/>
      </c>
      <c r="AO62" s="474" t="str">
        <f t="shared" si="24"/>
        <v/>
      </c>
      <c r="AP62" s="475"/>
      <c r="AQ62" s="687" t="str">
        <f t="shared" si="25"/>
        <v/>
      </c>
      <c r="AR62" s="476"/>
      <c r="AS62" s="474" t="str">
        <f t="shared" si="26"/>
        <v/>
      </c>
      <c r="AT62" s="471"/>
      <c r="AU62" s="472"/>
      <c r="AV62" s="473" t="str">
        <f t="shared" si="14"/>
        <v/>
      </c>
      <c r="AW62" s="474" t="str">
        <f t="shared" si="15"/>
        <v/>
      </c>
      <c r="AX62" s="476"/>
      <c r="AY62" s="474" t="str">
        <f t="shared" si="16"/>
        <v/>
      </c>
      <c r="AZ62" s="477" t="str">
        <f t="shared" si="27"/>
        <v/>
      </c>
      <c r="BA62" s="478" t="str">
        <f t="shared" si="17"/>
        <v/>
      </c>
      <c r="BD62" s="279" t="str">
        <f t="shared" si="28"/>
        <v/>
      </c>
      <c r="BG62" s="279" t="b">
        <f t="shared" si="34"/>
        <v>0</v>
      </c>
      <c r="BI62" s="279" t="str">
        <f t="shared" si="29"/>
        <v>n.a.</v>
      </c>
      <c r="BK62" s="517" t="str">
        <f t="shared" si="30"/>
        <v/>
      </c>
      <c r="BL62" s="517" t="str">
        <f t="shared" si="31"/>
        <v/>
      </c>
      <c r="BM62" s="517" t="str">
        <f t="shared" si="32"/>
        <v/>
      </c>
      <c r="BN62" s="517" t="str">
        <f t="shared" si="33"/>
        <v/>
      </c>
    </row>
    <row r="63" spans="2:66" ht="12.5" x14ac:dyDescent="0.35">
      <c r="B63" s="278"/>
      <c r="C63" s="259">
        <v>54</v>
      </c>
      <c r="D63" s="468"/>
      <c r="E63" s="467" t="str">
        <f t="shared" si="20"/>
        <v/>
      </c>
      <c r="F63" s="733"/>
      <c r="G63" s="716" t="str">
        <f t="shared" si="21"/>
        <v/>
      </c>
      <c r="H63" s="468"/>
      <c r="I63" s="266" t="str">
        <f>IF(OR($D63="",$D63=CONST_NA),"",INDEX(InputOutput!$AK$71:$AK$80,MATCH($D63,InputOutput!$D$71:$D$80,0)))</f>
        <v/>
      </c>
      <c r="J63" s="266" t="str">
        <f>IF(OR($D63="",$D63=CONST_NA),"",INDEX(InputOutput!$AM$71:$AM$80,MATCH($D63,InputOutput!$D$71:$D$80,0)))</f>
        <v/>
      </c>
      <c r="K63" s="266" t="str">
        <f t="shared" si="22"/>
        <v/>
      </c>
      <c r="L63" s="266" t="str">
        <f t="shared" si="23"/>
        <v/>
      </c>
      <c r="M63" s="683" t="str">
        <f>IF($E63="","",INDEX(Summary_Processes!$AG$162:$AG$520,MATCH($D63,Summary_Processes!$D$162:$D$520,0)))</f>
        <v/>
      </c>
      <c r="N63" s="266" t="str">
        <f>IF(D63="","",INDEX(D_Processes!T:T,MATCH(CONST_CNTR_ElecEFMethod&amp;D63,D_Processes!R:R,0)))</f>
        <v/>
      </c>
      <c r="O63" s="266" t="str">
        <f>IF(OR($D63="",$D63=CONST_NA),"",INDEX(InputOutput!$AO$71:$AO$80,MATCH($D63,InputOutput!$D$71:$D$80,0)))</f>
        <v/>
      </c>
      <c r="P63" s="469"/>
      <c r="Q63" s="469"/>
      <c r="R63" s="756"/>
      <c r="S63" s="756"/>
      <c r="T63" s="756"/>
      <c r="U63" s="756"/>
      <c r="V63" s="756"/>
      <c r="W63" s="756"/>
      <c r="X63" s="756"/>
      <c r="Y63" s="756"/>
      <c r="Z63" s="756"/>
      <c r="AA63" s="756"/>
      <c r="AB63" s="470"/>
      <c r="AC63" s="470"/>
      <c r="AD63" s="470"/>
      <c r="AE63" s="470"/>
      <c r="AF63" s="470"/>
      <c r="AG63" s="470"/>
      <c r="AH63" s="470"/>
      <c r="AI63" s="470"/>
      <c r="AJ63" s="470"/>
      <c r="AK63" s="470"/>
      <c r="AL63" s="471"/>
      <c r="AM63" s="472"/>
      <c r="AN63" s="473" t="str">
        <f t="shared" si="13"/>
        <v/>
      </c>
      <c r="AO63" s="474" t="str">
        <f t="shared" si="24"/>
        <v/>
      </c>
      <c r="AP63" s="475"/>
      <c r="AQ63" s="687" t="str">
        <f t="shared" si="25"/>
        <v/>
      </c>
      <c r="AR63" s="476"/>
      <c r="AS63" s="474" t="str">
        <f t="shared" si="26"/>
        <v/>
      </c>
      <c r="AT63" s="471"/>
      <c r="AU63" s="472"/>
      <c r="AV63" s="473" t="str">
        <f t="shared" si="14"/>
        <v/>
      </c>
      <c r="AW63" s="474" t="str">
        <f t="shared" si="15"/>
        <v/>
      </c>
      <c r="AX63" s="476"/>
      <c r="AY63" s="474" t="str">
        <f t="shared" si="16"/>
        <v/>
      </c>
      <c r="AZ63" s="477" t="str">
        <f t="shared" si="27"/>
        <v/>
      </c>
      <c r="BA63" s="478" t="str">
        <f t="shared" si="17"/>
        <v/>
      </c>
      <c r="BD63" s="279" t="str">
        <f t="shared" si="28"/>
        <v/>
      </c>
      <c r="BG63" s="279" t="b">
        <f t="shared" si="34"/>
        <v>0</v>
      </c>
      <c r="BI63" s="279" t="str">
        <f t="shared" si="29"/>
        <v>n.a.</v>
      </c>
      <c r="BK63" s="517" t="str">
        <f t="shared" si="30"/>
        <v/>
      </c>
      <c r="BL63" s="517" t="str">
        <f t="shared" si="31"/>
        <v/>
      </c>
      <c r="BM63" s="517" t="str">
        <f t="shared" si="32"/>
        <v/>
      </c>
      <c r="BN63" s="517" t="str">
        <f t="shared" si="33"/>
        <v/>
      </c>
    </row>
    <row r="64" spans="2:66" ht="12.5" x14ac:dyDescent="0.35">
      <c r="B64" s="278"/>
      <c r="C64" s="259">
        <v>55</v>
      </c>
      <c r="D64" s="468"/>
      <c r="E64" s="467" t="str">
        <f t="shared" si="20"/>
        <v/>
      </c>
      <c r="F64" s="733"/>
      <c r="G64" s="716" t="str">
        <f t="shared" si="21"/>
        <v/>
      </c>
      <c r="H64" s="468"/>
      <c r="I64" s="266" t="str">
        <f>IF(OR($D64="",$D64=CONST_NA),"",INDEX(InputOutput!$AK$71:$AK$80,MATCH($D64,InputOutput!$D$71:$D$80,0)))</f>
        <v/>
      </c>
      <c r="J64" s="266" t="str">
        <f>IF(OR($D64="",$D64=CONST_NA),"",INDEX(InputOutput!$AM$71:$AM$80,MATCH($D64,InputOutput!$D$71:$D$80,0)))</f>
        <v/>
      </c>
      <c r="K64" s="266" t="str">
        <f t="shared" si="22"/>
        <v/>
      </c>
      <c r="L64" s="266" t="str">
        <f t="shared" si="23"/>
        <v/>
      </c>
      <c r="M64" s="683" t="str">
        <f>IF($E64="","",INDEX(Summary_Processes!$AG$162:$AG$520,MATCH($D64,Summary_Processes!$D$162:$D$520,0)))</f>
        <v/>
      </c>
      <c r="N64" s="266" t="str">
        <f>IF(D64="","",INDEX(D_Processes!T:T,MATCH(CONST_CNTR_ElecEFMethod&amp;D64,D_Processes!R:R,0)))</f>
        <v/>
      </c>
      <c r="O64" s="266" t="str">
        <f>IF(OR($D64="",$D64=CONST_NA),"",INDEX(InputOutput!$AO$71:$AO$80,MATCH($D64,InputOutput!$D$71:$D$80,0)))</f>
        <v/>
      </c>
      <c r="P64" s="469"/>
      <c r="Q64" s="469"/>
      <c r="R64" s="756"/>
      <c r="S64" s="756"/>
      <c r="T64" s="756"/>
      <c r="U64" s="756"/>
      <c r="V64" s="756"/>
      <c r="W64" s="756"/>
      <c r="X64" s="756"/>
      <c r="Y64" s="756"/>
      <c r="Z64" s="756"/>
      <c r="AA64" s="756"/>
      <c r="AB64" s="470"/>
      <c r="AC64" s="470"/>
      <c r="AD64" s="470"/>
      <c r="AE64" s="470"/>
      <c r="AF64" s="470"/>
      <c r="AG64" s="470"/>
      <c r="AH64" s="470"/>
      <c r="AI64" s="470"/>
      <c r="AJ64" s="470"/>
      <c r="AK64" s="470"/>
      <c r="AL64" s="471"/>
      <c r="AM64" s="472"/>
      <c r="AN64" s="473" t="str">
        <f t="shared" si="13"/>
        <v/>
      </c>
      <c r="AO64" s="474" t="str">
        <f t="shared" si="24"/>
        <v/>
      </c>
      <c r="AP64" s="475"/>
      <c r="AQ64" s="687" t="str">
        <f t="shared" si="25"/>
        <v/>
      </c>
      <c r="AR64" s="476"/>
      <c r="AS64" s="474" t="str">
        <f t="shared" si="26"/>
        <v/>
      </c>
      <c r="AT64" s="471"/>
      <c r="AU64" s="472"/>
      <c r="AV64" s="473" t="str">
        <f t="shared" si="14"/>
        <v/>
      </c>
      <c r="AW64" s="474" t="str">
        <f t="shared" si="15"/>
        <v/>
      </c>
      <c r="AX64" s="476"/>
      <c r="AY64" s="474" t="str">
        <f t="shared" si="16"/>
        <v/>
      </c>
      <c r="AZ64" s="477" t="str">
        <f t="shared" si="27"/>
        <v/>
      </c>
      <c r="BA64" s="478" t="str">
        <f t="shared" si="17"/>
        <v/>
      </c>
      <c r="BD64" s="279" t="str">
        <f t="shared" si="28"/>
        <v/>
      </c>
      <c r="BG64" s="279" t="b">
        <f t="shared" si="34"/>
        <v>0</v>
      </c>
      <c r="BI64" s="279" t="str">
        <f t="shared" si="29"/>
        <v>n.a.</v>
      </c>
      <c r="BK64" s="517" t="str">
        <f t="shared" si="30"/>
        <v/>
      </c>
      <c r="BL64" s="517" t="str">
        <f t="shared" si="31"/>
        <v/>
      </c>
      <c r="BM64" s="517" t="str">
        <f t="shared" si="32"/>
        <v/>
      </c>
      <c r="BN64" s="517" t="str">
        <f t="shared" si="33"/>
        <v/>
      </c>
    </row>
    <row r="65" spans="2:66" ht="12.5" x14ac:dyDescent="0.35">
      <c r="B65" s="278"/>
      <c r="C65" s="259">
        <v>56</v>
      </c>
      <c r="D65" s="468"/>
      <c r="E65" s="467" t="str">
        <f t="shared" si="20"/>
        <v/>
      </c>
      <c r="F65" s="733"/>
      <c r="G65" s="716" t="str">
        <f t="shared" si="21"/>
        <v/>
      </c>
      <c r="H65" s="468"/>
      <c r="I65" s="266" t="str">
        <f>IF(OR($D65="",$D65=CONST_NA),"",INDEX(InputOutput!$AK$71:$AK$80,MATCH($D65,InputOutput!$D$71:$D$80,0)))</f>
        <v/>
      </c>
      <c r="J65" s="266" t="str">
        <f>IF(OR($D65="",$D65=CONST_NA),"",INDEX(InputOutput!$AM$71:$AM$80,MATCH($D65,InputOutput!$D$71:$D$80,0)))</f>
        <v/>
      </c>
      <c r="K65" s="266" t="str">
        <f t="shared" si="22"/>
        <v/>
      </c>
      <c r="L65" s="266" t="str">
        <f t="shared" si="23"/>
        <v/>
      </c>
      <c r="M65" s="683" t="str">
        <f>IF($E65="","",INDEX(Summary_Processes!$AG$162:$AG$520,MATCH($D65,Summary_Processes!$D$162:$D$520,0)))</f>
        <v/>
      </c>
      <c r="N65" s="266" t="str">
        <f>IF(D65="","",INDEX(D_Processes!T:T,MATCH(CONST_CNTR_ElecEFMethod&amp;D65,D_Processes!R:R,0)))</f>
        <v/>
      </c>
      <c r="O65" s="266" t="str">
        <f>IF(OR($D65="",$D65=CONST_NA),"",INDEX(InputOutput!$AO$71:$AO$80,MATCH($D65,InputOutput!$D$71:$D$80,0)))</f>
        <v/>
      </c>
      <c r="P65" s="469"/>
      <c r="Q65" s="469"/>
      <c r="R65" s="756"/>
      <c r="S65" s="756"/>
      <c r="T65" s="756"/>
      <c r="U65" s="756"/>
      <c r="V65" s="756"/>
      <c r="W65" s="756"/>
      <c r="X65" s="756"/>
      <c r="Y65" s="756"/>
      <c r="Z65" s="756"/>
      <c r="AA65" s="756"/>
      <c r="AB65" s="470"/>
      <c r="AC65" s="470"/>
      <c r="AD65" s="470"/>
      <c r="AE65" s="470"/>
      <c r="AF65" s="470"/>
      <c r="AG65" s="470"/>
      <c r="AH65" s="470"/>
      <c r="AI65" s="470"/>
      <c r="AJ65" s="470"/>
      <c r="AK65" s="470"/>
      <c r="AL65" s="471"/>
      <c r="AM65" s="472"/>
      <c r="AN65" s="473" t="str">
        <f t="shared" si="13"/>
        <v/>
      </c>
      <c r="AO65" s="474" t="str">
        <f t="shared" si="24"/>
        <v/>
      </c>
      <c r="AP65" s="475"/>
      <c r="AQ65" s="687" t="str">
        <f t="shared" si="25"/>
        <v/>
      </c>
      <c r="AR65" s="476"/>
      <c r="AS65" s="474" t="str">
        <f t="shared" si="26"/>
        <v/>
      </c>
      <c r="AT65" s="471"/>
      <c r="AU65" s="472"/>
      <c r="AV65" s="473" t="str">
        <f t="shared" si="14"/>
        <v/>
      </c>
      <c r="AW65" s="474" t="str">
        <f t="shared" si="15"/>
        <v/>
      </c>
      <c r="AX65" s="476"/>
      <c r="AY65" s="474" t="str">
        <f t="shared" si="16"/>
        <v/>
      </c>
      <c r="AZ65" s="477" t="str">
        <f t="shared" si="27"/>
        <v/>
      </c>
      <c r="BA65" s="478" t="str">
        <f t="shared" si="17"/>
        <v/>
      </c>
      <c r="BD65" s="279" t="str">
        <f t="shared" si="28"/>
        <v/>
      </c>
      <c r="BG65" s="279" t="b">
        <f t="shared" si="34"/>
        <v>0</v>
      </c>
      <c r="BI65" s="279" t="str">
        <f t="shared" si="29"/>
        <v>n.a.</v>
      </c>
      <c r="BK65" s="517" t="str">
        <f t="shared" si="30"/>
        <v/>
      </c>
      <c r="BL65" s="517" t="str">
        <f t="shared" si="31"/>
        <v/>
      </c>
      <c r="BM65" s="517" t="str">
        <f t="shared" si="32"/>
        <v/>
      </c>
      <c r="BN65" s="517" t="str">
        <f t="shared" si="33"/>
        <v/>
      </c>
    </row>
    <row r="66" spans="2:66" ht="12.5" x14ac:dyDescent="0.35">
      <c r="B66" s="278"/>
      <c r="C66" s="259">
        <v>57</v>
      </c>
      <c r="D66" s="468"/>
      <c r="E66" s="467" t="str">
        <f t="shared" si="20"/>
        <v/>
      </c>
      <c r="F66" s="733"/>
      <c r="G66" s="716" t="str">
        <f t="shared" si="21"/>
        <v/>
      </c>
      <c r="H66" s="468"/>
      <c r="I66" s="266" t="str">
        <f>IF(OR($D66="",$D66=CONST_NA),"",INDEX(InputOutput!$AK$71:$AK$80,MATCH($D66,InputOutput!$D$71:$D$80,0)))</f>
        <v/>
      </c>
      <c r="J66" s="266" t="str">
        <f>IF(OR($D66="",$D66=CONST_NA),"",INDEX(InputOutput!$AM$71:$AM$80,MATCH($D66,InputOutput!$D$71:$D$80,0)))</f>
        <v/>
      </c>
      <c r="K66" s="266" t="str">
        <f t="shared" si="22"/>
        <v/>
      </c>
      <c r="L66" s="266" t="str">
        <f t="shared" si="23"/>
        <v/>
      </c>
      <c r="M66" s="683" t="str">
        <f>IF($E66="","",INDEX(Summary_Processes!$AG$162:$AG$520,MATCH($D66,Summary_Processes!$D$162:$D$520,0)))</f>
        <v/>
      </c>
      <c r="N66" s="266" t="str">
        <f>IF(D66="","",INDEX(D_Processes!T:T,MATCH(CONST_CNTR_ElecEFMethod&amp;D66,D_Processes!R:R,0)))</f>
        <v/>
      </c>
      <c r="O66" s="266" t="str">
        <f>IF(OR($D66="",$D66=CONST_NA),"",INDEX(InputOutput!$AO$71:$AO$80,MATCH($D66,InputOutput!$D$71:$D$80,0)))</f>
        <v/>
      </c>
      <c r="P66" s="469"/>
      <c r="Q66" s="469"/>
      <c r="R66" s="756"/>
      <c r="S66" s="756"/>
      <c r="T66" s="756"/>
      <c r="U66" s="756"/>
      <c r="V66" s="756"/>
      <c r="W66" s="756"/>
      <c r="X66" s="756"/>
      <c r="Y66" s="756"/>
      <c r="Z66" s="756"/>
      <c r="AA66" s="756"/>
      <c r="AB66" s="470"/>
      <c r="AC66" s="470"/>
      <c r="AD66" s="470"/>
      <c r="AE66" s="470"/>
      <c r="AF66" s="470"/>
      <c r="AG66" s="470"/>
      <c r="AH66" s="470"/>
      <c r="AI66" s="470"/>
      <c r="AJ66" s="470"/>
      <c r="AK66" s="470"/>
      <c r="AL66" s="471"/>
      <c r="AM66" s="472"/>
      <c r="AN66" s="473" t="str">
        <f t="shared" si="13"/>
        <v/>
      </c>
      <c r="AO66" s="474" t="str">
        <f t="shared" si="24"/>
        <v/>
      </c>
      <c r="AP66" s="475"/>
      <c r="AQ66" s="687" t="str">
        <f t="shared" si="25"/>
        <v/>
      </c>
      <c r="AR66" s="476"/>
      <c r="AS66" s="474" t="str">
        <f t="shared" si="26"/>
        <v/>
      </c>
      <c r="AT66" s="471"/>
      <c r="AU66" s="472"/>
      <c r="AV66" s="473" t="str">
        <f t="shared" si="14"/>
        <v/>
      </c>
      <c r="AW66" s="474" t="str">
        <f t="shared" si="15"/>
        <v/>
      </c>
      <c r="AX66" s="476"/>
      <c r="AY66" s="474" t="str">
        <f t="shared" si="16"/>
        <v/>
      </c>
      <c r="AZ66" s="477" t="str">
        <f t="shared" si="27"/>
        <v/>
      </c>
      <c r="BA66" s="478" t="str">
        <f t="shared" si="17"/>
        <v/>
      </c>
      <c r="BD66" s="279" t="str">
        <f t="shared" si="28"/>
        <v/>
      </c>
      <c r="BG66" s="279" t="b">
        <f t="shared" si="34"/>
        <v>0</v>
      </c>
      <c r="BI66" s="279" t="str">
        <f t="shared" si="29"/>
        <v>n.a.</v>
      </c>
      <c r="BK66" s="517" t="str">
        <f t="shared" si="30"/>
        <v/>
      </c>
      <c r="BL66" s="517" t="str">
        <f t="shared" si="31"/>
        <v/>
      </c>
      <c r="BM66" s="517" t="str">
        <f t="shared" si="32"/>
        <v/>
      </c>
      <c r="BN66" s="517" t="str">
        <f t="shared" si="33"/>
        <v/>
      </c>
    </row>
    <row r="67" spans="2:66" ht="12.5" x14ac:dyDescent="0.35">
      <c r="B67" s="278"/>
      <c r="C67" s="259">
        <v>58</v>
      </c>
      <c r="D67" s="468"/>
      <c r="E67" s="467" t="str">
        <f t="shared" si="20"/>
        <v/>
      </c>
      <c r="F67" s="733"/>
      <c r="G67" s="716" t="str">
        <f t="shared" si="21"/>
        <v/>
      </c>
      <c r="H67" s="468"/>
      <c r="I67" s="266" t="str">
        <f>IF(OR($D67="",$D67=CONST_NA),"",INDEX(InputOutput!$AK$71:$AK$80,MATCH($D67,InputOutput!$D$71:$D$80,0)))</f>
        <v/>
      </c>
      <c r="J67" s="266" t="str">
        <f>IF(OR($D67="",$D67=CONST_NA),"",INDEX(InputOutput!$AM$71:$AM$80,MATCH($D67,InputOutput!$D$71:$D$80,0)))</f>
        <v/>
      </c>
      <c r="K67" s="266" t="str">
        <f t="shared" si="22"/>
        <v/>
      </c>
      <c r="L67" s="266" t="str">
        <f t="shared" si="23"/>
        <v/>
      </c>
      <c r="M67" s="683" t="str">
        <f>IF($E67="","",INDEX(Summary_Processes!$AG$162:$AG$520,MATCH($D67,Summary_Processes!$D$162:$D$520,0)))</f>
        <v/>
      </c>
      <c r="N67" s="266" t="str">
        <f>IF(D67="","",INDEX(D_Processes!T:T,MATCH(CONST_CNTR_ElecEFMethod&amp;D67,D_Processes!R:R,0)))</f>
        <v/>
      </c>
      <c r="O67" s="266" t="str">
        <f>IF(OR($D67="",$D67=CONST_NA),"",INDEX(InputOutput!$AO$71:$AO$80,MATCH($D67,InputOutput!$D$71:$D$80,0)))</f>
        <v/>
      </c>
      <c r="P67" s="469"/>
      <c r="Q67" s="469"/>
      <c r="R67" s="756"/>
      <c r="S67" s="756"/>
      <c r="T67" s="756"/>
      <c r="U67" s="756"/>
      <c r="V67" s="756"/>
      <c r="W67" s="756"/>
      <c r="X67" s="756"/>
      <c r="Y67" s="756"/>
      <c r="Z67" s="756"/>
      <c r="AA67" s="756"/>
      <c r="AB67" s="470"/>
      <c r="AC67" s="470"/>
      <c r="AD67" s="470"/>
      <c r="AE67" s="470"/>
      <c r="AF67" s="470"/>
      <c r="AG67" s="470"/>
      <c r="AH67" s="470"/>
      <c r="AI67" s="470"/>
      <c r="AJ67" s="470"/>
      <c r="AK67" s="470"/>
      <c r="AL67" s="471"/>
      <c r="AM67" s="472"/>
      <c r="AN67" s="473" t="str">
        <f t="shared" si="13"/>
        <v/>
      </c>
      <c r="AO67" s="474" t="str">
        <f t="shared" si="24"/>
        <v/>
      </c>
      <c r="AP67" s="475"/>
      <c r="AQ67" s="687" t="str">
        <f t="shared" si="25"/>
        <v/>
      </c>
      <c r="AR67" s="476"/>
      <c r="AS67" s="474" t="str">
        <f t="shared" si="26"/>
        <v/>
      </c>
      <c r="AT67" s="471"/>
      <c r="AU67" s="472"/>
      <c r="AV67" s="473" t="str">
        <f t="shared" si="14"/>
        <v/>
      </c>
      <c r="AW67" s="474" t="str">
        <f t="shared" si="15"/>
        <v/>
      </c>
      <c r="AX67" s="476"/>
      <c r="AY67" s="474" t="str">
        <f t="shared" si="16"/>
        <v/>
      </c>
      <c r="AZ67" s="477" t="str">
        <f t="shared" si="27"/>
        <v/>
      </c>
      <c r="BA67" s="478" t="str">
        <f t="shared" si="17"/>
        <v/>
      </c>
      <c r="BD67" s="279" t="str">
        <f t="shared" si="28"/>
        <v/>
      </c>
      <c r="BG67" s="279" t="b">
        <f t="shared" si="34"/>
        <v>0</v>
      </c>
      <c r="BI67" s="279" t="str">
        <f t="shared" si="29"/>
        <v>n.a.</v>
      </c>
      <c r="BK67" s="517" t="str">
        <f t="shared" si="30"/>
        <v/>
      </c>
      <c r="BL67" s="517" t="str">
        <f t="shared" si="31"/>
        <v/>
      </c>
      <c r="BM67" s="517" t="str">
        <f t="shared" si="32"/>
        <v/>
      </c>
      <c r="BN67" s="517" t="str">
        <f t="shared" si="33"/>
        <v/>
      </c>
    </row>
    <row r="68" spans="2:66" ht="12.5" x14ac:dyDescent="0.35">
      <c r="B68" s="278"/>
      <c r="C68" s="259">
        <v>59</v>
      </c>
      <c r="D68" s="468"/>
      <c r="E68" s="467" t="str">
        <f t="shared" si="20"/>
        <v/>
      </c>
      <c r="F68" s="733"/>
      <c r="G68" s="716" t="str">
        <f t="shared" si="21"/>
        <v/>
      </c>
      <c r="H68" s="468"/>
      <c r="I68" s="266" t="str">
        <f>IF(OR($D68="",$D68=CONST_NA),"",INDEX(InputOutput!$AK$71:$AK$80,MATCH($D68,InputOutput!$D$71:$D$80,0)))</f>
        <v/>
      </c>
      <c r="J68" s="266" t="str">
        <f>IF(OR($D68="",$D68=CONST_NA),"",INDEX(InputOutput!$AM$71:$AM$80,MATCH($D68,InputOutput!$D$71:$D$80,0)))</f>
        <v/>
      </c>
      <c r="K68" s="266" t="str">
        <f t="shared" si="22"/>
        <v/>
      </c>
      <c r="L68" s="266" t="str">
        <f t="shared" si="23"/>
        <v/>
      </c>
      <c r="M68" s="683" t="str">
        <f>IF($E68="","",INDEX(Summary_Processes!$AG$162:$AG$520,MATCH($D68,Summary_Processes!$D$162:$D$520,0)))</f>
        <v/>
      </c>
      <c r="N68" s="266" t="str">
        <f>IF(D68="","",INDEX(D_Processes!T:T,MATCH(CONST_CNTR_ElecEFMethod&amp;D68,D_Processes!R:R,0)))</f>
        <v/>
      </c>
      <c r="O68" s="266" t="str">
        <f>IF(OR($D68="",$D68=CONST_NA),"",INDEX(InputOutput!$AO$71:$AO$80,MATCH($D68,InputOutput!$D$71:$D$80,0)))</f>
        <v/>
      </c>
      <c r="P68" s="469"/>
      <c r="Q68" s="469"/>
      <c r="R68" s="756"/>
      <c r="S68" s="756"/>
      <c r="T68" s="756"/>
      <c r="U68" s="756"/>
      <c r="V68" s="756"/>
      <c r="W68" s="756"/>
      <c r="X68" s="756"/>
      <c r="Y68" s="756"/>
      <c r="Z68" s="756"/>
      <c r="AA68" s="756"/>
      <c r="AB68" s="470"/>
      <c r="AC68" s="470"/>
      <c r="AD68" s="470"/>
      <c r="AE68" s="470"/>
      <c r="AF68" s="470"/>
      <c r="AG68" s="470"/>
      <c r="AH68" s="470"/>
      <c r="AI68" s="470"/>
      <c r="AJ68" s="470"/>
      <c r="AK68" s="470"/>
      <c r="AL68" s="471"/>
      <c r="AM68" s="472"/>
      <c r="AN68" s="473" t="str">
        <f t="shared" si="13"/>
        <v/>
      </c>
      <c r="AO68" s="474" t="str">
        <f t="shared" si="24"/>
        <v/>
      </c>
      <c r="AP68" s="475"/>
      <c r="AQ68" s="687" t="str">
        <f t="shared" si="25"/>
        <v/>
      </c>
      <c r="AR68" s="476"/>
      <c r="AS68" s="474" t="str">
        <f t="shared" si="26"/>
        <v/>
      </c>
      <c r="AT68" s="471"/>
      <c r="AU68" s="472"/>
      <c r="AV68" s="473" t="str">
        <f t="shared" si="14"/>
        <v/>
      </c>
      <c r="AW68" s="474" t="str">
        <f t="shared" si="15"/>
        <v/>
      </c>
      <c r="AX68" s="476"/>
      <c r="AY68" s="474" t="str">
        <f t="shared" si="16"/>
        <v/>
      </c>
      <c r="AZ68" s="477" t="str">
        <f t="shared" si="27"/>
        <v/>
      </c>
      <c r="BA68" s="478" t="str">
        <f t="shared" si="17"/>
        <v/>
      </c>
      <c r="BD68" s="279" t="str">
        <f t="shared" si="28"/>
        <v/>
      </c>
      <c r="BG68" s="279" t="b">
        <f t="shared" si="34"/>
        <v>0</v>
      </c>
      <c r="BI68" s="279" t="str">
        <f t="shared" si="29"/>
        <v>n.a.</v>
      </c>
      <c r="BK68" s="517" t="str">
        <f t="shared" si="30"/>
        <v/>
      </c>
      <c r="BL68" s="517" t="str">
        <f t="shared" si="31"/>
        <v/>
      </c>
      <c r="BM68" s="517" t="str">
        <f t="shared" si="32"/>
        <v/>
      </c>
      <c r="BN68" s="517" t="str">
        <f t="shared" si="33"/>
        <v/>
      </c>
    </row>
    <row r="69" spans="2:66" ht="12.5" x14ac:dyDescent="0.35">
      <c r="B69" s="278"/>
      <c r="C69" s="259">
        <v>60</v>
      </c>
      <c r="D69" s="468"/>
      <c r="E69" s="467" t="str">
        <f t="shared" si="20"/>
        <v/>
      </c>
      <c r="F69" s="733"/>
      <c r="G69" s="716" t="str">
        <f t="shared" si="21"/>
        <v/>
      </c>
      <c r="H69" s="468"/>
      <c r="I69" s="266" t="str">
        <f>IF(OR($D69="",$D69=CONST_NA),"",INDEX(InputOutput!$AK$71:$AK$80,MATCH($D69,InputOutput!$D$71:$D$80,0)))</f>
        <v/>
      </c>
      <c r="J69" s="266" t="str">
        <f>IF(OR($D69="",$D69=CONST_NA),"",INDEX(InputOutput!$AM$71:$AM$80,MATCH($D69,InputOutput!$D$71:$D$80,0)))</f>
        <v/>
      </c>
      <c r="K69" s="266" t="str">
        <f t="shared" si="22"/>
        <v/>
      </c>
      <c r="L69" s="266" t="str">
        <f t="shared" si="23"/>
        <v/>
      </c>
      <c r="M69" s="683" t="str">
        <f>IF($E69="","",INDEX(Summary_Processes!$AG$162:$AG$520,MATCH($D69,Summary_Processes!$D$162:$D$520,0)))</f>
        <v/>
      </c>
      <c r="N69" s="266" t="str">
        <f>IF(D69="","",INDEX(D_Processes!T:T,MATCH(CONST_CNTR_ElecEFMethod&amp;D69,D_Processes!R:R,0)))</f>
        <v/>
      </c>
      <c r="O69" s="266" t="str">
        <f>IF(OR($D69="",$D69=CONST_NA),"",INDEX(InputOutput!$AO$71:$AO$80,MATCH($D69,InputOutput!$D$71:$D$80,0)))</f>
        <v/>
      </c>
      <c r="P69" s="469"/>
      <c r="Q69" s="469"/>
      <c r="R69" s="756"/>
      <c r="S69" s="756"/>
      <c r="T69" s="756"/>
      <c r="U69" s="756"/>
      <c r="V69" s="756"/>
      <c r="W69" s="756"/>
      <c r="X69" s="756"/>
      <c r="Y69" s="756"/>
      <c r="Z69" s="756"/>
      <c r="AA69" s="756"/>
      <c r="AB69" s="470"/>
      <c r="AC69" s="470"/>
      <c r="AD69" s="470"/>
      <c r="AE69" s="470"/>
      <c r="AF69" s="470"/>
      <c r="AG69" s="470"/>
      <c r="AH69" s="470"/>
      <c r="AI69" s="470"/>
      <c r="AJ69" s="470"/>
      <c r="AK69" s="470"/>
      <c r="AL69" s="471"/>
      <c r="AM69" s="472"/>
      <c r="AN69" s="473" t="str">
        <f t="shared" si="13"/>
        <v/>
      </c>
      <c r="AO69" s="474" t="str">
        <f t="shared" si="24"/>
        <v/>
      </c>
      <c r="AP69" s="475"/>
      <c r="AQ69" s="687" t="str">
        <f t="shared" si="25"/>
        <v/>
      </c>
      <c r="AR69" s="476"/>
      <c r="AS69" s="474" t="str">
        <f t="shared" si="26"/>
        <v/>
      </c>
      <c r="AT69" s="471"/>
      <c r="AU69" s="472"/>
      <c r="AV69" s="473" t="str">
        <f t="shared" si="14"/>
        <v/>
      </c>
      <c r="AW69" s="474" t="str">
        <f t="shared" si="15"/>
        <v/>
      </c>
      <c r="AX69" s="476"/>
      <c r="AY69" s="474" t="str">
        <f t="shared" si="16"/>
        <v/>
      </c>
      <c r="AZ69" s="477" t="str">
        <f t="shared" si="27"/>
        <v/>
      </c>
      <c r="BA69" s="478" t="str">
        <f t="shared" si="17"/>
        <v/>
      </c>
      <c r="BD69" s="279" t="str">
        <f t="shared" si="28"/>
        <v/>
      </c>
      <c r="BG69" s="279" t="b">
        <f t="shared" si="34"/>
        <v>0</v>
      </c>
      <c r="BI69" s="279" t="str">
        <f t="shared" si="29"/>
        <v>n.a.</v>
      </c>
      <c r="BK69" s="517" t="str">
        <f t="shared" si="30"/>
        <v/>
      </c>
      <c r="BL69" s="517" t="str">
        <f t="shared" si="31"/>
        <v/>
      </c>
      <c r="BM69" s="517" t="str">
        <f t="shared" si="32"/>
        <v/>
      </c>
      <c r="BN69" s="517" t="str">
        <f t="shared" si="33"/>
        <v/>
      </c>
    </row>
    <row r="70" spans="2:66" ht="12.5" x14ac:dyDescent="0.35">
      <c r="B70" s="278"/>
      <c r="C70" s="259">
        <v>61</v>
      </c>
      <c r="D70" s="468"/>
      <c r="E70" s="467" t="str">
        <f t="shared" si="20"/>
        <v/>
      </c>
      <c r="F70" s="733"/>
      <c r="G70" s="716" t="str">
        <f t="shared" si="21"/>
        <v/>
      </c>
      <c r="H70" s="468"/>
      <c r="I70" s="266" t="str">
        <f>IF(OR($D70="",$D70=CONST_NA),"",INDEX(InputOutput!$AK$71:$AK$80,MATCH($D70,InputOutput!$D$71:$D$80,0)))</f>
        <v/>
      </c>
      <c r="J70" s="266" t="str">
        <f>IF(OR($D70="",$D70=CONST_NA),"",INDEX(InputOutput!$AM$71:$AM$80,MATCH($D70,InputOutput!$D$71:$D$80,0)))</f>
        <v/>
      </c>
      <c r="K70" s="266" t="str">
        <f t="shared" si="22"/>
        <v/>
      </c>
      <c r="L70" s="266" t="str">
        <f t="shared" si="23"/>
        <v/>
      </c>
      <c r="M70" s="683" t="str">
        <f>IF($E70="","",INDEX(Summary_Processes!$AG$162:$AG$520,MATCH($D70,Summary_Processes!$D$162:$D$520,0)))</f>
        <v/>
      </c>
      <c r="N70" s="266" t="str">
        <f>IF(D70="","",INDEX(D_Processes!T:T,MATCH(CONST_CNTR_ElecEFMethod&amp;D70,D_Processes!R:R,0)))</f>
        <v/>
      </c>
      <c r="O70" s="266" t="str">
        <f>IF(OR($D70="",$D70=CONST_NA),"",INDEX(InputOutput!$AO$71:$AO$80,MATCH($D70,InputOutput!$D$71:$D$80,0)))</f>
        <v/>
      </c>
      <c r="P70" s="469"/>
      <c r="Q70" s="469"/>
      <c r="R70" s="756"/>
      <c r="S70" s="756"/>
      <c r="T70" s="756"/>
      <c r="U70" s="756"/>
      <c r="V70" s="756"/>
      <c r="W70" s="756"/>
      <c r="X70" s="756"/>
      <c r="Y70" s="756"/>
      <c r="Z70" s="756"/>
      <c r="AA70" s="756"/>
      <c r="AB70" s="470"/>
      <c r="AC70" s="470"/>
      <c r="AD70" s="470"/>
      <c r="AE70" s="470"/>
      <c r="AF70" s="470"/>
      <c r="AG70" s="470"/>
      <c r="AH70" s="470"/>
      <c r="AI70" s="470"/>
      <c r="AJ70" s="470"/>
      <c r="AK70" s="470"/>
      <c r="AL70" s="471"/>
      <c r="AM70" s="472"/>
      <c r="AN70" s="473" t="str">
        <f t="shared" si="13"/>
        <v/>
      </c>
      <c r="AO70" s="474" t="str">
        <f t="shared" si="24"/>
        <v/>
      </c>
      <c r="AP70" s="475"/>
      <c r="AQ70" s="687" t="str">
        <f t="shared" si="25"/>
        <v/>
      </c>
      <c r="AR70" s="476"/>
      <c r="AS70" s="474" t="str">
        <f t="shared" si="26"/>
        <v/>
      </c>
      <c r="AT70" s="471"/>
      <c r="AU70" s="472"/>
      <c r="AV70" s="473" t="str">
        <f t="shared" si="14"/>
        <v/>
      </c>
      <c r="AW70" s="474" t="str">
        <f t="shared" si="15"/>
        <v/>
      </c>
      <c r="AX70" s="476"/>
      <c r="AY70" s="474" t="str">
        <f t="shared" si="16"/>
        <v/>
      </c>
      <c r="AZ70" s="477" t="str">
        <f t="shared" si="27"/>
        <v/>
      </c>
      <c r="BA70" s="478" t="str">
        <f t="shared" si="17"/>
        <v/>
      </c>
      <c r="BD70" s="279" t="str">
        <f t="shared" si="28"/>
        <v/>
      </c>
      <c r="BG70" s="279" t="b">
        <f t="shared" si="34"/>
        <v>0</v>
      </c>
      <c r="BI70" s="279" t="str">
        <f t="shared" si="29"/>
        <v>n.a.</v>
      </c>
      <c r="BK70" s="517" t="str">
        <f t="shared" si="30"/>
        <v/>
      </c>
      <c r="BL70" s="517" t="str">
        <f t="shared" si="31"/>
        <v/>
      </c>
      <c r="BM70" s="517" t="str">
        <f t="shared" si="32"/>
        <v/>
      </c>
      <c r="BN70" s="517" t="str">
        <f t="shared" si="33"/>
        <v/>
      </c>
    </row>
    <row r="71" spans="2:66" ht="12.5" x14ac:dyDescent="0.35">
      <c r="B71" s="278"/>
      <c r="C71" s="259">
        <v>62</v>
      </c>
      <c r="D71" s="468"/>
      <c r="E71" s="467" t="str">
        <f t="shared" si="20"/>
        <v/>
      </c>
      <c r="F71" s="733"/>
      <c r="G71" s="716" t="str">
        <f t="shared" si="21"/>
        <v/>
      </c>
      <c r="H71" s="468"/>
      <c r="I71" s="266" t="str">
        <f>IF(OR($D71="",$D71=CONST_NA),"",INDEX(InputOutput!$AK$71:$AK$80,MATCH($D71,InputOutput!$D$71:$D$80,0)))</f>
        <v/>
      </c>
      <c r="J71" s="266" t="str">
        <f>IF(OR($D71="",$D71=CONST_NA),"",INDEX(InputOutput!$AM$71:$AM$80,MATCH($D71,InputOutput!$D$71:$D$80,0)))</f>
        <v/>
      </c>
      <c r="K71" s="266" t="str">
        <f t="shared" si="22"/>
        <v/>
      </c>
      <c r="L71" s="266" t="str">
        <f t="shared" si="23"/>
        <v/>
      </c>
      <c r="M71" s="683" t="str">
        <f>IF($E71="","",INDEX(Summary_Processes!$AG$162:$AG$520,MATCH($D71,Summary_Processes!$D$162:$D$520,0)))</f>
        <v/>
      </c>
      <c r="N71" s="266" t="str">
        <f>IF(D71="","",INDEX(D_Processes!T:T,MATCH(CONST_CNTR_ElecEFMethod&amp;D71,D_Processes!R:R,0)))</f>
        <v/>
      </c>
      <c r="O71" s="266" t="str">
        <f>IF(OR($D71="",$D71=CONST_NA),"",INDEX(InputOutput!$AO$71:$AO$80,MATCH($D71,InputOutput!$D$71:$D$80,0)))</f>
        <v/>
      </c>
      <c r="P71" s="469"/>
      <c r="Q71" s="469"/>
      <c r="R71" s="756"/>
      <c r="S71" s="756"/>
      <c r="T71" s="756"/>
      <c r="U71" s="756"/>
      <c r="V71" s="756"/>
      <c r="W71" s="756"/>
      <c r="X71" s="756"/>
      <c r="Y71" s="756"/>
      <c r="Z71" s="756"/>
      <c r="AA71" s="756"/>
      <c r="AB71" s="470"/>
      <c r="AC71" s="470"/>
      <c r="AD71" s="470"/>
      <c r="AE71" s="470"/>
      <c r="AF71" s="470"/>
      <c r="AG71" s="470"/>
      <c r="AH71" s="470"/>
      <c r="AI71" s="470"/>
      <c r="AJ71" s="470"/>
      <c r="AK71" s="470"/>
      <c r="AL71" s="471"/>
      <c r="AM71" s="472"/>
      <c r="AN71" s="473" t="str">
        <f t="shared" si="13"/>
        <v/>
      </c>
      <c r="AO71" s="474" t="str">
        <f t="shared" si="24"/>
        <v/>
      </c>
      <c r="AP71" s="475"/>
      <c r="AQ71" s="687" t="str">
        <f t="shared" si="25"/>
        <v/>
      </c>
      <c r="AR71" s="476"/>
      <c r="AS71" s="474" t="str">
        <f t="shared" si="26"/>
        <v/>
      </c>
      <c r="AT71" s="471"/>
      <c r="AU71" s="472"/>
      <c r="AV71" s="473" t="str">
        <f t="shared" si="14"/>
        <v/>
      </c>
      <c r="AW71" s="474" t="str">
        <f t="shared" si="15"/>
        <v/>
      </c>
      <c r="AX71" s="476"/>
      <c r="AY71" s="474" t="str">
        <f t="shared" si="16"/>
        <v/>
      </c>
      <c r="AZ71" s="477" t="str">
        <f t="shared" si="27"/>
        <v/>
      </c>
      <c r="BA71" s="478" t="str">
        <f t="shared" si="17"/>
        <v/>
      </c>
      <c r="BD71" s="279" t="str">
        <f t="shared" si="28"/>
        <v/>
      </c>
      <c r="BG71" s="279" t="b">
        <f t="shared" si="34"/>
        <v>0</v>
      </c>
      <c r="BI71" s="279" t="str">
        <f t="shared" si="29"/>
        <v>n.a.</v>
      </c>
      <c r="BK71" s="517" t="str">
        <f t="shared" si="30"/>
        <v/>
      </c>
      <c r="BL71" s="517" t="str">
        <f t="shared" si="31"/>
        <v/>
      </c>
      <c r="BM71" s="517" t="str">
        <f t="shared" si="32"/>
        <v/>
      </c>
      <c r="BN71" s="517" t="str">
        <f t="shared" si="33"/>
        <v/>
      </c>
    </row>
    <row r="72" spans="2:66" ht="12.5" x14ac:dyDescent="0.35">
      <c r="B72" s="278"/>
      <c r="C72" s="259">
        <v>63</v>
      </c>
      <c r="D72" s="468"/>
      <c r="E72" s="467" t="str">
        <f t="shared" si="20"/>
        <v/>
      </c>
      <c r="F72" s="733"/>
      <c r="G72" s="716" t="str">
        <f t="shared" si="21"/>
        <v/>
      </c>
      <c r="H72" s="468"/>
      <c r="I72" s="266" t="str">
        <f>IF(OR($D72="",$D72=CONST_NA),"",INDEX(InputOutput!$AK$71:$AK$80,MATCH($D72,InputOutput!$D$71:$D$80,0)))</f>
        <v/>
      </c>
      <c r="J72" s="266" t="str">
        <f>IF(OR($D72="",$D72=CONST_NA),"",INDEX(InputOutput!$AM$71:$AM$80,MATCH($D72,InputOutput!$D$71:$D$80,0)))</f>
        <v/>
      </c>
      <c r="K72" s="266" t="str">
        <f t="shared" si="22"/>
        <v/>
      </c>
      <c r="L72" s="266" t="str">
        <f t="shared" si="23"/>
        <v/>
      </c>
      <c r="M72" s="683" t="str">
        <f>IF($E72="","",INDEX(Summary_Processes!$AG$162:$AG$520,MATCH($D72,Summary_Processes!$D$162:$D$520,0)))</f>
        <v/>
      </c>
      <c r="N72" s="266" t="str">
        <f>IF(D72="","",INDEX(D_Processes!T:T,MATCH(CONST_CNTR_ElecEFMethod&amp;D72,D_Processes!R:R,0)))</f>
        <v/>
      </c>
      <c r="O72" s="266" t="str">
        <f>IF(OR($D72="",$D72=CONST_NA),"",INDEX(InputOutput!$AO$71:$AO$80,MATCH($D72,InputOutput!$D$71:$D$80,0)))</f>
        <v/>
      </c>
      <c r="P72" s="469"/>
      <c r="Q72" s="469"/>
      <c r="R72" s="756"/>
      <c r="S72" s="756"/>
      <c r="T72" s="756"/>
      <c r="U72" s="756"/>
      <c r="V72" s="756"/>
      <c r="W72" s="756"/>
      <c r="X72" s="756"/>
      <c r="Y72" s="756"/>
      <c r="Z72" s="756"/>
      <c r="AA72" s="756"/>
      <c r="AB72" s="470"/>
      <c r="AC72" s="470"/>
      <c r="AD72" s="470"/>
      <c r="AE72" s="470"/>
      <c r="AF72" s="470"/>
      <c r="AG72" s="470"/>
      <c r="AH72" s="470"/>
      <c r="AI72" s="470"/>
      <c r="AJ72" s="470"/>
      <c r="AK72" s="470"/>
      <c r="AL72" s="471"/>
      <c r="AM72" s="472"/>
      <c r="AN72" s="473" t="str">
        <f t="shared" si="13"/>
        <v/>
      </c>
      <c r="AO72" s="474" t="str">
        <f t="shared" si="24"/>
        <v/>
      </c>
      <c r="AP72" s="475"/>
      <c r="AQ72" s="687" t="str">
        <f t="shared" si="25"/>
        <v/>
      </c>
      <c r="AR72" s="476"/>
      <c r="AS72" s="474" t="str">
        <f t="shared" si="26"/>
        <v/>
      </c>
      <c r="AT72" s="471"/>
      <c r="AU72" s="472"/>
      <c r="AV72" s="473" t="str">
        <f t="shared" si="14"/>
        <v/>
      </c>
      <c r="AW72" s="474" t="str">
        <f t="shared" si="15"/>
        <v/>
      </c>
      <c r="AX72" s="476"/>
      <c r="AY72" s="474" t="str">
        <f t="shared" si="16"/>
        <v/>
      </c>
      <c r="AZ72" s="477" t="str">
        <f t="shared" si="27"/>
        <v/>
      </c>
      <c r="BA72" s="478" t="str">
        <f t="shared" si="17"/>
        <v/>
      </c>
      <c r="BD72" s="279" t="str">
        <f t="shared" si="28"/>
        <v/>
      </c>
      <c r="BG72" s="279" t="b">
        <f t="shared" si="34"/>
        <v>0</v>
      </c>
      <c r="BI72" s="279" t="str">
        <f t="shared" si="29"/>
        <v>n.a.</v>
      </c>
      <c r="BK72" s="517" t="str">
        <f t="shared" si="30"/>
        <v/>
      </c>
      <c r="BL72" s="517" t="str">
        <f t="shared" si="31"/>
        <v/>
      </c>
      <c r="BM72" s="517" t="str">
        <f t="shared" si="32"/>
        <v/>
      </c>
      <c r="BN72" s="517" t="str">
        <f t="shared" si="33"/>
        <v/>
      </c>
    </row>
    <row r="73" spans="2:66" ht="12.5" x14ac:dyDescent="0.35">
      <c r="B73" s="278"/>
      <c r="C73" s="259">
        <v>64</v>
      </c>
      <c r="D73" s="468"/>
      <c r="E73" s="467" t="str">
        <f t="shared" si="20"/>
        <v/>
      </c>
      <c r="F73" s="733"/>
      <c r="G73" s="716" t="str">
        <f t="shared" si="21"/>
        <v/>
      </c>
      <c r="H73" s="468"/>
      <c r="I73" s="266" t="str">
        <f>IF(OR($D73="",$D73=CONST_NA),"",INDEX(InputOutput!$AK$71:$AK$80,MATCH($D73,InputOutput!$D$71:$D$80,0)))</f>
        <v/>
      </c>
      <c r="J73" s="266" t="str">
        <f>IF(OR($D73="",$D73=CONST_NA),"",INDEX(InputOutput!$AM$71:$AM$80,MATCH($D73,InputOutput!$D$71:$D$80,0)))</f>
        <v/>
      </c>
      <c r="K73" s="266" t="str">
        <f t="shared" si="22"/>
        <v/>
      </c>
      <c r="L73" s="266" t="str">
        <f t="shared" si="23"/>
        <v/>
      </c>
      <c r="M73" s="683" t="str">
        <f>IF($E73="","",INDEX(Summary_Processes!$AG$162:$AG$520,MATCH($D73,Summary_Processes!$D$162:$D$520,0)))</f>
        <v/>
      </c>
      <c r="N73" s="266" t="str">
        <f>IF(D73="","",INDEX(D_Processes!T:T,MATCH(CONST_CNTR_ElecEFMethod&amp;D73,D_Processes!R:R,0)))</f>
        <v/>
      </c>
      <c r="O73" s="266" t="str">
        <f>IF(OR($D73="",$D73=CONST_NA),"",INDEX(InputOutput!$AO$71:$AO$80,MATCH($D73,InputOutput!$D$71:$D$80,0)))</f>
        <v/>
      </c>
      <c r="P73" s="469"/>
      <c r="Q73" s="469"/>
      <c r="R73" s="756"/>
      <c r="S73" s="756"/>
      <c r="T73" s="756"/>
      <c r="U73" s="756"/>
      <c r="V73" s="756"/>
      <c r="W73" s="756"/>
      <c r="X73" s="756"/>
      <c r="Y73" s="756"/>
      <c r="Z73" s="756"/>
      <c r="AA73" s="756"/>
      <c r="AB73" s="470"/>
      <c r="AC73" s="470"/>
      <c r="AD73" s="470"/>
      <c r="AE73" s="470"/>
      <c r="AF73" s="470"/>
      <c r="AG73" s="470"/>
      <c r="AH73" s="470"/>
      <c r="AI73" s="470"/>
      <c r="AJ73" s="470"/>
      <c r="AK73" s="470"/>
      <c r="AL73" s="471"/>
      <c r="AM73" s="472"/>
      <c r="AN73" s="473" t="str">
        <f t="shared" si="13"/>
        <v/>
      </c>
      <c r="AO73" s="474" t="str">
        <f t="shared" si="24"/>
        <v/>
      </c>
      <c r="AP73" s="475"/>
      <c r="AQ73" s="687" t="str">
        <f t="shared" si="25"/>
        <v/>
      </c>
      <c r="AR73" s="476"/>
      <c r="AS73" s="474" t="str">
        <f t="shared" si="26"/>
        <v/>
      </c>
      <c r="AT73" s="471"/>
      <c r="AU73" s="472"/>
      <c r="AV73" s="473" t="str">
        <f t="shared" si="14"/>
        <v/>
      </c>
      <c r="AW73" s="474" t="str">
        <f t="shared" si="15"/>
        <v/>
      </c>
      <c r="AX73" s="476"/>
      <c r="AY73" s="474" t="str">
        <f t="shared" si="16"/>
        <v/>
      </c>
      <c r="AZ73" s="477" t="str">
        <f t="shared" si="27"/>
        <v/>
      </c>
      <c r="BA73" s="478" t="str">
        <f t="shared" si="17"/>
        <v/>
      </c>
      <c r="BD73" s="279" t="str">
        <f t="shared" si="28"/>
        <v/>
      </c>
      <c r="BG73" s="279" t="b">
        <f t="shared" si="34"/>
        <v>0</v>
      </c>
      <c r="BI73" s="279" t="str">
        <f t="shared" si="29"/>
        <v>n.a.</v>
      </c>
      <c r="BK73" s="517" t="str">
        <f t="shared" si="30"/>
        <v/>
      </c>
      <c r="BL73" s="517" t="str">
        <f t="shared" si="31"/>
        <v/>
      </c>
      <c r="BM73" s="517" t="str">
        <f t="shared" si="32"/>
        <v/>
      </c>
      <c r="BN73" s="517" t="str">
        <f t="shared" si="33"/>
        <v/>
      </c>
    </row>
    <row r="74" spans="2:66" ht="12.5" x14ac:dyDescent="0.35">
      <c r="B74" s="278"/>
      <c r="C74" s="259">
        <v>65</v>
      </c>
      <c r="D74" s="468"/>
      <c r="E74" s="467" t="str">
        <f t="shared" si="20"/>
        <v/>
      </c>
      <c r="F74" s="733"/>
      <c r="G74" s="716" t="str">
        <f t="shared" si="21"/>
        <v/>
      </c>
      <c r="H74" s="468"/>
      <c r="I74" s="266" t="str">
        <f>IF(OR($D74="",$D74=CONST_NA),"",INDEX(InputOutput!$AK$71:$AK$80,MATCH($D74,InputOutput!$D$71:$D$80,0)))</f>
        <v/>
      </c>
      <c r="J74" s="266" t="str">
        <f>IF(OR($D74="",$D74=CONST_NA),"",INDEX(InputOutput!$AM$71:$AM$80,MATCH($D74,InputOutput!$D$71:$D$80,0)))</f>
        <v/>
      </c>
      <c r="K74" s="266" t="str">
        <f t="shared" ref="K74:K105" si="35">IF(OR($D74="",$D74=CONST_NA),"",SUM(I74:J74))</f>
        <v/>
      </c>
      <c r="L74" s="266" t="str">
        <f t="shared" ref="L74:L109" si="36">IF(E74="","",CONST_tCO2eq &amp; "/" &amp; INDEX(CONST_LIST_GoodsUnit,MATCH(E74,CONST_LIST_Goods,0)))</f>
        <v/>
      </c>
      <c r="M74" s="683" t="str">
        <f>IF($E74="","",INDEX(Summary_Processes!$AG$162:$AG$520,MATCH($D74,Summary_Processes!$D$162:$D$520,0)))</f>
        <v/>
      </c>
      <c r="N74" s="266" t="str">
        <f>IF(D74="","",INDEX(D_Processes!T:T,MATCH(CONST_CNTR_ElecEFMethod&amp;D74,D_Processes!R:R,0)))</f>
        <v/>
      </c>
      <c r="O74" s="266" t="str">
        <f>IF(OR($D74="",$D74=CONST_NA),"",INDEX(InputOutput!$AO$71:$AO$80,MATCH($D74,InputOutput!$D$71:$D$80,0)))</f>
        <v/>
      </c>
      <c r="P74" s="469"/>
      <c r="Q74" s="469"/>
      <c r="R74" s="756"/>
      <c r="S74" s="756"/>
      <c r="T74" s="756"/>
      <c r="U74" s="756"/>
      <c r="V74" s="756"/>
      <c r="W74" s="756"/>
      <c r="X74" s="756"/>
      <c r="Y74" s="756"/>
      <c r="Z74" s="756"/>
      <c r="AA74" s="756"/>
      <c r="AB74" s="470"/>
      <c r="AC74" s="470"/>
      <c r="AD74" s="470"/>
      <c r="AE74" s="470"/>
      <c r="AF74" s="470"/>
      <c r="AG74" s="470"/>
      <c r="AH74" s="470"/>
      <c r="AI74" s="470"/>
      <c r="AJ74" s="470"/>
      <c r="AK74" s="470"/>
      <c r="AL74" s="471"/>
      <c r="AM74" s="472"/>
      <c r="AN74" s="473" t="str">
        <f t="shared" si="13"/>
        <v/>
      </c>
      <c r="AO74" s="474" t="str">
        <f t="shared" ref="AO74:AO109" si="37">L74</f>
        <v/>
      </c>
      <c r="AP74" s="475"/>
      <c r="AQ74" s="687" t="str">
        <f t="shared" ref="AQ74:AQ105" si="38">IF(AP74="","",INDEX(CNTR_ListCurrenciesName,MATCH(AP74,CNTR_ListCurrenciesCode,0)))</f>
        <v/>
      </c>
      <c r="AR74" s="476"/>
      <c r="AS74" s="474" t="str">
        <f t="shared" ref="AS74:AS109" si="39">IF(OR(D74="",AP74=""),"",AP74&amp;"/"&amp;INDEX(CONST_LIST_GoodsUnit,MATCH($E74,CONST_LIST_Goods,0)))</f>
        <v/>
      </c>
      <c r="AT74" s="471"/>
      <c r="AU74" s="472"/>
      <c r="AV74" s="473" t="str">
        <f t="shared" si="14"/>
        <v/>
      </c>
      <c r="AW74" s="474" t="str">
        <f t="shared" si="15"/>
        <v/>
      </c>
      <c r="AX74" s="476"/>
      <c r="AY74" s="474" t="str">
        <f t="shared" si="16"/>
        <v/>
      </c>
      <c r="AZ74" s="477" t="str">
        <f t="shared" ref="AZ74:AZ109" si="40">IF(K74="","",(AR74-AX74))</f>
        <v/>
      </c>
      <c r="BA74" s="478" t="str">
        <f t="shared" si="17"/>
        <v/>
      </c>
      <c r="BD74" s="279" t="str">
        <f t="shared" ref="BD74:BD109" si="41">IF(OR($D74="",$D74=CONST_NA),"",INDEX(CONST_CNTR_ListGoodsForCN,MATCH(E74,CONST_LIST_Goods,0)))</f>
        <v/>
      </c>
      <c r="BG74" s="279" t="b">
        <f t="shared" si="34"/>
        <v>0</v>
      </c>
      <c r="BI74" s="279" t="str">
        <f t="shared" ref="BI74:BI105" si="42">IF(CNTR_HasEntriesA,IF(AND(D74&lt;&gt;"",COUNTIF(D278:BA278,TRUE)&gt;0),CONST_ErrorOrMissing,IF(AND(D74&lt;&gt;"",COUNTIF(D278:BA278,TRUE)=0),TRUE,CONST_NA)),CONST_NA)</f>
        <v>n.a.</v>
      </c>
      <c r="BK74" s="517" t="str">
        <f t="shared" ref="BK74:BK109" si="43">IF(P74="","",MATCH(P74,CONST_ReducingAgent,0))</f>
        <v/>
      </c>
      <c r="BL74" s="517" t="str">
        <f t="shared" ref="BL74:BL109" si="44">IF(AC74="","",MATCH(AC74,CONST_TrueFalse,0))</f>
        <v/>
      </c>
      <c r="BM74" s="517" t="str">
        <f t="shared" ref="BM74:BM109" si="45">IF(AL74="","",MATCH(AL74,CONST_CarbonPriceType,0))</f>
        <v/>
      </c>
      <c r="BN74" s="517" t="str">
        <f t="shared" ref="BN74:BN109" si="46">IF(AT74="","",MATCH(AT74,CONST_RebateType,0))</f>
        <v/>
      </c>
    </row>
    <row r="75" spans="2:66" ht="12.5" x14ac:dyDescent="0.35">
      <c r="B75" s="278"/>
      <c r="C75" s="259">
        <v>66</v>
      </c>
      <c r="D75" s="468"/>
      <c r="E75" s="467" t="str">
        <f t="shared" si="20"/>
        <v/>
      </c>
      <c r="F75" s="733"/>
      <c r="G75" s="716" t="str">
        <f t="shared" si="21"/>
        <v/>
      </c>
      <c r="H75" s="468"/>
      <c r="I75" s="266" t="str">
        <f>IF(OR($D75="",$D75=CONST_NA),"",INDEX(InputOutput!$AK$71:$AK$80,MATCH($D75,InputOutput!$D$71:$D$80,0)))</f>
        <v/>
      </c>
      <c r="J75" s="266" t="str">
        <f>IF(OR($D75="",$D75=CONST_NA),"",INDEX(InputOutput!$AM$71:$AM$80,MATCH($D75,InputOutput!$D$71:$D$80,0)))</f>
        <v/>
      </c>
      <c r="K75" s="266" t="str">
        <f t="shared" si="35"/>
        <v/>
      </c>
      <c r="L75" s="266" t="str">
        <f t="shared" si="36"/>
        <v/>
      </c>
      <c r="M75" s="683" t="str">
        <f>IF($E75="","",INDEX(Summary_Processes!$AG$162:$AG$520,MATCH($D75,Summary_Processes!$D$162:$D$520,0)))</f>
        <v/>
      </c>
      <c r="N75" s="266" t="str">
        <f>IF(D75="","",INDEX(D_Processes!T:T,MATCH(CONST_CNTR_ElecEFMethod&amp;D75,D_Processes!R:R,0)))</f>
        <v/>
      </c>
      <c r="O75" s="266" t="str">
        <f>IF(OR($D75="",$D75=CONST_NA),"",INDEX(InputOutput!$AO$71:$AO$80,MATCH($D75,InputOutput!$D$71:$D$80,0)))</f>
        <v/>
      </c>
      <c r="P75" s="469"/>
      <c r="Q75" s="469"/>
      <c r="R75" s="756"/>
      <c r="S75" s="756"/>
      <c r="T75" s="756"/>
      <c r="U75" s="756"/>
      <c r="V75" s="756"/>
      <c r="W75" s="756"/>
      <c r="X75" s="756"/>
      <c r="Y75" s="756"/>
      <c r="Z75" s="756"/>
      <c r="AA75" s="756"/>
      <c r="AB75" s="470"/>
      <c r="AC75" s="470"/>
      <c r="AD75" s="470"/>
      <c r="AE75" s="470"/>
      <c r="AF75" s="470"/>
      <c r="AG75" s="470"/>
      <c r="AH75" s="470"/>
      <c r="AI75" s="470"/>
      <c r="AJ75" s="470"/>
      <c r="AK75" s="470"/>
      <c r="AL75" s="471"/>
      <c r="AM75" s="472"/>
      <c r="AN75" s="473" t="str">
        <f t="shared" ref="AN75:AN109" si="47">IF($K75="","",$K75*AM75)</f>
        <v/>
      </c>
      <c r="AO75" s="474" t="str">
        <f t="shared" si="37"/>
        <v/>
      </c>
      <c r="AP75" s="475"/>
      <c r="AQ75" s="687" t="str">
        <f t="shared" si="38"/>
        <v/>
      </c>
      <c r="AR75" s="476"/>
      <c r="AS75" s="474" t="str">
        <f t="shared" si="39"/>
        <v/>
      </c>
      <c r="AT75" s="471"/>
      <c r="AU75" s="472"/>
      <c r="AV75" s="473" t="str">
        <f t="shared" ref="AV75:AV109" si="48">IF($K75="","",$K75*AU75)</f>
        <v/>
      </c>
      <c r="AW75" s="474" t="str">
        <f t="shared" ref="AW75:AW109" si="49">AO75</f>
        <v/>
      </c>
      <c r="AX75" s="476"/>
      <c r="AY75" s="474" t="str">
        <f t="shared" ref="AY75:AY109" si="50">AS75</f>
        <v/>
      </c>
      <c r="AZ75" s="477" t="str">
        <f t="shared" si="40"/>
        <v/>
      </c>
      <c r="BA75" s="478" t="str">
        <f t="shared" ref="BA75:BA109" si="51">AS75</f>
        <v/>
      </c>
      <c r="BD75" s="279" t="str">
        <f t="shared" si="41"/>
        <v/>
      </c>
      <c r="BG75" s="279" t="b">
        <f t="shared" ref="BG75:BG109" si="52">AND(CNTR_HasEntriesA,D75="")</f>
        <v>0</v>
      </c>
      <c r="BI75" s="279" t="str">
        <f t="shared" si="42"/>
        <v>n.a.</v>
      </c>
      <c r="BK75" s="517" t="str">
        <f t="shared" si="43"/>
        <v/>
      </c>
      <c r="BL75" s="517" t="str">
        <f t="shared" si="44"/>
        <v/>
      </c>
      <c r="BM75" s="517" t="str">
        <f t="shared" si="45"/>
        <v/>
      </c>
      <c r="BN75" s="517" t="str">
        <f t="shared" si="46"/>
        <v/>
      </c>
    </row>
    <row r="76" spans="2:66" ht="12.5" x14ac:dyDescent="0.35">
      <c r="B76" s="278"/>
      <c r="C76" s="259">
        <v>67</v>
      </c>
      <c r="D76" s="468"/>
      <c r="E76" s="467" t="str">
        <f t="shared" si="20"/>
        <v/>
      </c>
      <c r="F76" s="733"/>
      <c r="G76" s="716" t="str">
        <f t="shared" si="21"/>
        <v/>
      </c>
      <c r="H76" s="468"/>
      <c r="I76" s="266" t="str">
        <f>IF(OR($D76="",$D76=CONST_NA),"",INDEX(InputOutput!$AK$71:$AK$80,MATCH($D76,InputOutput!$D$71:$D$80,0)))</f>
        <v/>
      </c>
      <c r="J76" s="266" t="str">
        <f>IF(OR($D76="",$D76=CONST_NA),"",INDEX(InputOutput!$AM$71:$AM$80,MATCH($D76,InputOutput!$D$71:$D$80,0)))</f>
        <v/>
      </c>
      <c r="K76" s="266" t="str">
        <f t="shared" si="35"/>
        <v/>
      </c>
      <c r="L76" s="266" t="str">
        <f t="shared" si="36"/>
        <v/>
      </c>
      <c r="M76" s="683" t="str">
        <f>IF($E76="","",INDEX(Summary_Processes!$AG$162:$AG$520,MATCH($D76,Summary_Processes!$D$162:$D$520,0)))</f>
        <v/>
      </c>
      <c r="N76" s="266" t="str">
        <f>IF(D76="","",INDEX(D_Processes!T:T,MATCH(CONST_CNTR_ElecEFMethod&amp;D76,D_Processes!R:R,0)))</f>
        <v/>
      </c>
      <c r="O76" s="266" t="str">
        <f>IF(OR($D76="",$D76=CONST_NA),"",INDEX(InputOutput!$AO$71:$AO$80,MATCH($D76,InputOutput!$D$71:$D$80,0)))</f>
        <v/>
      </c>
      <c r="P76" s="469"/>
      <c r="Q76" s="469"/>
      <c r="R76" s="756"/>
      <c r="S76" s="756"/>
      <c r="T76" s="756"/>
      <c r="U76" s="756"/>
      <c r="V76" s="756"/>
      <c r="W76" s="756"/>
      <c r="X76" s="756"/>
      <c r="Y76" s="756"/>
      <c r="Z76" s="756"/>
      <c r="AA76" s="756"/>
      <c r="AB76" s="470"/>
      <c r="AC76" s="470"/>
      <c r="AD76" s="470"/>
      <c r="AE76" s="470"/>
      <c r="AF76" s="470"/>
      <c r="AG76" s="470"/>
      <c r="AH76" s="470"/>
      <c r="AI76" s="470"/>
      <c r="AJ76" s="470"/>
      <c r="AK76" s="470"/>
      <c r="AL76" s="471"/>
      <c r="AM76" s="472"/>
      <c r="AN76" s="473" t="str">
        <f t="shared" si="47"/>
        <v/>
      </c>
      <c r="AO76" s="474" t="str">
        <f t="shared" si="37"/>
        <v/>
      </c>
      <c r="AP76" s="475"/>
      <c r="AQ76" s="687" t="str">
        <f t="shared" si="38"/>
        <v/>
      </c>
      <c r="AR76" s="476"/>
      <c r="AS76" s="474" t="str">
        <f t="shared" si="39"/>
        <v/>
      </c>
      <c r="AT76" s="471"/>
      <c r="AU76" s="472"/>
      <c r="AV76" s="473" t="str">
        <f t="shared" si="48"/>
        <v/>
      </c>
      <c r="AW76" s="474" t="str">
        <f t="shared" si="49"/>
        <v/>
      </c>
      <c r="AX76" s="476"/>
      <c r="AY76" s="474" t="str">
        <f t="shared" si="50"/>
        <v/>
      </c>
      <c r="AZ76" s="477" t="str">
        <f t="shared" si="40"/>
        <v/>
      </c>
      <c r="BA76" s="478" t="str">
        <f t="shared" si="51"/>
        <v/>
      </c>
      <c r="BD76" s="279" t="str">
        <f t="shared" si="41"/>
        <v/>
      </c>
      <c r="BG76" s="279" t="b">
        <f t="shared" si="52"/>
        <v>0</v>
      </c>
      <c r="BI76" s="279" t="str">
        <f t="shared" si="42"/>
        <v>n.a.</v>
      </c>
      <c r="BK76" s="517" t="str">
        <f t="shared" si="43"/>
        <v/>
      </c>
      <c r="BL76" s="517" t="str">
        <f t="shared" si="44"/>
        <v/>
      </c>
      <c r="BM76" s="517" t="str">
        <f t="shared" si="45"/>
        <v/>
      </c>
      <c r="BN76" s="517" t="str">
        <f t="shared" si="46"/>
        <v/>
      </c>
    </row>
    <row r="77" spans="2:66" ht="12.5" x14ac:dyDescent="0.35">
      <c r="B77" s="278"/>
      <c r="C77" s="259">
        <v>68</v>
      </c>
      <c r="D77" s="468"/>
      <c r="E77" s="467" t="str">
        <f t="shared" si="20"/>
        <v/>
      </c>
      <c r="F77" s="733"/>
      <c r="G77" s="716" t="str">
        <f t="shared" si="21"/>
        <v/>
      </c>
      <c r="H77" s="468"/>
      <c r="I77" s="266" t="str">
        <f>IF(OR($D77="",$D77=CONST_NA),"",INDEX(InputOutput!$AK$71:$AK$80,MATCH($D77,InputOutput!$D$71:$D$80,0)))</f>
        <v/>
      </c>
      <c r="J77" s="266" t="str">
        <f>IF(OR($D77="",$D77=CONST_NA),"",INDEX(InputOutput!$AM$71:$AM$80,MATCH($D77,InputOutput!$D$71:$D$80,0)))</f>
        <v/>
      </c>
      <c r="K77" s="266" t="str">
        <f t="shared" si="35"/>
        <v/>
      </c>
      <c r="L77" s="266" t="str">
        <f t="shared" si="36"/>
        <v/>
      </c>
      <c r="M77" s="683" t="str">
        <f>IF($E77="","",INDEX(Summary_Processes!$AG$162:$AG$520,MATCH($D77,Summary_Processes!$D$162:$D$520,0)))</f>
        <v/>
      </c>
      <c r="N77" s="266" t="str">
        <f>IF(D77="","",INDEX(D_Processes!T:T,MATCH(CONST_CNTR_ElecEFMethod&amp;D77,D_Processes!R:R,0)))</f>
        <v/>
      </c>
      <c r="O77" s="266" t="str">
        <f>IF(OR($D77="",$D77=CONST_NA),"",INDEX(InputOutput!$AO$71:$AO$80,MATCH($D77,InputOutput!$D$71:$D$80,0)))</f>
        <v/>
      </c>
      <c r="P77" s="469"/>
      <c r="Q77" s="469"/>
      <c r="R77" s="756"/>
      <c r="S77" s="756"/>
      <c r="T77" s="756"/>
      <c r="U77" s="756"/>
      <c r="V77" s="756"/>
      <c r="W77" s="756"/>
      <c r="X77" s="756"/>
      <c r="Y77" s="756"/>
      <c r="Z77" s="756"/>
      <c r="AA77" s="756"/>
      <c r="AB77" s="470"/>
      <c r="AC77" s="470"/>
      <c r="AD77" s="470"/>
      <c r="AE77" s="470"/>
      <c r="AF77" s="470"/>
      <c r="AG77" s="470"/>
      <c r="AH77" s="470"/>
      <c r="AI77" s="470"/>
      <c r="AJ77" s="470"/>
      <c r="AK77" s="470"/>
      <c r="AL77" s="471"/>
      <c r="AM77" s="472"/>
      <c r="AN77" s="473" t="str">
        <f t="shared" si="47"/>
        <v/>
      </c>
      <c r="AO77" s="474" t="str">
        <f t="shared" si="37"/>
        <v/>
      </c>
      <c r="AP77" s="475"/>
      <c r="AQ77" s="687" t="str">
        <f t="shared" si="38"/>
        <v/>
      </c>
      <c r="AR77" s="476"/>
      <c r="AS77" s="474" t="str">
        <f t="shared" si="39"/>
        <v/>
      </c>
      <c r="AT77" s="471"/>
      <c r="AU77" s="472"/>
      <c r="AV77" s="473" t="str">
        <f t="shared" si="48"/>
        <v/>
      </c>
      <c r="AW77" s="474" t="str">
        <f t="shared" si="49"/>
        <v/>
      </c>
      <c r="AX77" s="476"/>
      <c r="AY77" s="474" t="str">
        <f t="shared" si="50"/>
        <v/>
      </c>
      <c r="AZ77" s="477" t="str">
        <f t="shared" si="40"/>
        <v/>
      </c>
      <c r="BA77" s="478" t="str">
        <f t="shared" si="51"/>
        <v/>
      </c>
      <c r="BD77" s="279" t="str">
        <f t="shared" si="41"/>
        <v/>
      </c>
      <c r="BG77" s="279" t="b">
        <f t="shared" si="52"/>
        <v>0</v>
      </c>
      <c r="BI77" s="279" t="str">
        <f t="shared" si="42"/>
        <v>n.a.</v>
      </c>
      <c r="BK77" s="517" t="str">
        <f t="shared" si="43"/>
        <v/>
      </c>
      <c r="BL77" s="517" t="str">
        <f t="shared" si="44"/>
        <v/>
      </c>
      <c r="BM77" s="517" t="str">
        <f t="shared" si="45"/>
        <v/>
      </c>
      <c r="BN77" s="517" t="str">
        <f t="shared" si="46"/>
        <v/>
      </c>
    </row>
    <row r="78" spans="2:66" ht="12.5" x14ac:dyDescent="0.35">
      <c r="B78" s="278"/>
      <c r="C78" s="259">
        <v>69</v>
      </c>
      <c r="D78" s="468"/>
      <c r="E78" s="467" t="str">
        <f t="shared" si="20"/>
        <v/>
      </c>
      <c r="F78" s="733"/>
      <c r="G78" s="716" t="str">
        <f t="shared" si="21"/>
        <v/>
      </c>
      <c r="H78" s="468"/>
      <c r="I78" s="266" t="str">
        <f>IF(OR($D78="",$D78=CONST_NA),"",INDEX(InputOutput!$AK$71:$AK$80,MATCH($D78,InputOutput!$D$71:$D$80,0)))</f>
        <v/>
      </c>
      <c r="J78" s="266" t="str">
        <f>IF(OR($D78="",$D78=CONST_NA),"",INDEX(InputOutput!$AM$71:$AM$80,MATCH($D78,InputOutput!$D$71:$D$80,0)))</f>
        <v/>
      </c>
      <c r="K78" s="266" t="str">
        <f t="shared" si="35"/>
        <v/>
      </c>
      <c r="L78" s="266" t="str">
        <f t="shared" si="36"/>
        <v/>
      </c>
      <c r="M78" s="683" t="str">
        <f>IF($E78="","",INDEX(Summary_Processes!$AG$162:$AG$520,MATCH($D78,Summary_Processes!$D$162:$D$520,0)))</f>
        <v/>
      </c>
      <c r="N78" s="266" t="str">
        <f>IF(D78="","",INDEX(D_Processes!T:T,MATCH(CONST_CNTR_ElecEFMethod&amp;D78,D_Processes!R:R,0)))</f>
        <v/>
      </c>
      <c r="O78" s="266" t="str">
        <f>IF(OR($D78="",$D78=CONST_NA),"",INDEX(InputOutput!$AO$71:$AO$80,MATCH($D78,InputOutput!$D$71:$D$80,0)))</f>
        <v/>
      </c>
      <c r="P78" s="469"/>
      <c r="Q78" s="469"/>
      <c r="R78" s="756"/>
      <c r="S78" s="756"/>
      <c r="T78" s="756"/>
      <c r="U78" s="756"/>
      <c r="V78" s="756"/>
      <c r="W78" s="756"/>
      <c r="X78" s="756"/>
      <c r="Y78" s="756"/>
      <c r="Z78" s="756"/>
      <c r="AA78" s="756"/>
      <c r="AB78" s="470"/>
      <c r="AC78" s="470"/>
      <c r="AD78" s="470"/>
      <c r="AE78" s="470"/>
      <c r="AF78" s="470"/>
      <c r="AG78" s="470"/>
      <c r="AH78" s="470"/>
      <c r="AI78" s="470"/>
      <c r="AJ78" s="470"/>
      <c r="AK78" s="470"/>
      <c r="AL78" s="471"/>
      <c r="AM78" s="472"/>
      <c r="AN78" s="473" t="str">
        <f t="shared" si="47"/>
        <v/>
      </c>
      <c r="AO78" s="474" t="str">
        <f t="shared" si="37"/>
        <v/>
      </c>
      <c r="AP78" s="475"/>
      <c r="AQ78" s="687" t="str">
        <f t="shared" si="38"/>
        <v/>
      </c>
      <c r="AR78" s="476"/>
      <c r="AS78" s="474" t="str">
        <f t="shared" si="39"/>
        <v/>
      </c>
      <c r="AT78" s="471"/>
      <c r="AU78" s="472"/>
      <c r="AV78" s="473" t="str">
        <f t="shared" si="48"/>
        <v/>
      </c>
      <c r="AW78" s="474" t="str">
        <f t="shared" si="49"/>
        <v/>
      </c>
      <c r="AX78" s="476"/>
      <c r="AY78" s="474" t="str">
        <f t="shared" si="50"/>
        <v/>
      </c>
      <c r="AZ78" s="477" t="str">
        <f t="shared" si="40"/>
        <v/>
      </c>
      <c r="BA78" s="478" t="str">
        <f t="shared" si="51"/>
        <v/>
      </c>
      <c r="BD78" s="279" t="str">
        <f t="shared" si="41"/>
        <v/>
      </c>
      <c r="BG78" s="279" t="b">
        <f t="shared" si="52"/>
        <v>0</v>
      </c>
      <c r="BI78" s="279" t="str">
        <f t="shared" si="42"/>
        <v>n.a.</v>
      </c>
      <c r="BK78" s="517" t="str">
        <f t="shared" si="43"/>
        <v/>
      </c>
      <c r="BL78" s="517" t="str">
        <f t="shared" si="44"/>
        <v/>
      </c>
      <c r="BM78" s="517" t="str">
        <f t="shared" si="45"/>
        <v/>
      </c>
      <c r="BN78" s="517" t="str">
        <f t="shared" si="46"/>
        <v/>
      </c>
    </row>
    <row r="79" spans="2:66" ht="12.5" x14ac:dyDescent="0.35">
      <c r="B79" s="278"/>
      <c r="C79" s="259">
        <v>70</v>
      </c>
      <c r="D79" s="468"/>
      <c r="E79" s="467" t="str">
        <f t="shared" si="20"/>
        <v/>
      </c>
      <c r="F79" s="733"/>
      <c r="G79" s="716" t="str">
        <f t="shared" si="21"/>
        <v/>
      </c>
      <c r="H79" s="468"/>
      <c r="I79" s="266" t="str">
        <f>IF(OR($D79="",$D79=CONST_NA),"",INDEX(InputOutput!$AK$71:$AK$80,MATCH($D79,InputOutput!$D$71:$D$80,0)))</f>
        <v/>
      </c>
      <c r="J79" s="266" t="str">
        <f>IF(OR($D79="",$D79=CONST_NA),"",INDEX(InputOutput!$AM$71:$AM$80,MATCH($D79,InputOutput!$D$71:$D$80,0)))</f>
        <v/>
      </c>
      <c r="K79" s="266" t="str">
        <f t="shared" si="35"/>
        <v/>
      </c>
      <c r="L79" s="266" t="str">
        <f t="shared" si="36"/>
        <v/>
      </c>
      <c r="M79" s="683" t="str">
        <f>IF($E79="","",INDEX(Summary_Processes!$AG$162:$AG$520,MATCH($D79,Summary_Processes!$D$162:$D$520,0)))</f>
        <v/>
      </c>
      <c r="N79" s="266" t="str">
        <f>IF(D79="","",INDEX(D_Processes!T:T,MATCH(CONST_CNTR_ElecEFMethod&amp;D79,D_Processes!R:R,0)))</f>
        <v/>
      </c>
      <c r="O79" s="266" t="str">
        <f>IF(OR($D79="",$D79=CONST_NA),"",INDEX(InputOutput!$AO$71:$AO$80,MATCH($D79,InputOutput!$D$71:$D$80,0)))</f>
        <v/>
      </c>
      <c r="P79" s="469"/>
      <c r="Q79" s="469"/>
      <c r="R79" s="756"/>
      <c r="S79" s="756"/>
      <c r="T79" s="756"/>
      <c r="U79" s="756"/>
      <c r="V79" s="756"/>
      <c r="W79" s="756"/>
      <c r="X79" s="756"/>
      <c r="Y79" s="756"/>
      <c r="Z79" s="756"/>
      <c r="AA79" s="756"/>
      <c r="AB79" s="470"/>
      <c r="AC79" s="470"/>
      <c r="AD79" s="470"/>
      <c r="AE79" s="470"/>
      <c r="AF79" s="470"/>
      <c r="AG79" s="470"/>
      <c r="AH79" s="470"/>
      <c r="AI79" s="470"/>
      <c r="AJ79" s="470"/>
      <c r="AK79" s="470"/>
      <c r="AL79" s="471"/>
      <c r="AM79" s="472"/>
      <c r="AN79" s="473" t="str">
        <f t="shared" si="47"/>
        <v/>
      </c>
      <c r="AO79" s="474" t="str">
        <f t="shared" si="37"/>
        <v/>
      </c>
      <c r="AP79" s="475"/>
      <c r="AQ79" s="687" t="str">
        <f t="shared" si="38"/>
        <v/>
      </c>
      <c r="AR79" s="476"/>
      <c r="AS79" s="474" t="str">
        <f t="shared" si="39"/>
        <v/>
      </c>
      <c r="AT79" s="471"/>
      <c r="AU79" s="472"/>
      <c r="AV79" s="473" t="str">
        <f t="shared" si="48"/>
        <v/>
      </c>
      <c r="AW79" s="474" t="str">
        <f t="shared" si="49"/>
        <v/>
      </c>
      <c r="AX79" s="476"/>
      <c r="AY79" s="474" t="str">
        <f t="shared" si="50"/>
        <v/>
      </c>
      <c r="AZ79" s="477" t="str">
        <f t="shared" si="40"/>
        <v/>
      </c>
      <c r="BA79" s="478" t="str">
        <f t="shared" si="51"/>
        <v/>
      </c>
      <c r="BD79" s="279" t="str">
        <f t="shared" si="41"/>
        <v/>
      </c>
      <c r="BG79" s="279" t="b">
        <f t="shared" si="52"/>
        <v>0</v>
      </c>
      <c r="BI79" s="279" t="str">
        <f t="shared" si="42"/>
        <v>n.a.</v>
      </c>
      <c r="BK79" s="517" t="str">
        <f t="shared" si="43"/>
        <v/>
      </c>
      <c r="BL79" s="517" t="str">
        <f t="shared" si="44"/>
        <v/>
      </c>
      <c r="BM79" s="517" t="str">
        <f t="shared" si="45"/>
        <v/>
      </c>
      <c r="BN79" s="517" t="str">
        <f t="shared" si="46"/>
        <v/>
      </c>
    </row>
    <row r="80" spans="2:66" ht="12.5" x14ac:dyDescent="0.35">
      <c r="B80" s="278"/>
      <c r="C80" s="259">
        <v>71</v>
      </c>
      <c r="D80" s="468"/>
      <c r="E80" s="467" t="str">
        <f t="shared" si="20"/>
        <v/>
      </c>
      <c r="F80" s="733"/>
      <c r="G80" s="716" t="str">
        <f t="shared" si="21"/>
        <v/>
      </c>
      <c r="H80" s="468"/>
      <c r="I80" s="266" t="str">
        <f>IF(OR($D80="",$D80=CONST_NA),"",INDEX(InputOutput!$AK$71:$AK$80,MATCH($D80,InputOutput!$D$71:$D$80,0)))</f>
        <v/>
      </c>
      <c r="J80" s="266" t="str">
        <f>IF(OR($D80="",$D80=CONST_NA),"",INDEX(InputOutput!$AM$71:$AM$80,MATCH($D80,InputOutput!$D$71:$D$80,0)))</f>
        <v/>
      </c>
      <c r="K80" s="266" t="str">
        <f t="shared" si="35"/>
        <v/>
      </c>
      <c r="L80" s="266" t="str">
        <f t="shared" si="36"/>
        <v/>
      </c>
      <c r="M80" s="683" t="str">
        <f>IF($E80="","",INDEX(Summary_Processes!$AG$162:$AG$520,MATCH($D80,Summary_Processes!$D$162:$D$520,0)))</f>
        <v/>
      </c>
      <c r="N80" s="266" t="str">
        <f>IF(D80="","",INDEX(D_Processes!T:T,MATCH(CONST_CNTR_ElecEFMethod&amp;D80,D_Processes!R:R,0)))</f>
        <v/>
      </c>
      <c r="O80" s="266" t="str">
        <f>IF(OR($D80="",$D80=CONST_NA),"",INDEX(InputOutput!$AO$71:$AO$80,MATCH($D80,InputOutput!$D$71:$D$80,0)))</f>
        <v/>
      </c>
      <c r="P80" s="469"/>
      <c r="Q80" s="469"/>
      <c r="R80" s="756"/>
      <c r="S80" s="756"/>
      <c r="T80" s="756"/>
      <c r="U80" s="756"/>
      <c r="V80" s="756"/>
      <c r="W80" s="756"/>
      <c r="X80" s="756"/>
      <c r="Y80" s="756"/>
      <c r="Z80" s="756"/>
      <c r="AA80" s="756"/>
      <c r="AB80" s="470"/>
      <c r="AC80" s="470"/>
      <c r="AD80" s="470"/>
      <c r="AE80" s="470"/>
      <c r="AF80" s="470"/>
      <c r="AG80" s="470"/>
      <c r="AH80" s="470"/>
      <c r="AI80" s="470"/>
      <c r="AJ80" s="470"/>
      <c r="AK80" s="470"/>
      <c r="AL80" s="471"/>
      <c r="AM80" s="472"/>
      <c r="AN80" s="473" t="str">
        <f t="shared" si="47"/>
        <v/>
      </c>
      <c r="AO80" s="474" t="str">
        <f t="shared" si="37"/>
        <v/>
      </c>
      <c r="AP80" s="475"/>
      <c r="AQ80" s="687" t="str">
        <f t="shared" si="38"/>
        <v/>
      </c>
      <c r="AR80" s="476"/>
      <c r="AS80" s="474" t="str">
        <f t="shared" si="39"/>
        <v/>
      </c>
      <c r="AT80" s="471"/>
      <c r="AU80" s="472"/>
      <c r="AV80" s="473" t="str">
        <f t="shared" si="48"/>
        <v/>
      </c>
      <c r="AW80" s="474" t="str">
        <f t="shared" si="49"/>
        <v/>
      </c>
      <c r="AX80" s="476"/>
      <c r="AY80" s="474" t="str">
        <f t="shared" si="50"/>
        <v/>
      </c>
      <c r="AZ80" s="477" t="str">
        <f t="shared" si="40"/>
        <v/>
      </c>
      <c r="BA80" s="478" t="str">
        <f t="shared" si="51"/>
        <v/>
      </c>
      <c r="BD80" s="279" t="str">
        <f t="shared" si="41"/>
        <v/>
      </c>
      <c r="BG80" s="279" t="b">
        <f t="shared" si="52"/>
        <v>0</v>
      </c>
      <c r="BI80" s="279" t="str">
        <f t="shared" si="42"/>
        <v>n.a.</v>
      </c>
      <c r="BK80" s="517" t="str">
        <f t="shared" si="43"/>
        <v/>
      </c>
      <c r="BL80" s="517" t="str">
        <f t="shared" si="44"/>
        <v/>
      </c>
      <c r="BM80" s="517" t="str">
        <f t="shared" si="45"/>
        <v/>
      </c>
      <c r="BN80" s="517" t="str">
        <f t="shared" si="46"/>
        <v/>
      </c>
    </row>
    <row r="81" spans="2:66" ht="12.5" x14ac:dyDescent="0.35">
      <c r="B81" s="278"/>
      <c r="C81" s="259">
        <v>72</v>
      </c>
      <c r="D81" s="468"/>
      <c r="E81" s="467" t="str">
        <f t="shared" si="20"/>
        <v/>
      </c>
      <c r="F81" s="733"/>
      <c r="G81" s="716" t="str">
        <f t="shared" si="21"/>
        <v/>
      </c>
      <c r="H81" s="468"/>
      <c r="I81" s="266" t="str">
        <f>IF(OR($D81="",$D81=CONST_NA),"",INDEX(InputOutput!$AK$71:$AK$80,MATCH($D81,InputOutput!$D$71:$D$80,0)))</f>
        <v/>
      </c>
      <c r="J81" s="266" t="str">
        <f>IF(OR($D81="",$D81=CONST_NA),"",INDEX(InputOutput!$AM$71:$AM$80,MATCH($D81,InputOutput!$D$71:$D$80,0)))</f>
        <v/>
      </c>
      <c r="K81" s="266" t="str">
        <f t="shared" si="35"/>
        <v/>
      </c>
      <c r="L81" s="266" t="str">
        <f t="shared" si="36"/>
        <v/>
      </c>
      <c r="M81" s="683" t="str">
        <f>IF($E81="","",INDEX(Summary_Processes!$AG$162:$AG$520,MATCH($D81,Summary_Processes!$D$162:$D$520,0)))</f>
        <v/>
      </c>
      <c r="N81" s="266" t="str">
        <f>IF(D81="","",INDEX(D_Processes!T:T,MATCH(CONST_CNTR_ElecEFMethod&amp;D81,D_Processes!R:R,0)))</f>
        <v/>
      </c>
      <c r="O81" s="266" t="str">
        <f>IF(OR($D81="",$D81=CONST_NA),"",INDEX(InputOutput!$AO$71:$AO$80,MATCH($D81,InputOutput!$D$71:$D$80,0)))</f>
        <v/>
      </c>
      <c r="P81" s="469"/>
      <c r="Q81" s="469"/>
      <c r="R81" s="756"/>
      <c r="S81" s="756"/>
      <c r="T81" s="756"/>
      <c r="U81" s="756"/>
      <c r="V81" s="756"/>
      <c r="W81" s="756"/>
      <c r="X81" s="756"/>
      <c r="Y81" s="756"/>
      <c r="Z81" s="756"/>
      <c r="AA81" s="756"/>
      <c r="AB81" s="470"/>
      <c r="AC81" s="470"/>
      <c r="AD81" s="470"/>
      <c r="AE81" s="470"/>
      <c r="AF81" s="470"/>
      <c r="AG81" s="470"/>
      <c r="AH81" s="470"/>
      <c r="AI81" s="470"/>
      <c r="AJ81" s="470"/>
      <c r="AK81" s="470"/>
      <c r="AL81" s="471"/>
      <c r="AM81" s="472"/>
      <c r="AN81" s="473" t="str">
        <f t="shared" si="47"/>
        <v/>
      </c>
      <c r="AO81" s="474" t="str">
        <f t="shared" si="37"/>
        <v/>
      </c>
      <c r="AP81" s="475"/>
      <c r="AQ81" s="687" t="str">
        <f t="shared" si="38"/>
        <v/>
      </c>
      <c r="AR81" s="476"/>
      <c r="AS81" s="474" t="str">
        <f t="shared" si="39"/>
        <v/>
      </c>
      <c r="AT81" s="471"/>
      <c r="AU81" s="472"/>
      <c r="AV81" s="473" t="str">
        <f t="shared" si="48"/>
        <v/>
      </c>
      <c r="AW81" s="474" t="str">
        <f t="shared" si="49"/>
        <v/>
      </c>
      <c r="AX81" s="476"/>
      <c r="AY81" s="474" t="str">
        <f t="shared" si="50"/>
        <v/>
      </c>
      <c r="AZ81" s="477" t="str">
        <f t="shared" si="40"/>
        <v/>
      </c>
      <c r="BA81" s="478" t="str">
        <f t="shared" si="51"/>
        <v/>
      </c>
      <c r="BD81" s="279" t="str">
        <f t="shared" si="41"/>
        <v/>
      </c>
      <c r="BG81" s="279" t="b">
        <f t="shared" si="52"/>
        <v>0</v>
      </c>
      <c r="BI81" s="279" t="str">
        <f t="shared" si="42"/>
        <v>n.a.</v>
      </c>
      <c r="BK81" s="517" t="str">
        <f t="shared" si="43"/>
        <v/>
      </c>
      <c r="BL81" s="517" t="str">
        <f t="shared" si="44"/>
        <v/>
      </c>
      <c r="BM81" s="517" t="str">
        <f t="shared" si="45"/>
        <v/>
      </c>
      <c r="BN81" s="517" t="str">
        <f t="shared" si="46"/>
        <v/>
      </c>
    </row>
    <row r="82" spans="2:66" ht="12.5" x14ac:dyDescent="0.35">
      <c r="B82" s="278"/>
      <c r="C82" s="259">
        <v>73</v>
      </c>
      <c r="D82" s="468"/>
      <c r="E82" s="467" t="str">
        <f t="shared" si="20"/>
        <v/>
      </c>
      <c r="F82" s="733"/>
      <c r="G82" s="716" t="str">
        <f t="shared" si="21"/>
        <v/>
      </c>
      <c r="H82" s="468"/>
      <c r="I82" s="266" t="str">
        <f>IF(OR($D82="",$D82=CONST_NA),"",INDEX(InputOutput!$AK$71:$AK$80,MATCH($D82,InputOutput!$D$71:$D$80,0)))</f>
        <v/>
      </c>
      <c r="J82" s="266" t="str">
        <f>IF(OR($D82="",$D82=CONST_NA),"",INDEX(InputOutput!$AM$71:$AM$80,MATCH($D82,InputOutput!$D$71:$D$80,0)))</f>
        <v/>
      </c>
      <c r="K82" s="266" t="str">
        <f t="shared" si="35"/>
        <v/>
      </c>
      <c r="L82" s="266" t="str">
        <f t="shared" si="36"/>
        <v/>
      </c>
      <c r="M82" s="683" t="str">
        <f>IF($E82="","",INDEX(Summary_Processes!$AG$162:$AG$520,MATCH($D82,Summary_Processes!$D$162:$D$520,0)))</f>
        <v/>
      </c>
      <c r="N82" s="266" t="str">
        <f>IF(D82="","",INDEX(D_Processes!T:T,MATCH(CONST_CNTR_ElecEFMethod&amp;D82,D_Processes!R:R,0)))</f>
        <v/>
      </c>
      <c r="O82" s="266" t="str">
        <f>IF(OR($D82="",$D82=CONST_NA),"",INDEX(InputOutput!$AO$71:$AO$80,MATCH($D82,InputOutput!$D$71:$D$80,0)))</f>
        <v/>
      </c>
      <c r="P82" s="469"/>
      <c r="Q82" s="469"/>
      <c r="R82" s="756"/>
      <c r="S82" s="756"/>
      <c r="T82" s="756"/>
      <c r="U82" s="756"/>
      <c r="V82" s="756"/>
      <c r="W82" s="756"/>
      <c r="X82" s="756"/>
      <c r="Y82" s="756"/>
      <c r="Z82" s="756"/>
      <c r="AA82" s="756"/>
      <c r="AB82" s="470"/>
      <c r="AC82" s="470"/>
      <c r="AD82" s="470"/>
      <c r="AE82" s="470"/>
      <c r="AF82" s="470"/>
      <c r="AG82" s="470"/>
      <c r="AH82" s="470"/>
      <c r="AI82" s="470"/>
      <c r="AJ82" s="470"/>
      <c r="AK82" s="470"/>
      <c r="AL82" s="471"/>
      <c r="AM82" s="472"/>
      <c r="AN82" s="473" t="str">
        <f t="shared" si="47"/>
        <v/>
      </c>
      <c r="AO82" s="474" t="str">
        <f t="shared" si="37"/>
        <v/>
      </c>
      <c r="AP82" s="475"/>
      <c r="AQ82" s="687" t="str">
        <f t="shared" si="38"/>
        <v/>
      </c>
      <c r="AR82" s="476"/>
      <c r="AS82" s="474" t="str">
        <f t="shared" si="39"/>
        <v/>
      </c>
      <c r="AT82" s="471"/>
      <c r="AU82" s="472"/>
      <c r="AV82" s="473" t="str">
        <f t="shared" si="48"/>
        <v/>
      </c>
      <c r="AW82" s="474" t="str">
        <f t="shared" si="49"/>
        <v/>
      </c>
      <c r="AX82" s="476"/>
      <c r="AY82" s="474" t="str">
        <f t="shared" si="50"/>
        <v/>
      </c>
      <c r="AZ82" s="477" t="str">
        <f t="shared" si="40"/>
        <v/>
      </c>
      <c r="BA82" s="478" t="str">
        <f t="shared" si="51"/>
        <v/>
      </c>
      <c r="BD82" s="279" t="str">
        <f t="shared" si="41"/>
        <v/>
      </c>
      <c r="BG82" s="279" t="b">
        <f t="shared" si="52"/>
        <v>0</v>
      </c>
      <c r="BI82" s="279" t="str">
        <f t="shared" si="42"/>
        <v>n.a.</v>
      </c>
      <c r="BK82" s="517" t="str">
        <f t="shared" si="43"/>
        <v/>
      </c>
      <c r="BL82" s="517" t="str">
        <f t="shared" si="44"/>
        <v/>
      </c>
      <c r="BM82" s="517" t="str">
        <f t="shared" si="45"/>
        <v/>
      </c>
      <c r="BN82" s="517" t="str">
        <f t="shared" si="46"/>
        <v/>
      </c>
    </row>
    <row r="83" spans="2:66" ht="12.5" x14ac:dyDescent="0.35">
      <c r="B83" s="278"/>
      <c r="C83" s="259">
        <v>74</v>
      </c>
      <c r="D83" s="468"/>
      <c r="E83" s="467" t="str">
        <f t="shared" si="20"/>
        <v/>
      </c>
      <c r="F83" s="733"/>
      <c r="G83" s="716" t="str">
        <f t="shared" si="21"/>
        <v/>
      </c>
      <c r="H83" s="468"/>
      <c r="I83" s="266" t="str">
        <f>IF(OR($D83="",$D83=CONST_NA),"",INDEX(InputOutput!$AK$71:$AK$80,MATCH($D83,InputOutput!$D$71:$D$80,0)))</f>
        <v/>
      </c>
      <c r="J83" s="266" t="str">
        <f>IF(OR($D83="",$D83=CONST_NA),"",INDEX(InputOutput!$AM$71:$AM$80,MATCH($D83,InputOutput!$D$71:$D$80,0)))</f>
        <v/>
      </c>
      <c r="K83" s="266" t="str">
        <f t="shared" si="35"/>
        <v/>
      </c>
      <c r="L83" s="266" t="str">
        <f t="shared" si="36"/>
        <v/>
      </c>
      <c r="M83" s="683" t="str">
        <f>IF($E83="","",INDEX(Summary_Processes!$AG$162:$AG$520,MATCH($D83,Summary_Processes!$D$162:$D$520,0)))</f>
        <v/>
      </c>
      <c r="N83" s="266" t="str">
        <f>IF(D83="","",INDEX(D_Processes!T:T,MATCH(CONST_CNTR_ElecEFMethod&amp;D83,D_Processes!R:R,0)))</f>
        <v/>
      </c>
      <c r="O83" s="266" t="str">
        <f>IF(OR($D83="",$D83=CONST_NA),"",INDEX(InputOutput!$AO$71:$AO$80,MATCH($D83,InputOutput!$D$71:$D$80,0)))</f>
        <v/>
      </c>
      <c r="P83" s="469"/>
      <c r="Q83" s="469"/>
      <c r="R83" s="756"/>
      <c r="S83" s="756"/>
      <c r="T83" s="756"/>
      <c r="U83" s="756"/>
      <c r="V83" s="756"/>
      <c r="W83" s="756"/>
      <c r="X83" s="756"/>
      <c r="Y83" s="756"/>
      <c r="Z83" s="756"/>
      <c r="AA83" s="756"/>
      <c r="AB83" s="470"/>
      <c r="AC83" s="470"/>
      <c r="AD83" s="470"/>
      <c r="AE83" s="470"/>
      <c r="AF83" s="470"/>
      <c r="AG83" s="470"/>
      <c r="AH83" s="470"/>
      <c r="AI83" s="470"/>
      <c r="AJ83" s="470"/>
      <c r="AK83" s="470"/>
      <c r="AL83" s="471"/>
      <c r="AM83" s="472"/>
      <c r="AN83" s="473" t="str">
        <f t="shared" si="47"/>
        <v/>
      </c>
      <c r="AO83" s="474" t="str">
        <f t="shared" si="37"/>
        <v/>
      </c>
      <c r="AP83" s="475"/>
      <c r="AQ83" s="687" t="str">
        <f t="shared" si="38"/>
        <v/>
      </c>
      <c r="AR83" s="476"/>
      <c r="AS83" s="474" t="str">
        <f t="shared" si="39"/>
        <v/>
      </c>
      <c r="AT83" s="471"/>
      <c r="AU83" s="472"/>
      <c r="AV83" s="473" t="str">
        <f t="shared" si="48"/>
        <v/>
      </c>
      <c r="AW83" s="474" t="str">
        <f t="shared" si="49"/>
        <v/>
      </c>
      <c r="AX83" s="476"/>
      <c r="AY83" s="474" t="str">
        <f t="shared" si="50"/>
        <v/>
      </c>
      <c r="AZ83" s="477" t="str">
        <f t="shared" si="40"/>
        <v/>
      </c>
      <c r="BA83" s="478" t="str">
        <f t="shared" si="51"/>
        <v/>
      </c>
      <c r="BD83" s="279" t="str">
        <f t="shared" si="41"/>
        <v/>
      </c>
      <c r="BG83" s="279" t="b">
        <f t="shared" si="52"/>
        <v>0</v>
      </c>
      <c r="BI83" s="279" t="str">
        <f t="shared" si="42"/>
        <v>n.a.</v>
      </c>
      <c r="BK83" s="517" t="str">
        <f t="shared" si="43"/>
        <v/>
      </c>
      <c r="BL83" s="517" t="str">
        <f t="shared" si="44"/>
        <v/>
      </c>
      <c r="BM83" s="517" t="str">
        <f t="shared" si="45"/>
        <v/>
      </c>
      <c r="BN83" s="517" t="str">
        <f t="shared" si="46"/>
        <v/>
      </c>
    </row>
    <row r="84" spans="2:66" ht="12.5" x14ac:dyDescent="0.35">
      <c r="B84" s="278"/>
      <c r="C84" s="259">
        <v>75</v>
      </c>
      <c r="D84" s="468"/>
      <c r="E84" s="467" t="str">
        <f t="shared" si="20"/>
        <v/>
      </c>
      <c r="F84" s="733"/>
      <c r="G84" s="716" t="str">
        <f t="shared" si="21"/>
        <v/>
      </c>
      <c r="H84" s="468"/>
      <c r="I84" s="266" t="str">
        <f>IF(OR($D84="",$D84=CONST_NA),"",INDEX(InputOutput!$AK$71:$AK$80,MATCH($D84,InputOutput!$D$71:$D$80,0)))</f>
        <v/>
      </c>
      <c r="J84" s="266" t="str">
        <f>IF(OR($D84="",$D84=CONST_NA),"",INDEX(InputOutput!$AM$71:$AM$80,MATCH($D84,InputOutput!$D$71:$D$80,0)))</f>
        <v/>
      </c>
      <c r="K84" s="266" t="str">
        <f t="shared" si="35"/>
        <v/>
      </c>
      <c r="L84" s="266" t="str">
        <f t="shared" si="36"/>
        <v/>
      </c>
      <c r="M84" s="683" t="str">
        <f>IF($E84="","",INDEX(Summary_Processes!$AG$162:$AG$520,MATCH($D84,Summary_Processes!$D$162:$D$520,0)))</f>
        <v/>
      </c>
      <c r="N84" s="266" t="str">
        <f>IF(D84="","",INDEX(D_Processes!T:T,MATCH(CONST_CNTR_ElecEFMethod&amp;D84,D_Processes!R:R,0)))</f>
        <v/>
      </c>
      <c r="O84" s="266" t="str">
        <f>IF(OR($D84="",$D84=CONST_NA),"",INDEX(InputOutput!$AO$71:$AO$80,MATCH($D84,InputOutput!$D$71:$D$80,0)))</f>
        <v/>
      </c>
      <c r="P84" s="469"/>
      <c r="Q84" s="469"/>
      <c r="R84" s="756"/>
      <c r="S84" s="756"/>
      <c r="T84" s="756"/>
      <c r="U84" s="756"/>
      <c r="V84" s="756"/>
      <c r="W84" s="756"/>
      <c r="X84" s="756"/>
      <c r="Y84" s="756"/>
      <c r="Z84" s="756"/>
      <c r="AA84" s="756"/>
      <c r="AB84" s="470"/>
      <c r="AC84" s="470"/>
      <c r="AD84" s="470"/>
      <c r="AE84" s="470"/>
      <c r="AF84" s="470"/>
      <c r="AG84" s="470"/>
      <c r="AH84" s="470"/>
      <c r="AI84" s="470"/>
      <c r="AJ84" s="470"/>
      <c r="AK84" s="470"/>
      <c r="AL84" s="471"/>
      <c r="AM84" s="472"/>
      <c r="AN84" s="473" t="str">
        <f t="shared" si="47"/>
        <v/>
      </c>
      <c r="AO84" s="474" t="str">
        <f t="shared" si="37"/>
        <v/>
      </c>
      <c r="AP84" s="475"/>
      <c r="AQ84" s="687" t="str">
        <f t="shared" si="38"/>
        <v/>
      </c>
      <c r="AR84" s="476"/>
      <c r="AS84" s="474" t="str">
        <f t="shared" si="39"/>
        <v/>
      </c>
      <c r="AT84" s="471"/>
      <c r="AU84" s="472"/>
      <c r="AV84" s="473" t="str">
        <f t="shared" si="48"/>
        <v/>
      </c>
      <c r="AW84" s="474" t="str">
        <f t="shared" si="49"/>
        <v/>
      </c>
      <c r="AX84" s="476"/>
      <c r="AY84" s="474" t="str">
        <f t="shared" si="50"/>
        <v/>
      </c>
      <c r="AZ84" s="477" t="str">
        <f t="shared" si="40"/>
        <v/>
      </c>
      <c r="BA84" s="478" t="str">
        <f t="shared" si="51"/>
        <v/>
      </c>
      <c r="BD84" s="279" t="str">
        <f t="shared" si="41"/>
        <v/>
      </c>
      <c r="BG84" s="279" t="b">
        <f t="shared" si="52"/>
        <v>0</v>
      </c>
      <c r="BI84" s="279" t="str">
        <f t="shared" si="42"/>
        <v>n.a.</v>
      </c>
      <c r="BK84" s="517" t="str">
        <f t="shared" si="43"/>
        <v/>
      </c>
      <c r="BL84" s="517" t="str">
        <f t="shared" si="44"/>
        <v/>
      </c>
      <c r="BM84" s="517" t="str">
        <f t="shared" si="45"/>
        <v/>
      </c>
      <c r="BN84" s="517" t="str">
        <f t="shared" si="46"/>
        <v/>
      </c>
    </row>
    <row r="85" spans="2:66" ht="12.5" x14ac:dyDescent="0.35">
      <c r="B85" s="278"/>
      <c r="C85" s="259">
        <v>76</v>
      </c>
      <c r="D85" s="468"/>
      <c r="E85" s="467" t="str">
        <f t="shared" si="20"/>
        <v/>
      </c>
      <c r="F85" s="733"/>
      <c r="G85" s="716" t="str">
        <f t="shared" si="21"/>
        <v/>
      </c>
      <c r="H85" s="468"/>
      <c r="I85" s="266" t="str">
        <f>IF(OR($D85="",$D85=CONST_NA),"",INDEX(InputOutput!$AK$71:$AK$80,MATCH($D85,InputOutput!$D$71:$D$80,0)))</f>
        <v/>
      </c>
      <c r="J85" s="266" t="str">
        <f>IF(OR($D85="",$D85=CONST_NA),"",INDEX(InputOutput!$AM$71:$AM$80,MATCH($D85,InputOutput!$D$71:$D$80,0)))</f>
        <v/>
      </c>
      <c r="K85" s="266" t="str">
        <f t="shared" si="35"/>
        <v/>
      </c>
      <c r="L85" s="266" t="str">
        <f t="shared" si="36"/>
        <v/>
      </c>
      <c r="M85" s="683" t="str">
        <f>IF($E85="","",INDEX(Summary_Processes!$AG$162:$AG$520,MATCH($D85,Summary_Processes!$D$162:$D$520,0)))</f>
        <v/>
      </c>
      <c r="N85" s="266" t="str">
        <f>IF(D85="","",INDEX(D_Processes!T:T,MATCH(CONST_CNTR_ElecEFMethod&amp;D85,D_Processes!R:R,0)))</f>
        <v/>
      </c>
      <c r="O85" s="266" t="str">
        <f>IF(OR($D85="",$D85=CONST_NA),"",INDEX(InputOutput!$AO$71:$AO$80,MATCH($D85,InputOutput!$D$71:$D$80,0)))</f>
        <v/>
      </c>
      <c r="P85" s="469"/>
      <c r="Q85" s="469"/>
      <c r="R85" s="756"/>
      <c r="S85" s="756"/>
      <c r="T85" s="756"/>
      <c r="U85" s="756"/>
      <c r="V85" s="756"/>
      <c r="W85" s="756"/>
      <c r="X85" s="756"/>
      <c r="Y85" s="756"/>
      <c r="Z85" s="756"/>
      <c r="AA85" s="756"/>
      <c r="AB85" s="470"/>
      <c r="AC85" s="470"/>
      <c r="AD85" s="470"/>
      <c r="AE85" s="470"/>
      <c r="AF85" s="470"/>
      <c r="AG85" s="470"/>
      <c r="AH85" s="470"/>
      <c r="AI85" s="470"/>
      <c r="AJ85" s="470"/>
      <c r="AK85" s="470"/>
      <c r="AL85" s="471"/>
      <c r="AM85" s="472"/>
      <c r="AN85" s="473" t="str">
        <f t="shared" si="47"/>
        <v/>
      </c>
      <c r="AO85" s="474" t="str">
        <f t="shared" si="37"/>
        <v/>
      </c>
      <c r="AP85" s="475"/>
      <c r="AQ85" s="687" t="str">
        <f t="shared" si="38"/>
        <v/>
      </c>
      <c r="AR85" s="476"/>
      <c r="AS85" s="474" t="str">
        <f t="shared" si="39"/>
        <v/>
      </c>
      <c r="AT85" s="471"/>
      <c r="AU85" s="472"/>
      <c r="AV85" s="473" t="str">
        <f t="shared" si="48"/>
        <v/>
      </c>
      <c r="AW85" s="474" t="str">
        <f t="shared" si="49"/>
        <v/>
      </c>
      <c r="AX85" s="476"/>
      <c r="AY85" s="474" t="str">
        <f t="shared" si="50"/>
        <v/>
      </c>
      <c r="AZ85" s="477" t="str">
        <f t="shared" si="40"/>
        <v/>
      </c>
      <c r="BA85" s="478" t="str">
        <f t="shared" si="51"/>
        <v/>
      </c>
      <c r="BD85" s="279" t="str">
        <f t="shared" si="41"/>
        <v/>
      </c>
      <c r="BG85" s="279" t="b">
        <f t="shared" si="52"/>
        <v>0</v>
      </c>
      <c r="BI85" s="279" t="str">
        <f t="shared" si="42"/>
        <v>n.a.</v>
      </c>
      <c r="BK85" s="517" t="str">
        <f t="shared" si="43"/>
        <v/>
      </c>
      <c r="BL85" s="517" t="str">
        <f t="shared" si="44"/>
        <v/>
      </c>
      <c r="BM85" s="517" t="str">
        <f t="shared" si="45"/>
        <v/>
      </c>
      <c r="BN85" s="517" t="str">
        <f t="shared" si="46"/>
        <v/>
      </c>
    </row>
    <row r="86" spans="2:66" ht="12.5" x14ac:dyDescent="0.35">
      <c r="B86" s="278"/>
      <c r="C86" s="259">
        <v>77</v>
      </c>
      <c r="D86" s="468"/>
      <c r="E86" s="467" t="str">
        <f t="shared" si="20"/>
        <v/>
      </c>
      <c r="F86" s="733"/>
      <c r="G86" s="716" t="str">
        <f t="shared" si="21"/>
        <v/>
      </c>
      <c r="H86" s="468"/>
      <c r="I86" s="266" t="str">
        <f>IF(OR($D86="",$D86=CONST_NA),"",INDEX(InputOutput!$AK$71:$AK$80,MATCH($D86,InputOutput!$D$71:$D$80,0)))</f>
        <v/>
      </c>
      <c r="J86" s="266" t="str">
        <f>IF(OR($D86="",$D86=CONST_NA),"",INDEX(InputOutput!$AM$71:$AM$80,MATCH($D86,InputOutput!$D$71:$D$80,0)))</f>
        <v/>
      </c>
      <c r="K86" s="266" t="str">
        <f t="shared" si="35"/>
        <v/>
      </c>
      <c r="L86" s="266" t="str">
        <f t="shared" si="36"/>
        <v/>
      </c>
      <c r="M86" s="683" t="str">
        <f>IF($E86="","",INDEX(Summary_Processes!$AG$162:$AG$520,MATCH($D86,Summary_Processes!$D$162:$D$520,0)))</f>
        <v/>
      </c>
      <c r="N86" s="266" t="str">
        <f>IF(D86="","",INDEX(D_Processes!T:T,MATCH(CONST_CNTR_ElecEFMethod&amp;D86,D_Processes!R:R,0)))</f>
        <v/>
      </c>
      <c r="O86" s="266" t="str">
        <f>IF(OR($D86="",$D86=CONST_NA),"",INDEX(InputOutput!$AO$71:$AO$80,MATCH($D86,InputOutput!$D$71:$D$80,0)))</f>
        <v/>
      </c>
      <c r="P86" s="469"/>
      <c r="Q86" s="469"/>
      <c r="R86" s="756"/>
      <c r="S86" s="756"/>
      <c r="T86" s="756"/>
      <c r="U86" s="756"/>
      <c r="V86" s="756"/>
      <c r="W86" s="756"/>
      <c r="X86" s="756"/>
      <c r="Y86" s="756"/>
      <c r="Z86" s="756"/>
      <c r="AA86" s="756"/>
      <c r="AB86" s="470"/>
      <c r="AC86" s="470"/>
      <c r="AD86" s="470"/>
      <c r="AE86" s="470"/>
      <c r="AF86" s="470"/>
      <c r="AG86" s="470"/>
      <c r="AH86" s="470"/>
      <c r="AI86" s="470"/>
      <c r="AJ86" s="470"/>
      <c r="AK86" s="470"/>
      <c r="AL86" s="471"/>
      <c r="AM86" s="472"/>
      <c r="AN86" s="473" t="str">
        <f t="shared" si="47"/>
        <v/>
      </c>
      <c r="AO86" s="474" t="str">
        <f t="shared" si="37"/>
        <v/>
      </c>
      <c r="AP86" s="475"/>
      <c r="AQ86" s="687" t="str">
        <f t="shared" si="38"/>
        <v/>
      </c>
      <c r="AR86" s="476"/>
      <c r="AS86" s="474" t="str">
        <f t="shared" si="39"/>
        <v/>
      </c>
      <c r="AT86" s="471"/>
      <c r="AU86" s="472"/>
      <c r="AV86" s="473" t="str">
        <f t="shared" si="48"/>
        <v/>
      </c>
      <c r="AW86" s="474" t="str">
        <f t="shared" si="49"/>
        <v/>
      </c>
      <c r="AX86" s="476"/>
      <c r="AY86" s="474" t="str">
        <f t="shared" si="50"/>
        <v/>
      </c>
      <c r="AZ86" s="477" t="str">
        <f t="shared" si="40"/>
        <v/>
      </c>
      <c r="BA86" s="478" t="str">
        <f t="shared" si="51"/>
        <v/>
      </c>
      <c r="BD86" s="279" t="str">
        <f t="shared" si="41"/>
        <v/>
      </c>
      <c r="BG86" s="279" t="b">
        <f t="shared" si="52"/>
        <v>0</v>
      </c>
      <c r="BI86" s="279" t="str">
        <f t="shared" si="42"/>
        <v>n.a.</v>
      </c>
      <c r="BK86" s="517" t="str">
        <f t="shared" si="43"/>
        <v/>
      </c>
      <c r="BL86" s="517" t="str">
        <f t="shared" si="44"/>
        <v/>
      </c>
      <c r="BM86" s="517" t="str">
        <f t="shared" si="45"/>
        <v/>
      </c>
      <c r="BN86" s="517" t="str">
        <f t="shared" si="46"/>
        <v/>
      </c>
    </row>
    <row r="87" spans="2:66" ht="12.5" x14ac:dyDescent="0.35">
      <c r="B87" s="278"/>
      <c r="C87" s="259">
        <v>78</v>
      </c>
      <c r="D87" s="468"/>
      <c r="E87" s="467" t="str">
        <f t="shared" si="20"/>
        <v/>
      </c>
      <c r="F87" s="733"/>
      <c r="G87" s="716" t="str">
        <f t="shared" si="21"/>
        <v/>
      </c>
      <c r="H87" s="468"/>
      <c r="I87" s="266" t="str">
        <f>IF(OR($D87="",$D87=CONST_NA),"",INDEX(InputOutput!$AK$71:$AK$80,MATCH($D87,InputOutput!$D$71:$D$80,0)))</f>
        <v/>
      </c>
      <c r="J87" s="266" t="str">
        <f>IF(OR($D87="",$D87=CONST_NA),"",INDEX(InputOutput!$AM$71:$AM$80,MATCH($D87,InputOutput!$D$71:$D$80,0)))</f>
        <v/>
      </c>
      <c r="K87" s="266" t="str">
        <f t="shared" si="35"/>
        <v/>
      </c>
      <c r="L87" s="266" t="str">
        <f t="shared" si="36"/>
        <v/>
      </c>
      <c r="M87" s="683" t="str">
        <f>IF($E87="","",INDEX(Summary_Processes!$AG$162:$AG$520,MATCH($D87,Summary_Processes!$D$162:$D$520,0)))</f>
        <v/>
      </c>
      <c r="N87" s="266" t="str">
        <f>IF(D87="","",INDEX(D_Processes!T:T,MATCH(CONST_CNTR_ElecEFMethod&amp;D87,D_Processes!R:R,0)))</f>
        <v/>
      </c>
      <c r="O87" s="266" t="str">
        <f>IF(OR($D87="",$D87=CONST_NA),"",INDEX(InputOutput!$AO$71:$AO$80,MATCH($D87,InputOutput!$D$71:$D$80,0)))</f>
        <v/>
      </c>
      <c r="P87" s="469"/>
      <c r="Q87" s="469"/>
      <c r="R87" s="756"/>
      <c r="S87" s="756"/>
      <c r="T87" s="756"/>
      <c r="U87" s="756"/>
      <c r="V87" s="756"/>
      <c r="W87" s="756"/>
      <c r="X87" s="756"/>
      <c r="Y87" s="756"/>
      <c r="Z87" s="756"/>
      <c r="AA87" s="756"/>
      <c r="AB87" s="470"/>
      <c r="AC87" s="470"/>
      <c r="AD87" s="470"/>
      <c r="AE87" s="470"/>
      <c r="AF87" s="470"/>
      <c r="AG87" s="470"/>
      <c r="AH87" s="470"/>
      <c r="AI87" s="470"/>
      <c r="AJ87" s="470"/>
      <c r="AK87" s="470"/>
      <c r="AL87" s="471"/>
      <c r="AM87" s="472"/>
      <c r="AN87" s="473" t="str">
        <f t="shared" si="47"/>
        <v/>
      </c>
      <c r="AO87" s="474" t="str">
        <f t="shared" si="37"/>
        <v/>
      </c>
      <c r="AP87" s="475"/>
      <c r="AQ87" s="687" t="str">
        <f t="shared" si="38"/>
        <v/>
      </c>
      <c r="AR87" s="476"/>
      <c r="AS87" s="474" t="str">
        <f t="shared" si="39"/>
        <v/>
      </c>
      <c r="AT87" s="471"/>
      <c r="AU87" s="472"/>
      <c r="AV87" s="473" t="str">
        <f t="shared" si="48"/>
        <v/>
      </c>
      <c r="AW87" s="474" t="str">
        <f t="shared" si="49"/>
        <v/>
      </c>
      <c r="AX87" s="476"/>
      <c r="AY87" s="474" t="str">
        <f t="shared" si="50"/>
        <v/>
      </c>
      <c r="AZ87" s="477" t="str">
        <f t="shared" si="40"/>
        <v/>
      </c>
      <c r="BA87" s="478" t="str">
        <f t="shared" si="51"/>
        <v/>
      </c>
      <c r="BD87" s="279" t="str">
        <f t="shared" si="41"/>
        <v/>
      </c>
      <c r="BG87" s="279" t="b">
        <f t="shared" si="52"/>
        <v>0</v>
      </c>
      <c r="BI87" s="279" t="str">
        <f t="shared" si="42"/>
        <v>n.a.</v>
      </c>
      <c r="BK87" s="517" t="str">
        <f t="shared" si="43"/>
        <v/>
      </c>
      <c r="BL87" s="517" t="str">
        <f t="shared" si="44"/>
        <v/>
      </c>
      <c r="BM87" s="517" t="str">
        <f t="shared" si="45"/>
        <v/>
      </c>
      <c r="BN87" s="517" t="str">
        <f t="shared" si="46"/>
        <v/>
      </c>
    </row>
    <row r="88" spans="2:66" ht="12.5" x14ac:dyDescent="0.35">
      <c r="B88" s="278"/>
      <c r="C88" s="259">
        <v>79</v>
      </c>
      <c r="D88" s="468"/>
      <c r="E88" s="467" t="str">
        <f t="shared" ref="E88:E109" si="53">IF(D88="","",INDEX(CNTR_List_ExistProdProc,MATCH(D88,CNTR_List_ExistProdProcNames,0)))</f>
        <v/>
      </c>
      <c r="F88" s="733"/>
      <c r="G88" s="716" t="str">
        <f t="shared" ref="G88:G109" si="54">IF(F88="","",INDEX(CNCodes_ListNames,MATCH(F88,CNCodes_ListKey,0)))</f>
        <v/>
      </c>
      <c r="H88" s="468"/>
      <c r="I88" s="266" t="str">
        <f>IF(OR($D88="",$D88=CONST_NA),"",INDEX(InputOutput!$AK$71:$AK$80,MATCH($D88,InputOutput!$D$71:$D$80,0)))</f>
        <v/>
      </c>
      <c r="J88" s="266" t="str">
        <f>IF(OR($D88="",$D88=CONST_NA),"",INDEX(InputOutput!$AM$71:$AM$80,MATCH($D88,InputOutput!$D$71:$D$80,0)))</f>
        <v/>
      </c>
      <c r="K88" s="266" t="str">
        <f t="shared" si="35"/>
        <v/>
      </c>
      <c r="L88" s="266" t="str">
        <f t="shared" si="36"/>
        <v/>
      </c>
      <c r="M88" s="683" t="str">
        <f>IF($E88="","",INDEX(Summary_Processes!$AG$162:$AG$520,MATCH($D88,Summary_Processes!$D$162:$D$520,0)))</f>
        <v/>
      </c>
      <c r="N88" s="266" t="str">
        <f>IF(D88="","",INDEX(D_Processes!T:T,MATCH(CONST_CNTR_ElecEFMethod&amp;D88,D_Processes!R:R,0)))</f>
        <v/>
      </c>
      <c r="O88" s="266" t="str">
        <f>IF(OR($D88="",$D88=CONST_NA),"",INDEX(InputOutput!$AO$71:$AO$80,MATCH($D88,InputOutput!$D$71:$D$80,0)))</f>
        <v/>
      </c>
      <c r="P88" s="469"/>
      <c r="Q88" s="469"/>
      <c r="R88" s="756"/>
      <c r="S88" s="756"/>
      <c r="T88" s="756"/>
      <c r="U88" s="756"/>
      <c r="V88" s="756"/>
      <c r="W88" s="756"/>
      <c r="X88" s="756"/>
      <c r="Y88" s="756"/>
      <c r="Z88" s="756"/>
      <c r="AA88" s="756"/>
      <c r="AB88" s="470"/>
      <c r="AC88" s="470"/>
      <c r="AD88" s="470"/>
      <c r="AE88" s="470"/>
      <c r="AF88" s="470"/>
      <c r="AG88" s="470"/>
      <c r="AH88" s="470"/>
      <c r="AI88" s="470"/>
      <c r="AJ88" s="470"/>
      <c r="AK88" s="470"/>
      <c r="AL88" s="471"/>
      <c r="AM88" s="472"/>
      <c r="AN88" s="473" t="str">
        <f t="shared" si="47"/>
        <v/>
      </c>
      <c r="AO88" s="474" t="str">
        <f t="shared" si="37"/>
        <v/>
      </c>
      <c r="AP88" s="475"/>
      <c r="AQ88" s="687" t="str">
        <f t="shared" si="38"/>
        <v/>
      </c>
      <c r="AR88" s="476"/>
      <c r="AS88" s="474" t="str">
        <f t="shared" si="39"/>
        <v/>
      </c>
      <c r="AT88" s="471"/>
      <c r="AU88" s="472"/>
      <c r="AV88" s="473" t="str">
        <f t="shared" si="48"/>
        <v/>
      </c>
      <c r="AW88" s="474" t="str">
        <f t="shared" si="49"/>
        <v/>
      </c>
      <c r="AX88" s="476"/>
      <c r="AY88" s="474" t="str">
        <f t="shared" si="50"/>
        <v/>
      </c>
      <c r="AZ88" s="477" t="str">
        <f t="shared" si="40"/>
        <v/>
      </c>
      <c r="BA88" s="478" t="str">
        <f t="shared" si="51"/>
        <v/>
      </c>
      <c r="BD88" s="279" t="str">
        <f t="shared" si="41"/>
        <v/>
      </c>
      <c r="BG88" s="279" t="b">
        <f t="shared" si="52"/>
        <v>0</v>
      </c>
      <c r="BI88" s="279" t="str">
        <f t="shared" si="42"/>
        <v>n.a.</v>
      </c>
      <c r="BK88" s="517" t="str">
        <f t="shared" si="43"/>
        <v/>
      </c>
      <c r="BL88" s="517" t="str">
        <f t="shared" si="44"/>
        <v/>
      </c>
      <c r="BM88" s="517" t="str">
        <f t="shared" si="45"/>
        <v/>
      </c>
      <c r="BN88" s="517" t="str">
        <f t="shared" si="46"/>
        <v/>
      </c>
    </row>
    <row r="89" spans="2:66" ht="12.5" x14ac:dyDescent="0.35">
      <c r="B89" s="278"/>
      <c r="C89" s="259">
        <v>80</v>
      </c>
      <c r="D89" s="468"/>
      <c r="E89" s="467" t="str">
        <f t="shared" si="53"/>
        <v/>
      </c>
      <c r="F89" s="733"/>
      <c r="G89" s="716" t="str">
        <f t="shared" si="54"/>
        <v/>
      </c>
      <c r="H89" s="468"/>
      <c r="I89" s="266" t="str">
        <f>IF(OR($D89="",$D89=CONST_NA),"",INDEX(InputOutput!$AK$71:$AK$80,MATCH($D89,InputOutput!$D$71:$D$80,0)))</f>
        <v/>
      </c>
      <c r="J89" s="266" t="str">
        <f>IF(OR($D89="",$D89=CONST_NA),"",INDEX(InputOutput!$AM$71:$AM$80,MATCH($D89,InputOutput!$D$71:$D$80,0)))</f>
        <v/>
      </c>
      <c r="K89" s="266" t="str">
        <f t="shared" si="35"/>
        <v/>
      </c>
      <c r="L89" s="266" t="str">
        <f t="shared" si="36"/>
        <v/>
      </c>
      <c r="M89" s="683" t="str">
        <f>IF($E89="","",INDEX(Summary_Processes!$AG$162:$AG$520,MATCH($D89,Summary_Processes!$D$162:$D$520,0)))</f>
        <v/>
      </c>
      <c r="N89" s="266" t="str">
        <f>IF(D89="","",INDEX(D_Processes!T:T,MATCH(CONST_CNTR_ElecEFMethod&amp;D89,D_Processes!R:R,0)))</f>
        <v/>
      </c>
      <c r="O89" s="266" t="str">
        <f>IF(OR($D89="",$D89=CONST_NA),"",INDEX(InputOutput!$AO$71:$AO$80,MATCH($D89,InputOutput!$D$71:$D$80,0)))</f>
        <v/>
      </c>
      <c r="P89" s="469"/>
      <c r="Q89" s="469"/>
      <c r="R89" s="756"/>
      <c r="S89" s="756"/>
      <c r="T89" s="756"/>
      <c r="U89" s="756"/>
      <c r="V89" s="756"/>
      <c r="W89" s="756"/>
      <c r="X89" s="756"/>
      <c r="Y89" s="756"/>
      <c r="Z89" s="756"/>
      <c r="AA89" s="756"/>
      <c r="AB89" s="470"/>
      <c r="AC89" s="470"/>
      <c r="AD89" s="470"/>
      <c r="AE89" s="470"/>
      <c r="AF89" s="470"/>
      <c r="AG89" s="470"/>
      <c r="AH89" s="470"/>
      <c r="AI89" s="470"/>
      <c r="AJ89" s="470"/>
      <c r="AK89" s="470"/>
      <c r="AL89" s="471"/>
      <c r="AM89" s="472"/>
      <c r="AN89" s="473" t="str">
        <f t="shared" si="47"/>
        <v/>
      </c>
      <c r="AO89" s="474" t="str">
        <f t="shared" si="37"/>
        <v/>
      </c>
      <c r="AP89" s="475"/>
      <c r="AQ89" s="687" t="str">
        <f t="shared" si="38"/>
        <v/>
      </c>
      <c r="AR89" s="476"/>
      <c r="AS89" s="474" t="str">
        <f t="shared" si="39"/>
        <v/>
      </c>
      <c r="AT89" s="471"/>
      <c r="AU89" s="472"/>
      <c r="AV89" s="473" t="str">
        <f t="shared" si="48"/>
        <v/>
      </c>
      <c r="AW89" s="474" t="str">
        <f t="shared" si="49"/>
        <v/>
      </c>
      <c r="AX89" s="476"/>
      <c r="AY89" s="474" t="str">
        <f t="shared" si="50"/>
        <v/>
      </c>
      <c r="AZ89" s="477" t="str">
        <f t="shared" si="40"/>
        <v/>
      </c>
      <c r="BA89" s="478" t="str">
        <f t="shared" si="51"/>
        <v/>
      </c>
      <c r="BD89" s="279" t="str">
        <f t="shared" si="41"/>
        <v/>
      </c>
      <c r="BG89" s="279" t="b">
        <f t="shared" si="52"/>
        <v>0</v>
      </c>
      <c r="BI89" s="279" t="str">
        <f t="shared" si="42"/>
        <v>n.a.</v>
      </c>
      <c r="BK89" s="517" t="str">
        <f t="shared" si="43"/>
        <v/>
      </c>
      <c r="BL89" s="517" t="str">
        <f t="shared" si="44"/>
        <v/>
      </c>
      <c r="BM89" s="517" t="str">
        <f t="shared" si="45"/>
        <v/>
      </c>
      <c r="BN89" s="517" t="str">
        <f t="shared" si="46"/>
        <v/>
      </c>
    </row>
    <row r="90" spans="2:66" ht="12.5" x14ac:dyDescent="0.35">
      <c r="B90" s="278"/>
      <c r="C90" s="259">
        <v>81</v>
      </c>
      <c r="D90" s="468"/>
      <c r="E90" s="467" t="str">
        <f t="shared" si="53"/>
        <v/>
      </c>
      <c r="F90" s="733"/>
      <c r="G90" s="716" t="str">
        <f t="shared" si="54"/>
        <v/>
      </c>
      <c r="H90" s="468"/>
      <c r="I90" s="266" t="str">
        <f>IF(OR($D90="",$D90=CONST_NA),"",INDEX(InputOutput!$AK$71:$AK$80,MATCH($D90,InputOutput!$D$71:$D$80,0)))</f>
        <v/>
      </c>
      <c r="J90" s="266" t="str">
        <f>IF(OR($D90="",$D90=CONST_NA),"",INDEX(InputOutput!$AM$71:$AM$80,MATCH($D90,InputOutput!$D$71:$D$80,0)))</f>
        <v/>
      </c>
      <c r="K90" s="266" t="str">
        <f t="shared" si="35"/>
        <v/>
      </c>
      <c r="L90" s="266" t="str">
        <f t="shared" si="36"/>
        <v/>
      </c>
      <c r="M90" s="683" t="str">
        <f>IF($E90="","",INDEX(Summary_Processes!$AG$162:$AG$520,MATCH($D90,Summary_Processes!$D$162:$D$520,0)))</f>
        <v/>
      </c>
      <c r="N90" s="266" t="str">
        <f>IF(D90="","",INDEX(D_Processes!T:T,MATCH(CONST_CNTR_ElecEFMethod&amp;D90,D_Processes!R:R,0)))</f>
        <v/>
      </c>
      <c r="O90" s="266" t="str">
        <f>IF(OR($D90="",$D90=CONST_NA),"",INDEX(InputOutput!$AO$71:$AO$80,MATCH($D90,InputOutput!$D$71:$D$80,0)))</f>
        <v/>
      </c>
      <c r="P90" s="469"/>
      <c r="Q90" s="469"/>
      <c r="R90" s="756"/>
      <c r="S90" s="756"/>
      <c r="T90" s="756"/>
      <c r="U90" s="756"/>
      <c r="V90" s="756"/>
      <c r="W90" s="756"/>
      <c r="X90" s="756"/>
      <c r="Y90" s="756"/>
      <c r="Z90" s="756"/>
      <c r="AA90" s="756"/>
      <c r="AB90" s="470"/>
      <c r="AC90" s="470"/>
      <c r="AD90" s="470"/>
      <c r="AE90" s="470"/>
      <c r="AF90" s="470"/>
      <c r="AG90" s="470"/>
      <c r="AH90" s="470"/>
      <c r="AI90" s="470"/>
      <c r="AJ90" s="470"/>
      <c r="AK90" s="470"/>
      <c r="AL90" s="471"/>
      <c r="AM90" s="472"/>
      <c r="AN90" s="473" t="str">
        <f t="shared" si="47"/>
        <v/>
      </c>
      <c r="AO90" s="474" t="str">
        <f t="shared" si="37"/>
        <v/>
      </c>
      <c r="AP90" s="475"/>
      <c r="AQ90" s="687" t="str">
        <f t="shared" si="38"/>
        <v/>
      </c>
      <c r="AR90" s="476"/>
      <c r="AS90" s="474" t="str">
        <f t="shared" si="39"/>
        <v/>
      </c>
      <c r="AT90" s="471"/>
      <c r="AU90" s="472"/>
      <c r="AV90" s="473" t="str">
        <f t="shared" si="48"/>
        <v/>
      </c>
      <c r="AW90" s="474" t="str">
        <f t="shared" si="49"/>
        <v/>
      </c>
      <c r="AX90" s="476"/>
      <c r="AY90" s="474" t="str">
        <f t="shared" si="50"/>
        <v/>
      </c>
      <c r="AZ90" s="477" t="str">
        <f t="shared" si="40"/>
        <v/>
      </c>
      <c r="BA90" s="478" t="str">
        <f t="shared" si="51"/>
        <v/>
      </c>
      <c r="BD90" s="279" t="str">
        <f t="shared" si="41"/>
        <v/>
      </c>
      <c r="BG90" s="279" t="b">
        <f t="shared" si="52"/>
        <v>0</v>
      </c>
      <c r="BI90" s="279" t="str">
        <f t="shared" si="42"/>
        <v>n.a.</v>
      </c>
      <c r="BK90" s="517" t="str">
        <f t="shared" si="43"/>
        <v/>
      </c>
      <c r="BL90" s="517" t="str">
        <f t="shared" si="44"/>
        <v/>
      </c>
      <c r="BM90" s="517" t="str">
        <f t="shared" si="45"/>
        <v/>
      </c>
      <c r="BN90" s="517" t="str">
        <f t="shared" si="46"/>
        <v/>
      </c>
    </row>
    <row r="91" spans="2:66" ht="12.5" x14ac:dyDescent="0.35">
      <c r="B91" s="278"/>
      <c r="C91" s="259">
        <v>82</v>
      </c>
      <c r="D91" s="468"/>
      <c r="E91" s="467" t="str">
        <f t="shared" si="53"/>
        <v/>
      </c>
      <c r="F91" s="733"/>
      <c r="G91" s="716" t="str">
        <f t="shared" si="54"/>
        <v/>
      </c>
      <c r="H91" s="468"/>
      <c r="I91" s="266" t="str">
        <f>IF(OR($D91="",$D91=CONST_NA),"",INDEX(InputOutput!$AK$71:$AK$80,MATCH($D91,InputOutput!$D$71:$D$80,0)))</f>
        <v/>
      </c>
      <c r="J91" s="266" t="str">
        <f>IF(OR($D91="",$D91=CONST_NA),"",INDEX(InputOutput!$AM$71:$AM$80,MATCH($D91,InputOutput!$D$71:$D$80,0)))</f>
        <v/>
      </c>
      <c r="K91" s="266" t="str">
        <f t="shared" si="35"/>
        <v/>
      </c>
      <c r="L91" s="266" t="str">
        <f t="shared" si="36"/>
        <v/>
      </c>
      <c r="M91" s="683" t="str">
        <f>IF($E91="","",INDEX(Summary_Processes!$AG$162:$AG$520,MATCH($D91,Summary_Processes!$D$162:$D$520,0)))</f>
        <v/>
      </c>
      <c r="N91" s="266" t="str">
        <f>IF(D91="","",INDEX(D_Processes!T:T,MATCH(CONST_CNTR_ElecEFMethod&amp;D91,D_Processes!R:R,0)))</f>
        <v/>
      </c>
      <c r="O91" s="266" t="str">
        <f>IF(OR($D91="",$D91=CONST_NA),"",INDEX(InputOutput!$AO$71:$AO$80,MATCH($D91,InputOutput!$D$71:$D$80,0)))</f>
        <v/>
      </c>
      <c r="P91" s="469"/>
      <c r="Q91" s="469"/>
      <c r="R91" s="756"/>
      <c r="S91" s="756"/>
      <c r="T91" s="756"/>
      <c r="U91" s="756"/>
      <c r="V91" s="756"/>
      <c r="W91" s="756"/>
      <c r="X91" s="756"/>
      <c r="Y91" s="756"/>
      <c r="Z91" s="756"/>
      <c r="AA91" s="756"/>
      <c r="AB91" s="470"/>
      <c r="AC91" s="470"/>
      <c r="AD91" s="470"/>
      <c r="AE91" s="470"/>
      <c r="AF91" s="470"/>
      <c r="AG91" s="470"/>
      <c r="AH91" s="470"/>
      <c r="AI91" s="470"/>
      <c r="AJ91" s="470"/>
      <c r="AK91" s="470"/>
      <c r="AL91" s="471"/>
      <c r="AM91" s="472"/>
      <c r="AN91" s="473" t="str">
        <f t="shared" si="47"/>
        <v/>
      </c>
      <c r="AO91" s="474" t="str">
        <f t="shared" si="37"/>
        <v/>
      </c>
      <c r="AP91" s="475"/>
      <c r="AQ91" s="687" t="str">
        <f t="shared" si="38"/>
        <v/>
      </c>
      <c r="AR91" s="476"/>
      <c r="AS91" s="474" t="str">
        <f t="shared" si="39"/>
        <v/>
      </c>
      <c r="AT91" s="471"/>
      <c r="AU91" s="472"/>
      <c r="AV91" s="473" t="str">
        <f t="shared" si="48"/>
        <v/>
      </c>
      <c r="AW91" s="474" t="str">
        <f t="shared" si="49"/>
        <v/>
      </c>
      <c r="AX91" s="476"/>
      <c r="AY91" s="474" t="str">
        <f t="shared" si="50"/>
        <v/>
      </c>
      <c r="AZ91" s="477" t="str">
        <f t="shared" si="40"/>
        <v/>
      </c>
      <c r="BA91" s="478" t="str">
        <f t="shared" si="51"/>
        <v/>
      </c>
      <c r="BD91" s="279" t="str">
        <f t="shared" si="41"/>
        <v/>
      </c>
      <c r="BG91" s="279" t="b">
        <f t="shared" si="52"/>
        <v>0</v>
      </c>
      <c r="BI91" s="279" t="str">
        <f t="shared" si="42"/>
        <v>n.a.</v>
      </c>
      <c r="BK91" s="517" t="str">
        <f t="shared" si="43"/>
        <v/>
      </c>
      <c r="BL91" s="517" t="str">
        <f t="shared" si="44"/>
        <v/>
      </c>
      <c r="BM91" s="517" t="str">
        <f t="shared" si="45"/>
        <v/>
      </c>
      <c r="BN91" s="517" t="str">
        <f t="shared" si="46"/>
        <v/>
      </c>
    </row>
    <row r="92" spans="2:66" ht="12.5" x14ac:dyDescent="0.35">
      <c r="B92" s="278"/>
      <c r="C92" s="259">
        <v>83</v>
      </c>
      <c r="D92" s="468"/>
      <c r="E92" s="467" t="str">
        <f t="shared" si="53"/>
        <v/>
      </c>
      <c r="F92" s="733"/>
      <c r="G92" s="716" t="str">
        <f t="shared" si="54"/>
        <v/>
      </c>
      <c r="H92" s="468"/>
      <c r="I92" s="266" t="str">
        <f>IF(OR($D92="",$D92=CONST_NA),"",INDEX(InputOutput!$AK$71:$AK$80,MATCH($D92,InputOutput!$D$71:$D$80,0)))</f>
        <v/>
      </c>
      <c r="J92" s="266" t="str">
        <f>IF(OR($D92="",$D92=CONST_NA),"",INDEX(InputOutput!$AM$71:$AM$80,MATCH($D92,InputOutput!$D$71:$D$80,0)))</f>
        <v/>
      </c>
      <c r="K92" s="266" t="str">
        <f t="shared" si="35"/>
        <v/>
      </c>
      <c r="L92" s="266" t="str">
        <f t="shared" si="36"/>
        <v/>
      </c>
      <c r="M92" s="683" t="str">
        <f>IF($E92="","",INDEX(Summary_Processes!$AG$162:$AG$520,MATCH($D92,Summary_Processes!$D$162:$D$520,0)))</f>
        <v/>
      </c>
      <c r="N92" s="266" t="str">
        <f>IF(D92="","",INDEX(D_Processes!T:T,MATCH(CONST_CNTR_ElecEFMethod&amp;D92,D_Processes!R:R,0)))</f>
        <v/>
      </c>
      <c r="O92" s="266" t="str">
        <f>IF(OR($D92="",$D92=CONST_NA),"",INDEX(InputOutput!$AO$71:$AO$80,MATCH($D92,InputOutput!$D$71:$D$80,0)))</f>
        <v/>
      </c>
      <c r="P92" s="469"/>
      <c r="Q92" s="469"/>
      <c r="R92" s="756"/>
      <c r="S92" s="756"/>
      <c r="T92" s="756"/>
      <c r="U92" s="756"/>
      <c r="V92" s="756"/>
      <c r="W92" s="756"/>
      <c r="X92" s="756"/>
      <c r="Y92" s="756"/>
      <c r="Z92" s="756"/>
      <c r="AA92" s="756"/>
      <c r="AB92" s="470"/>
      <c r="AC92" s="470"/>
      <c r="AD92" s="470"/>
      <c r="AE92" s="470"/>
      <c r="AF92" s="470"/>
      <c r="AG92" s="470"/>
      <c r="AH92" s="470"/>
      <c r="AI92" s="470"/>
      <c r="AJ92" s="470"/>
      <c r="AK92" s="470"/>
      <c r="AL92" s="471"/>
      <c r="AM92" s="472"/>
      <c r="AN92" s="473" t="str">
        <f t="shared" si="47"/>
        <v/>
      </c>
      <c r="AO92" s="474" t="str">
        <f t="shared" si="37"/>
        <v/>
      </c>
      <c r="AP92" s="475"/>
      <c r="AQ92" s="687" t="str">
        <f t="shared" si="38"/>
        <v/>
      </c>
      <c r="AR92" s="476"/>
      <c r="AS92" s="474" t="str">
        <f t="shared" si="39"/>
        <v/>
      </c>
      <c r="AT92" s="471"/>
      <c r="AU92" s="472"/>
      <c r="AV92" s="473" t="str">
        <f t="shared" si="48"/>
        <v/>
      </c>
      <c r="AW92" s="474" t="str">
        <f t="shared" si="49"/>
        <v/>
      </c>
      <c r="AX92" s="476"/>
      <c r="AY92" s="474" t="str">
        <f t="shared" si="50"/>
        <v/>
      </c>
      <c r="AZ92" s="477" t="str">
        <f t="shared" si="40"/>
        <v/>
      </c>
      <c r="BA92" s="478" t="str">
        <f t="shared" si="51"/>
        <v/>
      </c>
      <c r="BD92" s="279" t="str">
        <f t="shared" si="41"/>
        <v/>
      </c>
      <c r="BG92" s="279" t="b">
        <f t="shared" si="52"/>
        <v>0</v>
      </c>
      <c r="BI92" s="279" t="str">
        <f t="shared" si="42"/>
        <v>n.a.</v>
      </c>
      <c r="BK92" s="517" t="str">
        <f t="shared" si="43"/>
        <v/>
      </c>
      <c r="BL92" s="517" t="str">
        <f t="shared" si="44"/>
        <v/>
      </c>
      <c r="BM92" s="517" t="str">
        <f t="shared" si="45"/>
        <v/>
      </c>
      <c r="BN92" s="517" t="str">
        <f t="shared" si="46"/>
        <v/>
      </c>
    </row>
    <row r="93" spans="2:66" ht="12.5" x14ac:dyDescent="0.35">
      <c r="B93" s="278"/>
      <c r="C93" s="259">
        <v>84</v>
      </c>
      <c r="D93" s="468"/>
      <c r="E93" s="467" t="str">
        <f t="shared" si="53"/>
        <v/>
      </c>
      <c r="F93" s="733"/>
      <c r="G93" s="716" t="str">
        <f t="shared" si="54"/>
        <v/>
      </c>
      <c r="H93" s="468"/>
      <c r="I93" s="266" t="str">
        <f>IF(OR($D93="",$D93=CONST_NA),"",INDEX(InputOutput!$AK$71:$AK$80,MATCH($D93,InputOutput!$D$71:$D$80,0)))</f>
        <v/>
      </c>
      <c r="J93" s="266" t="str">
        <f>IF(OR($D93="",$D93=CONST_NA),"",INDEX(InputOutput!$AM$71:$AM$80,MATCH($D93,InputOutput!$D$71:$D$80,0)))</f>
        <v/>
      </c>
      <c r="K93" s="266" t="str">
        <f t="shared" si="35"/>
        <v/>
      </c>
      <c r="L93" s="266" t="str">
        <f t="shared" si="36"/>
        <v/>
      </c>
      <c r="M93" s="683" t="str">
        <f>IF($E93="","",INDEX(Summary_Processes!$AG$162:$AG$520,MATCH($D93,Summary_Processes!$D$162:$D$520,0)))</f>
        <v/>
      </c>
      <c r="N93" s="266" t="str">
        <f>IF(D93="","",INDEX(D_Processes!T:T,MATCH(CONST_CNTR_ElecEFMethod&amp;D93,D_Processes!R:R,0)))</f>
        <v/>
      </c>
      <c r="O93" s="266" t="str">
        <f>IF(OR($D93="",$D93=CONST_NA),"",INDEX(InputOutput!$AO$71:$AO$80,MATCH($D93,InputOutput!$D$71:$D$80,0)))</f>
        <v/>
      </c>
      <c r="P93" s="469"/>
      <c r="Q93" s="469"/>
      <c r="R93" s="756"/>
      <c r="S93" s="756"/>
      <c r="T93" s="756"/>
      <c r="U93" s="756"/>
      <c r="V93" s="756"/>
      <c r="W93" s="756"/>
      <c r="X93" s="756"/>
      <c r="Y93" s="756"/>
      <c r="Z93" s="756"/>
      <c r="AA93" s="756"/>
      <c r="AB93" s="470"/>
      <c r="AC93" s="470"/>
      <c r="AD93" s="470"/>
      <c r="AE93" s="470"/>
      <c r="AF93" s="470"/>
      <c r="AG93" s="470"/>
      <c r="AH93" s="470"/>
      <c r="AI93" s="470"/>
      <c r="AJ93" s="470"/>
      <c r="AK93" s="470"/>
      <c r="AL93" s="471"/>
      <c r="AM93" s="472"/>
      <c r="AN93" s="473" t="str">
        <f t="shared" si="47"/>
        <v/>
      </c>
      <c r="AO93" s="474" t="str">
        <f t="shared" si="37"/>
        <v/>
      </c>
      <c r="AP93" s="475"/>
      <c r="AQ93" s="687" t="str">
        <f t="shared" si="38"/>
        <v/>
      </c>
      <c r="AR93" s="476"/>
      <c r="AS93" s="474" t="str">
        <f t="shared" si="39"/>
        <v/>
      </c>
      <c r="AT93" s="471"/>
      <c r="AU93" s="472"/>
      <c r="AV93" s="473" t="str">
        <f t="shared" si="48"/>
        <v/>
      </c>
      <c r="AW93" s="474" t="str">
        <f t="shared" si="49"/>
        <v/>
      </c>
      <c r="AX93" s="476"/>
      <c r="AY93" s="474" t="str">
        <f t="shared" si="50"/>
        <v/>
      </c>
      <c r="AZ93" s="477" t="str">
        <f t="shared" si="40"/>
        <v/>
      </c>
      <c r="BA93" s="478" t="str">
        <f t="shared" si="51"/>
        <v/>
      </c>
      <c r="BD93" s="279" t="str">
        <f t="shared" si="41"/>
        <v/>
      </c>
      <c r="BG93" s="279" t="b">
        <f t="shared" si="52"/>
        <v>0</v>
      </c>
      <c r="BI93" s="279" t="str">
        <f t="shared" si="42"/>
        <v>n.a.</v>
      </c>
      <c r="BK93" s="517" t="str">
        <f t="shared" si="43"/>
        <v/>
      </c>
      <c r="BL93" s="517" t="str">
        <f t="shared" si="44"/>
        <v/>
      </c>
      <c r="BM93" s="517" t="str">
        <f t="shared" si="45"/>
        <v/>
      </c>
      <c r="BN93" s="517" t="str">
        <f t="shared" si="46"/>
        <v/>
      </c>
    </row>
    <row r="94" spans="2:66" ht="12.5" x14ac:dyDescent="0.35">
      <c r="B94" s="278"/>
      <c r="C94" s="259">
        <v>85</v>
      </c>
      <c r="D94" s="468"/>
      <c r="E94" s="467" t="str">
        <f t="shared" si="53"/>
        <v/>
      </c>
      <c r="F94" s="733"/>
      <c r="G94" s="716" t="str">
        <f t="shared" si="54"/>
        <v/>
      </c>
      <c r="H94" s="468"/>
      <c r="I94" s="266" t="str">
        <f>IF(OR($D94="",$D94=CONST_NA),"",INDEX(InputOutput!$AK$71:$AK$80,MATCH($D94,InputOutput!$D$71:$D$80,0)))</f>
        <v/>
      </c>
      <c r="J94" s="266" t="str">
        <f>IF(OR($D94="",$D94=CONST_NA),"",INDEX(InputOutput!$AM$71:$AM$80,MATCH($D94,InputOutput!$D$71:$D$80,0)))</f>
        <v/>
      </c>
      <c r="K94" s="266" t="str">
        <f t="shared" si="35"/>
        <v/>
      </c>
      <c r="L94" s="266" t="str">
        <f t="shared" si="36"/>
        <v/>
      </c>
      <c r="M94" s="683" t="str">
        <f>IF($E94="","",INDEX(Summary_Processes!$AG$162:$AG$520,MATCH($D94,Summary_Processes!$D$162:$D$520,0)))</f>
        <v/>
      </c>
      <c r="N94" s="266" t="str">
        <f>IF(D94="","",INDEX(D_Processes!T:T,MATCH(CONST_CNTR_ElecEFMethod&amp;D94,D_Processes!R:R,0)))</f>
        <v/>
      </c>
      <c r="O94" s="266" t="str">
        <f>IF(OR($D94="",$D94=CONST_NA),"",INDEX(InputOutput!$AO$71:$AO$80,MATCH($D94,InputOutput!$D$71:$D$80,0)))</f>
        <v/>
      </c>
      <c r="P94" s="469"/>
      <c r="Q94" s="469"/>
      <c r="R94" s="756"/>
      <c r="S94" s="756"/>
      <c r="T94" s="756"/>
      <c r="U94" s="756"/>
      <c r="V94" s="756"/>
      <c r="W94" s="756"/>
      <c r="X94" s="756"/>
      <c r="Y94" s="756"/>
      <c r="Z94" s="756"/>
      <c r="AA94" s="756"/>
      <c r="AB94" s="470"/>
      <c r="AC94" s="470"/>
      <c r="AD94" s="470"/>
      <c r="AE94" s="470"/>
      <c r="AF94" s="470"/>
      <c r="AG94" s="470"/>
      <c r="AH94" s="470"/>
      <c r="AI94" s="470"/>
      <c r="AJ94" s="470"/>
      <c r="AK94" s="470"/>
      <c r="AL94" s="471"/>
      <c r="AM94" s="472"/>
      <c r="AN94" s="473" t="str">
        <f t="shared" si="47"/>
        <v/>
      </c>
      <c r="AO94" s="474" t="str">
        <f t="shared" si="37"/>
        <v/>
      </c>
      <c r="AP94" s="475"/>
      <c r="AQ94" s="687" t="str">
        <f t="shared" si="38"/>
        <v/>
      </c>
      <c r="AR94" s="476"/>
      <c r="AS94" s="474" t="str">
        <f t="shared" si="39"/>
        <v/>
      </c>
      <c r="AT94" s="471"/>
      <c r="AU94" s="472"/>
      <c r="AV94" s="473" t="str">
        <f t="shared" si="48"/>
        <v/>
      </c>
      <c r="AW94" s="474" t="str">
        <f t="shared" si="49"/>
        <v/>
      </c>
      <c r="AX94" s="476"/>
      <c r="AY94" s="474" t="str">
        <f t="shared" si="50"/>
        <v/>
      </c>
      <c r="AZ94" s="477" t="str">
        <f t="shared" si="40"/>
        <v/>
      </c>
      <c r="BA94" s="478" t="str">
        <f t="shared" si="51"/>
        <v/>
      </c>
      <c r="BD94" s="279" t="str">
        <f t="shared" si="41"/>
        <v/>
      </c>
      <c r="BG94" s="279" t="b">
        <f t="shared" si="52"/>
        <v>0</v>
      </c>
      <c r="BI94" s="279" t="str">
        <f t="shared" si="42"/>
        <v>n.a.</v>
      </c>
      <c r="BK94" s="517" t="str">
        <f t="shared" si="43"/>
        <v/>
      </c>
      <c r="BL94" s="517" t="str">
        <f t="shared" si="44"/>
        <v/>
      </c>
      <c r="BM94" s="517" t="str">
        <f t="shared" si="45"/>
        <v/>
      </c>
      <c r="BN94" s="517" t="str">
        <f t="shared" si="46"/>
        <v/>
      </c>
    </row>
    <row r="95" spans="2:66" ht="12.5" x14ac:dyDescent="0.35">
      <c r="B95" s="278"/>
      <c r="C95" s="259">
        <v>86</v>
      </c>
      <c r="D95" s="468"/>
      <c r="E95" s="467" t="str">
        <f t="shared" si="53"/>
        <v/>
      </c>
      <c r="F95" s="733"/>
      <c r="G95" s="716" t="str">
        <f t="shared" si="54"/>
        <v/>
      </c>
      <c r="H95" s="468"/>
      <c r="I95" s="266" t="str">
        <f>IF(OR($D95="",$D95=CONST_NA),"",INDEX(InputOutput!$AK$71:$AK$80,MATCH($D95,InputOutput!$D$71:$D$80,0)))</f>
        <v/>
      </c>
      <c r="J95" s="266" t="str">
        <f>IF(OR($D95="",$D95=CONST_NA),"",INDEX(InputOutput!$AM$71:$AM$80,MATCH($D95,InputOutput!$D$71:$D$80,0)))</f>
        <v/>
      </c>
      <c r="K95" s="266" t="str">
        <f t="shared" si="35"/>
        <v/>
      </c>
      <c r="L95" s="266" t="str">
        <f t="shared" si="36"/>
        <v/>
      </c>
      <c r="M95" s="683" t="str">
        <f>IF($E95="","",INDEX(Summary_Processes!$AG$162:$AG$520,MATCH($D95,Summary_Processes!$D$162:$D$520,0)))</f>
        <v/>
      </c>
      <c r="N95" s="266" t="str">
        <f>IF(D95="","",INDEX(D_Processes!T:T,MATCH(CONST_CNTR_ElecEFMethod&amp;D95,D_Processes!R:R,0)))</f>
        <v/>
      </c>
      <c r="O95" s="266" t="str">
        <f>IF(OR($D95="",$D95=CONST_NA),"",INDEX(InputOutput!$AO$71:$AO$80,MATCH($D95,InputOutput!$D$71:$D$80,0)))</f>
        <v/>
      </c>
      <c r="P95" s="469"/>
      <c r="Q95" s="469"/>
      <c r="R95" s="756"/>
      <c r="S95" s="756"/>
      <c r="T95" s="756"/>
      <c r="U95" s="756"/>
      <c r="V95" s="756"/>
      <c r="W95" s="756"/>
      <c r="X95" s="756"/>
      <c r="Y95" s="756"/>
      <c r="Z95" s="756"/>
      <c r="AA95" s="756"/>
      <c r="AB95" s="470"/>
      <c r="AC95" s="470"/>
      <c r="AD95" s="470"/>
      <c r="AE95" s="470"/>
      <c r="AF95" s="470"/>
      <c r="AG95" s="470"/>
      <c r="AH95" s="470"/>
      <c r="AI95" s="470"/>
      <c r="AJ95" s="470"/>
      <c r="AK95" s="470"/>
      <c r="AL95" s="471"/>
      <c r="AM95" s="472"/>
      <c r="AN95" s="473" t="str">
        <f t="shared" si="47"/>
        <v/>
      </c>
      <c r="AO95" s="474" t="str">
        <f t="shared" si="37"/>
        <v/>
      </c>
      <c r="AP95" s="475"/>
      <c r="AQ95" s="687" t="str">
        <f t="shared" si="38"/>
        <v/>
      </c>
      <c r="AR95" s="476"/>
      <c r="AS95" s="474" t="str">
        <f t="shared" si="39"/>
        <v/>
      </c>
      <c r="AT95" s="471"/>
      <c r="AU95" s="472"/>
      <c r="AV95" s="473" t="str">
        <f t="shared" si="48"/>
        <v/>
      </c>
      <c r="AW95" s="474" t="str">
        <f t="shared" si="49"/>
        <v/>
      </c>
      <c r="AX95" s="476"/>
      <c r="AY95" s="474" t="str">
        <f t="shared" si="50"/>
        <v/>
      </c>
      <c r="AZ95" s="477" t="str">
        <f t="shared" si="40"/>
        <v/>
      </c>
      <c r="BA95" s="478" t="str">
        <f t="shared" si="51"/>
        <v/>
      </c>
      <c r="BD95" s="279" t="str">
        <f t="shared" si="41"/>
        <v/>
      </c>
      <c r="BG95" s="279" t="b">
        <f t="shared" si="52"/>
        <v>0</v>
      </c>
      <c r="BI95" s="279" t="str">
        <f t="shared" si="42"/>
        <v>n.a.</v>
      </c>
      <c r="BK95" s="517" t="str">
        <f t="shared" si="43"/>
        <v/>
      </c>
      <c r="BL95" s="517" t="str">
        <f t="shared" si="44"/>
        <v/>
      </c>
      <c r="BM95" s="517" t="str">
        <f t="shared" si="45"/>
        <v/>
      </c>
      <c r="BN95" s="517" t="str">
        <f t="shared" si="46"/>
        <v/>
      </c>
    </row>
    <row r="96" spans="2:66" ht="12.5" x14ac:dyDescent="0.35">
      <c r="B96" s="278"/>
      <c r="C96" s="259">
        <v>87</v>
      </c>
      <c r="D96" s="468"/>
      <c r="E96" s="467" t="str">
        <f t="shared" si="53"/>
        <v/>
      </c>
      <c r="F96" s="733"/>
      <c r="G96" s="716" t="str">
        <f t="shared" si="54"/>
        <v/>
      </c>
      <c r="H96" s="468"/>
      <c r="I96" s="266" t="str">
        <f>IF(OR($D96="",$D96=CONST_NA),"",INDEX(InputOutput!$AK$71:$AK$80,MATCH($D96,InputOutput!$D$71:$D$80,0)))</f>
        <v/>
      </c>
      <c r="J96" s="266" t="str">
        <f>IF(OR($D96="",$D96=CONST_NA),"",INDEX(InputOutput!$AM$71:$AM$80,MATCH($D96,InputOutput!$D$71:$D$80,0)))</f>
        <v/>
      </c>
      <c r="K96" s="266" t="str">
        <f t="shared" si="35"/>
        <v/>
      </c>
      <c r="L96" s="266" t="str">
        <f t="shared" si="36"/>
        <v/>
      </c>
      <c r="M96" s="683" t="str">
        <f>IF($E96="","",INDEX(Summary_Processes!$AG$162:$AG$520,MATCH($D96,Summary_Processes!$D$162:$D$520,0)))</f>
        <v/>
      </c>
      <c r="N96" s="266" t="str">
        <f>IF(D96="","",INDEX(D_Processes!T:T,MATCH(CONST_CNTR_ElecEFMethod&amp;D96,D_Processes!R:R,0)))</f>
        <v/>
      </c>
      <c r="O96" s="266" t="str">
        <f>IF(OR($D96="",$D96=CONST_NA),"",INDEX(InputOutput!$AO$71:$AO$80,MATCH($D96,InputOutput!$D$71:$D$80,0)))</f>
        <v/>
      </c>
      <c r="P96" s="469"/>
      <c r="Q96" s="469"/>
      <c r="R96" s="756"/>
      <c r="S96" s="756"/>
      <c r="T96" s="756"/>
      <c r="U96" s="756"/>
      <c r="V96" s="756"/>
      <c r="W96" s="756"/>
      <c r="X96" s="756"/>
      <c r="Y96" s="756"/>
      <c r="Z96" s="756"/>
      <c r="AA96" s="756"/>
      <c r="AB96" s="470"/>
      <c r="AC96" s="470"/>
      <c r="AD96" s="470"/>
      <c r="AE96" s="470"/>
      <c r="AF96" s="470"/>
      <c r="AG96" s="470"/>
      <c r="AH96" s="470"/>
      <c r="AI96" s="470"/>
      <c r="AJ96" s="470"/>
      <c r="AK96" s="470"/>
      <c r="AL96" s="471"/>
      <c r="AM96" s="472"/>
      <c r="AN96" s="473" t="str">
        <f t="shared" si="47"/>
        <v/>
      </c>
      <c r="AO96" s="474" t="str">
        <f t="shared" si="37"/>
        <v/>
      </c>
      <c r="AP96" s="475"/>
      <c r="AQ96" s="687" t="str">
        <f t="shared" si="38"/>
        <v/>
      </c>
      <c r="AR96" s="476"/>
      <c r="AS96" s="474" t="str">
        <f t="shared" si="39"/>
        <v/>
      </c>
      <c r="AT96" s="471"/>
      <c r="AU96" s="472"/>
      <c r="AV96" s="473" t="str">
        <f t="shared" si="48"/>
        <v/>
      </c>
      <c r="AW96" s="474" t="str">
        <f t="shared" si="49"/>
        <v/>
      </c>
      <c r="AX96" s="476"/>
      <c r="AY96" s="474" t="str">
        <f t="shared" si="50"/>
        <v/>
      </c>
      <c r="AZ96" s="477" t="str">
        <f t="shared" si="40"/>
        <v/>
      </c>
      <c r="BA96" s="478" t="str">
        <f t="shared" si="51"/>
        <v/>
      </c>
      <c r="BD96" s="279" t="str">
        <f t="shared" si="41"/>
        <v/>
      </c>
      <c r="BG96" s="279" t="b">
        <f t="shared" si="52"/>
        <v>0</v>
      </c>
      <c r="BI96" s="279" t="str">
        <f t="shared" si="42"/>
        <v>n.a.</v>
      </c>
      <c r="BK96" s="517" t="str">
        <f t="shared" si="43"/>
        <v/>
      </c>
      <c r="BL96" s="517" t="str">
        <f t="shared" si="44"/>
        <v/>
      </c>
      <c r="BM96" s="517" t="str">
        <f t="shared" si="45"/>
        <v/>
      </c>
      <c r="BN96" s="517" t="str">
        <f t="shared" si="46"/>
        <v/>
      </c>
    </row>
    <row r="97" spans="1:66" ht="12.5" x14ac:dyDescent="0.35">
      <c r="B97" s="278"/>
      <c r="C97" s="259">
        <v>88</v>
      </c>
      <c r="D97" s="468"/>
      <c r="E97" s="467" t="str">
        <f t="shared" si="53"/>
        <v/>
      </c>
      <c r="F97" s="733"/>
      <c r="G97" s="716" t="str">
        <f t="shared" si="54"/>
        <v/>
      </c>
      <c r="H97" s="468"/>
      <c r="I97" s="266" t="str">
        <f>IF(OR($D97="",$D97=CONST_NA),"",INDEX(InputOutput!$AK$71:$AK$80,MATCH($D97,InputOutput!$D$71:$D$80,0)))</f>
        <v/>
      </c>
      <c r="J97" s="266" t="str">
        <f>IF(OR($D97="",$D97=CONST_NA),"",INDEX(InputOutput!$AM$71:$AM$80,MATCH($D97,InputOutput!$D$71:$D$80,0)))</f>
        <v/>
      </c>
      <c r="K97" s="266" t="str">
        <f t="shared" si="35"/>
        <v/>
      </c>
      <c r="L97" s="266" t="str">
        <f t="shared" si="36"/>
        <v/>
      </c>
      <c r="M97" s="683" t="str">
        <f>IF($E97="","",INDEX(Summary_Processes!$AG$162:$AG$520,MATCH($D97,Summary_Processes!$D$162:$D$520,0)))</f>
        <v/>
      </c>
      <c r="N97" s="266" t="str">
        <f>IF(D97="","",INDEX(D_Processes!T:T,MATCH(CONST_CNTR_ElecEFMethod&amp;D97,D_Processes!R:R,0)))</f>
        <v/>
      </c>
      <c r="O97" s="266" t="str">
        <f>IF(OR($D97="",$D97=CONST_NA),"",INDEX(InputOutput!$AO$71:$AO$80,MATCH($D97,InputOutput!$D$71:$D$80,0)))</f>
        <v/>
      </c>
      <c r="P97" s="469"/>
      <c r="Q97" s="469"/>
      <c r="R97" s="756"/>
      <c r="S97" s="756"/>
      <c r="T97" s="756"/>
      <c r="U97" s="756"/>
      <c r="V97" s="756"/>
      <c r="W97" s="756"/>
      <c r="X97" s="756"/>
      <c r="Y97" s="756"/>
      <c r="Z97" s="756"/>
      <c r="AA97" s="756"/>
      <c r="AB97" s="470"/>
      <c r="AC97" s="470"/>
      <c r="AD97" s="470"/>
      <c r="AE97" s="470"/>
      <c r="AF97" s="470"/>
      <c r="AG97" s="470"/>
      <c r="AH97" s="470"/>
      <c r="AI97" s="470"/>
      <c r="AJ97" s="470"/>
      <c r="AK97" s="470"/>
      <c r="AL97" s="471"/>
      <c r="AM97" s="472"/>
      <c r="AN97" s="473" t="str">
        <f t="shared" si="47"/>
        <v/>
      </c>
      <c r="AO97" s="474" t="str">
        <f t="shared" si="37"/>
        <v/>
      </c>
      <c r="AP97" s="475"/>
      <c r="AQ97" s="687" t="str">
        <f t="shared" si="38"/>
        <v/>
      </c>
      <c r="AR97" s="476"/>
      <c r="AS97" s="474" t="str">
        <f t="shared" si="39"/>
        <v/>
      </c>
      <c r="AT97" s="471"/>
      <c r="AU97" s="472"/>
      <c r="AV97" s="473" t="str">
        <f t="shared" si="48"/>
        <v/>
      </c>
      <c r="AW97" s="474" t="str">
        <f t="shared" si="49"/>
        <v/>
      </c>
      <c r="AX97" s="476"/>
      <c r="AY97" s="474" t="str">
        <f t="shared" si="50"/>
        <v/>
      </c>
      <c r="AZ97" s="477" t="str">
        <f t="shared" si="40"/>
        <v/>
      </c>
      <c r="BA97" s="478" t="str">
        <f t="shared" si="51"/>
        <v/>
      </c>
      <c r="BD97" s="279" t="str">
        <f t="shared" si="41"/>
        <v/>
      </c>
      <c r="BG97" s="279" t="b">
        <f t="shared" si="52"/>
        <v>0</v>
      </c>
      <c r="BI97" s="279" t="str">
        <f t="shared" si="42"/>
        <v>n.a.</v>
      </c>
      <c r="BK97" s="517" t="str">
        <f t="shared" si="43"/>
        <v/>
      </c>
      <c r="BL97" s="517" t="str">
        <f t="shared" si="44"/>
        <v/>
      </c>
      <c r="BM97" s="517" t="str">
        <f t="shared" si="45"/>
        <v/>
      </c>
      <c r="BN97" s="517" t="str">
        <f t="shared" si="46"/>
        <v/>
      </c>
    </row>
    <row r="98" spans="1:66" ht="12.5" x14ac:dyDescent="0.35">
      <c r="B98" s="278"/>
      <c r="C98" s="259">
        <v>89</v>
      </c>
      <c r="D98" s="468"/>
      <c r="E98" s="467" t="str">
        <f t="shared" si="53"/>
        <v/>
      </c>
      <c r="F98" s="733"/>
      <c r="G98" s="716" t="str">
        <f t="shared" si="54"/>
        <v/>
      </c>
      <c r="H98" s="468"/>
      <c r="I98" s="266" t="str">
        <f>IF(OR($D98="",$D98=CONST_NA),"",INDEX(InputOutput!$AK$71:$AK$80,MATCH($D98,InputOutput!$D$71:$D$80,0)))</f>
        <v/>
      </c>
      <c r="J98" s="266" t="str">
        <f>IF(OR($D98="",$D98=CONST_NA),"",INDEX(InputOutput!$AM$71:$AM$80,MATCH($D98,InputOutput!$D$71:$D$80,0)))</f>
        <v/>
      </c>
      <c r="K98" s="266" t="str">
        <f t="shared" si="35"/>
        <v/>
      </c>
      <c r="L98" s="266" t="str">
        <f t="shared" si="36"/>
        <v/>
      </c>
      <c r="M98" s="683" t="str">
        <f>IF($E98="","",INDEX(Summary_Processes!$AG$162:$AG$520,MATCH($D98,Summary_Processes!$D$162:$D$520,0)))</f>
        <v/>
      </c>
      <c r="N98" s="266" t="str">
        <f>IF(D98="","",INDEX(D_Processes!T:T,MATCH(CONST_CNTR_ElecEFMethod&amp;D98,D_Processes!R:R,0)))</f>
        <v/>
      </c>
      <c r="O98" s="266" t="str">
        <f>IF(OR($D98="",$D98=CONST_NA),"",INDEX(InputOutput!$AO$71:$AO$80,MATCH($D98,InputOutput!$D$71:$D$80,0)))</f>
        <v/>
      </c>
      <c r="P98" s="469"/>
      <c r="Q98" s="469"/>
      <c r="R98" s="756"/>
      <c r="S98" s="756"/>
      <c r="T98" s="756"/>
      <c r="U98" s="756"/>
      <c r="V98" s="756"/>
      <c r="W98" s="756"/>
      <c r="X98" s="756"/>
      <c r="Y98" s="756"/>
      <c r="Z98" s="756"/>
      <c r="AA98" s="756"/>
      <c r="AB98" s="470"/>
      <c r="AC98" s="470"/>
      <c r="AD98" s="470"/>
      <c r="AE98" s="470"/>
      <c r="AF98" s="470"/>
      <c r="AG98" s="470"/>
      <c r="AH98" s="470"/>
      <c r="AI98" s="470"/>
      <c r="AJ98" s="470"/>
      <c r="AK98" s="470"/>
      <c r="AL98" s="471"/>
      <c r="AM98" s="472"/>
      <c r="AN98" s="473" t="str">
        <f t="shared" si="47"/>
        <v/>
      </c>
      <c r="AO98" s="474" t="str">
        <f t="shared" si="37"/>
        <v/>
      </c>
      <c r="AP98" s="475"/>
      <c r="AQ98" s="687" t="str">
        <f t="shared" si="38"/>
        <v/>
      </c>
      <c r="AR98" s="476"/>
      <c r="AS98" s="474" t="str">
        <f t="shared" si="39"/>
        <v/>
      </c>
      <c r="AT98" s="471"/>
      <c r="AU98" s="472"/>
      <c r="AV98" s="473" t="str">
        <f t="shared" si="48"/>
        <v/>
      </c>
      <c r="AW98" s="474" t="str">
        <f t="shared" si="49"/>
        <v/>
      </c>
      <c r="AX98" s="476"/>
      <c r="AY98" s="474" t="str">
        <f t="shared" si="50"/>
        <v/>
      </c>
      <c r="AZ98" s="477" t="str">
        <f t="shared" si="40"/>
        <v/>
      </c>
      <c r="BA98" s="478" t="str">
        <f t="shared" si="51"/>
        <v/>
      </c>
      <c r="BD98" s="279" t="str">
        <f t="shared" si="41"/>
        <v/>
      </c>
      <c r="BG98" s="279" t="b">
        <f t="shared" si="52"/>
        <v>0</v>
      </c>
      <c r="BI98" s="279" t="str">
        <f t="shared" si="42"/>
        <v>n.a.</v>
      </c>
      <c r="BK98" s="517" t="str">
        <f t="shared" si="43"/>
        <v/>
      </c>
      <c r="BL98" s="517" t="str">
        <f t="shared" si="44"/>
        <v/>
      </c>
      <c r="BM98" s="517" t="str">
        <f t="shared" si="45"/>
        <v/>
      </c>
      <c r="BN98" s="517" t="str">
        <f t="shared" si="46"/>
        <v/>
      </c>
    </row>
    <row r="99" spans="1:66" ht="12.5" x14ac:dyDescent="0.35">
      <c r="B99" s="278"/>
      <c r="C99" s="259">
        <v>90</v>
      </c>
      <c r="D99" s="468"/>
      <c r="E99" s="467" t="str">
        <f t="shared" si="53"/>
        <v/>
      </c>
      <c r="F99" s="733"/>
      <c r="G99" s="716" t="str">
        <f t="shared" si="54"/>
        <v/>
      </c>
      <c r="H99" s="468"/>
      <c r="I99" s="266" t="str">
        <f>IF(OR($D99="",$D99=CONST_NA),"",INDEX(InputOutput!$AK$71:$AK$80,MATCH($D99,InputOutput!$D$71:$D$80,0)))</f>
        <v/>
      </c>
      <c r="J99" s="266" t="str">
        <f>IF(OR($D99="",$D99=CONST_NA),"",INDEX(InputOutput!$AM$71:$AM$80,MATCH($D99,InputOutput!$D$71:$D$80,0)))</f>
        <v/>
      </c>
      <c r="K99" s="266" t="str">
        <f t="shared" si="35"/>
        <v/>
      </c>
      <c r="L99" s="266" t="str">
        <f t="shared" si="36"/>
        <v/>
      </c>
      <c r="M99" s="683" t="str">
        <f>IF($E99="","",INDEX(Summary_Processes!$AG$162:$AG$520,MATCH($D99,Summary_Processes!$D$162:$D$520,0)))</f>
        <v/>
      </c>
      <c r="N99" s="266" t="str">
        <f>IF(D99="","",INDEX(D_Processes!T:T,MATCH(CONST_CNTR_ElecEFMethod&amp;D99,D_Processes!R:R,0)))</f>
        <v/>
      </c>
      <c r="O99" s="266" t="str">
        <f>IF(OR($D99="",$D99=CONST_NA),"",INDEX(InputOutput!$AO$71:$AO$80,MATCH($D99,InputOutput!$D$71:$D$80,0)))</f>
        <v/>
      </c>
      <c r="P99" s="469"/>
      <c r="Q99" s="469"/>
      <c r="R99" s="756"/>
      <c r="S99" s="756"/>
      <c r="T99" s="756"/>
      <c r="U99" s="756"/>
      <c r="V99" s="756"/>
      <c r="W99" s="756"/>
      <c r="X99" s="756"/>
      <c r="Y99" s="756"/>
      <c r="Z99" s="756"/>
      <c r="AA99" s="756"/>
      <c r="AB99" s="470"/>
      <c r="AC99" s="470"/>
      <c r="AD99" s="470"/>
      <c r="AE99" s="470"/>
      <c r="AF99" s="470"/>
      <c r="AG99" s="470"/>
      <c r="AH99" s="470"/>
      <c r="AI99" s="470"/>
      <c r="AJ99" s="470"/>
      <c r="AK99" s="470"/>
      <c r="AL99" s="471"/>
      <c r="AM99" s="472"/>
      <c r="AN99" s="473" t="str">
        <f t="shared" si="47"/>
        <v/>
      </c>
      <c r="AO99" s="474" t="str">
        <f t="shared" si="37"/>
        <v/>
      </c>
      <c r="AP99" s="475"/>
      <c r="AQ99" s="687" t="str">
        <f t="shared" si="38"/>
        <v/>
      </c>
      <c r="AR99" s="476"/>
      <c r="AS99" s="474" t="str">
        <f t="shared" si="39"/>
        <v/>
      </c>
      <c r="AT99" s="471"/>
      <c r="AU99" s="472"/>
      <c r="AV99" s="473" t="str">
        <f t="shared" si="48"/>
        <v/>
      </c>
      <c r="AW99" s="474" t="str">
        <f t="shared" si="49"/>
        <v/>
      </c>
      <c r="AX99" s="476"/>
      <c r="AY99" s="474" t="str">
        <f t="shared" si="50"/>
        <v/>
      </c>
      <c r="AZ99" s="477" t="str">
        <f t="shared" si="40"/>
        <v/>
      </c>
      <c r="BA99" s="478" t="str">
        <f t="shared" si="51"/>
        <v/>
      </c>
      <c r="BD99" s="279" t="str">
        <f t="shared" si="41"/>
        <v/>
      </c>
      <c r="BG99" s="279" t="b">
        <f t="shared" si="52"/>
        <v>0</v>
      </c>
      <c r="BI99" s="279" t="str">
        <f t="shared" si="42"/>
        <v>n.a.</v>
      </c>
      <c r="BK99" s="517" t="str">
        <f t="shared" si="43"/>
        <v/>
      </c>
      <c r="BL99" s="517" t="str">
        <f t="shared" si="44"/>
        <v/>
      </c>
      <c r="BM99" s="517" t="str">
        <f t="shared" si="45"/>
        <v/>
      </c>
      <c r="BN99" s="517" t="str">
        <f t="shared" si="46"/>
        <v/>
      </c>
    </row>
    <row r="100" spans="1:66" ht="12.5" x14ac:dyDescent="0.35">
      <c r="B100" s="278"/>
      <c r="C100" s="259">
        <v>91</v>
      </c>
      <c r="D100" s="468"/>
      <c r="E100" s="467" t="str">
        <f t="shared" si="53"/>
        <v/>
      </c>
      <c r="F100" s="733"/>
      <c r="G100" s="716" t="str">
        <f t="shared" si="54"/>
        <v/>
      </c>
      <c r="H100" s="468"/>
      <c r="I100" s="266" t="str">
        <f>IF(OR($D100="",$D100=CONST_NA),"",INDEX(InputOutput!$AK$71:$AK$80,MATCH($D100,InputOutput!$D$71:$D$80,0)))</f>
        <v/>
      </c>
      <c r="J100" s="266" t="str">
        <f>IF(OR($D100="",$D100=CONST_NA),"",INDEX(InputOutput!$AM$71:$AM$80,MATCH($D100,InputOutput!$D$71:$D$80,0)))</f>
        <v/>
      </c>
      <c r="K100" s="266" t="str">
        <f t="shared" si="35"/>
        <v/>
      </c>
      <c r="L100" s="266" t="str">
        <f t="shared" si="36"/>
        <v/>
      </c>
      <c r="M100" s="683" t="str">
        <f>IF($E100="","",INDEX(Summary_Processes!$AG$162:$AG$520,MATCH($D100,Summary_Processes!$D$162:$D$520,0)))</f>
        <v/>
      </c>
      <c r="N100" s="266" t="str">
        <f>IF(D100="","",INDEX(D_Processes!T:T,MATCH(CONST_CNTR_ElecEFMethod&amp;D100,D_Processes!R:R,0)))</f>
        <v/>
      </c>
      <c r="O100" s="266" t="str">
        <f>IF(OR($D100="",$D100=CONST_NA),"",INDEX(InputOutput!$AO$71:$AO$80,MATCH($D100,InputOutput!$D$71:$D$80,0)))</f>
        <v/>
      </c>
      <c r="P100" s="469"/>
      <c r="Q100" s="469"/>
      <c r="R100" s="756"/>
      <c r="S100" s="756"/>
      <c r="T100" s="756"/>
      <c r="U100" s="756"/>
      <c r="V100" s="756"/>
      <c r="W100" s="756"/>
      <c r="X100" s="756"/>
      <c r="Y100" s="756"/>
      <c r="Z100" s="756"/>
      <c r="AA100" s="756"/>
      <c r="AB100" s="470"/>
      <c r="AC100" s="470"/>
      <c r="AD100" s="470"/>
      <c r="AE100" s="470"/>
      <c r="AF100" s="470"/>
      <c r="AG100" s="470"/>
      <c r="AH100" s="470"/>
      <c r="AI100" s="470"/>
      <c r="AJ100" s="470"/>
      <c r="AK100" s="470"/>
      <c r="AL100" s="471"/>
      <c r="AM100" s="472"/>
      <c r="AN100" s="473" t="str">
        <f t="shared" si="47"/>
        <v/>
      </c>
      <c r="AO100" s="474" t="str">
        <f t="shared" si="37"/>
        <v/>
      </c>
      <c r="AP100" s="475"/>
      <c r="AQ100" s="687" t="str">
        <f t="shared" si="38"/>
        <v/>
      </c>
      <c r="AR100" s="476"/>
      <c r="AS100" s="474" t="str">
        <f t="shared" si="39"/>
        <v/>
      </c>
      <c r="AT100" s="471"/>
      <c r="AU100" s="472"/>
      <c r="AV100" s="473" t="str">
        <f t="shared" si="48"/>
        <v/>
      </c>
      <c r="AW100" s="474" t="str">
        <f t="shared" si="49"/>
        <v/>
      </c>
      <c r="AX100" s="476"/>
      <c r="AY100" s="474" t="str">
        <f t="shared" si="50"/>
        <v/>
      </c>
      <c r="AZ100" s="477" t="str">
        <f t="shared" si="40"/>
        <v/>
      </c>
      <c r="BA100" s="478" t="str">
        <f t="shared" si="51"/>
        <v/>
      </c>
      <c r="BD100" s="279" t="str">
        <f t="shared" si="41"/>
        <v/>
      </c>
      <c r="BG100" s="279" t="b">
        <f t="shared" si="52"/>
        <v>0</v>
      </c>
      <c r="BI100" s="279" t="str">
        <f t="shared" si="42"/>
        <v>n.a.</v>
      </c>
      <c r="BK100" s="517" t="str">
        <f t="shared" si="43"/>
        <v/>
      </c>
      <c r="BL100" s="517" t="str">
        <f t="shared" si="44"/>
        <v/>
      </c>
      <c r="BM100" s="517" t="str">
        <f t="shared" si="45"/>
        <v/>
      </c>
      <c r="BN100" s="517" t="str">
        <f t="shared" si="46"/>
        <v/>
      </c>
    </row>
    <row r="101" spans="1:66" ht="12.5" x14ac:dyDescent="0.35">
      <c r="B101" s="278"/>
      <c r="C101" s="259">
        <v>92</v>
      </c>
      <c r="D101" s="468"/>
      <c r="E101" s="467" t="str">
        <f t="shared" si="53"/>
        <v/>
      </c>
      <c r="F101" s="733"/>
      <c r="G101" s="716" t="str">
        <f t="shared" si="54"/>
        <v/>
      </c>
      <c r="H101" s="468"/>
      <c r="I101" s="266" t="str">
        <f>IF(OR($D101="",$D101=CONST_NA),"",INDEX(InputOutput!$AK$71:$AK$80,MATCH($D101,InputOutput!$D$71:$D$80,0)))</f>
        <v/>
      </c>
      <c r="J101" s="266" t="str">
        <f>IF(OR($D101="",$D101=CONST_NA),"",INDEX(InputOutput!$AM$71:$AM$80,MATCH($D101,InputOutput!$D$71:$D$80,0)))</f>
        <v/>
      </c>
      <c r="K101" s="266" t="str">
        <f t="shared" si="35"/>
        <v/>
      </c>
      <c r="L101" s="266" t="str">
        <f t="shared" si="36"/>
        <v/>
      </c>
      <c r="M101" s="683" t="str">
        <f>IF($E101="","",INDEX(Summary_Processes!$AG$162:$AG$520,MATCH($D101,Summary_Processes!$D$162:$D$520,0)))</f>
        <v/>
      </c>
      <c r="N101" s="266" t="str">
        <f>IF(D101="","",INDEX(D_Processes!T:T,MATCH(CONST_CNTR_ElecEFMethod&amp;D101,D_Processes!R:R,0)))</f>
        <v/>
      </c>
      <c r="O101" s="266" t="str">
        <f>IF(OR($D101="",$D101=CONST_NA),"",INDEX(InputOutput!$AO$71:$AO$80,MATCH($D101,InputOutput!$D$71:$D$80,0)))</f>
        <v/>
      </c>
      <c r="P101" s="469"/>
      <c r="Q101" s="469"/>
      <c r="R101" s="756"/>
      <c r="S101" s="756"/>
      <c r="T101" s="756"/>
      <c r="U101" s="756"/>
      <c r="V101" s="756"/>
      <c r="W101" s="756"/>
      <c r="X101" s="756"/>
      <c r="Y101" s="756"/>
      <c r="Z101" s="756"/>
      <c r="AA101" s="756"/>
      <c r="AB101" s="470"/>
      <c r="AC101" s="470"/>
      <c r="AD101" s="470"/>
      <c r="AE101" s="470"/>
      <c r="AF101" s="470"/>
      <c r="AG101" s="470"/>
      <c r="AH101" s="470"/>
      <c r="AI101" s="470"/>
      <c r="AJ101" s="470"/>
      <c r="AK101" s="470"/>
      <c r="AL101" s="471"/>
      <c r="AM101" s="472"/>
      <c r="AN101" s="473" t="str">
        <f t="shared" si="47"/>
        <v/>
      </c>
      <c r="AO101" s="474" t="str">
        <f t="shared" si="37"/>
        <v/>
      </c>
      <c r="AP101" s="475"/>
      <c r="AQ101" s="687" t="str">
        <f t="shared" si="38"/>
        <v/>
      </c>
      <c r="AR101" s="476"/>
      <c r="AS101" s="474" t="str">
        <f t="shared" si="39"/>
        <v/>
      </c>
      <c r="AT101" s="471"/>
      <c r="AU101" s="472"/>
      <c r="AV101" s="473" t="str">
        <f t="shared" si="48"/>
        <v/>
      </c>
      <c r="AW101" s="474" t="str">
        <f t="shared" si="49"/>
        <v/>
      </c>
      <c r="AX101" s="476"/>
      <c r="AY101" s="474" t="str">
        <f t="shared" si="50"/>
        <v/>
      </c>
      <c r="AZ101" s="477" t="str">
        <f t="shared" si="40"/>
        <v/>
      </c>
      <c r="BA101" s="478" t="str">
        <f t="shared" si="51"/>
        <v/>
      </c>
      <c r="BD101" s="279" t="str">
        <f t="shared" si="41"/>
        <v/>
      </c>
      <c r="BG101" s="279" t="b">
        <f t="shared" si="52"/>
        <v>0</v>
      </c>
      <c r="BI101" s="279" t="str">
        <f t="shared" si="42"/>
        <v>n.a.</v>
      </c>
      <c r="BK101" s="517" t="str">
        <f t="shared" si="43"/>
        <v/>
      </c>
      <c r="BL101" s="517" t="str">
        <f t="shared" si="44"/>
        <v/>
      </c>
      <c r="BM101" s="517" t="str">
        <f t="shared" si="45"/>
        <v/>
      </c>
      <c r="BN101" s="517" t="str">
        <f t="shared" si="46"/>
        <v/>
      </c>
    </row>
    <row r="102" spans="1:66" ht="12.5" x14ac:dyDescent="0.35">
      <c r="B102" s="278"/>
      <c r="C102" s="259">
        <v>93</v>
      </c>
      <c r="D102" s="468"/>
      <c r="E102" s="467" t="str">
        <f t="shared" si="53"/>
        <v/>
      </c>
      <c r="F102" s="733"/>
      <c r="G102" s="716" t="str">
        <f t="shared" si="54"/>
        <v/>
      </c>
      <c r="H102" s="468"/>
      <c r="I102" s="266" t="str">
        <f>IF(OR($D102="",$D102=CONST_NA),"",INDEX(InputOutput!$AK$71:$AK$80,MATCH($D102,InputOutput!$D$71:$D$80,0)))</f>
        <v/>
      </c>
      <c r="J102" s="266" t="str">
        <f>IF(OR($D102="",$D102=CONST_NA),"",INDEX(InputOutput!$AM$71:$AM$80,MATCH($D102,InputOutput!$D$71:$D$80,0)))</f>
        <v/>
      </c>
      <c r="K102" s="266" t="str">
        <f t="shared" si="35"/>
        <v/>
      </c>
      <c r="L102" s="266" t="str">
        <f t="shared" si="36"/>
        <v/>
      </c>
      <c r="M102" s="683" t="str">
        <f>IF($E102="","",INDEX(Summary_Processes!$AG$162:$AG$520,MATCH($D102,Summary_Processes!$D$162:$D$520,0)))</f>
        <v/>
      </c>
      <c r="N102" s="266" t="str">
        <f>IF(D102="","",INDEX(D_Processes!T:T,MATCH(CONST_CNTR_ElecEFMethod&amp;D102,D_Processes!R:R,0)))</f>
        <v/>
      </c>
      <c r="O102" s="266" t="str">
        <f>IF(OR($D102="",$D102=CONST_NA),"",INDEX(InputOutput!$AO$71:$AO$80,MATCH($D102,InputOutput!$D$71:$D$80,0)))</f>
        <v/>
      </c>
      <c r="P102" s="469"/>
      <c r="Q102" s="469"/>
      <c r="R102" s="756"/>
      <c r="S102" s="756"/>
      <c r="T102" s="756"/>
      <c r="U102" s="756"/>
      <c r="V102" s="756"/>
      <c r="W102" s="756"/>
      <c r="X102" s="756"/>
      <c r="Y102" s="756"/>
      <c r="Z102" s="756"/>
      <c r="AA102" s="756"/>
      <c r="AB102" s="470"/>
      <c r="AC102" s="470"/>
      <c r="AD102" s="470"/>
      <c r="AE102" s="470"/>
      <c r="AF102" s="470"/>
      <c r="AG102" s="470"/>
      <c r="AH102" s="470"/>
      <c r="AI102" s="470"/>
      <c r="AJ102" s="470"/>
      <c r="AK102" s="470"/>
      <c r="AL102" s="471"/>
      <c r="AM102" s="472"/>
      <c r="AN102" s="473" t="str">
        <f t="shared" si="47"/>
        <v/>
      </c>
      <c r="AO102" s="474" t="str">
        <f t="shared" si="37"/>
        <v/>
      </c>
      <c r="AP102" s="475"/>
      <c r="AQ102" s="687" t="str">
        <f t="shared" si="38"/>
        <v/>
      </c>
      <c r="AR102" s="476"/>
      <c r="AS102" s="474" t="str">
        <f t="shared" si="39"/>
        <v/>
      </c>
      <c r="AT102" s="471"/>
      <c r="AU102" s="472"/>
      <c r="AV102" s="473" t="str">
        <f t="shared" si="48"/>
        <v/>
      </c>
      <c r="AW102" s="474" t="str">
        <f t="shared" si="49"/>
        <v/>
      </c>
      <c r="AX102" s="476"/>
      <c r="AY102" s="474" t="str">
        <f t="shared" si="50"/>
        <v/>
      </c>
      <c r="AZ102" s="477" t="str">
        <f t="shared" si="40"/>
        <v/>
      </c>
      <c r="BA102" s="478" t="str">
        <f t="shared" si="51"/>
        <v/>
      </c>
      <c r="BD102" s="279" t="str">
        <f t="shared" si="41"/>
        <v/>
      </c>
      <c r="BG102" s="279" t="b">
        <f t="shared" si="52"/>
        <v>0</v>
      </c>
      <c r="BI102" s="279" t="str">
        <f t="shared" si="42"/>
        <v>n.a.</v>
      </c>
      <c r="BK102" s="517" t="str">
        <f t="shared" si="43"/>
        <v/>
      </c>
      <c r="BL102" s="517" t="str">
        <f t="shared" si="44"/>
        <v/>
      </c>
      <c r="BM102" s="517" t="str">
        <f t="shared" si="45"/>
        <v/>
      </c>
      <c r="BN102" s="517" t="str">
        <f t="shared" si="46"/>
        <v/>
      </c>
    </row>
    <row r="103" spans="1:66" ht="12.5" x14ac:dyDescent="0.35">
      <c r="B103" s="278"/>
      <c r="C103" s="259">
        <v>94</v>
      </c>
      <c r="D103" s="468"/>
      <c r="E103" s="467" t="str">
        <f t="shared" si="53"/>
        <v/>
      </c>
      <c r="F103" s="733"/>
      <c r="G103" s="716" t="str">
        <f t="shared" si="54"/>
        <v/>
      </c>
      <c r="H103" s="468"/>
      <c r="I103" s="266" t="str">
        <f>IF(OR($D103="",$D103=CONST_NA),"",INDEX(InputOutput!$AK$71:$AK$80,MATCH($D103,InputOutput!$D$71:$D$80,0)))</f>
        <v/>
      </c>
      <c r="J103" s="266" t="str">
        <f>IF(OR($D103="",$D103=CONST_NA),"",INDEX(InputOutput!$AM$71:$AM$80,MATCH($D103,InputOutput!$D$71:$D$80,0)))</f>
        <v/>
      </c>
      <c r="K103" s="266" t="str">
        <f t="shared" si="35"/>
        <v/>
      </c>
      <c r="L103" s="266" t="str">
        <f t="shared" si="36"/>
        <v/>
      </c>
      <c r="M103" s="683" t="str">
        <f>IF($E103="","",INDEX(Summary_Processes!$AG$162:$AG$520,MATCH($D103,Summary_Processes!$D$162:$D$520,0)))</f>
        <v/>
      </c>
      <c r="N103" s="266" t="str">
        <f>IF(D103="","",INDEX(D_Processes!T:T,MATCH(CONST_CNTR_ElecEFMethod&amp;D103,D_Processes!R:R,0)))</f>
        <v/>
      </c>
      <c r="O103" s="266" t="str">
        <f>IF(OR($D103="",$D103=CONST_NA),"",INDEX(InputOutput!$AO$71:$AO$80,MATCH($D103,InputOutput!$D$71:$D$80,0)))</f>
        <v/>
      </c>
      <c r="P103" s="469"/>
      <c r="Q103" s="469"/>
      <c r="R103" s="756"/>
      <c r="S103" s="756"/>
      <c r="T103" s="756"/>
      <c r="U103" s="756"/>
      <c r="V103" s="756"/>
      <c r="W103" s="756"/>
      <c r="X103" s="756"/>
      <c r="Y103" s="756"/>
      <c r="Z103" s="756"/>
      <c r="AA103" s="756"/>
      <c r="AB103" s="470"/>
      <c r="AC103" s="470"/>
      <c r="AD103" s="470"/>
      <c r="AE103" s="470"/>
      <c r="AF103" s="470"/>
      <c r="AG103" s="470"/>
      <c r="AH103" s="470"/>
      <c r="AI103" s="470"/>
      <c r="AJ103" s="470"/>
      <c r="AK103" s="470"/>
      <c r="AL103" s="471"/>
      <c r="AM103" s="472"/>
      <c r="AN103" s="473" t="str">
        <f t="shared" si="47"/>
        <v/>
      </c>
      <c r="AO103" s="474" t="str">
        <f t="shared" si="37"/>
        <v/>
      </c>
      <c r="AP103" s="475"/>
      <c r="AQ103" s="687" t="str">
        <f t="shared" si="38"/>
        <v/>
      </c>
      <c r="AR103" s="476"/>
      <c r="AS103" s="474" t="str">
        <f t="shared" si="39"/>
        <v/>
      </c>
      <c r="AT103" s="471"/>
      <c r="AU103" s="472"/>
      <c r="AV103" s="473" t="str">
        <f t="shared" si="48"/>
        <v/>
      </c>
      <c r="AW103" s="474" t="str">
        <f t="shared" si="49"/>
        <v/>
      </c>
      <c r="AX103" s="476"/>
      <c r="AY103" s="474" t="str">
        <f t="shared" si="50"/>
        <v/>
      </c>
      <c r="AZ103" s="477" t="str">
        <f t="shared" si="40"/>
        <v/>
      </c>
      <c r="BA103" s="478" t="str">
        <f t="shared" si="51"/>
        <v/>
      </c>
      <c r="BD103" s="279" t="str">
        <f t="shared" si="41"/>
        <v/>
      </c>
      <c r="BG103" s="279" t="b">
        <f t="shared" si="52"/>
        <v>0</v>
      </c>
      <c r="BI103" s="279" t="str">
        <f t="shared" si="42"/>
        <v>n.a.</v>
      </c>
      <c r="BK103" s="517" t="str">
        <f t="shared" si="43"/>
        <v/>
      </c>
      <c r="BL103" s="517" t="str">
        <f t="shared" si="44"/>
        <v/>
      </c>
      <c r="BM103" s="517" t="str">
        <f t="shared" si="45"/>
        <v/>
      </c>
      <c r="BN103" s="517" t="str">
        <f t="shared" si="46"/>
        <v/>
      </c>
    </row>
    <row r="104" spans="1:66" ht="12.5" x14ac:dyDescent="0.35">
      <c r="B104" s="278"/>
      <c r="C104" s="259">
        <v>95</v>
      </c>
      <c r="D104" s="468"/>
      <c r="E104" s="467" t="str">
        <f t="shared" si="53"/>
        <v/>
      </c>
      <c r="F104" s="733"/>
      <c r="G104" s="716" t="str">
        <f t="shared" si="54"/>
        <v/>
      </c>
      <c r="H104" s="468"/>
      <c r="I104" s="266" t="str">
        <f>IF(OR($D104="",$D104=CONST_NA),"",INDEX(InputOutput!$AK$71:$AK$80,MATCH($D104,InputOutput!$D$71:$D$80,0)))</f>
        <v/>
      </c>
      <c r="J104" s="266" t="str">
        <f>IF(OR($D104="",$D104=CONST_NA),"",INDEX(InputOutput!$AM$71:$AM$80,MATCH($D104,InputOutput!$D$71:$D$80,0)))</f>
        <v/>
      </c>
      <c r="K104" s="266" t="str">
        <f t="shared" si="35"/>
        <v/>
      </c>
      <c r="L104" s="266" t="str">
        <f t="shared" si="36"/>
        <v/>
      </c>
      <c r="M104" s="683" t="str">
        <f>IF($E104="","",INDEX(Summary_Processes!$AG$162:$AG$520,MATCH($D104,Summary_Processes!$D$162:$D$520,0)))</f>
        <v/>
      </c>
      <c r="N104" s="266" t="str">
        <f>IF(D104="","",INDEX(D_Processes!T:T,MATCH(CONST_CNTR_ElecEFMethod&amp;D104,D_Processes!R:R,0)))</f>
        <v/>
      </c>
      <c r="O104" s="266" t="str">
        <f>IF(OR($D104="",$D104=CONST_NA),"",INDEX(InputOutput!$AO$71:$AO$80,MATCH($D104,InputOutput!$D$71:$D$80,0)))</f>
        <v/>
      </c>
      <c r="P104" s="469"/>
      <c r="Q104" s="469"/>
      <c r="R104" s="756"/>
      <c r="S104" s="756"/>
      <c r="T104" s="756"/>
      <c r="U104" s="756"/>
      <c r="V104" s="756"/>
      <c r="W104" s="756"/>
      <c r="X104" s="756"/>
      <c r="Y104" s="756"/>
      <c r="Z104" s="756"/>
      <c r="AA104" s="756"/>
      <c r="AB104" s="470"/>
      <c r="AC104" s="470"/>
      <c r="AD104" s="470"/>
      <c r="AE104" s="470"/>
      <c r="AF104" s="470"/>
      <c r="AG104" s="470"/>
      <c r="AH104" s="470"/>
      <c r="AI104" s="470"/>
      <c r="AJ104" s="470"/>
      <c r="AK104" s="470"/>
      <c r="AL104" s="471"/>
      <c r="AM104" s="472"/>
      <c r="AN104" s="473" t="str">
        <f t="shared" si="47"/>
        <v/>
      </c>
      <c r="AO104" s="474" t="str">
        <f t="shared" si="37"/>
        <v/>
      </c>
      <c r="AP104" s="475"/>
      <c r="AQ104" s="687" t="str">
        <f t="shared" si="38"/>
        <v/>
      </c>
      <c r="AR104" s="476"/>
      <c r="AS104" s="474" t="str">
        <f t="shared" si="39"/>
        <v/>
      </c>
      <c r="AT104" s="471"/>
      <c r="AU104" s="472"/>
      <c r="AV104" s="473" t="str">
        <f t="shared" si="48"/>
        <v/>
      </c>
      <c r="AW104" s="474" t="str">
        <f t="shared" si="49"/>
        <v/>
      </c>
      <c r="AX104" s="476"/>
      <c r="AY104" s="474" t="str">
        <f t="shared" si="50"/>
        <v/>
      </c>
      <c r="AZ104" s="477" t="str">
        <f t="shared" si="40"/>
        <v/>
      </c>
      <c r="BA104" s="478" t="str">
        <f t="shared" si="51"/>
        <v/>
      </c>
      <c r="BD104" s="279" t="str">
        <f t="shared" si="41"/>
        <v/>
      </c>
      <c r="BG104" s="279" t="b">
        <f t="shared" si="52"/>
        <v>0</v>
      </c>
      <c r="BI104" s="279" t="str">
        <f t="shared" si="42"/>
        <v>n.a.</v>
      </c>
      <c r="BK104" s="517" t="str">
        <f t="shared" si="43"/>
        <v/>
      </c>
      <c r="BL104" s="517" t="str">
        <f t="shared" si="44"/>
        <v/>
      </c>
      <c r="BM104" s="517" t="str">
        <f t="shared" si="45"/>
        <v/>
      </c>
      <c r="BN104" s="517" t="str">
        <f t="shared" si="46"/>
        <v/>
      </c>
    </row>
    <row r="105" spans="1:66" ht="12.5" x14ac:dyDescent="0.35">
      <c r="B105" s="278"/>
      <c r="C105" s="259">
        <v>96</v>
      </c>
      <c r="D105" s="468"/>
      <c r="E105" s="467" t="str">
        <f t="shared" si="53"/>
        <v/>
      </c>
      <c r="F105" s="733"/>
      <c r="G105" s="716" t="str">
        <f t="shared" si="54"/>
        <v/>
      </c>
      <c r="H105" s="468"/>
      <c r="I105" s="266" t="str">
        <f>IF(OR($D105="",$D105=CONST_NA),"",INDEX(InputOutput!$AK$71:$AK$80,MATCH($D105,InputOutput!$D$71:$D$80,0)))</f>
        <v/>
      </c>
      <c r="J105" s="266" t="str">
        <f>IF(OR($D105="",$D105=CONST_NA),"",INDEX(InputOutput!$AM$71:$AM$80,MATCH($D105,InputOutput!$D$71:$D$80,0)))</f>
        <v/>
      </c>
      <c r="K105" s="266" t="str">
        <f t="shared" si="35"/>
        <v/>
      </c>
      <c r="L105" s="266" t="str">
        <f t="shared" si="36"/>
        <v/>
      </c>
      <c r="M105" s="683" t="str">
        <f>IF($E105="","",INDEX(Summary_Processes!$AG$162:$AG$520,MATCH($D105,Summary_Processes!$D$162:$D$520,0)))</f>
        <v/>
      </c>
      <c r="N105" s="266" t="str">
        <f>IF(D105="","",INDEX(D_Processes!T:T,MATCH(CONST_CNTR_ElecEFMethod&amp;D105,D_Processes!R:R,0)))</f>
        <v/>
      </c>
      <c r="O105" s="266" t="str">
        <f>IF(OR($D105="",$D105=CONST_NA),"",INDEX(InputOutput!$AO$71:$AO$80,MATCH($D105,InputOutput!$D$71:$D$80,0)))</f>
        <v/>
      </c>
      <c r="P105" s="469"/>
      <c r="Q105" s="469"/>
      <c r="R105" s="756"/>
      <c r="S105" s="756"/>
      <c r="T105" s="756"/>
      <c r="U105" s="756"/>
      <c r="V105" s="756"/>
      <c r="W105" s="756"/>
      <c r="X105" s="756"/>
      <c r="Y105" s="756"/>
      <c r="Z105" s="756"/>
      <c r="AA105" s="756"/>
      <c r="AB105" s="470"/>
      <c r="AC105" s="470"/>
      <c r="AD105" s="470"/>
      <c r="AE105" s="470"/>
      <c r="AF105" s="470"/>
      <c r="AG105" s="470"/>
      <c r="AH105" s="470"/>
      <c r="AI105" s="470"/>
      <c r="AJ105" s="470"/>
      <c r="AK105" s="470"/>
      <c r="AL105" s="471"/>
      <c r="AM105" s="472"/>
      <c r="AN105" s="473" t="str">
        <f t="shared" si="47"/>
        <v/>
      </c>
      <c r="AO105" s="474" t="str">
        <f t="shared" si="37"/>
        <v/>
      </c>
      <c r="AP105" s="475"/>
      <c r="AQ105" s="687" t="str">
        <f t="shared" si="38"/>
        <v/>
      </c>
      <c r="AR105" s="476"/>
      <c r="AS105" s="474" t="str">
        <f t="shared" si="39"/>
        <v/>
      </c>
      <c r="AT105" s="471"/>
      <c r="AU105" s="472"/>
      <c r="AV105" s="473" t="str">
        <f t="shared" si="48"/>
        <v/>
      </c>
      <c r="AW105" s="474" t="str">
        <f t="shared" si="49"/>
        <v/>
      </c>
      <c r="AX105" s="476"/>
      <c r="AY105" s="474" t="str">
        <f t="shared" si="50"/>
        <v/>
      </c>
      <c r="AZ105" s="477" t="str">
        <f t="shared" si="40"/>
        <v/>
      </c>
      <c r="BA105" s="478" t="str">
        <f t="shared" si="51"/>
        <v/>
      </c>
      <c r="BD105" s="279" t="str">
        <f t="shared" si="41"/>
        <v/>
      </c>
      <c r="BG105" s="279" t="b">
        <f t="shared" si="52"/>
        <v>0</v>
      </c>
      <c r="BI105" s="279" t="str">
        <f t="shared" si="42"/>
        <v>n.a.</v>
      </c>
      <c r="BK105" s="517" t="str">
        <f t="shared" si="43"/>
        <v/>
      </c>
      <c r="BL105" s="517" t="str">
        <f t="shared" si="44"/>
        <v/>
      </c>
      <c r="BM105" s="517" t="str">
        <f t="shared" si="45"/>
        <v/>
      </c>
      <c r="BN105" s="517" t="str">
        <f t="shared" si="46"/>
        <v/>
      </c>
    </row>
    <row r="106" spans="1:66" ht="12.5" x14ac:dyDescent="0.35">
      <c r="B106" s="278"/>
      <c r="C106" s="259">
        <v>97</v>
      </c>
      <c r="D106" s="468"/>
      <c r="E106" s="467" t="str">
        <f t="shared" si="53"/>
        <v/>
      </c>
      <c r="F106" s="733"/>
      <c r="G106" s="716" t="str">
        <f t="shared" si="54"/>
        <v/>
      </c>
      <c r="H106" s="468"/>
      <c r="I106" s="266" t="str">
        <f>IF(OR($D106="",$D106=CONST_NA),"",INDEX(InputOutput!$AK$71:$AK$80,MATCH($D106,InputOutput!$D$71:$D$80,0)))</f>
        <v/>
      </c>
      <c r="J106" s="266" t="str">
        <f>IF(OR($D106="",$D106=CONST_NA),"",INDEX(InputOutput!$AM$71:$AM$80,MATCH($D106,InputOutput!$D$71:$D$80,0)))</f>
        <v/>
      </c>
      <c r="K106" s="266" t="str">
        <f t="shared" ref="K106:K109" si="55">IF(OR($D106="",$D106=CONST_NA),"",SUM(I106:J106))</f>
        <v/>
      </c>
      <c r="L106" s="266" t="str">
        <f t="shared" si="36"/>
        <v/>
      </c>
      <c r="M106" s="683" t="str">
        <f>IF($E106="","",INDEX(Summary_Processes!$AG$162:$AG$520,MATCH($D106,Summary_Processes!$D$162:$D$520,0)))</f>
        <v/>
      </c>
      <c r="N106" s="266" t="str">
        <f>IF(D106="","",INDEX(D_Processes!T:T,MATCH(CONST_CNTR_ElecEFMethod&amp;D106,D_Processes!R:R,0)))</f>
        <v/>
      </c>
      <c r="O106" s="266" t="str">
        <f>IF(OR($D106="",$D106=CONST_NA),"",INDEX(InputOutput!$AO$71:$AO$80,MATCH($D106,InputOutput!$D$71:$D$80,0)))</f>
        <v/>
      </c>
      <c r="P106" s="469"/>
      <c r="Q106" s="469"/>
      <c r="R106" s="756"/>
      <c r="S106" s="756"/>
      <c r="T106" s="756"/>
      <c r="U106" s="756"/>
      <c r="V106" s="756"/>
      <c r="W106" s="756"/>
      <c r="X106" s="756"/>
      <c r="Y106" s="756"/>
      <c r="Z106" s="756"/>
      <c r="AA106" s="756"/>
      <c r="AB106" s="470"/>
      <c r="AC106" s="470"/>
      <c r="AD106" s="470"/>
      <c r="AE106" s="470"/>
      <c r="AF106" s="470"/>
      <c r="AG106" s="470"/>
      <c r="AH106" s="470"/>
      <c r="AI106" s="470"/>
      <c r="AJ106" s="470"/>
      <c r="AK106" s="470"/>
      <c r="AL106" s="471"/>
      <c r="AM106" s="472"/>
      <c r="AN106" s="473" t="str">
        <f t="shared" si="47"/>
        <v/>
      </c>
      <c r="AO106" s="474" t="str">
        <f t="shared" si="37"/>
        <v/>
      </c>
      <c r="AP106" s="475"/>
      <c r="AQ106" s="687" t="str">
        <f>IF(AP106="","",INDEX(CNTR_ListCurrenciesName,MATCH(AP106,CNTR_ListCurrenciesCode,0)))</f>
        <v/>
      </c>
      <c r="AR106" s="476"/>
      <c r="AS106" s="474" t="str">
        <f t="shared" si="39"/>
        <v/>
      </c>
      <c r="AT106" s="471"/>
      <c r="AU106" s="472"/>
      <c r="AV106" s="473" t="str">
        <f t="shared" si="48"/>
        <v/>
      </c>
      <c r="AW106" s="474" t="str">
        <f t="shared" si="49"/>
        <v/>
      </c>
      <c r="AX106" s="476"/>
      <c r="AY106" s="474" t="str">
        <f t="shared" si="50"/>
        <v/>
      </c>
      <c r="AZ106" s="477" t="str">
        <f t="shared" si="40"/>
        <v/>
      </c>
      <c r="BA106" s="478" t="str">
        <f t="shared" si="51"/>
        <v/>
      </c>
      <c r="BD106" s="279" t="str">
        <f t="shared" si="41"/>
        <v/>
      </c>
      <c r="BG106" s="279" t="b">
        <f t="shared" si="52"/>
        <v>0</v>
      </c>
      <c r="BI106" s="279" t="str">
        <f t="shared" ref="BI106:BI109" si="56">IF(CNTR_HasEntriesA,IF(AND(D106&lt;&gt;"",COUNTIF(D310:BA310,TRUE)&gt;0),CONST_ErrorOrMissing,IF(AND(D106&lt;&gt;"",COUNTIF(D310:BA310,TRUE)=0),TRUE,CONST_NA)),CONST_NA)</f>
        <v>n.a.</v>
      </c>
      <c r="BK106" s="517" t="str">
        <f t="shared" si="43"/>
        <v/>
      </c>
      <c r="BL106" s="517" t="str">
        <f t="shared" si="44"/>
        <v/>
      </c>
      <c r="BM106" s="517" t="str">
        <f t="shared" si="45"/>
        <v/>
      </c>
      <c r="BN106" s="517" t="str">
        <f t="shared" si="46"/>
        <v/>
      </c>
    </row>
    <row r="107" spans="1:66" ht="12.5" x14ac:dyDescent="0.35">
      <c r="B107" s="278"/>
      <c r="C107" s="259">
        <v>98</v>
      </c>
      <c r="D107" s="468"/>
      <c r="E107" s="467" t="str">
        <f t="shared" si="53"/>
        <v/>
      </c>
      <c r="F107" s="733"/>
      <c r="G107" s="716" t="str">
        <f t="shared" si="54"/>
        <v/>
      </c>
      <c r="H107" s="468"/>
      <c r="I107" s="266" t="str">
        <f>IF(OR($D107="",$D107=CONST_NA),"",INDEX(InputOutput!$AK$71:$AK$80,MATCH($D107,InputOutput!$D$71:$D$80,0)))</f>
        <v/>
      </c>
      <c r="J107" s="266" t="str">
        <f>IF(OR($D107="",$D107=CONST_NA),"",INDEX(InputOutput!$AM$71:$AM$80,MATCH($D107,InputOutput!$D$71:$D$80,0)))</f>
        <v/>
      </c>
      <c r="K107" s="266" t="str">
        <f t="shared" si="55"/>
        <v/>
      </c>
      <c r="L107" s="266" t="str">
        <f t="shared" si="36"/>
        <v/>
      </c>
      <c r="M107" s="683" t="str">
        <f>IF($E107="","",INDEX(Summary_Processes!$AG$162:$AG$520,MATCH($D107,Summary_Processes!$D$162:$D$520,0)))</f>
        <v/>
      </c>
      <c r="N107" s="266" t="str">
        <f>IF(D107="","",INDEX(D_Processes!T:T,MATCH(CONST_CNTR_ElecEFMethod&amp;D107,D_Processes!R:R,0)))</f>
        <v/>
      </c>
      <c r="O107" s="266" t="str">
        <f>IF(OR($D107="",$D107=CONST_NA),"",INDEX(InputOutput!$AO$71:$AO$80,MATCH($D107,InputOutput!$D$71:$D$80,0)))</f>
        <v/>
      </c>
      <c r="P107" s="469"/>
      <c r="Q107" s="469"/>
      <c r="R107" s="756"/>
      <c r="S107" s="756"/>
      <c r="T107" s="756"/>
      <c r="U107" s="756"/>
      <c r="V107" s="756"/>
      <c r="W107" s="756"/>
      <c r="X107" s="756"/>
      <c r="Y107" s="756"/>
      <c r="Z107" s="756"/>
      <c r="AA107" s="756"/>
      <c r="AB107" s="470"/>
      <c r="AC107" s="470"/>
      <c r="AD107" s="470"/>
      <c r="AE107" s="470"/>
      <c r="AF107" s="470"/>
      <c r="AG107" s="470"/>
      <c r="AH107" s="470"/>
      <c r="AI107" s="470"/>
      <c r="AJ107" s="470"/>
      <c r="AK107" s="470"/>
      <c r="AL107" s="471"/>
      <c r="AM107" s="472"/>
      <c r="AN107" s="473" t="str">
        <f t="shared" si="47"/>
        <v/>
      </c>
      <c r="AO107" s="474" t="str">
        <f t="shared" si="37"/>
        <v/>
      </c>
      <c r="AP107" s="475"/>
      <c r="AQ107" s="687" t="str">
        <f>IF(AP107="","",INDEX(CNTR_ListCurrenciesName,MATCH(AP107,CNTR_ListCurrenciesCode,0)))</f>
        <v/>
      </c>
      <c r="AR107" s="476"/>
      <c r="AS107" s="474" t="str">
        <f t="shared" si="39"/>
        <v/>
      </c>
      <c r="AT107" s="471"/>
      <c r="AU107" s="472"/>
      <c r="AV107" s="473" t="str">
        <f t="shared" si="48"/>
        <v/>
      </c>
      <c r="AW107" s="474" t="str">
        <f t="shared" si="49"/>
        <v/>
      </c>
      <c r="AX107" s="476"/>
      <c r="AY107" s="474" t="str">
        <f t="shared" si="50"/>
        <v/>
      </c>
      <c r="AZ107" s="477" t="str">
        <f t="shared" si="40"/>
        <v/>
      </c>
      <c r="BA107" s="478" t="str">
        <f t="shared" si="51"/>
        <v/>
      </c>
      <c r="BD107" s="279" t="str">
        <f t="shared" si="41"/>
        <v/>
      </c>
      <c r="BG107" s="279" t="b">
        <f t="shared" si="52"/>
        <v>0</v>
      </c>
      <c r="BI107" s="279" t="str">
        <f t="shared" si="56"/>
        <v>n.a.</v>
      </c>
      <c r="BK107" s="517" t="str">
        <f t="shared" si="43"/>
        <v/>
      </c>
      <c r="BL107" s="517" t="str">
        <f t="shared" si="44"/>
        <v/>
      </c>
      <c r="BM107" s="517" t="str">
        <f t="shared" si="45"/>
        <v/>
      </c>
      <c r="BN107" s="517" t="str">
        <f t="shared" si="46"/>
        <v/>
      </c>
    </row>
    <row r="108" spans="1:66" ht="12.5" x14ac:dyDescent="0.35">
      <c r="B108" s="278"/>
      <c r="C108" s="259">
        <v>99</v>
      </c>
      <c r="D108" s="468"/>
      <c r="E108" s="467" t="str">
        <f t="shared" si="53"/>
        <v/>
      </c>
      <c r="F108" s="733"/>
      <c r="G108" s="716" t="str">
        <f t="shared" si="54"/>
        <v/>
      </c>
      <c r="H108" s="468"/>
      <c r="I108" s="266" t="str">
        <f>IF(OR($D108="",$D108=CONST_NA),"",INDEX(InputOutput!$AK$71:$AK$80,MATCH($D108,InputOutput!$D$71:$D$80,0)))</f>
        <v/>
      </c>
      <c r="J108" s="266" t="str">
        <f>IF(OR($D108="",$D108=CONST_NA),"",INDEX(InputOutput!$AM$71:$AM$80,MATCH($D108,InputOutput!$D$71:$D$80,0)))</f>
        <v/>
      </c>
      <c r="K108" s="266" t="str">
        <f t="shared" si="55"/>
        <v/>
      </c>
      <c r="L108" s="266" t="str">
        <f t="shared" si="36"/>
        <v/>
      </c>
      <c r="M108" s="683" t="str">
        <f>IF($E108="","",INDEX(Summary_Processes!$AG$162:$AG$520,MATCH($D108,Summary_Processes!$D$162:$D$520,0)))</f>
        <v/>
      </c>
      <c r="N108" s="266" t="str">
        <f>IF(D108="","",INDEX(D_Processes!T:T,MATCH(CONST_CNTR_ElecEFMethod&amp;D108,D_Processes!R:R,0)))</f>
        <v/>
      </c>
      <c r="O108" s="266" t="str">
        <f>IF(OR($D108="",$D108=CONST_NA),"",INDEX(InputOutput!$AO$71:$AO$80,MATCH($D108,InputOutput!$D$71:$D$80,0)))</f>
        <v/>
      </c>
      <c r="P108" s="469"/>
      <c r="Q108" s="469"/>
      <c r="R108" s="756"/>
      <c r="S108" s="756"/>
      <c r="T108" s="756"/>
      <c r="U108" s="756"/>
      <c r="V108" s="756"/>
      <c r="W108" s="756"/>
      <c r="X108" s="756"/>
      <c r="Y108" s="756"/>
      <c r="Z108" s="756"/>
      <c r="AA108" s="756"/>
      <c r="AB108" s="470"/>
      <c r="AC108" s="470"/>
      <c r="AD108" s="470"/>
      <c r="AE108" s="470"/>
      <c r="AF108" s="470"/>
      <c r="AG108" s="470"/>
      <c r="AH108" s="470"/>
      <c r="AI108" s="470"/>
      <c r="AJ108" s="470"/>
      <c r="AK108" s="470"/>
      <c r="AL108" s="471"/>
      <c r="AM108" s="472"/>
      <c r="AN108" s="473" t="str">
        <f t="shared" si="47"/>
        <v/>
      </c>
      <c r="AO108" s="474" t="str">
        <f t="shared" si="37"/>
        <v/>
      </c>
      <c r="AP108" s="475"/>
      <c r="AQ108" s="687" t="str">
        <f>IF(AP108="","",INDEX(CNTR_ListCurrenciesName,MATCH(AP108,CNTR_ListCurrenciesCode,0)))</f>
        <v/>
      </c>
      <c r="AR108" s="476"/>
      <c r="AS108" s="474" t="str">
        <f t="shared" si="39"/>
        <v/>
      </c>
      <c r="AT108" s="471"/>
      <c r="AU108" s="472"/>
      <c r="AV108" s="473" t="str">
        <f t="shared" si="48"/>
        <v/>
      </c>
      <c r="AW108" s="474" t="str">
        <f t="shared" si="49"/>
        <v/>
      </c>
      <c r="AX108" s="476"/>
      <c r="AY108" s="474" t="str">
        <f t="shared" si="50"/>
        <v/>
      </c>
      <c r="AZ108" s="477" t="str">
        <f t="shared" si="40"/>
        <v/>
      </c>
      <c r="BA108" s="478" t="str">
        <f t="shared" si="51"/>
        <v/>
      </c>
      <c r="BD108" s="279" t="str">
        <f t="shared" si="41"/>
        <v/>
      </c>
      <c r="BG108" s="279" t="b">
        <f t="shared" si="52"/>
        <v>0</v>
      </c>
      <c r="BI108" s="279" t="str">
        <f t="shared" si="56"/>
        <v>n.a.</v>
      </c>
      <c r="BK108" s="517" t="str">
        <f t="shared" si="43"/>
        <v/>
      </c>
      <c r="BL108" s="517" t="str">
        <f t="shared" si="44"/>
        <v/>
      </c>
      <c r="BM108" s="517" t="str">
        <f t="shared" si="45"/>
        <v/>
      </c>
      <c r="BN108" s="517" t="str">
        <f t="shared" si="46"/>
        <v/>
      </c>
    </row>
    <row r="109" spans="1:66" ht="12.5" x14ac:dyDescent="0.35">
      <c r="B109" s="278"/>
      <c r="C109" s="259">
        <v>100</v>
      </c>
      <c r="D109" s="480"/>
      <c r="E109" s="479" t="str">
        <f t="shared" si="53"/>
        <v/>
      </c>
      <c r="F109" s="734"/>
      <c r="G109" s="717" t="str">
        <f t="shared" si="54"/>
        <v/>
      </c>
      <c r="H109" s="480"/>
      <c r="I109" s="271" t="str">
        <f>IF(OR($D109="",$D109=CONST_NA),"",INDEX(InputOutput!$AK$71:$AK$80,MATCH($D109,InputOutput!$D$71:$D$80,0)))</f>
        <v/>
      </c>
      <c r="J109" s="271" t="str">
        <f>IF(OR($D109="",$D109=CONST_NA),"",INDEX(InputOutput!$AM$71:$AM$80,MATCH($D109,InputOutput!$D$71:$D$80,0)))</f>
        <v/>
      </c>
      <c r="K109" s="271" t="str">
        <f t="shared" si="55"/>
        <v/>
      </c>
      <c r="L109" s="271" t="str">
        <f t="shared" si="36"/>
        <v/>
      </c>
      <c r="M109" s="684" t="str">
        <f>IF($E109="","",INDEX(Summary_Processes!$AG$162:$AG$520,MATCH($D109,Summary_Processes!$D$162:$D$520,0)))</f>
        <v/>
      </c>
      <c r="N109" s="271" t="str">
        <f>IF(D109="","",INDEX(D_Processes!T:T,MATCH(CONST_CNTR_ElecEFMethod&amp;D109,D_Processes!R:R,0)))</f>
        <v/>
      </c>
      <c r="O109" s="271" t="str">
        <f>IF(OR($D109="",$D109=CONST_NA),"",INDEX(InputOutput!$AO$71:$AO$80,MATCH($D109,InputOutput!$D$71:$D$80,0)))</f>
        <v/>
      </c>
      <c r="P109" s="481"/>
      <c r="Q109" s="481"/>
      <c r="R109" s="757"/>
      <c r="S109" s="757"/>
      <c r="T109" s="757"/>
      <c r="U109" s="757"/>
      <c r="V109" s="757"/>
      <c r="W109" s="757"/>
      <c r="X109" s="757"/>
      <c r="Y109" s="757"/>
      <c r="Z109" s="757"/>
      <c r="AA109" s="757"/>
      <c r="AB109" s="482"/>
      <c r="AC109" s="482"/>
      <c r="AD109" s="482"/>
      <c r="AE109" s="482"/>
      <c r="AF109" s="482"/>
      <c r="AG109" s="482"/>
      <c r="AH109" s="482"/>
      <c r="AI109" s="482"/>
      <c r="AJ109" s="482"/>
      <c r="AK109" s="482"/>
      <c r="AL109" s="483"/>
      <c r="AM109" s="484"/>
      <c r="AN109" s="485" t="str">
        <f t="shared" si="47"/>
        <v/>
      </c>
      <c r="AO109" s="486" t="str">
        <f t="shared" si="37"/>
        <v/>
      </c>
      <c r="AP109" s="487"/>
      <c r="AQ109" s="688" t="str">
        <f>IF(AP109="","",INDEX(CNTR_ListCurrenciesName,MATCH(AP109,CNTR_ListCurrenciesCode,0)))</f>
        <v/>
      </c>
      <c r="AR109" s="488"/>
      <c r="AS109" s="486" t="str">
        <f t="shared" si="39"/>
        <v/>
      </c>
      <c r="AT109" s="483"/>
      <c r="AU109" s="484"/>
      <c r="AV109" s="485" t="str">
        <f t="shared" si="48"/>
        <v/>
      </c>
      <c r="AW109" s="486" t="str">
        <f t="shared" si="49"/>
        <v/>
      </c>
      <c r="AX109" s="488"/>
      <c r="AY109" s="486" t="str">
        <f t="shared" si="50"/>
        <v/>
      </c>
      <c r="AZ109" s="489" t="str">
        <f t="shared" si="40"/>
        <v/>
      </c>
      <c r="BA109" s="490" t="str">
        <f t="shared" si="51"/>
        <v/>
      </c>
      <c r="BD109" s="279" t="str">
        <f t="shared" si="41"/>
        <v/>
      </c>
      <c r="BG109" s="279" t="b">
        <f t="shared" si="52"/>
        <v>0</v>
      </c>
      <c r="BI109" s="279" t="str">
        <f t="shared" si="56"/>
        <v>n.a.</v>
      </c>
      <c r="BK109" s="517" t="str">
        <f t="shared" si="43"/>
        <v/>
      </c>
      <c r="BL109" s="517" t="str">
        <f t="shared" si="44"/>
        <v/>
      </c>
      <c r="BM109" s="517" t="str">
        <f t="shared" si="45"/>
        <v/>
      </c>
      <c r="BN109" s="517" t="str">
        <f t="shared" si="46"/>
        <v/>
      </c>
    </row>
    <row r="111" spans="1:66" s="275" customFormat="1" hidden="1" x14ac:dyDescent="0.35">
      <c r="A111" s="275" t="s">
        <v>3</v>
      </c>
      <c r="BB111" s="275" t="s">
        <v>116</v>
      </c>
    </row>
    <row r="112" spans="1:66" s="275" customFormat="1" hidden="1" x14ac:dyDescent="0.35">
      <c r="A112" s="275" t="s">
        <v>3</v>
      </c>
      <c r="C112" s="275">
        <v>1</v>
      </c>
      <c r="F112" s="279" t="b">
        <v>0</v>
      </c>
      <c r="H112" s="279" t="b">
        <v>0</v>
      </c>
      <c r="O112" s="275" t="s">
        <v>34</v>
      </c>
      <c r="P112" s="279" t="b">
        <f>IF(OR($D10="",$D10=CONST_NA),FALSE,INDEX(Parameters_Constants!$K$110:$AF$127,MATCH($E10,CONST_LIST_Goods,0),MATCH(P$8,Parameters_Constants!$K$109:$AF$109,0))=FALSE)</f>
        <v>0</v>
      </c>
      <c r="Q112" s="279" t="b">
        <f>IF(OR($D10="",$D10=CONST_NA),FALSE,INDEX(Parameters_Constants!$K$110:$AF$127,MATCH($E10,CONST_LIST_Goods,0),MATCH(Q$8,Parameters_Constants!$K$109:$AF$109,0))=FALSE)</f>
        <v>0</v>
      </c>
      <c r="R112" s="279" t="b">
        <f>IF(OR($D10="",$D10=CONST_NA),FALSE,INDEX(Parameters_Constants!$K$110:$AF$127,MATCH($E10,CONST_LIST_Goods,0),MATCH(R$8,Parameters_Constants!$K$109:$AF$109,0))=FALSE)</f>
        <v>0</v>
      </c>
      <c r="S112" s="279" t="b">
        <f>IF(OR($D10="",$D10=CONST_NA),FALSE,INDEX(Parameters_Constants!$K$110:$AF$127,MATCH($E10,CONST_LIST_Goods,0),MATCH(S$8,Parameters_Constants!$K$109:$AF$109,0))=FALSE)</f>
        <v>0</v>
      </c>
      <c r="T112" s="279" t="b">
        <f>IF(OR($D10="",$D10=CONST_NA),FALSE,INDEX(Parameters_Constants!$K$110:$AF$127,MATCH($E10,CONST_LIST_Goods,0),MATCH(T$8,Parameters_Constants!$K$109:$AF$109,0))=FALSE)</f>
        <v>0</v>
      </c>
      <c r="U112" s="279" t="b">
        <f>IF(OR($D10="",$D10=CONST_NA),FALSE,INDEX(Parameters_Constants!$K$110:$AF$127,MATCH($E10,CONST_LIST_Goods,0),MATCH(U$8,Parameters_Constants!$K$109:$AF$109,0))=FALSE)</f>
        <v>0</v>
      </c>
      <c r="V112" s="279" t="b">
        <f>IF(OR($D10="",$D10=CONST_NA),FALSE,INDEX(Parameters_Constants!$K$110:$AF$127,MATCH($E10,CONST_LIST_Goods,0),MATCH(V$8,Parameters_Constants!$K$109:$AF$109,0))=FALSE)</f>
        <v>0</v>
      </c>
      <c r="W112" s="279" t="b">
        <f>IF(OR($D10="",$D10=CONST_NA),FALSE,INDEX(Parameters_Constants!$K$110:$AF$127,MATCH($E10,CONST_LIST_Goods,0),MATCH(W$8,Parameters_Constants!$K$109:$AF$109,0))=FALSE)</f>
        <v>0</v>
      </c>
      <c r="X112" s="279" t="b">
        <f>IF(OR($D10="",$D10=CONST_NA),FALSE,INDEX(Parameters_Constants!$K$110:$AF$127,MATCH($E10,CONST_LIST_Goods,0),MATCH(X$8,Parameters_Constants!$K$109:$AF$109,0))=FALSE)</f>
        <v>0</v>
      </c>
      <c r="Y112" s="279" t="b">
        <f>IF(OR($D10="",$D10=CONST_NA),FALSE,INDEX(Parameters_Constants!$K$110:$AF$127,MATCH($E10,CONST_LIST_Goods,0),MATCH(Y$8,Parameters_Constants!$K$109:$AF$109,0))=FALSE)</f>
        <v>0</v>
      </c>
      <c r="Z112" s="279" t="b">
        <f>IF(OR($D10="",$D10=CONST_NA),FALSE,INDEX(Parameters_Constants!$K$110:$AF$127,MATCH($E10,CONST_LIST_Goods,0),MATCH(Z$8,Parameters_Constants!$K$109:$AF$109,0))=FALSE)</f>
        <v>0</v>
      </c>
      <c r="AA112" s="279" t="b">
        <f>IF(OR($D10="",$D10=CONST_NA),FALSE,INDEX(Parameters_Constants!$K$110:$AF$127,MATCH($E10,CONST_LIST_Goods,0),MATCH(AA$8,Parameters_Constants!$K$109:$AF$109,0))=FALSE)</f>
        <v>0</v>
      </c>
      <c r="AB112" s="279" t="b">
        <f>IF(OR($D10="",$D10=CONST_NA),FALSE,INDEX(Parameters_Constants!$K$110:$AF$127,MATCH($E10,CONST_LIST_Goods,0),MATCH(AB$8,Parameters_Constants!$K$109:$AF$109,0))=FALSE)</f>
        <v>0</v>
      </c>
      <c r="AC112" s="279" t="b">
        <f>IF(OR($D10="",$D10=CONST_NA),FALSE,INDEX(Parameters_Constants!$K$110:$AF$127,MATCH($E10,CONST_LIST_Goods,0),MATCH(AC$8,Parameters_Constants!$K$109:$AF$109,0))=FALSE)</f>
        <v>0</v>
      </c>
      <c r="AD112" s="279" t="b">
        <f>IF(OR($D10="",$D10=CONST_NA),FALSE,INDEX(Parameters_Constants!$K$110:$AF$127,MATCH($E10,CONST_LIST_Goods,0),MATCH(AD$8,Parameters_Constants!$K$109:$AF$109,0))=FALSE)</f>
        <v>0</v>
      </c>
      <c r="AE112" s="279" t="b">
        <f>IF(OR($D10="",$D10=CONST_NA),FALSE,INDEX(Parameters_Constants!$K$110:$AF$127,MATCH($E10,CONST_LIST_Goods,0),MATCH(AE$8,Parameters_Constants!$K$109:$AF$109,0))=FALSE)</f>
        <v>0</v>
      </c>
      <c r="AF112" s="279" t="b">
        <f>IF(OR($D10="",$D10=CONST_NA),FALSE,INDEX(Parameters_Constants!$K$110:$AF$127,MATCH($E10,CONST_LIST_Goods,0),MATCH(AF$8,Parameters_Constants!$K$109:$AF$109,0))=FALSE)</f>
        <v>0</v>
      </c>
      <c r="AG112" s="279" t="b">
        <f>IF(OR($D10="",$D10=CONST_NA),FALSE,INDEX(Parameters_Constants!$K$110:$AF$127,MATCH($E10,CONST_LIST_Goods,0),MATCH(AG$8,Parameters_Constants!$K$109:$AF$109,0))=FALSE)</f>
        <v>0</v>
      </c>
      <c r="AH112" s="279" t="b">
        <f>IF(OR($D10="",$D10=CONST_NA),FALSE,INDEX(Parameters_Constants!$K$110:$AF$127,MATCH($E10,CONST_LIST_Goods,0),MATCH(AH$8,Parameters_Constants!$K$109:$AF$109,0))=FALSE)</f>
        <v>0</v>
      </c>
      <c r="AI112" s="279" t="b">
        <f>IF(OR($D10="",$D10=CONST_NA),FALSE,INDEX(Parameters_Constants!$K$110:$AF$127,MATCH($E10,CONST_LIST_Goods,0),MATCH(AI$8,Parameters_Constants!$K$109:$AF$109,0))=FALSE)</f>
        <v>0</v>
      </c>
      <c r="AJ112" s="279" t="b">
        <f>IF(OR($D10="",$D10=CONST_NA),FALSE,INDEX(Parameters_Constants!$K$110:$AF$127,MATCH($E10,CONST_LIST_Goods,0),MATCH(AJ$8,Parameters_Constants!$K$109:$AF$109,0))=FALSE)</f>
        <v>0</v>
      </c>
      <c r="AK112" s="279" t="b">
        <f>IF(OR($D10="",$D10=CONST_NA),FALSE,INDEX(Parameters_Constants!$K$110:$AF$127,MATCH($E10,CONST_LIST_Goods,0),MATCH(AK$8,Parameters_Constants!$K$109:$AF$109,0))=FALSE)</f>
        <v>0</v>
      </c>
    </row>
    <row r="113" spans="1:37" s="275" customFormat="1" hidden="1" x14ac:dyDescent="0.35">
      <c r="A113" s="275" t="s">
        <v>3</v>
      </c>
      <c r="C113" s="275">
        <v>2</v>
      </c>
      <c r="F113" s="279" t="b">
        <v>0</v>
      </c>
      <c r="H113" s="279" t="b">
        <v>0</v>
      </c>
      <c r="O113" s="275" t="s">
        <v>4079</v>
      </c>
      <c r="P113" s="279" t="b">
        <f>IF(OR($D11="",$D11=CONST_NA),FALSE,INDEX(Parameters_Constants!$K$110:$AF$127,MATCH($E11,CONST_LIST_Goods,0),MATCH(P$8,Parameters_Constants!$K$109:$AF$109,0))=FALSE)</f>
        <v>0</v>
      </c>
      <c r="Q113" s="279" t="b">
        <f>IF(OR($D11="",$D11=CONST_NA),FALSE,INDEX(Parameters_Constants!$K$110:$AF$127,MATCH($E11,CONST_LIST_Goods,0),MATCH(Q$8,Parameters_Constants!$K$109:$AF$109,0))=FALSE)</f>
        <v>0</v>
      </c>
      <c r="R113" s="279" t="b">
        <f>IF(OR($D11="",$D11=CONST_NA),FALSE,INDEX(Parameters_Constants!$K$110:$AF$127,MATCH($E11,CONST_LIST_Goods,0),MATCH(R$8,Parameters_Constants!$K$109:$AF$109,0))=FALSE)</f>
        <v>0</v>
      </c>
      <c r="S113" s="279" t="b">
        <f>IF(OR($D11="",$D11=CONST_NA),FALSE,INDEX(Parameters_Constants!$K$110:$AF$127,MATCH($E11,CONST_LIST_Goods,0),MATCH(S$8,Parameters_Constants!$K$109:$AF$109,0))=FALSE)</f>
        <v>0</v>
      </c>
      <c r="T113" s="279" t="b">
        <f>IF(OR($D11="",$D11=CONST_NA),FALSE,INDEX(Parameters_Constants!$K$110:$AF$127,MATCH($E11,CONST_LIST_Goods,0),MATCH(T$8,Parameters_Constants!$K$109:$AF$109,0))=FALSE)</f>
        <v>0</v>
      </c>
      <c r="U113" s="279" t="b">
        <f>IF(OR($D11="",$D11=CONST_NA),FALSE,INDEX(Parameters_Constants!$K$110:$AF$127,MATCH($E11,CONST_LIST_Goods,0),MATCH(U$8,Parameters_Constants!$K$109:$AF$109,0))=FALSE)</f>
        <v>0</v>
      </c>
      <c r="V113" s="279" t="b">
        <f>IF(OR($D11="",$D11=CONST_NA),FALSE,INDEX(Parameters_Constants!$K$110:$AF$127,MATCH($E11,CONST_LIST_Goods,0),MATCH(V$8,Parameters_Constants!$K$109:$AF$109,0))=FALSE)</f>
        <v>0</v>
      </c>
      <c r="W113" s="279" t="b">
        <f>IF(OR($D11="",$D11=CONST_NA),FALSE,INDEX(Parameters_Constants!$K$110:$AF$127,MATCH($E11,CONST_LIST_Goods,0),MATCH(W$8,Parameters_Constants!$K$109:$AF$109,0))=FALSE)</f>
        <v>0</v>
      </c>
      <c r="X113" s="279" t="b">
        <f>IF(OR($D11="",$D11=CONST_NA),FALSE,INDEX(Parameters_Constants!$K$110:$AF$127,MATCH($E11,CONST_LIST_Goods,0),MATCH(X$8,Parameters_Constants!$K$109:$AF$109,0))=FALSE)</f>
        <v>0</v>
      </c>
      <c r="Y113" s="279" t="b">
        <f>IF(OR($D11="",$D11=CONST_NA),FALSE,INDEX(Parameters_Constants!$K$110:$AF$127,MATCH($E11,CONST_LIST_Goods,0),MATCH(Y$8,Parameters_Constants!$K$109:$AF$109,0))=FALSE)</f>
        <v>0</v>
      </c>
      <c r="Z113" s="279" t="b">
        <f>IF(OR($D11="",$D11=CONST_NA),FALSE,INDEX(Parameters_Constants!$K$110:$AF$127,MATCH($E11,CONST_LIST_Goods,0),MATCH(Z$8,Parameters_Constants!$K$109:$AF$109,0))=FALSE)</f>
        <v>0</v>
      </c>
      <c r="AA113" s="279" t="b">
        <f>IF(OR($D11="",$D11=CONST_NA),FALSE,INDEX(Parameters_Constants!$K$110:$AF$127,MATCH($E11,CONST_LIST_Goods,0),MATCH(AA$8,Parameters_Constants!$K$109:$AF$109,0))=FALSE)</f>
        <v>0</v>
      </c>
      <c r="AB113" s="279" t="b">
        <f>IF(OR($D11="",$D11=CONST_NA),FALSE,INDEX(Parameters_Constants!$K$110:$AF$127,MATCH($E11,CONST_LIST_Goods,0),MATCH(AB$8,Parameters_Constants!$K$109:$AF$109,0))=FALSE)</f>
        <v>0</v>
      </c>
      <c r="AC113" s="279" t="b">
        <f>IF(OR($D11="",$D11=CONST_NA),FALSE,INDEX(Parameters_Constants!$K$110:$AF$127,MATCH($E11,CONST_LIST_Goods,0),MATCH(AC$8,Parameters_Constants!$K$109:$AF$109,0))=FALSE)</f>
        <v>0</v>
      </c>
      <c r="AD113" s="279" t="b">
        <f>IF(OR($D11="",$D11=CONST_NA),FALSE,INDEX(Parameters_Constants!$K$110:$AF$127,MATCH($E11,CONST_LIST_Goods,0),MATCH(AD$8,Parameters_Constants!$K$109:$AF$109,0))=FALSE)</f>
        <v>0</v>
      </c>
      <c r="AE113" s="279" t="b">
        <f>IF(OR($D11="",$D11=CONST_NA),FALSE,INDEX(Parameters_Constants!$K$110:$AF$127,MATCH($E11,CONST_LIST_Goods,0),MATCH(AE$8,Parameters_Constants!$K$109:$AF$109,0))=FALSE)</f>
        <v>0</v>
      </c>
      <c r="AF113" s="279" t="b">
        <f>IF(OR($D11="",$D11=CONST_NA),FALSE,INDEX(Parameters_Constants!$K$110:$AF$127,MATCH($E11,CONST_LIST_Goods,0),MATCH(AF$8,Parameters_Constants!$K$109:$AF$109,0))=FALSE)</f>
        <v>0</v>
      </c>
      <c r="AG113" s="279" t="b">
        <f>IF(OR($D11="",$D11=CONST_NA),FALSE,INDEX(Parameters_Constants!$K$110:$AF$127,MATCH($E11,CONST_LIST_Goods,0),MATCH(AG$8,Parameters_Constants!$K$109:$AF$109,0))=FALSE)</f>
        <v>0</v>
      </c>
      <c r="AH113" s="279" t="b">
        <f>IF(OR($D11="",$D11=CONST_NA),FALSE,INDEX(Parameters_Constants!$K$110:$AF$127,MATCH($E11,CONST_LIST_Goods,0),MATCH(AH$8,Parameters_Constants!$K$109:$AF$109,0))=FALSE)</f>
        <v>0</v>
      </c>
      <c r="AI113" s="279" t="b">
        <f>IF(OR($D11="",$D11=CONST_NA),FALSE,INDEX(Parameters_Constants!$K$110:$AF$127,MATCH($E11,CONST_LIST_Goods,0),MATCH(AI$8,Parameters_Constants!$K$109:$AF$109,0))=FALSE)</f>
        <v>0</v>
      </c>
      <c r="AJ113" s="279" t="b">
        <f>IF(OR($D11="",$D11=CONST_NA),FALSE,INDEX(Parameters_Constants!$K$110:$AF$127,MATCH($E11,CONST_LIST_Goods,0),MATCH(AJ$8,Parameters_Constants!$K$109:$AF$109,0))=FALSE)</f>
        <v>0</v>
      </c>
      <c r="AK113" s="279" t="b">
        <f>IF(OR($D11="",$D11=CONST_NA),FALSE,INDEX(Parameters_Constants!$K$110:$AF$127,MATCH($E11,CONST_LIST_Goods,0),MATCH(AK$8,Parameters_Constants!$K$109:$AF$109,0))=FALSE)</f>
        <v>0</v>
      </c>
    </row>
    <row r="114" spans="1:37" s="275" customFormat="1" hidden="1" x14ac:dyDescent="0.35">
      <c r="A114" s="275" t="s">
        <v>3</v>
      </c>
      <c r="C114" s="275">
        <v>3</v>
      </c>
      <c r="F114" s="279" t="b">
        <v>0</v>
      </c>
      <c r="H114" s="279" t="b">
        <v>0</v>
      </c>
      <c r="P114" s="279" t="b">
        <f>IF(OR($D12="",$D12=CONST_NA),FALSE,INDEX(Parameters_Constants!$K$110:$AF$127,MATCH($E12,CONST_LIST_Goods,0),MATCH(P$8,Parameters_Constants!$K$109:$AF$109,0))=FALSE)</f>
        <v>0</v>
      </c>
      <c r="Q114" s="279" t="b">
        <f>IF(OR($D12="",$D12=CONST_NA),FALSE,INDEX(Parameters_Constants!$K$110:$AF$127,MATCH($E12,CONST_LIST_Goods,0),MATCH(Q$8,Parameters_Constants!$K$109:$AF$109,0))=FALSE)</f>
        <v>0</v>
      </c>
      <c r="R114" s="279" t="b">
        <f>IF(OR($D12="",$D12=CONST_NA),FALSE,INDEX(Parameters_Constants!$K$110:$AF$127,MATCH($E12,CONST_LIST_Goods,0),MATCH(R$8,Parameters_Constants!$K$109:$AF$109,0))=FALSE)</f>
        <v>0</v>
      </c>
      <c r="S114" s="279" t="b">
        <f>IF(OR($D12="",$D12=CONST_NA),FALSE,INDEX(Parameters_Constants!$K$110:$AF$127,MATCH($E12,CONST_LIST_Goods,0),MATCH(S$8,Parameters_Constants!$K$109:$AF$109,0))=FALSE)</f>
        <v>0</v>
      </c>
      <c r="T114" s="279" t="b">
        <f>IF(OR($D12="",$D12=CONST_NA),FALSE,INDEX(Parameters_Constants!$K$110:$AF$127,MATCH($E12,CONST_LIST_Goods,0),MATCH(T$8,Parameters_Constants!$K$109:$AF$109,0))=FALSE)</f>
        <v>0</v>
      </c>
      <c r="U114" s="279" t="b">
        <f>IF(OR($D12="",$D12=CONST_NA),FALSE,INDEX(Parameters_Constants!$K$110:$AF$127,MATCH($E12,CONST_LIST_Goods,0),MATCH(U$8,Parameters_Constants!$K$109:$AF$109,0))=FALSE)</f>
        <v>0</v>
      </c>
      <c r="V114" s="279" t="b">
        <f>IF(OR($D12="",$D12=CONST_NA),FALSE,INDEX(Parameters_Constants!$K$110:$AF$127,MATCH($E12,CONST_LIST_Goods,0),MATCH(V$8,Parameters_Constants!$K$109:$AF$109,0))=FALSE)</f>
        <v>0</v>
      </c>
      <c r="W114" s="279" t="b">
        <f>IF(OR($D12="",$D12=CONST_NA),FALSE,INDEX(Parameters_Constants!$K$110:$AF$127,MATCH($E12,CONST_LIST_Goods,0),MATCH(W$8,Parameters_Constants!$K$109:$AF$109,0))=FALSE)</f>
        <v>0</v>
      </c>
      <c r="X114" s="279" t="b">
        <f>IF(OR($D12="",$D12=CONST_NA),FALSE,INDEX(Parameters_Constants!$K$110:$AF$127,MATCH($E12,CONST_LIST_Goods,0),MATCH(X$8,Parameters_Constants!$K$109:$AF$109,0))=FALSE)</f>
        <v>0</v>
      </c>
      <c r="Y114" s="279" t="b">
        <f>IF(OR($D12="",$D12=CONST_NA),FALSE,INDEX(Parameters_Constants!$K$110:$AF$127,MATCH($E12,CONST_LIST_Goods,0),MATCH(Y$8,Parameters_Constants!$K$109:$AF$109,0))=FALSE)</f>
        <v>0</v>
      </c>
      <c r="Z114" s="279" t="b">
        <f>IF(OR($D12="",$D12=CONST_NA),FALSE,INDEX(Parameters_Constants!$K$110:$AF$127,MATCH($E12,CONST_LIST_Goods,0),MATCH(Z$8,Parameters_Constants!$K$109:$AF$109,0))=FALSE)</f>
        <v>0</v>
      </c>
      <c r="AA114" s="279" t="b">
        <f>IF(OR($D12="",$D12=CONST_NA),FALSE,INDEX(Parameters_Constants!$K$110:$AF$127,MATCH($E12,CONST_LIST_Goods,0),MATCH(AA$8,Parameters_Constants!$K$109:$AF$109,0))=FALSE)</f>
        <v>0</v>
      </c>
      <c r="AB114" s="279" t="b">
        <f>IF(OR($D12="",$D12=CONST_NA),FALSE,INDEX(Parameters_Constants!$K$110:$AF$127,MATCH($E12,CONST_LIST_Goods,0),MATCH(AB$8,Parameters_Constants!$K$109:$AF$109,0))=FALSE)</f>
        <v>0</v>
      </c>
      <c r="AC114" s="279" t="b">
        <f>IF(OR($D12="",$D12=CONST_NA),FALSE,INDEX(Parameters_Constants!$K$110:$AF$127,MATCH($E12,CONST_LIST_Goods,0),MATCH(AC$8,Parameters_Constants!$K$109:$AF$109,0))=FALSE)</f>
        <v>0</v>
      </c>
      <c r="AD114" s="279" t="b">
        <f>IF(OR($D12="",$D12=CONST_NA),FALSE,INDEX(Parameters_Constants!$K$110:$AF$127,MATCH($E12,CONST_LIST_Goods,0),MATCH(AD$8,Parameters_Constants!$K$109:$AF$109,0))=FALSE)</f>
        <v>0</v>
      </c>
      <c r="AE114" s="279" t="b">
        <f>IF(OR($D12="",$D12=CONST_NA),FALSE,INDEX(Parameters_Constants!$K$110:$AF$127,MATCH($E12,CONST_LIST_Goods,0),MATCH(AE$8,Parameters_Constants!$K$109:$AF$109,0))=FALSE)</f>
        <v>0</v>
      </c>
      <c r="AF114" s="279" t="b">
        <f>IF(OR($D12="",$D12=CONST_NA),FALSE,INDEX(Parameters_Constants!$K$110:$AF$127,MATCH($E12,CONST_LIST_Goods,0),MATCH(AF$8,Parameters_Constants!$K$109:$AF$109,0))=FALSE)</f>
        <v>0</v>
      </c>
      <c r="AG114" s="279" t="b">
        <f>IF(OR($D12="",$D12=CONST_NA),FALSE,INDEX(Parameters_Constants!$K$110:$AF$127,MATCH($E12,CONST_LIST_Goods,0),MATCH(AG$8,Parameters_Constants!$K$109:$AF$109,0))=FALSE)</f>
        <v>0</v>
      </c>
      <c r="AH114" s="279" t="b">
        <f>IF(OR($D12="",$D12=CONST_NA),FALSE,INDEX(Parameters_Constants!$K$110:$AF$127,MATCH($E12,CONST_LIST_Goods,0),MATCH(AH$8,Parameters_Constants!$K$109:$AF$109,0))=FALSE)</f>
        <v>0</v>
      </c>
      <c r="AI114" s="279" t="b">
        <f>IF(OR($D12="",$D12=CONST_NA),FALSE,INDEX(Parameters_Constants!$K$110:$AF$127,MATCH($E12,CONST_LIST_Goods,0),MATCH(AI$8,Parameters_Constants!$K$109:$AF$109,0))=FALSE)</f>
        <v>0</v>
      </c>
      <c r="AJ114" s="279" t="b">
        <f>IF(OR($D12="",$D12=CONST_NA),FALSE,INDEX(Parameters_Constants!$K$110:$AF$127,MATCH($E12,CONST_LIST_Goods,0),MATCH(AJ$8,Parameters_Constants!$K$109:$AF$109,0))=FALSE)</f>
        <v>0</v>
      </c>
      <c r="AK114" s="279" t="b">
        <f>IF(OR($D12="",$D12=CONST_NA),FALSE,INDEX(Parameters_Constants!$K$110:$AF$127,MATCH($E12,CONST_LIST_Goods,0),MATCH(AK$8,Parameters_Constants!$K$109:$AF$109,0))=FALSE)</f>
        <v>0</v>
      </c>
    </row>
    <row r="115" spans="1:37" s="275" customFormat="1" hidden="1" x14ac:dyDescent="0.35">
      <c r="A115" s="275" t="s">
        <v>3</v>
      </c>
      <c r="C115" s="275">
        <v>4</v>
      </c>
      <c r="F115" s="279" t="b">
        <v>0</v>
      </c>
      <c r="H115" s="279" t="b">
        <v>0</v>
      </c>
      <c r="P115" s="279" t="b">
        <f>IF(OR($D13="",$D13=CONST_NA),FALSE,INDEX(Parameters_Constants!$K$110:$AF$127,MATCH($E13,CONST_LIST_Goods,0),MATCH(P$8,Parameters_Constants!$K$109:$AF$109,0))=FALSE)</f>
        <v>0</v>
      </c>
      <c r="Q115" s="279" t="b">
        <f>IF(OR($D13="",$D13=CONST_NA),FALSE,INDEX(Parameters_Constants!$K$110:$AF$127,MATCH($E13,CONST_LIST_Goods,0),MATCH(Q$8,Parameters_Constants!$K$109:$AF$109,0))=FALSE)</f>
        <v>0</v>
      </c>
      <c r="R115" s="279" t="b">
        <f>IF(OR($D13="",$D13=CONST_NA),FALSE,INDEX(Parameters_Constants!$K$110:$AF$127,MATCH($E13,CONST_LIST_Goods,0),MATCH(R$8,Parameters_Constants!$K$109:$AF$109,0))=FALSE)</f>
        <v>0</v>
      </c>
      <c r="S115" s="279" t="b">
        <f>IF(OR($D13="",$D13=CONST_NA),FALSE,INDEX(Parameters_Constants!$K$110:$AF$127,MATCH($E13,CONST_LIST_Goods,0),MATCH(S$8,Parameters_Constants!$K$109:$AF$109,0))=FALSE)</f>
        <v>0</v>
      </c>
      <c r="T115" s="279" t="b">
        <f>IF(OR($D13="",$D13=CONST_NA),FALSE,INDEX(Parameters_Constants!$K$110:$AF$127,MATCH($E13,CONST_LIST_Goods,0),MATCH(T$8,Parameters_Constants!$K$109:$AF$109,0))=FALSE)</f>
        <v>0</v>
      </c>
      <c r="U115" s="279" t="b">
        <f>IF(OR($D13="",$D13=CONST_NA),FALSE,INDEX(Parameters_Constants!$K$110:$AF$127,MATCH($E13,CONST_LIST_Goods,0),MATCH(U$8,Parameters_Constants!$K$109:$AF$109,0))=FALSE)</f>
        <v>0</v>
      </c>
      <c r="V115" s="279" t="b">
        <f>IF(OR($D13="",$D13=CONST_NA),FALSE,INDEX(Parameters_Constants!$K$110:$AF$127,MATCH($E13,CONST_LIST_Goods,0),MATCH(V$8,Parameters_Constants!$K$109:$AF$109,0))=FALSE)</f>
        <v>0</v>
      </c>
      <c r="W115" s="279" t="b">
        <f>IF(OR($D13="",$D13=CONST_NA),FALSE,INDEX(Parameters_Constants!$K$110:$AF$127,MATCH($E13,CONST_LIST_Goods,0),MATCH(W$8,Parameters_Constants!$K$109:$AF$109,0))=FALSE)</f>
        <v>0</v>
      </c>
      <c r="X115" s="279" t="b">
        <f>IF(OR($D13="",$D13=CONST_NA),FALSE,INDEX(Parameters_Constants!$K$110:$AF$127,MATCH($E13,CONST_LIST_Goods,0),MATCH(X$8,Parameters_Constants!$K$109:$AF$109,0))=FALSE)</f>
        <v>0</v>
      </c>
      <c r="Y115" s="279" t="b">
        <f>IF(OR($D13="",$D13=CONST_NA),FALSE,INDEX(Parameters_Constants!$K$110:$AF$127,MATCH($E13,CONST_LIST_Goods,0),MATCH(Y$8,Parameters_Constants!$K$109:$AF$109,0))=FALSE)</f>
        <v>0</v>
      </c>
      <c r="Z115" s="279" t="b">
        <f>IF(OR($D13="",$D13=CONST_NA),FALSE,INDEX(Parameters_Constants!$K$110:$AF$127,MATCH($E13,CONST_LIST_Goods,0),MATCH(Z$8,Parameters_Constants!$K$109:$AF$109,0))=FALSE)</f>
        <v>0</v>
      </c>
      <c r="AA115" s="279" t="b">
        <f>IF(OR($D13="",$D13=CONST_NA),FALSE,INDEX(Parameters_Constants!$K$110:$AF$127,MATCH($E13,CONST_LIST_Goods,0),MATCH(AA$8,Parameters_Constants!$K$109:$AF$109,0))=FALSE)</f>
        <v>0</v>
      </c>
      <c r="AB115" s="279" t="b">
        <f>IF(OR($D13="",$D13=CONST_NA),FALSE,INDEX(Parameters_Constants!$K$110:$AF$127,MATCH($E13,CONST_LIST_Goods,0),MATCH(AB$8,Parameters_Constants!$K$109:$AF$109,0))=FALSE)</f>
        <v>0</v>
      </c>
      <c r="AC115" s="279" t="b">
        <f>IF(OR($D13="",$D13=CONST_NA),FALSE,INDEX(Parameters_Constants!$K$110:$AF$127,MATCH($E13,CONST_LIST_Goods,0),MATCH(AC$8,Parameters_Constants!$K$109:$AF$109,0))=FALSE)</f>
        <v>0</v>
      </c>
      <c r="AD115" s="279" t="b">
        <f>IF(OR($D13="",$D13=CONST_NA),FALSE,INDEX(Parameters_Constants!$K$110:$AF$127,MATCH($E13,CONST_LIST_Goods,0),MATCH(AD$8,Parameters_Constants!$K$109:$AF$109,0))=FALSE)</f>
        <v>0</v>
      </c>
      <c r="AE115" s="279" t="b">
        <f>IF(OR($D13="",$D13=CONST_NA),FALSE,INDEX(Parameters_Constants!$K$110:$AF$127,MATCH($E13,CONST_LIST_Goods,0),MATCH(AE$8,Parameters_Constants!$K$109:$AF$109,0))=FALSE)</f>
        <v>0</v>
      </c>
      <c r="AF115" s="279" t="b">
        <f>IF(OR($D13="",$D13=CONST_NA),FALSE,INDEX(Parameters_Constants!$K$110:$AF$127,MATCH($E13,CONST_LIST_Goods,0),MATCH(AF$8,Parameters_Constants!$K$109:$AF$109,0))=FALSE)</f>
        <v>0</v>
      </c>
      <c r="AG115" s="279" t="b">
        <f>IF(OR($D13="",$D13=CONST_NA),FALSE,INDEX(Parameters_Constants!$K$110:$AF$127,MATCH($E13,CONST_LIST_Goods,0),MATCH(AG$8,Parameters_Constants!$K$109:$AF$109,0))=FALSE)</f>
        <v>0</v>
      </c>
      <c r="AH115" s="279" t="b">
        <f>IF(OR($D13="",$D13=CONST_NA),FALSE,INDEX(Parameters_Constants!$K$110:$AF$127,MATCH($E13,CONST_LIST_Goods,0),MATCH(AH$8,Parameters_Constants!$K$109:$AF$109,0))=FALSE)</f>
        <v>0</v>
      </c>
      <c r="AI115" s="279" t="b">
        <f>IF(OR($D13="",$D13=CONST_NA),FALSE,INDEX(Parameters_Constants!$K$110:$AF$127,MATCH($E13,CONST_LIST_Goods,0),MATCH(AI$8,Parameters_Constants!$K$109:$AF$109,0))=FALSE)</f>
        <v>0</v>
      </c>
      <c r="AJ115" s="279" t="b">
        <f>IF(OR($D13="",$D13=CONST_NA),FALSE,INDEX(Parameters_Constants!$K$110:$AF$127,MATCH($E13,CONST_LIST_Goods,0),MATCH(AJ$8,Parameters_Constants!$K$109:$AF$109,0))=FALSE)</f>
        <v>0</v>
      </c>
      <c r="AK115" s="279" t="b">
        <f>IF(OR($D13="",$D13=CONST_NA),FALSE,INDEX(Parameters_Constants!$K$110:$AF$127,MATCH($E13,CONST_LIST_Goods,0),MATCH(AK$8,Parameters_Constants!$K$109:$AF$109,0))=FALSE)</f>
        <v>0</v>
      </c>
    </row>
    <row r="116" spans="1:37" s="275" customFormat="1" hidden="1" x14ac:dyDescent="0.35">
      <c r="A116" s="275" t="s">
        <v>3</v>
      </c>
      <c r="C116" s="275">
        <v>5</v>
      </c>
      <c r="F116" s="279" t="b">
        <v>0</v>
      </c>
      <c r="H116" s="279" t="b">
        <v>0</v>
      </c>
      <c r="P116" s="279" t="b">
        <f>IF(OR($D14="",$D14=CONST_NA),FALSE,INDEX(Parameters_Constants!$K$110:$AF$127,MATCH($E14,CONST_LIST_Goods,0),MATCH(P$8,Parameters_Constants!$K$109:$AF$109,0))=FALSE)</f>
        <v>0</v>
      </c>
      <c r="Q116" s="279" t="b">
        <f>IF(OR($D14="",$D14=CONST_NA),FALSE,INDEX(Parameters_Constants!$K$110:$AF$127,MATCH($E14,CONST_LIST_Goods,0),MATCH(Q$8,Parameters_Constants!$K$109:$AF$109,0))=FALSE)</f>
        <v>0</v>
      </c>
      <c r="R116" s="279" t="b">
        <f>IF(OR($D14="",$D14=CONST_NA),FALSE,INDEX(Parameters_Constants!$K$110:$AF$127,MATCH($E14,CONST_LIST_Goods,0),MATCH(R$8,Parameters_Constants!$K$109:$AF$109,0))=FALSE)</f>
        <v>0</v>
      </c>
      <c r="S116" s="279" t="b">
        <f>IF(OR($D14="",$D14=CONST_NA),FALSE,INDEX(Parameters_Constants!$K$110:$AF$127,MATCH($E14,CONST_LIST_Goods,0),MATCH(S$8,Parameters_Constants!$K$109:$AF$109,0))=FALSE)</f>
        <v>0</v>
      </c>
      <c r="T116" s="279" t="b">
        <f>IF(OR($D14="",$D14=CONST_NA),FALSE,INDEX(Parameters_Constants!$K$110:$AF$127,MATCH($E14,CONST_LIST_Goods,0),MATCH(T$8,Parameters_Constants!$K$109:$AF$109,0))=FALSE)</f>
        <v>0</v>
      </c>
      <c r="U116" s="279" t="b">
        <f>IF(OR($D14="",$D14=CONST_NA),FALSE,INDEX(Parameters_Constants!$K$110:$AF$127,MATCH($E14,CONST_LIST_Goods,0),MATCH(U$8,Parameters_Constants!$K$109:$AF$109,0))=FALSE)</f>
        <v>0</v>
      </c>
      <c r="V116" s="279" t="b">
        <f>IF(OR($D14="",$D14=CONST_NA),FALSE,INDEX(Parameters_Constants!$K$110:$AF$127,MATCH($E14,CONST_LIST_Goods,0),MATCH(V$8,Parameters_Constants!$K$109:$AF$109,0))=FALSE)</f>
        <v>0</v>
      </c>
      <c r="W116" s="279" t="b">
        <f>IF(OR($D14="",$D14=CONST_NA),FALSE,INDEX(Parameters_Constants!$K$110:$AF$127,MATCH($E14,CONST_LIST_Goods,0),MATCH(W$8,Parameters_Constants!$K$109:$AF$109,0))=FALSE)</f>
        <v>0</v>
      </c>
      <c r="X116" s="279" t="b">
        <f>IF(OR($D14="",$D14=CONST_NA),FALSE,INDEX(Parameters_Constants!$K$110:$AF$127,MATCH($E14,CONST_LIST_Goods,0),MATCH(X$8,Parameters_Constants!$K$109:$AF$109,0))=FALSE)</f>
        <v>0</v>
      </c>
      <c r="Y116" s="279" t="b">
        <f>IF(OR($D14="",$D14=CONST_NA),FALSE,INDEX(Parameters_Constants!$K$110:$AF$127,MATCH($E14,CONST_LIST_Goods,0),MATCH(Y$8,Parameters_Constants!$K$109:$AF$109,0))=FALSE)</f>
        <v>0</v>
      </c>
      <c r="Z116" s="279" t="b">
        <f>IF(OR($D14="",$D14=CONST_NA),FALSE,INDEX(Parameters_Constants!$K$110:$AF$127,MATCH($E14,CONST_LIST_Goods,0),MATCH(Z$8,Parameters_Constants!$K$109:$AF$109,0))=FALSE)</f>
        <v>0</v>
      </c>
      <c r="AA116" s="279" t="b">
        <f>IF(OR($D14="",$D14=CONST_NA),FALSE,INDEX(Parameters_Constants!$K$110:$AF$127,MATCH($E14,CONST_LIST_Goods,0),MATCH(AA$8,Parameters_Constants!$K$109:$AF$109,0))=FALSE)</f>
        <v>0</v>
      </c>
      <c r="AB116" s="279" t="b">
        <f>IF(OR($D14="",$D14=CONST_NA),FALSE,INDEX(Parameters_Constants!$K$110:$AF$127,MATCH($E14,CONST_LIST_Goods,0),MATCH(AB$8,Parameters_Constants!$K$109:$AF$109,0))=FALSE)</f>
        <v>0</v>
      </c>
      <c r="AC116" s="279" t="b">
        <f>IF(OR($D14="",$D14=CONST_NA),FALSE,INDEX(Parameters_Constants!$K$110:$AF$127,MATCH($E14,CONST_LIST_Goods,0),MATCH(AC$8,Parameters_Constants!$K$109:$AF$109,0))=FALSE)</f>
        <v>0</v>
      </c>
      <c r="AD116" s="279" t="b">
        <f>IF(OR($D14="",$D14=CONST_NA),FALSE,INDEX(Parameters_Constants!$K$110:$AF$127,MATCH($E14,CONST_LIST_Goods,0),MATCH(AD$8,Parameters_Constants!$K$109:$AF$109,0))=FALSE)</f>
        <v>0</v>
      </c>
      <c r="AE116" s="279" t="b">
        <f>IF(OR($D14="",$D14=CONST_NA),FALSE,INDEX(Parameters_Constants!$K$110:$AF$127,MATCH($E14,CONST_LIST_Goods,0),MATCH(AE$8,Parameters_Constants!$K$109:$AF$109,0))=FALSE)</f>
        <v>0</v>
      </c>
      <c r="AF116" s="279" t="b">
        <f>IF(OR($D14="",$D14=CONST_NA),FALSE,INDEX(Parameters_Constants!$K$110:$AF$127,MATCH($E14,CONST_LIST_Goods,0),MATCH(AF$8,Parameters_Constants!$K$109:$AF$109,0))=FALSE)</f>
        <v>0</v>
      </c>
      <c r="AG116" s="279" t="b">
        <f>IF(OR($D14="",$D14=CONST_NA),FALSE,INDEX(Parameters_Constants!$K$110:$AF$127,MATCH($E14,CONST_LIST_Goods,0),MATCH(AG$8,Parameters_Constants!$K$109:$AF$109,0))=FALSE)</f>
        <v>0</v>
      </c>
      <c r="AH116" s="279" t="b">
        <f>IF(OR($D14="",$D14=CONST_NA),FALSE,INDEX(Parameters_Constants!$K$110:$AF$127,MATCH($E14,CONST_LIST_Goods,0),MATCH(AH$8,Parameters_Constants!$K$109:$AF$109,0))=FALSE)</f>
        <v>0</v>
      </c>
      <c r="AI116" s="279" t="b">
        <f>IF(OR($D14="",$D14=CONST_NA),FALSE,INDEX(Parameters_Constants!$K$110:$AF$127,MATCH($E14,CONST_LIST_Goods,0),MATCH(AI$8,Parameters_Constants!$K$109:$AF$109,0))=FALSE)</f>
        <v>0</v>
      </c>
      <c r="AJ116" s="279" t="b">
        <f>IF(OR($D14="",$D14=CONST_NA),FALSE,INDEX(Parameters_Constants!$K$110:$AF$127,MATCH($E14,CONST_LIST_Goods,0),MATCH(AJ$8,Parameters_Constants!$K$109:$AF$109,0))=FALSE)</f>
        <v>0</v>
      </c>
      <c r="AK116" s="279" t="b">
        <f>IF(OR($D14="",$D14=CONST_NA),FALSE,INDEX(Parameters_Constants!$K$110:$AF$127,MATCH($E14,CONST_LIST_Goods,0),MATCH(AK$8,Parameters_Constants!$K$109:$AF$109,0))=FALSE)</f>
        <v>0</v>
      </c>
    </row>
    <row r="117" spans="1:37" s="275" customFormat="1" hidden="1" x14ac:dyDescent="0.35">
      <c r="A117" s="275" t="s">
        <v>3</v>
      </c>
      <c r="C117" s="275">
        <v>6</v>
      </c>
      <c r="F117" s="279" t="b">
        <v>0</v>
      </c>
      <c r="H117" s="279" t="b">
        <v>0</v>
      </c>
      <c r="P117" s="279" t="b">
        <f>IF(OR($D15="",$D15=CONST_NA),FALSE,INDEX(Parameters_Constants!$K$110:$AF$127,MATCH($E15,CONST_LIST_Goods,0),MATCH(P$8,Parameters_Constants!$K$109:$AF$109,0))=FALSE)</f>
        <v>0</v>
      </c>
      <c r="Q117" s="279" t="b">
        <f>IF(OR($D15="",$D15=CONST_NA),FALSE,INDEX(Parameters_Constants!$K$110:$AF$127,MATCH($E15,CONST_LIST_Goods,0),MATCH(Q$8,Parameters_Constants!$K$109:$AF$109,0))=FALSE)</f>
        <v>0</v>
      </c>
      <c r="R117" s="279" t="b">
        <f>IF(OR($D15="",$D15=CONST_NA),FALSE,INDEX(Parameters_Constants!$K$110:$AF$127,MATCH($E15,CONST_LIST_Goods,0),MATCH(R$8,Parameters_Constants!$K$109:$AF$109,0))=FALSE)</f>
        <v>0</v>
      </c>
      <c r="S117" s="279" t="b">
        <f>IF(OR($D15="",$D15=CONST_NA),FALSE,INDEX(Parameters_Constants!$K$110:$AF$127,MATCH($E15,CONST_LIST_Goods,0),MATCH(S$8,Parameters_Constants!$K$109:$AF$109,0))=FALSE)</f>
        <v>0</v>
      </c>
      <c r="T117" s="279" t="b">
        <f>IF(OR($D15="",$D15=CONST_NA),FALSE,INDEX(Parameters_Constants!$K$110:$AF$127,MATCH($E15,CONST_LIST_Goods,0),MATCH(T$8,Parameters_Constants!$K$109:$AF$109,0))=FALSE)</f>
        <v>0</v>
      </c>
      <c r="U117" s="279" t="b">
        <f>IF(OR($D15="",$D15=CONST_NA),FALSE,INDEX(Parameters_Constants!$K$110:$AF$127,MATCH($E15,CONST_LIST_Goods,0),MATCH(U$8,Parameters_Constants!$K$109:$AF$109,0))=FALSE)</f>
        <v>0</v>
      </c>
      <c r="V117" s="279" t="b">
        <f>IF(OR($D15="",$D15=CONST_NA),FALSE,INDEX(Parameters_Constants!$K$110:$AF$127,MATCH($E15,CONST_LIST_Goods,0),MATCH(V$8,Parameters_Constants!$K$109:$AF$109,0))=FALSE)</f>
        <v>0</v>
      </c>
      <c r="W117" s="279" t="b">
        <f>IF(OR($D15="",$D15=CONST_NA),FALSE,INDEX(Parameters_Constants!$K$110:$AF$127,MATCH($E15,CONST_LIST_Goods,0),MATCH(W$8,Parameters_Constants!$K$109:$AF$109,0))=FALSE)</f>
        <v>0</v>
      </c>
      <c r="X117" s="279" t="b">
        <f>IF(OR($D15="",$D15=CONST_NA),FALSE,INDEX(Parameters_Constants!$K$110:$AF$127,MATCH($E15,CONST_LIST_Goods,0),MATCH(X$8,Parameters_Constants!$K$109:$AF$109,0))=FALSE)</f>
        <v>0</v>
      </c>
      <c r="Y117" s="279" t="b">
        <f>IF(OR($D15="",$D15=CONST_NA),FALSE,INDEX(Parameters_Constants!$K$110:$AF$127,MATCH($E15,CONST_LIST_Goods,0),MATCH(Y$8,Parameters_Constants!$K$109:$AF$109,0))=FALSE)</f>
        <v>0</v>
      </c>
      <c r="Z117" s="279" t="b">
        <f>IF(OR($D15="",$D15=CONST_NA),FALSE,INDEX(Parameters_Constants!$K$110:$AF$127,MATCH($E15,CONST_LIST_Goods,0),MATCH(Z$8,Parameters_Constants!$K$109:$AF$109,0))=FALSE)</f>
        <v>0</v>
      </c>
      <c r="AA117" s="279" t="b">
        <f>IF(OR($D15="",$D15=CONST_NA),FALSE,INDEX(Parameters_Constants!$K$110:$AF$127,MATCH($E15,CONST_LIST_Goods,0),MATCH(AA$8,Parameters_Constants!$K$109:$AF$109,0))=FALSE)</f>
        <v>0</v>
      </c>
      <c r="AB117" s="279" t="b">
        <f>IF(OR($D15="",$D15=CONST_NA),FALSE,INDEX(Parameters_Constants!$K$110:$AF$127,MATCH($E15,CONST_LIST_Goods,0),MATCH(AB$8,Parameters_Constants!$K$109:$AF$109,0))=FALSE)</f>
        <v>0</v>
      </c>
      <c r="AC117" s="279" t="b">
        <f>IF(OR($D15="",$D15=CONST_NA),FALSE,INDEX(Parameters_Constants!$K$110:$AF$127,MATCH($E15,CONST_LIST_Goods,0),MATCH(AC$8,Parameters_Constants!$K$109:$AF$109,0))=FALSE)</f>
        <v>0</v>
      </c>
      <c r="AD117" s="279" t="b">
        <f>IF(OR($D15="",$D15=CONST_NA),FALSE,INDEX(Parameters_Constants!$K$110:$AF$127,MATCH($E15,CONST_LIST_Goods,0),MATCH(AD$8,Parameters_Constants!$K$109:$AF$109,0))=FALSE)</f>
        <v>0</v>
      </c>
      <c r="AE117" s="279" t="b">
        <f>IF(OR($D15="",$D15=CONST_NA),FALSE,INDEX(Parameters_Constants!$K$110:$AF$127,MATCH($E15,CONST_LIST_Goods,0),MATCH(AE$8,Parameters_Constants!$K$109:$AF$109,0))=FALSE)</f>
        <v>0</v>
      </c>
      <c r="AF117" s="279" t="b">
        <f>IF(OR($D15="",$D15=CONST_NA),FALSE,INDEX(Parameters_Constants!$K$110:$AF$127,MATCH($E15,CONST_LIST_Goods,0),MATCH(AF$8,Parameters_Constants!$K$109:$AF$109,0))=FALSE)</f>
        <v>0</v>
      </c>
      <c r="AG117" s="279" t="b">
        <f>IF(OR($D15="",$D15=CONST_NA),FALSE,INDEX(Parameters_Constants!$K$110:$AF$127,MATCH($E15,CONST_LIST_Goods,0),MATCH(AG$8,Parameters_Constants!$K$109:$AF$109,0))=FALSE)</f>
        <v>0</v>
      </c>
      <c r="AH117" s="279" t="b">
        <f>IF(OR($D15="",$D15=CONST_NA),FALSE,INDEX(Parameters_Constants!$K$110:$AF$127,MATCH($E15,CONST_LIST_Goods,0),MATCH(AH$8,Parameters_Constants!$K$109:$AF$109,0))=FALSE)</f>
        <v>0</v>
      </c>
      <c r="AI117" s="279" t="b">
        <f>IF(OR($D15="",$D15=CONST_NA),FALSE,INDEX(Parameters_Constants!$K$110:$AF$127,MATCH($E15,CONST_LIST_Goods,0),MATCH(AI$8,Parameters_Constants!$K$109:$AF$109,0))=FALSE)</f>
        <v>0</v>
      </c>
      <c r="AJ117" s="279" t="b">
        <f>IF(OR($D15="",$D15=CONST_NA),FALSE,INDEX(Parameters_Constants!$K$110:$AF$127,MATCH($E15,CONST_LIST_Goods,0),MATCH(AJ$8,Parameters_Constants!$K$109:$AF$109,0))=FALSE)</f>
        <v>0</v>
      </c>
      <c r="AK117" s="279" t="b">
        <f>IF(OR($D15="",$D15=CONST_NA),FALSE,INDEX(Parameters_Constants!$K$110:$AF$127,MATCH($E15,CONST_LIST_Goods,0),MATCH(AK$8,Parameters_Constants!$K$109:$AF$109,0))=FALSE)</f>
        <v>0</v>
      </c>
    </row>
    <row r="118" spans="1:37" s="275" customFormat="1" hidden="1" x14ac:dyDescent="0.35">
      <c r="A118" s="275" t="s">
        <v>3</v>
      </c>
      <c r="C118" s="275">
        <v>7</v>
      </c>
      <c r="F118" s="279" t="b">
        <v>0</v>
      </c>
      <c r="H118" s="279" t="b">
        <v>0</v>
      </c>
      <c r="P118" s="279" t="b">
        <f>IF(OR($D16="",$D16=CONST_NA),FALSE,INDEX(Parameters_Constants!$K$110:$AF$127,MATCH($E16,CONST_LIST_Goods,0),MATCH(P$8,Parameters_Constants!$K$109:$AF$109,0))=FALSE)</f>
        <v>0</v>
      </c>
      <c r="Q118" s="279" t="b">
        <f>IF(OR($D16="",$D16=CONST_NA),FALSE,INDEX(Parameters_Constants!$K$110:$AF$127,MATCH($E16,CONST_LIST_Goods,0),MATCH(Q$8,Parameters_Constants!$K$109:$AF$109,0))=FALSE)</f>
        <v>0</v>
      </c>
      <c r="R118" s="279" t="b">
        <f>IF(OR($D16="",$D16=CONST_NA),FALSE,INDEX(Parameters_Constants!$K$110:$AF$127,MATCH($E16,CONST_LIST_Goods,0),MATCH(R$8,Parameters_Constants!$K$109:$AF$109,0))=FALSE)</f>
        <v>0</v>
      </c>
      <c r="S118" s="279" t="b">
        <f>IF(OR($D16="",$D16=CONST_NA),FALSE,INDEX(Parameters_Constants!$K$110:$AF$127,MATCH($E16,CONST_LIST_Goods,0),MATCH(S$8,Parameters_Constants!$K$109:$AF$109,0))=FALSE)</f>
        <v>0</v>
      </c>
      <c r="T118" s="279" t="b">
        <f>IF(OR($D16="",$D16=CONST_NA),FALSE,INDEX(Parameters_Constants!$K$110:$AF$127,MATCH($E16,CONST_LIST_Goods,0),MATCH(T$8,Parameters_Constants!$K$109:$AF$109,0))=FALSE)</f>
        <v>0</v>
      </c>
      <c r="U118" s="279" t="b">
        <f>IF(OR($D16="",$D16=CONST_NA),FALSE,INDEX(Parameters_Constants!$K$110:$AF$127,MATCH($E16,CONST_LIST_Goods,0),MATCH(U$8,Parameters_Constants!$K$109:$AF$109,0))=FALSE)</f>
        <v>0</v>
      </c>
      <c r="V118" s="279" t="b">
        <f>IF(OR($D16="",$D16=CONST_NA),FALSE,INDEX(Parameters_Constants!$K$110:$AF$127,MATCH($E16,CONST_LIST_Goods,0),MATCH(V$8,Parameters_Constants!$K$109:$AF$109,0))=FALSE)</f>
        <v>0</v>
      </c>
      <c r="W118" s="279" t="b">
        <f>IF(OR($D16="",$D16=CONST_NA),FALSE,INDEX(Parameters_Constants!$K$110:$AF$127,MATCH($E16,CONST_LIST_Goods,0),MATCH(W$8,Parameters_Constants!$K$109:$AF$109,0))=FALSE)</f>
        <v>0</v>
      </c>
      <c r="X118" s="279" t="b">
        <f>IF(OR($D16="",$D16=CONST_NA),FALSE,INDEX(Parameters_Constants!$K$110:$AF$127,MATCH($E16,CONST_LIST_Goods,0),MATCH(X$8,Parameters_Constants!$K$109:$AF$109,0))=FALSE)</f>
        <v>0</v>
      </c>
      <c r="Y118" s="279" t="b">
        <f>IF(OR($D16="",$D16=CONST_NA),FALSE,INDEX(Parameters_Constants!$K$110:$AF$127,MATCH($E16,CONST_LIST_Goods,0),MATCH(Y$8,Parameters_Constants!$K$109:$AF$109,0))=FALSE)</f>
        <v>0</v>
      </c>
      <c r="Z118" s="279" t="b">
        <f>IF(OR($D16="",$D16=CONST_NA),FALSE,INDEX(Parameters_Constants!$K$110:$AF$127,MATCH($E16,CONST_LIST_Goods,0),MATCH(Z$8,Parameters_Constants!$K$109:$AF$109,0))=FALSE)</f>
        <v>0</v>
      </c>
      <c r="AA118" s="279" t="b">
        <f>IF(OR($D16="",$D16=CONST_NA),FALSE,INDEX(Parameters_Constants!$K$110:$AF$127,MATCH($E16,CONST_LIST_Goods,0),MATCH(AA$8,Parameters_Constants!$K$109:$AF$109,0))=FALSE)</f>
        <v>0</v>
      </c>
      <c r="AB118" s="279" t="b">
        <f>IF(OR($D16="",$D16=CONST_NA),FALSE,INDEX(Parameters_Constants!$K$110:$AF$127,MATCH($E16,CONST_LIST_Goods,0),MATCH(AB$8,Parameters_Constants!$K$109:$AF$109,0))=FALSE)</f>
        <v>0</v>
      </c>
      <c r="AC118" s="279" t="b">
        <f>IF(OR($D16="",$D16=CONST_NA),FALSE,INDEX(Parameters_Constants!$K$110:$AF$127,MATCH($E16,CONST_LIST_Goods,0),MATCH(AC$8,Parameters_Constants!$K$109:$AF$109,0))=FALSE)</f>
        <v>0</v>
      </c>
      <c r="AD118" s="279" t="b">
        <f>IF(OR($D16="",$D16=CONST_NA),FALSE,INDEX(Parameters_Constants!$K$110:$AF$127,MATCH($E16,CONST_LIST_Goods,0),MATCH(AD$8,Parameters_Constants!$K$109:$AF$109,0))=FALSE)</f>
        <v>0</v>
      </c>
      <c r="AE118" s="279" t="b">
        <f>IF(OR($D16="",$D16=CONST_NA),FALSE,INDEX(Parameters_Constants!$K$110:$AF$127,MATCH($E16,CONST_LIST_Goods,0),MATCH(AE$8,Parameters_Constants!$K$109:$AF$109,0))=FALSE)</f>
        <v>0</v>
      </c>
      <c r="AF118" s="279" t="b">
        <f>IF(OR($D16="",$D16=CONST_NA),FALSE,INDEX(Parameters_Constants!$K$110:$AF$127,MATCH($E16,CONST_LIST_Goods,0),MATCH(AF$8,Parameters_Constants!$K$109:$AF$109,0))=FALSE)</f>
        <v>0</v>
      </c>
      <c r="AG118" s="279" t="b">
        <f>IF(OR($D16="",$D16=CONST_NA),FALSE,INDEX(Parameters_Constants!$K$110:$AF$127,MATCH($E16,CONST_LIST_Goods,0),MATCH(AG$8,Parameters_Constants!$K$109:$AF$109,0))=FALSE)</f>
        <v>0</v>
      </c>
      <c r="AH118" s="279" t="b">
        <f>IF(OR($D16="",$D16=CONST_NA),FALSE,INDEX(Parameters_Constants!$K$110:$AF$127,MATCH($E16,CONST_LIST_Goods,0),MATCH(AH$8,Parameters_Constants!$K$109:$AF$109,0))=FALSE)</f>
        <v>0</v>
      </c>
      <c r="AI118" s="279" t="b">
        <f>IF(OR($D16="",$D16=CONST_NA),FALSE,INDEX(Parameters_Constants!$K$110:$AF$127,MATCH($E16,CONST_LIST_Goods,0),MATCH(AI$8,Parameters_Constants!$K$109:$AF$109,0))=FALSE)</f>
        <v>0</v>
      </c>
      <c r="AJ118" s="279" t="b">
        <f>IF(OR($D16="",$D16=CONST_NA),FALSE,INDEX(Parameters_Constants!$K$110:$AF$127,MATCH($E16,CONST_LIST_Goods,0),MATCH(AJ$8,Parameters_Constants!$K$109:$AF$109,0))=FALSE)</f>
        <v>0</v>
      </c>
      <c r="AK118" s="279" t="b">
        <f>IF(OR($D16="",$D16=CONST_NA),FALSE,INDEX(Parameters_Constants!$K$110:$AF$127,MATCH($E16,CONST_LIST_Goods,0),MATCH(AK$8,Parameters_Constants!$K$109:$AF$109,0))=FALSE)</f>
        <v>0</v>
      </c>
    </row>
    <row r="119" spans="1:37" s="275" customFormat="1" hidden="1" x14ac:dyDescent="0.35">
      <c r="A119" s="275" t="s">
        <v>3</v>
      </c>
      <c r="C119" s="275">
        <v>8</v>
      </c>
      <c r="F119" s="279" t="b">
        <v>0</v>
      </c>
      <c r="H119" s="279" t="b">
        <v>0</v>
      </c>
      <c r="P119" s="279" t="b">
        <f>IF(OR($D17="",$D17=CONST_NA),FALSE,INDEX(Parameters_Constants!$K$110:$AF$127,MATCH($E17,CONST_LIST_Goods,0),MATCH(P$8,Parameters_Constants!$K$109:$AF$109,0))=FALSE)</f>
        <v>0</v>
      </c>
      <c r="Q119" s="279" t="b">
        <f>IF(OR($D17="",$D17=CONST_NA),FALSE,INDEX(Parameters_Constants!$K$110:$AF$127,MATCH($E17,CONST_LIST_Goods,0),MATCH(Q$8,Parameters_Constants!$K$109:$AF$109,0))=FALSE)</f>
        <v>0</v>
      </c>
      <c r="R119" s="279" t="b">
        <f>IF(OR($D17="",$D17=CONST_NA),FALSE,INDEX(Parameters_Constants!$K$110:$AF$127,MATCH($E17,CONST_LIST_Goods,0),MATCH(R$8,Parameters_Constants!$K$109:$AF$109,0))=FALSE)</f>
        <v>0</v>
      </c>
      <c r="S119" s="279" t="b">
        <f>IF(OR($D17="",$D17=CONST_NA),FALSE,INDEX(Parameters_Constants!$K$110:$AF$127,MATCH($E17,CONST_LIST_Goods,0),MATCH(S$8,Parameters_Constants!$K$109:$AF$109,0))=FALSE)</f>
        <v>0</v>
      </c>
      <c r="T119" s="279" t="b">
        <f>IF(OR($D17="",$D17=CONST_NA),FALSE,INDEX(Parameters_Constants!$K$110:$AF$127,MATCH($E17,CONST_LIST_Goods,0),MATCH(T$8,Parameters_Constants!$K$109:$AF$109,0))=FALSE)</f>
        <v>0</v>
      </c>
      <c r="U119" s="279" t="b">
        <f>IF(OR($D17="",$D17=CONST_NA),FALSE,INDEX(Parameters_Constants!$K$110:$AF$127,MATCH($E17,CONST_LIST_Goods,0),MATCH(U$8,Parameters_Constants!$K$109:$AF$109,0))=FALSE)</f>
        <v>0</v>
      </c>
      <c r="V119" s="279" t="b">
        <f>IF(OR($D17="",$D17=CONST_NA),FALSE,INDEX(Parameters_Constants!$K$110:$AF$127,MATCH($E17,CONST_LIST_Goods,0),MATCH(V$8,Parameters_Constants!$K$109:$AF$109,0))=FALSE)</f>
        <v>0</v>
      </c>
      <c r="W119" s="279" t="b">
        <f>IF(OR($D17="",$D17=CONST_NA),FALSE,INDEX(Parameters_Constants!$K$110:$AF$127,MATCH($E17,CONST_LIST_Goods,0),MATCH(W$8,Parameters_Constants!$K$109:$AF$109,0))=FALSE)</f>
        <v>0</v>
      </c>
      <c r="X119" s="279" t="b">
        <f>IF(OR($D17="",$D17=CONST_NA),FALSE,INDEX(Parameters_Constants!$K$110:$AF$127,MATCH($E17,CONST_LIST_Goods,0),MATCH(X$8,Parameters_Constants!$K$109:$AF$109,0))=FALSE)</f>
        <v>0</v>
      </c>
      <c r="Y119" s="279" t="b">
        <f>IF(OR($D17="",$D17=CONST_NA),FALSE,INDEX(Parameters_Constants!$K$110:$AF$127,MATCH($E17,CONST_LIST_Goods,0),MATCH(Y$8,Parameters_Constants!$K$109:$AF$109,0))=FALSE)</f>
        <v>0</v>
      </c>
      <c r="Z119" s="279" t="b">
        <f>IF(OR($D17="",$D17=CONST_NA),FALSE,INDEX(Parameters_Constants!$K$110:$AF$127,MATCH($E17,CONST_LIST_Goods,0),MATCH(Z$8,Parameters_Constants!$K$109:$AF$109,0))=FALSE)</f>
        <v>0</v>
      </c>
      <c r="AA119" s="279" t="b">
        <f>IF(OR($D17="",$D17=CONST_NA),FALSE,INDEX(Parameters_Constants!$K$110:$AF$127,MATCH($E17,CONST_LIST_Goods,0),MATCH(AA$8,Parameters_Constants!$K$109:$AF$109,0))=FALSE)</f>
        <v>0</v>
      </c>
      <c r="AB119" s="279" t="b">
        <f>IF(OR($D17="",$D17=CONST_NA),FALSE,INDEX(Parameters_Constants!$K$110:$AF$127,MATCH($E17,CONST_LIST_Goods,0),MATCH(AB$8,Parameters_Constants!$K$109:$AF$109,0))=FALSE)</f>
        <v>0</v>
      </c>
      <c r="AC119" s="279" t="b">
        <f>IF(OR($D17="",$D17=CONST_NA),FALSE,INDEX(Parameters_Constants!$K$110:$AF$127,MATCH($E17,CONST_LIST_Goods,0),MATCH(AC$8,Parameters_Constants!$K$109:$AF$109,0))=FALSE)</f>
        <v>0</v>
      </c>
      <c r="AD119" s="279" t="b">
        <f>IF(OR($D17="",$D17=CONST_NA),FALSE,INDEX(Parameters_Constants!$K$110:$AF$127,MATCH($E17,CONST_LIST_Goods,0),MATCH(AD$8,Parameters_Constants!$K$109:$AF$109,0))=FALSE)</f>
        <v>0</v>
      </c>
      <c r="AE119" s="279" t="b">
        <f>IF(OR($D17="",$D17=CONST_NA),FALSE,INDEX(Parameters_Constants!$K$110:$AF$127,MATCH($E17,CONST_LIST_Goods,0),MATCH(AE$8,Parameters_Constants!$K$109:$AF$109,0))=FALSE)</f>
        <v>0</v>
      </c>
      <c r="AF119" s="279" t="b">
        <f>IF(OR($D17="",$D17=CONST_NA),FALSE,INDEX(Parameters_Constants!$K$110:$AF$127,MATCH($E17,CONST_LIST_Goods,0),MATCH(AF$8,Parameters_Constants!$K$109:$AF$109,0))=FALSE)</f>
        <v>0</v>
      </c>
      <c r="AG119" s="279" t="b">
        <f>IF(OR($D17="",$D17=CONST_NA),FALSE,INDEX(Parameters_Constants!$K$110:$AF$127,MATCH($E17,CONST_LIST_Goods,0),MATCH(AG$8,Parameters_Constants!$K$109:$AF$109,0))=FALSE)</f>
        <v>0</v>
      </c>
      <c r="AH119" s="279" t="b">
        <f>IF(OR($D17="",$D17=CONST_NA),FALSE,INDEX(Parameters_Constants!$K$110:$AF$127,MATCH($E17,CONST_LIST_Goods,0),MATCH(AH$8,Parameters_Constants!$K$109:$AF$109,0))=FALSE)</f>
        <v>0</v>
      </c>
      <c r="AI119" s="279" t="b">
        <f>IF(OR($D17="",$D17=CONST_NA),FALSE,INDEX(Parameters_Constants!$K$110:$AF$127,MATCH($E17,CONST_LIST_Goods,0),MATCH(AI$8,Parameters_Constants!$K$109:$AF$109,0))=FALSE)</f>
        <v>0</v>
      </c>
      <c r="AJ119" s="279" t="b">
        <f>IF(OR($D17="",$D17=CONST_NA),FALSE,INDEX(Parameters_Constants!$K$110:$AF$127,MATCH($E17,CONST_LIST_Goods,0),MATCH(AJ$8,Parameters_Constants!$K$109:$AF$109,0))=FALSE)</f>
        <v>0</v>
      </c>
      <c r="AK119" s="279" t="b">
        <f>IF(OR($D17="",$D17=CONST_NA),FALSE,INDEX(Parameters_Constants!$K$110:$AF$127,MATCH($E17,CONST_LIST_Goods,0),MATCH(AK$8,Parameters_Constants!$K$109:$AF$109,0))=FALSE)</f>
        <v>0</v>
      </c>
    </row>
    <row r="120" spans="1:37" s="275" customFormat="1" hidden="1" x14ac:dyDescent="0.35">
      <c r="A120" s="275" t="s">
        <v>3</v>
      </c>
      <c r="C120" s="275">
        <v>9</v>
      </c>
      <c r="F120" s="279" t="b">
        <v>0</v>
      </c>
      <c r="H120" s="279" t="b">
        <v>0</v>
      </c>
      <c r="P120" s="279" t="b">
        <f>IF(OR($D18="",$D18=CONST_NA),FALSE,INDEX(Parameters_Constants!$K$110:$AF$127,MATCH($E18,CONST_LIST_Goods,0),MATCH(P$8,Parameters_Constants!$K$109:$AF$109,0))=FALSE)</f>
        <v>0</v>
      </c>
      <c r="Q120" s="279" t="b">
        <f>IF(OR($D18="",$D18=CONST_NA),FALSE,INDEX(Parameters_Constants!$K$110:$AF$127,MATCH($E18,CONST_LIST_Goods,0),MATCH(Q$8,Parameters_Constants!$K$109:$AF$109,0))=FALSE)</f>
        <v>0</v>
      </c>
      <c r="R120" s="279" t="b">
        <f>IF(OR($D18="",$D18=CONST_NA),FALSE,INDEX(Parameters_Constants!$K$110:$AF$127,MATCH($E18,CONST_LIST_Goods,0),MATCH(R$8,Parameters_Constants!$K$109:$AF$109,0))=FALSE)</f>
        <v>0</v>
      </c>
      <c r="S120" s="279" t="b">
        <f>IF(OR($D18="",$D18=CONST_NA),FALSE,INDEX(Parameters_Constants!$K$110:$AF$127,MATCH($E18,CONST_LIST_Goods,0),MATCH(S$8,Parameters_Constants!$K$109:$AF$109,0))=FALSE)</f>
        <v>0</v>
      </c>
      <c r="T120" s="279" t="b">
        <f>IF(OR($D18="",$D18=CONST_NA),FALSE,INDEX(Parameters_Constants!$K$110:$AF$127,MATCH($E18,CONST_LIST_Goods,0),MATCH(T$8,Parameters_Constants!$K$109:$AF$109,0))=FALSE)</f>
        <v>0</v>
      </c>
      <c r="U120" s="279" t="b">
        <f>IF(OR($D18="",$D18=CONST_NA),FALSE,INDEX(Parameters_Constants!$K$110:$AF$127,MATCH($E18,CONST_LIST_Goods,0),MATCH(U$8,Parameters_Constants!$K$109:$AF$109,0))=FALSE)</f>
        <v>0</v>
      </c>
      <c r="V120" s="279" t="b">
        <f>IF(OR($D18="",$D18=CONST_NA),FALSE,INDEX(Parameters_Constants!$K$110:$AF$127,MATCH($E18,CONST_LIST_Goods,0),MATCH(V$8,Parameters_Constants!$K$109:$AF$109,0))=FALSE)</f>
        <v>0</v>
      </c>
      <c r="W120" s="279" t="b">
        <f>IF(OR($D18="",$D18=CONST_NA),FALSE,INDEX(Parameters_Constants!$K$110:$AF$127,MATCH($E18,CONST_LIST_Goods,0),MATCH(W$8,Parameters_Constants!$K$109:$AF$109,0))=FALSE)</f>
        <v>0</v>
      </c>
      <c r="X120" s="279" t="b">
        <f>IF(OR($D18="",$D18=CONST_NA),FALSE,INDEX(Parameters_Constants!$K$110:$AF$127,MATCH($E18,CONST_LIST_Goods,0),MATCH(X$8,Parameters_Constants!$K$109:$AF$109,0))=FALSE)</f>
        <v>0</v>
      </c>
      <c r="Y120" s="279" t="b">
        <f>IF(OR($D18="",$D18=CONST_NA),FALSE,INDEX(Parameters_Constants!$K$110:$AF$127,MATCH($E18,CONST_LIST_Goods,0),MATCH(Y$8,Parameters_Constants!$K$109:$AF$109,0))=FALSE)</f>
        <v>0</v>
      </c>
      <c r="Z120" s="279" t="b">
        <f>IF(OR($D18="",$D18=CONST_NA),FALSE,INDEX(Parameters_Constants!$K$110:$AF$127,MATCH($E18,CONST_LIST_Goods,0),MATCH(Z$8,Parameters_Constants!$K$109:$AF$109,0))=FALSE)</f>
        <v>0</v>
      </c>
      <c r="AA120" s="279" t="b">
        <f>IF(OR($D18="",$D18=CONST_NA),FALSE,INDEX(Parameters_Constants!$K$110:$AF$127,MATCH($E18,CONST_LIST_Goods,0),MATCH(AA$8,Parameters_Constants!$K$109:$AF$109,0))=FALSE)</f>
        <v>0</v>
      </c>
      <c r="AB120" s="279" t="b">
        <f>IF(OR($D18="",$D18=CONST_NA),FALSE,INDEX(Parameters_Constants!$K$110:$AF$127,MATCH($E18,CONST_LIST_Goods,0),MATCH(AB$8,Parameters_Constants!$K$109:$AF$109,0))=FALSE)</f>
        <v>0</v>
      </c>
      <c r="AC120" s="279" t="b">
        <f>IF(OR($D18="",$D18=CONST_NA),FALSE,INDEX(Parameters_Constants!$K$110:$AF$127,MATCH($E18,CONST_LIST_Goods,0),MATCH(AC$8,Parameters_Constants!$K$109:$AF$109,0))=FALSE)</f>
        <v>0</v>
      </c>
      <c r="AD120" s="279" t="b">
        <f>IF(OR($D18="",$D18=CONST_NA),FALSE,INDEX(Parameters_Constants!$K$110:$AF$127,MATCH($E18,CONST_LIST_Goods,0),MATCH(AD$8,Parameters_Constants!$K$109:$AF$109,0))=FALSE)</f>
        <v>0</v>
      </c>
      <c r="AE120" s="279" t="b">
        <f>IF(OR($D18="",$D18=CONST_NA),FALSE,INDEX(Parameters_Constants!$K$110:$AF$127,MATCH($E18,CONST_LIST_Goods,0),MATCH(AE$8,Parameters_Constants!$K$109:$AF$109,0))=FALSE)</f>
        <v>0</v>
      </c>
      <c r="AF120" s="279" t="b">
        <f>IF(OR($D18="",$D18=CONST_NA),FALSE,INDEX(Parameters_Constants!$K$110:$AF$127,MATCH($E18,CONST_LIST_Goods,0),MATCH(AF$8,Parameters_Constants!$K$109:$AF$109,0))=FALSE)</f>
        <v>0</v>
      </c>
      <c r="AG120" s="279" t="b">
        <f>IF(OR($D18="",$D18=CONST_NA),FALSE,INDEX(Parameters_Constants!$K$110:$AF$127,MATCH($E18,CONST_LIST_Goods,0),MATCH(AG$8,Parameters_Constants!$K$109:$AF$109,0))=FALSE)</f>
        <v>0</v>
      </c>
      <c r="AH120" s="279" t="b">
        <f>IF(OR($D18="",$D18=CONST_NA),FALSE,INDEX(Parameters_Constants!$K$110:$AF$127,MATCH($E18,CONST_LIST_Goods,0),MATCH(AH$8,Parameters_Constants!$K$109:$AF$109,0))=FALSE)</f>
        <v>0</v>
      </c>
      <c r="AI120" s="279" t="b">
        <f>IF(OR($D18="",$D18=CONST_NA),FALSE,INDEX(Parameters_Constants!$K$110:$AF$127,MATCH($E18,CONST_LIST_Goods,0),MATCH(AI$8,Parameters_Constants!$K$109:$AF$109,0))=FALSE)</f>
        <v>0</v>
      </c>
      <c r="AJ120" s="279" t="b">
        <f>IF(OR($D18="",$D18=CONST_NA),FALSE,INDEX(Parameters_Constants!$K$110:$AF$127,MATCH($E18,CONST_LIST_Goods,0),MATCH(AJ$8,Parameters_Constants!$K$109:$AF$109,0))=FALSE)</f>
        <v>0</v>
      </c>
      <c r="AK120" s="279" t="b">
        <f>IF(OR($D18="",$D18=CONST_NA),FALSE,INDEX(Parameters_Constants!$K$110:$AF$127,MATCH($E18,CONST_LIST_Goods,0),MATCH(AK$8,Parameters_Constants!$K$109:$AF$109,0))=FALSE)</f>
        <v>0</v>
      </c>
    </row>
    <row r="121" spans="1:37" s="275" customFormat="1" hidden="1" x14ac:dyDescent="0.35">
      <c r="A121" s="275" t="s">
        <v>3</v>
      </c>
      <c r="C121" s="275">
        <v>10</v>
      </c>
      <c r="F121" s="279" t="b">
        <v>0</v>
      </c>
      <c r="H121" s="279" t="b">
        <v>0</v>
      </c>
      <c r="P121" s="279" t="b">
        <f>IF(OR($D19="",$D19=CONST_NA),FALSE,INDEX(Parameters_Constants!$K$110:$AF$127,MATCH($E19,CONST_LIST_Goods,0),MATCH(P$8,Parameters_Constants!$K$109:$AF$109,0))=FALSE)</f>
        <v>0</v>
      </c>
      <c r="Q121" s="279" t="b">
        <f>IF(OR($D19="",$D19=CONST_NA),FALSE,INDEX(Parameters_Constants!$K$110:$AF$127,MATCH($E19,CONST_LIST_Goods,0),MATCH(Q$8,Parameters_Constants!$K$109:$AF$109,0))=FALSE)</f>
        <v>0</v>
      </c>
      <c r="R121" s="279" t="b">
        <f>IF(OR($D19="",$D19=CONST_NA),FALSE,INDEX(Parameters_Constants!$K$110:$AF$127,MATCH($E19,CONST_LIST_Goods,0),MATCH(R$8,Parameters_Constants!$K$109:$AF$109,0))=FALSE)</f>
        <v>0</v>
      </c>
      <c r="S121" s="279" t="b">
        <f>IF(OR($D19="",$D19=CONST_NA),FALSE,INDEX(Parameters_Constants!$K$110:$AF$127,MATCH($E19,CONST_LIST_Goods,0),MATCH(S$8,Parameters_Constants!$K$109:$AF$109,0))=FALSE)</f>
        <v>0</v>
      </c>
      <c r="T121" s="279" t="b">
        <f>IF(OR($D19="",$D19=CONST_NA),FALSE,INDEX(Parameters_Constants!$K$110:$AF$127,MATCH($E19,CONST_LIST_Goods,0),MATCH(T$8,Parameters_Constants!$K$109:$AF$109,0))=FALSE)</f>
        <v>0</v>
      </c>
      <c r="U121" s="279" t="b">
        <f>IF(OR($D19="",$D19=CONST_NA),FALSE,INDEX(Parameters_Constants!$K$110:$AF$127,MATCH($E19,CONST_LIST_Goods,0),MATCH(U$8,Parameters_Constants!$K$109:$AF$109,0))=FALSE)</f>
        <v>0</v>
      </c>
      <c r="V121" s="279" t="b">
        <f>IF(OR($D19="",$D19=CONST_NA),FALSE,INDEX(Parameters_Constants!$K$110:$AF$127,MATCH($E19,CONST_LIST_Goods,0),MATCH(V$8,Parameters_Constants!$K$109:$AF$109,0))=FALSE)</f>
        <v>0</v>
      </c>
      <c r="W121" s="279" t="b">
        <f>IF(OR($D19="",$D19=CONST_NA),FALSE,INDEX(Parameters_Constants!$K$110:$AF$127,MATCH($E19,CONST_LIST_Goods,0),MATCH(W$8,Parameters_Constants!$K$109:$AF$109,0))=FALSE)</f>
        <v>0</v>
      </c>
      <c r="X121" s="279" t="b">
        <f>IF(OR($D19="",$D19=CONST_NA),FALSE,INDEX(Parameters_Constants!$K$110:$AF$127,MATCH($E19,CONST_LIST_Goods,0),MATCH(X$8,Parameters_Constants!$K$109:$AF$109,0))=FALSE)</f>
        <v>0</v>
      </c>
      <c r="Y121" s="279" t="b">
        <f>IF(OR($D19="",$D19=CONST_NA),FALSE,INDEX(Parameters_Constants!$K$110:$AF$127,MATCH($E19,CONST_LIST_Goods,0),MATCH(Y$8,Parameters_Constants!$K$109:$AF$109,0))=FALSE)</f>
        <v>0</v>
      </c>
      <c r="Z121" s="279" t="b">
        <f>IF(OR($D19="",$D19=CONST_NA),FALSE,INDEX(Parameters_Constants!$K$110:$AF$127,MATCH($E19,CONST_LIST_Goods,0),MATCH(Z$8,Parameters_Constants!$K$109:$AF$109,0))=FALSE)</f>
        <v>0</v>
      </c>
      <c r="AA121" s="279" t="b">
        <f>IF(OR($D19="",$D19=CONST_NA),FALSE,INDEX(Parameters_Constants!$K$110:$AF$127,MATCH($E19,CONST_LIST_Goods,0),MATCH(AA$8,Parameters_Constants!$K$109:$AF$109,0))=FALSE)</f>
        <v>0</v>
      </c>
      <c r="AB121" s="279" t="b">
        <f>IF(OR($D19="",$D19=CONST_NA),FALSE,INDEX(Parameters_Constants!$K$110:$AF$127,MATCH($E19,CONST_LIST_Goods,0),MATCH(AB$8,Parameters_Constants!$K$109:$AF$109,0))=FALSE)</f>
        <v>0</v>
      </c>
      <c r="AC121" s="279" t="b">
        <f>IF(OR($D19="",$D19=CONST_NA),FALSE,INDEX(Parameters_Constants!$K$110:$AF$127,MATCH($E19,CONST_LIST_Goods,0),MATCH(AC$8,Parameters_Constants!$K$109:$AF$109,0))=FALSE)</f>
        <v>0</v>
      </c>
      <c r="AD121" s="279" t="b">
        <f>IF(OR($D19="",$D19=CONST_NA),FALSE,INDEX(Parameters_Constants!$K$110:$AF$127,MATCH($E19,CONST_LIST_Goods,0),MATCH(AD$8,Parameters_Constants!$K$109:$AF$109,0))=FALSE)</f>
        <v>0</v>
      </c>
      <c r="AE121" s="279" t="b">
        <f>IF(OR($D19="",$D19=CONST_NA),FALSE,INDEX(Parameters_Constants!$K$110:$AF$127,MATCH($E19,CONST_LIST_Goods,0),MATCH(AE$8,Parameters_Constants!$K$109:$AF$109,0))=FALSE)</f>
        <v>0</v>
      </c>
      <c r="AF121" s="279" t="b">
        <f>IF(OR($D19="",$D19=CONST_NA),FALSE,INDEX(Parameters_Constants!$K$110:$AF$127,MATCH($E19,CONST_LIST_Goods,0),MATCH(AF$8,Parameters_Constants!$K$109:$AF$109,0))=FALSE)</f>
        <v>0</v>
      </c>
      <c r="AG121" s="279" t="b">
        <f>IF(OR($D19="",$D19=CONST_NA),FALSE,INDEX(Parameters_Constants!$K$110:$AF$127,MATCH($E19,CONST_LIST_Goods,0),MATCH(AG$8,Parameters_Constants!$K$109:$AF$109,0))=FALSE)</f>
        <v>0</v>
      </c>
      <c r="AH121" s="279" t="b">
        <f>IF(OR($D19="",$D19=CONST_NA),FALSE,INDEX(Parameters_Constants!$K$110:$AF$127,MATCH($E19,CONST_LIST_Goods,0),MATCH(AH$8,Parameters_Constants!$K$109:$AF$109,0))=FALSE)</f>
        <v>0</v>
      </c>
      <c r="AI121" s="279" t="b">
        <f>IF(OR($D19="",$D19=CONST_NA),FALSE,INDEX(Parameters_Constants!$K$110:$AF$127,MATCH($E19,CONST_LIST_Goods,0),MATCH(AI$8,Parameters_Constants!$K$109:$AF$109,0))=FALSE)</f>
        <v>0</v>
      </c>
      <c r="AJ121" s="279" t="b">
        <f>IF(OR($D19="",$D19=CONST_NA),FALSE,INDEX(Parameters_Constants!$K$110:$AF$127,MATCH($E19,CONST_LIST_Goods,0),MATCH(AJ$8,Parameters_Constants!$K$109:$AF$109,0))=FALSE)</f>
        <v>0</v>
      </c>
      <c r="AK121" s="279" t="b">
        <f>IF(OR($D19="",$D19=CONST_NA),FALSE,INDEX(Parameters_Constants!$K$110:$AF$127,MATCH($E19,CONST_LIST_Goods,0),MATCH(AK$8,Parameters_Constants!$K$109:$AF$109,0))=FALSE)</f>
        <v>0</v>
      </c>
    </row>
    <row r="122" spans="1:37" s="275" customFormat="1" hidden="1" x14ac:dyDescent="0.35">
      <c r="A122" s="275" t="s">
        <v>3</v>
      </c>
      <c r="C122" s="275">
        <v>11</v>
      </c>
      <c r="F122" s="279" t="b">
        <v>0</v>
      </c>
      <c r="H122" s="279" t="b">
        <v>0</v>
      </c>
      <c r="P122" s="279" t="b">
        <f>IF(OR($D20="",$D20=CONST_NA),FALSE,INDEX(Parameters_Constants!$K$110:$AF$127,MATCH($E20,CONST_LIST_Goods,0),MATCH(P$8,Parameters_Constants!$K$109:$AF$109,0))=FALSE)</f>
        <v>0</v>
      </c>
      <c r="Q122" s="279" t="b">
        <f>IF(OR($D20="",$D20=CONST_NA),FALSE,INDEX(Parameters_Constants!$K$110:$AF$127,MATCH($E20,CONST_LIST_Goods,0),MATCH(Q$8,Parameters_Constants!$K$109:$AF$109,0))=FALSE)</f>
        <v>0</v>
      </c>
      <c r="R122" s="279" t="b">
        <f>IF(OR($D20="",$D20=CONST_NA),FALSE,INDEX(Parameters_Constants!$K$110:$AF$127,MATCH($E20,CONST_LIST_Goods,0),MATCH(R$8,Parameters_Constants!$K$109:$AF$109,0))=FALSE)</f>
        <v>0</v>
      </c>
      <c r="S122" s="279" t="b">
        <f>IF(OR($D20="",$D20=CONST_NA),FALSE,INDEX(Parameters_Constants!$K$110:$AF$127,MATCH($E20,CONST_LIST_Goods,0),MATCH(S$8,Parameters_Constants!$K$109:$AF$109,0))=FALSE)</f>
        <v>0</v>
      </c>
      <c r="T122" s="279" t="b">
        <f>IF(OR($D20="",$D20=CONST_NA),FALSE,INDEX(Parameters_Constants!$K$110:$AF$127,MATCH($E20,CONST_LIST_Goods,0),MATCH(T$8,Parameters_Constants!$K$109:$AF$109,0))=FALSE)</f>
        <v>0</v>
      </c>
      <c r="U122" s="279" t="b">
        <f>IF(OR($D20="",$D20=CONST_NA),FALSE,INDEX(Parameters_Constants!$K$110:$AF$127,MATCH($E20,CONST_LIST_Goods,0),MATCH(U$8,Parameters_Constants!$K$109:$AF$109,0))=FALSE)</f>
        <v>0</v>
      </c>
      <c r="V122" s="279" t="b">
        <f>IF(OR($D20="",$D20=CONST_NA),FALSE,INDEX(Parameters_Constants!$K$110:$AF$127,MATCH($E20,CONST_LIST_Goods,0),MATCH(V$8,Parameters_Constants!$K$109:$AF$109,0))=FALSE)</f>
        <v>0</v>
      </c>
      <c r="W122" s="279" t="b">
        <f>IF(OR($D20="",$D20=CONST_NA),FALSE,INDEX(Parameters_Constants!$K$110:$AF$127,MATCH($E20,CONST_LIST_Goods,0),MATCH(W$8,Parameters_Constants!$K$109:$AF$109,0))=FALSE)</f>
        <v>0</v>
      </c>
      <c r="X122" s="279" t="b">
        <f>IF(OR($D20="",$D20=CONST_NA),FALSE,INDEX(Parameters_Constants!$K$110:$AF$127,MATCH($E20,CONST_LIST_Goods,0),MATCH(X$8,Parameters_Constants!$K$109:$AF$109,0))=FALSE)</f>
        <v>0</v>
      </c>
      <c r="Y122" s="279" t="b">
        <f>IF(OR($D20="",$D20=CONST_NA),FALSE,INDEX(Parameters_Constants!$K$110:$AF$127,MATCH($E20,CONST_LIST_Goods,0),MATCH(Y$8,Parameters_Constants!$K$109:$AF$109,0))=FALSE)</f>
        <v>0</v>
      </c>
      <c r="Z122" s="279" t="b">
        <f>IF(OR($D20="",$D20=CONST_NA),FALSE,INDEX(Parameters_Constants!$K$110:$AF$127,MATCH($E20,CONST_LIST_Goods,0),MATCH(Z$8,Parameters_Constants!$K$109:$AF$109,0))=FALSE)</f>
        <v>0</v>
      </c>
      <c r="AA122" s="279" t="b">
        <f>IF(OR($D20="",$D20=CONST_NA),FALSE,INDEX(Parameters_Constants!$K$110:$AF$127,MATCH($E20,CONST_LIST_Goods,0),MATCH(AA$8,Parameters_Constants!$K$109:$AF$109,0))=FALSE)</f>
        <v>0</v>
      </c>
      <c r="AB122" s="279" t="b">
        <f>IF(OR($D20="",$D20=CONST_NA),FALSE,INDEX(Parameters_Constants!$K$110:$AF$127,MATCH($E20,CONST_LIST_Goods,0),MATCH(AB$8,Parameters_Constants!$K$109:$AF$109,0))=FALSE)</f>
        <v>0</v>
      </c>
      <c r="AC122" s="279" t="b">
        <f>IF(OR($D20="",$D20=CONST_NA),FALSE,INDEX(Parameters_Constants!$K$110:$AF$127,MATCH($E20,CONST_LIST_Goods,0),MATCH(AC$8,Parameters_Constants!$K$109:$AF$109,0))=FALSE)</f>
        <v>0</v>
      </c>
      <c r="AD122" s="279" t="b">
        <f>IF(OR($D20="",$D20=CONST_NA),FALSE,INDEX(Parameters_Constants!$K$110:$AF$127,MATCH($E20,CONST_LIST_Goods,0),MATCH(AD$8,Parameters_Constants!$K$109:$AF$109,0))=FALSE)</f>
        <v>0</v>
      </c>
      <c r="AE122" s="279" t="b">
        <f>IF(OR($D20="",$D20=CONST_NA),FALSE,INDEX(Parameters_Constants!$K$110:$AF$127,MATCH($E20,CONST_LIST_Goods,0),MATCH(AE$8,Parameters_Constants!$K$109:$AF$109,0))=FALSE)</f>
        <v>0</v>
      </c>
      <c r="AF122" s="279" t="b">
        <f>IF(OR($D20="",$D20=CONST_NA),FALSE,INDEX(Parameters_Constants!$K$110:$AF$127,MATCH($E20,CONST_LIST_Goods,0),MATCH(AF$8,Parameters_Constants!$K$109:$AF$109,0))=FALSE)</f>
        <v>0</v>
      </c>
      <c r="AG122" s="279" t="b">
        <f>IF(OR($D20="",$D20=CONST_NA),FALSE,INDEX(Parameters_Constants!$K$110:$AF$127,MATCH($E20,CONST_LIST_Goods,0),MATCH(AG$8,Parameters_Constants!$K$109:$AF$109,0))=FALSE)</f>
        <v>0</v>
      </c>
      <c r="AH122" s="279" t="b">
        <f>IF(OR($D20="",$D20=CONST_NA),FALSE,INDEX(Parameters_Constants!$K$110:$AF$127,MATCH($E20,CONST_LIST_Goods,0),MATCH(AH$8,Parameters_Constants!$K$109:$AF$109,0))=FALSE)</f>
        <v>0</v>
      </c>
      <c r="AI122" s="279" t="b">
        <f>IF(OR($D20="",$D20=CONST_NA),FALSE,INDEX(Parameters_Constants!$K$110:$AF$127,MATCH($E20,CONST_LIST_Goods,0),MATCH(AI$8,Parameters_Constants!$K$109:$AF$109,0))=FALSE)</f>
        <v>0</v>
      </c>
      <c r="AJ122" s="279" t="b">
        <f>IF(OR($D20="",$D20=CONST_NA),FALSE,INDEX(Parameters_Constants!$K$110:$AF$127,MATCH($E20,CONST_LIST_Goods,0),MATCH(AJ$8,Parameters_Constants!$K$109:$AF$109,0))=FALSE)</f>
        <v>0</v>
      </c>
      <c r="AK122" s="279" t="b">
        <f>IF(OR($D20="",$D20=CONST_NA),FALSE,INDEX(Parameters_Constants!$K$110:$AF$127,MATCH($E20,CONST_LIST_Goods,0),MATCH(AK$8,Parameters_Constants!$K$109:$AF$109,0))=FALSE)</f>
        <v>0</v>
      </c>
    </row>
    <row r="123" spans="1:37" s="275" customFormat="1" hidden="1" x14ac:dyDescent="0.35">
      <c r="A123" s="275" t="s">
        <v>3</v>
      </c>
      <c r="C123" s="275">
        <v>12</v>
      </c>
      <c r="F123" s="279" t="b">
        <v>0</v>
      </c>
      <c r="H123" s="279" t="b">
        <v>0</v>
      </c>
      <c r="P123" s="279" t="b">
        <f>IF(OR($D21="",$D21=CONST_NA),FALSE,INDEX(Parameters_Constants!$K$110:$AF$127,MATCH($E21,CONST_LIST_Goods,0),MATCH(P$8,Parameters_Constants!$K$109:$AF$109,0))=FALSE)</f>
        <v>0</v>
      </c>
      <c r="Q123" s="279" t="b">
        <f>IF(OR($D21="",$D21=CONST_NA),FALSE,INDEX(Parameters_Constants!$K$110:$AF$127,MATCH($E21,CONST_LIST_Goods,0),MATCH(Q$8,Parameters_Constants!$K$109:$AF$109,0))=FALSE)</f>
        <v>0</v>
      </c>
      <c r="R123" s="279" t="b">
        <f>IF(OR($D21="",$D21=CONST_NA),FALSE,INDEX(Parameters_Constants!$K$110:$AF$127,MATCH($E21,CONST_LIST_Goods,0),MATCH(R$8,Parameters_Constants!$K$109:$AF$109,0))=FALSE)</f>
        <v>0</v>
      </c>
      <c r="S123" s="279" t="b">
        <f>IF(OR($D21="",$D21=CONST_NA),FALSE,INDEX(Parameters_Constants!$K$110:$AF$127,MATCH($E21,CONST_LIST_Goods,0),MATCH(S$8,Parameters_Constants!$K$109:$AF$109,0))=FALSE)</f>
        <v>0</v>
      </c>
      <c r="T123" s="279" t="b">
        <f>IF(OR($D21="",$D21=CONST_NA),FALSE,INDEX(Parameters_Constants!$K$110:$AF$127,MATCH($E21,CONST_LIST_Goods,0),MATCH(T$8,Parameters_Constants!$K$109:$AF$109,0))=FALSE)</f>
        <v>0</v>
      </c>
      <c r="U123" s="279" t="b">
        <f>IF(OR($D21="",$D21=CONST_NA),FALSE,INDEX(Parameters_Constants!$K$110:$AF$127,MATCH($E21,CONST_LIST_Goods,0),MATCH(U$8,Parameters_Constants!$K$109:$AF$109,0))=FALSE)</f>
        <v>0</v>
      </c>
      <c r="V123" s="279" t="b">
        <f>IF(OR($D21="",$D21=CONST_NA),FALSE,INDEX(Parameters_Constants!$K$110:$AF$127,MATCH($E21,CONST_LIST_Goods,0),MATCH(V$8,Parameters_Constants!$K$109:$AF$109,0))=FALSE)</f>
        <v>0</v>
      </c>
      <c r="W123" s="279" t="b">
        <f>IF(OR($D21="",$D21=CONST_NA),FALSE,INDEX(Parameters_Constants!$K$110:$AF$127,MATCH($E21,CONST_LIST_Goods,0),MATCH(W$8,Parameters_Constants!$K$109:$AF$109,0))=FALSE)</f>
        <v>0</v>
      </c>
      <c r="X123" s="279" t="b">
        <f>IF(OR($D21="",$D21=CONST_NA),FALSE,INDEX(Parameters_Constants!$K$110:$AF$127,MATCH($E21,CONST_LIST_Goods,0),MATCH(X$8,Parameters_Constants!$K$109:$AF$109,0))=FALSE)</f>
        <v>0</v>
      </c>
      <c r="Y123" s="279" t="b">
        <f>IF(OR($D21="",$D21=CONST_NA),FALSE,INDEX(Parameters_Constants!$K$110:$AF$127,MATCH($E21,CONST_LIST_Goods,0),MATCH(Y$8,Parameters_Constants!$K$109:$AF$109,0))=FALSE)</f>
        <v>0</v>
      </c>
      <c r="Z123" s="279" t="b">
        <f>IF(OR($D21="",$D21=CONST_NA),FALSE,INDEX(Parameters_Constants!$K$110:$AF$127,MATCH($E21,CONST_LIST_Goods,0),MATCH(Z$8,Parameters_Constants!$K$109:$AF$109,0))=FALSE)</f>
        <v>0</v>
      </c>
      <c r="AA123" s="279" t="b">
        <f>IF(OR($D21="",$D21=CONST_NA),FALSE,INDEX(Parameters_Constants!$K$110:$AF$127,MATCH($E21,CONST_LIST_Goods,0),MATCH(AA$8,Parameters_Constants!$K$109:$AF$109,0))=FALSE)</f>
        <v>0</v>
      </c>
      <c r="AB123" s="279" t="b">
        <f>IF(OR($D21="",$D21=CONST_NA),FALSE,INDEX(Parameters_Constants!$K$110:$AF$127,MATCH($E21,CONST_LIST_Goods,0),MATCH(AB$8,Parameters_Constants!$K$109:$AF$109,0))=FALSE)</f>
        <v>0</v>
      </c>
      <c r="AC123" s="279" t="b">
        <f>IF(OR($D21="",$D21=CONST_NA),FALSE,INDEX(Parameters_Constants!$K$110:$AF$127,MATCH($E21,CONST_LIST_Goods,0),MATCH(AC$8,Parameters_Constants!$K$109:$AF$109,0))=FALSE)</f>
        <v>0</v>
      </c>
      <c r="AD123" s="279" t="b">
        <f>IF(OR($D21="",$D21=CONST_NA),FALSE,INDEX(Parameters_Constants!$K$110:$AF$127,MATCH($E21,CONST_LIST_Goods,0),MATCH(AD$8,Parameters_Constants!$K$109:$AF$109,0))=FALSE)</f>
        <v>0</v>
      </c>
      <c r="AE123" s="279" t="b">
        <f>IF(OR($D21="",$D21=CONST_NA),FALSE,INDEX(Parameters_Constants!$K$110:$AF$127,MATCH($E21,CONST_LIST_Goods,0),MATCH(AE$8,Parameters_Constants!$K$109:$AF$109,0))=FALSE)</f>
        <v>0</v>
      </c>
      <c r="AF123" s="279" t="b">
        <f>IF(OR($D21="",$D21=CONST_NA),FALSE,INDEX(Parameters_Constants!$K$110:$AF$127,MATCH($E21,CONST_LIST_Goods,0),MATCH(AF$8,Parameters_Constants!$K$109:$AF$109,0))=FALSE)</f>
        <v>0</v>
      </c>
      <c r="AG123" s="279" t="b">
        <f>IF(OR($D21="",$D21=CONST_NA),FALSE,INDEX(Parameters_Constants!$K$110:$AF$127,MATCH($E21,CONST_LIST_Goods,0),MATCH(AG$8,Parameters_Constants!$K$109:$AF$109,0))=FALSE)</f>
        <v>0</v>
      </c>
      <c r="AH123" s="279" t="b">
        <f>IF(OR($D21="",$D21=CONST_NA),FALSE,INDEX(Parameters_Constants!$K$110:$AF$127,MATCH($E21,CONST_LIST_Goods,0),MATCH(AH$8,Parameters_Constants!$K$109:$AF$109,0))=FALSE)</f>
        <v>0</v>
      </c>
      <c r="AI123" s="279" t="b">
        <f>IF(OR($D21="",$D21=CONST_NA),FALSE,INDEX(Parameters_Constants!$K$110:$AF$127,MATCH($E21,CONST_LIST_Goods,0),MATCH(AI$8,Parameters_Constants!$K$109:$AF$109,0))=FALSE)</f>
        <v>0</v>
      </c>
      <c r="AJ123" s="279" t="b">
        <f>IF(OR($D21="",$D21=CONST_NA),FALSE,INDEX(Parameters_Constants!$K$110:$AF$127,MATCH($E21,CONST_LIST_Goods,0),MATCH(AJ$8,Parameters_Constants!$K$109:$AF$109,0))=FALSE)</f>
        <v>0</v>
      </c>
      <c r="AK123" s="279" t="b">
        <f>IF(OR($D21="",$D21=CONST_NA),FALSE,INDEX(Parameters_Constants!$K$110:$AF$127,MATCH($E21,CONST_LIST_Goods,0),MATCH(AK$8,Parameters_Constants!$K$109:$AF$109,0))=FALSE)</f>
        <v>0</v>
      </c>
    </row>
    <row r="124" spans="1:37" s="275" customFormat="1" hidden="1" x14ac:dyDescent="0.35">
      <c r="A124" s="275" t="s">
        <v>3</v>
      </c>
      <c r="C124" s="275">
        <v>13</v>
      </c>
      <c r="F124" s="279" t="b">
        <v>0</v>
      </c>
      <c r="H124" s="279" t="b">
        <v>0</v>
      </c>
      <c r="P124" s="279" t="b">
        <f>IF(OR($D22="",$D22=CONST_NA),FALSE,INDEX(Parameters_Constants!$K$110:$AF$127,MATCH($E22,CONST_LIST_Goods,0),MATCH(P$8,Parameters_Constants!$K$109:$AF$109,0))=FALSE)</f>
        <v>0</v>
      </c>
      <c r="Q124" s="279" t="b">
        <f>IF(OR($D22="",$D22=CONST_NA),FALSE,INDEX(Parameters_Constants!$K$110:$AF$127,MATCH($E22,CONST_LIST_Goods,0),MATCH(Q$8,Parameters_Constants!$K$109:$AF$109,0))=FALSE)</f>
        <v>0</v>
      </c>
      <c r="R124" s="279" t="b">
        <f>IF(OR($D22="",$D22=CONST_NA),FALSE,INDEX(Parameters_Constants!$K$110:$AF$127,MATCH($E22,CONST_LIST_Goods,0),MATCH(R$8,Parameters_Constants!$K$109:$AF$109,0))=FALSE)</f>
        <v>0</v>
      </c>
      <c r="S124" s="279" t="b">
        <f>IF(OR($D22="",$D22=CONST_NA),FALSE,INDEX(Parameters_Constants!$K$110:$AF$127,MATCH($E22,CONST_LIST_Goods,0),MATCH(S$8,Parameters_Constants!$K$109:$AF$109,0))=FALSE)</f>
        <v>0</v>
      </c>
      <c r="T124" s="279" t="b">
        <f>IF(OR($D22="",$D22=CONST_NA),FALSE,INDEX(Parameters_Constants!$K$110:$AF$127,MATCH($E22,CONST_LIST_Goods,0),MATCH(T$8,Parameters_Constants!$K$109:$AF$109,0))=FALSE)</f>
        <v>0</v>
      </c>
      <c r="U124" s="279" t="b">
        <f>IF(OR($D22="",$D22=CONST_NA),FALSE,INDEX(Parameters_Constants!$K$110:$AF$127,MATCH($E22,CONST_LIST_Goods,0),MATCH(U$8,Parameters_Constants!$K$109:$AF$109,0))=FALSE)</f>
        <v>0</v>
      </c>
      <c r="V124" s="279" t="b">
        <f>IF(OR($D22="",$D22=CONST_NA),FALSE,INDEX(Parameters_Constants!$K$110:$AF$127,MATCH($E22,CONST_LIST_Goods,0),MATCH(V$8,Parameters_Constants!$K$109:$AF$109,0))=FALSE)</f>
        <v>0</v>
      </c>
      <c r="W124" s="279" t="b">
        <f>IF(OR($D22="",$D22=CONST_NA),FALSE,INDEX(Parameters_Constants!$K$110:$AF$127,MATCH($E22,CONST_LIST_Goods,0),MATCH(W$8,Parameters_Constants!$K$109:$AF$109,0))=FALSE)</f>
        <v>0</v>
      </c>
      <c r="X124" s="279" t="b">
        <f>IF(OR($D22="",$D22=CONST_NA),FALSE,INDEX(Parameters_Constants!$K$110:$AF$127,MATCH($E22,CONST_LIST_Goods,0),MATCH(X$8,Parameters_Constants!$K$109:$AF$109,0))=FALSE)</f>
        <v>0</v>
      </c>
      <c r="Y124" s="279" t="b">
        <f>IF(OR($D22="",$D22=CONST_NA),FALSE,INDEX(Parameters_Constants!$K$110:$AF$127,MATCH($E22,CONST_LIST_Goods,0),MATCH(Y$8,Parameters_Constants!$K$109:$AF$109,0))=FALSE)</f>
        <v>0</v>
      </c>
      <c r="Z124" s="279" t="b">
        <f>IF(OR($D22="",$D22=CONST_NA),FALSE,INDEX(Parameters_Constants!$K$110:$AF$127,MATCH($E22,CONST_LIST_Goods,0),MATCH(Z$8,Parameters_Constants!$K$109:$AF$109,0))=FALSE)</f>
        <v>0</v>
      </c>
      <c r="AA124" s="279" t="b">
        <f>IF(OR($D22="",$D22=CONST_NA),FALSE,INDEX(Parameters_Constants!$K$110:$AF$127,MATCH($E22,CONST_LIST_Goods,0),MATCH(AA$8,Parameters_Constants!$K$109:$AF$109,0))=FALSE)</f>
        <v>0</v>
      </c>
      <c r="AB124" s="279" t="b">
        <f>IF(OR($D22="",$D22=CONST_NA),FALSE,INDEX(Parameters_Constants!$K$110:$AF$127,MATCH($E22,CONST_LIST_Goods,0),MATCH(AB$8,Parameters_Constants!$K$109:$AF$109,0))=FALSE)</f>
        <v>0</v>
      </c>
      <c r="AC124" s="279" t="b">
        <f>IF(OR($D22="",$D22=CONST_NA),FALSE,INDEX(Parameters_Constants!$K$110:$AF$127,MATCH($E22,CONST_LIST_Goods,0),MATCH(AC$8,Parameters_Constants!$K$109:$AF$109,0))=FALSE)</f>
        <v>0</v>
      </c>
      <c r="AD124" s="279" t="b">
        <f>IF(OR($D22="",$D22=CONST_NA),FALSE,INDEX(Parameters_Constants!$K$110:$AF$127,MATCH($E22,CONST_LIST_Goods,0),MATCH(AD$8,Parameters_Constants!$K$109:$AF$109,0))=FALSE)</f>
        <v>0</v>
      </c>
      <c r="AE124" s="279" t="b">
        <f>IF(OR($D22="",$D22=CONST_NA),FALSE,INDEX(Parameters_Constants!$K$110:$AF$127,MATCH($E22,CONST_LIST_Goods,0),MATCH(AE$8,Parameters_Constants!$K$109:$AF$109,0))=FALSE)</f>
        <v>0</v>
      </c>
      <c r="AF124" s="279" t="b">
        <f>IF(OR($D22="",$D22=CONST_NA),FALSE,INDEX(Parameters_Constants!$K$110:$AF$127,MATCH($E22,CONST_LIST_Goods,0),MATCH(AF$8,Parameters_Constants!$K$109:$AF$109,0))=FALSE)</f>
        <v>0</v>
      </c>
      <c r="AG124" s="279" t="b">
        <f>IF(OR($D22="",$D22=CONST_NA),FALSE,INDEX(Parameters_Constants!$K$110:$AF$127,MATCH($E22,CONST_LIST_Goods,0),MATCH(AG$8,Parameters_Constants!$K$109:$AF$109,0))=FALSE)</f>
        <v>0</v>
      </c>
      <c r="AH124" s="279" t="b">
        <f>IF(OR($D22="",$D22=CONST_NA),FALSE,INDEX(Parameters_Constants!$K$110:$AF$127,MATCH($E22,CONST_LIST_Goods,0),MATCH(AH$8,Parameters_Constants!$K$109:$AF$109,0))=FALSE)</f>
        <v>0</v>
      </c>
      <c r="AI124" s="279" t="b">
        <f>IF(OR($D22="",$D22=CONST_NA),FALSE,INDEX(Parameters_Constants!$K$110:$AF$127,MATCH($E22,CONST_LIST_Goods,0),MATCH(AI$8,Parameters_Constants!$K$109:$AF$109,0))=FALSE)</f>
        <v>0</v>
      </c>
      <c r="AJ124" s="279" t="b">
        <f>IF(OR($D22="",$D22=CONST_NA),FALSE,INDEX(Parameters_Constants!$K$110:$AF$127,MATCH($E22,CONST_LIST_Goods,0),MATCH(AJ$8,Parameters_Constants!$K$109:$AF$109,0))=FALSE)</f>
        <v>0</v>
      </c>
      <c r="AK124" s="279" t="b">
        <f>IF(OR($D22="",$D22=CONST_NA),FALSE,INDEX(Parameters_Constants!$K$110:$AF$127,MATCH($E22,CONST_LIST_Goods,0),MATCH(AK$8,Parameters_Constants!$K$109:$AF$109,0))=FALSE)</f>
        <v>0</v>
      </c>
    </row>
    <row r="125" spans="1:37" s="275" customFormat="1" hidden="1" x14ac:dyDescent="0.35">
      <c r="A125" s="275" t="s">
        <v>3</v>
      </c>
      <c r="C125" s="275">
        <v>14</v>
      </c>
      <c r="F125" s="279" t="b">
        <v>0</v>
      </c>
      <c r="H125" s="279" t="b">
        <v>0</v>
      </c>
      <c r="P125" s="279" t="b">
        <f>IF(OR($D23="",$D23=CONST_NA),FALSE,INDEX(Parameters_Constants!$K$110:$AF$127,MATCH($E23,CONST_LIST_Goods,0),MATCH(P$8,Parameters_Constants!$K$109:$AF$109,0))=FALSE)</f>
        <v>0</v>
      </c>
      <c r="Q125" s="279" t="b">
        <f>IF(OR($D23="",$D23=CONST_NA),FALSE,INDEX(Parameters_Constants!$K$110:$AF$127,MATCH($E23,CONST_LIST_Goods,0),MATCH(Q$8,Parameters_Constants!$K$109:$AF$109,0))=FALSE)</f>
        <v>0</v>
      </c>
      <c r="R125" s="279" t="b">
        <f>IF(OR($D23="",$D23=CONST_NA),FALSE,INDEX(Parameters_Constants!$K$110:$AF$127,MATCH($E23,CONST_LIST_Goods,0),MATCH(R$8,Parameters_Constants!$K$109:$AF$109,0))=FALSE)</f>
        <v>0</v>
      </c>
      <c r="S125" s="279" t="b">
        <f>IF(OR($D23="",$D23=CONST_NA),FALSE,INDEX(Parameters_Constants!$K$110:$AF$127,MATCH($E23,CONST_LIST_Goods,0),MATCH(S$8,Parameters_Constants!$K$109:$AF$109,0))=FALSE)</f>
        <v>0</v>
      </c>
      <c r="T125" s="279" t="b">
        <f>IF(OR($D23="",$D23=CONST_NA),FALSE,INDEX(Parameters_Constants!$K$110:$AF$127,MATCH($E23,CONST_LIST_Goods,0),MATCH(T$8,Parameters_Constants!$K$109:$AF$109,0))=FALSE)</f>
        <v>0</v>
      </c>
      <c r="U125" s="279" t="b">
        <f>IF(OR($D23="",$D23=CONST_NA),FALSE,INDEX(Parameters_Constants!$K$110:$AF$127,MATCH($E23,CONST_LIST_Goods,0),MATCH(U$8,Parameters_Constants!$K$109:$AF$109,0))=FALSE)</f>
        <v>0</v>
      </c>
      <c r="V125" s="279" t="b">
        <f>IF(OR($D23="",$D23=CONST_NA),FALSE,INDEX(Parameters_Constants!$K$110:$AF$127,MATCH($E23,CONST_LIST_Goods,0),MATCH(V$8,Parameters_Constants!$K$109:$AF$109,0))=FALSE)</f>
        <v>0</v>
      </c>
      <c r="W125" s="279" t="b">
        <f>IF(OR($D23="",$D23=CONST_NA),FALSE,INDEX(Parameters_Constants!$K$110:$AF$127,MATCH($E23,CONST_LIST_Goods,0),MATCH(W$8,Parameters_Constants!$K$109:$AF$109,0))=FALSE)</f>
        <v>0</v>
      </c>
      <c r="X125" s="279" t="b">
        <f>IF(OR($D23="",$D23=CONST_NA),FALSE,INDEX(Parameters_Constants!$K$110:$AF$127,MATCH($E23,CONST_LIST_Goods,0),MATCH(X$8,Parameters_Constants!$K$109:$AF$109,0))=FALSE)</f>
        <v>0</v>
      </c>
      <c r="Y125" s="279" t="b">
        <f>IF(OR($D23="",$D23=CONST_NA),FALSE,INDEX(Parameters_Constants!$K$110:$AF$127,MATCH($E23,CONST_LIST_Goods,0),MATCH(Y$8,Parameters_Constants!$K$109:$AF$109,0))=FALSE)</f>
        <v>0</v>
      </c>
      <c r="Z125" s="279" t="b">
        <f>IF(OR($D23="",$D23=CONST_NA),FALSE,INDEX(Parameters_Constants!$K$110:$AF$127,MATCH($E23,CONST_LIST_Goods,0),MATCH(Z$8,Parameters_Constants!$K$109:$AF$109,0))=FALSE)</f>
        <v>0</v>
      </c>
      <c r="AA125" s="279" t="b">
        <f>IF(OR($D23="",$D23=CONST_NA),FALSE,INDEX(Parameters_Constants!$K$110:$AF$127,MATCH($E23,CONST_LIST_Goods,0),MATCH(AA$8,Parameters_Constants!$K$109:$AF$109,0))=FALSE)</f>
        <v>0</v>
      </c>
      <c r="AB125" s="279" t="b">
        <f>IF(OR($D23="",$D23=CONST_NA),FALSE,INDEX(Parameters_Constants!$K$110:$AF$127,MATCH($E23,CONST_LIST_Goods,0),MATCH(AB$8,Parameters_Constants!$K$109:$AF$109,0))=FALSE)</f>
        <v>0</v>
      </c>
      <c r="AC125" s="279" t="b">
        <f>IF(OR($D23="",$D23=CONST_NA),FALSE,INDEX(Parameters_Constants!$K$110:$AF$127,MATCH($E23,CONST_LIST_Goods,0),MATCH(AC$8,Parameters_Constants!$K$109:$AF$109,0))=FALSE)</f>
        <v>0</v>
      </c>
      <c r="AD125" s="279" t="b">
        <f>IF(OR($D23="",$D23=CONST_NA),FALSE,INDEX(Parameters_Constants!$K$110:$AF$127,MATCH($E23,CONST_LIST_Goods,0),MATCH(AD$8,Parameters_Constants!$K$109:$AF$109,0))=FALSE)</f>
        <v>0</v>
      </c>
      <c r="AE125" s="279" t="b">
        <f>IF(OR($D23="",$D23=CONST_NA),FALSE,INDEX(Parameters_Constants!$K$110:$AF$127,MATCH($E23,CONST_LIST_Goods,0),MATCH(AE$8,Parameters_Constants!$K$109:$AF$109,0))=FALSE)</f>
        <v>0</v>
      </c>
      <c r="AF125" s="279" t="b">
        <f>IF(OR($D23="",$D23=CONST_NA),FALSE,INDEX(Parameters_Constants!$K$110:$AF$127,MATCH($E23,CONST_LIST_Goods,0),MATCH(AF$8,Parameters_Constants!$K$109:$AF$109,0))=FALSE)</f>
        <v>0</v>
      </c>
      <c r="AG125" s="279" t="b">
        <f>IF(OR($D23="",$D23=CONST_NA),FALSE,INDEX(Parameters_Constants!$K$110:$AF$127,MATCH($E23,CONST_LIST_Goods,0),MATCH(AG$8,Parameters_Constants!$K$109:$AF$109,0))=FALSE)</f>
        <v>0</v>
      </c>
      <c r="AH125" s="279" t="b">
        <f>IF(OR($D23="",$D23=CONST_NA),FALSE,INDEX(Parameters_Constants!$K$110:$AF$127,MATCH($E23,CONST_LIST_Goods,0),MATCH(AH$8,Parameters_Constants!$K$109:$AF$109,0))=FALSE)</f>
        <v>0</v>
      </c>
      <c r="AI125" s="279" t="b">
        <f>IF(OR($D23="",$D23=CONST_NA),FALSE,INDEX(Parameters_Constants!$K$110:$AF$127,MATCH($E23,CONST_LIST_Goods,0),MATCH(AI$8,Parameters_Constants!$K$109:$AF$109,0))=FALSE)</f>
        <v>0</v>
      </c>
      <c r="AJ125" s="279" t="b">
        <f>IF(OR($D23="",$D23=CONST_NA),FALSE,INDEX(Parameters_Constants!$K$110:$AF$127,MATCH($E23,CONST_LIST_Goods,0),MATCH(AJ$8,Parameters_Constants!$K$109:$AF$109,0))=FALSE)</f>
        <v>0</v>
      </c>
      <c r="AK125" s="279" t="b">
        <f>IF(OR($D23="",$D23=CONST_NA),FALSE,INDEX(Parameters_Constants!$K$110:$AF$127,MATCH($E23,CONST_LIST_Goods,0),MATCH(AK$8,Parameters_Constants!$K$109:$AF$109,0))=FALSE)</f>
        <v>0</v>
      </c>
    </row>
    <row r="126" spans="1:37" s="275" customFormat="1" hidden="1" x14ac:dyDescent="0.35">
      <c r="A126" s="275" t="s">
        <v>3</v>
      </c>
      <c r="C126" s="275">
        <v>15</v>
      </c>
      <c r="F126" s="279" t="b">
        <v>0</v>
      </c>
      <c r="H126" s="279" t="b">
        <v>0</v>
      </c>
      <c r="P126" s="279" t="b">
        <f>IF(OR($D24="",$D24=CONST_NA),FALSE,INDEX(Parameters_Constants!$K$110:$AF$127,MATCH($E24,CONST_LIST_Goods,0),MATCH(P$8,Parameters_Constants!$K$109:$AF$109,0))=FALSE)</f>
        <v>0</v>
      </c>
      <c r="Q126" s="279" t="b">
        <f>IF(OR($D24="",$D24=CONST_NA),FALSE,INDEX(Parameters_Constants!$K$110:$AF$127,MATCH($E24,CONST_LIST_Goods,0),MATCH(Q$8,Parameters_Constants!$K$109:$AF$109,0))=FALSE)</f>
        <v>0</v>
      </c>
      <c r="R126" s="279" t="b">
        <f>IF(OR($D24="",$D24=CONST_NA),FALSE,INDEX(Parameters_Constants!$K$110:$AF$127,MATCH($E24,CONST_LIST_Goods,0),MATCH(R$8,Parameters_Constants!$K$109:$AF$109,0))=FALSE)</f>
        <v>0</v>
      </c>
      <c r="S126" s="279" t="b">
        <f>IF(OR($D24="",$D24=CONST_NA),FALSE,INDEX(Parameters_Constants!$K$110:$AF$127,MATCH($E24,CONST_LIST_Goods,0),MATCH(S$8,Parameters_Constants!$K$109:$AF$109,0))=FALSE)</f>
        <v>0</v>
      </c>
      <c r="T126" s="279" t="b">
        <f>IF(OR($D24="",$D24=CONST_NA),FALSE,INDEX(Parameters_Constants!$K$110:$AF$127,MATCH($E24,CONST_LIST_Goods,0),MATCH(T$8,Parameters_Constants!$K$109:$AF$109,0))=FALSE)</f>
        <v>0</v>
      </c>
      <c r="U126" s="279" t="b">
        <f>IF(OR($D24="",$D24=CONST_NA),FALSE,INDEX(Parameters_Constants!$K$110:$AF$127,MATCH($E24,CONST_LIST_Goods,0),MATCH(U$8,Parameters_Constants!$K$109:$AF$109,0))=FALSE)</f>
        <v>0</v>
      </c>
      <c r="V126" s="279" t="b">
        <f>IF(OR($D24="",$D24=CONST_NA),FALSE,INDEX(Parameters_Constants!$K$110:$AF$127,MATCH($E24,CONST_LIST_Goods,0),MATCH(V$8,Parameters_Constants!$K$109:$AF$109,0))=FALSE)</f>
        <v>0</v>
      </c>
      <c r="W126" s="279" t="b">
        <f>IF(OR($D24="",$D24=CONST_NA),FALSE,INDEX(Parameters_Constants!$K$110:$AF$127,MATCH($E24,CONST_LIST_Goods,0),MATCH(W$8,Parameters_Constants!$K$109:$AF$109,0))=FALSE)</f>
        <v>0</v>
      </c>
      <c r="X126" s="279" t="b">
        <f>IF(OR($D24="",$D24=CONST_NA),FALSE,INDEX(Parameters_Constants!$K$110:$AF$127,MATCH($E24,CONST_LIST_Goods,0),MATCH(X$8,Parameters_Constants!$K$109:$AF$109,0))=FALSE)</f>
        <v>0</v>
      </c>
      <c r="Y126" s="279" t="b">
        <f>IF(OR($D24="",$D24=CONST_NA),FALSE,INDEX(Parameters_Constants!$K$110:$AF$127,MATCH($E24,CONST_LIST_Goods,0),MATCH(Y$8,Parameters_Constants!$K$109:$AF$109,0))=FALSE)</f>
        <v>0</v>
      </c>
      <c r="Z126" s="279" t="b">
        <f>IF(OR($D24="",$D24=CONST_NA),FALSE,INDEX(Parameters_Constants!$K$110:$AF$127,MATCH($E24,CONST_LIST_Goods,0),MATCH(Z$8,Parameters_Constants!$K$109:$AF$109,0))=FALSE)</f>
        <v>0</v>
      </c>
      <c r="AA126" s="279" t="b">
        <f>IF(OR($D24="",$D24=CONST_NA),FALSE,INDEX(Parameters_Constants!$K$110:$AF$127,MATCH($E24,CONST_LIST_Goods,0),MATCH(AA$8,Parameters_Constants!$K$109:$AF$109,0))=FALSE)</f>
        <v>0</v>
      </c>
      <c r="AB126" s="279" t="b">
        <f>IF(OR($D24="",$D24=CONST_NA),FALSE,INDEX(Parameters_Constants!$K$110:$AF$127,MATCH($E24,CONST_LIST_Goods,0),MATCH(AB$8,Parameters_Constants!$K$109:$AF$109,0))=FALSE)</f>
        <v>0</v>
      </c>
      <c r="AC126" s="279" t="b">
        <f>IF(OR($D24="",$D24=CONST_NA),FALSE,INDEX(Parameters_Constants!$K$110:$AF$127,MATCH($E24,CONST_LIST_Goods,0),MATCH(AC$8,Parameters_Constants!$K$109:$AF$109,0))=FALSE)</f>
        <v>0</v>
      </c>
      <c r="AD126" s="279" t="b">
        <f>IF(OR($D24="",$D24=CONST_NA),FALSE,INDEX(Parameters_Constants!$K$110:$AF$127,MATCH($E24,CONST_LIST_Goods,0),MATCH(AD$8,Parameters_Constants!$K$109:$AF$109,0))=FALSE)</f>
        <v>0</v>
      </c>
      <c r="AE126" s="279" t="b">
        <f>IF(OR($D24="",$D24=CONST_NA),FALSE,INDEX(Parameters_Constants!$K$110:$AF$127,MATCH($E24,CONST_LIST_Goods,0),MATCH(AE$8,Parameters_Constants!$K$109:$AF$109,0))=FALSE)</f>
        <v>0</v>
      </c>
      <c r="AF126" s="279" t="b">
        <f>IF(OR($D24="",$D24=CONST_NA),FALSE,INDEX(Parameters_Constants!$K$110:$AF$127,MATCH($E24,CONST_LIST_Goods,0),MATCH(AF$8,Parameters_Constants!$K$109:$AF$109,0))=FALSE)</f>
        <v>0</v>
      </c>
      <c r="AG126" s="279" t="b">
        <f>IF(OR($D24="",$D24=CONST_NA),FALSE,INDEX(Parameters_Constants!$K$110:$AF$127,MATCH($E24,CONST_LIST_Goods,0),MATCH(AG$8,Parameters_Constants!$K$109:$AF$109,0))=FALSE)</f>
        <v>0</v>
      </c>
      <c r="AH126" s="279" t="b">
        <f>IF(OR($D24="",$D24=CONST_NA),FALSE,INDEX(Parameters_Constants!$K$110:$AF$127,MATCH($E24,CONST_LIST_Goods,0),MATCH(AH$8,Parameters_Constants!$K$109:$AF$109,0))=FALSE)</f>
        <v>0</v>
      </c>
      <c r="AI126" s="279" t="b">
        <f>IF(OR($D24="",$D24=CONST_NA),FALSE,INDEX(Parameters_Constants!$K$110:$AF$127,MATCH($E24,CONST_LIST_Goods,0),MATCH(AI$8,Parameters_Constants!$K$109:$AF$109,0))=FALSE)</f>
        <v>0</v>
      </c>
      <c r="AJ126" s="279" t="b">
        <f>IF(OR($D24="",$D24=CONST_NA),FALSE,INDEX(Parameters_Constants!$K$110:$AF$127,MATCH($E24,CONST_LIST_Goods,0),MATCH(AJ$8,Parameters_Constants!$K$109:$AF$109,0))=FALSE)</f>
        <v>0</v>
      </c>
      <c r="AK126" s="279" t="b">
        <f>IF(OR($D24="",$D24=CONST_NA),FALSE,INDEX(Parameters_Constants!$K$110:$AF$127,MATCH($E24,CONST_LIST_Goods,0),MATCH(AK$8,Parameters_Constants!$K$109:$AF$109,0))=FALSE)</f>
        <v>0</v>
      </c>
    </row>
    <row r="127" spans="1:37" s="275" customFormat="1" hidden="1" x14ac:dyDescent="0.35">
      <c r="A127" s="275" t="s">
        <v>3</v>
      </c>
      <c r="C127" s="275">
        <v>16</v>
      </c>
      <c r="F127" s="279" t="b">
        <v>0</v>
      </c>
      <c r="H127" s="279" t="b">
        <v>0</v>
      </c>
      <c r="P127" s="279" t="b">
        <f>IF(OR($D25="",$D25=CONST_NA),FALSE,INDEX(Parameters_Constants!$K$110:$AF$127,MATCH($E25,CONST_LIST_Goods,0),MATCH(P$8,Parameters_Constants!$K$109:$AF$109,0))=FALSE)</f>
        <v>0</v>
      </c>
      <c r="Q127" s="279" t="b">
        <f>IF(OR($D25="",$D25=CONST_NA),FALSE,INDEX(Parameters_Constants!$K$110:$AF$127,MATCH($E25,CONST_LIST_Goods,0),MATCH(Q$8,Parameters_Constants!$K$109:$AF$109,0))=FALSE)</f>
        <v>0</v>
      </c>
      <c r="R127" s="279" t="b">
        <f>IF(OR($D25="",$D25=CONST_NA),FALSE,INDEX(Parameters_Constants!$K$110:$AF$127,MATCH($E25,CONST_LIST_Goods,0),MATCH(R$8,Parameters_Constants!$K$109:$AF$109,0))=FALSE)</f>
        <v>0</v>
      </c>
      <c r="S127" s="279" t="b">
        <f>IF(OR($D25="",$D25=CONST_NA),FALSE,INDEX(Parameters_Constants!$K$110:$AF$127,MATCH($E25,CONST_LIST_Goods,0),MATCH(S$8,Parameters_Constants!$K$109:$AF$109,0))=FALSE)</f>
        <v>0</v>
      </c>
      <c r="T127" s="279" t="b">
        <f>IF(OR($D25="",$D25=CONST_NA),FALSE,INDEX(Parameters_Constants!$K$110:$AF$127,MATCH($E25,CONST_LIST_Goods,0),MATCH(T$8,Parameters_Constants!$K$109:$AF$109,0))=FALSE)</f>
        <v>0</v>
      </c>
      <c r="U127" s="279" t="b">
        <f>IF(OR($D25="",$D25=CONST_NA),FALSE,INDEX(Parameters_Constants!$K$110:$AF$127,MATCH($E25,CONST_LIST_Goods,0),MATCH(U$8,Parameters_Constants!$K$109:$AF$109,0))=FALSE)</f>
        <v>0</v>
      </c>
      <c r="V127" s="279" t="b">
        <f>IF(OR($D25="",$D25=CONST_NA),FALSE,INDEX(Parameters_Constants!$K$110:$AF$127,MATCH($E25,CONST_LIST_Goods,0),MATCH(V$8,Parameters_Constants!$K$109:$AF$109,0))=FALSE)</f>
        <v>0</v>
      </c>
      <c r="W127" s="279" t="b">
        <f>IF(OR($D25="",$D25=CONST_NA),FALSE,INDEX(Parameters_Constants!$K$110:$AF$127,MATCH($E25,CONST_LIST_Goods,0),MATCH(W$8,Parameters_Constants!$K$109:$AF$109,0))=FALSE)</f>
        <v>0</v>
      </c>
      <c r="X127" s="279" t="b">
        <f>IF(OR($D25="",$D25=CONST_NA),FALSE,INDEX(Parameters_Constants!$K$110:$AF$127,MATCH($E25,CONST_LIST_Goods,0),MATCH(X$8,Parameters_Constants!$K$109:$AF$109,0))=FALSE)</f>
        <v>0</v>
      </c>
      <c r="Y127" s="279" t="b">
        <f>IF(OR($D25="",$D25=CONST_NA),FALSE,INDEX(Parameters_Constants!$K$110:$AF$127,MATCH($E25,CONST_LIST_Goods,0),MATCH(Y$8,Parameters_Constants!$K$109:$AF$109,0))=FALSE)</f>
        <v>0</v>
      </c>
      <c r="Z127" s="279" t="b">
        <f>IF(OR($D25="",$D25=CONST_NA),FALSE,INDEX(Parameters_Constants!$K$110:$AF$127,MATCH($E25,CONST_LIST_Goods,0),MATCH(Z$8,Parameters_Constants!$K$109:$AF$109,0))=FALSE)</f>
        <v>0</v>
      </c>
      <c r="AA127" s="279" t="b">
        <f>IF(OR($D25="",$D25=CONST_NA),FALSE,INDEX(Parameters_Constants!$K$110:$AF$127,MATCH($E25,CONST_LIST_Goods,0),MATCH(AA$8,Parameters_Constants!$K$109:$AF$109,0))=FALSE)</f>
        <v>0</v>
      </c>
      <c r="AB127" s="279" t="b">
        <f>IF(OR($D25="",$D25=CONST_NA),FALSE,INDEX(Parameters_Constants!$K$110:$AF$127,MATCH($E25,CONST_LIST_Goods,0),MATCH(AB$8,Parameters_Constants!$K$109:$AF$109,0))=FALSE)</f>
        <v>0</v>
      </c>
      <c r="AC127" s="279" t="b">
        <f>IF(OR($D25="",$D25=CONST_NA),FALSE,INDEX(Parameters_Constants!$K$110:$AF$127,MATCH($E25,CONST_LIST_Goods,0),MATCH(AC$8,Parameters_Constants!$K$109:$AF$109,0))=FALSE)</f>
        <v>0</v>
      </c>
      <c r="AD127" s="279" t="b">
        <f>IF(OR($D25="",$D25=CONST_NA),FALSE,INDEX(Parameters_Constants!$K$110:$AF$127,MATCH($E25,CONST_LIST_Goods,0),MATCH(AD$8,Parameters_Constants!$K$109:$AF$109,0))=FALSE)</f>
        <v>0</v>
      </c>
      <c r="AE127" s="279" t="b">
        <f>IF(OR($D25="",$D25=CONST_NA),FALSE,INDEX(Parameters_Constants!$K$110:$AF$127,MATCH($E25,CONST_LIST_Goods,0),MATCH(AE$8,Parameters_Constants!$K$109:$AF$109,0))=FALSE)</f>
        <v>0</v>
      </c>
      <c r="AF127" s="279" t="b">
        <f>IF(OR($D25="",$D25=CONST_NA),FALSE,INDEX(Parameters_Constants!$K$110:$AF$127,MATCH($E25,CONST_LIST_Goods,0),MATCH(AF$8,Parameters_Constants!$K$109:$AF$109,0))=FALSE)</f>
        <v>0</v>
      </c>
      <c r="AG127" s="279" t="b">
        <f>IF(OR($D25="",$D25=CONST_NA),FALSE,INDEX(Parameters_Constants!$K$110:$AF$127,MATCH($E25,CONST_LIST_Goods,0),MATCH(AG$8,Parameters_Constants!$K$109:$AF$109,0))=FALSE)</f>
        <v>0</v>
      </c>
      <c r="AH127" s="279" t="b">
        <f>IF(OR($D25="",$D25=CONST_NA),FALSE,INDEX(Parameters_Constants!$K$110:$AF$127,MATCH($E25,CONST_LIST_Goods,0),MATCH(AH$8,Parameters_Constants!$K$109:$AF$109,0))=FALSE)</f>
        <v>0</v>
      </c>
      <c r="AI127" s="279" t="b">
        <f>IF(OR($D25="",$D25=CONST_NA),FALSE,INDEX(Parameters_Constants!$K$110:$AF$127,MATCH($E25,CONST_LIST_Goods,0),MATCH(AI$8,Parameters_Constants!$K$109:$AF$109,0))=FALSE)</f>
        <v>0</v>
      </c>
      <c r="AJ127" s="279" t="b">
        <f>IF(OR($D25="",$D25=CONST_NA),FALSE,INDEX(Parameters_Constants!$K$110:$AF$127,MATCH($E25,CONST_LIST_Goods,0),MATCH(AJ$8,Parameters_Constants!$K$109:$AF$109,0))=FALSE)</f>
        <v>0</v>
      </c>
      <c r="AK127" s="279" t="b">
        <f>IF(OR($D25="",$D25=CONST_NA),FALSE,INDEX(Parameters_Constants!$K$110:$AF$127,MATCH($E25,CONST_LIST_Goods,0),MATCH(AK$8,Parameters_Constants!$K$109:$AF$109,0))=FALSE)</f>
        <v>0</v>
      </c>
    </row>
    <row r="128" spans="1:37" s="275" customFormat="1" hidden="1" x14ac:dyDescent="0.35">
      <c r="A128" s="275" t="s">
        <v>3</v>
      </c>
      <c r="C128" s="275">
        <v>17</v>
      </c>
      <c r="F128" s="279" t="b">
        <v>0</v>
      </c>
      <c r="H128" s="279" t="b">
        <v>0</v>
      </c>
      <c r="P128" s="279" t="b">
        <f>IF(OR($D26="",$D26=CONST_NA),FALSE,INDEX(Parameters_Constants!$K$110:$AF$127,MATCH($E26,CONST_LIST_Goods,0),MATCH(P$8,Parameters_Constants!$K$109:$AF$109,0))=FALSE)</f>
        <v>0</v>
      </c>
      <c r="Q128" s="279" t="b">
        <f>IF(OR($D26="",$D26=CONST_NA),FALSE,INDEX(Parameters_Constants!$K$110:$AF$127,MATCH($E26,CONST_LIST_Goods,0),MATCH(Q$8,Parameters_Constants!$K$109:$AF$109,0))=FALSE)</f>
        <v>0</v>
      </c>
      <c r="R128" s="279" t="b">
        <f>IF(OR($D26="",$D26=CONST_NA),FALSE,INDEX(Parameters_Constants!$K$110:$AF$127,MATCH($E26,CONST_LIST_Goods,0),MATCH(R$8,Parameters_Constants!$K$109:$AF$109,0))=FALSE)</f>
        <v>0</v>
      </c>
      <c r="S128" s="279" t="b">
        <f>IF(OR($D26="",$D26=CONST_NA),FALSE,INDEX(Parameters_Constants!$K$110:$AF$127,MATCH($E26,CONST_LIST_Goods,0),MATCH(S$8,Parameters_Constants!$K$109:$AF$109,0))=FALSE)</f>
        <v>0</v>
      </c>
      <c r="T128" s="279" t="b">
        <f>IF(OR($D26="",$D26=CONST_NA),FALSE,INDEX(Parameters_Constants!$K$110:$AF$127,MATCH($E26,CONST_LIST_Goods,0),MATCH(T$8,Parameters_Constants!$K$109:$AF$109,0))=FALSE)</f>
        <v>0</v>
      </c>
      <c r="U128" s="279" t="b">
        <f>IF(OR($D26="",$D26=CONST_NA),FALSE,INDEX(Parameters_Constants!$K$110:$AF$127,MATCH($E26,CONST_LIST_Goods,0),MATCH(U$8,Parameters_Constants!$K$109:$AF$109,0))=FALSE)</f>
        <v>0</v>
      </c>
      <c r="V128" s="279" t="b">
        <f>IF(OR($D26="",$D26=CONST_NA),FALSE,INDEX(Parameters_Constants!$K$110:$AF$127,MATCH($E26,CONST_LIST_Goods,0),MATCH(V$8,Parameters_Constants!$K$109:$AF$109,0))=FALSE)</f>
        <v>0</v>
      </c>
      <c r="W128" s="279" t="b">
        <f>IF(OR($D26="",$D26=CONST_NA),FALSE,INDEX(Parameters_Constants!$K$110:$AF$127,MATCH($E26,CONST_LIST_Goods,0),MATCH(W$8,Parameters_Constants!$K$109:$AF$109,0))=FALSE)</f>
        <v>0</v>
      </c>
      <c r="X128" s="279" t="b">
        <f>IF(OR($D26="",$D26=CONST_NA),FALSE,INDEX(Parameters_Constants!$K$110:$AF$127,MATCH($E26,CONST_LIST_Goods,0),MATCH(X$8,Parameters_Constants!$K$109:$AF$109,0))=FALSE)</f>
        <v>0</v>
      </c>
      <c r="Y128" s="279" t="b">
        <f>IF(OR($D26="",$D26=CONST_NA),FALSE,INDEX(Parameters_Constants!$K$110:$AF$127,MATCH($E26,CONST_LIST_Goods,0),MATCH(Y$8,Parameters_Constants!$K$109:$AF$109,0))=FALSE)</f>
        <v>0</v>
      </c>
      <c r="Z128" s="279" t="b">
        <f>IF(OR($D26="",$D26=CONST_NA),FALSE,INDEX(Parameters_Constants!$K$110:$AF$127,MATCH($E26,CONST_LIST_Goods,0),MATCH(Z$8,Parameters_Constants!$K$109:$AF$109,0))=FALSE)</f>
        <v>0</v>
      </c>
      <c r="AA128" s="279" t="b">
        <f>IF(OR($D26="",$D26=CONST_NA),FALSE,INDEX(Parameters_Constants!$K$110:$AF$127,MATCH($E26,CONST_LIST_Goods,0),MATCH(AA$8,Parameters_Constants!$K$109:$AF$109,0))=FALSE)</f>
        <v>0</v>
      </c>
      <c r="AB128" s="279" t="b">
        <f>IF(OR($D26="",$D26=CONST_NA),FALSE,INDEX(Parameters_Constants!$K$110:$AF$127,MATCH($E26,CONST_LIST_Goods,0),MATCH(AB$8,Parameters_Constants!$K$109:$AF$109,0))=FALSE)</f>
        <v>0</v>
      </c>
      <c r="AC128" s="279" t="b">
        <f>IF(OR($D26="",$D26=CONST_NA),FALSE,INDEX(Parameters_Constants!$K$110:$AF$127,MATCH($E26,CONST_LIST_Goods,0),MATCH(AC$8,Parameters_Constants!$K$109:$AF$109,0))=FALSE)</f>
        <v>0</v>
      </c>
      <c r="AD128" s="279" t="b">
        <f>IF(OR($D26="",$D26=CONST_NA),FALSE,INDEX(Parameters_Constants!$K$110:$AF$127,MATCH($E26,CONST_LIST_Goods,0),MATCH(AD$8,Parameters_Constants!$K$109:$AF$109,0))=FALSE)</f>
        <v>0</v>
      </c>
      <c r="AE128" s="279" t="b">
        <f>IF(OR($D26="",$D26=CONST_NA),FALSE,INDEX(Parameters_Constants!$K$110:$AF$127,MATCH($E26,CONST_LIST_Goods,0),MATCH(AE$8,Parameters_Constants!$K$109:$AF$109,0))=FALSE)</f>
        <v>0</v>
      </c>
      <c r="AF128" s="279" t="b">
        <f>IF(OR($D26="",$D26=CONST_NA),FALSE,INDEX(Parameters_Constants!$K$110:$AF$127,MATCH($E26,CONST_LIST_Goods,0),MATCH(AF$8,Parameters_Constants!$K$109:$AF$109,0))=FALSE)</f>
        <v>0</v>
      </c>
      <c r="AG128" s="279" t="b">
        <f>IF(OR($D26="",$D26=CONST_NA),FALSE,INDEX(Parameters_Constants!$K$110:$AF$127,MATCH($E26,CONST_LIST_Goods,0),MATCH(AG$8,Parameters_Constants!$K$109:$AF$109,0))=FALSE)</f>
        <v>0</v>
      </c>
      <c r="AH128" s="279" t="b">
        <f>IF(OR($D26="",$D26=CONST_NA),FALSE,INDEX(Parameters_Constants!$K$110:$AF$127,MATCH($E26,CONST_LIST_Goods,0),MATCH(AH$8,Parameters_Constants!$K$109:$AF$109,0))=FALSE)</f>
        <v>0</v>
      </c>
      <c r="AI128" s="279" t="b">
        <f>IF(OR($D26="",$D26=CONST_NA),FALSE,INDEX(Parameters_Constants!$K$110:$AF$127,MATCH($E26,CONST_LIST_Goods,0),MATCH(AI$8,Parameters_Constants!$K$109:$AF$109,0))=FALSE)</f>
        <v>0</v>
      </c>
      <c r="AJ128" s="279" t="b">
        <f>IF(OR($D26="",$D26=CONST_NA),FALSE,INDEX(Parameters_Constants!$K$110:$AF$127,MATCH($E26,CONST_LIST_Goods,0),MATCH(AJ$8,Parameters_Constants!$K$109:$AF$109,0))=FALSE)</f>
        <v>0</v>
      </c>
      <c r="AK128" s="279" t="b">
        <f>IF(OR($D26="",$D26=CONST_NA),FALSE,INDEX(Parameters_Constants!$K$110:$AF$127,MATCH($E26,CONST_LIST_Goods,0),MATCH(AK$8,Parameters_Constants!$K$109:$AF$109,0))=FALSE)</f>
        <v>0</v>
      </c>
    </row>
    <row r="129" spans="1:49" s="275" customFormat="1" hidden="1" x14ac:dyDescent="0.35">
      <c r="A129" s="275" t="s">
        <v>3</v>
      </c>
      <c r="C129" s="275">
        <v>18</v>
      </c>
      <c r="F129" s="279" t="b">
        <v>0</v>
      </c>
      <c r="H129" s="279" t="b">
        <v>0</v>
      </c>
      <c r="P129" s="279" t="b">
        <f>IF(OR($D27="",$D27=CONST_NA),FALSE,INDEX(Parameters_Constants!$K$110:$AF$127,MATCH($E27,CONST_LIST_Goods,0),MATCH(P$8,Parameters_Constants!$K$109:$AF$109,0))=FALSE)</f>
        <v>0</v>
      </c>
      <c r="Q129" s="279" t="b">
        <f>IF(OR($D27="",$D27=CONST_NA),FALSE,INDEX(Parameters_Constants!$K$110:$AF$127,MATCH($E27,CONST_LIST_Goods,0),MATCH(Q$8,Parameters_Constants!$K$109:$AF$109,0))=FALSE)</f>
        <v>0</v>
      </c>
      <c r="R129" s="279" t="b">
        <f>IF(OR($D27="",$D27=CONST_NA),FALSE,INDEX(Parameters_Constants!$K$110:$AF$127,MATCH($E27,CONST_LIST_Goods,0),MATCH(R$8,Parameters_Constants!$K$109:$AF$109,0))=FALSE)</f>
        <v>0</v>
      </c>
      <c r="S129" s="279" t="b">
        <f>IF(OR($D27="",$D27=CONST_NA),FALSE,INDEX(Parameters_Constants!$K$110:$AF$127,MATCH($E27,CONST_LIST_Goods,0),MATCH(S$8,Parameters_Constants!$K$109:$AF$109,0))=FALSE)</f>
        <v>0</v>
      </c>
      <c r="T129" s="279" t="b">
        <f>IF(OR($D27="",$D27=CONST_NA),FALSE,INDEX(Parameters_Constants!$K$110:$AF$127,MATCH($E27,CONST_LIST_Goods,0),MATCH(T$8,Parameters_Constants!$K$109:$AF$109,0))=FALSE)</f>
        <v>0</v>
      </c>
      <c r="U129" s="279" t="b">
        <f>IF(OR($D27="",$D27=CONST_NA),FALSE,INDEX(Parameters_Constants!$K$110:$AF$127,MATCH($E27,CONST_LIST_Goods,0),MATCH(U$8,Parameters_Constants!$K$109:$AF$109,0))=FALSE)</f>
        <v>0</v>
      </c>
      <c r="V129" s="279" t="b">
        <f>IF(OR($D27="",$D27=CONST_NA),FALSE,INDEX(Parameters_Constants!$K$110:$AF$127,MATCH($E27,CONST_LIST_Goods,0),MATCH(V$8,Parameters_Constants!$K$109:$AF$109,0))=FALSE)</f>
        <v>0</v>
      </c>
      <c r="W129" s="279" t="b">
        <f>IF(OR($D27="",$D27=CONST_NA),FALSE,INDEX(Parameters_Constants!$K$110:$AF$127,MATCH($E27,CONST_LIST_Goods,0),MATCH(W$8,Parameters_Constants!$K$109:$AF$109,0))=FALSE)</f>
        <v>0</v>
      </c>
      <c r="X129" s="279" t="b">
        <f>IF(OR($D27="",$D27=CONST_NA),FALSE,INDEX(Parameters_Constants!$K$110:$AF$127,MATCH($E27,CONST_LIST_Goods,0),MATCH(X$8,Parameters_Constants!$K$109:$AF$109,0))=FALSE)</f>
        <v>0</v>
      </c>
      <c r="Y129" s="279" t="b">
        <f>IF(OR($D27="",$D27=CONST_NA),FALSE,INDEX(Parameters_Constants!$K$110:$AF$127,MATCH($E27,CONST_LIST_Goods,0),MATCH(Y$8,Parameters_Constants!$K$109:$AF$109,0))=FALSE)</f>
        <v>0</v>
      </c>
      <c r="Z129" s="279" t="b">
        <f>IF(OR($D27="",$D27=CONST_NA),FALSE,INDEX(Parameters_Constants!$K$110:$AF$127,MATCH($E27,CONST_LIST_Goods,0),MATCH(Z$8,Parameters_Constants!$K$109:$AF$109,0))=FALSE)</f>
        <v>0</v>
      </c>
      <c r="AA129" s="279" t="b">
        <f>IF(OR($D27="",$D27=CONST_NA),FALSE,INDEX(Parameters_Constants!$K$110:$AF$127,MATCH($E27,CONST_LIST_Goods,0),MATCH(AA$8,Parameters_Constants!$K$109:$AF$109,0))=FALSE)</f>
        <v>0</v>
      </c>
      <c r="AB129" s="279" t="b">
        <f>IF(OR($D27="",$D27=CONST_NA),FALSE,INDEX(Parameters_Constants!$K$110:$AF$127,MATCH($E27,CONST_LIST_Goods,0),MATCH(AB$8,Parameters_Constants!$K$109:$AF$109,0))=FALSE)</f>
        <v>0</v>
      </c>
      <c r="AC129" s="279" t="b">
        <f>IF(OR($D27="",$D27=CONST_NA),FALSE,INDEX(Parameters_Constants!$K$110:$AF$127,MATCH($E27,CONST_LIST_Goods,0),MATCH(AC$8,Parameters_Constants!$K$109:$AF$109,0))=FALSE)</f>
        <v>0</v>
      </c>
      <c r="AD129" s="279" t="b">
        <f>IF(OR($D27="",$D27=CONST_NA),FALSE,INDEX(Parameters_Constants!$K$110:$AF$127,MATCH($E27,CONST_LIST_Goods,0),MATCH(AD$8,Parameters_Constants!$K$109:$AF$109,0))=FALSE)</f>
        <v>0</v>
      </c>
      <c r="AE129" s="279" t="b">
        <f>IF(OR($D27="",$D27=CONST_NA),FALSE,INDEX(Parameters_Constants!$K$110:$AF$127,MATCH($E27,CONST_LIST_Goods,0),MATCH(AE$8,Parameters_Constants!$K$109:$AF$109,0))=FALSE)</f>
        <v>0</v>
      </c>
      <c r="AF129" s="279" t="b">
        <f>IF(OR($D27="",$D27=CONST_NA),FALSE,INDEX(Parameters_Constants!$K$110:$AF$127,MATCH($E27,CONST_LIST_Goods,0),MATCH(AF$8,Parameters_Constants!$K$109:$AF$109,0))=FALSE)</f>
        <v>0</v>
      </c>
      <c r="AG129" s="279" t="b">
        <f>IF(OR($D27="",$D27=CONST_NA),FALSE,INDEX(Parameters_Constants!$K$110:$AF$127,MATCH($E27,CONST_LIST_Goods,0),MATCH(AG$8,Parameters_Constants!$K$109:$AF$109,0))=FALSE)</f>
        <v>0</v>
      </c>
      <c r="AH129" s="279" t="b">
        <f>IF(OR($D27="",$D27=CONST_NA),FALSE,INDEX(Parameters_Constants!$K$110:$AF$127,MATCH($E27,CONST_LIST_Goods,0),MATCH(AH$8,Parameters_Constants!$K$109:$AF$109,0))=FALSE)</f>
        <v>0</v>
      </c>
      <c r="AI129" s="279" t="b">
        <f>IF(OR($D27="",$D27=CONST_NA),FALSE,INDEX(Parameters_Constants!$K$110:$AF$127,MATCH($E27,CONST_LIST_Goods,0),MATCH(AI$8,Parameters_Constants!$K$109:$AF$109,0))=FALSE)</f>
        <v>0</v>
      </c>
      <c r="AJ129" s="279" t="b">
        <f>IF(OR($D27="",$D27=CONST_NA),FALSE,INDEX(Parameters_Constants!$K$110:$AF$127,MATCH($E27,CONST_LIST_Goods,0),MATCH(AJ$8,Parameters_Constants!$K$109:$AF$109,0))=FALSE)</f>
        <v>0</v>
      </c>
      <c r="AK129" s="279" t="b">
        <f>IF(OR($D27="",$D27=CONST_NA),FALSE,INDEX(Parameters_Constants!$K$110:$AF$127,MATCH($E27,CONST_LIST_Goods,0),MATCH(AK$8,Parameters_Constants!$K$109:$AF$109,0))=FALSE)</f>
        <v>0</v>
      </c>
    </row>
    <row r="130" spans="1:49" s="275" customFormat="1" hidden="1" x14ac:dyDescent="0.35">
      <c r="A130" s="275" t="s">
        <v>3</v>
      </c>
      <c r="C130" s="275">
        <v>19</v>
      </c>
      <c r="F130" s="279" t="b">
        <v>0</v>
      </c>
      <c r="H130" s="279" t="b">
        <v>0</v>
      </c>
      <c r="P130" s="279" t="b">
        <f>IF(OR($D28="",$D28=CONST_NA),FALSE,INDEX(Parameters_Constants!$K$110:$AF$127,MATCH($E28,CONST_LIST_Goods,0),MATCH(P$8,Parameters_Constants!$K$109:$AF$109,0))=FALSE)</f>
        <v>0</v>
      </c>
      <c r="Q130" s="279" t="b">
        <f>IF(OR($D28="",$D28=CONST_NA),FALSE,INDEX(Parameters_Constants!$K$110:$AF$127,MATCH($E28,CONST_LIST_Goods,0),MATCH(Q$8,Parameters_Constants!$K$109:$AF$109,0))=FALSE)</f>
        <v>0</v>
      </c>
      <c r="R130" s="279" t="b">
        <f>IF(OR($D28="",$D28=CONST_NA),FALSE,INDEX(Parameters_Constants!$K$110:$AF$127,MATCH($E28,CONST_LIST_Goods,0),MATCH(R$8,Parameters_Constants!$K$109:$AF$109,0))=FALSE)</f>
        <v>0</v>
      </c>
      <c r="S130" s="279" t="b">
        <f>IF(OR($D28="",$D28=CONST_NA),FALSE,INDEX(Parameters_Constants!$K$110:$AF$127,MATCH($E28,CONST_LIST_Goods,0),MATCH(S$8,Parameters_Constants!$K$109:$AF$109,0))=FALSE)</f>
        <v>0</v>
      </c>
      <c r="T130" s="279" t="b">
        <f>IF(OR($D28="",$D28=CONST_NA),FALSE,INDEX(Parameters_Constants!$K$110:$AF$127,MATCH($E28,CONST_LIST_Goods,0),MATCH(T$8,Parameters_Constants!$K$109:$AF$109,0))=FALSE)</f>
        <v>0</v>
      </c>
      <c r="U130" s="279" t="b">
        <f>IF(OR($D28="",$D28=CONST_NA),FALSE,INDEX(Parameters_Constants!$K$110:$AF$127,MATCH($E28,CONST_LIST_Goods,0),MATCH(U$8,Parameters_Constants!$K$109:$AF$109,0))=FALSE)</f>
        <v>0</v>
      </c>
      <c r="V130" s="279" t="b">
        <f>IF(OR($D28="",$D28=CONST_NA),FALSE,INDEX(Parameters_Constants!$K$110:$AF$127,MATCH($E28,CONST_LIST_Goods,0),MATCH(V$8,Parameters_Constants!$K$109:$AF$109,0))=FALSE)</f>
        <v>0</v>
      </c>
      <c r="W130" s="279" t="b">
        <f>IF(OR($D28="",$D28=CONST_NA),FALSE,INDEX(Parameters_Constants!$K$110:$AF$127,MATCH($E28,CONST_LIST_Goods,0),MATCH(W$8,Parameters_Constants!$K$109:$AF$109,0))=FALSE)</f>
        <v>0</v>
      </c>
      <c r="X130" s="279" t="b">
        <f>IF(OR($D28="",$D28=CONST_NA),FALSE,INDEX(Parameters_Constants!$K$110:$AF$127,MATCH($E28,CONST_LIST_Goods,0),MATCH(X$8,Parameters_Constants!$K$109:$AF$109,0))=FALSE)</f>
        <v>0</v>
      </c>
      <c r="Y130" s="279" t="b">
        <f>IF(OR($D28="",$D28=CONST_NA),FALSE,INDEX(Parameters_Constants!$K$110:$AF$127,MATCH($E28,CONST_LIST_Goods,0),MATCH(Y$8,Parameters_Constants!$K$109:$AF$109,0))=FALSE)</f>
        <v>0</v>
      </c>
      <c r="Z130" s="279" t="b">
        <f>IF(OR($D28="",$D28=CONST_NA),FALSE,INDEX(Parameters_Constants!$K$110:$AF$127,MATCH($E28,CONST_LIST_Goods,0),MATCH(Z$8,Parameters_Constants!$K$109:$AF$109,0))=FALSE)</f>
        <v>0</v>
      </c>
      <c r="AA130" s="279" t="b">
        <f>IF(OR($D28="",$D28=CONST_NA),FALSE,INDEX(Parameters_Constants!$K$110:$AF$127,MATCH($E28,CONST_LIST_Goods,0),MATCH(AA$8,Parameters_Constants!$K$109:$AF$109,0))=FALSE)</f>
        <v>0</v>
      </c>
      <c r="AB130" s="279" t="b">
        <f>IF(OR($D28="",$D28=CONST_NA),FALSE,INDEX(Parameters_Constants!$K$110:$AF$127,MATCH($E28,CONST_LIST_Goods,0),MATCH(AB$8,Parameters_Constants!$K$109:$AF$109,0))=FALSE)</f>
        <v>0</v>
      </c>
      <c r="AC130" s="279" t="b">
        <f>IF(OR($D28="",$D28=CONST_NA),FALSE,INDEX(Parameters_Constants!$K$110:$AF$127,MATCH($E28,CONST_LIST_Goods,0),MATCH(AC$8,Parameters_Constants!$K$109:$AF$109,0))=FALSE)</f>
        <v>0</v>
      </c>
      <c r="AD130" s="279" t="b">
        <f>IF(OR($D28="",$D28=CONST_NA),FALSE,INDEX(Parameters_Constants!$K$110:$AF$127,MATCH($E28,CONST_LIST_Goods,0),MATCH(AD$8,Parameters_Constants!$K$109:$AF$109,0))=FALSE)</f>
        <v>0</v>
      </c>
      <c r="AE130" s="279" t="b">
        <f>IF(OR($D28="",$D28=CONST_NA),FALSE,INDEX(Parameters_Constants!$K$110:$AF$127,MATCH($E28,CONST_LIST_Goods,0),MATCH(AE$8,Parameters_Constants!$K$109:$AF$109,0))=FALSE)</f>
        <v>0</v>
      </c>
      <c r="AF130" s="279" t="b">
        <f>IF(OR($D28="",$D28=CONST_NA),FALSE,INDEX(Parameters_Constants!$K$110:$AF$127,MATCH($E28,CONST_LIST_Goods,0),MATCH(AF$8,Parameters_Constants!$K$109:$AF$109,0))=FALSE)</f>
        <v>0</v>
      </c>
      <c r="AG130" s="279" t="b">
        <f>IF(OR($D28="",$D28=CONST_NA),FALSE,INDEX(Parameters_Constants!$K$110:$AF$127,MATCH($E28,CONST_LIST_Goods,0),MATCH(AG$8,Parameters_Constants!$K$109:$AF$109,0))=FALSE)</f>
        <v>0</v>
      </c>
      <c r="AH130" s="279" t="b">
        <f>IF(OR($D28="",$D28=CONST_NA),FALSE,INDEX(Parameters_Constants!$K$110:$AF$127,MATCH($E28,CONST_LIST_Goods,0),MATCH(AH$8,Parameters_Constants!$K$109:$AF$109,0))=FALSE)</f>
        <v>0</v>
      </c>
      <c r="AI130" s="279" t="b">
        <f>IF(OR($D28="",$D28=CONST_NA),FALSE,INDEX(Parameters_Constants!$K$110:$AF$127,MATCH($E28,CONST_LIST_Goods,0),MATCH(AI$8,Parameters_Constants!$K$109:$AF$109,0))=FALSE)</f>
        <v>0</v>
      </c>
      <c r="AJ130" s="279" t="b">
        <f>IF(OR($D28="",$D28=CONST_NA),FALSE,INDEX(Parameters_Constants!$K$110:$AF$127,MATCH($E28,CONST_LIST_Goods,0),MATCH(AJ$8,Parameters_Constants!$K$109:$AF$109,0))=FALSE)</f>
        <v>0</v>
      </c>
      <c r="AK130" s="279" t="b">
        <f>IF(OR($D28="",$D28=CONST_NA),FALSE,INDEX(Parameters_Constants!$K$110:$AF$127,MATCH($E28,CONST_LIST_Goods,0),MATCH(AK$8,Parameters_Constants!$K$109:$AF$109,0))=FALSE)</f>
        <v>0</v>
      </c>
    </row>
    <row r="131" spans="1:49" s="275" customFormat="1" hidden="1" x14ac:dyDescent="0.35">
      <c r="A131" s="275" t="s">
        <v>3</v>
      </c>
      <c r="C131" s="275">
        <v>20</v>
      </c>
      <c r="F131" s="279" t="b">
        <v>0</v>
      </c>
      <c r="H131" s="279" t="b">
        <v>0</v>
      </c>
      <c r="P131" s="279" t="b">
        <f>IF(OR($D29="",$D29=CONST_NA),FALSE,INDEX(Parameters_Constants!$K$110:$AF$127,MATCH($E29,CONST_LIST_Goods,0),MATCH(P$8,Parameters_Constants!$K$109:$AF$109,0))=FALSE)</f>
        <v>0</v>
      </c>
      <c r="Q131" s="279" t="b">
        <f>IF(OR($D29="",$D29=CONST_NA),FALSE,INDEX(Parameters_Constants!$K$110:$AF$127,MATCH($E29,CONST_LIST_Goods,0),MATCH(Q$8,Parameters_Constants!$K$109:$AF$109,0))=FALSE)</f>
        <v>0</v>
      </c>
      <c r="R131" s="279" t="b">
        <f>IF(OR($D29="",$D29=CONST_NA),FALSE,INDEX(Parameters_Constants!$K$110:$AF$127,MATCH($E29,CONST_LIST_Goods,0),MATCH(R$8,Parameters_Constants!$K$109:$AF$109,0))=FALSE)</f>
        <v>0</v>
      </c>
      <c r="S131" s="279" t="b">
        <f>IF(OR($D29="",$D29=CONST_NA),FALSE,INDEX(Parameters_Constants!$K$110:$AF$127,MATCH($E29,CONST_LIST_Goods,0),MATCH(S$8,Parameters_Constants!$K$109:$AF$109,0))=FALSE)</f>
        <v>0</v>
      </c>
      <c r="T131" s="279" t="b">
        <f>IF(OR($D29="",$D29=CONST_NA),FALSE,INDEX(Parameters_Constants!$K$110:$AF$127,MATCH($E29,CONST_LIST_Goods,0),MATCH(T$8,Parameters_Constants!$K$109:$AF$109,0))=FALSE)</f>
        <v>0</v>
      </c>
      <c r="U131" s="279" t="b">
        <f>IF(OR($D29="",$D29=CONST_NA),FALSE,INDEX(Parameters_Constants!$K$110:$AF$127,MATCH($E29,CONST_LIST_Goods,0),MATCH(U$8,Parameters_Constants!$K$109:$AF$109,0))=FALSE)</f>
        <v>0</v>
      </c>
      <c r="V131" s="279" t="b">
        <f>IF(OR($D29="",$D29=CONST_NA),FALSE,INDEX(Parameters_Constants!$K$110:$AF$127,MATCH($E29,CONST_LIST_Goods,0),MATCH(V$8,Parameters_Constants!$K$109:$AF$109,0))=FALSE)</f>
        <v>0</v>
      </c>
      <c r="W131" s="279" t="b">
        <f>IF(OR($D29="",$D29=CONST_NA),FALSE,INDEX(Parameters_Constants!$K$110:$AF$127,MATCH($E29,CONST_LIST_Goods,0),MATCH(W$8,Parameters_Constants!$K$109:$AF$109,0))=FALSE)</f>
        <v>0</v>
      </c>
      <c r="X131" s="279" t="b">
        <f>IF(OR($D29="",$D29=CONST_NA),FALSE,INDEX(Parameters_Constants!$K$110:$AF$127,MATCH($E29,CONST_LIST_Goods,0),MATCH(X$8,Parameters_Constants!$K$109:$AF$109,0))=FALSE)</f>
        <v>0</v>
      </c>
      <c r="Y131" s="279" t="b">
        <f>IF(OR($D29="",$D29=CONST_NA),FALSE,INDEX(Parameters_Constants!$K$110:$AF$127,MATCH($E29,CONST_LIST_Goods,0),MATCH(Y$8,Parameters_Constants!$K$109:$AF$109,0))=FALSE)</f>
        <v>0</v>
      </c>
      <c r="Z131" s="279" t="b">
        <f>IF(OR($D29="",$D29=CONST_NA),FALSE,INDEX(Parameters_Constants!$K$110:$AF$127,MATCH($E29,CONST_LIST_Goods,0),MATCH(Z$8,Parameters_Constants!$K$109:$AF$109,0))=FALSE)</f>
        <v>0</v>
      </c>
      <c r="AA131" s="279" t="b">
        <f>IF(OR($D29="",$D29=CONST_NA),FALSE,INDEX(Parameters_Constants!$K$110:$AF$127,MATCH($E29,CONST_LIST_Goods,0),MATCH(AA$8,Parameters_Constants!$K$109:$AF$109,0))=FALSE)</f>
        <v>0</v>
      </c>
      <c r="AB131" s="279" t="b">
        <f>IF(OR($D29="",$D29=CONST_NA),FALSE,INDEX(Parameters_Constants!$K$110:$AF$127,MATCH($E29,CONST_LIST_Goods,0),MATCH(AB$8,Parameters_Constants!$K$109:$AF$109,0))=FALSE)</f>
        <v>0</v>
      </c>
      <c r="AC131" s="279" t="b">
        <f>IF(OR($D29="",$D29=CONST_NA),FALSE,INDEX(Parameters_Constants!$K$110:$AF$127,MATCH($E29,CONST_LIST_Goods,0),MATCH(AC$8,Parameters_Constants!$K$109:$AF$109,0))=FALSE)</f>
        <v>0</v>
      </c>
      <c r="AD131" s="279" t="b">
        <f>IF(OR($D29="",$D29=CONST_NA),FALSE,INDEX(Parameters_Constants!$K$110:$AF$127,MATCH($E29,CONST_LIST_Goods,0),MATCH(AD$8,Parameters_Constants!$K$109:$AF$109,0))=FALSE)</f>
        <v>0</v>
      </c>
      <c r="AE131" s="279" t="b">
        <f>IF(OR($D29="",$D29=CONST_NA),FALSE,INDEX(Parameters_Constants!$K$110:$AF$127,MATCH($E29,CONST_LIST_Goods,0),MATCH(AE$8,Parameters_Constants!$K$109:$AF$109,0))=FALSE)</f>
        <v>0</v>
      </c>
      <c r="AF131" s="279" t="b">
        <f>IF(OR($D29="",$D29=CONST_NA),FALSE,INDEX(Parameters_Constants!$K$110:$AF$127,MATCH($E29,CONST_LIST_Goods,0),MATCH(AF$8,Parameters_Constants!$K$109:$AF$109,0))=FALSE)</f>
        <v>0</v>
      </c>
      <c r="AG131" s="279" t="b">
        <f>IF(OR($D29="",$D29=CONST_NA),FALSE,INDEX(Parameters_Constants!$K$110:$AF$127,MATCH($E29,CONST_LIST_Goods,0),MATCH(AG$8,Parameters_Constants!$K$109:$AF$109,0))=FALSE)</f>
        <v>0</v>
      </c>
      <c r="AH131" s="279" t="b">
        <f>IF(OR($D29="",$D29=CONST_NA),FALSE,INDEX(Parameters_Constants!$K$110:$AF$127,MATCH($E29,CONST_LIST_Goods,0),MATCH(AH$8,Parameters_Constants!$K$109:$AF$109,0))=FALSE)</f>
        <v>0</v>
      </c>
      <c r="AI131" s="279" t="b">
        <f>IF(OR($D29="",$D29=CONST_NA),FALSE,INDEX(Parameters_Constants!$K$110:$AF$127,MATCH($E29,CONST_LIST_Goods,0),MATCH(AI$8,Parameters_Constants!$K$109:$AF$109,0))=FALSE)</f>
        <v>0</v>
      </c>
      <c r="AJ131" s="279" t="b">
        <f>IF(OR($D29="",$D29=CONST_NA),FALSE,INDEX(Parameters_Constants!$K$110:$AF$127,MATCH($E29,CONST_LIST_Goods,0),MATCH(AJ$8,Parameters_Constants!$K$109:$AF$109,0))=FALSE)</f>
        <v>0</v>
      </c>
      <c r="AK131" s="279" t="b">
        <f>IF(OR($D29="",$D29=CONST_NA),FALSE,INDEX(Parameters_Constants!$K$110:$AF$127,MATCH($E29,CONST_LIST_Goods,0),MATCH(AK$8,Parameters_Constants!$K$109:$AF$109,0))=FALSE)</f>
        <v>0</v>
      </c>
    </row>
    <row r="132" spans="1:49" s="275" customFormat="1" hidden="1" x14ac:dyDescent="0.35">
      <c r="A132" s="275" t="s">
        <v>3</v>
      </c>
      <c r="C132" s="275">
        <v>21</v>
      </c>
      <c r="F132" s="279" t="b">
        <v>0</v>
      </c>
      <c r="H132" s="279" t="b">
        <v>0</v>
      </c>
      <c r="P132" s="279" t="b">
        <f>IF(OR($D30="",$D30=CONST_NA),FALSE,INDEX(Parameters_Constants!$K$110:$AF$127,MATCH($E30,CONST_LIST_Goods,0),MATCH(P$8,Parameters_Constants!$K$109:$AF$109,0))=FALSE)</f>
        <v>0</v>
      </c>
      <c r="Q132" s="279" t="b">
        <f>IF(OR($D30="",$D30=CONST_NA),FALSE,INDEX(Parameters_Constants!$K$110:$AF$127,MATCH($E30,CONST_LIST_Goods,0),MATCH(Q$8,Parameters_Constants!$K$109:$AF$109,0))=FALSE)</f>
        <v>0</v>
      </c>
      <c r="R132" s="279" t="b">
        <f>IF(OR($D30="",$D30=CONST_NA),FALSE,INDEX(Parameters_Constants!$K$110:$AF$127,MATCH($E30,CONST_LIST_Goods,0),MATCH(R$8,Parameters_Constants!$K$109:$AF$109,0))=FALSE)</f>
        <v>0</v>
      </c>
      <c r="S132" s="279" t="b">
        <f>IF(OR($D30="",$D30=CONST_NA),FALSE,INDEX(Parameters_Constants!$K$110:$AF$127,MATCH($E30,CONST_LIST_Goods,0),MATCH(S$8,Parameters_Constants!$K$109:$AF$109,0))=FALSE)</f>
        <v>0</v>
      </c>
      <c r="T132" s="279" t="b">
        <f>IF(OR($D30="",$D30=CONST_NA),FALSE,INDEX(Parameters_Constants!$K$110:$AF$127,MATCH($E30,CONST_LIST_Goods,0),MATCH(T$8,Parameters_Constants!$K$109:$AF$109,0))=FALSE)</f>
        <v>0</v>
      </c>
      <c r="U132" s="279" t="b">
        <f>IF(OR($D30="",$D30=CONST_NA),FALSE,INDEX(Parameters_Constants!$K$110:$AF$127,MATCH($E30,CONST_LIST_Goods,0),MATCH(U$8,Parameters_Constants!$K$109:$AF$109,0))=FALSE)</f>
        <v>0</v>
      </c>
      <c r="V132" s="279" t="b">
        <f>IF(OR($D30="",$D30=CONST_NA),FALSE,INDEX(Parameters_Constants!$K$110:$AF$127,MATCH($E30,CONST_LIST_Goods,0),MATCH(V$8,Parameters_Constants!$K$109:$AF$109,0))=FALSE)</f>
        <v>0</v>
      </c>
      <c r="W132" s="279" t="b">
        <f>IF(OR($D30="",$D30=CONST_NA),FALSE,INDEX(Parameters_Constants!$K$110:$AF$127,MATCH($E30,CONST_LIST_Goods,0),MATCH(W$8,Parameters_Constants!$K$109:$AF$109,0))=FALSE)</f>
        <v>0</v>
      </c>
      <c r="X132" s="279" t="b">
        <f>IF(OR($D30="",$D30=CONST_NA),FALSE,INDEX(Parameters_Constants!$K$110:$AF$127,MATCH($E30,CONST_LIST_Goods,0),MATCH(X$8,Parameters_Constants!$K$109:$AF$109,0))=FALSE)</f>
        <v>0</v>
      </c>
      <c r="Y132" s="279" t="b">
        <f>IF(OR($D30="",$D30=CONST_NA),FALSE,INDEX(Parameters_Constants!$K$110:$AF$127,MATCH($E30,CONST_LIST_Goods,0),MATCH(Y$8,Parameters_Constants!$K$109:$AF$109,0))=FALSE)</f>
        <v>0</v>
      </c>
      <c r="Z132" s="279" t="b">
        <f>IF(OR($D30="",$D30=CONST_NA),FALSE,INDEX(Parameters_Constants!$K$110:$AF$127,MATCH($E30,CONST_LIST_Goods,0),MATCH(Z$8,Parameters_Constants!$K$109:$AF$109,0))=FALSE)</f>
        <v>0</v>
      </c>
      <c r="AA132" s="279" t="b">
        <f>IF(OR($D30="",$D30=CONST_NA),FALSE,INDEX(Parameters_Constants!$K$110:$AF$127,MATCH($E30,CONST_LIST_Goods,0),MATCH(AA$8,Parameters_Constants!$K$109:$AF$109,0))=FALSE)</f>
        <v>0</v>
      </c>
      <c r="AB132" s="279" t="b">
        <f>IF(OR($D30="",$D30=CONST_NA),FALSE,INDEX(Parameters_Constants!$K$110:$AF$127,MATCH($E30,CONST_LIST_Goods,0),MATCH(AB$8,Parameters_Constants!$K$109:$AF$109,0))=FALSE)</f>
        <v>0</v>
      </c>
      <c r="AC132" s="279" t="b">
        <f>IF(OR($D30="",$D30=CONST_NA),FALSE,INDEX(Parameters_Constants!$K$110:$AF$127,MATCH($E30,CONST_LIST_Goods,0),MATCH(AC$8,Parameters_Constants!$K$109:$AF$109,0))=FALSE)</f>
        <v>0</v>
      </c>
      <c r="AD132" s="279" t="b">
        <f>IF(OR($D30="",$D30=CONST_NA),FALSE,INDEX(Parameters_Constants!$K$110:$AF$127,MATCH($E30,CONST_LIST_Goods,0),MATCH(AD$8,Parameters_Constants!$K$109:$AF$109,0))=FALSE)</f>
        <v>0</v>
      </c>
      <c r="AE132" s="279" t="b">
        <f>IF(OR($D30="",$D30=CONST_NA),FALSE,INDEX(Parameters_Constants!$K$110:$AF$127,MATCH($E30,CONST_LIST_Goods,0),MATCH(AE$8,Parameters_Constants!$K$109:$AF$109,0))=FALSE)</f>
        <v>0</v>
      </c>
      <c r="AF132" s="279" t="b">
        <f>IF(OR($D30="",$D30=CONST_NA),FALSE,INDEX(Parameters_Constants!$K$110:$AF$127,MATCH($E30,CONST_LIST_Goods,0),MATCH(AF$8,Parameters_Constants!$K$109:$AF$109,0))=FALSE)</f>
        <v>0</v>
      </c>
      <c r="AG132" s="279" t="b">
        <f>IF(OR($D30="",$D30=CONST_NA),FALSE,INDEX(Parameters_Constants!$K$110:$AF$127,MATCH($E30,CONST_LIST_Goods,0),MATCH(AG$8,Parameters_Constants!$K$109:$AF$109,0))=FALSE)</f>
        <v>0</v>
      </c>
      <c r="AH132" s="279" t="b">
        <f>IF(OR($D30="",$D30=CONST_NA),FALSE,INDEX(Parameters_Constants!$K$110:$AF$127,MATCH($E30,CONST_LIST_Goods,0),MATCH(AH$8,Parameters_Constants!$K$109:$AF$109,0))=FALSE)</f>
        <v>0</v>
      </c>
      <c r="AI132" s="279" t="b">
        <f>IF(OR($D30="",$D30=CONST_NA),FALSE,INDEX(Parameters_Constants!$K$110:$AF$127,MATCH($E30,CONST_LIST_Goods,0),MATCH(AI$8,Parameters_Constants!$K$109:$AF$109,0))=FALSE)</f>
        <v>0</v>
      </c>
      <c r="AJ132" s="279" t="b">
        <f>IF(OR($D30="",$D30=CONST_NA),FALSE,INDEX(Parameters_Constants!$K$110:$AF$127,MATCH($E30,CONST_LIST_Goods,0),MATCH(AJ$8,Parameters_Constants!$K$109:$AF$109,0))=FALSE)</f>
        <v>0</v>
      </c>
      <c r="AK132" s="279" t="b">
        <f>IF(OR($D30="",$D30=CONST_NA),FALSE,INDEX(Parameters_Constants!$K$110:$AF$127,MATCH($E30,CONST_LIST_Goods,0),MATCH(AK$8,Parameters_Constants!$K$109:$AF$109,0))=FALSE)</f>
        <v>0</v>
      </c>
    </row>
    <row r="133" spans="1:49" s="275" customFormat="1" hidden="1" x14ac:dyDescent="0.35">
      <c r="A133" s="275" t="s">
        <v>3</v>
      </c>
      <c r="C133" s="275">
        <v>22</v>
      </c>
      <c r="F133" s="279" t="b">
        <v>0</v>
      </c>
      <c r="H133" s="279" t="b">
        <v>0</v>
      </c>
      <c r="P133" s="279" t="b">
        <f>IF(OR($D31="",$D31=CONST_NA),FALSE,INDEX(Parameters_Constants!$K$110:$AF$127,MATCH($E31,CONST_LIST_Goods,0),MATCH(P$8,Parameters_Constants!$K$109:$AF$109,0))=FALSE)</f>
        <v>0</v>
      </c>
      <c r="Q133" s="279" t="b">
        <f>IF(OR($D31="",$D31=CONST_NA),FALSE,INDEX(Parameters_Constants!$K$110:$AF$127,MATCH($E31,CONST_LIST_Goods,0),MATCH(Q$8,Parameters_Constants!$K$109:$AF$109,0))=FALSE)</f>
        <v>0</v>
      </c>
      <c r="R133" s="279" t="b">
        <f>IF(OR($D31="",$D31=CONST_NA),FALSE,INDEX(Parameters_Constants!$K$110:$AF$127,MATCH($E31,CONST_LIST_Goods,0),MATCH(R$8,Parameters_Constants!$K$109:$AF$109,0))=FALSE)</f>
        <v>0</v>
      </c>
      <c r="S133" s="279" t="b">
        <f>IF(OR($D31="",$D31=CONST_NA),FALSE,INDEX(Parameters_Constants!$K$110:$AF$127,MATCH($E31,CONST_LIST_Goods,0),MATCH(S$8,Parameters_Constants!$K$109:$AF$109,0))=FALSE)</f>
        <v>0</v>
      </c>
      <c r="T133" s="279" t="b">
        <f>IF(OR($D31="",$D31=CONST_NA),FALSE,INDEX(Parameters_Constants!$K$110:$AF$127,MATCH($E31,CONST_LIST_Goods,0),MATCH(T$8,Parameters_Constants!$K$109:$AF$109,0))=FALSE)</f>
        <v>0</v>
      </c>
      <c r="U133" s="279" t="b">
        <f>IF(OR($D31="",$D31=CONST_NA),FALSE,INDEX(Parameters_Constants!$K$110:$AF$127,MATCH($E31,CONST_LIST_Goods,0),MATCH(U$8,Parameters_Constants!$K$109:$AF$109,0))=FALSE)</f>
        <v>0</v>
      </c>
      <c r="V133" s="279" t="b">
        <f>IF(OR($D31="",$D31=CONST_NA),FALSE,INDEX(Parameters_Constants!$K$110:$AF$127,MATCH($E31,CONST_LIST_Goods,0),MATCH(V$8,Parameters_Constants!$K$109:$AF$109,0))=FALSE)</f>
        <v>0</v>
      </c>
      <c r="W133" s="279" t="b">
        <f>IF(OR($D31="",$D31=CONST_NA),FALSE,INDEX(Parameters_Constants!$K$110:$AF$127,MATCH($E31,CONST_LIST_Goods,0),MATCH(W$8,Parameters_Constants!$K$109:$AF$109,0))=FALSE)</f>
        <v>0</v>
      </c>
      <c r="X133" s="279" t="b">
        <f>IF(OR($D31="",$D31=CONST_NA),FALSE,INDEX(Parameters_Constants!$K$110:$AF$127,MATCH($E31,CONST_LIST_Goods,0),MATCH(X$8,Parameters_Constants!$K$109:$AF$109,0))=FALSE)</f>
        <v>0</v>
      </c>
      <c r="Y133" s="279" t="b">
        <f>IF(OR($D31="",$D31=CONST_NA),FALSE,INDEX(Parameters_Constants!$K$110:$AF$127,MATCH($E31,CONST_LIST_Goods,0),MATCH(Y$8,Parameters_Constants!$K$109:$AF$109,0))=FALSE)</f>
        <v>0</v>
      </c>
      <c r="Z133" s="279" t="b">
        <f>IF(OR($D31="",$D31=CONST_NA),FALSE,INDEX(Parameters_Constants!$K$110:$AF$127,MATCH($E31,CONST_LIST_Goods,0),MATCH(Z$8,Parameters_Constants!$K$109:$AF$109,0))=FALSE)</f>
        <v>0</v>
      </c>
      <c r="AA133" s="279" t="b">
        <f>IF(OR($D31="",$D31=CONST_NA),FALSE,INDEX(Parameters_Constants!$K$110:$AF$127,MATCH($E31,CONST_LIST_Goods,0),MATCH(AA$8,Parameters_Constants!$K$109:$AF$109,0))=FALSE)</f>
        <v>0</v>
      </c>
      <c r="AB133" s="279" t="b">
        <f>IF(OR($D31="",$D31=CONST_NA),FALSE,INDEX(Parameters_Constants!$K$110:$AF$127,MATCH($E31,CONST_LIST_Goods,0),MATCH(AB$8,Parameters_Constants!$K$109:$AF$109,0))=FALSE)</f>
        <v>0</v>
      </c>
      <c r="AC133" s="279" t="b">
        <f>IF(OR($D31="",$D31=CONST_NA),FALSE,INDEX(Parameters_Constants!$K$110:$AF$127,MATCH($E31,CONST_LIST_Goods,0),MATCH(AC$8,Parameters_Constants!$K$109:$AF$109,0))=FALSE)</f>
        <v>0</v>
      </c>
      <c r="AD133" s="279" t="b">
        <f>IF(OR($D31="",$D31=CONST_NA),FALSE,INDEX(Parameters_Constants!$K$110:$AF$127,MATCH($E31,CONST_LIST_Goods,0),MATCH(AD$8,Parameters_Constants!$K$109:$AF$109,0))=FALSE)</f>
        <v>0</v>
      </c>
      <c r="AE133" s="279" t="b">
        <f>IF(OR($D31="",$D31=CONST_NA),FALSE,INDEX(Parameters_Constants!$K$110:$AF$127,MATCH($E31,CONST_LIST_Goods,0),MATCH(AE$8,Parameters_Constants!$K$109:$AF$109,0))=FALSE)</f>
        <v>0</v>
      </c>
      <c r="AF133" s="279" t="b">
        <f>IF(OR($D31="",$D31=CONST_NA),FALSE,INDEX(Parameters_Constants!$K$110:$AF$127,MATCH($E31,CONST_LIST_Goods,0),MATCH(AF$8,Parameters_Constants!$K$109:$AF$109,0))=FALSE)</f>
        <v>0</v>
      </c>
      <c r="AG133" s="279" t="b">
        <f>IF(OR($D31="",$D31=CONST_NA),FALSE,INDEX(Parameters_Constants!$K$110:$AF$127,MATCH($E31,CONST_LIST_Goods,0),MATCH(AG$8,Parameters_Constants!$K$109:$AF$109,0))=FALSE)</f>
        <v>0</v>
      </c>
      <c r="AH133" s="279" t="b">
        <f>IF(OR($D31="",$D31=CONST_NA),FALSE,INDEX(Parameters_Constants!$K$110:$AF$127,MATCH($E31,CONST_LIST_Goods,0),MATCH(AH$8,Parameters_Constants!$K$109:$AF$109,0))=FALSE)</f>
        <v>0</v>
      </c>
      <c r="AI133" s="279" t="b">
        <f>IF(OR($D31="",$D31=CONST_NA),FALSE,INDEX(Parameters_Constants!$K$110:$AF$127,MATCH($E31,CONST_LIST_Goods,0),MATCH(AI$8,Parameters_Constants!$K$109:$AF$109,0))=FALSE)</f>
        <v>0</v>
      </c>
      <c r="AJ133" s="279" t="b">
        <f>IF(OR($D31="",$D31=CONST_NA),FALSE,INDEX(Parameters_Constants!$K$110:$AF$127,MATCH($E31,CONST_LIST_Goods,0),MATCH(AJ$8,Parameters_Constants!$K$109:$AF$109,0))=FALSE)</f>
        <v>0</v>
      </c>
      <c r="AK133" s="279" t="b">
        <f>IF(OR($D31="",$D31=CONST_NA),FALSE,INDEX(Parameters_Constants!$K$110:$AF$127,MATCH($E31,CONST_LIST_Goods,0),MATCH(AK$8,Parameters_Constants!$K$109:$AF$109,0))=FALSE)</f>
        <v>0</v>
      </c>
    </row>
    <row r="134" spans="1:49" s="275" customFormat="1" hidden="1" x14ac:dyDescent="0.35">
      <c r="A134" s="275" t="s">
        <v>3</v>
      </c>
      <c r="C134" s="275">
        <v>23</v>
      </c>
      <c r="F134" s="279" t="b">
        <v>0</v>
      </c>
      <c r="H134" s="279" t="b">
        <v>0</v>
      </c>
      <c r="P134" s="279" t="b">
        <f>IF(OR($D32="",$D32=CONST_NA),FALSE,INDEX(Parameters_Constants!$K$110:$AF$127,MATCH($E32,CONST_LIST_Goods,0),MATCH(P$8,Parameters_Constants!$K$109:$AF$109,0))=FALSE)</f>
        <v>0</v>
      </c>
      <c r="Q134" s="279" t="b">
        <f>IF(OR($D32="",$D32=CONST_NA),FALSE,INDEX(Parameters_Constants!$K$110:$AF$127,MATCH($E32,CONST_LIST_Goods,0),MATCH(Q$8,Parameters_Constants!$K$109:$AF$109,0))=FALSE)</f>
        <v>0</v>
      </c>
      <c r="R134" s="279" t="b">
        <f>IF(OR($D32="",$D32=CONST_NA),FALSE,INDEX(Parameters_Constants!$K$110:$AF$127,MATCH($E32,CONST_LIST_Goods,0),MATCH(R$8,Parameters_Constants!$K$109:$AF$109,0))=FALSE)</f>
        <v>0</v>
      </c>
      <c r="S134" s="279" t="b">
        <f>IF(OR($D32="",$D32=CONST_NA),FALSE,INDEX(Parameters_Constants!$K$110:$AF$127,MATCH($E32,CONST_LIST_Goods,0),MATCH(S$8,Parameters_Constants!$K$109:$AF$109,0))=FALSE)</f>
        <v>0</v>
      </c>
      <c r="T134" s="279" t="b">
        <f>IF(OR($D32="",$D32=CONST_NA),FALSE,INDEX(Parameters_Constants!$K$110:$AF$127,MATCH($E32,CONST_LIST_Goods,0),MATCH(T$8,Parameters_Constants!$K$109:$AF$109,0))=FALSE)</f>
        <v>0</v>
      </c>
      <c r="U134" s="279" t="b">
        <f>IF(OR($D32="",$D32=CONST_NA),FALSE,INDEX(Parameters_Constants!$K$110:$AF$127,MATCH($E32,CONST_LIST_Goods,0),MATCH(U$8,Parameters_Constants!$K$109:$AF$109,0))=FALSE)</f>
        <v>0</v>
      </c>
      <c r="V134" s="279" t="b">
        <f>IF(OR($D32="",$D32=CONST_NA),FALSE,INDEX(Parameters_Constants!$K$110:$AF$127,MATCH($E32,CONST_LIST_Goods,0),MATCH(V$8,Parameters_Constants!$K$109:$AF$109,0))=FALSE)</f>
        <v>0</v>
      </c>
      <c r="W134" s="279" t="b">
        <f>IF(OR($D32="",$D32=CONST_NA),FALSE,INDEX(Parameters_Constants!$K$110:$AF$127,MATCH($E32,CONST_LIST_Goods,0),MATCH(W$8,Parameters_Constants!$K$109:$AF$109,0))=FALSE)</f>
        <v>0</v>
      </c>
      <c r="X134" s="279" t="b">
        <f>IF(OR($D32="",$D32=CONST_NA),FALSE,INDEX(Parameters_Constants!$K$110:$AF$127,MATCH($E32,CONST_LIST_Goods,0),MATCH(X$8,Parameters_Constants!$K$109:$AF$109,0))=FALSE)</f>
        <v>0</v>
      </c>
      <c r="Y134" s="279" t="b">
        <f>IF(OR($D32="",$D32=CONST_NA),FALSE,INDEX(Parameters_Constants!$K$110:$AF$127,MATCH($E32,CONST_LIST_Goods,0),MATCH(Y$8,Parameters_Constants!$K$109:$AF$109,0))=FALSE)</f>
        <v>0</v>
      </c>
      <c r="Z134" s="279" t="b">
        <f>IF(OR($D32="",$D32=CONST_NA),FALSE,INDEX(Parameters_Constants!$K$110:$AF$127,MATCH($E32,CONST_LIST_Goods,0),MATCH(Z$8,Parameters_Constants!$K$109:$AF$109,0))=FALSE)</f>
        <v>0</v>
      </c>
      <c r="AA134" s="279" t="b">
        <f>IF(OR($D32="",$D32=CONST_NA),FALSE,INDEX(Parameters_Constants!$K$110:$AF$127,MATCH($E32,CONST_LIST_Goods,0),MATCH(AA$8,Parameters_Constants!$K$109:$AF$109,0))=FALSE)</f>
        <v>0</v>
      </c>
      <c r="AB134" s="279" t="b">
        <f>IF(OR($D32="",$D32=CONST_NA),FALSE,INDEX(Parameters_Constants!$K$110:$AF$127,MATCH($E32,CONST_LIST_Goods,0),MATCH(AB$8,Parameters_Constants!$K$109:$AF$109,0))=FALSE)</f>
        <v>0</v>
      </c>
      <c r="AC134" s="279" t="b">
        <f>IF(OR($D32="",$D32=CONST_NA),FALSE,INDEX(Parameters_Constants!$K$110:$AF$127,MATCH($E32,CONST_LIST_Goods,0),MATCH(AC$8,Parameters_Constants!$K$109:$AF$109,0))=FALSE)</f>
        <v>0</v>
      </c>
      <c r="AD134" s="279" t="b">
        <f>IF(OR($D32="",$D32=CONST_NA),FALSE,INDEX(Parameters_Constants!$K$110:$AF$127,MATCH($E32,CONST_LIST_Goods,0),MATCH(AD$8,Parameters_Constants!$K$109:$AF$109,0))=FALSE)</f>
        <v>0</v>
      </c>
      <c r="AE134" s="279" t="b">
        <f>IF(OR($D32="",$D32=CONST_NA),FALSE,INDEX(Parameters_Constants!$K$110:$AF$127,MATCH($E32,CONST_LIST_Goods,0),MATCH(AE$8,Parameters_Constants!$K$109:$AF$109,0))=FALSE)</f>
        <v>0</v>
      </c>
      <c r="AF134" s="279" t="b">
        <f>IF(OR($D32="",$D32=CONST_NA),FALSE,INDEX(Parameters_Constants!$K$110:$AF$127,MATCH($E32,CONST_LIST_Goods,0),MATCH(AF$8,Parameters_Constants!$K$109:$AF$109,0))=FALSE)</f>
        <v>0</v>
      </c>
      <c r="AG134" s="279" t="b">
        <f>IF(OR($D32="",$D32=CONST_NA),FALSE,INDEX(Parameters_Constants!$K$110:$AF$127,MATCH($E32,CONST_LIST_Goods,0),MATCH(AG$8,Parameters_Constants!$K$109:$AF$109,0))=FALSE)</f>
        <v>0</v>
      </c>
      <c r="AH134" s="279" t="b">
        <f>IF(OR($D32="",$D32=CONST_NA),FALSE,INDEX(Parameters_Constants!$K$110:$AF$127,MATCH($E32,CONST_LIST_Goods,0),MATCH(AH$8,Parameters_Constants!$K$109:$AF$109,0))=FALSE)</f>
        <v>0</v>
      </c>
      <c r="AI134" s="279" t="b">
        <f>IF(OR($D32="",$D32=CONST_NA),FALSE,INDEX(Parameters_Constants!$K$110:$AF$127,MATCH($E32,CONST_LIST_Goods,0),MATCH(AI$8,Parameters_Constants!$K$109:$AF$109,0))=FALSE)</f>
        <v>0</v>
      </c>
      <c r="AJ134" s="279" t="b">
        <f>IF(OR($D32="",$D32=CONST_NA),FALSE,INDEX(Parameters_Constants!$K$110:$AF$127,MATCH($E32,CONST_LIST_Goods,0),MATCH(AJ$8,Parameters_Constants!$K$109:$AF$109,0))=FALSE)</f>
        <v>0</v>
      </c>
      <c r="AK134" s="279" t="b">
        <f>IF(OR($D32="",$D32=CONST_NA),FALSE,INDEX(Parameters_Constants!$K$110:$AF$127,MATCH($E32,CONST_LIST_Goods,0),MATCH(AK$8,Parameters_Constants!$K$109:$AF$109,0))=FALSE)</f>
        <v>0</v>
      </c>
    </row>
    <row r="135" spans="1:49" s="275" customFormat="1" hidden="1" x14ac:dyDescent="0.35">
      <c r="A135" s="275" t="s">
        <v>3</v>
      </c>
      <c r="C135" s="275">
        <v>24</v>
      </c>
      <c r="F135" s="279" t="b">
        <v>0</v>
      </c>
      <c r="H135" s="279" t="b">
        <v>0</v>
      </c>
      <c r="P135" s="279" t="b">
        <f>IF(OR($D33="",$D33=CONST_NA),FALSE,INDEX(Parameters_Constants!$K$110:$AF$127,MATCH($E33,CONST_LIST_Goods,0),MATCH(P$8,Parameters_Constants!$K$109:$AF$109,0))=FALSE)</f>
        <v>0</v>
      </c>
      <c r="Q135" s="279" t="b">
        <f>IF(OR($D33="",$D33=CONST_NA),FALSE,INDEX(Parameters_Constants!$K$110:$AF$127,MATCH($E33,CONST_LIST_Goods,0),MATCH(Q$8,Parameters_Constants!$K$109:$AF$109,0))=FALSE)</f>
        <v>0</v>
      </c>
      <c r="R135" s="279" t="b">
        <f>IF(OR($D33="",$D33=CONST_NA),FALSE,INDEX(Parameters_Constants!$K$110:$AF$127,MATCH($E33,CONST_LIST_Goods,0),MATCH(R$8,Parameters_Constants!$K$109:$AF$109,0))=FALSE)</f>
        <v>0</v>
      </c>
      <c r="S135" s="279" t="b">
        <f>IF(OR($D33="",$D33=CONST_NA),FALSE,INDEX(Parameters_Constants!$K$110:$AF$127,MATCH($E33,CONST_LIST_Goods,0),MATCH(S$8,Parameters_Constants!$K$109:$AF$109,0))=FALSE)</f>
        <v>0</v>
      </c>
      <c r="T135" s="279" t="b">
        <f>IF(OR($D33="",$D33=CONST_NA),FALSE,INDEX(Parameters_Constants!$K$110:$AF$127,MATCH($E33,CONST_LIST_Goods,0),MATCH(T$8,Parameters_Constants!$K$109:$AF$109,0))=FALSE)</f>
        <v>0</v>
      </c>
      <c r="U135" s="279" t="b">
        <f>IF(OR($D33="",$D33=CONST_NA),FALSE,INDEX(Parameters_Constants!$K$110:$AF$127,MATCH($E33,CONST_LIST_Goods,0),MATCH(U$8,Parameters_Constants!$K$109:$AF$109,0))=FALSE)</f>
        <v>0</v>
      </c>
      <c r="V135" s="279" t="b">
        <f>IF(OR($D33="",$D33=CONST_NA),FALSE,INDEX(Parameters_Constants!$K$110:$AF$127,MATCH($E33,CONST_LIST_Goods,0),MATCH(V$8,Parameters_Constants!$K$109:$AF$109,0))=FALSE)</f>
        <v>0</v>
      </c>
      <c r="W135" s="279" t="b">
        <f>IF(OR($D33="",$D33=CONST_NA),FALSE,INDEX(Parameters_Constants!$K$110:$AF$127,MATCH($E33,CONST_LIST_Goods,0),MATCH(W$8,Parameters_Constants!$K$109:$AF$109,0))=FALSE)</f>
        <v>0</v>
      </c>
      <c r="X135" s="279" t="b">
        <f>IF(OR($D33="",$D33=CONST_NA),FALSE,INDEX(Parameters_Constants!$K$110:$AF$127,MATCH($E33,CONST_LIST_Goods,0),MATCH(X$8,Parameters_Constants!$K$109:$AF$109,0))=FALSE)</f>
        <v>0</v>
      </c>
      <c r="Y135" s="279" t="b">
        <f>IF(OR($D33="",$D33=CONST_NA),FALSE,INDEX(Parameters_Constants!$K$110:$AF$127,MATCH($E33,CONST_LIST_Goods,0),MATCH(Y$8,Parameters_Constants!$K$109:$AF$109,0))=FALSE)</f>
        <v>0</v>
      </c>
      <c r="Z135" s="279" t="b">
        <f>IF(OR($D33="",$D33=CONST_NA),FALSE,INDEX(Parameters_Constants!$K$110:$AF$127,MATCH($E33,CONST_LIST_Goods,0),MATCH(Z$8,Parameters_Constants!$K$109:$AF$109,0))=FALSE)</f>
        <v>0</v>
      </c>
      <c r="AA135" s="279" t="b">
        <f>IF(OR($D33="",$D33=CONST_NA),FALSE,INDEX(Parameters_Constants!$K$110:$AF$127,MATCH($E33,CONST_LIST_Goods,0),MATCH(AA$8,Parameters_Constants!$K$109:$AF$109,0))=FALSE)</f>
        <v>0</v>
      </c>
      <c r="AB135" s="279" t="b">
        <f>IF(OR($D33="",$D33=CONST_NA),FALSE,INDEX(Parameters_Constants!$K$110:$AF$127,MATCH($E33,CONST_LIST_Goods,0),MATCH(AB$8,Parameters_Constants!$K$109:$AF$109,0))=FALSE)</f>
        <v>0</v>
      </c>
      <c r="AC135" s="279" t="b">
        <f>IF(OR($D33="",$D33=CONST_NA),FALSE,INDEX(Parameters_Constants!$K$110:$AF$127,MATCH($E33,CONST_LIST_Goods,0),MATCH(AC$8,Parameters_Constants!$K$109:$AF$109,0))=FALSE)</f>
        <v>0</v>
      </c>
      <c r="AD135" s="279" t="b">
        <f>IF(OR($D33="",$D33=CONST_NA),FALSE,INDEX(Parameters_Constants!$K$110:$AF$127,MATCH($E33,CONST_LIST_Goods,0),MATCH(AD$8,Parameters_Constants!$K$109:$AF$109,0))=FALSE)</f>
        <v>0</v>
      </c>
      <c r="AE135" s="279" t="b">
        <f>IF(OR($D33="",$D33=CONST_NA),FALSE,INDEX(Parameters_Constants!$K$110:$AF$127,MATCH($E33,CONST_LIST_Goods,0),MATCH(AE$8,Parameters_Constants!$K$109:$AF$109,0))=FALSE)</f>
        <v>0</v>
      </c>
      <c r="AF135" s="279" t="b">
        <f>IF(OR($D33="",$D33=CONST_NA),FALSE,INDEX(Parameters_Constants!$K$110:$AF$127,MATCH($E33,CONST_LIST_Goods,0),MATCH(AF$8,Parameters_Constants!$K$109:$AF$109,0))=FALSE)</f>
        <v>0</v>
      </c>
      <c r="AG135" s="279" t="b">
        <f>IF(OR($D33="",$D33=CONST_NA),FALSE,INDEX(Parameters_Constants!$K$110:$AF$127,MATCH($E33,CONST_LIST_Goods,0),MATCH(AG$8,Parameters_Constants!$K$109:$AF$109,0))=FALSE)</f>
        <v>0</v>
      </c>
      <c r="AH135" s="279" t="b">
        <f>IF(OR($D33="",$D33=CONST_NA),FALSE,INDEX(Parameters_Constants!$K$110:$AF$127,MATCH($E33,CONST_LIST_Goods,0),MATCH(AH$8,Parameters_Constants!$K$109:$AF$109,0))=FALSE)</f>
        <v>0</v>
      </c>
      <c r="AI135" s="279" t="b">
        <f>IF(OR($D33="",$D33=CONST_NA),FALSE,INDEX(Parameters_Constants!$K$110:$AF$127,MATCH($E33,CONST_LIST_Goods,0),MATCH(AI$8,Parameters_Constants!$K$109:$AF$109,0))=FALSE)</f>
        <v>0</v>
      </c>
      <c r="AJ135" s="279" t="b">
        <f>IF(OR($D33="",$D33=CONST_NA),FALSE,INDEX(Parameters_Constants!$K$110:$AF$127,MATCH($E33,CONST_LIST_Goods,0),MATCH(AJ$8,Parameters_Constants!$K$109:$AF$109,0))=FALSE)</f>
        <v>0</v>
      </c>
      <c r="AK135" s="279" t="b">
        <f>IF(OR($D33="",$D33=CONST_NA),FALSE,INDEX(Parameters_Constants!$K$110:$AF$127,MATCH($E33,CONST_LIST_Goods,0),MATCH(AK$8,Parameters_Constants!$K$109:$AF$109,0))=FALSE)</f>
        <v>0</v>
      </c>
    </row>
    <row r="136" spans="1:49" s="275" customFormat="1" hidden="1" x14ac:dyDescent="0.35">
      <c r="A136" s="275" t="s">
        <v>3</v>
      </c>
      <c r="C136" s="275">
        <v>25</v>
      </c>
      <c r="F136" s="279" t="b">
        <v>0</v>
      </c>
      <c r="H136" s="279" t="b">
        <v>0</v>
      </c>
      <c r="P136" s="279" t="b">
        <f>IF(OR($D34="",$D34=CONST_NA),FALSE,INDEX(Parameters_Constants!$K$110:$AF$127,MATCH($E34,CONST_LIST_Goods,0),MATCH(P$8,Parameters_Constants!$K$109:$AF$109,0))=FALSE)</f>
        <v>0</v>
      </c>
      <c r="Q136" s="279" t="b">
        <f>IF(OR($D34="",$D34=CONST_NA),FALSE,INDEX(Parameters_Constants!$K$110:$AF$127,MATCH($E34,CONST_LIST_Goods,0),MATCH(Q$8,Parameters_Constants!$K$109:$AF$109,0))=FALSE)</f>
        <v>0</v>
      </c>
      <c r="R136" s="279" t="b">
        <f>IF(OR($D34="",$D34=CONST_NA),FALSE,INDEX(Parameters_Constants!$K$110:$AF$127,MATCH($E34,CONST_LIST_Goods,0),MATCH(R$8,Parameters_Constants!$K$109:$AF$109,0))=FALSE)</f>
        <v>0</v>
      </c>
      <c r="S136" s="279" t="b">
        <f>IF(OR($D34="",$D34=CONST_NA),FALSE,INDEX(Parameters_Constants!$K$110:$AF$127,MATCH($E34,CONST_LIST_Goods,0),MATCH(S$8,Parameters_Constants!$K$109:$AF$109,0))=FALSE)</f>
        <v>0</v>
      </c>
      <c r="T136" s="279" t="b">
        <f>IF(OR($D34="",$D34=CONST_NA),FALSE,INDEX(Parameters_Constants!$K$110:$AF$127,MATCH($E34,CONST_LIST_Goods,0),MATCH(T$8,Parameters_Constants!$K$109:$AF$109,0))=FALSE)</f>
        <v>0</v>
      </c>
      <c r="U136" s="279" t="b">
        <f>IF(OR($D34="",$D34=CONST_NA),FALSE,INDEX(Parameters_Constants!$K$110:$AF$127,MATCH($E34,CONST_LIST_Goods,0),MATCH(U$8,Parameters_Constants!$K$109:$AF$109,0))=FALSE)</f>
        <v>0</v>
      </c>
      <c r="V136" s="279" t="b">
        <f>IF(OR($D34="",$D34=CONST_NA),FALSE,INDEX(Parameters_Constants!$K$110:$AF$127,MATCH($E34,CONST_LIST_Goods,0),MATCH(V$8,Parameters_Constants!$K$109:$AF$109,0))=FALSE)</f>
        <v>0</v>
      </c>
      <c r="W136" s="279" t="b">
        <f>IF(OR($D34="",$D34=CONST_NA),FALSE,INDEX(Parameters_Constants!$K$110:$AF$127,MATCH($E34,CONST_LIST_Goods,0),MATCH(W$8,Parameters_Constants!$K$109:$AF$109,0))=FALSE)</f>
        <v>0</v>
      </c>
      <c r="X136" s="279" t="b">
        <f>IF(OR($D34="",$D34=CONST_NA),FALSE,INDEX(Parameters_Constants!$K$110:$AF$127,MATCH($E34,CONST_LIST_Goods,0),MATCH(X$8,Parameters_Constants!$K$109:$AF$109,0))=FALSE)</f>
        <v>0</v>
      </c>
      <c r="Y136" s="279" t="b">
        <f>IF(OR($D34="",$D34=CONST_NA),FALSE,INDEX(Parameters_Constants!$K$110:$AF$127,MATCH($E34,CONST_LIST_Goods,0),MATCH(Y$8,Parameters_Constants!$K$109:$AF$109,0))=FALSE)</f>
        <v>0</v>
      </c>
      <c r="Z136" s="279" t="b">
        <f>IF(OR($D34="",$D34=CONST_NA),FALSE,INDEX(Parameters_Constants!$K$110:$AF$127,MATCH($E34,CONST_LIST_Goods,0),MATCH(Z$8,Parameters_Constants!$K$109:$AF$109,0))=FALSE)</f>
        <v>0</v>
      </c>
      <c r="AA136" s="279" t="b">
        <f>IF(OR($D34="",$D34=CONST_NA),FALSE,INDEX(Parameters_Constants!$K$110:$AF$127,MATCH($E34,CONST_LIST_Goods,0),MATCH(AA$8,Parameters_Constants!$K$109:$AF$109,0))=FALSE)</f>
        <v>0</v>
      </c>
      <c r="AB136" s="279" t="b">
        <f>IF(OR($D34="",$D34=CONST_NA),FALSE,INDEX(Parameters_Constants!$K$110:$AF$127,MATCH($E34,CONST_LIST_Goods,0),MATCH(AB$8,Parameters_Constants!$K$109:$AF$109,0))=FALSE)</f>
        <v>0</v>
      </c>
      <c r="AC136" s="279" t="b">
        <f>IF(OR($D34="",$D34=CONST_NA),FALSE,INDEX(Parameters_Constants!$K$110:$AF$127,MATCH($E34,CONST_LIST_Goods,0),MATCH(AC$8,Parameters_Constants!$K$109:$AF$109,0))=FALSE)</f>
        <v>0</v>
      </c>
      <c r="AD136" s="279" t="b">
        <f>IF(OR($D34="",$D34=CONST_NA),FALSE,INDEX(Parameters_Constants!$K$110:$AF$127,MATCH($E34,CONST_LIST_Goods,0),MATCH(AD$8,Parameters_Constants!$K$109:$AF$109,0))=FALSE)</f>
        <v>0</v>
      </c>
      <c r="AE136" s="279" t="b">
        <f>IF(OR($D34="",$D34=CONST_NA),FALSE,INDEX(Parameters_Constants!$K$110:$AF$127,MATCH($E34,CONST_LIST_Goods,0),MATCH(AE$8,Parameters_Constants!$K$109:$AF$109,0))=FALSE)</f>
        <v>0</v>
      </c>
      <c r="AF136" s="279" t="b">
        <f>IF(OR($D34="",$D34=CONST_NA),FALSE,INDEX(Parameters_Constants!$K$110:$AF$127,MATCH($E34,CONST_LIST_Goods,0),MATCH(AF$8,Parameters_Constants!$K$109:$AF$109,0))=FALSE)</f>
        <v>0</v>
      </c>
      <c r="AG136" s="279" t="b">
        <f>IF(OR($D34="",$D34=CONST_NA),FALSE,INDEX(Parameters_Constants!$K$110:$AF$127,MATCH($E34,CONST_LIST_Goods,0),MATCH(AG$8,Parameters_Constants!$K$109:$AF$109,0))=FALSE)</f>
        <v>0</v>
      </c>
      <c r="AH136" s="279" t="b">
        <f>IF(OR($D34="",$D34=CONST_NA),FALSE,INDEX(Parameters_Constants!$K$110:$AF$127,MATCH($E34,CONST_LIST_Goods,0),MATCH(AH$8,Parameters_Constants!$K$109:$AF$109,0))=FALSE)</f>
        <v>0</v>
      </c>
      <c r="AI136" s="279" t="b">
        <f>IF(OR($D34="",$D34=CONST_NA),FALSE,INDEX(Parameters_Constants!$K$110:$AF$127,MATCH($E34,CONST_LIST_Goods,0),MATCH(AI$8,Parameters_Constants!$K$109:$AF$109,0))=FALSE)</f>
        <v>0</v>
      </c>
      <c r="AJ136" s="279" t="b">
        <f>IF(OR($D34="",$D34=CONST_NA),FALSE,INDEX(Parameters_Constants!$K$110:$AF$127,MATCH($E34,CONST_LIST_Goods,0),MATCH(AJ$8,Parameters_Constants!$K$109:$AF$109,0))=FALSE)</f>
        <v>0</v>
      </c>
      <c r="AK136" s="279" t="b">
        <f>IF(OR($D34="",$D34=CONST_NA),FALSE,INDEX(Parameters_Constants!$K$110:$AF$127,MATCH($E34,CONST_LIST_Goods,0),MATCH(AK$8,Parameters_Constants!$K$109:$AF$109,0))=FALSE)</f>
        <v>0</v>
      </c>
    </row>
    <row r="137" spans="1:49" s="275" customFormat="1" hidden="1" x14ac:dyDescent="0.35">
      <c r="A137" s="275" t="s">
        <v>3</v>
      </c>
      <c r="C137" s="275">
        <v>26</v>
      </c>
      <c r="F137" s="279" t="b">
        <v>0</v>
      </c>
      <c r="H137" s="279" t="b">
        <v>0</v>
      </c>
      <c r="P137" s="279" t="b">
        <f>IF(OR($D35="",$D35=CONST_NA),FALSE,INDEX(Parameters_Constants!$K$110:$AF$127,MATCH($E35,CONST_LIST_Goods,0),MATCH(P$8,Parameters_Constants!$K$109:$AF$109,0))=FALSE)</f>
        <v>0</v>
      </c>
      <c r="Q137" s="279" t="b">
        <f>IF(OR($D35="",$D35=CONST_NA),FALSE,INDEX(Parameters_Constants!$K$110:$AF$127,MATCH($E35,CONST_LIST_Goods,0),MATCH(Q$8,Parameters_Constants!$K$109:$AF$109,0))=FALSE)</f>
        <v>0</v>
      </c>
      <c r="R137" s="279" t="b">
        <f>IF(OR($D35="",$D35=CONST_NA),FALSE,INDEX(Parameters_Constants!$K$110:$AF$127,MATCH($E35,CONST_LIST_Goods,0),MATCH(R$8,Parameters_Constants!$K$109:$AF$109,0))=FALSE)</f>
        <v>0</v>
      </c>
      <c r="S137" s="279" t="b">
        <f>IF(OR($D35="",$D35=CONST_NA),FALSE,INDEX(Parameters_Constants!$K$110:$AF$127,MATCH($E35,CONST_LIST_Goods,0),MATCH(S$8,Parameters_Constants!$K$109:$AF$109,0))=FALSE)</f>
        <v>0</v>
      </c>
      <c r="T137" s="279" t="b">
        <f>IF(OR($D35="",$D35=CONST_NA),FALSE,INDEX(Parameters_Constants!$K$110:$AF$127,MATCH($E35,CONST_LIST_Goods,0),MATCH(T$8,Parameters_Constants!$K$109:$AF$109,0))=FALSE)</f>
        <v>0</v>
      </c>
      <c r="U137" s="279" t="b">
        <f>IF(OR($D35="",$D35=CONST_NA),FALSE,INDEX(Parameters_Constants!$K$110:$AF$127,MATCH($E35,CONST_LIST_Goods,0),MATCH(U$8,Parameters_Constants!$K$109:$AF$109,0))=FALSE)</f>
        <v>0</v>
      </c>
      <c r="V137" s="279" t="b">
        <f>IF(OR($D35="",$D35=CONST_NA),FALSE,INDEX(Parameters_Constants!$K$110:$AF$127,MATCH($E35,CONST_LIST_Goods,0),MATCH(V$8,Parameters_Constants!$K$109:$AF$109,0))=FALSE)</f>
        <v>0</v>
      </c>
      <c r="W137" s="279" t="b">
        <f>IF(OR($D35="",$D35=CONST_NA),FALSE,INDEX(Parameters_Constants!$K$110:$AF$127,MATCH($E35,CONST_LIST_Goods,0),MATCH(W$8,Parameters_Constants!$K$109:$AF$109,0))=FALSE)</f>
        <v>0</v>
      </c>
      <c r="X137" s="279" t="b">
        <f>IF(OR($D35="",$D35=CONST_NA),FALSE,INDEX(Parameters_Constants!$K$110:$AF$127,MATCH($E35,CONST_LIST_Goods,0),MATCH(X$8,Parameters_Constants!$K$109:$AF$109,0))=FALSE)</f>
        <v>0</v>
      </c>
      <c r="Y137" s="279" t="b">
        <f>IF(OR($D35="",$D35=CONST_NA),FALSE,INDEX(Parameters_Constants!$K$110:$AF$127,MATCH($E35,CONST_LIST_Goods,0),MATCH(Y$8,Parameters_Constants!$K$109:$AF$109,0))=FALSE)</f>
        <v>0</v>
      </c>
      <c r="Z137" s="279" t="b">
        <f>IF(OR($D35="",$D35=CONST_NA),FALSE,INDEX(Parameters_Constants!$K$110:$AF$127,MATCH($E35,CONST_LIST_Goods,0),MATCH(Z$8,Parameters_Constants!$K$109:$AF$109,0))=FALSE)</f>
        <v>0</v>
      </c>
      <c r="AA137" s="279" t="b">
        <f>IF(OR($D35="",$D35=CONST_NA),FALSE,INDEX(Parameters_Constants!$K$110:$AF$127,MATCH($E35,CONST_LIST_Goods,0),MATCH(AA$8,Parameters_Constants!$K$109:$AF$109,0))=FALSE)</f>
        <v>0</v>
      </c>
      <c r="AB137" s="279" t="b">
        <f>IF(OR($D35="",$D35=CONST_NA),FALSE,INDEX(Parameters_Constants!$K$110:$AF$127,MATCH($E35,CONST_LIST_Goods,0),MATCH(AB$8,Parameters_Constants!$K$109:$AF$109,0))=FALSE)</f>
        <v>0</v>
      </c>
      <c r="AC137" s="279" t="b">
        <f>IF(OR($D35="",$D35=CONST_NA),FALSE,INDEX(Parameters_Constants!$K$110:$AF$127,MATCH($E35,CONST_LIST_Goods,0),MATCH(AC$8,Parameters_Constants!$K$109:$AF$109,0))=FALSE)</f>
        <v>0</v>
      </c>
      <c r="AD137" s="279" t="b">
        <f>IF(OR($D35="",$D35=CONST_NA),FALSE,INDEX(Parameters_Constants!$K$110:$AF$127,MATCH($E35,CONST_LIST_Goods,0),MATCH(AD$8,Parameters_Constants!$K$109:$AF$109,0))=FALSE)</f>
        <v>0</v>
      </c>
      <c r="AE137" s="279" t="b">
        <f>IF(OR($D35="",$D35=CONST_NA),FALSE,INDEX(Parameters_Constants!$K$110:$AF$127,MATCH($E35,CONST_LIST_Goods,0),MATCH(AE$8,Parameters_Constants!$K$109:$AF$109,0))=FALSE)</f>
        <v>0</v>
      </c>
      <c r="AF137" s="279" t="b">
        <f>IF(OR($D35="",$D35=CONST_NA),FALSE,INDEX(Parameters_Constants!$K$110:$AF$127,MATCH($E35,CONST_LIST_Goods,0),MATCH(AF$8,Parameters_Constants!$K$109:$AF$109,0))=FALSE)</f>
        <v>0</v>
      </c>
      <c r="AG137" s="279" t="b">
        <f>IF(OR($D35="",$D35=CONST_NA),FALSE,INDEX(Parameters_Constants!$K$110:$AF$127,MATCH($E35,CONST_LIST_Goods,0),MATCH(AG$8,Parameters_Constants!$K$109:$AF$109,0))=FALSE)</f>
        <v>0</v>
      </c>
      <c r="AH137" s="279" t="b">
        <f>IF(OR($D35="",$D35=CONST_NA),FALSE,INDEX(Parameters_Constants!$K$110:$AF$127,MATCH($E35,CONST_LIST_Goods,0),MATCH(AH$8,Parameters_Constants!$K$109:$AF$109,0))=FALSE)</f>
        <v>0</v>
      </c>
      <c r="AI137" s="279" t="b">
        <f>IF(OR($D35="",$D35=CONST_NA),FALSE,INDEX(Parameters_Constants!$K$110:$AF$127,MATCH($E35,CONST_LIST_Goods,0),MATCH(AI$8,Parameters_Constants!$K$109:$AF$109,0))=FALSE)</f>
        <v>0</v>
      </c>
      <c r="AJ137" s="279" t="b">
        <f>IF(OR($D35="",$D35=CONST_NA),FALSE,INDEX(Parameters_Constants!$K$110:$AF$127,MATCH($E35,CONST_LIST_Goods,0),MATCH(AJ$8,Parameters_Constants!$K$109:$AF$109,0))=FALSE)</f>
        <v>0</v>
      </c>
      <c r="AK137" s="279" t="b">
        <f>IF(OR($D35="",$D35=CONST_NA),FALSE,INDEX(Parameters_Constants!$K$110:$AF$127,MATCH($E35,CONST_LIST_Goods,0),MATCH(AK$8,Parameters_Constants!$K$109:$AF$109,0))=FALSE)</f>
        <v>0</v>
      </c>
    </row>
    <row r="138" spans="1:49" s="275" customFormat="1" hidden="1" x14ac:dyDescent="0.35">
      <c r="A138" s="275" t="s">
        <v>3</v>
      </c>
      <c r="C138" s="275">
        <v>27</v>
      </c>
      <c r="F138" s="279" t="b">
        <v>0</v>
      </c>
      <c r="H138" s="279" t="b">
        <v>0</v>
      </c>
      <c r="P138" s="279" t="b">
        <f>IF(OR($D36="",$D36=CONST_NA),FALSE,INDEX(Parameters_Constants!$K$110:$AF$127,MATCH($E36,CONST_LIST_Goods,0),MATCH(P$8,Parameters_Constants!$K$109:$AF$109,0))=FALSE)</f>
        <v>0</v>
      </c>
      <c r="Q138" s="279" t="b">
        <f>IF(OR($D36="",$D36=CONST_NA),FALSE,INDEX(Parameters_Constants!$K$110:$AF$127,MATCH($E36,CONST_LIST_Goods,0),MATCH(Q$8,Parameters_Constants!$K$109:$AF$109,0))=FALSE)</f>
        <v>0</v>
      </c>
      <c r="R138" s="279" t="b">
        <f>IF(OR($D36="",$D36=CONST_NA),FALSE,INDEX(Parameters_Constants!$K$110:$AF$127,MATCH($E36,CONST_LIST_Goods,0),MATCH(R$8,Parameters_Constants!$K$109:$AF$109,0))=FALSE)</f>
        <v>0</v>
      </c>
      <c r="S138" s="279" t="b">
        <f>IF(OR($D36="",$D36=CONST_NA),FALSE,INDEX(Parameters_Constants!$K$110:$AF$127,MATCH($E36,CONST_LIST_Goods,0),MATCH(S$8,Parameters_Constants!$K$109:$AF$109,0))=FALSE)</f>
        <v>0</v>
      </c>
      <c r="T138" s="279" t="b">
        <f>IF(OR($D36="",$D36=CONST_NA),FALSE,INDEX(Parameters_Constants!$K$110:$AF$127,MATCH($E36,CONST_LIST_Goods,0),MATCH(T$8,Parameters_Constants!$K$109:$AF$109,0))=FALSE)</f>
        <v>0</v>
      </c>
      <c r="U138" s="279" t="b">
        <f>IF(OR($D36="",$D36=CONST_NA),FALSE,INDEX(Parameters_Constants!$K$110:$AF$127,MATCH($E36,CONST_LIST_Goods,0),MATCH(U$8,Parameters_Constants!$K$109:$AF$109,0))=FALSE)</f>
        <v>0</v>
      </c>
      <c r="V138" s="279" t="b">
        <f>IF(OR($D36="",$D36=CONST_NA),FALSE,INDEX(Parameters_Constants!$K$110:$AF$127,MATCH($E36,CONST_LIST_Goods,0),MATCH(V$8,Parameters_Constants!$K$109:$AF$109,0))=FALSE)</f>
        <v>0</v>
      </c>
      <c r="W138" s="279" t="b">
        <f>IF(OR($D36="",$D36=CONST_NA),FALSE,INDEX(Parameters_Constants!$K$110:$AF$127,MATCH($E36,CONST_LIST_Goods,0),MATCH(W$8,Parameters_Constants!$K$109:$AF$109,0))=FALSE)</f>
        <v>0</v>
      </c>
      <c r="X138" s="279" t="b">
        <f>IF(OR($D36="",$D36=CONST_NA),FALSE,INDEX(Parameters_Constants!$K$110:$AF$127,MATCH($E36,CONST_LIST_Goods,0),MATCH(X$8,Parameters_Constants!$K$109:$AF$109,0))=FALSE)</f>
        <v>0</v>
      </c>
      <c r="Y138" s="279" t="b">
        <f>IF(OR($D36="",$D36=CONST_NA),FALSE,INDEX(Parameters_Constants!$K$110:$AF$127,MATCH($E36,CONST_LIST_Goods,0),MATCH(Y$8,Parameters_Constants!$K$109:$AF$109,0))=FALSE)</f>
        <v>0</v>
      </c>
      <c r="Z138" s="279" t="b">
        <f>IF(OR($D36="",$D36=CONST_NA),FALSE,INDEX(Parameters_Constants!$K$110:$AF$127,MATCH($E36,CONST_LIST_Goods,0),MATCH(Z$8,Parameters_Constants!$K$109:$AF$109,0))=FALSE)</f>
        <v>0</v>
      </c>
      <c r="AA138" s="279" t="b">
        <f>IF(OR($D36="",$D36=CONST_NA),FALSE,INDEX(Parameters_Constants!$K$110:$AF$127,MATCH($E36,CONST_LIST_Goods,0),MATCH(AA$8,Parameters_Constants!$K$109:$AF$109,0))=FALSE)</f>
        <v>0</v>
      </c>
      <c r="AB138" s="279" t="b">
        <f>IF(OR($D36="",$D36=CONST_NA),FALSE,INDEX(Parameters_Constants!$K$110:$AF$127,MATCH($E36,CONST_LIST_Goods,0),MATCH(AB$8,Parameters_Constants!$K$109:$AF$109,0))=FALSE)</f>
        <v>0</v>
      </c>
      <c r="AC138" s="279" t="b">
        <f>IF(OR($D36="",$D36=CONST_NA),FALSE,INDEX(Parameters_Constants!$K$110:$AF$127,MATCH($E36,CONST_LIST_Goods,0),MATCH(AC$8,Parameters_Constants!$K$109:$AF$109,0))=FALSE)</f>
        <v>0</v>
      </c>
      <c r="AD138" s="279" t="b">
        <f>IF(OR($D36="",$D36=CONST_NA),FALSE,INDEX(Parameters_Constants!$K$110:$AF$127,MATCH($E36,CONST_LIST_Goods,0),MATCH(AD$8,Parameters_Constants!$K$109:$AF$109,0))=FALSE)</f>
        <v>0</v>
      </c>
      <c r="AE138" s="279" t="b">
        <f>IF(OR($D36="",$D36=CONST_NA),FALSE,INDEX(Parameters_Constants!$K$110:$AF$127,MATCH($E36,CONST_LIST_Goods,0),MATCH(AE$8,Parameters_Constants!$K$109:$AF$109,0))=FALSE)</f>
        <v>0</v>
      </c>
      <c r="AF138" s="279" t="b">
        <f>IF(OR($D36="",$D36=CONST_NA),FALSE,INDEX(Parameters_Constants!$K$110:$AF$127,MATCH($E36,CONST_LIST_Goods,0),MATCH(AF$8,Parameters_Constants!$K$109:$AF$109,0))=FALSE)</f>
        <v>0</v>
      </c>
      <c r="AG138" s="279" t="b">
        <f>IF(OR($D36="",$D36=CONST_NA),FALSE,INDEX(Parameters_Constants!$K$110:$AF$127,MATCH($E36,CONST_LIST_Goods,0),MATCH(AG$8,Parameters_Constants!$K$109:$AF$109,0))=FALSE)</f>
        <v>0</v>
      </c>
      <c r="AH138" s="279" t="b">
        <f>IF(OR($D36="",$D36=CONST_NA),FALSE,INDEX(Parameters_Constants!$K$110:$AF$127,MATCH($E36,CONST_LIST_Goods,0),MATCH(AH$8,Parameters_Constants!$K$109:$AF$109,0))=FALSE)</f>
        <v>0</v>
      </c>
      <c r="AI138" s="279" t="b">
        <f>IF(OR($D36="",$D36=CONST_NA),FALSE,INDEX(Parameters_Constants!$K$110:$AF$127,MATCH($E36,CONST_LIST_Goods,0),MATCH(AI$8,Parameters_Constants!$K$109:$AF$109,0))=FALSE)</f>
        <v>0</v>
      </c>
      <c r="AJ138" s="279" t="b">
        <f>IF(OR($D36="",$D36=CONST_NA),FALSE,INDEX(Parameters_Constants!$K$110:$AF$127,MATCH($E36,CONST_LIST_Goods,0),MATCH(AJ$8,Parameters_Constants!$K$109:$AF$109,0))=FALSE)</f>
        <v>0</v>
      </c>
      <c r="AK138" s="279" t="b">
        <f>IF(OR($D36="",$D36=CONST_NA),FALSE,INDEX(Parameters_Constants!$K$110:$AF$127,MATCH($E36,CONST_LIST_Goods,0),MATCH(AK$8,Parameters_Constants!$K$109:$AF$109,0))=FALSE)</f>
        <v>0</v>
      </c>
    </row>
    <row r="139" spans="1:49" s="275" customFormat="1" hidden="1" x14ac:dyDescent="0.35">
      <c r="A139" s="275" t="s">
        <v>3</v>
      </c>
      <c r="C139" s="275">
        <v>28</v>
      </c>
      <c r="F139" s="279" t="b">
        <v>0</v>
      </c>
      <c r="H139" s="279" t="b">
        <v>0</v>
      </c>
      <c r="P139" s="279" t="b">
        <f>IF(OR($D37="",$D37=CONST_NA),FALSE,INDEX(Parameters_Constants!$K$110:$AF$127,MATCH($E37,CONST_LIST_Goods,0),MATCH(P$8,Parameters_Constants!$K$109:$AF$109,0))=FALSE)</f>
        <v>0</v>
      </c>
      <c r="Q139" s="279" t="b">
        <f>IF(OR($D37="",$D37=CONST_NA),FALSE,INDEX(Parameters_Constants!$K$110:$AF$127,MATCH($E37,CONST_LIST_Goods,0),MATCH(Q$8,Parameters_Constants!$K$109:$AF$109,0))=FALSE)</f>
        <v>0</v>
      </c>
      <c r="R139" s="279" t="b">
        <f>IF(OR($D37="",$D37=CONST_NA),FALSE,INDEX(Parameters_Constants!$K$110:$AF$127,MATCH($E37,CONST_LIST_Goods,0),MATCH(R$8,Parameters_Constants!$K$109:$AF$109,0))=FALSE)</f>
        <v>0</v>
      </c>
      <c r="S139" s="279" t="b">
        <f>IF(OR($D37="",$D37=CONST_NA),FALSE,INDEX(Parameters_Constants!$K$110:$AF$127,MATCH($E37,CONST_LIST_Goods,0),MATCH(S$8,Parameters_Constants!$K$109:$AF$109,0))=FALSE)</f>
        <v>0</v>
      </c>
      <c r="T139" s="279" t="b">
        <f>IF(OR($D37="",$D37=CONST_NA),FALSE,INDEX(Parameters_Constants!$K$110:$AF$127,MATCH($E37,CONST_LIST_Goods,0),MATCH(T$8,Parameters_Constants!$K$109:$AF$109,0))=FALSE)</f>
        <v>0</v>
      </c>
      <c r="U139" s="279" t="b">
        <f>IF(OR($D37="",$D37=CONST_NA),FALSE,INDEX(Parameters_Constants!$K$110:$AF$127,MATCH($E37,CONST_LIST_Goods,0),MATCH(U$8,Parameters_Constants!$K$109:$AF$109,0))=FALSE)</f>
        <v>0</v>
      </c>
      <c r="V139" s="279" t="b">
        <f>IF(OR($D37="",$D37=CONST_NA),FALSE,INDEX(Parameters_Constants!$K$110:$AF$127,MATCH($E37,CONST_LIST_Goods,0),MATCH(V$8,Parameters_Constants!$K$109:$AF$109,0))=FALSE)</f>
        <v>0</v>
      </c>
      <c r="W139" s="279" t="b">
        <f>IF(OR($D37="",$D37=CONST_NA),FALSE,INDEX(Parameters_Constants!$K$110:$AF$127,MATCH($E37,CONST_LIST_Goods,0),MATCH(W$8,Parameters_Constants!$K$109:$AF$109,0))=FALSE)</f>
        <v>0</v>
      </c>
      <c r="X139" s="279" t="b">
        <f>IF(OR($D37="",$D37=CONST_NA),FALSE,INDEX(Parameters_Constants!$K$110:$AF$127,MATCH($E37,CONST_LIST_Goods,0),MATCH(X$8,Parameters_Constants!$K$109:$AF$109,0))=FALSE)</f>
        <v>0</v>
      </c>
      <c r="Y139" s="279" t="b">
        <f>IF(OR($D37="",$D37=CONST_NA),FALSE,INDEX(Parameters_Constants!$K$110:$AF$127,MATCH($E37,CONST_LIST_Goods,0),MATCH(Y$8,Parameters_Constants!$K$109:$AF$109,0))=FALSE)</f>
        <v>0</v>
      </c>
      <c r="Z139" s="279" t="b">
        <f>IF(OR($D37="",$D37=CONST_NA),FALSE,INDEX(Parameters_Constants!$K$110:$AF$127,MATCH($E37,CONST_LIST_Goods,0),MATCH(Z$8,Parameters_Constants!$K$109:$AF$109,0))=FALSE)</f>
        <v>0</v>
      </c>
      <c r="AA139" s="279" t="b">
        <f>IF(OR($D37="",$D37=CONST_NA),FALSE,INDEX(Parameters_Constants!$K$110:$AF$127,MATCH($E37,CONST_LIST_Goods,0),MATCH(AA$8,Parameters_Constants!$K$109:$AF$109,0))=FALSE)</f>
        <v>0</v>
      </c>
      <c r="AB139" s="279" t="b">
        <f>IF(OR($D37="",$D37=CONST_NA),FALSE,INDEX(Parameters_Constants!$K$110:$AF$127,MATCH($E37,CONST_LIST_Goods,0),MATCH(AB$8,Parameters_Constants!$K$109:$AF$109,0))=FALSE)</f>
        <v>0</v>
      </c>
      <c r="AC139" s="279" t="b">
        <f>IF(OR($D37="",$D37=CONST_NA),FALSE,INDEX(Parameters_Constants!$K$110:$AF$127,MATCH($E37,CONST_LIST_Goods,0),MATCH(AC$8,Parameters_Constants!$K$109:$AF$109,0))=FALSE)</f>
        <v>0</v>
      </c>
      <c r="AD139" s="279" t="b">
        <f>IF(OR($D37="",$D37=CONST_NA),FALSE,INDEX(Parameters_Constants!$K$110:$AF$127,MATCH($E37,CONST_LIST_Goods,0),MATCH(AD$8,Parameters_Constants!$K$109:$AF$109,0))=FALSE)</f>
        <v>0</v>
      </c>
      <c r="AE139" s="279" t="b">
        <f>IF(OR($D37="",$D37=CONST_NA),FALSE,INDEX(Parameters_Constants!$K$110:$AF$127,MATCH($E37,CONST_LIST_Goods,0),MATCH(AE$8,Parameters_Constants!$K$109:$AF$109,0))=FALSE)</f>
        <v>0</v>
      </c>
      <c r="AF139" s="279" t="b">
        <f>IF(OR($D37="",$D37=CONST_NA),FALSE,INDEX(Parameters_Constants!$K$110:$AF$127,MATCH($E37,CONST_LIST_Goods,0),MATCH(AF$8,Parameters_Constants!$K$109:$AF$109,0))=FALSE)</f>
        <v>0</v>
      </c>
      <c r="AG139" s="279" t="b">
        <f>IF(OR($D37="",$D37=CONST_NA),FALSE,INDEX(Parameters_Constants!$K$110:$AF$127,MATCH($E37,CONST_LIST_Goods,0),MATCH(AG$8,Parameters_Constants!$K$109:$AF$109,0))=FALSE)</f>
        <v>0</v>
      </c>
      <c r="AH139" s="279" t="b">
        <f>IF(OR($D37="",$D37=CONST_NA),FALSE,INDEX(Parameters_Constants!$K$110:$AF$127,MATCH($E37,CONST_LIST_Goods,0),MATCH(AH$8,Parameters_Constants!$K$109:$AF$109,0))=FALSE)</f>
        <v>0</v>
      </c>
      <c r="AI139" s="279" t="b">
        <f>IF(OR($D37="",$D37=CONST_NA),FALSE,INDEX(Parameters_Constants!$K$110:$AF$127,MATCH($E37,CONST_LIST_Goods,0),MATCH(AI$8,Parameters_Constants!$K$109:$AF$109,0))=FALSE)</f>
        <v>0</v>
      </c>
      <c r="AJ139" s="279" t="b">
        <f>IF(OR($D37="",$D37=CONST_NA),FALSE,INDEX(Parameters_Constants!$K$110:$AF$127,MATCH($E37,CONST_LIST_Goods,0),MATCH(AJ$8,Parameters_Constants!$K$109:$AF$109,0))=FALSE)</f>
        <v>0</v>
      </c>
      <c r="AK139" s="279" t="b">
        <f>IF(OR($D37="",$D37=CONST_NA),FALSE,INDEX(Parameters_Constants!$K$110:$AF$127,MATCH($E37,CONST_LIST_Goods,0),MATCH(AK$8,Parameters_Constants!$K$109:$AF$109,0))=FALSE)</f>
        <v>0</v>
      </c>
    </row>
    <row r="140" spans="1:49" s="275" customFormat="1" hidden="1" x14ac:dyDescent="0.35">
      <c r="A140" s="275" t="s">
        <v>3</v>
      </c>
      <c r="C140" s="275">
        <v>29</v>
      </c>
      <c r="F140" s="279" t="b">
        <v>0</v>
      </c>
      <c r="H140" s="279" t="b">
        <v>0</v>
      </c>
      <c r="P140" s="279" t="b">
        <f>IF(OR($D38="",$D38=CONST_NA),FALSE,INDEX(Parameters_Constants!$K$110:$AF$127,MATCH($E38,CONST_LIST_Goods,0),MATCH(P$8,Parameters_Constants!$K$109:$AF$109,0))=FALSE)</f>
        <v>0</v>
      </c>
      <c r="Q140" s="279" t="b">
        <f>IF(OR($D38="",$D38=CONST_NA),FALSE,INDEX(Parameters_Constants!$K$110:$AF$127,MATCH($E38,CONST_LIST_Goods,0),MATCH(Q$8,Parameters_Constants!$K$109:$AF$109,0))=FALSE)</f>
        <v>0</v>
      </c>
      <c r="R140" s="279" t="b">
        <f>IF(OR($D38="",$D38=CONST_NA),FALSE,INDEX(Parameters_Constants!$K$110:$AF$127,MATCH($E38,CONST_LIST_Goods,0),MATCH(R$8,Parameters_Constants!$K$109:$AF$109,0))=FALSE)</f>
        <v>0</v>
      </c>
      <c r="S140" s="279" t="b">
        <f>IF(OR($D38="",$D38=CONST_NA),FALSE,INDEX(Parameters_Constants!$K$110:$AF$127,MATCH($E38,CONST_LIST_Goods,0),MATCH(S$8,Parameters_Constants!$K$109:$AF$109,0))=FALSE)</f>
        <v>0</v>
      </c>
      <c r="T140" s="279" t="b">
        <f>IF(OR($D38="",$D38=CONST_NA),FALSE,INDEX(Parameters_Constants!$K$110:$AF$127,MATCH($E38,CONST_LIST_Goods,0),MATCH(T$8,Parameters_Constants!$K$109:$AF$109,0))=FALSE)</f>
        <v>0</v>
      </c>
      <c r="U140" s="279" t="b">
        <f>IF(OR($D38="",$D38=CONST_NA),FALSE,INDEX(Parameters_Constants!$K$110:$AF$127,MATCH($E38,CONST_LIST_Goods,0),MATCH(U$8,Parameters_Constants!$K$109:$AF$109,0))=FALSE)</f>
        <v>0</v>
      </c>
      <c r="V140" s="279" t="b">
        <f>IF(OR($D38="",$D38=CONST_NA),FALSE,INDEX(Parameters_Constants!$K$110:$AF$127,MATCH($E38,CONST_LIST_Goods,0),MATCH(V$8,Parameters_Constants!$K$109:$AF$109,0))=FALSE)</f>
        <v>0</v>
      </c>
      <c r="W140" s="279" t="b">
        <f>IF(OR($D38="",$D38=CONST_NA),FALSE,INDEX(Parameters_Constants!$K$110:$AF$127,MATCH($E38,CONST_LIST_Goods,0),MATCH(W$8,Parameters_Constants!$K$109:$AF$109,0))=FALSE)</f>
        <v>0</v>
      </c>
      <c r="X140" s="279" t="b">
        <f>IF(OR($D38="",$D38=CONST_NA),FALSE,INDEX(Parameters_Constants!$K$110:$AF$127,MATCH($E38,CONST_LIST_Goods,0),MATCH(X$8,Parameters_Constants!$K$109:$AF$109,0))=FALSE)</f>
        <v>0</v>
      </c>
      <c r="Y140" s="279" t="b">
        <f>IF(OR($D38="",$D38=CONST_NA),FALSE,INDEX(Parameters_Constants!$K$110:$AF$127,MATCH($E38,CONST_LIST_Goods,0),MATCH(Y$8,Parameters_Constants!$K$109:$AF$109,0))=FALSE)</f>
        <v>0</v>
      </c>
      <c r="Z140" s="279" t="b">
        <f>IF(OR($D38="",$D38=CONST_NA),FALSE,INDEX(Parameters_Constants!$K$110:$AF$127,MATCH($E38,CONST_LIST_Goods,0),MATCH(Z$8,Parameters_Constants!$K$109:$AF$109,0))=FALSE)</f>
        <v>0</v>
      </c>
      <c r="AA140" s="279" t="b">
        <f>IF(OR($D38="",$D38=CONST_NA),FALSE,INDEX(Parameters_Constants!$K$110:$AF$127,MATCH($E38,CONST_LIST_Goods,0),MATCH(AA$8,Parameters_Constants!$K$109:$AF$109,0))=FALSE)</f>
        <v>0</v>
      </c>
      <c r="AB140" s="279" t="b">
        <f>IF(OR($D38="",$D38=CONST_NA),FALSE,INDEX(Parameters_Constants!$K$110:$AF$127,MATCH($E38,CONST_LIST_Goods,0),MATCH(AB$8,Parameters_Constants!$K$109:$AF$109,0))=FALSE)</f>
        <v>0</v>
      </c>
      <c r="AC140" s="279" t="b">
        <f>IF(OR($D38="",$D38=CONST_NA),FALSE,INDEX(Parameters_Constants!$K$110:$AF$127,MATCH($E38,CONST_LIST_Goods,0),MATCH(AC$8,Parameters_Constants!$K$109:$AF$109,0))=FALSE)</f>
        <v>0</v>
      </c>
      <c r="AD140" s="279" t="b">
        <f>IF(OR($D38="",$D38=CONST_NA),FALSE,INDEX(Parameters_Constants!$K$110:$AF$127,MATCH($E38,CONST_LIST_Goods,0),MATCH(AD$8,Parameters_Constants!$K$109:$AF$109,0))=FALSE)</f>
        <v>0</v>
      </c>
      <c r="AE140" s="279" t="b">
        <f>IF(OR($D38="",$D38=CONST_NA),FALSE,INDEX(Parameters_Constants!$K$110:$AF$127,MATCH($E38,CONST_LIST_Goods,0),MATCH(AE$8,Parameters_Constants!$K$109:$AF$109,0))=FALSE)</f>
        <v>0</v>
      </c>
      <c r="AF140" s="279" t="b">
        <f>IF(OR($D38="",$D38=CONST_NA),FALSE,INDEX(Parameters_Constants!$K$110:$AF$127,MATCH($E38,CONST_LIST_Goods,0),MATCH(AF$8,Parameters_Constants!$K$109:$AF$109,0))=FALSE)</f>
        <v>0</v>
      </c>
      <c r="AG140" s="279" t="b">
        <f>IF(OR($D38="",$D38=CONST_NA),FALSE,INDEX(Parameters_Constants!$K$110:$AF$127,MATCH($E38,CONST_LIST_Goods,0),MATCH(AG$8,Parameters_Constants!$K$109:$AF$109,0))=FALSE)</f>
        <v>0</v>
      </c>
      <c r="AH140" s="279" t="b">
        <f>IF(OR($D38="",$D38=CONST_NA),FALSE,INDEX(Parameters_Constants!$K$110:$AF$127,MATCH($E38,CONST_LIST_Goods,0),MATCH(AH$8,Parameters_Constants!$K$109:$AF$109,0))=FALSE)</f>
        <v>0</v>
      </c>
      <c r="AI140" s="279" t="b">
        <f>IF(OR($D38="",$D38=CONST_NA),FALSE,INDEX(Parameters_Constants!$K$110:$AF$127,MATCH($E38,CONST_LIST_Goods,0),MATCH(AI$8,Parameters_Constants!$K$109:$AF$109,0))=FALSE)</f>
        <v>0</v>
      </c>
      <c r="AJ140" s="279" t="b">
        <f>IF(OR($D38="",$D38=CONST_NA),FALSE,INDEX(Parameters_Constants!$K$110:$AF$127,MATCH($E38,CONST_LIST_Goods,0),MATCH(AJ$8,Parameters_Constants!$K$109:$AF$109,0))=FALSE)</f>
        <v>0</v>
      </c>
      <c r="AK140" s="279" t="b">
        <f>IF(OR($D38="",$D38=CONST_NA),FALSE,INDEX(Parameters_Constants!$K$110:$AF$127,MATCH($E38,CONST_LIST_Goods,0),MATCH(AK$8,Parameters_Constants!$K$109:$AF$109,0))=FALSE)</f>
        <v>0</v>
      </c>
    </row>
    <row r="141" spans="1:49" s="275" customFormat="1" hidden="1" x14ac:dyDescent="0.35">
      <c r="A141" s="275" t="s">
        <v>3</v>
      </c>
      <c r="C141" s="275">
        <v>30</v>
      </c>
      <c r="F141" s="279" t="b">
        <v>0</v>
      </c>
      <c r="H141" s="279" t="b">
        <v>0</v>
      </c>
      <c r="P141" s="279" t="b">
        <f>IF(OR($D39="",$D39=CONST_NA),FALSE,INDEX(Parameters_Constants!$K$110:$AF$127,MATCH($E39,CONST_LIST_Goods,0),MATCH(P$8,Parameters_Constants!$K$109:$AF$109,0))=FALSE)</f>
        <v>0</v>
      </c>
      <c r="Q141" s="279" t="b">
        <f>IF(OR($D39="",$D39=CONST_NA),FALSE,INDEX(Parameters_Constants!$K$110:$AF$127,MATCH($E39,CONST_LIST_Goods,0),MATCH(Q$8,Parameters_Constants!$K$109:$AF$109,0))=FALSE)</f>
        <v>0</v>
      </c>
      <c r="R141" s="279" t="b">
        <f>IF(OR($D39="",$D39=CONST_NA),FALSE,INDEX(Parameters_Constants!$K$110:$AF$127,MATCH($E39,CONST_LIST_Goods,0),MATCH(R$8,Parameters_Constants!$K$109:$AF$109,0))=FALSE)</f>
        <v>0</v>
      </c>
      <c r="S141" s="279" t="b">
        <f>IF(OR($D39="",$D39=CONST_NA),FALSE,INDEX(Parameters_Constants!$K$110:$AF$127,MATCH($E39,CONST_LIST_Goods,0),MATCH(S$8,Parameters_Constants!$K$109:$AF$109,0))=FALSE)</f>
        <v>0</v>
      </c>
      <c r="T141" s="279" t="b">
        <f>IF(OR($D39="",$D39=CONST_NA),FALSE,INDEX(Parameters_Constants!$K$110:$AF$127,MATCH($E39,CONST_LIST_Goods,0),MATCH(T$8,Parameters_Constants!$K$109:$AF$109,0))=FALSE)</f>
        <v>0</v>
      </c>
      <c r="U141" s="279" t="b">
        <f>IF(OR($D39="",$D39=CONST_NA),FALSE,INDEX(Parameters_Constants!$K$110:$AF$127,MATCH($E39,CONST_LIST_Goods,0),MATCH(U$8,Parameters_Constants!$K$109:$AF$109,0))=FALSE)</f>
        <v>0</v>
      </c>
      <c r="V141" s="279" t="b">
        <f>IF(OR($D39="",$D39=CONST_NA),FALSE,INDEX(Parameters_Constants!$K$110:$AF$127,MATCH($E39,CONST_LIST_Goods,0),MATCH(V$8,Parameters_Constants!$K$109:$AF$109,0))=FALSE)</f>
        <v>0</v>
      </c>
      <c r="W141" s="279" t="b">
        <f>IF(OR($D39="",$D39=CONST_NA),FALSE,INDEX(Parameters_Constants!$K$110:$AF$127,MATCH($E39,CONST_LIST_Goods,0),MATCH(W$8,Parameters_Constants!$K$109:$AF$109,0))=FALSE)</f>
        <v>0</v>
      </c>
      <c r="X141" s="279" t="b">
        <f>IF(OR($D39="",$D39=CONST_NA),FALSE,INDEX(Parameters_Constants!$K$110:$AF$127,MATCH($E39,CONST_LIST_Goods,0),MATCH(X$8,Parameters_Constants!$K$109:$AF$109,0))=FALSE)</f>
        <v>0</v>
      </c>
      <c r="Y141" s="279" t="b">
        <f>IF(OR($D39="",$D39=CONST_NA),FALSE,INDEX(Parameters_Constants!$K$110:$AF$127,MATCH($E39,CONST_LIST_Goods,0),MATCH(Y$8,Parameters_Constants!$K$109:$AF$109,0))=FALSE)</f>
        <v>0</v>
      </c>
      <c r="Z141" s="279" t="b">
        <f>IF(OR($D39="",$D39=CONST_NA),FALSE,INDEX(Parameters_Constants!$K$110:$AF$127,MATCH($E39,CONST_LIST_Goods,0),MATCH(Z$8,Parameters_Constants!$K$109:$AF$109,0))=FALSE)</f>
        <v>0</v>
      </c>
      <c r="AA141" s="279" t="b">
        <f>IF(OR($D39="",$D39=CONST_NA),FALSE,INDEX(Parameters_Constants!$K$110:$AF$127,MATCH($E39,CONST_LIST_Goods,0),MATCH(AA$8,Parameters_Constants!$K$109:$AF$109,0))=FALSE)</f>
        <v>0</v>
      </c>
      <c r="AB141" s="279" t="b">
        <f>IF(OR($D39="",$D39=CONST_NA),FALSE,INDEX(Parameters_Constants!$K$110:$AF$127,MATCH($E39,CONST_LIST_Goods,0),MATCH(AB$8,Parameters_Constants!$K$109:$AF$109,0))=FALSE)</f>
        <v>0</v>
      </c>
      <c r="AC141" s="279" t="b">
        <f>IF(OR($D39="",$D39=CONST_NA),FALSE,INDEX(Parameters_Constants!$K$110:$AF$127,MATCH($E39,CONST_LIST_Goods,0),MATCH(AC$8,Parameters_Constants!$K$109:$AF$109,0))=FALSE)</f>
        <v>0</v>
      </c>
      <c r="AD141" s="279" t="b">
        <f>IF(OR($D39="",$D39=CONST_NA),FALSE,INDEX(Parameters_Constants!$K$110:$AF$127,MATCH($E39,CONST_LIST_Goods,0),MATCH(AD$8,Parameters_Constants!$K$109:$AF$109,0))=FALSE)</f>
        <v>0</v>
      </c>
      <c r="AE141" s="279" t="b">
        <f>IF(OR($D39="",$D39=CONST_NA),FALSE,INDEX(Parameters_Constants!$K$110:$AF$127,MATCH($E39,CONST_LIST_Goods,0),MATCH(AE$8,Parameters_Constants!$K$109:$AF$109,0))=FALSE)</f>
        <v>0</v>
      </c>
      <c r="AF141" s="279" t="b">
        <f>IF(OR($D39="",$D39=CONST_NA),FALSE,INDEX(Parameters_Constants!$K$110:$AF$127,MATCH($E39,CONST_LIST_Goods,0),MATCH(AF$8,Parameters_Constants!$K$109:$AF$109,0))=FALSE)</f>
        <v>0</v>
      </c>
      <c r="AG141" s="279" t="b">
        <f>IF(OR($D39="",$D39=CONST_NA),FALSE,INDEX(Parameters_Constants!$K$110:$AF$127,MATCH($E39,CONST_LIST_Goods,0),MATCH(AG$8,Parameters_Constants!$K$109:$AF$109,0))=FALSE)</f>
        <v>0</v>
      </c>
      <c r="AH141" s="279" t="b">
        <f>IF(OR($D39="",$D39=CONST_NA),FALSE,INDEX(Parameters_Constants!$K$110:$AF$127,MATCH($E39,CONST_LIST_Goods,0),MATCH(AH$8,Parameters_Constants!$K$109:$AF$109,0))=FALSE)</f>
        <v>0</v>
      </c>
      <c r="AI141" s="279" t="b">
        <f>IF(OR($D39="",$D39=CONST_NA),FALSE,INDEX(Parameters_Constants!$K$110:$AF$127,MATCH($E39,CONST_LIST_Goods,0),MATCH(AI$8,Parameters_Constants!$K$109:$AF$109,0))=FALSE)</f>
        <v>0</v>
      </c>
      <c r="AJ141" s="279" t="b">
        <f>IF(OR($D39="",$D39=CONST_NA),FALSE,INDEX(Parameters_Constants!$K$110:$AF$127,MATCH($E39,CONST_LIST_Goods,0),MATCH(AJ$8,Parameters_Constants!$K$109:$AF$109,0))=FALSE)</f>
        <v>0</v>
      </c>
      <c r="AK141" s="279" t="b">
        <f>IF(OR($D39="",$D39=CONST_NA),FALSE,INDEX(Parameters_Constants!$K$110:$AF$127,MATCH($E39,CONST_LIST_Goods,0),MATCH(AK$8,Parameters_Constants!$K$109:$AF$109,0))=FALSE)</f>
        <v>0</v>
      </c>
    </row>
    <row r="142" spans="1:49" s="275" customFormat="1" hidden="1" x14ac:dyDescent="0.35">
      <c r="A142" s="275" t="s">
        <v>3</v>
      </c>
      <c r="C142" s="275">
        <v>31</v>
      </c>
      <c r="F142" s="279" t="b">
        <v>0</v>
      </c>
      <c r="H142" s="279" t="b">
        <v>0</v>
      </c>
      <c r="P142" s="279" t="b">
        <f>IF(OR($D40="",$D40=CONST_NA),FALSE,INDEX(Parameters_Constants!$K$110:$AF$127,MATCH($E40,CONST_LIST_Goods,0),MATCH(P$8,Parameters_Constants!$K$109:$AF$109,0))=FALSE)</f>
        <v>0</v>
      </c>
      <c r="Q142" s="279" t="b">
        <f>IF(OR($D40="",$D40=CONST_NA),FALSE,INDEX(Parameters_Constants!$K$110:$AF$127,MATCH($E40,CONST_LIST_Goods,0),MATCH(Q$8,Parameters_Constants!$K$109:$AF$109,0))=FALSE)</f>
        <v>0</v>
      </c>
      <c r="R142" s="279" t="b">
        <f>IF(OR($D40="",$D40=CONST_NA),FALSE,INDEX(Parameters_Constants!$K$110:$AF$127,MATCH($E40,CONST_LIST_Goods,0),MATCH(R$8,Parameters_Constants!$K$109:$AF$109,0))=FALSE)</f>
        <v>0</v>
      </c>
      <c r="S142" s="279" t="b">
        <f>IF(OR($D40="",$D40=CONST_NA),FALSE,INDEX(Parameters_Constants!$K$110:$AF$127,MATCH($E40,CONST_LIST_Goods,0),MATCH(S$8,Parameters_Constants!$K$109:$AF$109,0))=FALSE)</f>
        <v>0</v>
      </c>
      <c r="T142" s="279" t="b">
        <f>IF(OR($D40="",$D40=CONST_NA),FALSE,INDEX(Parameters_Constants!$K$110:$AF$127,MATCH($E40,CONST_LIST_Goods,0),MATCH(T$8,Parameters_Constants!$K$109:$AF$109,0))=FALSE)</f>
        <v>0</v>
      </c>
      <c r="U142" s="279" t="b">
        <f>IF(OR($D40="",$D40=CONST_NA),FALSE,INDEX(Parameters_Constants!$K$110:$AF$127,MATCH($E40,CONST_LIST_Goods,0),MATCH(U$8,Parameters_Constants!$K$109:$AF$109,0))=FALSE)</f>
        <v>0</v>
      </c>
      <c r="V142" s="279" t="b">
        <f>IF(OR($D40="",$D40=CONST_NA),FALSE,INDEX(Parameters_Constants!$K$110:$AF$127,MATCH($E40,CONST_LIST_Goods,0),MATCH(V$8,Parameters_Constants!$K$109:$AF$109,0))=FALSE)</f>
        <v>0</v>
      </c>
      <c r="W142" s="279" t="b">
        <f>IF(OR($D40="",$D40=CONST_NA),FALSE,INDEX(Parameters_Constants!$K$110:$AF$127,MATCH($E40,CONST_LIST_Goods,0),MATCH(W$8,Parameters_Constants!$K$109:$AF$109,0))=FALSE)</f>
        <v>0</v>
      </c>
      <c r="X142" s="279" t="b">
        <f>IF(OR($D40="",$D40=CONST_NA),FALSE,INDEX(Parameters_Constants!$K$110:$AF$127,MATCH($E40,CONST_LIST_Goods,0),MATCH(X$8,Parameters_Constants!$K$109:$AF$109,0))=FALSE)</f>
        <v>0</v>
      </c>
      <c r="Y142" s="279" t="b">
        <f>IF(OR($D40="",$D40=CONST_NA),FALSE,INDEX(Parameters_Constants!$K$110:$AF$127,MATCH($E40,CONST_LIST_Goods,0),MATCH(Y$8,Parameters_Constants!$K$109:$AF$109,0))=FALSE)</f>
        <v>0</v>
      </c>
      <c r="Z142" s="279" t="b">
        <f>IF(OR($D40="",$D40=CONST_NA),FALSE,INDEX(Parameters_Constants!$K$110:$AF$127,MATCH($E40,CONST_LIST_Goods,0),MATCH(Z$8,Parameters_Constants!$K$109:$AF$109,0))=FALSE)</f>
        <v>0</v>
      </c>
      <c r="AA142" s="279" t="b">
        <f>IF(OR($D40="",$D40=CONST_NA),FALSE,INDEX(Parameters_Constants!$K$110:$AF$127,MATCH($E40,CONST_LIST_Goods,0),MATCH(AA$8,Parameters_Constants!$K$109:$AF$109,0))=FALSE)</f>
        <v>0</v>
      </c>
      <c r="AB142" s="279" t="b">
        <f>IF(OR($D40="",$D40=CONST_NA),FALSE,INDEX(Parameters_Constants!$K$110:$AF$127,MATCH($E40,CONST_LIST_Goods,0),MATCH(AB$8,Parameters_Constants!$K$109:$AF$109,0))=FALSE)</f>
        <v>0</v>
      </c>
      <c r="AC142" s="279" t="b">
        <f>IF(OR($D40="",$D40=CONST_NA),FALSE,INDEX(Parameters_Constants!$K$110:$AF$127,MATCH($E40,CONST_LIST_Goods,0),MATCH(AC$8,Parameters_Constants!$K$109:$AF$109,0))=FALSE)</f>
        <v>0</v>
      </c>
      <c r="AD142" s="279" t="b">
        <f>IF(OR($D40="",$D40=CONST_NA),FALSE,INDEX(Parameters_Constants!$K$110:$AF$127,MATCH($E40,CONST_LIST_Goods,0),MATCH(AD$8,Parameters_Constants!$K$109:$AF$109,0))=FALSE)</f>
        <v>0</v>
      </c>
      <c r="AE142" s="279" t="b">
        <f>IF(OR($D40="",$D40=CONST_NA),FALSE,INDEX(Parameters_Constants!$K$110:$AF$127,MATCH($E40,CONST_LIST_Goods,0),MATCH(AE$8,Parameters_Constants!$K$109:$AF$109,0))=FALSE)</f>
        <v>0</v>
      </c>
      <c r="AF142" s="279" t="b">
        <f>IF(OR($D40="",$D40=CONST_NA),FALSE,INDEX(Parameters_Constants!$K$110:$AF$127,MATCH($E40,CONST_LIST_Goods,0),MATCH(AF$8,Parameters_Constants!$K$109:$AF$109,0))=FALSE)</f>
        <v>0</v>
      </c>
      <c r="AG142" s="279" t="b">
        <f>IF(OR($D40="",$D40=CONST_NA),FALSE,INDEX(Parameters_Constants!$K$110:$AF$127,MATCH($E40,CONST_LIST_Goods,0),MATCH(AG$8,Parameters_Constants!$K$109:$AF$109,0))=FALSE)</f>
        <v>0</v>
      </c>
      <c r="AH142" s="279" t="b">
        <f>IF(OR($D40="",$D40=CONST_NA),FALSE,INDEX(Parameters_Constants!$K$110:$AF$127,MATCH($E40,CONST_LIST_Goods,0),MATCH(AH$8,Parameters_Constants!$K$109:$AF$109,0))=FALSE)</f>
        <v>0</v>
      </c>
      <c r="AI142" s="279" t="b">
        <f>IF(OR($D40="",$D40=CONST_NA),FALSE,INDEX(Parameters_Constants!$K$110:$AF$127,MATCH($E40,CONST_LIST_Goods,0),MATCH(AI$8,Parameters_Constants!$K$109:$AF$109,0))=FALSE)</f>
        <v>0</v>
      </c>
      <c r="AJ142" s="279" t="b">
        <f>IF(OR($D40="",$D40=CONST_NA),FALSE,INDEX(Parameters_Constants!$K$110:$AF$127,MATCH($E40,CONST_LIST_Goods,0),MATCH(AJ$8,Parameters_Constants!$K$109:$AF$109,0))=FALSE)</f>
        <v>0</v>
      </c>
      <c r="AK142" s="279" t="b">
        <f>IF(OR($D40="",$D40=CONST_NA),FALSE,INDEX(Parameters_Constants!$K$110:$AF$127,MATCH($E40,CONST_LIST_Goods,0),MATCH(AK$8,Parameters_Constants!$K$109:$AF$109,0))=FALSE)</f>
        <v>0</v>
      </c>
    </row>
    <row r="143" spans="1:49" s="275" customFormat="1" hidden="1" x14ac:dyDescent="0.35">
      <c r="A143" s="275" t="s">
        <v>3</v>
      </c>
      <c r="C143" s="275">
        <v>32</v>
      </c>
      <c r="F143" s="279" t="b">
        <v>0</v>
      </c>
      <c r="H143" s="279" t="b">
        <v>0</v>
      </c>
      <c r="P143" s="279" t="b">
        <f>IF(OR($D41="",$D41=CONST_NA),FALSE,INDEX(Parameters_Constants!$K$110:$AF$127,MATCH($E41,CONST_LIST_Goods,0),MATCH(P$8,Parameters_Constants!$K$109:$AF$109,0))=FALSE)</f>
        <v>0</v>
      </c>
      <c r="Q143" s="279" t="b">
        <f>IF(OR($D41="",$D41=CONST_NA),FALSE,INDEX(Parameters_Constants!$K$110:$AF$127,MATCH($E41,CONST_LIST_Goods,0),MATCH(Q$8,Parameters_Constants!$K$109:$AF$109,0))=FALSE)</f>
        <v>0</v>
      </c>
      <c r="R143" s="279" t="b">
        <f>IF(OR($D41="",$D41=CONST_NA),FALSE,INDEX(Parameters_Constants!$K$110:$AF$127,MATCH($E41,CONST_LIST_Goods,0),MATCH(R$8,Parameters_Constants!$K$109:$AF$109,0))=FALSE)</f>
        <v>0</v>
      </c>
      <c r="S143" s="279" t="b">
        <f>IF(OR($D41="",$D41=CONST_NA),FALSE,INDEX(Parameters_Constants!$K$110:$AF$127,MATCH($E41,CONST_LIST_Goods,0),MATCH(S$8,Parameters_Constants!$K$109:$AF$109,0))=FALSE)</f>
        <v>0</v>
      </c>
      <c r="T143" s="279" t="b">
        <f>IF(OR($D41="",$D41=CONST_NA),FALSE,INDEX(Parameters_Constants!$K$110:$AF$127,MATCH($E41,CONST_LIST_Goods,0),MATCH(T$8,Parameters_Constants!$K$109:$AF$109,0))=FALSE)</f>
        <v>0</v>
      </c>
      <c r="U143" s="279" t="b">
        <f>IF(OR($D41="",$D41=CONST_NA),FALSE,INDEX(Parameters_Constants!$K$110:$AF$127,MATCH($E41,CONST_LIST_Goods,0),MATCH(U$8,Parameters_Constants!$K$109:$AF$109,0))=FALSE)</f>
        <v>0</v>
      </c>
      <c r="V143" s="279" t="b">
        <f>IF(OR($D41="",$D41=CONST_NA),FALSE,INDEX(Parameters_Constants!$K$110:$AF$127,MATCH($E41,CONST_LIST_Goods,0),MATCH(V$8,Parameters_Constants!$K$109:$AF$109,0))=FALSE)</f>
        <v>0</v>
      </c>
      <c r="W143" s="279" t="b">
        <f>IF(OR($D41="",$D41=CONST_NA),FALSE,INDEX(Parameters_Constants!$K$110:$AF$127,MATCH($E41,CONST_LIST_Goods,0),MATCH(W$8,Parameters_Constants!$K$109:$AF$109,0))=FALSE)</f>
        <v>0</v>
      </c>
      <c r="X143" s="279" t="b">
        <f>IF(OR($D41="",$D41=CONST_NA),FALSE,INDEX(Parameters_Constants!$K$110:$AF$127,MATCH($E41,CONST_LIST_Goods,0),MATCH(X$8,Parameters_Constants!$K$109:$AF$109,0))=FALSE)</f>
        <v>0</v>
      </c>
      <c r="Y143" s="279" t="b">
        <f>IF(OR($D41="",$D41=CONST_NA),FALSE,INDEX(Parameters_Constants!$K$110:$AF$127,MATCH($E41,CONST_LIST_Goods,0),MATCH(Y$8,Parameters_Constants!$K$109:$AF$109,0))=FALSE)</f>
        <v>0</v>
      </c>
      <c r="Z143" s="279" t="b">
        <f>IF(OR($D41="",$D41=CONST_NA),FALSE,INDEX(Parameters_Constants!$K$110:$AF$127,MATCH($E41,CONST_LIST_Goods,0),MATCH(Z$8,Parameters_Constants!$K$109:$AF$109,0))=FALSE)</f>
        <v>0</v>
      </c>
      <c r="AA143" s="279" t="b">
        <f>IF(OR($D41="",$D41=CONST_NA),FALSE,INDEX(Parameters_Constants!$K$110:$AF$127,MATCH($E41,CONST_LIST_Goods,0),MATCH(AA$8,Parameters_Constants!$K$109:$AF$109,0))=FALSE)</f>
        <v>0</v>
      </c>
      <c r="AB143" s="279" t="b">
        <f>IF(OR($D41="",$D41=CONST_NA),FALSE,INDEX(Parameters_Constants!$K$110:$AF$127,MATCH($E41,CONST_LIST_Goods,0),MATCH(AB$8,Parameters_Constants!$K$109:$AF$109,0))=FALSE)</f>
        <v>0</v>
      </c>
      <c r="AC143" s="279" t="b">
        <f>IF(OR($D41="",$D41=CONST_NA),FALSE,INDEX(Parameters_Constants!$K$110:$AF$127,MATCH($E41,CONST_LIST_Goods,0),MATCH(AC$8,Parameters_Constants!$K$109:$AF$109,0))=FALSE)</f>
        <v>0</v>
      </c>
      <c r="AD143" s="279" t="b">
        <f>IF(OR($D41="",$D41=CONST_NA),FALSE,INDEX(Parameters_Constants!$K$110:$AF$127,MATCH($E41,CONST_LIST_Goods,0),MATCH(AD$8,Parameters_Constants!$K$109:$AF$109,0))=FALSE)</f>
        <v>0</v>
      </c>
      <c r="AE143" s="279" t="b">
        <f>IF(OR($D41="",$D41=CONST_NA),FALSE,INDEX(Parameters_Constants!$K$110:$AF$127,MATCH($E41,CONST_LIST_Goods,0),MATCH(AE$8,Parameters_Constants!$K$109:$AF$109,0))=FALSE)</f>
        <v>0</v>
      </c>
      <c r="AF143" s="279" t="b">
        <f>IF(OR($D41="",$D41=CONST_NA),FALSE,INDEX(Parameters_Constants!$K$110:$AF$127,MATCH($E41,CONST_LIST_Goods,0),MATCH(AF$8,Parameters_Constants!$K$109:$AF$109,0))=FALSE)</f>
        <v>0</v>
      </c>
      <c r="AG143" s="279" t="b">
        <f>IF(OR($D41="",$D41=CONST_NA),FALSE,INDEX(Parameters_Constants!$K$110:$AF$127,MATCH($E41,CONST_LIST_Goods,0),MATCH(AG$8,Parameters_Constants!$K$109:$AF$109,0))=FALSE)</f>
        <v>0</v>
      </c>
      <c r="AH143" s="279" t="b">
        <f>IF(OR($D41="",$D41=CONST_NA),FALSE,INDEX(Parameters_Constants!$K$110:$AF$127,MATCH($E41,CONST_LIST_Goods,0),MATCH(AH$8,Parameters_Constants!$K$109:$AF$109,0))=FALSE)</f>
        <v>0</v>
      </c>
      <c r="AI143" s="279" t="b">
        <f>IF(OR($D41="",$D41=CONST_NA),FALSE,INDEX(Parameters_Constants!$K$110:$AF$127,MATCH($E41,CONST_LIST_Goods,0),MATCH(AI$8,Parameters_Constants!$K$109:$AF$109,0))=FALSE)</f>
        <v>0</v>
      </c>
      <c r="AJ143" s="279" t="b">
        <f>IF(OR($D41="",$D41=CONST_NA),FALSE,INDEX(Parameters_Constants!$K$110:$AF$127,MATCH($E41,CONST_LIST_Goods,0),MATCH(AJ$8,Parameters_Constants!$K$109:$AF$109,0))=FALSE)</f>
        <v>0</v>
      </c>
      <c r="AK143" s="279" t="b">
        <f>IF(OR($D41="",$D41=CONST_NA),FALSE,INDEX(Parameters_Constants!$K$110:$AF$127,MATCH($E41,CONST_LIST_Goods,0),MATCH(AK$8,Parameters_Constants!$K$109:$AF$109,0))=FALSE)</f>
        <v>0</v>
      </c>
      <c r="AL143" s="280"/>
      <c r="AM143" s="280"/>
      <c r="AN143" s="280"/>
      <c r="AO143" s="280"/>
      <c r="AP143" s="280"/>
      <c r="AQ143" s="280"/>
      <c r="AR143" s="280"/>
      <c r="AS143" s="280"/>
      <c r="AT143" s="280"/>
      <c r="AU143" s="280"/>
      <c r="AV143" s="280"/>
      <c r="AW143" s="280"/>
    </row>
    <row r="144" spans="1:49" s="275" customFormat="1" hidden="1" x14ac:dyDescent="0.35">
      <c r="A144" s="275" t="s">
        <v>3</v>
      </c>
      <c r="C144" s="275">
        <v>33</v>
      </c>
      <c r="F144" s="279" t="b">
        <v>0</v>
      </c>
      <c r="H144" s="279" t="b">
        <v>0</v>
      </c>
      <c r="P144" s="279" t="b">
        <f>IF(OR($D42="",$D42=CONST_NA),FALSE,INDEX(Parameters_Constants!$K$110:$AF$127,MATCH($E42,CONST_LIST_Goods,0),MATCH(P$8,Parameters_Constants!$K$109:$AF$109,0))=FALSE)</f>
        <v>0</v>
      </c>
      <c r="Q144" s="279" t="b">
        <f>IF(OR($D42="",$D42=CONST_NA),FALSE,INDEX(Parameters_Constants!$K$110:$AF$127,MATCH($E42,CONST_LIST_Goods,0),MATCH(Q$8,Parameters_Constants!$K$109:$AF$109,0))=FALSE)</f>
        <v>0</v>
      </c>
      <c r="R144" s="279" t="b">
        <f>IF(OR($D42="",$D42=CONST_NA),FALSE,INDEX(Parameters_Constants!$K$110:$AF$127,MATCH($E42,CONST_LIST_Goods,0),MATCH(R$8,Parameters_Constants!$K$109:$AF$109,0))=FALSE)</f>
        <v>0</v>
      </c>
      <c r="S144" s="279" t="b">
        <f>IF(OR($D42="",$D42=CONST_NA),FALSE,INDEX(Parameters_Constants!$K$110:$AF$127,MATCH($E42,CONST_LIST_Goods,0),MATCH(S$8,Parameters_Constants!$K$109:$AF$109,0))=FALSE)</f>
        <v>0</v>
      </c>
      <c r="T144" s="279" t="b">
        <f>IF(OR($D42="",$D42=CONST_NA),FALSE,INDEX(Parameters_Constants!$K$110:$AF$127,MATCH($E42,CONST_LIST_Goods,0),MATCH(T$8,Parameters_Constants!$K$109:$AF$109,0))=FALSE)</f>
        <v>0</v>
      </c>
      <c r="U144" s="279" t="b">
        <f>IF(OR($D42="",$D42=CONST_NA),FALSE,INDEX(Parameters_Constants!$K$110:$AF$127,MATCH($E42,CONST_LIST_Goods,0),MATCH(U$8,Parameters_Constants!$K$109:$AF$109,0))=FALSE)</f>
        <v>0</v>
      </c>
      <c r="V144" s="279" t="b">
        <f>IF(OR($D42="",$D42=CONST_NA),FALSE,INDEX(Parameters_Constants!$K$110:$AF$127,MATCH($E42,CONST_LIST_Goods,0),MATCH(V$8,Parameters_Constants!$K$109:$AF$109,0))=FALSE)</f>
        <v>0</v>
      </c>
      <c r="W144" s="279" t="b">
        <f>IF(OR($D42="",$D42=CONST_NA),FALSE,INDEX(Parameters_Constants!$K$110:$AF$127,MATCH($E42,CONST_LIST_Goods,0),MATCH(W$8,Parameters_Constants!$K$109:$AF$109,0))=FALSE)</f>
        <v>0</v>
      </c>
      <c r="X144" s="279" t="b">
        <f>IF(OR($D42="",$D42=CONST_NA),FALSE,INDEX(Parameters_Constants!$K$110:$AF$127,MATCH($E42,CONST_LIST_Goods,0),MATCH(X$8,Parameters_Constants!$K$109:$AF$109,0))=FALSE)</f>
        <v>0</v>
      </c>
      <c r="Y144" s="279" t="b">
        <f>IF(OR($D42="",$D42=CONST_NA),FALSE,INDEX(Parameters_Constants!$K$110:$AF$127,MATCH($E42,CONST_LIST_Goods,0),MATCH(Y$8,Parameters_Constants!$K$109:$AF$109,0))=FALSE)</f>
        <v>0</v>
      </c>
      <c r="Z144" s="279" t="b">
        <f>IF(OR($D42="",$D42=CONST_NA),FALSE,INDEX(Parameters_Constants!$K$110:$AF$127,MATCH($E42,CONST_LIST_Goods,0),MATCH(Z$8,Parameters_Constants!$K$109:$AF$109,0))=FALSE)</f>
        <v>0</v>
      </c>
      <c r="AA144" s="279" t="b">
        <f>IF(OR($D42="",$D42=CONST_NA),FALSE,INDEX(Parameters_Constants!$K$110:$AF$127,MATCH($E42,CONST_LIST_Goods,0),MATCH(AA$8,Parameters_Constants!$K$109:$AF$109,0))=FALSE)</f>
        <v>0</v>
      </c>
      <c r="AB144" s="279" t="b">
        <f>IF(OR($D42="",$D42=CONST_NA),FALSE,INDEX(Parameters_Constants!$K$110:$AF$127,MATCH($E42,CONST_LIST_Goods,0),MATCH(AB$8,Parameters_Constants!$K$109:$AF$109,0))=FALSE)</f>
        <v>0</v>
      </c>
      <c r="AC144" s="279" t="b">
        <f>IF(OR($D42="",$D42=CONST_NA),FALSE,INDEX(Parameters_Constants!$K$110:$AF$127,MATCH($E42,CONST_LIST_Goods,0),MATCH(AC$8,Parameters_Constants!$K$109:$AF$109,0))=FALSE)</f>
        <v>0</v>
      </c>
      <c r="AD144" s="279" t="b">
        <f>IF(OR($D42="",$D42=CONST_NA),FALSE,INDEX(Parameters_Constants!$K$110:$AF$127,MATCH($E42,CONST_LIST_Goods,0),MATCH(AD$8,Parameters_Constants!$K$109:$AF$109,0))=FALSE)</f>
        <v>0</v>
      </c>
      <c r="AE144" s="279" t="b">
        <f>IF(OR($D42="",$D42=CONST_NA),FALSE,INDEX(Parameters_Constants!$K$110:$AF$127,MATCH($E42,CONST_LIST_Goods,0),MATCH(AE$8,Parameters_Constants!$K$109:$AF$109,0))=FALSE)</f>
        <v>0</v>
      </c>
      <c r="AF144" s="279" t="b">
        <f>IF(OR($D42="",$D42=CONST_NA),FALSE,INDEX(Parameters_Constants!$K$110:$AF$127,MATCH($E42,CONST_LIST_Goods,0),MATCH(AF$8,Parameters_Constants!$K$109:$AF$109,0))=FALSE)</f>
        <v>0</v>
      </c>
      <c r="AG144" s="279" t="b">
        <f>IF(OR($D42="",$D42=CONST_NA),FALSE,INDEX(Parameters_Constants!$K$110:$AF$127,MATCH($E42,CONST_LIST_Goods,0),MATCH(AG$8,Parameters_Constants!$K$109:$AF$109,0))=FALSE)</f>
        <v>0</v>
      </c>
      <c r="AH144" s="279" t="b">
        <f>IF(OR($D42="",$D42=CONST_NA),FALSE,INDEX(Parameters_Constants!$K$110:$AF$127,MATCH($E42,CONST_LIST_Goods,0),MATCH(AH$8,Parameters_Constants!$K$109:$AF$109,0))=FALSE)</f>
        <v>0</v>
      </c>
      <c r="AI144" s="279" t="b">
        <f>IF(OR($D42="",$D42=CONST_NA),FALSE,INDEX(Parameters_Constants!$K$110:$AF$127,MATCH($E42,CONST_LIST_Goods,0),MATCH(AI$8,Parameters_Constants!$K$109:$AF$109,0))=FALSE)</f>
        <v>0</v>
      </c>
      <c r="AJ144" s="279" t="b">
        <f>IF(OR($D42="",$D42=CONST_NA),FALSE,INDEX(Parameters_Constants!$K$110:$AF$127,MATCH($E42,CONST_LIST_Goods,0),MATCH(AJ$8,Parameters_Constants!$K$109:$AF$109,0))=FALSE)</f>
        <v>0</v>
      </c>
      <c r="AK144" s="279" t="b">
        <f>IF(OR($D42="",$D42=CONST_NA),FALSE,INDEX(Parameters_Constants!$K$110:$AF$127,MATCH($E42,CONST_LIST_Goods,0),MATCH(AK$8,Parameters_Constants!$K$109:$AF$109,0))=FALSE)</f>
        <v>0</v>
      </c>
      <c r="AL144" s="280"/>
      <c r="AM144" s="280"/>
      <c r="AN144" s="280"/>
      <c r="AO144" s="280"/>
      <c r="AP144" s="280"/>
      <c r="AQ144" s="280"/>
      <c r="AR144" s="280"/>
      <c r="AS144" s="280"/>
      <c r="AT144" s="280"/>
      <c r="AU144" s="280"/>
      <c r="AV144" s="280"/>
      <c r="AW144" s="280"/>
    </row>
    <row r="145" spans="1:49" s="275" customFormat="1" hidden="1" x14ac:dyDescent="0.35">
      <c r="A145" s="275" t="s">
        <v>3</v>
      </c>
      <c r="C145" s="275">
        <v>34</v>
      </c>
      <c r="F145" s="279" t="b">
        <v>0</v>
      </c>
      <c r="H145" s="279" t="b">
        <v>0</v>
      </c>
      <c r="P145" s="279" t="b">
        <f>IF(OR($D43="",$D43=CONST_NA),FALSE,INDEX(Parameters_Constants!$K$110:$AF$127,MATCH($E43,CONST_LIST_Goods,0),MATCH(P$8,Parameters_Constants!$K$109:$AF$109,0))=FALSE)</f>
        <v>0</v>
      </c>
      <c r="Q145" s="279" t="b">
        <f>IF(OR($D43="",$D43=CONST_NA),FALSE,INDEX(Parameters_Constants!$K$110:$AF$127,MATCH($E43,CONST_LIST_Goods,0),MATCH(Q$8,Parameters_Constants!$K$109:$AF$109,0))=FALSE)</f>
        <v>0</v>
      </c>
      <c r="R145" s="279" t="b">
        <f>IF(OR($D43="",$D43=CONST_NA),FALSE,INDEX(Parameters_Constants!$K$110:$AF$127,MATCH($E43,CONST_LIST_Goods,0),MATCH(R$8,Parameters_Constants!$K$109:$AF$109,0))=FALSE)</f>
        <v>0</v>
      </c>
      <c r="S145" s="279" t="b">
        <f>IF(OR($D43="",$D43=CONST_NA),FALSE,INDEX(Parameters_Constants!$K$110:$AF$127,MATCH($E43,CONST_LIST_Goods,0),MATCH(S$8,Parameters_Constants!$K$109:$AF$109,0))=FALSE)</f>
        <v>0</v>
      </c>
      <c r="T145" s="279" t="b">
        <f>IF(OR($D43="",$D43=CONST_NA),FALSE,INDEX(Parameters_Constants!$K$110:$AF$127,MATCH($E43,CONST_LIST_Goods,0),MATCH(T$8,Parameters_Constants!$K$109:$AF$109,0))=FALSE)</f>
        <v>0</v>
      </c>
      <c r="U145" s="279" t="b">
        <f>IF(OR($D43="",$D43=CONST_NA),FALSE,INDEX(Parameters_Constants!$K$110:$AF$127,MATCH($E43,CONST_LIST_Goods,0),MATCH(U$8,Parameters_Constants!$K$109:$AF$109,0))=FALSE)</f>
        <v>0</v>
      </c>
      <c r="V145" s="279" t="b">
        <f>IF(OR($D43="",$D43=CONST_NA),FALSE,INDEX(Parameters_Constants!$K$110:$AF$127,MATCH($E43,CONST_LIST_Goods,0),MATCH(V$8,Parameters_Constants!$K$109:$AF$109,0))=FALSE)</f>
        <v>0</v>
      </c>
      <c r="W145" s="279" t="b">
        <f>IF(OR($D43="",$D43=CONST_NA),FALSE,INDEX(Parameters_Constants!$K$110:$AF$127,MATCH($E43,CONST_LIST_Goods,0),MATCH(W$8,Parameters_Constants!$K$109:$AF$109,0))=FALSE)</f>
        <v>0</v>
      </c>
      <c r="X145" s="279" t="b">
        <f>IF(OR($D43="",$D43=CONST_NA),FALSE,INDEX(Parameters_Constants!$K$110:$AF$127,MATCH($E43,CONST_LIST_Goods,0),MATCH(X$8,Parameters_Constants!$K$109:$AF$109,0))=FALSE)</f>
        <v>0</v>
      </c>
      <c r="Y145" s="279" t="b">
        <f>IF(OR($D43="",$D43=CONST_NA),FALSE,INDEX(Parameters_Constants!$K$110:$AF$127,MATCH($E43,CONST_LIST_Goods,0),MATCH(Y$8,Parameters_Constants!$K$109:$AF$109,0))=FALSE)</f>
        <v>0</v>
      </c>
      <c r="Z145" s="279" t="b">
        <f>IF(OR($D43="",$D43=CONST_NA),FALSE,INDEX(Parameters_Constants!$K$110:$AF$127,MATCH($E43,CONST_LIST_Goods,0),MATCH(Z$8,Parameters_Constants!$K$109:$AF$109,0))=FALSE)</f>
        <v>0</v>
      </c>
      <c r="AA145" s="279" t="b">
        <f>IF(OR($D43="",$D43=CONST_NA),FALSE,INDEX(Parameters_Constants!$K$110:$AF$127,MATCH($E43,CONST_LIST_Goods,0),MATCH(AA$8,Parameters_Constants!$K$109:$AF$109,0))=FALSE)</f>
        <v>0</v>
      </c>
      <c r="AB145" s="279" t="b">
        <f>IF(OR($D43="",$D43=CONST_NA),FALSE,INDEX(Parameters_Constants!$K$110:$AF$127,MATCH($E43,CONST_LIST_Goods,0),MATCH(AB$8,Parameters_Constants!$K$109:$AF$109,0))=FALSE)</f>
        <v>0</v>
      </c>
      <c r="AC145" s="279" t="b">
        <f>IF(OR($D43="",$D43=CONST_NA),FALSE,INDEX(Parameters_Constants!$K$110:$AF$127,MATCH($E43,CONST_LIST_Goods,0),MATCH(AC$8,Parameters_Constants!$K$109:$AF$109,0))=FALSE)</f>
        <v>0</v>
      </c>
      <c r="AD145" s="279" t="b">
        <f>IF(OR($D43="",$D43=CONST_NA),FALSE,INDEX(Parameters_Constants!$K$110:$AF$127,MATCH($E43,CONST_LIST_Goods,0),MATCH(AD$8,Parameters_Constants!$K$109:$AF$109,0))=FALSE)</f>
        <v>0</v>
      </c>
      <c r="AE145" s="279" t="b">
        <f>IF(OR($D43="",$D43=CONST_NA),FALSE,INDEX(Parameters_Constants!$K$110:$AF$127,MATCH($E43,CONST_LIST_Goods,0),MATCH(AE$8,Parameters_Constants!$K$109:$AF$109,0))=FALSE)</f>
        <v>0</v>
      </c>
      <c r="AF145" s="279" t="b">
        <f>IF(OR($D43="",$D43=CONST_NA),FALSE,INDEX(Parameters_Constants!$K$110:$AF$127,MATCH($E43,CONST_LIST_Goods,0),MATCH(AF$8,Parameters_Constants!$K$109:$AF$109,0))=FALSE)</f>
        <v>0</v>
      </c>
      <c r="AG145" s="279" t="b">
        <f>IF(OR($D43="",$D43=CONST_NA),FALSE,INDEX(Parameters_Constants!$K$110:$AF$127,MATCH($E43,CONST_LIST_Goods,0),MATCH(AG$8,Parameters_Constants!$K$109:$AF$109,0))=FALSE)</f>
        <v>0</v>
      </c>
      <c r="AH145" s="279" t="b">
        <f>IF(OR($D43="",$D43=CONST_NA),FALSE,INDEX(Parameters_Constants!$K$110:$AF$127,MATCH($E43,CONST_LIST_Goods,0),MATCH(AH$8,Parameters_Constants!$K$109:$AF$109,0))=FALSE)</f>
        <v>0</v>
      </c>
      <c r="AI145" s="279" t="b">
        <f>IF(OR($D43="",$D43=CONST_NA),FALSE,INDEX(Parameters_Constants!$K$110:$AF$127,MATCH($E43,CONST_LIST_Goods,0),MATCH(AI$8,Parameters_Constants!$K$109:$AF$109,0))=FALSE)</f>
        <v>0</v>
      </c>
      <c r="AJ145" s="279" t="b">
        <f>IF(OR($D43="",$D43=CONST_NA),FALSE,INDEX(Parameters_Constants!$K$110:$AF$127,MATCH($E43,CONST_LIST_Goods,0),MATCH(AJ$8,Parameters_Constants!$K$109:$AF$109,0))=FALSE)</f>
        <v>0</v>
      </c>
      <c r="AK145" s="279" t="b">
        <f>IF(OR($D43="",$D43=CONST_NA),FALSE,INDEX(Parameters_Constants!$K$110:$AF$127,MATCH($E43,CONST_LIST_Goods,0),MATCH(AK$8,Parameters_Constants!$K$109:$AF$109,0))=FALSE)</f>
        <v>0</v>
      </c>
      <c r="AL145" s="280"/>
      <c r="AM145" s="280"/>
      <c r="AN145" s="280"/>
      <c r="AO145" s="280"/>
      <c r="AP145" s="280"/>
      <c r="AQ145" s="280"/>
      <c r="AR145" s="280"/>
      <c r="AS145" s="280"/>
      <c r="AT145" s="280"/>
      <c r="AU145" s="280"/>
      <c r="AV145" s="280"/>
      <c r="AW145" s="280"/>
    </row>
    <row r="146" spans="1:49" s="275" customFormat="1" hidden="1" x14ac:dyDescent="0.35">
      <c r="A146" s="275" t="s">
        <v>3</v>
      </c>
      <c r="C146" s="275">
        <v>35</v>
      </c>
      <c r="F146" s="279" t="b">
        <v>0</v>
      </c>
      <c r="H146" s="279" t="b">
        <v>0</v>
      </c>
      <c r="P146" s="279" t="b">
        <f>IF(OR($D44="",$D44=CONST_NA),FALSE,INDEX(Parameters_Constants!$K$110:$AF$127,MATCH($E44,CONST_LIST_Goods,0),MATCH(P$8,Parameters_Constants!$K$109:$AF$109,0))=FALSE)</f>
        <v>0</v>
      </c>
      <c r="Q146" s="279" t="b">
        <f>IF(OR($D44="",$D44=CONST_NA),FALSE,INDEX(Parameters_Constants!$K$110:$AF$127,MATCH($E44,CONST_LIST_Goods,0),MATCH(Q$8,Parameters_Constants!$K$109:$AF$109,0))=FALSE)</f>
        <v>0</v>
      </c>
      <c r="R146" s="279" t="b">
        <f>IF(OR($D44="",$D44=CONST_NA),FALSE,INDEX(Parameters_Constants!$K$110:$AF$127,MATCH($E44,CONST_LIST_Goods,0),MATCH(R$8,Parameters_Constants!$K$109:$AF$109,0))=FALSE)</f>
        <v>0</v>
      </c>
      <c r="S146" s="279" t="b">
        <f>IF(OR($D44="",$D44=CONST_NA),FALSE,INDEX(Parameters_Constants!$K$110:$AF$127,MATCH($E44,CONST_LIST_Goods,0),MATCH(S$8,Parameters_Constants!$K$109:$AF$109,0))=FALSE)</f>
        <v>0</v>
      </c>
      <c r="T146" s="279" t="b">
        <f>IF(OR($D44="",$D44=CONST_NA),FALSE,INDEX(Parameters_Constants!$K$110:$AF$127,MATCH($E44,CONST_LIST_Goods,0),MATCH(T$8,Parameters_Constants!$K$109:$AF$109,0))=FALSE)</f>
        <v>0</v>
      </c>
      <c r="U146" s="279" t="b">
        <f>IF(OR($D44="",$D44=CONST_NA),FALSE,INDEX(Parameters_Constants!$K$110:$AF$127,MATCH($E44,CONST_LIST_Goods,0),MATCH(U$8,Parameters_Constants!$K$109:$AF$109,0))=FALSE)</f>
        <v>0</v>
      </c>
      <c r="V146" s="279" t="b">
        <f>IF(OR($D44="",$D44=CONST_NA),FALSE,INDEX(Parameters_Constants!$K$110:$AF$127,MATCH($E44,CONST_LIST_Goods,0),MATCH(V$8,Parameters_Constants!$K$109:$AF$109,0))=FALSE)</f>
        <v>0</v>
      </c>
      <c r="W146" s="279" t="b">
        <f>IF(OR($D44="",$D44=CONST_NA),FALSE,INDEX(Parameters_Constants!$K$110:$AF$127,MATCH($E44,CONST_LIST_Goods,0),MATCH(W$8,Parameters_Constants!$K$109:$AF$109,0))=FALSE)</f>
        <v>0</v>
      </c>
      <c r="X146" s="279" t="b">
        <f>IF(OR($D44="",$D44=CONST_NA),FALSE,INDEX(Parameters_Constants!$K$110:$AF$127,MATCH($E44,CONST_LIST_Goods,0),MATCH(X$8,Parameters_Constants!$K$109:$AF$109,0))=FALSE)</f>
        <v>0</v>
      </c>
      <c r="Y146" s="279" t="b">
        <f>IF(OR($D44="",$D44=CONST_NA),FALSE,INDEX(Parameters_Constants!$K$110:$AF$127,MATCH($E44,CONST_LIST_Goods,0),MATCH(Y$8,Parameters_Constants!$K$109:$AF$109,0))=FALSE)</f>
        <v>0</v>
      </c>
      <c r="Z146" s="279" t="b">
        <f>IF(OR($D44="",$D44=CONST_NA),FALSE,INDEX(Parameters_Constants!$K$110:$AF$127,MATCH($E44,CONST_LIST_Goods,0),MATCH(Z$8,Parameters_Constants!$K$109:$AF$109,0))=FALSE)</f>
        <v>0</v>
      </c>
      <c r="AA146" s="279" t="b">
        <f>IF(OR($D44="",$D44=CONST_NA),FALSE,INDEX(Parameters_Constants!$K$110:$AF$127,MATCH($E44,CONST_LIST_Goods,0),MATCH(AA$8,Parameters_Constants!$K$109:$AF$109,0))=FALSE)</f>
        <v>0</v>
      </c>
      <c r="AB146" s="279" t="b">
        <f>IF(OR($D44="",$D44=CONST_NA),FALSE,INDEX(Parameters_Constants!$K$110:$AF$127,MATCH($E44,CONST_LIST_Goods,0),MATCH(AB$8,Parameters_Constants!$K$109:$AF$109,0))=FALSE)</f>
        <v>0</v>
      </c>
      <c r="AC146" s="279" t="b">
        <f>IF(OR($D44="",$D44=CONST_NA),FALSE,INDEX(Parameters_Constants!$K$110:$AF$127,MATCH($E44,CONST_LIST_Goods,0),MATCH(AC$8,Parameters_Constants!$K$109:$AF$109,0))=FALSE)</f>
        <v>0</v>
      </c>
      <c r="AD146" s="279" t="b">
        <f>IF(OR($D44="",$D44=CONST_NA),FALSE,INDEX(Parameters_Constants!$K$110:$AF$127,MATCH($E44,CONST_LIST_Goods,0),MATCH(AD$8,Parameters_Constants!$K$109:$AF$109,0))=FALSE)</f>
        <v>0</v>
      </c>
      <c r="AE146" s="279" t="b">
        <f>IF(OR($D44="",$D44=CONST_NA),FALSE,INDEX(Parameters_Constants!$K$110:$AF$127,MATCH($E44,CONST_LIST_Goods,0),MATCH(AE$8,Parameters_Constants!$K$109:$AF$109,0))=FALSE)</f>
        <v>0</v>
      </c>
      <c r="AF146" s="279" t="b">
        <f>IF(OR($D44="",$D44=CONST_NA),FALSE,INDEX(Parameters_Constants!$K$110:$AF$127,MATCH($E44,CONST_LIST_Goods,0),MATCH(AF$8,Parameters_Constants!$K$109:$AF$109,0))=FALSE)</f>
        <v>0</v>
      </c>
      <c r="AG146" s="279" t="b">
        <f>IF(OR($D44="",$D44=CONST_NA),FALSE,INDEX(Parameters_Constants!$K$110:$AF$127,MATCH($E44,CONST_LIST_Goods,0),MATCH(AG$8,Parameters_Constants!$K$109:$AF$109,0))=FALSE)</f>
        <v>0</v>
      </c>
      <c r="AH146" s="279" t="b">
        <f>IF(OR($D44="",$D44=CONST_NA),FALSE,INDEX(Parameters_Constants!$K$110:$AF$127,MATCH($E44,CONST_LIST_Goods,0),MATCH(AH$8,Parameters_Constants!$K$109:$AF$109,0))=FALSE)</f>
        <v>0</v>
      </c>
      <c r="AI146" s="279" t="b">
        <f>IF(OR($D44="",$D44=CONST_NA),FALSE,INDEX(Parameters_Constants!$K$110:$AF$127,MATCH($E44,CONST_LIST_Goods,0),MATCH(AI$8,Parameters_Constants!$K$109:$AF$109,0))=FALSE)</f>
        <v>0</v>
      </c>
      <c r="AJ146" s="279" t="b">
        <f>IF(OR($D44="",$D44=CONST_NA),FALSE,INDEX(Parameters_Constants!$K$110:$AF$127,MATCH($E44,CONST_LIST_Goods,0),MATCH(AJ$8,Parameters_Constants!$K$109:$AF$109,0))=FALSE)</f>
        <v>0</v>
      </c>
      <c r="AK146" s="279" t="b">
        <f>IF(OR($D44="",$D44=CONST_NA),FALSE,INDEX(Parameters_Constants!$K$110:$AF$127,MATCH($E44,CONST_LIST_Goods,0),MATCH(AK$8,Parameters_Constants!$K$109:$AF$109,0))=FALSE)</f>
        <v>0</v>
      </c>
      <c r="AL146" s="280"/>
      <c r="AM146" s="280"/>
      <c r="AN146" s="280"/>
      <c r="AO146" s="280"/>
      <c r="AP146" s="280"/>
      <c r="AQ146" s="280"/>
      <c r="AR146" s="280"/>
      <c r="AS146" s="280"/>
      <c r="AT146" s="280"/>
      <c r="AU146" s="280"/>
      <c r="AV146" s="280"/>
      <c r="AW146" s="280"/>
    </row>
    <row r="147" spans="1:49" s="275" customFormat="1" hidden="1" x14ac:dyDescent="0.35">
      <c r="A147" s="275" t="s">
        <v>3</v>
      </c>
      <c r="C147" s="275">
        <v>36</v>
      </c>
      <c r="F147" s="279" t="b">
        <v>0</v>
      </c>
      <c r="H147" s="279" t="b">
        <v>0</v>
      </c>
      <c r="P147" s="279" t="b">
        <f>IF(OR($D45="",$D45=CONST_NA),FALSE,INDEX(Parameters_Constants!$K$110:$AF$127,MATCH($E45,CONST_LIST_Goods,0),MATCH(P$8,Parameters_Constants!$K$109:$AF$109,0))=FALSE)</f>
        <v>0</v>
      </c>
      <c r="Q147" s="279" t="b">
        <f>IF(OR($D45="",$D45=CONST_NA),FALSE,INDEX(Parameters_Constants!$K$110:$AF$127,MATCH($E45,CONST_LIST_Goods,0),MATCH(Q$8,Parameters_Constants!$K$109:$AF$109,0))=FALSE)</f>
        <v>0</v>
      </c>
      <c r="R147" s="279" t="b">
        <f>IF(OR($D45="",$D45=CONST_NA),FALSE,INDEX(Parameters_Constants!$K$110:$AF$127,MATCH($E45,CONST_LIST_Goods,0),MATCH(R$8,Parameters_Constants!$K$109:$AF$109,0))=FALSE)</f>
        <v>0</v>
      </c>
      <c r="S147" s="279" t="b">
        <f>IF(OR($D45="",$D45=CONST_NA),FALSE,INDEX(Parameters_Constants!$K$110:$AF$127,MATCH($E45,CONST_LIST_Goods,0),MATCH(S$8,Parameters_Constants!$K$109:$AF$109,0))=FALSE)</f>
        <v>0</v>
      </c>
      <c r="T147" s="279" t="b">
        <f>IF(OR($D45="",$D45=CONST_NA),FALSE,INDEX(Parameters_Constants!$K$110:$AF$127,MATCH($E45,CONST_LIST_Goods,0),MATCH(T$8,Parameters_Constants!$K$109:$AF$109,0))=FALSE)</f>
        <v>0</v>
      </c>
      <c r="U147" s="279" t="b">
        <f>IF(OR($D45="",$D45=CONST_NA),FALSE,INDEX(Parameters_Constants!$K$110:$AF$127,MATCH($E45,CONST_LIST_Goods,0),MATCH(U$8,Parameters_Constants!$K$109:$AF$109,0))=FALSE)</f>
        <v>0</v>
      </c>
      <c r="V147" s="279" t="b">
        <f>IF(OR($D45="",$D45=CONST_NA),FALSE,INDEX(Parameters_Constants!$K$110:$AF$127,MATCH($E45,CONST_LIST_Goods,0),MATCH(V$8,Parameters_Constants!$K$109:$AF$109,0))=FALSE)</f>
        <v>0</v>
      </c>
      <c r="W147" s="279" t="b">
        <f>IF(OR($D45="",$D45=CONST_NA),FALSE,INDEX(Parameters_Constants!$K$110:$AF$127,MATCH($E45,CONST_LIST_Goods,0),MATCH(W$8,Parameters_Constants!$K$109:$AF$109,0))=FALSE)</f>
        <v>0</v>
      </c>
      <c r="X147" s="279" t="b">
        <f>IF(OR($D45="",$D45=CONST_NA),FALSE,INDEX(Parameters_Constants!$K$110:$AF$127,MATCH($E45,CONST_LIST_Goods,0),MATCH(X$8,Parameters_Constants!$K$109:$AF$109,0))=FALSE)</f>
        <v>0</v>
      </c>
      <c r="Y147" s="279" t="b">
        <f>IF(OR($D45="",$D45=CONST_NA),FALSE,INDEX(Parameters_Constants!$K$110:$AF$127,MATCH($E45,CONST_LIST_Goods,0),MATCH(Y$8,Parameters_Constants!$K$109:$AF$109,0))=FALSE)</f>
        <v>0</v>
      </c>
      <c r="Z147" s="279" t="b">
        <f>IF(OR($D45="",$D45=CONST_NA),FALSE,INDEX(Parameters_Constants!$K$110:$AF$127,MATCH($E45,CONST_LIST_Goods,0),MATCH(Z$8,Parameters_Constants!$K$109:$AF$109,0))=FALSE)</f>
        <v>0</v>
      </c>
      <c r="AA147" s="279" t="b">
        <f>IF(OR($D45="",$D45=CONST_NA),FALSE,INDEX(Parameters_Constants!$K$110:$AF$127,MATCH($E45,CONST_LIST_Goods,0),MATCH(AA$8,Parameters_Constants!$K$109:$AF$109,0))=FALSE)</f>
        <v>0</v>
      </c>
      <c r="AB147" s="279" t="b">
        <f>IF(OR($D45="",$D45=CONST_NA),FALSE,INDEX(Parameters_Constants!$K$110:$AF$127,MATCH($E45,CONST_LIST_Goods,0),MATCH(AB$8,Parameters_Constants!$K$109:$AF$109,0))=FALSE)</f>
        <v>0</v>
      </c>
      <c r="AC147" s="279" t="b">
        <f>IF(OR($D45="",$D45=CONST_NA),FALSE,INDEX(Parameters_Constants!$K$110:$AF$127,MATCH($E45,CONST_LIST_Goods,0),MATCH(AC$8,Parameters_Constants!$K$109:$AF$109,0))=FALSE)</f>
        <v>0</v>
      </c>
      <c r="AD147" s="279" t="b">
        <f>IF(OR($D45="",$D45=CONST_NA),FALSE,INDEX(Parameters_Constants!$K$110:$AF$127,MATCH($E45,CONST_LIST_Goods,0),MATCH(AD$8,Parameters_Constants!$K$109:$AF$109,0))=FALSE)</f>
        <v>0</v>
      </c>
      <c r="AE147" s="279" t="b">
        <f>IF(OR($D45="",$D45=CONST_NA),FALSE,INDEX(Parameters_Constants!$K$110:$AF$127,MATCH($E45,CONST_LIST_Goods,0),MATCH(AE$8,Parameters_Constants!$K$109:$AF$109,0))=FALSE)</f>
        <v>0</v>
      </c>
      <c r="AF147" s="279" t="b">
        <f>IF(OR($D45="",$D45=CONST_NA),FALSE,INDEX(Parameters_Constants!$K$110:$AF$127,MATCH($E45,CONST_LIST_Goods,0),MATCH(AF$8,Parameters_Constants!$K$109:$AF$109,0))=FALSE)</f>
        <v>0</v>
      </c>
      <c r="AG147" s="279" t="b">
        <f>IF(OR($D45="",$D45=CONST_NA),FALSE,INDEX(Parameters_Constants!$K$110:$AF$127,MATCH($E45,CONST_LIST_Goods,0),MATCH(AG$8,Parameters_Constants!$K$109:$AF$109,0))=FALSE)</f>
        <v>0</v>
      </c>
      <c r="AH147" s="279" t="b">
        <f>IF(OR($D45="",$D45=CONST_NA),FALSE,INDEX(Parameters_Constants!$K$110:$AF$127,MATCH($E45,CONST_LIST_Goods,0),MATCH(AH$8,Parameters_Constants!$K$109:$AF$109,0))=FALSE)</f>
        <v>0</v>
      </c>
      <c r="AI147" s="279" t="b">
        <f>IF(OR($D45="",$D45=CONST_NA),FALSE,INDEX(Parameters_Constants!$K$110:$AF$127,MATCH($E45,CONST_LIST_Goods,0),MATCH(AI$8,Parameters_Constants!$K$109:$AF$109,0))=FALSE)</f>
        <v>0</v>
      </c>
      <c r="AJ147" s="279" t="b">
        <f>IF(OR($D45="",$D45=CONST_NA),FALSE,INDEX(Parameters_Constants!$K$110:$AF$127,MATCH($E45,CONST_LIST_Goods,0),MATCH(AJ$8,Parameters_Constants!$K$109:$AF$109,0))=FALSE)</f>
        <v>0</v>
      </c>
      <c r="AK147" s="279" t="b">
        <f>IF(OR($D45="",$D45=CONST_NA),FALSE,INDEX(Parameters_Constants!$K$110:$AF$127,MATCH($E45,CONST_LIST_Goods,0),MATCH(AK$8,Parameters_Constants!$K$109:$AF$109,0))=FALSE)</f>
        <v>0</v>
      </c>
      <c r="AL147" s="280"/>
      <c r="AM147" s="280"/>
      <c r="AN147" s="280"/>
      <c r="AO147" s="280"/>
      <c r="AP147" s="280"/>
      <c r="AQ147" s="280"/>
      <c r="AR147" s="280"/>
      <c r="AS147" s="280"/>
      <c r="AT147" s="280"/>
      <c r="AU147" s="280"/>
      <c r="AV147" s="280"/>
      <c r="AW147" s="280"/>
    </row>
    <row r="148" spans="1:49" s="275" customFormat="1" hidden="1" x14ac:dyDescent="0.35">
      <c r="A148" s="275" t="s">
        <v>3</v>
      </c>
      <c r="C148" s="275">
        <v>37</v>
      </c>
      <c r="F148" s="279" t="b">
        <v>0</v>
      </c>
      <c r="H148" s="279" t="b">
        <v>0</v>
      </c>
      <c r="P148" s="279" t="b">
        <f>IF(OR($D46="",$D46=CONST_NA),FALSE,INDEX(Parameters_Constants!$K$110:$AF$127,MATCH($E46,CONST_LIST_Goods,0),MATCH(P$8,Parameters_Constants!$K$109:$AF$109,0))=FALSE)</f>
        <v>0</v>
      </c>
      <c r="Q148" s="279" t="b">
        <f>IF(OR($D46="",$D46=CONST_NA),FALSE,INDEX(Parameters_Constants!$K$110:$AF$127,MATCH($E46,CONST_LIST_Goods,0),MATCH(Q$8,Parameters_Constants!$K$109:$AF$109,0))=FALSE)</f>
        <v>0</v>
      </c>
      <c r="R148" s="279" t="b">
        <f>IF(OR($D46="",$D46=CONST_NA),FALSE,INDEX(Parameters_Constants!$K$110:$AF$127,MATCH($E46,CONST_LIST_Goods,0),MATCH(R$8,Parameters_Constants!$K$109:$AF$109,0))=FALSE)</f>
        <v>0</v>
      </c>
      <c r="S148" s="279" t="b">
        <f>IF(OR($D46="",$D46=CONST_NA),FALSE,INDEX(Parameters_Constants!$K$110:$AF$127,MATCH($E46,CONST_LIST_Goods,0),MATCH(S$8,Parameters_Constants!$K$109:$AF$109,0))=FALSE)</f>
        <v>0</v>
      </c>
      <c r="T148" s="279" t="b">
        <f>IF(OR($D46="",$D46=CONST_NA),FALSE,INDEX(Parameters_Constants!$K$110:$AF$127,MATCH($E46,CONST_LIST_Goods,0),MATCH(T$8,Parameters_Constants!$K$109:$AF$109,0))=FALSE)</f>
        <v>0</v>
      </c>
      <c r="U148" s="279" t="b">
        <f>IF(OR($D46="",$D46=CONST_NA),FALSE,INDEX(Parameters_Constants!$K$110:$AF$127,MATCH($E46,CONST_LIST_Goods,0),MATCH(U$8,Parameters_Constants!$K$109:$AF$109,0))=FALSE)</f>
        <v>0</v>
      </c>
      <c r="V148" s="279" t="b">
        <f>IF(OR($D46="",$D46=CONST_NA),FALSE,INDEX(Parameters_Constants!$K$110:$AF$127,MATCH($E46,CONST_LIST_Goods,0),MATCH(V$8,Parameters_Constants!$K$109:$AF$109,0))=FALSE)</f>
        <v>0</v>
      </c>
      <c r="W148" s="279" t="b">
        <f>IF(OR($D46="",$D46=CONST_NA),FALSE,INDEX(Parameters_Constants!$K$110:$AF$127,MATCH($E46,CONST_LIST_Goods,0),MATCH(W$8,Parameters_Constants!$K$109:$AF$109,0))=FALSE)</f>
        <v>0</v>
      </c>
      <c r="X148" s="279" t="b">
        <f>IF(OR($D46="",$D46=CONST_NA),FALSE,INDEX(Parameters_Constants!$K$110:$AF$127,MATCH($E46,CONST_LIST_Goods,0),MATCH(X$8,Parameters_Constants!$K$109:$AF$109,0))=FALSE)</f>
        <v>0</v>
      </c>
      <c r="Y148" s="279" t="b">
        <f>IF(OR($D46="",$D46=CONST_NA),FALSE,INDEX(Parameters_Constants!$K$110:$AF$127,MATCH($E46,CONST_LIST_Goods,0),MATCH(Y$8,Parameters_Constants!$K$109:$AF$109,0))=FALSE)</f>
        <v>0</v>
      </c>
      <c r="Z148" s="279" t="b">
        <f>IF(OR($D46="",$D46=CONST_NA),FALSE,INDEX(Parameters_Constants!$K$110:$AF$127,MATCH($E46,CONST_LIST_Goods,0),MATCH(Z$8,Parameters_Constants!$K$109:$AF$109,0))=FALSE)</f>
        <v>0</v>
      </c>
      <c r="AA148" s="279" t="b">
        <f>IF(OR($D46="",$D46=CONST_NA),FALSE,INDEX(Parameters_Constants!$K$110:$AF$127,MATCH($E46,CONST_LIST_Goods,0),MATCH(AA$8,Parameters_Constants!$K$109:$AF$109,0))=FALSE)</f>
        <v>0</v>
      </c>
      <c r="AB148" s="279" t="b">
        <f>IF(OR($D46="",$D46=CONST_NA),FALSE,INDEX(Parameters_Constants!$K$110:$AF$127,MATCH($E46,CONST_LIST_Goods,0),MATCH(AB$8,Parameters_Constants!$K$109:$AF$109,0))=FALSE)</f>
        <v>0</v>
      </c>
      <c r="AC148" s="279" t="b">
        <f>IF(OR($D46="",$D46=CONST_NA),FALSE,INDEX(Parameters_Constants!$K$110:$AF$127,MATCH($E46,CONST_LIST_Goods,0),MATCH(AC$8,Parameters_Constants!$K$109:$AF$109,0))=FALSE)</f>
        <v>0</v>
      </c>
      <c r="AD148" s="279" t="b">
        <f>IF(OR($D46="",$D46=CONST_NA),FALSE,INDEX(Parameters_Constants!$K$110:$AF$127,MATCH($E46,CONST_LIST_Goods,0),MATCH(AD$8,Parameters_Constants!$K$109:$AF$109,0))=FALSE)</f>
        <v>0</v>
      </c>
      <c r="AE148" s="279" t="b">
        <f>IF(OR($D46="",$D46=CONST_NA),FALSE,INDEX(Parameters_Constants!$K$110:$AF$127,MATCH($E46,CONST_LIST_Goods,0),MATCH(AE$8,Parameters_Constants!$K$109:$AF$109,0))=FALSE)</f>
        <v>0</v>
      </c>
      <c r="AF148" s="279" t="b">
        <f>IF(OR($D46="",$D46=CONST_NA),FALSE,INDEX(Parameters_Constants!$K$110:$AF$127,MATCH($E46,CONST_LIST_Goods,0),MATCH(AF$8,Parameters_Constants!$K$109:$AF$109,0))=FALSE)</f>
        <v>0</v>
      </c>
      <c r="AG148" s="279" t="b">
        <f>IF(OR($D46="",$D46=CONST_NA),FALSE,INDEX(Parameters_Constants!$K$110:$AF$127,MATCH($E46,CONST_LIST_Goods,0),MATCH(AG$8,Parameters_Constants!$K$109:$AF$109,0))=FALSE)</f>
        <v>0</v>
      </c>
      <c r="AH148" s="279" t="b">
        <f>IF(OR($D46="",$D46=CONST_NA),FALSE,INDEX(Parameters_Constants!$K$110:$AF$127,MATCH($E46,CONST_LIST_Goods,0),MATCH(AH$8,Parameters_Constants!$K$109:$AF$109,0))=FALSE)</f>
        <v>0</v>
      </c>
      <c r="AI148" s="279" t="b">
        <f>IF(OR($D46="",$D46=CONST_NA),FALSE,INDEX(Parameters_Constants!$K$110:$AF$127,MATCH($E46,CONST_LIST_Goods,0),MATCH(AI$8,Parameters_Constants!$K$109:$AF$109,0))=FALSE)</f>
        <v>0</v>
      </c>
      <c r="AJ148" s="279" t="b">
        <f>IF(OR($D46="",$D46=CONST_NA),FALSE,INDEX(Parameters_Constants!$K$110:$AF$127,MATCH($E46,CONST_LIST_Goods,0),MATCH(AJ$8,Parameters_Constants!$K$109:$AF$109,0))=FALSE)</f>
        <v>0</v>
      </c>
      <c r="AK148" s="279" t="b">
        <f>IF(OR($D46="",$D46=CONST_NA),FALSE,INDEX(Parameters_Constants!$K$110:$AF$127,MATCH($E46,CONST_LIST_Goods,0),MATCH(AK$8,Parameters_Constants!$K$109:$AF$109,0))=FALSE)</f>
        <v>0</v>
      </c>
      <c r="AL148" s="280"/>
      <c r="AM148" s="280"/>
      <c r="AN148" s="280"/>
      <c r="AO148" s="280"/>
      <c r="AP148" s="280"/>
      <c r="AQ148" s="280"/>
      <c r="AR148" s="280"/>
      <c r="AS148" s="280"/>
      <c r="AT148" s="280"/>
      <c r="AU148" s="280"/>
      <c r="AV148" s="280"/>
      <c r="AW148" s="280"/>
    </row>
    <row r="149" spans="1:49" s="275" customFormat="1" hidden="1" x14ac:dyDescent="0.35">
      <c r="A149" s="275" t="s">
        <v>3</v>
      </c>
      <c r="C149" s="275">
        <v>38</v>
      </c>
      <c r="F149" s="279" t="b">
        <v>0</v>
      </c>
      <c r="H149" s="279" t="b">
        <v>0</v>
      </c>
      <c r="P149" s="279" t="b">
        <f>IF(OR($D47="",$D47=CONST_NA),FALSE,INDEX(Parameters_Constants!$K$110:$AF$127,MATCH($E47,CONST_LIST_Goods,0),MATCH(P$8,Parameters_Constants!$K$109:$AF$109,0))=FALSE)</f>
        <v>0</v>
      </c>
      <c r="Q149" s="279" t="b">
        <f>IF(OR($D47="",$D47=CONST_NA),FALSE,INDEX(Parameters_Constants!$K$110:$AF$127,MATCH($E47,CONST_LIST_Goods,0),MATCH(Q$8,Parameters_Constants!$K$109:$AF$109,0))=FALSE)</f>
        <v>0</v>
      </c>
      <c r="R149" s="279" t="b">
        <f>IF(OR($D47="",$D47=CONST_NA),FALSE,INDEX(Parameters_Constants!$K$110:$AF$127,MATCH($E47,CONST_LIST_Goods,0),MATCH(R$8,Parameters_Constants!$K$109:$AF$109,0))=FALSE)</f>
        <v>0</v>
      </c>
      <c r="S149" s="279" t="b">
        <f>IF(OR($D47="",$D47=CONST_NA),FALSE,INDEX(Parameters_Constants!$K$110:$AF$127,MATCH($E47,CONST_LIST_Goods,0),MATCH(S$8,Parameters_Constants!$K$109:$AF$109,0))=FALSE)</f>
        <v>0</v>
      </c>
      <c r="T149" s="279" t="b">
        <f>IF(OR($D47="",$D47=CONST_NA),FALSE,INDEX(Parameters_Constants!$K$110:$AF$127,MATCH($E47,CONST_LIST_Goods,0),MATCH(T$8,Parameters_Constants!$K$109:$AF$109,0))=FALSE)</f>
        <v>0</v>
      </c>
      <c r="U149" s="279" t="b">
        <f>IF(OR($D47="",$D47=CONST_NA),FALSE,INDEX(Parameters_Constants!$K$110:$AF$127,MATCH($E47,CONST_LIST_Goods,0),MATCH(U$8,Parameters_Constants!$K$109:$AF$109,0))=FALSE)</f>
        <v>0</v>
      </c>
      <c r="V149" s="279" t="b">
        <f>IF(OR($D47="",$D47=CONST_NA),FALSE,INDEX(Parameters_Constants!$K$110:$AF$127,MATCH($E47,CONST_LIST_Goods,0),MATCH(V$8,Parameters_Constants!$K$109:$AF$109,0))=FALSE)</f>
        <v>0</v>
      </c>
      <c r="W149" s="279" t="b">
        <f>IF(OR($D47="",$D47=CONST_NA),FALSE,INDEX(Parameters_Constants!$K$110:$AF$127,MATCH($E47,CONST_LIST_Goods,0),MATCH(W$8,Parameters_Constants!$K$109:$AF$109,0))=FALSE)</f>
        <v>0</v>
      </c>
      <c r="X149" s="279" t="b">
        <f>IF(OR($D47="",$D47=CONST_NA),FALSE,INDEX(Parameters_Constants!$K$110:$AF$127,MATCH($E47,CONST_LIST_Goods,0),MATCH(X$8,Parameters_Constants!$K$109:$AF$109,0))=FALSE)</f>
        <v>0</v>
      </c>
      <c r="Y149" s="279" t="b">
        <f>IF(OR($D47="",$D47=CONST_NA),FALSE,INDEX(Parameters_Constants!$K$110:$AF$127,MATCH($E47,CONST_LIST_Goods,0),MATCH(Y$8,Parameters_Constants!$K$109:$AF$109,0))=FALSE)</f>
        <v>0</v>
      </c>
      <c r="Z149" s="279" t="b">
        <f>IF(OR($D47="",$D47=CONST_NA),FALSE,INDEX(Parameters_Constants!$K$110:$AF$127,MATCH($E47,CONST_LIST_Goods,0),MATCH(Z$8,Parameters_Constants!$K$109:$AF$109,0))=FALSE)</f>
        <v>0</v>
      </c>
      <c r="AA149" s="279" t="b">
        <f>IF(OR($D47="",$D47=CONST_NA),FALSE,INDEX(Parameters_Constants!$K$110:$AF$127,MATCH($E47,CONST_LIST_Goods,0),MATCH(AA$8,Parameters_Constants!$K$109:$AF$109,0))=FALSE)</f>
        <v>0</v>
      </c>
      <c r="AB149" s="279" t="b">
        <f>IF(OR($D47="",$D47=CONST_NA),FALSE,INDEX(Parameters_Constants!$K$110:$AF$127,MATCH($E47,CONST_LIST_Goods,0),MATCH(AB$8,Parameters_Constants!$K$109:$AF$109,0))=FALSE)</f>
        <v>0</v>
      </c>
      <c r="AC149" s="279" t="b">
        <f>IF(OR($D47="",$D47=CONST_NA),FALSE,INDEX(Parameters_Constants!$K$110:$AF$127,MATCH($E47,CONST_LIST_Goods,0),MATCH(AC$8,Parameters_Constants!$K$109:$AF$109,0))=FALSE)</f>
        <v>0</v>
      </c>
      <c r="AD149" s="279" t="b">
        <f>IF(OR($D47="",$D47=CONST_NA),FALSE,INDEX(Parameters_Constants!$K$110:$AF$127,MATCH($E47,CONST_LIST_Goods,0),MATCH(AD$8,Parameters_Constants!$K$109:$AF$109,0))=FALSE)</f>
        <v>0</v>
      </c>
      <c r="AE149" s="279" t="b">
        <f>IF(OR($D47="",$D47=CONST_NA),FALSE,INDEX(Parameters_Constants!$K$110:$AF$127,MATCH($E47,CONST_LIST_Goods,0),MATCH(AE$8,Parameters_Constants!$K$109:$AF$109,0))=FALSE)</f>
        <v>0</v>
      </c>
      <c r="AF149" s="279" t="b">
        <f>IF(OR($D47="",$D47=CONST_NA),FALSE,INDEX(Parameters_Constants!$K$110:$AF$127,MATCH($E47,CONST_LIST_Goods,0),MATCH(AF$8,Parameters_Constants!$K$109:$AF$109,0))=FALSE)</f>
        <v>0</v>
      </c>
      <c r="AG149" s="279" t="b">
        <f>IF(OR($D47="",$D47=CONST_NA),FALSE,INDEX(Parameters_Constants!$K$110:$AF$127,MATCH($E47,CONST_LIST_Goods,0),MATCH(AG$8,Parameters_Constants!$K$109:$AF$109,0))=FALSE)</f>
        <v>0</v>
      </c>
      <c r="AH149" s="279" t="b">
        <f>IF(OR($D47="",$D47=CONST_NA),FALSE,INDEX(Parameters_Constants!$K$110:$AF$127,MATCH($E47,CONST_LIST_Goods,0),MATCH(AH$8,Parameters_Constants!$K$109:$AF$109,0))=FALSE)</f>
        <v>0</v>
      </c>
      <c r="AI149" s="279" t="b">
        <f>IF(OR($D47="",$D47=CONST_NA),FALSE,INDEX(Parameters_Constants!$K$110:$AF$127,MATCH($E47,CONST_LIST_Goods,0),MATCH(AI$8,Parameters_Constants!$K$109:$AF$109,0))=FALSE)</f>
        <v>0</v>
      </c>
      <c r="AJ149" s="279" t="b">
        <f>IF(OR($D47="",$D47=CONST_NA),FALSE,INDEX(Parameters_Constants!$K$110:$AF$127,MATCH($E47,CONST_LIST_Goods,0),MATCH(AJ$8,Parameters_Constants!$K$109:$AF$109,0))=FALSE)</f>
        <v>0</v>
      </c>
      <c r="AK149" s="279" t="b">
        <f>IF(OR($D47="",$D47=CONST_NA),FALSE,INDEX(Parameters_Constants!$K$110:$AF$127,MATCH($E47,CONST_LIST_Goods,0),MATCH(AK$8,Parameters_Constants!$K$109:$AF$109,0))=FALSE)</f>
        <v>0</v>
      </c>
      <c r="AL149" s="280"/>
      <c r="AM149" s="280"/>
      <c r="AN149" s="280"/>
      <c r="AO149" s="280"/>
      <c r="AP149" s="280"/>
      <c r="AQ149" s="280"/>
      <c r="AR149" s="280"/>
      <c r="AS149" s="280"/>
      <c r="AT149" s="280"/>
      <c r="AU149" s="280"/>
      <c r="AV149" s="280"/>
      <c r="AW149" s="280"/>
    </row>
    <row r="150" spans="1:49" s="275" customFormat="1" hidden="1" x14ac:dyDescent="0.35">
      <c r="A150" s="275" t="s">
        <v>3</v>
      </c>
      <c r="C150" s="275">
        <v>39</v>
      </c>
      <c r="F150" s="279" t="b">
        <v>0</v>
      </c>
      <c r="H150" s="279" t="b">
        <v>0</v>
      </c>
      <c r="P150" s="279" t="b">
        <f>IF(OR($D48="",$D48=CONST_NA),FALSE,INDEX(Parameters_Constants!$K$110:$AF$127,MATCH($E48,CONST_LIST_Goods,0),MATCH(P$8,Parameters_Constants!$K$109:$AF$109,0))=FALSE)</f>
        <v>0</v>
      </c>
      <c r="Q150" s="279" t="b">
        <f>IF(OR($D48="",$D48=CONST_NA),FALSE,INDEX(Parameters_Constants!$K$110:$AF$127,MATCH($E48,CONST_LIST_Goods,0),MATCH(Q$8,Parameters_Constants!$K$109:$AF$109,0))=FALSE)</f>
        <v>0</v>
      </c>
      <c r="R150" s="279" t="b">
        <f>IF(OR($D48="",$D48=CONST_NA),FALSE,INDEX(Parameters_Constants!$K$110:$AF$127,MATCH($E48,CONST_LIST_Goods,0),MATCH(R$8,Parameters_Constants!$K$109:$AF$109,0))=FALSE)</f>
        <v>0</v>
      </c>
      <c r="S150" s="279" t="b">
        <f>IF(OR($D48="",$D48=CONST_NA),FALSE,INDEX(Parameters_Constants!$K$110:$AF$127,MATCH($E48,CONST_LIST_Goods,0),MATCH(S$8,Parameters_Constants!$K$109:$AF$109,0))=FALSE)</f>
        <v>0</v>
      </c>
      <c r="T150" s="279" t="b">
        <f>IF(OR($D48="",$D48=CONST_NA),FALSE,INDEX(Parameters_Constants!$K$110:$AF$127,MATCH($E48,CONST_LIST_Goods,0),MATCH(T$8,Parameters_Constants!$K$109:$AF$109,0))=FALSE)</f>
        <v>0</v>
      </c>
      <c r="U150" s="279" t="b">
        <f>IF(OR($D48="",$D48=CONST_NA),FALSE,INDEX(Parameters_Constants!$K$110:$AF$127,MATCH($E48,CONST_LIST_Goods,0),MATCH(U$8,Parameters_Constants!$K$109:$AF$109,0))=FALSE)</f>
        <v>0</v>
      </c>
      <c r="V150" s="279" t="b">
        <f>IF(OR($D48="",$D48=CONST_NA),FALSE,INDEX(Parameters_Constants!$K$110:$AF$127,MATCH($E48,CONST_LIST_Goods,0),MATCH(V$8,Parameters_Constants!$K$109:$AF$109,0))=FALSE)</f>
        <v>0</v>
      </c>
      <c r="W150" s="279" t="b">
        <f>IF(OR($D48="",$D48=CONST_NA),FALSE,INDEX(Parameters_Constants!$K$110:$AF$127,MATCH($E48,CONST_LIST_Goods,0),MATCH(W$8,Parameters_Constants!$K$109:$AF$109,0))=FALSE)</f>
        <v>0</v>
      </c>
      <c r="X150" s="279" t="b">
        <f>IF(OR($D48="",$D48=CONST_NA),FALSE,INDEX(Parameters_Constants!$K$110:$AF$127,MATCH($E48,CONST_LIST_Goods,0),MATCH(X$8,Parameters_Constants!$K$109:$AF$109,0))=FALSE)</f>
        <v>0</v>
      </c>
      <c r="Y150" s="279" t="b">
        <f>IF(OR($D48="",$D48=CONST_NA),FALSE,INDEX(Parameters_Constants!$K$110:$AF$127,MATCH($E48,CONST_LIST_Goods,0),MATCH(Y$8,Parameters_Constants!$K$109:$AF$109,0))=FALSE)</f>
        <v>0</v>
      </c>
      <c r="Z150" s="279" t="b">
        <f>IF(OR($D48="",$D48=CONST_NA),FALSE,INDEX(Parameters_Constants!$K$110:$AF$127,MATCH($E48,CONST_LIST_Goods,0),MATCH(Z$8,Parameters_Constants!$K$109:$AF$109,0))=FALSE)</f>
        <v>0</v>
      </c>
      <c r="AA150" s="279" t="b">
        <f>IF(OR($D48="",$D48=CONST_NA),FALSE,INDEX(Parameters_Constants!$K$110:$AF$127,MATCH($E48,CONST_LIST_Goods,0),MATCH(AA$8,Parameters_Constants!$K$109:$AF$109,0))=FALSE)</f>
        <v>0</v>
      </c>
      <c r="AB150" s="279" t="b">
        <f>IF(OR($D48="",$D48=CONST_NA),FALSE,INDEX(Parameters_Constants!$K$110:$AF$127,MATCH($E48,CONST_LIST_Goods,0),MATCH(AB$8,Parameters_Constants!$K$109:$AF$109,0))=FALSE)</f>
        <v>0</v>
      </c>
      <c r="AC150" s="279" t="b">
        <f>IF(OR($D48="",$D48=CONST_NA),FALSE,INDEX(Parameters_Constants!$K$110:$AF$127,MATCH($E48,CONST_LIST_Goods,0),MATCH(AC$8,Parameters_Constants!$K$109:$AF$109,0))=FALSE)</f>
        <v>0</v>
      </c>
      <c r="AD150" s="279" t="b">
        <f>IF(OR($D48="",$D48=CONST_NA),FALSE,INDEX(Parameters_Constants!$K$110:$AF$127,MATCH($E48,CONST_LIST_Goods,0),MATCH(AD$8,Parameters_Constants!$K$109:$AF$109,0))=FALSE)</f>
        <v>0</v>
      </c>
      <c r="AE150" s="279" t="b">
        <f>IF(OR($D48="",$D48=CONST_NA),FALSE,INDEX(Parameters_Constants!$K$110:$AF$127,MATCH($E48,CONST_LIST_Goods,0),MATCH(AE$8,Parameters_Constants!$K$109:$AF$109,0))=FALSE)</f>
        <v>0</v>
      </c>
      <c r="AF150" s="279" t="b">
        <f>IF(OR($D48="",$D48=CONST_NA),FALSE,INDEX(Parameters_Constants!$K$110:$AF$127,MATCH($E48,CONST_LIST_Goods,0),MATCH(AF$8,Parameters_Constants!$K$109:$AF$109,0))=FALSE)</f>
        <v>0</v>
      </c>
      <c r="AG150" s="279" t="b">
        <f>IF(OR($D48="",$D48=CONST_NA),FALSE,INDEX(Parameters_Constants!$K$110:$AF$127,MATCH($E48,CONST_LIST_Goods,0),MATCH(AG$8,Parameters_Constants!$K$109:$AF$109,0))=FALSE)</f>
        <v>0</v>
      </c>
      <c r="AH150" s="279" t="b">
        <f>IF(OR($D48="",$D48=CONST_NA),FALSE,INDEX(Parameters_Constants!$K$110:$AF$127,MATCH($E48,CONST_LIST_Goods,0),MATCH(AH$8,Parameters_Constants!$K$109:$AF$109,0))=FALSE)</f>
        <v>0</v>
      </c>
      <c r="AI150" s="279" t="b">
        <f>IF(OR($D48="",$D48=CONST_NA),FALSE,INDEX(Parameters_Constants!$K$110:$AF$127,MATCH($E48,CONST_LIST_Goods,0),MATCH(AI$8,Parameters_Constants!$K$109:$AF$109,0))=FALSE)</f>
        <v>0</v>
      </c>
      <c r="AJ150" s="279" t="b">
        <f>IF(OR($D48="",$D48=CONST_NA),FALSE,INDEX(Parameters_Constants!$K$110:$AF$127,MATCH($E48,CONST_LIST_Goods,0),MATCH(AJ$8,Parameters_Constants!$K$109:$AF$109,0))=FALSE)</f>
        <v>0</v>
      </c>
      <c r="AK150" s="279" t="b">
        <f>IF(OR($D48="",$D48=CONST_NA),FALSE,INDEX(Parameters_Constants!$K$110:$AF$127,MATCH($E48,CONST_LIST_Goods,0),MATCH(AK$8,Parameters_Constants!$K$109:$AF$109,0))=FALSE)</f>
        <v>0</v>
      </c>
      <c r="AL150" s="280"/>
      <c r="AM150" s="280"/>
      <c r="AN150" s="280"/>
      <c r="AO150" s="280"/>
      <c r="AP150" s="280"/>
      <c r="AQ150" s="280"/>
      <c r="AR150" s="280"/>
      <c r="AS150" s="280"/>
      <c r="AT150" s="280"/>
      <c r="AU150" s="280"/>
      <c r="AV150" s="280"/>
      <c r="AW150" s="280"/>
    </row>
    <row r="151" spans="1:49" s="275" customFormat="1" hidden="1" x14ac:dyDescent="0.35">
      <c r="A151" s="275" t="s">
        <v>3</v>
      </c>
      <c r="C151" s="275">
        <v>40</v>
      </c>
      <c r="F151" s="279" t="b">
        <v>0</v>
      </c>
      <c r="H151" s="279" t="b">
        <v>0</v>
      </c>
      <c r="P151" s="279" t="b">
        <f>IF(OR($D49="",$D49=CONST_NA),FALSE,INDEX(Parameters_Constants!$K$110:$AF$127,MATCH($E49,CONST_LIST_Goods,0),MATCH(P$8,Parameters_Constants!$K$109:$AF$109,0))=FALSE)</f>
        <v>0</v>
      </c>
      <c r="Q151" s="279" t="b">
        <f>IF(OR($D49="",$D49=CONST_NA),FALSE,INDEX(Parameters_Constants!$K$110:$AF$127,MATCH($E49,CONST_LIST_Goods,0),MATCH(Q$8,Parameters_Constants!$K$109:$AF$109,0))=FALSE)</f>
        <v>0</v>
      </c>
      <c r="R151" s="279" t="b">
        <f>IF(OR($D49="",$D49=CONST_NA),FALSE,INDEX(Parameters_Constants!$K$110:$AF$127,MATCH($E49,CONST_LIST_Goods,0),MATCH(R$8,Parameters_Constants!$K$109:$AF$109,0))=FALSE)</f>
        <v>0</v>
      </c>
      <c r="S151" s="279" t="b">
        <f>IF(OR($D49="",$D49=CONST_NA),FALSE,INDEX(Parameters_Constants!$K$110:$AF$127,MATCH($E49,CONST_LIST_Goods,0),MATCH(S$8,Parameters_Constants!$K$109:$AF$109,0))=FALSE)</f>
        <v>0</v>
      </c>
      <c r="T151" s="279" t="b">
        <f>IF(OR($D49="",$D49=CONST_NA),FALSE,INDEX(Parameters_Constants!$K$110:$AF$127,MATCH($E49,CONST_LIST_Goods,0),MATCH(T$8,Parameters_Constants!$K$109:$AF$109,0))=FALSE)</f>
        <v>0</v>
      </c>
      <c r="U151" s="279" t="b">
        <f>IF(OR($D49="",$D49=CONST_NA),FALSE,INDEX(Parameters_Constants!$K$110:$AF$127,MATCH($E49,CONST_LIST_Goods,0),MATCH(U$8,Parameters_Constants!$K$109:$AF$109,0))=FALSE)</f>
        <v>0</v>
      </c>
      <c r="V151" s="279" t="b">
        <f>IF(OR($D49="",$D49=CONST_NA),FALSE,INDEX(Parameters_Constants!$K$110:$AF$127,MATCH($E49,CONST_LIST_Goods,0),MATCH(V$8,Parameters_Constants!$K$109:$AF$109,0))=FALSE)</f>
        <v>0</v>
      </c>
      <c r="W151" s="279" t="b">
        <f>IF(OR($D49="",$D49=CONST_NA),FALSE,INDEX(Parameters_Constants!$K$110:$AF$127,MATCH($E49,CONST_LIST_Goods,0),MATCH(W$8,Parameters_Constants!$K$109:$AF$109,0))=FALSE)</f>
        <v>0</v>
      </c>
      <c r="X151" s="279" t="b">
        <f>IF(OR($D49="",$D49=CONST_NA),FALSE,INDEX(Parameters_Constants!$K$110:$AF$127,MATCH($E49,CONST_LIST_Goods,0),MATCH(X$8,Parameters_Constants!$K$109:$AF$109,0))=FALSE)</f>
        <v>0</v>
      </c>
      <c r="Y151" s="279" t="b">
        <f>IF(OR($D49="",$D49=CONST_NA),FALSE,INDEX(Parameters_Constants!$K$110:$AF$127,MATCH($E49,CONST_LIST_Goods,0),MATCH(Y$8,Parameters_Constants!$K$109:$AF$109,0))=FALSE)</f>
        <v>0</v>
      </c>
      <c r="Z151" s="279" t="b">
        <f>IF(OR($D49="",$D49=CONST_NA),FALSE,INDEX(Parameters_Constants!$K$110:$AF$127,MATCH($E49,CONST_LIST_Goods,0),MATCH(Z$8,Parameters_Constants!$K$109:$AF$109,0))=FALSE)</f>
        <v>0</v>
      </c>
      <c r="AA151" s="279" t="b">
        <f>IF(OR($D49="",$D49=CONST_NA),FALSE,INDEX(Parameters_Constants!$K$110:$AF$127,MATCH($E49,CONST_LIST_Goods,0),MATCH(AA$8,Parameters_Constants!$K$109:$AF$109,0))=FALSE)</f>
        <v>0</v>
      </c>
      <c r="AB151" s="279" t="b">
        <f>IF(OR($D49="",$D49=CONST_NA),FALSE,INDEX(Parameters_Constants!$K$110:$AF$127,MATCH($E49,CONST_LIST_Goods,0),MATCH(AB$8,Parameters_Constants!$K$109:$AF$109,0))=FALSE)</f>
        <v>0</v>
      </c>
      <c r="AC151" s="279" t="b">
        <f>IF(OR($D49="",$D49=CONST_NA),FALSE,INDEX(Parameters_Constants!$K$110:$AF$127,MATCH($E49,CONST_LIST_Goods,0),MATCH(AC$8,Parameters_Constants!$K$109:$AF$109,0))=FALSE)</f>
        <v>0</v>
      </c>
      <c r="AD151" s="279" t="b">
        <f>IF(OR($D49="",$D49=CONST_NA),FALSE,INDEX(Parameters_Constants!$K$110:$AF$127,MATCH($E49,CONST_LIST_Goods,0),MATCH(AD$8,Parameters_Constants!$K$109:$AF$109,0))=FALSE)</f>
        <v>0</v>
      </c>
      <c r="AE151" s="279" t="b">
        <f>IF(OR($D49="",$D49=CONST_NA),FALSE,INDEX(Parameters_Constants!$K$110:$AF$127,MATCH($E49,CONST_LIST_Goods,0),MATCH(AE$8,Parameters_Constants!$K$109:$AF$109,0))=FALSE)</f>
        <v>0</v>
      </c>
      <c r="AF151" s="279" t="b">
        <f>IF(OR($D49="",$D49=CONST_NA),FALSE,INDEX(Parameters_Constants!$K$110:$AF$127,MATCH($E49,CONST_LIST_Goods,0),MATCH(AF$8,Parameters_Constants!$K$109:$AF$109,0))=FALSE)</f>
        <v>0</v>
      </c>
      <c r="AG151" s="279" t="b">
        <f>IF(OR($D49="",$D49=CONST_NA),FALSE,INDEX(Parameters_Constants!$K$110:$AF$127,MATCH($E49,CONST_LIST_Goods,0),MATCH(AG$8,Parameters_Constants!$K$109:$AF$109,0))=FALSE)</f>
        <v>0</v>
      </c>
      <c r="AH151" s="279" t="b">
        <f>IF(OR($D49="",$D49=CONST_NA),FALSE,INDEX(Parameters_Constants!$K$110:$AF$127,MATCH($E49,CONST_LIST_Goods,0),MATCH(AH$8,Parameters_Constants!$K$109:$AF$109,0))=FALSE)</f>
        <v>0</v>
      </c>
      <c r="AI151" s="279" t="b">
        <f>IF(OR($D49="",$D49=CONST_NA),FALSE,INDEX(Parameters_Constants!$K$110:$AF$127,MATCH($E49,CONST_LIST_Goods,0),MATCH(AI$8,Parameters_Constants!$K$109:$AF$109,0))=FALSE)</f>
        <v>0</v>
      </c>
      <c r="AJ151" s="279" t="b">
        <f>IF(OR($D49="",$D49=CONST_NA),FALSE,INDEX(Parameters_Constants!$K$110:$AF$127,MATCH($E49,CONST_LIST_Goods,0),MATCH(AJ$8,Parameters_Constants!$K$109:$AF$109,0))=FALSE)</f>
        <v>0</v>
      </c>
      <c r="AK151" s="279" t="b">
        <f>IF(OR($D49="",$D49=CONST_NA),FALSE,INDEX(Parameters_Constants!$K$110:$AF$127,MATCH($E49,CONST_LIST_Goods,0),MATCH(AK$8,Parameters_Constants!$K$109:$AF$109,0))=FALSE)</f>
        <v>0</v>
      </c>
      <c r="AL151" s="280"/>
      <c r="AM151" s="280"/>
      <c r="AN151" s="280"/>
      <c r="AO151" s="280"/>
      <c r="AP151" s="280"/>
      <c r="AQ151" s="280"/>
      <c r="AR151" s="280"/>
      <c r="AS151" s="280"/>
      <c r="AT151" s="280"/>
      <c r="AU151" s="280"/>
      <c r="AV151" s="280"/>
      <c r="AW151" s="280"/>
    </row>
    <row r="152" spans="1:49" s="275" customFormat="1" hidden="1" x14ac:dyDescent="0.35">
      <c r="A152" s="275" t="s">
        <v>3</v>
      </c>
      <c r="C152" s="275">
        <v>41</v>
      </c>
      <c r="F152" s="279" t="b">
        <v>0</v>
      </c>
      <c r="H152" s="279" t="b">
        <v>0</v>
      </c>
      <c r="P152" s="279" t="b">
        <f>IF(OR($D50="",$D50=CONST_NA),FALSE,INDEX(Parameters_Constants!$K$110:$AF$127,MATCH($E50,CONST_LIST_Goods,0),MATCH(P$8,Parameters_Constants!$K$109:$AF$109,0))=FALSE)</f>
        <v>0</v>
      </c>
      <c r="Q152" s="279" t="b">
        <f>IF(OR($D50="",$D50=CONST_NA),FALSE,INDEX(Parameters_Constants!$K$110:$AF$127,MATCH($E50,CONST_LIST_Goods,0),MATCH(Q$8,Parameters_Constants!$K$109:$AF$109,0))=FALSE)</f>
        <v>0</v>
      </c>
      <c r="R152" s="279" t="b">
        <f>IF(OR($D50="",$D50=CONST_NA),FALSE,INDEX(Parameters_Constants!$K$110:$AF$127,MATCH($E50,CONST_LIST_Goods,0),MATCH(R$8,Parameters_Constants!$K$109:$AF$109,0))=FALSE)</f>
        <v>0</v>
      </c>
      <c r="S152" s="279" t="b">
        <f>IF(OR($D50="",$D50=CONST_NA),FALSE,INDEX(Parameters_Constants!$K$110:$AF$127,MATCH($E50,CONST_LIST_Goods,0),MATCH(S$8,Parameters_Constants!$K$109:$AF$109,0))=FALSE)</f>
        <v>0</v>
      </c>
      <c r="T152" s="279" t="b">
        <f>IF(OR($D50="",$D50=CONST_NA),FALSE,INDEX(Parameters_Constants!$K$110:$AF$127,MATCH($E50,CONST_LIST_Goods,0),MATCH(T$8,Parameters_Constants!$K$109:$AF$109,0))=FALSE)</f>
        <v>0</v>
      </c>
      <c r="U152" s="279" t="b">
        <f>IF(OR($D50="",$D50=CONST_NA),FALSE,INDEX(Parameters_Constants!$K$110:$AF$127,MATCH($E50,CONST_LIST_Goods,0),MATCH(U$8,Parameters_Constants!$K$109:$AF$109,0))=FALSE)</f>
        <v>0</v>
      </c>
      <c r="V152" s="279" t="b">
        <f>IF(OR($D50="",$D50=CONST_NA),FALSE,INDEX(Parameters_Constants!$K$110:$AF$127,MATCH($E50,CONST_LIST_Goods,0),MATCH(V$8,Parameters_Constants!$K$109:$AF$109,0))=FALSE)</f>
        <v>0</v>
      </c>
      <c r="W152" s="279" t="b">
        <f>IF(OR($D50="",$D50=CONST_NA),FALSE,INDEX(Parameters_Constants!$K$110:$AF$127,MATCH($E50,CONST_LIST_Goods,0),MATCH(W$8,Parameters_Constants!$K$109:$AF$109,0))=FALSE)</f>
        <v>0</v>
      </c>
      <c r="X152" s="279" t="b">
        <f>IF(OR($D50="",$D50=CONST_NA),FALSE,INDEX(Parameters_Constants!$K$110:$AF$127,MATCH($E50,CONST_LIST_Goods,0),MATCH(X$8,Parameters_Constants!$K$109:$AF$109,0))=FALSE)</f>
        <v>0</v>
      </c>
      <c r="Y152" s="279" t="b">
        <f>IF(OR($D50="",$D50=CONST_NA),FALSE,INDEX(Parameters_Constants!$K$110:$AF$127,MATCH($E50,CONST_LIST_Goods,0),MATCH(Y$8,Parameters_Constants!$K$109:$AF$109,0))=FALSE)</f>
        <v>0</v>
      </c>
      <c r="Z152" s="279" t="b">
        <f>IF(OR($D50="",$D50=CONST_NA),FALSE,INDEX(Parameters_Constants!$K$110:$AF$127,MATCH($E50,CONST_LIST_Goods,0),MATCH(Z$8,Parameters_Constants!$K$109:$AF$109,0))=FALSE)</f>
        <v>0</v>
      </c>
      <c r="AA152" s="279" t="b">
        <f>IF(OR($D50="",$D50=CONST_NA),FALSE,INDEX(Parameters_Constants!$K$110:$AF$127,MATCH($E50,CONST_LIST_Goods,0),MATCH(AA$8,Parameters_Constants!$K$109:$AF$109,0))=FALSE)</f>
        <v>0</v>
      </c>
      <c r="AB152" s="279" t="b">
        <f>IF(OR($D50="",$D50=CONST_NA),FALSE,INDEX(Parameters_Constants!$K$110:$AF$127,MATCH($E50,CONST_LIST_Goods,0),MATCH(AB$8,Parameters_Constants!$K$109:$AF$109,0))=FALSE)</f>
        <v>0</v>
      </c>
      <c r="AC152" s="279" t="b">
        <f>IF(OR($D50="",$D50=CONST_NA),FALSE,INDEX(Parameters_Constants!$K$110:$AF$127,MATCH($E50,CONST_LIST_Goods,0),MATCH(AC$8,Parameters_Constants!$K$109:$AF$109,0))=FALSE)</f>
        <v>0</v>
      </c>
      <c r="AD152" s="279" t="b">
        <f>IF(OR($D50="",$D50=CONST_NA),FALSE,INDEX(Parameters_Constants!$K$110:$AF$127,MATCH($E50,CONST_LIST_Goods,0),MATCH(AD$8,Parameters_Constants!$K$109:$AF$109,0))=FALSE)</f>
        <v>0</v>
      </c>
      <c r="AE152" s="279" t="b">
        <f>IF(OR($D50="",$D50=CONST_NA),FALSE,INDEX(Parameters_Constants!$K$110:$AF$127,MATCH($E50,CONST_LIST_Goods,0),MATCH(AE$8,Parameters_Constants!$K$109:$AF$109,0))=FALSE)</f>
        <v>0</v>
      </c>
      <c r="AF152" s="279" t="b">
        <f>IF(OR($D50="",$D50=CONST_NA),FALSE,INDEX(Parameters_Constants!$K$110:$AF$127,MATCH($E50,CONST_LIST_Goods,0),MATCH(AF$8,Parameters_Constants!$K$109:$AF$109,0))=FALSE)</f>
        <v>0</v>
      </c>
      <c r="AG152" s="279" t="b">
        <f>IF(OR($D50="",$D50=CONST_NA),FALSE,INDEX(Parameters_Constants!$K$110:$AF$127,MATCH($E50,CONST_LIST_Goods,0),MATCH(AG$8,Parameters_Constants!$K$109:$AF$109,0))=FALSE)</f>
        <v>0</v>
      </c>
      <c r="AH152" s="279" t="b">
        <f>IF(OR($D50="",$D50=CONST_NA),FALSE,INDEX(Parameters_Constants!$K$110:$AF$127,MATCH($E50,CONST_LIST_Goods,0),MATCH(AH$8,Parameters_Constants!$K$109:$AF$109,0))=FALSE)</f>
        <v>0</v>
      </c>
      <c r="AI152" s="279" t="b">
        <f>IF(OR($D50="",$D50=CONST_NA),FALSE,INDEX(Parameters_Constants!$K$110:$AF$127,MATCH($E50,CONST_LIST_Goods,0),MATCH(AI$8,Parameters_Constants!$K$109:$AF$109,0))=FALSE)</f>
        <v>0</v>
      </c>
      <c r="AJ152" s="279" t="b">
        <f>IF(OR($D50="",$D50=CONST_NA),FALSE,INDEX(Parameters_Constants!$K$110:$AF$127,MATCH($E50,CONST_LIST_Goods,0),MATCH(AJ$8,Parameters_Constants!$K$109:$AF$109,0))=FALSE)</f>
        <v>0</v>
      </c>
      <c r="AK152" s="279" t="b">
        <f>IF(OR($D50="",$D50=CONST_NA),FALSE,INDEX(Parameters_Constants!$K$110:$AF$127,MATCH($E50,CONST_LIST_Goods,0),MATCH(AK$8,Parameters_Constants!$K$109:$AF$109,0))=FALSE)</f>
        <v>0</v>
      </c>
      <c r="AL152" s="280"/>
      <c r="AM152" s="280"/>
      <c r="AN152" s="280"/>
      <c r="AO152" s="280"/>
      <c r="AP152" s="280"/>
      <c r="AQ152" s="280"/>
      <c r="AR152" s="280"/>
      <c r="AS152" s="280"/>
      <c r="AT152" s="280"/>
      <c r="AU152" s="280"/>
      <c r="AV152" s="280"/>
      <c r="AW152" s="280"/>
    </row>
    <row r="153" spans="1:49" s="275" customFormat="1" hidden="1" x14ac:dyDescent="0.35">
      <c r="A153" s="275" t="s">
        <v>3</v>
      </c>
      <c r="C153" s="275">
        <v>42</v>
      </c>
      <c r="F153" s="279" t="b">
        <v>0</v>
      </c>
      <c r="H153" s="279" t="b">
        <v>0</v>
      </c>
      <c r="P153" s="279" t="b">
        <f>IF(OR($D51="",$D51=CONST_NA),FALSE,INDEX(Parameters_Constants!$K$110:$AF$127,MATCH($E51,CONST_LIST_Goods,0),MATCH(P$8,Parameters_Constants!$K$109:$AF$109,0))=FALSE)</f>
        <v>0</v>
      </c>
      <c r="Q153" s="279" t="b">
        <f>IF(OR($D51="",$D51=CONST_NA),FALSE,INDEX(Parameters_Constants!$K$110:$AF$127,MATCH($E51,CONST_LIST_Goods,0),MATCH(Q$8,Parameters_Constants!$K$109:$AF$109,0))=FALSE)</f>
        <v>0</v>
      </c>
      <c r="R153" s="279" t="b">
        <f>IF(OR($D51="",$D51=CONST_NA),FALSE,INDEX(Parameters_Constants!$K$110:$AF$127,MATCH($E51,CONST_LIST_Goods,0),MATCH(R$8,Parameters_Constants!$K$109:$AF$109,0))=FALSE)</f>
        <v>0</v>
      </c>
      <c r="S153" s="279" t="b">
        <f>IF(OR($D51="",$D51=CONST_NA),FALSE,INDEX(Parameters_Constants!$K$110:$AF$127,MATCH($E51,CONST_LIST_Goods,0),MATCH(S$8,Parameters_Constants!$K$109:$AF$109,0))=FALSE)</f>
        <v>0</v>
      </c>
      <c r="T153" s="279" t="b">
        <f>IF(OR($D51="",$D51=CONST_NA),FALSE,INDEX(Parameters_Constants!$K$110:$AF$127,MATCH($E51,CONST_LIST_Goods,0),MATCH(T$8,Parameters_Constants!$K$109:$AF$109,0))=FALSE)</f>
        <v>0</v>
      </c>
      <c r="U153" s="279" t="b">
        <f>IF(OR($D51="",$D51=CONST_NA),FALSE,INDEX(Parameters_Constants!$K$110:$AF$127,MATCH($E51,CONST_LIST_Goods,0),MATCH(U$8,Parameters_Constants!$K$109:$AF$109,0))=FALSE)</f>
        <v>0</v>
      </c>
      <c r="V153" s="279" t="b">
        <f>IF(OR($D51="",$D51=CONST_NA),FALSE,INDEX(Parameters_Constants!$K$110:$AF$127,MATCH($E51,CONST_LIST_Goods,0),MATCH(V$8,Parameters_Constants!$K$109:$AF$109,0))=FALSE)</f>
        <v>0</v>
      </c>
      <c r="W153" s="279" t="b">
        <f>IF(OR($D51="",$D51=CONST_NA),FALSE,INDEX(Parameters_Constants!$K$110:$AF$127,MATCH($E51,CONST_LIST_Goods,0),MATCH(W$8,Parameters_Constants!$K$109:$AF$109,0))=FALSE)</f>
        <v>0</v>
      </c>
      <c r="X153" s="279" t="b">
        <f>IF(OR($D51="",$D51=CONST_NA),FALSE,INDEX(Parameters_Constants!$K$110:$AF$127,MATCH($E51,CONST_LIST_Goods,0),MATCH(X$8,Parameters_Constants!$K$109:$AF$109,0))=FALSE)</f>
        <v>0</v>
      </c>
      <c r="Y153" s="279" t="b">
        <f>IF(OR($D51="",$D51=CONST_NA),FALSE,INDEX(Parameters_Constants!$K$110:$AF$127,MATCH($E51,CONST_LIST_Goods,0),MATCH(Y$8,Parameters_Constants!$K$109:$AF$109,0))=FALSE)</f>
        <v>0</v>
      </c>
      <c r="Z153" s="279" t="b">
        <f>IF(OR($D51="",$D51=CONST_NA),FALSE,INDEX(Parameters_Constants!$K$110:$AF$127,MATCH($E51,CONST_LIST_Goods,0),MATCH(Z$8,Parameters_Constants!$K$109:$AF$109,0))=FALSE)</f>
        <v>0</v>
      </c>
      <c r="AA153" s="279" t="b">
        <f>IF(OR($D51="",$D51=CONST_NA),FALSE,INDEX(Parameters_Constants!$K$110:$AF$127,MATCH($E51,CONST_LIST_Goods,0),MATCH(AA$8,Parameters_Constants!$K$109:$AF$109,0))=FALSE)</f>
        <v>0</v>
      </c>
      <c r="AB153" s="279" t="b">
        <f>IF(OR($D51="",$D51=CONST_NA),FALSE,INDEX(Parameters_Constants!$K$110:$AF$127,MATCH($E51,CONST_LIST_Goods,0),MATCH(AB$8,Parameters_Constants!$K$109:$AF$109,0))=FALSE)</f>
        <v>0</v>
      </c>
      <c r="AC153" s="279" t="b">
        <f>IF(OR($D51="",$D51=CONST_NA),FALSE,INDEX(Parameters_Constants!$K$110:$AF$127,MATCH($E51,CONST_LIST_Goods,0),MATCH(AC$8,Parameters_Constants!$K$109:$AF$109,0))=FALSE)</f>
        <v>0</v>
      </c>
      <c r="AD153" s="279" t="b">
        <f>IF(OR($D51="",$D51=CONST_NA),FALSE,INDEX(Parameters_Constants!$K$110:$AF$127,MATCH($E51,CONST_LIST_Goods,0),MATCH(AD$8,Parameters_Constants!$K$109:$AF$109,0))=FALSE)</f>
        <v>0</v>
      </c>
      <c r="AE153" s="279" t="b">
        <f>IF(OR($D51="",$D51=CONST_NA),FALSE,INDEX(Parameters_Constants!$K$110:$AF$127,MATCH($E51,CONST_LIST_Goods,0),MATCH(AE$8,Parameters_Constants!$K$109:$AF$109,0))=FALSE)</f>
        <v>0</v>
      </c>
      <c r="AF153" s="279" t="b">
        <f>IF(OR($D51="",$D51=CONST_NA),FALSE,INDEX(Parameters_Constants!$K$110:$AF$127,MATCH($E51,CONST_LIST_Goods,0),MATCH(AF$8,Parameters_Constants!$K$109:$AF$109,0))=FALSE)</f>
        <v>0</v>
      </c>
      <c r="AG153" s="279" t="b">
        <f>IF(OR($D51="",$D51=CONST_NA),FALSE,INDEX(Parameters_Constants!$K$110:$AF$127,MATCH($E51,CONST_LIST_Goods,0),MATCH(AG$8,Parameters_Constants!$K$109:$AF$109,0))=FALSE)</f>
        <v>0</v>
      </c>
      <c r="AH153" s="279" t="b">
        <f>IF(OR($D51="",$D51=CONST_NA),FALSE,INDEX(Parameters_Constants!$K$110:$AF$127,MATCH($E51,CONST_LIST_Goods,0),MATCH(AH$8,Parameters_Constants!$K$109:$AF$109,0))=FALSE)</f>
        <v>0</v>
      </c>
      <c r="AI153" s="279" t="b">
        <f>IF(OR($D51="",$D51=CONST_NA),FALSE,INDEX(Parameters_Constants!$K$110:$AF$127,MATCH($E51,CONST_LIST_Goods,0),MATCH(AI$8,Parameters_Constants!$K$109:$AF$109,0))=FALSE)</f>
        <v>0</v>
      </c>
      <c r="AJ153" s="279" t="b">
        <f>IF(OR($D51="",$D51=CONST_NA),FALSE,INDEX(Parameters_Constants!$K$110:$AF$127,MATCH($E51,CONST_LIST_Goods,0),MATCH(AJ$8,Parameters_Constants!$K$109:$AF$109,0))=FALSE)</f>
        <v>0</v>
      </c>
      <c r="AK153" s="279" t="b">
        <f>IF(OR($D51="",$D51=CONST_NA),FALSE,INDEX(Parameters_Constants!$K$110:$AF$127,MATCH($E51,CONST_LIST_Goods,0),MATCH(AK$8,Parameters_Constants!$K$109:$AF$109,0))=FALSE)</f>
        <v>0</v>
      </c>
      <c r="AL153" s="280"/>
      <c r="AM153" s="280"/>
      <c r="AN153" s="280"/>
      <c r="AO153" s="280"/>
      <c r="AP153" s="280"/>
      <c r="AQ153" s="280"/>
      <c r="AR153" s="280"/>
      <c r="AS153" s="280"/>
      <c r="AT153" s="280"/>
      <c r="AU153" s="280"/>
      <c r="AV153" s="280"/>
      <c r="AW153" s="280"/>
    </row>
    <row r="154" spans="1:49" s="275" customFormat="1" hidden="1" x14ac:dyDescent="0.35">
      <c r="A154" s="275" t="s">
        <v>3</v>
      </c>
      <c r="C154" s="275">
        <v>43</v>
      </c>
      <c r="F154" s="279" t="b">
        <v>0</v>
      </c>
      <c r="H154" s="279" t="b">
        <v>0</v>
      </c>
      <c r="P154" s="279" t="b">
        <f>IF(OR($D52="",$D52=CONST_NA),FALSE,INDEX(Parameters_Constants!$K$110:$AF$127,MATCH($E52,CONST_LIST_Goods,0),MATCH(P$8,Parameters_Constants!$K$109:$AF$109,0))=FALSE)</f>
        <v>0</v>
      </c>
      <c r="Q154" s="279" t="b">
        <f>IF(OR($D52="",$D52=CONST_NA),FALSE,INDEX(Parameters_Constants!$K$110:$AF$127,MATCH($E52,CONST_LIST_Goods,0),MATCH(Q$8,Parameters_Constants!$K$109:$AF$109,0))=FALSE)</f>
        <v>0</v>
      </c>
      <c r="R154" s="279" t="b">
        <f>IF(OR($D52="",$D52=CONST_NA),FALSE,INDEX(Parameters_Constants!$K$110:$AF$127,MATCH($E52,CONST_LIST_Goods,0),MATCH(R$8,Parameters_Constants!$K$109:$AF$109,0))=FALSE)</f>
        <v>0</v>
      </c>
      <c r="S154" s="279" t="b">
        <f>IF(OR($D52="",$D52=CONST_NA),FALSE,INDEX(Parameters_Constants!$K$110:$AF$127,MATCH($E52,CONST_LIST_Goods,0),MATCH(S$8,Parameters_Constants!$K$109:$AF$109,0))=FALSE)</f>
        <v>0</v>
      </c>
      <c r="T154" s="279" t="b">
        <f>IF(OR($D52="",$D52=CONST_NA),FALSE,INDEX(Parameters_Constants!$K$110:$AF$127,MATCH($E52,CONST_LIST_Goods,0),MATCH(T$8,Parameters_Constants!$K$109:$AF$109,0))=FALSE)</f>
        <v>0</v>
      </c>
      <c r="U154" s="279" t="b">
        <f>IF(OR($D52="",$D52=CONST_NA),FALSE,INDEX(Parameters_Constants!$K$110:$AF$127,MATCH($E52,CONST_LIST_Goods,0),MATCH(U$8,Parameters_Constants!$K$109:$AF$109,0))=FALSE)</f>
        <v>0</v>
      </c>
      <c r="V154" s="279" t="b">
        <f>IF(OR($D52="",$D52=CONST_NA),FALSE,INDEX(Parameters_Constants!$K$110:$AF$127,MATCH($E52,CONST_LIST_Goods,0),MATCH(V$8,Parameters_Constants!$K$109:$AF$109,0))=FALSE)</f>
        <v>0</v>
      </c>
      <c r="W154" s="279" t="b">
        <f>IF(OR($D52="",$D52=CONST_NA),FALSE,INDEX(Parameters_Constants!$K$110:$AF$127,MATCH($E52,CONST_LIST_Goods,0),MATCH(W$8,Parameters_Constants!$K$109:$AF$109,0))=FALSE)</f>
        <v>0</v>
      </c>
      <c r="X154" s="279" t="b">
        <f>IF(OR($D52="",$D52=CONST_NA),FALSE,INDEX(Parameters_Constants!$K$110:$AF$127,MATCH($E52,CONST_LIST_Goods,0),MATCH(X$8,Parameters_Constants!$K$109:$AF$109,0))=FALSE)</f>
        <v>0</v>
      </c>
      <c r="Y154" s="279" t="b">
        <f>IF(OR($D52="",$D52=CONST_NA),FALSE,INDEX(Parameters_Constants!$K$110:$AF$127,MATCH($E52,CONST_LIST_Goods,0),MATCH(Y$8,Parameters_Constants!$K$109:$AF$109,0))=FALSE)</f>
        <v>0</v>
      </c>
      <c r="Z154" s="279" t="b">
        <f>IF(OR($D52="",$D52=CONST_NA),FALSE,INDEX(Parameters_Constants!$K$110:$AF$127,MATCH($E52,CONST_LIST_Goods,0),MATCH(Z$8,Parameters_Constants!$K$109:$AF$109,0))=FALSE)</f>
        <v>0</v>
      </c>
      <c r="AA154" s="279" t="b">
        <f>IF(OR($D52="",$D52=CONST_NA),FALSE,INDEX(Parameters_Constants!$K$110:$AF$127,MATCH($E52,CONST_LIST_Goods,0),MATCH(AA$8,Parameters_Constants!$K$109:$AF$109,0))=FALSE)</f>
        <v>0</v>
      </c>
      <c r="AB154" s="279" t="b">
        <f>IF(OR($D52="",$D52=CONST_NA),FALSE,INDEX(Parameters_Constants!$K$110:$AF$127,MATCH($E52,CONST_LIST_Goods,0),MATCH(AB$8,Parameters_Constants!$K$109:$AF$109,0))=FALSE)</f>
        <v>0</v>
      </c>
      <c r="AC154" s="279" t="b">
        <f>IF(OR($D52="",$D52=CONST_NA),FALSE,INDEX(Parameters_Constants!$K$110:$AF$127,MATCH($E52,CONST_LIST_Goods,0),MATCH(AC$8,Parameters_Constants!$K$109:$AF$109,0))=FALSE)</f>
        <v>0</v>
      </c>
      <c r="AD154" s="279" t="b">
        <f>IF(OR($D52="",$D52=CONST_NA),FALSE,INDEX(Parameters_Constants!$K$110:$AF$127,MATCH($E52,CONST_LIST_Goods,0),MATCH(AD$8,Parameters_Constants!$K$109:$AF$109,0))=FALSE)</f>
        <v>0</v>
      </c>
      <c r="AE154" s="279" t="b">
        <f>IF(OR($D52="",$D52=CONST_NA),FALSE,INDEX(Parameters_Constants!$K$110:$AF$127,MATCH($E52,CONST_LIST_Goods,0),MATCH(AE$8,Parameters_Constants!$K$109:$AF$109,0))=FALSE)</f>
        <v>0</v>
      </c>
      <c r="AF154" s="279" t="b">
        <f>IF(OR($D52="",$D52=CONST_NA),FALSE,INDEX(Parameters_Constants!$K$110:$AF$127,MATCH($E52,CONST_LIST_Goods,0),MATCH(AF$8,Parameters_Constants!$K$109:$AF$109,0))=FALSE)</f>
        <v>0</v>
      </c>
      <c r="AG154" s="279" t="b">
        <f>IF(OR($D52="",$D52=CONST_NA),FALSE,INDEX(Parameters_Constants!$K$110:$AF$127,MATCH($E52,CONST_LIST_Goods,0),MATCH(AG$8,Parameters_Constants!$K$109:$AF$109,0))=FALSE)</f>
        <v>0</v>
      </c>
      <c r="AH154" s="279" t="b">
        <f>IF(OR($D52="",$D52=CONST_NA),FALSE,INDEX(Parameters_Constants!$K$110:$AF$127,MATCH($E52,CONST_LIST_Goods,0),MATCH(AH$8,Parameters_Constants!$K$109:$AF$109,0))=FALSE)</f>
        <v>0</v>
      </c>
      <c r="AI154" s="279" t="b">
        <f>IF(OR($D52="",$D52=CONST_NA),FALSE,INDEX(Parameters_Constants!$K$110:$AF$127,MATCH($E52,CONST_LIST_Goods,0),MATCH(AI$8,Parameters_Constants!$K$109:$AF$109,0))=FALSE)</f>
        <v>0</v>
      </c>
      <c r="AJ154" s="279" t="b">
        <f>IF(OR($D52="",$D52=CONST_NA),FALSE,INDEX(Parameters_Constants!$K$110:$AF$127,MATCH($E52,CONST_LIST_Goods,0),MATCH(AJ$8,Parameters_Constants!$K$109:$AF$109,0))=FALSE)</f>
        <v>0</v>
      </c>
      <c r="AK154" s="279" t="b">
        <f>IF(OR($D52="",$D52=CONST_NA),FALSE,INDEX(Parameters_Constants!$K$110:$AF$127,MATCH($E52,CONST_LIST_Goods,0),MATCH(AK$8,Parameters_Constants!$K$109:$AF$109,0))=FALSE)</f>
        <v>0</v>
      </c>
      <c r="AL154" s="280"/>
      <c r="AM154" s="280"/>
      <c r="AN154" s="280"/>
      <c r="AO154" s="280"/>
      <c r="AP154" s="280"/>
      <c r="AQ154" s="280"/>
      <c r="AR154" s="280"/>
      <c r="AS154" s="280"/>
      <c r="AT154" s="280"/>
      <c r="AU154" s="280"/>
      <c r="AV154" s="280"/>
      <c r="AW154" s="280"/>
    </row>
    <row r="155" spans="1:49" s="275" customFormat="1" hidden="1" x14ac:dyDescent="0.35">
      <c r="A155" s="275" t="s">
        <v>3</v>
      </c>
      <c r="C155" s="275">
        <v>44</v>
      </c>
      <c r="F155" s="279" t="b">
        <v>0</v>
      </c>
      <c r="H155" s="279" t="b">
        <v>0</v>
      </c>
      <c r="P155" s="279" t="b">
        <f>IF(OR($D53="",$D53=CONST_NA),FALSE,INDEX(Parameters_Constants!$K$110:$AF$127,MATCH($E53,CONST_LIST_Goods,0),MATCH(P$8,Parameters_Constants!$K$109:$AF$109,0))=FALSE)</f>
        <v>0</v>
      </c>
      <c r="Q155" s="279" t="b">
        <f>IF(OR($D53="",$D53=CONST_NA),FALSE,INDEX(Parameters_Constants!$K$110:$AF$127,MATCH($E53,CONST_LIST_Goods,0),MATCH(Q$8,Parameters_Constants!$K$109:$AF$109,0))=FALSE)</f>
        <v>0</v>
      </c>
      <c r="R155" s="279" t="b">
        <f>IF(OR($D53="",$D53=CONST_NA),FALSE,INDEX(Parameters_Constants!$K$110:$AF$127,MATCH($E53,CONST_LIST_Goods,0),MATCH(R$8,Parameters_Constants!$K$109:$AF$109,0))=FALSE)</f>
        <v>0</v>
      </c>
      <c r="S155" s="279" t="b">
        <f>IF(OR($D53="",$D53=CONST_NA),FALSE,INDEX(Parameters_Constants!$K$110:$AF$127,MATCH($E53,CONST_LIST_Goods,0),MATCH(S$8,Parameters_Constants!$K$109:$AF$109,0))=FALSE)</f>
        <v>0</v>
      </c>
      <c r="T155" s="279" t="b">
        <f>IF(OR($D53="",$D53=CONST_NA),FALSE,INDEX(Parameters_Constants!$K$110:$AF$127,MATCH($E53,CONST_LIST_Goods,0),MATCH(T$8,Parameters_Constants!$K$109:$AF$109,0))=FALSE)</f>
        <v>0</v>
      </c>
      <c r="U155" s="279" t="b">
        <f>IF(OR($D53="",$D53=CONST_NA),FALSE,INDEX(Parameters_Constants!$K$110:$AF$127,MATCH($E53,CONST_LIST_Goods,0),MATCH(U$8,Parameters_Constants!$K$109:$AF$109,0))=FALSE)</f>
        <v>0</v>
      </c>
      <c r="V155" s="279" t="b">
        <f>IF(OR($D53="",$D53=CONST_NA),FALSE,INDEX(Parameters_Constants!$K$110:$AF$127,MATCH($E53,CONST_LIST_Goods,0),MATCH(V$8,Parameters_Constants!$K$109:$AF$109,0))=FALSE)</f>
        <v>0</v>
      </c>
      <c r="W155" s="279" t="b">
        <f>IF(OR($D53="",$D53=CONST_NA),FALSE,INDEX(Parameters_Constants!$K$110:$AF$127,MATCH($E53,CONST_LIST_Goods,0),MATCH(W$8,Parameters_Constants!$K$109:$AF$109,0))=FALSE)</f>
        <v>0</v>
      </c>
      <c r="X155" s="279" t="b">
        <f>IF(OR($D53="",$D53=CONST_NA),FALSE,INDEX(Parameters_Constants!$K$110:$AF$127,MATCH($E53,CONST_LIST_Goods,0),MATCH(X$8,Parameters_Constants!$K$109:$AF$109,0))=FALSE)</f>
        <v>0</v>
      </c>
      <c r="Y155" s="279" t="b">
        <f>IF(OR($D53="",$D53=CONST_NA),FALSE,INDEX(Parameters_Constants!$K$110:$AF$127,MATCH($E53,CONST_LIST_Goods,0),MATCH(Y$8,Parameters_Constants!$K$109:$AF$109,0))=FALSE)</f>
        <v>0</v>
      </c>
      <c r="Z155" s="279" t="b">
        <f>IF(OR($D53="",$D53=CONST_NA),FALSE,INDEX(Parameters_Constants!$K$110:$AF$127,MATCH($E53,CONST_LIST_Goods,0),MATCH(Z$8,Parameters_Constants!$K$109:$AF$109,0))=FALSE)</f>
        <v>0</v>
      </c>
      <c r="AA155" s="279" t="b">
        <f>IF(OR($D53="",$D53=CONST_NA),FALSE,INDEX(Parameters_Constants!$K$110:$AF$127,MATCH($E53,CONST_LIST_Goods,0),MATCH(AA$8,Parameters_Constants!$K$109:$AF$109,0))=FALSE)</f>
        <v>0</v>
      </c>
      <c r="AB155" s="279" t="b">
        <f>IF(OR($D53="",$D53=CONST_NA),FALSE,INDEX(Parameters_Constants!$K$110:$AF$127,MATCH($E53,CONST_LIST_Goods,0),MATCH(AB$8,Parameters_Constants!$K$109:$AF$109,0))=FALSE)</f>
        <v>0</v>
      </c>
      <c r="AC155" s="279" t="b">
        <f>IF(OR($D53="",$D53=CONST_NA),FALSE,INDEX(Parameters_Constants!$K$110:$AF$127,MATCH($E53,CONST_LIST_Goods,0),MATCH(AC$8,Parameters_Constants!$K$109:$AF$109,0))=FALSE)</f>
        <v>0</v>
      </c>
      <c r="AD155" s="279" t="b">
        <f>IF(OR($D53="",$D53=CONST_NA),FALSE,INDEX(Parameters_Constants!$K$110:$AF$127,MATCH($E53,CONST_LIST_Goods,0),MATCH(AD$8,Parameters_Constants!$K$109:$AF$109,0))=FALSE)</f>
        <v>0</v>
      </c>
      <c r="AE155" s="279" t="b">
        <f>IF(OR($D53="",$D53=CONST_NA),FALSE,INDEX(Parameters_Constants!$K$110:$AF$127,MATCH($E53,CONST_LIST_Goods,0),MATCH(AE$8,Parameters_Constants!$K$109:$AF$109,0))=FALSE)</f>
        <v>0</v>
      </c>
      <c r="AF155" s="279" t="b">
        <f>IF(OR($D53="",$D53=CONST_NA),FALSE,INDEX(Parameters_Constants!$K$110:$AF$127,MATCH($E53,CONST_LIST_Goods,0),MATCH(AF$8,Parameters_Constants!$K$109:$AF$109,0))=FALSE)</f>
        <v>0</v>
      </c>
      <c r="AG155" s="279" t="b">
        <f>IF(OR($D53="",$D53=CONST_NA),FALSE,INDEX(Parameters_Constants!$K$110:$AF$127,MATCH($E53,CONST_LIST_Goods,0),MATCH(AG$8,Parameters_Constants!$K$109:$AF$109,0))=FALSE)</f>
        <v>0</v>
      </c>
      <c r="AH155" s="279" t="b">
        <f>IF(OR($D53="",$D53=CONST_NA),FALSE,INDEX(Parameters_Constants!$K$110:$AF$127,MATCH($E53,CONST_LIST_Goods,0),MATCH(AH$8,Parameters_Constants!$K$109:$AF$109,0))=FALSE)</f>
        <v>0</v>
      </c>
      <c r="AI155" s="279" t="b">
        <f>IF(OR($D53="",$D53=CONST_NA),FALSE,INDEX(Parameters_Constants!$K$110:$AF$127,MATCH($E53,CONST_LIST_Goods,0),MATCH(AI$8,Parameters_Constants!$K$109:$AF$109,0))=FALSE)</f>
        <v>0</v>
      </c>
      <c r="AJ155" s="279" t="b">
        <f>IF(OR($D53="",$D53=CONST_NA),FALSE,INDEX(Parameters_Constants!$K$110:$AF$127,MATCH($E53,CONST_LIST_Goods,0),MATCH(AJ$8,Parameters_Constants!$K$109:$AF$109,0))=FALSE)</f>
        <v>0</v>
      </c>
      <c r="AK155" s="279" t="b">
        <f>IF(OR($D53="",$D53=CONST_NA),FALSE,INDEX(Parameters_Constants!$K$110:$AF$127,MATCH($E53,CONST_LIST_Goods,0),MATCH(AK$8,Parameters_Constants!$K$109:$AF$109,0))=FALSE)</f>
        <v>0</v>
      </c>
      <c r="AL155" s="280"/>
      <c r="AM155" s="280"/>
      <c r="AN155" s="280"/>
      <c r="AO155" s="280"/>
      <c r="AP155" s="280"/>
      <c r="AQ155" s="280"/>
      <c r="AR155" s="280"/>
      <c r="AS155" s="280"/>
      <c r="AT155" s="280"/>
      <c r="AU155" s="280"/>
      <c r="AV155" s="280"/>
      <c r="AW155" s="280"/>
    </row>
    <row r="156" spans="1:49" s="275" customFormat="1" hidden="1" x14ac:dyDescent="0.35">
      <c r="A156" s="275" t="s">
        <v>3</v>
      </c>
      <c r="C156" s="275">
        <v>45</v>
      </c>
      <c r="F156" s="279" t="b">
        <v>0</v>
      </c>
      <c r="H156" s="279" t="b">
        <v>0</v>
      </c>
      <c r="P156" s="279" t="b">
        <f>IF(OR($D54="",$D54=CONST_NA),FALSE,INDEX(Parameters_Constants!$K$110:$AF$127,MATCH($E54,CONST_LIST_Goods,0),MATCH(P$8,Parameters_Constants!$K$109:$AF$109,0))=FALSE)</f>
        <v>0</v>
      </c>
      <c r="Q156" s="279" t="b">
        <f>IF(OR($D54="",$D54=CONST_NA),FALSE,INDEX(Parameters_Constants!$K$110:$AF$127,MATCH($E54,CONST_LIST_Goods,0),MATCH(Q$8,Parameters_Constants!$K$109:$AF$109,0))=FALSE)</f>
        <v>0</v>
      </c>
      <c r="R156" s="279" t="b">
        <f>IF(OR($D54="",$D54=CONST_NA),FALSE,INDEX(Parameters_Constants!$K$110:$AF$127,MATCH($E54,CONST_LIST_Goods,0),MATCH(R$8,Parameters_Constants!$K$109:$AF$109,0))=FALSE)</f>
        <v>0</v>
      </c>
      <c r="S156" s="279" t="b">
        <f>IF(OR($D54="",$D54=CONST_NA),FALSE,INDEX(Parameters_Constants!$K$110:$AF$127,MATCH($E54,CONST_LIST_Goods,0),MATCH(S$8,Parameters_Constants!$K$109:$AF$109,0))=FALSE)</f>
        <v>0</v>
      </c>
      <c r="T156" s="279" t="b">
        <f>IF(OR($D54="",$D54=CONST_NA),FALSE,INDEX(Parameters_Constants!$K$110:$AF$127,MATCH($E54,CONST_LIST_Goods,0),MATCH(T$8,Parameters_Constants!$K$109:$AF$109,0))=FALSE)</f>
        <v>0</v>
      </c>
      <c r="U156" s="279" t="b">
        <f>IF(OR($D54="",$D54=CONST_NA),FALSE,INDEX(Parameters_Constants!$K$110:$AF$127,MATCH($E54,CONST_LIST_Goods,0),MATCH(U$8,Parameters_Constants!$K$109:$AF$109,0))=FALSE)</f>
        <v>0</v>
      </c>
      <c r="V156" s="279" t="b">
        <f>IF(OR($D54="",$D54=CONST_NA),FALSE,INDEX(Parameters_Constants!$K$110:$AF$127,MATCH($E54,CONST_LIST_Goods,0),MATCH(V$8,Parameters_Constants!$K$109:$AF$109,0))=FALSE)</f>
        <v>0</v>
      </c>
      <c r="W156" s="279" t="b">
        <f>IF(OR($D54="",$D54=CONST_NA),FALSE,INDEX(Parameters_Constants!$K$110:$AF$127,MATCH($E54,CONST_LIST_Goods,0),MATCH(W$8,Parameters_Constants!$K$109:$AF$109,0))=FALSE)</f>
        <v>0</v>
      </c>
      <c r="X156" s="279" t="b">
        <f>IF(OR($D54="",$D54=CONST_NA),FALSE,INDEX(Parameters_Constants!$K$110:$AF$127,MATCH($E54,CONST_LIST_Goods,0),MATCH(X$8,Parameters_Constants!$K$109:$AF$109,0))=FALSE)</f>
        <v>0</v>
      </c>
      <c r="Y156" s="279" t="b">
        <f>IF(OR($D54="",$D54=CONST_NA),FALSE,INDEX(Parameters_Constants!$K$110:$AF$127,MATCH($E54,CONST_LIST_Goods,0),MATCH(Y$8,Parameters_Constants!$K$109:$AF$109,0))=FALSE)</f>
        <v>0</v>
      </c>
      <c r="Z156" s="279" t="b">
        <f>IF(OR($D54="",$D54=CONST_NA),FALSE,INDEX(Parameters_Constants!$K$110:$AF$127,MATCH($E54,CONST_LIST_Goods,0),MATCH(Z$8,Parameters_Constants!$K$109:$AF$109,0))=FALSE)</f>
        <v>0</v>
      </c>
      <c r="AA156" s="279" t="b">
        <f>IF(OR($D54="",$D54=CONST_NA),FALSE,INDEX(Parameters_Constants!$K$110:$AF$127,MATCH($E54,CONST_LIST_Goods,0),MATCH(AA$8,Parameters_Constants!$K$109:$AF$109,0))=FALSE)</f>
        <v>0</v>
      </c>
      <c r="AB156" s="279" t="b">
        <f>IF(OR($D54="",$D54=CONST_NA),FALSE,INDEX(Parameters_Constants!$K$110:$AF$127,MATCH($E54,CONST_LIST_Goods,0),MATCH(AB$8,Parameters_Constants!$K$109:$AF$109,0))=FALSE)</f>
        <v>0</v>
      </c>
      <c r="AC156" s="279" t="b">
        <f>IF(OR($D54="",$D54=CONST_NA),FALSE,INDEX(Parameters_Constants!$K$110:$AF$127,MATCH($E54,CONST_LIST_Goods,0),MATCH(AC$8,Parameters_Constants!$K$109:$AF$109,0))=FALSE)</f>
        <v>0</v>
      </c>
      <c r="AD156" s="279" t="b">
        <f>IF(OR($D54="",$D54=CONST_NA),FALSE,INDEX(Parameters_Constants!$K$110:$AF$127,MATCH($E54,CONST_LIST_Goods,0),MATCH(AD$8,Parameters_Constants!$K$109:$AF$109,0))=FALSE)</f>
        <v>0</v>
      </c>
      <c r="AE156" s="279" t="b">
        <f>IF(OR($D54="",$D54=CONST_NA),FALSE,INDEX(Parameters_Constants!$K$110:$AF$127,MATCH($E54,CONST_LIST_Goods,0),MATCH(AE$8,Parameters_Constants!$K$109:$AF$109,0))=FALSE)</f>
        <v>0</v>
      </c>
      <c r="AF156" s="279" t="b">
        <f>IF(OR($D54="",$D54=CONST_NA),FALSE,INDEX(Parameters_Constants!$K$110:$AF$127,MATCH($E54,CONST_LIST_Goods,0),MATCH(AF$8,Parameters_Constants!$K$109:$AF$109,0))=FALSE)</f>
        <v>0</v>
      </c>
      <c r="AG156" s="279" t="b">
        <f>IF(OR($D54="",$D54=CONST_NA),FALSE,INDEX(Parameters_Constants!$K$110:$AF$127,MATCH($E54,CONST_LIST_Goods,0),MATCH(AG$8,Parameters_Constants!$K$109:$AF$109,0))=FALSE)</f>
        <v>0</v>
      </c>
      <c r="AH156" s="279" t="b">
        <f>IF(OR($D54="",$D54=CONST_NA),FALSE,INDEX(Parameters_Constants!$K$110:$AF$127,MATCH($E54,CONST_LIST_Goods,0),MATCH(AH$8,Parameters_Constants!$K$109:$AF$109,0))=FALSE)</f>
        <v>0</v>
      </c>
      <c r="AI156" s="279" t="b">
        <f>IF(OR($D54="",$D54=CONST_NA),FALSE,INDEX(Parameters_Constants!$K$110:$AF$127,MATCH($E54,CONST_LIST_Goods,0),MATCH(AI$8,Parameters_Constants!$K$109:$AF$109,0))=FALSE)</f>
        <v>0</v>
      </c>
      <c r="AJ156" s="279" t="b">
        <f>IF(OR($D54="",$D54=CONST_NA),FALSE,INDEX(Parameters_Constants!$K$110:$AF$127,MATCH($E54,CONST_LIST_Goods,0),MATCH(AJ$8,Parameters_Constants!$K$109:$AF$109,0))=FALSE)</f>
        <v>0</v>
      </c>
      <c r="AK156" s="279" t="b">
        <f>IF(OR($D54="",$D54=CONST_NA),FALSE,INDEX(Parameters_Constants!$K$110:$AF$127,MATCH($E54,CONST_LIST_Goods,0),MATCH(AK$8,Parameters_Constants!$K$109:$AF$109,0))=FALSE)</f>
        <v>0</v>
      </c>
      <c r="AL156" s="280"/>
      <c r="AM156" s="280"/>
      <c r="AN156" s="280"/>
      <c r="AO156" s="280"/>
      <c r="AP156" s="280"/>
      <c r="AQ156" s="280"/>
      <c r="AR156" s="280"/>
      <c r="AS156" s="280"/>
      <c r="AT156" s="280"/>
      <c r="AU156" s="280"/>
      <c r="AV156" s="280"/>
      <c r="AW156" s="280"/>
    </row>
    <row r="157" spans="1:49" s="275" customFormat="1" hidden="1" x14ac:dyDescent="0.35">
      <c r="A157" s="275" t="s">
        <v>3</v>
      </c>
      <c r="C157" s="275">
        <v>46</v>
      </c>
      <c r="F157" s="279" t="b">
        <v>0</v>
      </c>
      <c r="H157" s="279" t="b">
        <v>0</v>
      </c>
      <c r="P157" s="279" t="b">
        <f>IF(OR($D55="",$D55=CONST_NA),FALSE,INDEX(Parameters_Constants!$K$110:$AF$127,MATCH($E55,CONST_LIST_Goods,0),MATCH(P$8,Parameters_Constants!$K$109:$AF$109,0))=FALSE)</f>
        <v>0</v>
      </c>
      <c r="Q157" s="279" t="b">
        <f>IF(OR($D55="",$D55=CONST_NA),FALSE,INDEX(Parameters_Constants!$K$110:$AF$127,MATCH($E55,CONST_LIST_Goods,0),MATCH(Q$8,Parameters_Constants!$K$109:$AF$109,0))=FALSE)</f>
        <v>0</v>
      </c>
      <c r="R157" s="279" t="b">
        <f>IF(OR($D55="",$D55=CONST_NA),FALSE,INDEX(Parameters_Constants!$K$110:$AF$127,MATCH($E55,CONST_LIST_Goods,0),MATCH(R$8,Parameters_Constants!$K$109:$AF$109,0))=FALSE)</f>
        <v>0</v>
      </c>
      <c r="S157" s="279" t="b">
        <f>IF(OR($D55="",$D55=CONST_NA),FALSE,INDEX(Parameters_Constants!$K$110:$AF$127,MATCH($E55,CONST_LIST_Goods,0),MATCH(S$8,Parameters_Constants!$K$109:$AF$109,0))=FALSE)</f>
        <v>0</v>
      </c>
      <c r="T157" s="279" t="b">
        <f>IF(OR($D55="",$D55=CONST_NA),FALSE,INDEX(Parameters_Constants!$K$110:$AF$127,MATCH($E55,CONST_LIST_Goods,0),MATCH(T$8,Parameters_Constants!$K$109:$AF$109,0))=FALSE)</f>
        <v>0</v>
      </c>
      <c r="U157" s="279" t="b">
        <f>IF(OR($D55="",$D55=CONST_NA),FALSE,INDEX(Parameters_Constants!$K$110:$AF$127,MATCH($E55,CONST_LIST_Goods,0),MATCH(U$8,Parameters_Constants!$K$109:$AF$109,0))=FALSE)</f>
        <v>0</v>
      </c>
      <c r="V157" s="279" t="b">
        <f>IF(OR($D55="",$D55=CONST_NA),FALSE,INDEX(Parameters_Constants!$K$110:$AF$127,MATCH($E55,CONST_LIST_Goods,0),MATCH(V$8,Parameters_Constants!$K$109:$AF$109,0))=FALSE)</f>
        <v>0</v>
      </c>
      <c r="W157" s="279" t="b">
        <f>IF(OR($D55="",$D55=CONST_NA),FALSE,INDEX(Parameters_Constants!$K$110:$AF$127,MATCH($E55,CONST_LIST_Goods,0),MATCH(W$8,Parameters_Constants!$K$109:$AF$109,0))=FALSE)</f>
        <v>0</v>
      </c>
      <c r="X157" s="279" t="b">
        <f>IF(OR($D55="",$D55=CONST_NA),FALSE,INDEX(Parameters_Constants!$K$110:$AF$127,MATCH($E55,CONST_LIST_Goods,0),MATCH(X$8,Parameters_Constants!$K$109:$AF$109,0))=FALSE)</f>
        <v>0</v>
      </c>
      <c r="Y157" s="279" t="b">
        <f>IF(OR($D55="",$D55=CONST_NA),FALSE,INDEX(Parameters_Constants!$K$110:$AF$127,MATCH($E55,CONST_LIST_Goods,0),MATCH(Y$8,Parameters_Constants!$K$109:$AF$109,0))=FALSE)</f>
        <v>0</v>
      </c>
      <c r="Z157" s="279" t="b">
        <f>IF(OR($D55="",$D55=CONST_NA),FALSE,INDEX(Parameters_Constants!$K$110:$AF$127,MATCH($E55,CONST_LIST_Goods,0),MATCH(Z$8,Parameters_Constants!$K$109:$AF$109,0))=FALSE)</f>
        <v>0</v>
      </c>
      <c r="AA157" s="279" t="b">
        <f>IF(OR($D55="",$D55=CONST_NA),FALSE,INDEX(Parameters_Constants!$K$110:$AF$127,MATCH($E55,CONST_LIST_Goods,0),MATCH(AA$8,Parameters_Constants!$K$109:$AF$109,0))=FALSE)</f>
        <v>0</v>
      </c>
      <c r="AB157" s="279" t="b">
        <f>IF(OR($D55="",$D55=CONST_NA),FALSE,INDEX(Parameters_Constants!$K$110:$AF$127,MATCH($E55,CONST_LIST_Goods,0),MATCH(AB$8,Parameters_Constants!$K$109:$AF$109,0))=FALSE)</f>
        <v>0</v>
      </c>
      <c r="AC157" s="279" t="b">
        <f>IF(OR($D55="",$D55=CONST_NA),FALSE,INDEX(Parameters_Constants!$K$110:$AF$127,MATCH($E55,CONST_LIST_Goods,0),MATCH(AC$8,Parameters_Constants!$K$109:$AF$109,0))=FALSE)</f>
        <v>0</v>
      </c>
      <c r="AD157" s="279" t="b">
        <f>IF(OR($D55="",$D55=CONST_NA),FALSE,INDEX(Parameters_Constants!$K$110:$AF$127,MATCH($E55,CONST_LIST_Goods,0),MATCH(AD$8,Parameters_Constants!$K$109:$AF$109,0))=FALSE)</f>
        <v>0</v>
      </c>
      <c r="AE157" s="279" t="b">
        <f>IF(OR($D55="",$D55=CONST_NA),FALSE,INDEX(Parameters_Constants!$K$110:$AF$127,MATCH($E55,CONST_LIST_Goods,0),MATCH(AE$8,Parameters_Constants!$K$109:$AF$109,0))=FALSE)</f>
        <v>0</v>
      </c>
      <c r="AF157" s="279" t="b">
        <f>IF(OR($D55="",$D55=CONST_NA),FALSE,INDEX(Parameters_Constants!$K$110:$AF$127,MATCH($E55,CONST_LIST_Goods,0),MATCH(AF$8,Parameters_Constants!$K$109:$AF$109,0))=FALSE)</f>
        <v>0</v>
      </c>
      <c r="AG157" s="279" t="b">
        <f>IF(OR($D55="",$D55=CONST_NA),FALSE,INDEX(Parameters_Constants!$K$110:$AF$127,MATCH($E55,CONST_LIST_Goods,0),MATCH(AG$8,Parameters_Constants!$K$109:$AF$109,0))=FALSE)</f>
        <v>0</v>
      </c>
      <c r="AH157" s="279" t="b">
        <f>IF(OR($D55="",$D55=CONST_NA),FALSE,INDEX(Parameters_Constants!$K$110:$AF$127,MATCH($E55,CONST_LIST_Goods,0),MATCH(AH$8,Parameters_Constants!$K$109:$AF$109,0))=FALSE)</f>
        <v>0</v>
      </c>
      <c r="AI157" s="279" t="b">
        <f>IF(OR($D55="",$D55=CONST_NA),FALSE,INDEX(Parameters_Constants!$K$110:$AF$127,MATCH($E55,CONST_LIST_Goods,0),MATCH(AI$8,Parameters_Constants!$K$109:$AF$109,0))=FALSE)</f>
        <v>0</v>
      </c>
      <c r="AJ157" s="279" t="b">
        <f>IF(OR($D55="",$D55=CONST_NA),FALSE,INDEX(Parameters_Constants!$K$110:$AF$127,MATCH($E55,CONST_LIST_Goods,0),MATCH(AJ$8,Parameters_Constants!$K$109:$AF$109,0))=FALSE)</f>
        <v>0</v>
      </c>
      <c r="AK157" s="279" t="b">
        <f>IF(OR($D55="",$D55=CONST_NA),FALSE,INDEX(Parameters_Constants!$K$110:$AF$127,MATCH($E55,CONST_LIST_Goods,0),MATCH(AK$8,Parameters_Constants!$K$109:$AF$109,0))=FALSE)</f>
        <v>0</v>
      </c>
      <c r="AL157" s="280"/>
      <c r="AM157" s="280"/>
      <c r="AN157" s="280"/>
      <c r="AO157" s="280"/>
      <c r="AP157" s="280"/>
      <c r="AQ157" s="280"/>
      <c r="AR157" s="280"/>
      <c r="AS157" s="280"/>
      <c r="AT157" s="280"/>
      <c r="AU157" s="280"/>
      <c r="AV157" s="280"/>
      <c r="AW157" s="280"/>
    </row>
    <row r="158" spans="1:49" s="275" customFormat="1" hidden="1" x14ac:dyDescent="0.35">
      <c r="A158" s="275" t="s">
        <v>3</v>
      </c>
      <c r="C158" s="275">
        <v>47</v>
      </c>
      <c r="F158" s="279" t="b">
        <v>0</v>
      </c>
      <c r="H158" s="279" t="b">
        <v>0</v>
      </c>
      <c r="P158" s="279" t="b">
        <f>IF(OR($D56="",$D56=CONST_NA),FALSE,INDEX(Parameters_Constants!$K$110:$AF$127,MATCH($E56,CONST_LIST_Goods,0),MATCH(P$8,Parameters_Constants!$K$109:$AF$109,0))=FALSE)</f>
        <v>0</v>
      </c>
      <c r="Q158" s="279" t="b">
        <f>IF(OR($D56="",$D56=CONST_NA),FALSE,INDEX(Parameters_Constants!$K$110:$AF$127,MATCH($E56,CONST_LIST_Goods,0),MATCH(Q$8,Parameters_Constants!$K$109:$AF$109,0))=FALSE)</f>
        <v>0</v>
      </c>
      <c r="R158" s="279" t="b">
        <f>IF(OR($D56="",$D56=CONST_NA),FALSE,INDEX(Parameters_Constants!$K$110:$AF$127,MATCH($E56,CONST_LIST_Goods,0),MATCH(R$8,Parameters_Constants!$K$109:$AF$109,0))=FALSE)</f>
        <v>0</v>
      </c>
      <c r="S158" s="279" t="b">
        <f>IF(OR($D56="",$D56=CONST_NA),FALSE,INDEX(Parameters_Constants!$K$110:$AF$127,MATCH($E56,CONST_LIST_Goods,0),MATCH(S$8,Parameters_Constants!$K$109:$AF$109,0))=FALSE)</f>
        <v>0</v>
      </c>
      <c r="T158" s="279" t="b">
        <f>IF(OR($D56="",$D56=CONST_NA),FALSE,INDEX(Parameters_Constants!$K$110:$AF$127,MATCH($E56,CONST_LIST_Goods,0),MATCH(T$8,Parameters_Constants!$K$109:$AF$109,0))=FALSE)</f>
        <v>0</v>
      </c>
      <c r="U158" s="279" t="b">
        <f>IF(OR($D56="",$D56=CONST_NA),FALSE,INDEX(Parameters_Constants!$K$110:$AF$127,MATCH($E56,CONST_LIST_Goods,0),MATCH(U$8,Parameters_Constants!$K$109:$AF$109,0))=FALSE)</f>
        <v>0</v>
      </c>
      <c r="V158" s="279" t="b">
        <f>IF(OR($D56="",$D56=CONST_NA),FALSE,INDEX(Parameters_Constants!$K$110:$AF$127,MATCH($E56,CONST_LIST_Goods,0),MATCH(V$8,Parameters_Constants!$K$109:$AF$109,0))=FALSE)</f>
        <v>0</v>
      </c>
      <c r="W158" s="279" t="b">
        <f>IF(OR($D56="",$D56=CONST_NA),FALSE,INDEX(Parameters_Constants!$K$110:$AF$127,MATCH($E56,CONST_LIST_Goods,0),MATCH(W$8,Parameters_Constants!$K$109:$AF$109,0))=FALSE)</f>
        <v>0</v>
      </c>
      <c r="X158" s="279" t="b">
        <f>IF(OR($D56="",$D56=CONST_NA),FALSE,INDEX(Parameters_Constants!$K$110:$AF$127,MATCH($E56,CONST_LIST_Goods,0),MATCH(X$8,Parameters_Constants!$K$109:$AF$109,0))=FALSE)</f>
        <v>0</v>
      </c>
      <c r="Y158" s="279" t="b">
        <f>IF(OR($D56="",$D56=CONST_NA),FALSE,INDEX(Parameters_Constants!$K$110:$AF$127,MATCH($E56,CONST_LIST_Goods,0),MATCH(Y$8,Parameters_Constants!$K$109:$AF$109,0))=FALSE)</f>
        <v>0</v>
      </c>
      <c r="Z158" s="279" t="b">
        <f>IF(OR($D56="",$D56=CONST_NA),FALSE,INDEX(Parameters_Constants!$K$110:$AF$127,MATCH($E56,CONST_LIST_Goods,0),MATCH(Z$8,Parameters_Constants!$K$109:$AF$109,0))=FALSE)</f>
        <v>0</v>
      </c>
      <c r="AA158" s="279" t="b">
        <f>IF(OR($D56="",$D56=CONST_NA),FALSE,INDEX(Parameters_Constants!$K$110:$AF$127,MATCH($E56,CONST_LIST_Goods,0),MATCH(AA$8,Parameters_Constants!$K$109:$AF$109,0))=FALSE)</f>
        <v>0</v>
      </c>
      <c r="AB158" s="279" t="b">
        <f>IF(OR($D56="",$D56=CONST_NA),FALSE,INDEX(Parameters_Constants!$K$110:$AF$127,MATCH($E56,CONST_LIST_Goods,0),MATCH(AB$8,Parameters_Constants!$K$109:$AF$109,0))=FALSE)</f>
        <v>0</v>
      </c>
      <c r="AC158" s="279" t="b">
        <f>IF(OR($D56="",$D56=CONST_NA),FALSE,INDEX(Parameters_Constants!$K$110:$AF$127,MATCH($E56,CONST_LIST_Goods,0),MATCH(AC$8,Parameters_Constants!$K$109:$AF$109,0))=FALSE)</f>
        <v>0</v>
      </c>
      <c r="AD158" s="279" t="b">
        <f>IF(OR($D56="",$D56=CONST_NA),FALSE,INDEX(Parameters_Constants!$K$110:$AF$127,MATCH($E56,CONST_LIST_Goods,0),MATCH(AD$8,Parameters_Constants!$K$109:$AF$109,0))=FALSE)</f>
        <v>0</v>
      </c>
      <c r="AE158" s="279" t="b">
        <f>IF(OR($D56="",$D56=CONST_NA),FALSE,INDEX(Parameters_Constants!$K$110:$AF$127,MATCH($E56,CONST_LIST_Goods,0),MATCH(AE$8,Parameters_Constants!$K$109:$AF$109,0))=FALSE)</f>
        <v>0</v>
      </c>
      <c r="AF158" s="279" t="b">
        <f>IF(OR($D56="",$D56=CONST_NA),FALSE,INDEX(Parameters_Constants!$K$110:$AF$127,MATCH($E56,CONST_LIST_Goods,0),MATCH(AF$8,Parameters_Constants!$K$109:$AF$109,0))=FALSE)</f>
        <v>0</v>
      </c>
      <c r="AG158" s="279" t="b">
        <f>IF(OR($D56="",$D56=CONST_NA),FALSE,INDEX(Parameters_Constants!$K$110:$AF$127,MATCH($E56,CONST_LIST_Goods,0),MATCH(AG$8,Parameters_Constants!$K$109:$AF$109,0))=FALSE)</f>
        <v>0</v>
      </c>
      <c r="AH158" s="279" t="b">
        <f>IF(OR($D56="",$D56=CONST_NA),FALSE,INDEX(Parameters_Constants!$K$110:$AF$127,MATCH($E56,CONST_LIST_Goods,0),MATCH(AH$8,Parameters_Constants!$K$109:$AF$109,0))=FALSE)</f>
        <v>0</v>
      </c>
      <c r="AI158" s="279" t="b">
        <f>IF(OR($D56="",$D56=CONST_NA),FALSE,INDEX(Parameters_Constants!$K$110:$AF$127,MATCH($E56,CONST_LIST_Goods,0),MATCH(AI$8,Parameters_Constants!$K$109:$AF$109,0))=FALSE)</f>
        <v>0</v>
      </c>
      <c r="AJ158" s="279" t="b">
        <f>IF(OR($D56="",$D56=CONST_NA),FALSE,INDEX(Parameters_Constants!$K$110:$AF$127,MATCH($E56,CONST_LIST_Goods,0),MATCH(AJ$8,Parameters_Constants!$K$109:$AF$109,0))=FALSE)</f>
        <v>0</v>
      </c>
      <c r="AK158" s="279" t="b">
        <f>IF(OR($D56="",$D56=CONST_NA),FALSE,INDEX(Parameters_Constants!$K$110:$AF$127,MATCH($E56,CONST_LIST_Goods,0),MATCH(AK$8,Parameters_Constants!$K$109:$AF$109,0))=FALSE)</f>
        <v>0</v>
      </c>
      <c r="AL158" s="280"/>
      <c r="AM158" s="280"/>
      <c r="AN158" s="280"/>
      <c r="AO158" s="280"/>
      <c r="AP158" s="280"/>
      <c r="AQ158" s="280"/>
      <c r="AR158" s="280"/>
      <c r="AS158" s="280"/>
      <c r="AT158" s="280"/>
      <c r="AU158" s="280"/>
      <c r="AV158" s="280"/>
      <c r="AW158" s="280"/>
    </row>
    <row r="159" spans="1:49" s="275" customFormat="1" hidden="1" x14ac:dyDescent="0.35">
      <c r="A159" s="275" t="s">
        <v>3</v>
      </c>
      <c r="C159" s="275">
        <v>48</v>
      </c>
      <c r="F159" s="279" t="b">
        <v>0</v>
      </c>
      <c r="H159" s="279" t="b">
        <v>0</v>
      </c>
      <c r="P159" s="279" t="b">
        <f>IF(OR($D57="",$D57=CONST_NA),FALSE,INDEX(Parameters_Constants!$K$110:$AF$127,MATCH($E57,CONST_LIST_Goods,0),MATCH(P$8,Parameters_Constants!$K$109:$AF$109,0))=FALSE)</f>
        <v>0</v>
      </c>
      <c r="Q159" s="279" t="b">
        <f>IF(OR($D57="",$D57=CONST_NA),FALSE,INDEX(Parameters_Constants!$K$110:$AF$127,MATCH($E57,CONST_LIST_Goods,0),MATCH(Q$8,Parameters_Constants!$K$109:$AF$109,0))=FALSE)</f>
        <v>0</v>
      </c>
      <c r="R159" s="279" t="b">
        <f>IF(OR($D57="",$D57=CONST_NA),FALSE,INDEX(Parameters_Constants!$K$110:$AF$127,MATCH($E57,CONST_LIST_Goods,0),MATCH(R$8,Parameters_Constants!$K$109:$AF$109,0))=FALSE)</f>
        <v>0</v>
      </c>
      <c r="S159" s="279" t="b">
        <f>IF(OR($D57="",$D57=CONST_NA),FALSE,INDEX(Parameters_Constants!$K$110:$AF$127,MATCH($E57,CONST_LIST_Goods,0),MATCH(S$8,Parameters_Constants!$K$109:$AF$109,0))=FALSE)</f>
        <v>0</v>
      </c>
      <c r="T159" s="279" t="b">
        <f>IF(OR($D57="",$D57=CONST_NA),FALSE,INDEX(Parameters_Constants!$K$110:$AF$127,MATCH($E57,CONST_LIST_Goods,0),MATCH(T$8,Parameters_Constants!$K$109:$AF$109,0))=FALSE)</f>
        <v>0</v>
      </c>
      <c r="U159" s="279" t="b">
        <f>IF(OR($D57="",$D57=CONST_NA),FALSE,INDEX(Parameters_Constants!$K$110:$AF$127,MATCH($E57,CONST_LIST_Goods,0),MATCH(U$8,Parameters_Constants!$K$109:$AF$109,0))=FALSE)</f>
        <v>0</v>
      </c>
      <c r="V159" s="279" t="b">
        <f>IF(OR($D57="",$D57=CONST_NA),FALSE,INDEX(Parameters_Constants!$K$110:$AF$127,MATCH($E57,CONST_LIST_Goods,0),MATCH(V$8,Parameters_Constants!$K$109:$AF$109,0))=FALSE)</f>
        <v>0</v>
      </c>
      <c r="W159" s="279" t="b">
        <f>IF(OR($D57="",$D57=CONST_NA),FALSE,INDEX(Parameters_Constants!$K$110:$AF$127,MATCH($E57,CONST_LIST_Goods,0),MATCH(W$8,Parameters_Constants!$K$109:$AF$109,0))=FALSE)</f>
        <v>0</v>
      </c>
      <c r="X159" s="279" t="b">
        <f>IF(OR($D57="",$D57=CONST_NA),FALSE,INDEX(Parameters_Constants!$K$110:$AF$127,MATCH($E57,CONST_LIST_Goods,0),MATCH(X$8,Parameters_Constants!$K$109:$AF$109,0))=FALSE)</f>
        <v>0</v>
      </c>
      <c r="Y159" s="279" t="b">
        <f>IF(OR($D57="",$D57=CONST_NA),FALSE,INDEX(Parameters_Constants!$K$110:$AF$127,MATCH($E57,CONST_LIST_Goods,0),MATCH(Y$8,Parameters_Constants!$K$109:$AF$109,0))=FALSE)</f>
        <v>0</v>
      </c>
      <c r="Z159" s="279" t="b">
        <f>IF(OR($D57="",$D57=CONST_NA),FALSE,INDEX(Parameters_Constants!$K$110:$AF$127,MATCH($E57,CONST_LIST_Goods,0),MATCH(Z$8,Parameters_Constants!$K$109:$AF$109,0))=FALSE)</f>
        <v>0</v>
      </c>
      <c r="AA159" s="279" t="b">
        <f>IF(OR($D57="",$D57=CONST_NA),FALSE,INDEX(Parameters_Constants!$K$110:$AF$127,MATCH($E57,CONST_LIST_Goods,0),MATCH(AA$8,Parameters_Constants!$K$109:$AF$109,0))=FALSE)</f>
        <v>0</v>
      </c>
      <c r="AB159" s="279" t="b">
        <f>IF(OR($D57="",$D57=CONST_NA),FALSE,INDEX(Parameters_Constants!$K$110:$AF$127,MATCH($E57,CONST_LIST_Goods,0),MATCH(AB$8,Parameters_Constants!$K$109:$AF$109,0))=FALSE)</f>
        <v>0</v>
      </c>
      <c r="AC159" s="279" t="b">
        <f>IF(OR($D57="",$D57=CONST_NA),FALSE,INDEX(Parameters_Constants!$K$110:$AF$127,MATCH($E57,CONST_LIST_Goods,0),MATCH(AC$8,Parameters_Constants!$K$109:$AF$109,0))=FALSE)</f>
        <v>0</v>
      </c>
      <c r="AD159" s="279" t="b">
        <f>IF(OR($D57="",$D57=CONST_NA),FALSE,INDEX(Parameters_Constants!$K$110:$AF$127,MATCH($E57,CONST_LIST_Goods,0),MATCH(AD$8,Parameters_Constants!$K$109:$AF$109,0))=FALSE)</f>
        <v>0</v>
      </c>
      <c r="AE159" s="279" t="b">
        <f>IF(OR($D57="",$D57=CONST_NA),FALSE,INDEX(Parameters_Constants!$K$110:$AF$127,MATCH($E57,CONST_LIST_Goods,0),MATCH(AE$8,Parameters_Constants!$K$109:$AF$109,0))=FALSE)</f>
        <v>0</v>
      </c>
      <c r="AF159" s="279" t="b">
        <f>IF(OR($D57="",$D57=CONST_NA),FALSE,INDEX(Parameters_Constants!$K$110:$AF$127,MATCH($E57,CONST_LIST_Goods,0),MATCH(AF$8,Parameters_Constants!$K$109:$AF$109,0))=FALSE)</f>
        <v>0</v>
      </c>
      <c r="AG159" s="279" t="b">
        <f>IF(OR($D57="",$D57=CONST_NA),FALSE,INDEX(Parameters_Constants!$K$110:$AF$127,MATCH($E57,CONST_LIST_Goods,0),MATCH(AG$8,Parameters_Constants!$K$109:$AF$109,0))=FALSE)</f>
        <v>0</v>
      </c>
      <c r="AH159" s="279" t="b">
        <f>IF(OR($D57="",$D57=CONST_NA),FALSE,INDEX(Parameters_Constants!$K$110:$AF$127,MATCH($E57,CONST_LIST_Goods,0),MATCH(AH$8,Parameters_Constants!$K$109:$AF$109,0))=FALSE)</f>
        <v>0</v>
      </c>
      <c r="AI159" s="279" t="b">
        <f>IF(OR($D57="",$D57=CONST_NA),FALSE,INDEX(Parameters_Constants!$K$110:$AF$127,MATCH($E57,CONST_LIST_Goods,0),MATCH(AI$8,Parameters_Constants!$K$109:$AF$109,0))=FALSE)</f>
        <v>0</v>
      </c>
      <c r="AJ159" s="279" t="b">
        <f>IF(OR($D57="",$D57=CONST_NA),FALSE,INDEX(Parameters_Constants!$K$110:$AF$127,MATCH($E57,CONST_LIST_Goods,0),MATCH(AJ$8,Parameters_Constants!$K$109:$AF$109,0))=FALSE)</f>
        <v>0</v>
      </c>
      <c r="AK159" s="279" t="b">
        <f>IF(OR($D57="",$D57=CONST_NA),FALSE,INDEX(Parameters_Constants!$K$110:$AF$127,MATCH($E57,CONST_LIST_Goods,0),MATCH(AK$8,Parameters_Constants!$K$109:$AF$109,0))=FALSE)</f>
        <v>0</v>
      </c>
      <c r="AL159" s="280"/>
      <c r="AM159" s="280"/>
      <c r="AN159" s="280"/>
      <c r="AO159" s="280"/>
      <c r="AP159" s="280"/>
      <c r="AQ159" s="280"/>
      <c r="AR159" s="280"/>
      <c r="AS159" s="280"/>
      <c r="AT159" s="280"/>
      <c r="AU159" s="280"/>
      <c r="AV159" s="280"/>
      <c r="AW159" s="280"/>
    </row>
    <row r="160" spans="1:49" s="275" customFormat="1" hidden="1" x14ac:dyDescent="0.35">
      <c r="A160" s="275" t="s">
        <v>3</v>
      </c>
      <c r="C160" s="275">
        <v>49</v>
      </c>
      <c r="F160" s="279" t="b">
        <v>0</v>
      </c>
      <c r="H160" s="279" t="b">
        <v>0</v>
      </c>
      <c r="P160" s="279" t="b">
        <f>IF(OR($D58="",$D58=CONST_NA),FALSE,INDEX(Parameters_Constants!$K$110:$AF$127,MATCH($E58,CONST_LIST_Goods,0),MATCH(P$8,Parameters_Constants!$K$109:$AF$109,0))=FALSE)</f>
        <v>0</v>
      </c>
      <c r="Q160" s="279" t="b">
        <f>IF(OR($D58="",$D58=CONST_NA),FALSE,INDEX(Parameters_Constants!$K$110:$AF$127,MATCH($E58,CONST_LIST_Goods,0),MATCH(Q$8,Parameters_Constants!$K$109:$AF$109,0))=FALSE)</f>
        <v>0</v>
      </c>
      <c r="R160" s="279" t="b">
        <f>IF(OR($D58="",$D58=CONST_NA),FALSE,INDEX(Parameters_Constants!$K$110:$AF$127,MATCH($E58,CONST_LIST_Goods,0),MATCH(R$8,Parameters_Constants!$K$109:$AF$109,0))=FALSE)</f>
        <v>0</v>
      </c>
      <c r="S160" s="279" t="b">
        <f>IF(OR($D58="",$D58=CONST_NA),FALSE,INDEX(Parameters_Constants!$K$110:$AF$127,MATCH($E58,CONST_LIST_Goods,0),MATCH(S$8,Parameters_Constants!$K$109:$AF$109,0))=FALSE)</f>
        <v>0</v>
      </c>
      <c r="T160" s="279" t="b">
        <f>IF(OR($D58="",$D58=CONST_NA),FALSE,INDEX(Parameters_Constants!$K$110:$AF$127,MATCH($E58,CONST_LIST_Goods,0),MATCH(T$8,Parameters_Constants!$K$109:$AF$109,0))=FALSE)</f>
        <v>0</v>
      </c>
      <c r="U160" s="279" t="b">
        <f>IF(OR($D58="",$D58=CONST_NA),FALSE,INDEX(Parameters_Constants!$K$110:$AF$127,MATCH($E58,CONST_LIST_Goods,0),MATCH(U$8,Parameters_Constants!$K$109:$AF$109,0))=FALSE)</f>
        <v>0</v>
      </c>
      <c r="V160" s="279" t="b">
        <f>IF(OR($D58="",$D58=CONST_NA),FALSE,INDEX(Parameters_Constants!$K$110:$AF$127,MATCH($E58,CONST_LIST_Goods,0),MATCH(V$8,Parameters_Constants!$K$109:$AF$109,0))=FALSE)</f>
        <v>0</v>
      </c>
      <c r="W160" s="279" t="b">
        <f>IF(OR($D58="",$D58=CONST_NA),FALSE,INDEX(Parameters_Constants!$K$110:$AF$127,MATCH($E58,CONST_LIST_Goods,0),MATCH(W$8,Parameters_Constants!$K$109:$AF$109,0))=FALSE)</f>
        <v>0</v>
      </c>
      <c r="X160" s="279" t="b">
        <f>IF(OR($D58="",$D58=CONST_NA),FALSE,INDEX(Parameters_Constants!$K$110:$AF$127,MATCH($E58,CONST_LIST_Goods,0),MATCH(X$8,Parameters_Constants!$K$109:$AF$109,0))=FALSE)</f>
        <v>0</v>
      </c>
      <c r="Y160" s="279" t="b">
        <f>IF(OR($D58="",$D58=CONST_NA),FALSE,INDEX(Parameters_Constants!$K$110:$AF$127,MATCH($E58,CONST_LIST_Goods,0),MATCH(Y$8,Parameters_Constants!$K$109:$AF$109,0))=FALSE)</f>
        <v>0</v>
      </c>
      <c r="Z160" s="279" t="b">
        <f>IF(OR($D58="",$D58=CONST_NA),FALSE,INDEX(Parameters_Constants!$K$110:$AF$127,MATCH($E58,CONST_LIST_Goods,0),MATCH(Z$8,Parameters_Constants!$K$109:$AF$109,0))=FALSE)</f>
        <v>0</v>
      </c>
      <c r="AA160" s="279" t="b">
        <f>IF(OR($D58="",$D58=CONST_NA),FALSE,INDEX(Parameters_Constants!$K$110:$AF$127,MATCH($E58,CONST_LIST_Goods,0),MATCH(AA$8,Parameters_Constants!$K$109:$AF$109,0))=FALSE)</f>
        <v>0</v>
      </c>
      <c r="AB160" s="279" t="b">
        <f>IF(OR($D58="",$D58=CONST_NA),FALSE,INDEX(Parameters_Constants!$K$110:$AF$127,MATCH($E58,CONST_LIST_Goods,0),MATCH(AB$8,Parameters_Constants!$K$109:$AF$109,0))=FALSE)</f>
        <v>0</v>
      </c>
      <c r="AC160" s="279" t="b">
        <f>IF(OR($D58="",$D58=CONST_NA),FALSE,INDEX(Parameters_Constants!$K$110:$AF$127,MATCH($E58,CONST_LIST_Goods,0),MATCH(AC$8,Parameters_Constants!$K$109:$AF$109,0))=FALSE)</f>
        <v>0</v>
      </c>
      <c r="AD160" s="279" t="b">
        <f>IF(OR($D58="",$D58=CONST_NA),FALSE,INDEX(Parameters_Constants!$K$110:$AF$127,MATCH($E58,CONST_LIST_Goods,0),MATCH(AD$8,Parameters_Constants!$K$109:$AF$109,0))=FALSE)</f>
        <v>0</v>
      </c>
      <c r="AE160" s="279" t="b">
        <f>IF(OR($D58="",$D58=CONST_NA),FALSE,INDEX(Parameters_Constants!$K$110:$AF$127,MATCH($E58,CONST_LIST_Goods,0),MATCH(AE$8,Parameters_Constants!$K$109:$AF$109,0))=FALSE)</f>
        <v>0</v>
      </c>
      <c r="AF160" s="279" t="b">
        <f>IF(OR($D58="",$D58=CONST_NA),FALSE,INDEX(Parameters_Constants!$K$110:$AF$127,MATCH($E58,CONST_LIST_Goods,0),MATCH(AF$8,Parameters_Constants!$K$109:$AF$109,0))=FALSE)</f>
        <v>0</v>
      </c>
      <c r="AG160" s="279" t="b">
        <f>IF(OR($D58="",$D58=CONST_NA),FALSE,INDEX(Parameters_Constants!$K$110:$AF$127,MATCH($E58,CONST_LIST_Goods,0),MATCH(AG$8,Parameters_Constants!$K$109:$AF$109,0))=FALSE)</f>
        <v>0</v>
      </c>
      <c r="AH160" s="279" t="b">
        <f>IF(OR($D58="",$D58=CONST_NA),FALSE,INDEX(Parameters_Constants!$K$110:$AF$127,MATCH($E58,CONST_LIST_Goods,0),MATCH(AH$8,Parameters_Constants!$K$109:$AF$109,0))=FALSE)</f>
        <v>0</v>
      </c>
      <c r="AI160" s="279" t="b">
        <f>IF(OR($D58="",$D58=CONST_NA),FALSE,INDEX(Parameters_Constants!$K$110:$AF$127,MATCH($E58,CONST_LIST_Goods,0),MATCH(AI$8,Parameters_Constants!$K$109:$AF$109,0))=FALSE)</f>
        <v>0</v>
      </c>
      <c r="AJ160" s="279" t="b">
        <f>IF(OR($D58="",$D58=CONST_NA),FALSE,INDEX(Parameters_Constants!$K$110:$AF$127,MATCH($E58,CONST_LIST_Goods,0),MATCH(AJ$8,Parameters_Constants!$K$109:$AF$109,0))=FALSE)</f>
        <v>0</v>
      </c>
      <c r="AK160" s="279" t="b">
        <f>IF(OR($D58="",$D58=CONST_NA),FALSE,INDEX(Parameters_Constants!$K$110:$AF$127,MATCH($E58,CONST_LIST_Goods,0),MATCH(AK$8,Parameters_Constants!$K$109:$AF$109,0))=FALSE)</f>
        <v>0</v>
      </c>
      <c r="AL160" s="280"/>
      <c r="AM160" s="280"/>
      <c r="AN160" s="280"/>
      <c r="AO160" s="280"/>
      <c r="AP160" s="280"/>
      <c r="AQ160" s="280"/>
      <c r="AR160" s="280"/>
      <c r="AS160" s="280"/>
      <c r="AT160" s="280"/>
      <c r="AU160" s="280"/>
      <c r="AV160" s="280"/>
      <c r="AW160" s="280"/>
    </row>
    <row r="161" spans="1:49" s="275" customFormat="1" hidden="1" x14ac:dyDescent="0.35">
      <c r="A161" s="275" t="s">
        <v>3</v>
      </c>
      <c r="C161" s="275">
        <v>50</v>
      </c>
      <c r="F161" s="279" t="b">
        <v>0</v>
      </c>
      <c r="H161" s="279" t="b">
        <v>0</v>
      </c>
      <c r="P161" s="279" t="b">
        <f>IF(OR($D59="",$D59=CONST_NA),FALSE,INDEX(Parameters_Constants!$K$110:$AF$127,MATCH($E59,CONST_LIST_Goods,0),MATCH(P$8,Parameters_Constants!$K$109:$AF$109,0))=FALSE)</f>
        <v>0</v>
      </c>
      <c r="Q161" s="279" t="b">
        <f>IF(OR($D59="",$D59=CONST_NA),FALSE,INDEX(Parameters_Constants!$K$110:$AF$127,MATCH($E59,CONST_LIST_Goods,0),MATCH(Q$8,Parameters_Constants!$K$109:$AF$109,0))=FALSE)</f>
        <v>0</v>
      </c>
      <c r="R161" s="279" t="b">
        <f>IF(OR($D59="",$D59=CONST_NA),FALSE,INDEX(Parameters_Constants!$K$110:$AF$127,MATCH($E59,CONST_LIST_Goods,0),MATCH(R$8,Parameters_Constants!$K$109:$AF$109,0))=FALSE)</f>
        <v>0</v>
      </c>
      <c r="S161" s="279" t="b">
        <f>IF(OR($D59="",$D59=CONST_NA),FALSE,INDEX(Parameters_Constants!$K$110:$AF$127,MATCH($E59,CONST_LIST_Goods,0),MATCH(S$8,Parameters_Constants!$K$109:$AF$109,0))=FALSE)</f>
        <v>0</v>
      </c>
      <c r="T161" s="279" t="b">
        <f>IF(OR($D59="",$D59=CONST_NA),FALSE,INDEX(Parameters_Constants!$K$110:$AF$127,MATCH($E59,CONST_LIST_Goods,0),MATCH(T$8,Parameters_Constants!$K$109:$AF$109,0))=FALSE)</f>
        <v>0</v>
      </c>
      <c r="U161" s="279" t="b">
        <f>IF(OR($D59="",$D59=CONST_NA),FALSE,INDEX(Parameters_Constants!$K$110:$AF$127,MATCH($E59,CONST_LIST_Goods,0),MATCH(U$8,Parameters_Constants!$K$109:$AF$109,0))=FALSE)</f>
        <v>0</v>
      </c>
      <c r="V161" s="279" t="b">
        <f>IF(OR($D59="",$D59=CONST_NA),FALSE,INDEX(Parameters_Constants!$K$110:$AF$127,MATCH($E59,CONST_LIST_Goods,0),MATCH(V$8,Parameters_Constants!$K$109:$AF$109,0))=FALSE)</f>
        <v>0</v>
      </c>
      <c r="W161" s="279" t="b">
        <f>IF(OR($D59="",$D59=CONST_NA),FALSE,INDEX(Parameters_Constants!$K$110:$AF$127,MATCH($E59,CONST_LIST_Goods,0),MATCH(W$8,Parameters_Constants!$K$109:$AF$109,0))=FALSE)</f>
        <v>0</v>
      </c>
      <c r="X161" s="279" t="b">
        <f>IF(OR($D59="",$D59=CONST_NA),FALSE,INDEX(Parameters_Constants!$K$110:$AF$127,MATCH($E59,CONST_LIST_Goods,0),MATCH(X$8,Parameters_Constants!$K$109:$AF$109,0))=FALSE)</f>
        <v>0</v>
      </c>
      <c r="Y161" s="279" t="b">
        <f>IF(OR($D59="",$D59=CONST_NA),FALSE,INDEX(Parameters_Constants!$K$110:$AF$127,MATCH($E59,CONST_LIST_Goods,0),MATCH(Y$8,Parameters_Constants!$K$109:$AF$109,0))=FALSE)</f>
        <v>0</v>
      </c>
      <c r="Z161" s="279" t="b">
        <f>IF(OR($D59="",$D59=CONST_NA),FALSE,INDEX(Parameters_Constants!$K$110:$AF$127,MATCH($E59,CONST_LIST_Goods,0),MATCH(Z$8,Parameters_Constants!$K$109:$AF$109,0))=FALSE)</f>
        <v>0</v>
      </c>
      <c r="AA161" s="279" t="b">
        <f>IF(OR($D59="",$D59=CONST_NA),FALSE,INDEX(Parameters_Constants!$K$110:$AF$127,MATCH($E59,CONST_LIST_Goods,0),MATCH(AA$8,Parameters_Constants!$K$109:$AF$109,0))=FALSE)</f>
        <v>0</v>
      </c>
      <c r="AB161" s="279" t="b">
        <f>IF(OR($D59="",$D59=CONST_NA),FALSE,INDEX(Parameters_Constants!$K$110:$AF$127,MATCH($E59,CONST_LIST_Goods,0),MATCH(AB$8,Parameters_Constants!$K$109:$AF$109,0))=FALSE)</f>
        <v>0</v>
      </c>
      <c r="AC161" s="279" t="b">
        <f>IF(OR($D59="",$D59=CONST_NA),FALSE,INDEX(Parameters_Constants!$K$110:$AF$127,MATCH($E59,CONST_LIST_Goods,0),MATCH(AC$8,Parameters_Constants!$K$109:$AF$109,0))=FALSE)</f>
        <v>0</v>
      </c>
      <c r="AD161" s="279" t="b">
        <f>IF(OR($D59="",$D59=CONST_NA),FALSE,INDEX(Parameters_Constants!$K$110:$AF$127,MATCH($E59,CONST_LIST_Goods,0),MATCH(AD$8,Parameters_Constants!$K$109:$AF$109,0))=FALSE)</f>
        <v>0</v>
      </c>
      <c r="AE161" s="279" t="b">
        <f>IF(OR($D59="",$D59=CONST_NA),FALSE,INDEX(Parameters_Constants!$K$110:$AF$127,MATCH($E59,CONST_LIST_Goods,0),MATCH(AE$8,Parameters_Constants!$K$109:$AF$109,0))=FALSE)</f>
        <v>0</v>
      </c>
      <c r="AF161" s="279" t="b">
        <f>IF(OR($D59="",$D59=CONST_NA),FALSE,INDEX(Parameters_Constants!$K$110:$AF$127,MATCH($E59,CONST_LIST_Goods,0),MATCH(AF$8,Parameters_Constants!$K$109:$AF$109,0))=FALSE)</f>
        <v>0</v>
      </c>
      <c r="AG161" s="279" t="b">
        <f>IF(OR($D59="",$D59=CONST_NA),FALSE,INDEX(Parameters_Constants!$K$110:$AF$127,MATCH($E59,CONST_LIST_Goods,0),MATCH(AG$8,Parameters_Constants!$K$109:$AF$109,0))=FALSE)</f>
        <v>0</v>
      </c>
      <c r="AH161" s="279" t="b">
        <f>IF(OR($D59="",$D59=CONST_NA),FALSE,INDEX(Parameters_Constants!$K$110:$AF$127,MATCH($E59,CONST_LIST_Goods,0),MATCH(AH$8,Parameters_Constants!$K$109:$AF$109,0))=FALSE)</f>
        <v>0</v>
      </c>
      <c r="AI161" s="279" t="b">
        <f>IF(OR($D59="",$D59=CONST_NA),FALSE,INDEX(Parameters_Constants!$K$110:$AF$127,MATCH($E59,CONST_LIST_Goods,0),MATCH(AI$8,Parameters_Constants!$K$109:$AF$109,0))=FALSE)</f>
        <v>0</v>
      </c>
      <c r="AJ161" s="279" t="b">
        <f>IF(OR($D59="",$D59=CONST_NA),FALSE,INDEX(Parameters_Constants!$K$110:$AF$127,MATCH($E59,CONST_LIST_Goods,0),MATCH(AJ$8,Parameters_Constants!$K$109:$AF$109,0))=FALSE)</f>
        <v>0</v>
      </c>
      <c r="AK161" s="279" t="b">
        <f>IF(OR($D59="",$D59=CONST_NA),FALSE,INDEX(Parameters_Constants!$K$110:$AF$127,MATCH($E59,CONST_LIST_Goods,0),MATCH(AK$8,Parameters_Constants!$K$109:$AF$109,0))=FALSE)</f>
        <v>0</v>
      </c>
    </row>
    <row r="162" spans="1:49" s="275" customFormat="1" hidden="1" x14ac:dyDescent="0.35">
      <c r="A162" s="275" t="s">
        <v>3</v>
      </c>
      <c r="C162" s="275">
        <v>51</v>
      </c>
      <c r="F162" s="279" t="b">
        <v>0</v>
      </c>
      <c r="H162" s="279" t="b">
        <v>0</v>
      </c>
      <c r="P162" s="279" t="b">
        <f>IF(OR($D60="",$D60=CONST_NA),FALSE,INDEX(Parameters_Constants!$K$110:$AF$127,MATCH($E60,CONST_LIST_Goods,0),MATCH(P$8,Parameters_Constants!$K$109:$AF$109,0))=FALSE)</f>
        <v>0</v>
      </c>
      <c r="Q162" s="279" t="b">
        <f>IF(OR($D60="",$D60=CONST_NA),FALSE,INDEX(Parameters_Constants!$K$110:$AF$127,MATCH($E60,CONST_LIST_Goods,0),MATCH(Q$8,Parameters_Constants!$K$109:$AF$109,0))=FALSE)</f>
        <v>0</v>
      </c>
      <c r="R162" s="279" t="b">
        <f>IF(OR($D60="",$D60=CONST_NA),FALSE,INDEX(Parameters_Constants!$K$110:$AF$127,MATCH($E60,CONST_LIST_Goods,0),MATCH(R$8,Parameters_Constants!$K$109:$AF$109,0))=FALSE)</f>
        <v>0</v>
      </c>
      <c r="S162" s="279" t="b">
        <f>IF(OR($D60="",$D60=CONST_NA),FALSE,INDEX(Parameters_Constants!$K$110:$AF$127,MATCH($E60,CONST_LIST_Goods,0),MATCH(S$8,Parameters_Constants!$K$109:$AF$109,0))=FALSE)</f>
        <v>0</v>
      </c>
      <c r="T162" s="279" t="b">
        <f>IF(OR($D60="",$D60=CONST_NA),FALSE,INDEX(Parameters_Constants!$K$110:$AF$127,MATCH($E60,CONST_LIST_Goods,0),MATCH(T$8,Parameters_Constants!$K$109:$AF$109,0))=FALSE)</f>
        <v>0</v>
      </c>
      <c r="U162" s="279" t="b">
        <f>IF(OR($D60="",$D60=CONST_NA),FALSE,INDEX(Parameters_Constants!$K$110:$AF$127,MATCH($E60,CONST_LIST_Goods,0),MATCH(U$8,Parameters_Constants!$K$109:$AF$109,0))=FALSE)</f>
        <v>0</v>
      </c>
      <c r="V162" s="279" t="b">
        <f>IF(OR($D60="",$D60=CONST_NA),FALSE,INDEX(Parameters_Constants!$K$110:$AF$127,MATCH($E60,CONST_LIST_Goods,0),MATCH(V$8,Parameters_Constants!$K$109:$AF$109,0))=FALSE)</f>
        <v>0</v>
      </c>
      <c r="W162" s="279" t="b">
        <f>IF(OR($D60="",$D60=CONST_NA),FALSE,INDEX(Parameters_Constants!$K$110:$AF$127,MATCH($E60,CONST_LIST_Goods,0),MATCH(W$8,Parameters_Constants!$K$109:$AF$109,0))=FALSE)</f>
        <v>0</v>
      </c>
      <c r="X162" s="279" t="b">
        <f>IF(OR($D60="",$D60=CONST_NA),FALSE,INDEX(Parameters_Constants!$K$110:$AF$127,MATCH($E60,CONST_LIST_Goods,0),MATCH(X$8,Parameters_Constants!$K$109:$AF$109,0))=FALSE)</f>
        <v>0</v>
      </c>
      <c r="Y162" s="279" t="b">
        <f>IF(OR($D60="",$D60=CONST_NA),FALSE,INDEX(Parameters_Constants!$K$110:$AF$127,MATCH($E60,CONST_LIST_Goods,0),MATCH(Y$8,Parameters_Constants!$K$109:$AF$109,0))=FALSE)</f>
        <v>0</v>
      </c>
      <c r="Z162" s="279" t="b">
        <f>IF(OR($D60="",$D60=CONST_NA),FALSE,INDEX(Parameters_Constants!$K$110:$AF$127,MATCH($E60,CONST_LIST_Goods,0),MATCH(Z$8,Parameters_Constants!$K$109:$AF$109,0))=FALSE)</f>
        <v>0</v>
      </c>
      <c r="AA162" s="279" t="b">
        <f>IF(OR($D60="",$D60=CONST_NA),FALSE,INDEX(Parameters_Constants!$K$110:$AF$127,MATCH($E60,CONST_LIST_Goods,0),MATCH(AA$8,Parameters_Constants!$K$109:$AF$109,0))=FALSE)</f>
        <v>0</v>
      </c>
      <c r="AB162" s="279" t="b">
        <f>IF(OR($D60="",$D60=CONST_NA),FALSE,INDEX(Parameters_Constants!$K$110:$AF$127,MATCH($E60,CONST_LIST_Goods,0),MATCH(AB$8,Parameters_Constants!$K$109:$AF$109,0))=FALSE)</f>
        <v>0</v>
      </c>
      <c r="AC162" s="279" t="b">
        <f>IF(OR($D60="",$D60=CONST_NA),FALSE,INDEX(Parameters_Constants!$K$110:$AF$127,MATCH($E60,CONST_LIST_Goods,0),MATCH(AC$8,Parameters_Constants!$K$109:$AF$109,0))=FALSE)</f>
        <v>0</v>
      </c>
      <c r="AD162" s="279" t="b">
        <f>IF(OR($D60="",$D60=CONST_NA),FALSE,INDEX(Parameters_Constants!$K$110:$AF$127,MATCH($E60,CONST_LIST_Goods,0),MATCH(AD$8,Parameters_Constants!$K$109:$AF$109,0))=FALSE)</f>
        <v>0</v>
      </c>
      <c r="AE162" s="279" t="b">
        <f>IF(OR($D60="",$D60=CONST_NA),FALSE,INDEX(Parameters_Constants!$K$110:$AF$127,MATCH($E60,CONST_LIST_Goods,0),MATCH(AE$8,Parameters_Constants!$K$109:$AF$109,0))=FALSE)</f>
        <v>0</v>
      </c>
      <c r="AF162" s="279" t="b">
        <f>IF(OR($D60="",$D60=CONST_NA),FALSE,INDEX(Parameters_Constants!$K$110:$AF$127,MATCH($E60,CONST_LIST_Goods,0),MATCH(AF$8,Parameters_Constants!$K$109:$AF$109,0))=FALSE)</f>
        <v>0</v>
      </c>
      <c r="AG162" s="279" t="b">
        <f>IF(OR($D60="",$D60=CONST_NA),FALSE,INDEX(Parameters_Constants!$K$110:$AF$127,MATCH($E60,CONST_LIST_Goods,0),MATCH(AG$8,Parameters_Constants!$K$109:$AF$109,0))=FALSE)</f>
        <v>0</v>
      </c>
      <c r="AH162" s="279" t="b">
        <f>IF(OR($D60="",$D60=CONST_NA),FALSE,INDEX(Parameters_Constants!$K$110:$AF$127,MATCH($E60,CONST_LIST_Goods,0),MATCH(AH$8,Parameters_Constants!$K$109:$AF$109,0))=FALSE)</f>
        <v>0</v>
      </c>
      <c r="AI162" s="279" t="b">
        <f>IF(OR($D60="",$D60=CONST_NA),FALSE,INDEX(Parameters_Constants!$K$110:$AF$127,MATCH($E60,CONST_LIST_Goods,0),MATCH(AI$8,Parameters_Constants!$K$109:$AF$109,0))=FALSE)</f>
        <v>0</v>
      </c>
      <c r="AJ162" s="279" t="b">
        <f>IF(OR($D60="",$D60=CONST_NA),FALSE,INDEX(Parameters_Constants!$K$110:$AF$127,MATCH($E60,CONST_LIST_Goods,0),MATCH(AJ$8,Parameters_Constants!$K$109:$AF$109,0))=FALSE)</f>
        <v>0</v>
      </c>
      <c r="AK162" s="279" t="b">
        <f>IF(OR($D60="",$D60=CONST_NA),FALSE,INDEX(Parameters_Constants!$K$110:$AF$127,MATCH($E60,CONST_LIST_Goods,0),MATCH(AK$8,Parameters_Constants!$K$109:$AF$109,0))=FALSE)</f>
        <v>0</v>
      </c>
    </row>
    <row r="163" spans="1:49" s="275" customFormat="1" hidden="1" x14ac:dyDescent="0.35">
      <c r="A163" s="275" t="s">
        <v>3</v>
      </c>
      <c r="C163" s="275">
        <v>52</v>
      </c>
      <c r="F163" s="279" t="b">
        <v>0</v>
      </c>
      <c r="H163" s="279" t="b">
        <v>0</v>
      </c>
      <c r="P163" s="279" t="b">
        <f>IF(OR($D61="",$D61=CONST_NA),FALSE,INDEX(Parameters_Constants!$K$110:$AF$127,MATCH($E61,CONST_LIST_Goods,0),MATCH(P$8,Parameters_Constants!$K$109:$AF$109,0))=FALSE)</f>
        <v>0</v>
      </c>
      <c r="Q163" s="279" t="b">
        <f>IF(OR($D61="",$D61=CONST_NA),FALSE,INDEX(Parameters_Constants!$K$110:$AF$127,MATCH($E61,CONST_LIST_Goods,0),MATCH(Q$8,Parameters_Constants!$K$109:$AF$109,0))=FALSE)</f>
        <v>0</v>
      </c>
      <c r="R163" s="279" t="b">
        <f>IF(OR($D61="",$D61=CONST_NA),FALSE,INDEX(Parameters_Constants!$K$110:$AF$127,MATCH($E61,CONST_LIST_Goods,0),MATCH(R$8,Parameters_Constants!$K$109:$AF$109,0))=FALSE)</f>
        <v>0</v>
      </c>
      <c r="S163" s="279" t="b">
        <f>IF(OR($D61="",$D61=CONST_NA),FALSE,INDEX(Parameters_Constants!$K$110:$AF$127,MATCH($E61,CONST_LIST_Goods,0),MATCH(S$8,Parameters_Constants!$K$109:$AF$109,0))=FALSE)</f>
        <v>0</v>
      </c>
      <c r="T163" s="279" t="b">
        <f>IF(OR($D61="",$D61=CONST_NA),FALSE,INDEX(Parameters_Constants!$K$110:$AF$127,MATCH($E61,CONST_LIST_Goods,0),MATCH(T$8,Parameters_Constants!$K$109:$AF$109,0))=FALSE)</f>
        <v>0</v>
      </c>
      <c r="U163" s="279" t="b">
        <f>IF(OR($D61="",$D61=CONST_NA),FALSE,INDEX(Parameters_Constants!$K$110:$AF$127,MATCH($E61,CONST_LIST_Goods,0),MATCH(U$8,Parameters_Constants!$K$109:$AF$109,0))=FALSE)</f>
        <v>0</v>
      </c>
      <c r="V163" s="279" t="b">
        <f>IF(OR($D61="",$D61=CONST_NA),FALSE,INDEX(Parameters_Constants!$K$110:$AF$127,MATCH($E61,CONST_LIST_Goods,0),MATCH(V$8,Parameters_Constants!$K$109:$AF$109,0))=FALSE)</f>
        <v>0</v>
      </c>
      <c r="W163" s="279" t="b">
        <f>IF(OR($D61="",$D61=CONST_NA),FALSE,INDEX(Parameters_Constants!$K$110:$AF$127,MATCH($E61,CONST_LIST_Goods,0),MATCH(W$8,Parameters_Constants!$K$109:$AF$109,0))=FALSE)</f>
        <v>0</v>
      </c>
      <c r="X163" s="279" t="b">
        <f>IF(OR($D61="",$D61=CONST_NA),FALSE,INDEX(Parameters_Constants!$K$110:$AF$127,MATCH($E61,CONST_LIST_Goods,0),MATCH(X$8,Parameters_Constants!$K$109:$AF$109,0))=FALSE)</f>
        <v>0</v>
      </c>
      <c r="Y163" s="279" t="b">
        <f>IF(OR($D61="",$D61=CONST_NA),FALSE,INDEX(Parameters_Constants!$K$110:$AF$127,MATCH($E61,CONST_LIST_Goods,0),MATCH(Y$8,Parameters_Constants!$K$109:$AF$109,0))=FALSE)</f>
        <v>0</v>
      </c>
      <c r="Z163" s="279" t="b">
        <f>IF(OR($D61="",$D61=CONST_NA),FALSE,INDEX(Parameters_Constants!$K$110:$AF$127,MATCH($E61,CONST_LIST_Goods,0),MATCH(Z$8,Parameters_Constants!$K$109:$AF$109,0))=FALSE)</f>
        <v>0</v>
      </c>
      <c r="AA163" s="279" t="b">
        <f>IF(OR($D61="",$D61=CONST_NA),FALSE,INDEX(Parameters_Constants!$K$110:$AF$127,MATCH($E61,CONST_LIST_Goods,0),MATCH(AA$8,Parameters_Constants!$K$109:$AF$109,0))=FALSE)</f>
        <v>0</v>
      </c>
      <c r="AB163" s="279" t="b">
        <f>IF(OR($D61="",$D61=CONST_NA),FALSE,INDEX(Parameters_Constants!$K$110:$AF$127,MATCH($E61,CONST_LIST_Goods,0),MATCH(AB$8,Parameters_Constants!$K$109:$AF$109,0))=FALSE)</f>
        <v>0</v>
      </c>
      <c r="AC163" s="279" t="b">
        <f>IF(OR($D61="",$D61=CONST_NA),FALSE,INDEX(Parameters_Constants!$K$110:$AF$127,MATCH($E61,CONST_LIST_Goods,0),MATCH(AC$8,Parameters_Constants!$K$109:$AF$109,0))=FALSE)</f>
        <v>0</v>
      </c>
      <c r="AD163" s="279" t="b">
        <f>IF(OR($D61="",$D61=CONST_NA),FALSE,INDEX(Parameters_Constants!$K$110:$AF$127,MATCH($E61,CONST_LIST_Goods,0),MATCH(AD$8,Parameters_Constants!$K$109:$AF$109,0))=FALSE)</f>
        <v>0</v>
      </c>
      <c r="AE163" s="279" t="b">
        <f>IF(OR($D61="",$D61=CONST_NA),FALSE,INDEX(Parameters_Constants!$K$110:$AF$127,MATCH($E61,CONST_LIST_Goods,0),MATCH(AE$8,Parameters_Constants!$K$109:$AF$109,0))=FALSE)</f>
        <v>0</v>
      </c>
      <c r="AF163" s="279" t="b">
        <f>IF(OR($D61="",$D61=CONST_NA),FALSE,INDEX(Parameters_Constants!$K$110:$AF$127,MATCH($E61,CONST_LIST_Goods,0),MATCH(AF$8,Parameters_Constants!$K$109:$AF$109,0))=FALSE)</f>
        <v>0</v>
      </c>
      <c r="AG163" s="279" t="b">
        <f>IF(OR($D61="",$D61=CONST_NA),FALSE,INDEX(Parameters_Constants!$K$110:$AF$127,MATCH($E61,CONST_LIST_Goods,0),MATCH(AG$8,Parameters_Constants!$K$109:$AF$109,0))=FALSE)</f>
        <v>0</v>
      </c>
      <c r="AH163" s="279" t="b">
        <f>IF(OR($D61="",$D61=CONST_NA),FALSE,INDEX(Parameters_Constants!$K$110:$AF$127,MATCH($E61,CONST_LIST_Goods,0),MATCH(AH$8,Parameters_Constants!$K$109:$AF$109,0))=FALSE)</f>
        <v>0</v>
      </c>
      <c r="AI163" s="279" t="b">
        <f>IF(OR($D61="",$D61=CONST_NA),FALSE,INDEX(Parameters_Constants!$K$110:$AF$127,MATCH($E61,CONST_LIST_Goods,0),MATCH(AI$8,Parameters_Constants!$K$109:$AF$109,0))=FALSE)</f>
        <v>0</v>
      </c>
      <c r="AJ163" s="279" t="b">
        <f>IF(OR($D61="",$D61=CONST_NA),FALSE,INDEX(Parameters_Constants!$K$110:$AF$127,MATCH($E61,CONST_LIST_Goods,0),MATCH(AJ$8,Parameters_Constants!$K$109:$AF$109,0))=FALSE)</f>
        <v>0</v>
      </c>
      <c r="AK163" s="279" t="b">
        <f>IF(OR($D61="",$D61=CONST_NA),FALSE,INDEX(Parameters_Constants!$K$110:$AF$127,MATCH($E61,CONST_LIST_Goods,0),MATCH(AK$8,Parameters_Constants!$K$109:$AF$109,0))=FALSE)</f>
        <v>0</v>
      </c>
    </row>
    <row r="164" spans="1:49" s="275" customFormat="1" hidden="1" x14ac:dyDescent="0.35">
      <c r="A164" s="275" t="s">
        <v>3</v>
      </c>
      <c r="C164" s="275">
        <v>53</v>
      </c>
      <c r="F164" s="279" t="b">
        <v>0</v>
      </c>
      <c r="H164" s="279" t="b">
        <v>0</v>
      </c>
      <c r="P164" s="279" t="b">
        <f>IF(OR($D62="",$D62=CONST_NA),FALSE,INDEX(Parameters_Constants!$K$110:$AF$127,MATCH($E62,CONST_LIST_Goods,0),MATCH(P$8,Parameters_Constants!$K$109:$AF$109,0))=FALSE)</f>
        <v>0</v>
      </c>
      <c r="Q164" s="279" t="b">
        <f>IF(OR($D62="",$D62=CONST_NA),FALSE,INDEX(Parameters_Constants!$K$110:$AF$127,MATCH($E62,CONST_LIST_Goods,0),MATCH(Q$8,Parameters_Constants!$K$109:$AF$109,0))=FALSE)</f>
        <v>0</v>
      </c>
      <c r="R164" s="279" t="b">
        <f>IF(OR($D62="",$D62=CONST_NA),FALSE,INDEX(Parameters_Constants!$K$110:$AF$127,MATCH($E62,CONST_LIST_Goods,0),MATCH(R$8,Parameters_Constants!$K$109:$AF$109,0))=FALSE)</f>
        <v>0</v>
      </c>
      <c r="S164" s="279" t="b">
        <f>IF(OR($D62="",$D62=CONST_NA),FALSE,INDEX(Parameters_Constants!$K$110:$AF$127,MATCH($E62,CONST_LIST_Goods,0),MATCH(S$8,Parameters_Constants!$K$109:$AF$109,0))=FALSE)</f>
        <v>0</v>
      </c>
      <c r="T164" s="279" t="b">
        <f>IF(OR($D62="",$D62=CONST_NA),FALSE,INDEX(Parameters_Constants!$K$110:$AF$127,MATCH($E62,CONST_LIST_Goods,0),MATCH(T$8,Parameters_Constants!$K$109:$AF$109,0))=FALSE)</f>
        <v>0</v>
      </c>
      <c r="U164" s="279" t="b">
        <f>IF(OR($D62="",$D62=CONST_NA),FALSE,INDEX(Parameters_Constants!$K$110:$AF$127,MATCH($E62,CONST_LIST_Goods,0),MATCH(U$8,Parameters_Constants!$K$109:$AF$109,0))=FALSE)</f>
        <v>0</v>
      </c>
      <c r="V164" s="279" t="b">
        <f>IF(OR($D62="",$D62=CONST_NA),FALSE,INDEX(Parameters_Constants!$K$110:$AF$127,MATCH($E62,CONST_LIST_Goods,0),MATCH(V$8,Parameters_Constants!$K$109:$AF$109,0))=FALSE)</f>
        <v>0</v>
      </c>
      <c r="W164" s="279" t="b">
        <f>IF(OR($D62="",$D62=CONST_NA),FALSE,INDEX(Parameters_Constants!$K$110:$AF$127,MATCH($E62,CONST_LIST_Goods,0),MATCH(W$8,Parameters_Constants!$K$109:$AF$109,0))=FALSE)</f>
        <v>0</v>
      </c>
      <c r="X164" s="279" t="b">
        <f>IF(OR($D62="",$D62=CONST_NA),FALSE,INDEX(Parameters_Constants!$K$110:$AF$127,MATCH($E62,CONST_LIST_Goods,0),MATCH(X$8,Parameters_Constants!$K$109:$AF$109,0))=FALSE)</f>
        <v>0</v>
      </c>
      <c r="Y164" s="279" t="b">
        <f>IF(OR($D62="",$D62=CONST_NA),FALSE,INDEX(Parameters_Constants!$K$110:$AF$127,MATCH($E62,CONST_LIST_Goods,0),MATCH(Y$8,Parameters_Constants!$K$109:$AF$109,0))=FALSE)</f>
        <v>0</v>
      </c>
      <c r="Z164" s="279" t="b">
        <f>IF(OR($D62="",$D62=CONST_NA),FALSE,INDEX(Parameters_Constants!$K$110:$AF$127,MATCH($E62,CONST_LIST_Goods,0),MATCH(Z$8,Parameters_Constants!$K$109:$AF$109,0))=FALSE)</f>
        <v>0</v>
      </c>
      <c r="AA164" s="279" t="b">
        <f>IF(OR($D62="",$D62=CONST_NA),FALSE,INDEX(Parameters_Constants!$K$110:$AF$127,MATCH($E62,CONST_LIST_Goods,0),MATCH(AA$8,Parameters_Constants!$K$109:$AF$109,0))=FALSE)</f>
        <v>0</v>
      </c>
      <c r="AB164" s="279" t="b">
        <f>IF(OR($D62="",$D62=CONST_NA),FALSE,INDEX(Parameters_Constants!$K$110:$AF$127,MATCH($E62,CONST_LIST_Goods,0),MATCH(AB$8,Parameters_Constants!$K$109:$AF$109,0))=FALSE)</f>
        <v>0</v>
      </c>
      <c r="AC164" s="279" t="b">
        <f>IF(OR($D62="",$D62=CONST_NA),FALSE,INDEX(Parameters_Constants!$K$110:$AF$127,MATCH($E62,CONST_LIST_Goods,0),MATCH(AC$8,Parameters_Constants!$K$109:$AF$109,0))=FALSE)</f>
        <v>0</v>
      </c>
      <c r="AD164" s="279" t="b">
        <f>IF(OR($D62="",$D62=CONST_NA),FALSE,INDEX(Parameters_Constants!$K$110:$AF$127,MATCH($E62,CONST_LIST_Goods,0),MATCH(AD$8,Parameters_Constants!$K$109:$AF$109,0))=FALSE)</f>
        <v>0</v>
      </c>
      <c r="AE164" s="279" t="b">
        <f>IF(OR($D62="",$D62=CONST_NA),FALSE,INDEX(Parameters_Constants!$K$110:$AF$127,MATCH($E62,CONST_LIST_Goods,0),MATCH(AE$8,Parameters_Constants!$K$109:$AF$109,0))=FALSE)</f>
        <v>0</v>
      </c>
      <c r="AF164" s="279" t="b">
        <f>IF(OR($D62="",$D62=CONST_NA),FALSE,INDEX(Parameters_Constants!$K$110:$AF$127,MATCH($E62,CONST_LIST_Goods,0),MATCH(AF$8,Parameters_Constants!$K$109:$AF$109,0))=FALSE)</f>
        <v>0</v>
      </c>
      <c r="AG164" s="279" t="b">
        <f>IF(OR($D62="",$D62=CONST_NA),FALSE,INDEX(Parameters_Constants!$K$110:$AF$127,MATCH($E62,CONST_LIST_Goods,0),MATCH(AG$8,Parameters_Constants!$K$109:$AF$109,0))=FALSE)</f>
        <v>0</v>
      </c>
      <c r="AH164" s="279" t="b">
        <f>IF(OR($D62="",$D62=CONST_NA),FALSE,INDEX(Parameters_Constants!$K$110:$AF$127,MATCH($E62,CONST_LIST_Goods,0),MATCH(AH$8,Parameters_Constants!$K$109:$AF$109,0))=FALSE)</f>
        <v>0</v>
      </c>
      <c r="AI164" s="279" t="b">
        <f>IF(OR($D62="",$D62=CONST_NA),FALSE,INDEX(Parameters_Constants!$K$110:$AF$127,MATCH($E62,CONST_LIST_Goods,0),MATCH(AI$8,Parameters_Constants!$K$109:$AF$109,0))=FALSE)</f>
        <v>0</v>
      </c>
      <c r="AJ164" s="279" t="b">
        <f>IF(OR($D62="",$D62=CONST_NA),FALSE,INDEX(Parameters_Constants!$K$110:$AF$127,MATCH($E62,CONST_LIST_Goods,0),MATCH(AJ$8,Parameters_Constants!$K$109:$AF$109,0))=FALSE)</f>
        <v>0</v>
      </c>
      <c r="AK164" s="279" t="b">
        <f>IF(OR($D62="",$D62=CONST_NA),FALSE,INDEX(Parameters_Constants!$K$110:$AF$127,MATCH($E62,CONST_LIST_Goods,0),MATCH(AK$8,Parameters_Constants!$K$109:$AF$109,0))=FALSE)</f>
        <v>0</v>
      </c>
    </row>
    <row r="165" spans="1:49" s="275" customFormat="1" hidden="1" x14ac:dyDescent="0.35">
      <c r="A165" s="275" t="s">
        <v>3</v>
      </c>
      <c r="C165" s="275">
        <v>54</v>
      </c>
      <c r="F165" s="279" t="b">
        <v>0</v>
      </c>
      <c r="H165" s="279" t="b">
        <v>0</v>
      </c>
      <c r="P165" s="279" t="b">
        <f>IF(OR($D63="",$D63=CONST_NA),FALSE,INDEX(Parameters_Constants!$K$110:$AF$127,MATCH($E63,CONST_LIST_Goods,0),MATCH(P$8,Parameters_Constants!$K$109:$AF$109,0))=FALSE)</f>
        <v>0</v>
      </c>
      <c r="Q165" s="279" t="b">
        <f>IF(OR($D63="",$D63=CONST_NA),FALSE,INDEX(Parameters_Constants!$K$110:$AF$127,MATCH($E63,CONST_LIST_Goods,0),MATCH(Q$8,Parameters_Constants!$K$109:$AF$109,0))=FALSE)</f>
        <v>0</v>
      </c>
      <c r="R165" s="279" t="b">
        <f>IF(OR($D63="",$D63=CONST_NA),FALSE,INDEX(Parameters_Constants!$K$110:$AF$127,MATCH($E63,CONST_LIST_Goods,0),MATCH(R$8,Parameters_Constants!$K$109:$AF$109,0))=FALSE)</f>
        <v>0</v>
      </c>
      <c r="S165" s="279" t="b">
        <f>IF(OR($D63="",$D63=CONST_NA),FALSE,INDEX(Parameters_Constants!$K$110:$AF$127,MATCH($E63,CONST_LIST_Goods,0),MATCH(S$8,Parameters_Constants!$K$109:$AF$109,0))=FALSE)</f>
        <v>0</v>
      </c>
      <c r="T165" s="279" t="b">
        <f>IF(OR($D63="",$D63=CONST_NA),FALSE,INDEX(Parameters_Constants!$K$110:$AF$127,MATCH($E63,CONST_LIST_Goods,0),MATCH(T$8,Parameters_Constants!$K$109:$AF$109,0))=FALSE)</f>
        <v>0</v>
      </c>
      <c r="U165" s="279" t="b">
        <f>IF(OR($D63="",$D63=CONST_NA),FALSE,INDEX(Parameters_Constants!$K$110:$AF$127,MATCH($E63,CONST_LIST_Goods,0),MATCH(U$8,Parameters_Constants!$K$109:$AF$109,0))=FALSE)</f>
        <v>0</v>
      </c>
      <c r="V165" s="279" t="b">
        <f>IF(OR($D63="",$D63=CONST_NA),FALSE,INDEX(Parameters_Constants!$K$110:$AF$127,MATCH($E63,CONST_LIST_Goods,0),MATCH(V$8,Parameters_Constants!$K$109:$AF$109,0))=FALSE)</f>
        <v>0</v>
      </c>
      <c r="W165" s="279" t="b">
        <f>IF(OR($D63="",$D63=CONST_NA),FALSE,INDEX(Parameters_Constants!$K$110:$AF$127,MATCH($E63,CONST_LIST_Goods,0),MATCH(W$8,Parameters_Constants!$K$109:$AF$109,0))=FALSE)</f>
        <v>0</v>
      </c>
      <c r="X165" s="279" t="b">
        <f>IF(OR($D63="",$D63=CONST_NA),FALSE,INDEX(Parameters_Constants!$K$110:$AF$127,MATCH($E63,CONST_LIST_Goods,0),MATCH(X$8,Parameters_Constants!$K$109:$AF$109,0))=FALSE)</f>
        <v>0</v>
      </c>
      <c r="Y165" s="279" t="b">
        <f>IF(OR($D63="",$D63=CONST_NA),FALSE,INDEX(Parameters_Constants!$K$110:$AF$127,MATCH($E63,CONST_LIST_Goods,0),MATCH(Y$8,Parameters_Constants!$K$109:$AF$109,0))=FALSE)</f>
        <v>0</v>
      </c>
      <c r="Z165" s="279" t="b">
        <f>IF(OR($D63="",$D63=CONST_NA),FALSE,INDEX(Parameters_Constants!$K$110:$AF$127,MATCH($E63,CONST_LIST_Goods,0),MATCH(Z$8,Parameters_Constants!$K$109:$AF$109,0))=FALSE)</f>
        <v>0</v>
      </c>
      <c r="AA165" s="279" t="b">
        <f>IF(OR($D63="",$D63=CONST_NA),FALSE,INDEX(Parameters_Constants!$K$110:$AF$127,MATCH($E63,CONST_LIST_Goods,0),MATCH(AA$8,Parameters_Constants!$K$109:$AF$109,0))=FALSE)</f>
        <v>0</v>
      </c>
      <c r="AB165" s="279" t="b">
        <f>IF(OR($D63="",$D63=CONST_NA),FALSE,INDEX(Parameters_Constants!$K$110:$AF$127,MATCH($E63,CONST_LIST_Goods,0),MATCH(AB$8,Parameters_Constants!$K$109:$AF$109,0))=FALSE)</f>
        <v>0</v>
      </c>
      <c r="AC165" s="279" t="b">
        <f>IF(OR($D63="",$D63=CONST_NA),FALSE,INDEX(Parameters_Constants!$K$110:$AF$127,MATCH($E63,CONST_LIST_Goods,0),MATCH(AC$8,Parameters_Constants!$K$109:$AF$109,0))=FALSE)</f>
        <v>0</v>
      </c>
      <c r="AD165" s="279" t="b">
        <f>IF(OR($D63="",$D63=CONST_NA),FALSE,INDEX(Parameters_Constants!$K$110:$AF$127,MATCH($E63,CONST_LIST_Goods,0),MATCH(AD$8,Parameters_Constants!$K$109:$AF$109,0))=FALSE)</f>
        <v>0</v>
      </c>
      <c r="AE165" s="279" t="b">
        <f>IF(OR($D63="",$D63=CONST_NA),FALSE,INDEX(Parameters_Constants!$K$110:$AF$127,MATCH($E63,CONST_LIST_Goods,0),MATCH(AE$8,Parameters_Constants!$K$109:$AF$109,0))=FALSE)</f>
        <v>0</v>
      </c>
      <c r="AF165" s="279" t="b">
        <f>IF(OR($D63="",$D63=CONST_NA),FALSE,INDEX(Parameters_Constants!$K$110:$AF$127,MATCH($E63,CONST_LIST_Goods,0),MATCH(AF$8,Parameters_Constants!$K$109:$AF$109,0))=FALSE)</f>
        <v>0</v>
      </c>
      <c r="AG165" s="279" t="b">
        <f>IF(OR($D63="",$D63=CONST_NA),FALSE,INDEX(Parameters_Constants!$K$110:$AF$127,MATCH($E63,CONST_LIST_Goods,0),MATCH(AG$8,Parameters_Constants!$K$109:$AF$109,0))=FALSE)</f>
        <v>0</v>
      </c>
      <c r="AH165" s="279" t="b">
        <f>IF(OR($D63="",$D63=CONST_NA),FALSE,INDEX(Parameters_Constants!$K$110:$AF$127,MATCH($E63,CONST_LIST_Goods,0),MATCH(AH$8,Parameters_Constants!$K$109:$AF$109,0))=FALSE)</f>
        <v>0</v>
      </c>
      <c r="AI165" s="279" t="b">
        <f>IF(OR($D63="",$D63=CONST_NA),FALSE,INDEX(Parameters_Constants!$K$110:$AF$127,MATCH($E63,CONST_LIST_Goods,0),MATCH(AI$8,Parameters_Constants!$K$109:$AF$109,0))=FALSE)</f>
        <v>0</v>
      </c>
      <c r="AJ165" s="279" t="b">
        <f>IF(OR($D63="",$D63=CONST_NA),FALSE,INDEX(Parameters_Constants!$K$110:$AF$127,MATCH($E63,CONST_LIST_Goods,0),MATCH(AJ$8,Parameters_Constants!$K$109:$AF$109,0))=FALSE)</f>
        <v>0</v>
      </c>
      <c r="AK165" s="279" t="b">
        <f>IF(OR($D63="",$D63=CONST_NA),FALSE,INDEX(Parameters_Constants!$K$110:$AF$127,MATCH($E63,CONST_LIST_Goods,0),MATCH(AK$8,Parameters_Constants!$K$109:$AF$109,0))=FALSE)</f>
        <v>0</v>
      </c>
    </row>
    <row r="166" spans="1:49" s="275" customFormat="1" hidden="1" x14ac:dyDescent="0.35">
      <c r="A166" s="275" t="s">
        <v>3</v>
      </c>
      <c r="C166" s="275">
        <v>55</v>
      </c>
      <c r="F166" s="279" t="b">
        <v>0</v>
      </c>
      <c r="H166" s="279" t="b">
        <v>0</v>
      </c>
      <c r="P166" s="279" t="b">
        <f>IF(OR($D64="",$D64=CONST_NA),FALSE,INDEX(Parameters_Constants!$K$110:$AF$127,MATCH($E64,CONST_LIST_Goods,0),MATCH(P$8,Parameters_Constants!$K$109:$AF$109,0))=FALSE)</f>
        <v>0</v>
      </c>
      <c r="Q166" s="279" t="b">
        <f>IF(OR($D64="",$D64=CONST_NA),FALSE,INDEX(Parameters_Constants!$K$110:$AF$127,MATCH($E64,CONST_LIST_Goods,0),MATCH(Q$8,Parameters_Constants!$K$109:$AF$109,0))=FALSE)</f>
        <v>0</v>
      </c>
      <c r="R166" s="279" t="b">
        <f>IF(OR($D64="",$D64=CONST_NA),FALSE,INDEX(Parameters_Constants!$K$110:$AF$127,MATCH($E64,CONST_LIST_Goods,0),MATCH(R$8,Parameters_Constants!$K$109:$AF$109,0))=FALSE)</f>
        <v>0</v>
      </c>
      <c r="S166" s="279" t="b">
        <f>IF(OR($D64="",$D64=CONST_NA),FALSE,INDEX(Parameters_Constants!$K$110:$AF$127,MATCH($E64,CONST_LIST_Goods,0),MATCH(S$8,Parameters_Constants!$K$109:$AF$109,0))=FALSE)</f>
        <v>0</v>
      </c>
      <c r="T166" s="279" t="b">
        <f>IF(OR($D64="",$D64=CONST_NA),FALSE,INDEX(Parameters_Constants!$K$110:$AF$127,MATCH($E64,CONST_LIST_Goods,0),MATCH(T$8,Parameters_Constants!$K$109:$AF$109,0))=FALSE)</f>
        <v>0</v>
      </c>
      <c r="U166" s="279" t="b">
        <f>IF(OR($D64="",$D64=CONST_NA),FALSE,INDEX(Parameters_Constants!$K$110:$AF$127,MATCH($E64,CONST_LIST_Goods,0),MATCH(U$8,Parameters_Constants!$K$109:$AF$109,0))=FALSE)</f>
        <v>0</v>
      </c>
      <c r="V166" s="279" t="b">
        <f>IF(OR($D64="",$D64=CONST_NA),FALSE,INDEX(Parameters_Constants!$K$110:$AF$127,MATCH($E64,CONST_LIST_Goods,0),MATCH(V$8,Parameters_Constants!$K$109:$AF$109,0))=FALSE)</f>
        <v>0</v>
      </c>
      <c r="W166" s="279" t="b">
        <f>IF(OR($D64="",$D64=CONST_NA),FALSE,INDEX(Parameters_Constants!$K$110:$AF$127,MATCH($E64,CONST_LIST_Goods,0),MATCH(W$8,Parameters_Constants!$K$109:$AF$109,0))=FALSE)</f>
        <v>0</v>
      </c>
      <c r="X166" s="279" t="b">
        <f>IF(OR($D64="",$D64=CONST_NA),FALSE,INDEX(Parameters_Constants!$K$110:$AF$127,MATCH($E64,CONST_LIST_Goods,0),MATCH(X$8,Parameters_Constants!$K$109:$AF$109,0))=FALSE)</f>
        <v>0</v>
      </c>
      <c r="Y166" s="279" t="b">
        <f>IF(OR($D64="",$D64=CONST_NA),FALSE,INDEX(Parameters_Constants!$K$110:$AF$127,MATCH($E64,CONST_LIST_Goods,0),MATCH(Y$8,Parameters_Constants!$K$109:$AF$109,0))=FALSE)</f>
        <v>0</v>
      </c>
      <c r="Z166" s="279" t="b">
        <f>IF(OR($D64="",$D64=CONST_NA),FALSE,INDEX(Parameters_Constants!$K$110:$AF$127,MATCH($E64,CONST_LIST_Goods,0),MATCH(Z$8,Parameters_Constants!$K$109:$AF$109,0))=FALSE)</f>
        <v>0</v>
      </c>
      <c r="AA166" s="279" t="b">
        <f>IF(OR($D64="",$D64=CONST_NA),FALSE,INDEX(Parameters_Constants!$K$110:$AF$127,MATCH($E64,CONST_LIST_Goods,0),MATCH(AA$8,Parameters_Constants!$K$109:$AF$109,0))=FALSE)</f>
        <v>0</v>
      </c>
      <c r="AB166" s="279" t="b">
        <f>IF(OR($D64="",$D64=CONST_NA),FALSE,INDEX(Parameters_Constants!$K$110:$AF$127,MATCH($E64,CONST_LIST_Goods,0),MATCH(AB$8,Parameters_Constants!$K$109:$AF$109,0))=FALSE)</f>
        <v>0</v>
      </c>
      <c r="AC166" s="279" t="b">
        <f>IF(OR($D64="",$D64=CONST_NA),FALSE,INDEX(Parameters_Constants!$K$110:$AF$127,MATCH($E64,CONST_LIST_Goods,0),MATCH(AC$8,Parameters_Constants!$K$109:$AF$109,0))=FALSE)</f>
        <v>0</v>
      </c>
      <c r="AD166" s="279" t="b">
        <f>IF(OR($D64="",$D64=CONST_NA),FALSE,INDEX(Parameters_Constants!$K$110:$AF$127,MATCH($E64,CONST_LIST_Goods,0),MATCH(AD$8,Parameters_Constants!$K$109:$AF$109,0))=FALSE)</f>
        <v>0</v>
      </c>
      <c r="AE166" s="279" t="b">
        <f>IF(OR($D64="",$D64=CONST_NA),FALSE,INDEX(Parameters_Constants!$K$110:$AF$127,MATCH($E64,CONST_LIST_Goods,0),MATCH(AE$8,Parameters_Constants!$K$109:$AF$109,0))=FALSE)</f>
        <v>0</v>
      </c>
      <c r="AF166" s="279" t="b">
        <f>IF(OR($D64="",$D64=CONST_NA),FALSE,INDEX(Parameters_Constants!$K$110:$AF$127,MATCH($E64,CONST_LIST_Goods,0),MATCH(AF$8,Parameters_Constants!$K$109:$AF$109,0))=FALSE)</f>
        <v>0</v>
      </c>
      <c r="AG166" s="279" t="b">
        <f>IF(OR($D64="",$D64=CONST_NA),FALSE,INDEX(Parameters_Constants!$K$110:$AF$127,MATCH($E64,CONST_LIST_Goods,0),MATCH(AG$8,Parameters_Constants!$K$109:$AF$109,0))=FALSE)</f>
        <v>0</v>
      </c>
      <c r="AH166" s="279" t="b">
        <f>IF(OR($D64="",$D64=CONST_NA),FALSE,INDEX(Parameters_Constants!$K$110:$AF$127,MATCH($E64,CONST_LIST_Goods,0),MATCH(AH$8,Parameters_Constants!$K$109:$AF$109,0))=FALSE)</f>
        <v>0</v>
      </c>
      <c r="AI166" s="279" t="b">
        <f>IF(OR($D64="",$D64=CONST_NA),FALSE,INDEX(Parameters_Constants!$K$110:$AF$127,MATCH($E64,CONST_LIST_Goods,0),MATCH(AI$8,Parameters_Constants!$K$109:$AF$109,0))=FALSE)</f>
        <v>0</v>
      </c>
      <c r="AJ166" s="279" t="b">
        <f>IF(OR($D64="",$D64=CONST_NA),FALSE,INDEX(Parameters_Constants!$K$110:$AF$127,MATCH($E64,CONST_LIST_Goods,0),MATCH(AJ$8,Parameters_Constants!$K$109:$AF$109,0))=FALSE)</f>
        <v>0</v>
      </c>
      <c r="AK166" s="279" t="b">
        <f>IF(OR($D64="",$D64=CONST_NA),FALSE,INDEX(Parameters_Constants!$K$110:$AF$127,MATCH($E64,CONST_LIST_Goods,0),MATCH(AK$8,Parameters_Constants!$K$109:$AF$109,0))=FALSE)</f>
        <v>0</v>
      </c>
    </row>
    <row r="167" spans="1:49" s="275" customFormat="1" hidden="1" x14ac:dyDescent="0.35">
      <c r="A167" s="275" t="s">
        <v>3</v>
      </c>
      <c r="C167" s="275">
        <v>56</v>
      </c>
      <c r="F167" s="279" t="b">
        <v>0</v>
      </c>
      <c r="H167" s="279" t="b">
        <v>0</v>
      </c>
      <c r="P167" s="279" t="b">
        <f>IF(OR($D65="",$D65=CONST_NA),FALSE,INDEX(Parameters_Constants!$K$110:$AF$127,MATCH($E65,CONST_LIST_Goods,0),MATCH(P$8,Parameters_Constants!$K$109:$AF$109,0))=FALSE)</f>
        <v>0</v>
      </c>
      <c r="Q167" s="279" t="b">
        <f>IF(OR($D65="",$D65=CONST_NA),FALSE,INDEX(Parameters_Constants!$K$110:$AF$127,MATCH($E65,CONST_LIST_Goods,0),MATCH(Q$8,Parameters_Constants!$K$109:$AF$109,0))=FALSE)</f>
        <v>0</v>
      </c>
      <c r="R167" s="279" t="b">
        <f>IF(OR($D65="",$D65=CONST_NA),FALSE,INDEX(Parameters_Constants!$K$110:$AF$127,MATCH($E65,CONST_LIST_Goods,0),MATCH(R$8,Parameters_Constants!$K$109:$AF$109,0))=FALSE)</f>
        <v>0</v>
      </c>
      <c r="S167" s="279" t="b">
        <f>IF(OR($D65="",$D65=CONST_NA),FALSE,INDEX(Parameters_Constants!$K$110:$AF$127,MATCH($E65,CONST_LIST_Goods,0),MATCH(S$8,Parameters_Constants!$K$109:$AF$109,0))=FALSE)</f>
        <v>0</v>
      </c>
      <c r="T167" s="279" t="b">
        <f>IF(OR($D65="",$D65=CONST_NA),FALSE,INDEX(Parameters_Constants!$K$110:$AF$127,MATCH($E65,CONST_LIST_Goods,0),MATCH(T$8,Parameters_Constants!$K$109:$AF$109,0))=FALSE)</f>
        <v>0</v>
      </c>
      <c r="U167" s="279" t="b">
        <f>IF(OR($D65="",$D65=CONST_NA),FALSE,INDEX(Parameters_Constants!$K$110:$AF$127,MATCH($E65,CONST_LIST_Goods,0),MATCH(U$8,Parameters_Constants!$K$109:$AF$109,0))=FALSE)</f>
        <v>0</v>
      </c>
      <c r="V167" s="279" t="b">
        <f>IF(OR($D65="",$D65=CONST_NA),FALSE,INDEX(Parameters_Constants!$K$110:$AF$127,MATCH($E65,CONST_LIST_Goods,0),MATCH(V$8,Parameters_Constants!$K$109:$AF$109,0))=FALSE)</f>
        <v>0</v>
      </c>
      <c r="W167" s="279" t="b">
        <f>IF(OR($D65="",$D65=CONST_NA),FALSE,INDEX(Parameters_Constants!$K$110:$AF$127,MATCH($E65,CONST_LIST_Goods,0),MATCH(W$8,Parameters_Constants!$K$109:$AF$109,0))=FALSE)</f>
        <v>0</v>
      </c>
      <c r="X167" s="279" t="b">
        <f>IF(OR($D65="",$D65=CONST_NA),FALSE,INDEX(Parameters_Constants!$K$110:$AF$127,MATCH($E65,CONST_LIST_Goods,0),MATCH(X$8,Parameters_Constants!$K$109:$AF$109,0))=FALSE)</f>
        <v>0</v>
      </c>
      <c r="Y167" s="279" t="b">
        <f>IF(OR($D65="",$D65=CONST_NA),FALSE,INDEX(Parameters_Constants!$K$110:$AF$127,MATCH($E65,CONST_LIST_Goods,0),MATCH(Y$8,Parameters_Constants!$K$109:$AF$109,0))=FALSE)</f>
        <v>0</v>
      </c>
      <c r="Z167" s="279" t="b">
        <f>IF(OR($D65="",$D65=CONST_NA),FALSE,INDEX(Parameters_Constants!$K$110:$AF$127,MATCH($E65,CONST_LIST_Goods,0),MATCH(Z$8,Parameters_Constants!$K$109:$AF$109,0))=FALSE)</f>
        <v>0</v>
      </c>
      <c r="AA167" s="279" t="b">
        <f>IF(OR($D65="",$D65=CONST_NA),FALSE,INDEX(Parameters_Constants!$K$110:$AF$127,MATCH($E65,CONST_LIST_Goods,0),MATCH(AA$8,Parameters_Constants!$K$109:$AF$109,0))=FALSE)</f>
        <v>0</v>
      </c>
      <c r="AB167" s="279" t="b">
        <f>IF(OR($D65="",$D65=CONST_NA),FALSE,INDEX(Parameters_Constants!$K$110:$AF$127,MATCH($E65,CONST_LIST_Goods,0),MATCH(AB$8,Parameters_Constants!$K$109:$AF$109,0))=FALSE)</f>
        <v>0</v>
      </c>
      <c r="AC167" s="279" t="b">
        <f>IF(OR($D65="",$D65=CONST_NA),FALSE,INDEX(Parameters_Constants!$K$110:$AF$127,MATCH($E65,CONST_LIST_Goods,0),MATCH(AC$8,Parameters_Constants!$K$109:$AF$109,0))=FALSE)</f>
        <v>0</v>
      </c>
      <c r="AD167" s="279" t="b">
        <f>IF(OR($D65="",$D65=CONST_NA),FALSE,INDEX(Parameters_Constants!$K$110:$AF$127,MATCH($E65,CONST_LIST_Goods,0),MATCH(AD$8,Parameters_Constants!$K$109:$AF$109,0))=FALSE)</f>
        <v>0</v>
      </c>
      <c r="AE167" s="279" t="b">
        <f>IF(OR($D65="",$D65=CONST_NA),FALSE,INDEX(Parameters_Constants!$K$110:$AF$127,MATCH($E65,CONST_LIST_Goods,0),MATCH(AE$8,Parameters_Constants!$K$109:$AF$109,0))=FALSE)</f>
        <v>0</v>
      </c>
      <c r="AF167" s="279" t="b">
        <f>IF(OR($D65="",$D65=CONST_NA),FALSE,INDEX(Parameters_Constants!$K$110:$AF$127,MATCH($E65,CONST_LIST_Goods,0),MATCH(AF$8,Parameters_Constants!$K$109:$AF$109,0))=FALSE)</f>
        <v>0</v>
      </c>
      <c r="AG167" s="279" t="b">
        <f>IF(OR($D65="",$D65=CONST_NA),FALSE,INDEX(Parameters_Constants!$K$110:$AF$127,MATCH($E65,CONST_LIST_Goods,0),MATCH(AG$8,Parameters_Constants!$K$109:$AF$109,0))=FALSE)</f>
        <v>0</v>
      </c>
      <c r="AH167" s="279" t="b">
        <f>IF(OR($D65="",$D65=CONST_NA),FALSE,INDEX(Parameters_Constants!$K$110:$AF$127,MATCH($E65,CONST_LIST_Goods,0),MATCH(AH$8,Parameters_Constants!$K$109:$AF$109,0))=FALSE)</f>
        <v>0</v>
      </c>
      <c r="AI167" s="279" t="b">
        <f>IF(OR($D65="",$D65=CONST_NA),FALSE,INDEX(Parameters_Constants!$K$110:$AF$127,MATCH($E65,CONST_LIST_Goods,0),MATCH(AI$8,Parameters_Constants!$K$109:$AF$109,0))=FALSE)</f>
        <v>0</v>
      </c>
      <c r="AJ167" s="279" t="b">
        <f>IF(OR($D65="",$D65=CONST_NA),FALSE,INDEX(Parameters_Constants!$K$110:$AF$127,MATCH($E65,CONST_LIST_Goods,0),MATCH(AJ$8,Parameters_Constants!$K$109:$AF$109,0))=FALSE)</f>
        <v>0</v>
      </c>
      <c r="AK167" s="279" t="b">
        <f>IF(OR($D65="",$D65=CONST_NA),FALSE,INDEX(Parameters_Constants!$K$110:$AF$127,MATCH($E65,CONST_LIST_Goods,0),MATCH(AK$8,Parameters_Constants!$K$109:$AF$109,0))=FALSE)</f>
        <v>0</v>
      </c>
      <c r="AL167" s="280"/>
      <c r="AM167" s="280"/>
      <c r="AN167" s="280"/>
      <c r="AO167" s="280"/>
      <c r="AP167" s="280"/>
      <c r="AQ167" s="280"/>
      <c r="AR167" s="280"/>
      <c r="AS167" s="280"/>
      <c r="AT167" s="280"/>
      <c r="AU167" s="280"/>
      <c r="AV167" s="280"/>
      <c r="AW167" s="280"/>
    </row>
    <row r="168" spans="1:49" s="275" customFormat="1" hidden="1" x14ac:dyDescent="0.35">
      <c r="A168" s="275" t="s">
        <v>3</v>
      </c>
      <c r="C168" s="275">
        <v>57</v>
      </c>
      <c r="F168" s="279" t="b">
        <v>0</v>
      </c>
      <c r="H168" s="279" t="b">
        <v>0</v>
      </c>
      <c r="P168" s="279" t="b">
        <f>IF(OR($D66="",$D66=CONST_NA),FALSE,INDEX(Parameters_Constants!$K$110:$AF$127,MATCH($E66,CONST_LIST_Goods,0),MATCH(P$8,Parameters_Constants!$K$109:$AF$109,0))=FALSE)</f>
        <v>0</v>
      </c>
      <c r="Q168" s="279" t="b">
        <f>IF(OR($D66="",$D66=CONST_NA),FALSE,INDEX(Parameters_Constants!$K$110:$AF$127,MATCH($E66,CONST_LIST_Goods,0),MATCH(Q$8,Parameters_Constants!$K$109:$AF$109,0))=FALSE)</f>
        <v>0</v>
      </c>
      <c r="R168" s="279" t="b">
        <f>IF(OR($D66="",$D66=CONST_NA),FALSE,INDEX(Parameters_Constants!$K$110:$AF$127,MATCH($E66,CONST_LIST_Goods,0),MATCH(R$8,Parameters_Constants!$K$109:$AF$109,0))=FALSE)</f>
        <v>0</v>
      </c>
      <c r="S168" s="279" t="b">
        <f>IF(OR($D66="",$D66=CONST_NA),FALSE,INDEX(Parameters_Constants!$K$110:$AF$127,MATCH($E66,CONST_LIST_Goods,0),MATCH(S$8,Parameters_Constants!$K$109:$AF$109,0))=FALSE)</f>
        <v>0</v>
      </c>
      <c r="T168" s="279" t="b">
        <f>IF(OR($D66="",$D66=CONST_NA),FALSE,INDEX(Parameters_Constants!$K$110:$AF$127,MATCH($E66,CONST_LIST_Goods,0),MATCH(T$8,Parameters_Constants!$K$109:$AF$109,0))=FALSE)</f>
        <v>0</v>
      </c>
      <c r="U168" s="279" t="b">
        <f>IF(OR($D66="",$D66=CONST_NA),FALSE,INDEX(Parameters_Constants!$K$110:$AF$127,MATCH($E66,CONST_LIST_Goods,0),MATCH(U$8,Parameters_Constants!$K$109:$AF$109,0))=FALSE)</f>
        <v>0</v>
      </c>
      <c r="V168" s="279" t="b">
        <f>IF(OR($D66="",$D66=CONST_NA),FALSE,INDEX(Parameters_Constants!$K$110:$AF$127,MATCH($E66,CONST_LIST_Goods,0),MATCH(V$8,Parameters_Constants!$K$109:$AF$109,0))=FALSE)</f>
        <v>0</v>
      </c>
      <c r="W168" s="279" t="b">
        <f>IF(OR($D66="",$D66=CONST_NA),FALSE,INDEX(Parameters_Constants!$K$110:$AF$127,MATCH($E66,CONST_LIST_Goods,0),MATCH(W$8,Parameters_Constants!$K$109:$AF$109,0))=FALSE)</f>
        <v>0</v>
      </c>
      <c r="X168" s="279" t="b">
        <f>IF(OR($D66="",$D66=CONST_NA),FALSE,INDEX(Parameters_Constants!$K$110:$AF$127,MATCH($E66,CONST_LIST_Goods,0),MATCH(X$8,Parameters_Constants!$K$109:$AF$109,0))=FALSE)</f>
        <v>0</v>
      </c>
      <c r="Y168" s="279" t="b">
        <f>IF(OR($D66="",$D66=CONST_NA),FALSE,INDEX(Parameters_Constants!$K$110:$AF$127,MATCH($E66,CONST_LIST_Goods,0),MATCH(Y$8,Parameters_Constants!$K$109:$AF$109,0))=FALSE)</f>
        <v>0</v>
      </c>
      <c r="Z168" s="279" t="b">
        <f>IF(OR($D66="",$D66=CONST_NA),FALSE,INDEX(Parameters_Constants!$K$110:$AF$127,MATCH($E66,CONST_LIST_Goods,0),MATCH(Z$8,Parameters_Constants!$K$109:$AF$109,0))=FALSE)</f>
        <v>0</v>
      </c>
      <c r="AA168" s="279" t="b">
        <f>IF(OR($D66="",$D66=CONST_NA),FALSE,INDEX(Parameters_Constants!$K$110:$AF$127,MATCH($E66,CONST_LIST_Goods,0),MATCH(AA$8,Parameters_Constants!$K$109:$AF$109,0))=FALSE)</f>
        <v>0</v>
      </c>
      <c r="AB168" s="279" t="b">
        <f>IF(OR($D66="",$D66=CONST_NA),FALSE,INDEX(Parameters_Constants!$K$110:$AF$127,MATCH($E66,CONST_LIST_Goods,0),MATCH(AB$8,Parameters_Constants!$K$109:$AF$109,0))=FALSE)</f>
        <v>0</v>
      </c>
      <c r="AC168" s="279" t="b">
        <f>IF(OR($D66="",$D66=CONST_NA),FALSE,INDEX(Parameters_Constants!$K$110:$AF$127,MATCH($E66,CONST_LIST_Goods,0),MATCH(AC$8,Parameters_Constants!$K$109:$AF$109,0))=FALSE)</f>
        <v>0</v>
      </c>
      <c r="AD168" s="279" t="b">
        <f>IF(OR($D66="",$D66=CONST_NA),FALSE,INDEX(Parameters_Constants!$K$110:$AF$127,MATCH($E66,CONST_LIST_Goods,0),MATCH(AD$8,Parameters_Constants!$K$109:$AF$109,0))=FALSE)</f>
        <v>0</v>
      </c>
      <c r="AE168" s="279" t="b">
        <f>IF(OR($D66="",$D66=CONST_NA),FALSE,INDEX(Parameters_Constants!$K$110:$AF$127,MATCH($E66,CONST_LIST_Goods,0),MATCH(AE$8,Parameters_Constants!$K$109:$AF$109,0))=FALSE)</f>
        <v>0</v>
      </c>
      <c r="AF168" s="279" t="b">
        <f>IF(OR($D66="",$D66=CONST_NA),FALSE,INDEX(Parameters_Constants!$K$110:$AF$127,MATCH($E66,CONST_LIST_Goods,0),MATCH(AF$8,Parameters_Constants!$K$109:$AF$109,0))=FALSE)</f>
        <v>0</v>
      </c>
      <c r="AG168" s="279" t="b">
        <f>IF(OR($D66="",$D66=CONST_NA),FALSE,INDEX(Parameters_Constants!$K$110:$AF$127,MATCH($E66,CONST_LIST_Goods,0),MATCH(AG$8,Parameters_Constants!$K$109:$AF$109,0))=FALSE)</f>
        <v>0</v>
      </c>
      <c r="AH168" s="279" t="b">
        <f>IF(OR($D66="",$D66=CONST_NA),FALSE,INDEX(Parameters_Constants!$K$110:$AF$127,MATCH($E66,CONST_LIST_Goods,0),MATCH(AH$8,Parameters_Constants!$K$109:$AF$109,0))=FALSE)</f>
        <v>0</v>
      </c>
      <c r="AI168" s="279" t="b">
        <f>IF(OR($D66="",$D66=CONST_NA),FALSE,INDEX(Parameters_Constants!$K$110:$AF$127,MATCH($E66,CONST_LIST_Goods,0),MATCH(AI$8,Parameters_Constants!$K$109:$AF$109,0))=FALSE)</f>
        <v>0</v>
      </c>
      <c r="AJ168" s="279" t="b">
        <f>IF(OR($D66="",$D66=CONST_NA),FALSE,INDEX(Parameters_Constants!$K$110:$AF$127,MATCH($E66,CONST_LIST_Goods,0),MATCH(AJ$8,Parameters_Constants!$K$109:$AF$109,0))=FALSE)</f>
        <v>0</v>
      </c>
      <c r="AK168" s="279" t="b">
        <f>IF(OR($D66="",$D66=CONST_NA),FALSE,INDEX(Parameters_Constants!$K$110:$AF$127,MATCH($E66,CONST_LIST_Goods,0),MATCH(AK$8,Parameters_Constants!$K$109:$AF$109,0))=FALSE)</f>
        <v>0</v>
      </c>
      <c r="AL168" s="280"/>
      <c r="AM168" s="280"/>
      <c r="AN168" s="280"/>
      <c r="AO168" s="280"/>
      <c r="AP168" s="280"/>
      <c r="AQ168" s="280"/>
      <c r="AR168" s="280"/>
      <c r="AS168" s="280"/>
      <c r="AT168" s="280"/>
      <c r="AU168" s="280"/>
      <c r="AV168" s="280"/>
      <c r="AW168" s="280"/>
    </row>
    <row r="169" spans="1:49" s="275" customFormat="1" hidden="1" x14ac:dyDescent="0.35">
      <c r="A169" s="275" t="s">
        <v>3</v>
      </c>
      <c r="C169" s="275">
        <v>58</v>
      </c>
      <c r="F169" s="279" t="b">
        <v>0</v>
      </c>
      <c r="H169" s="279" t="b">
        <v>0</v>
      </c>
      <c r="P169" s="279" t="b">
        <f>IF(OR($D67="",$D67=CONST_NA),FALSE,INDEX(Parameters_Constants!$K$110:$AF$127,MATCH($E67,CONST_LIST_Goods,0),MATCH(P$8,Parameters_Constants!$K$109:$AF$109,0))=FALSE)</f>
        <v>0</v>
      </c>
      <c r="Q169" s="279" t="b">
        <f>IF(OR($D67="",$D67=CONST_NA),FALSE,INDEX(Parameters_Constants!$K$110:$AF$127,MATCH($E67,CONST_LIST_Goods,0),MATCH(Q$8,Parameters_Constants!$K$109:$AF$109,0))=FALSE)</f>
        <v>0</v>
      </c>
      <c r="R169" s="279" t="b">
        <f>IF(OR($D67="",$D67=CONST_NA),FALSE,INDEX(Parameters_Constants!$K$110:$AF$127,MATCH($E67,CONST_LIST_Goods,0),MATCH(R$8,Parameters_Constants!$K$109:$AF$109,0))=FALSE)</f>
        <v>0</v>
      </c>
      <c r="S169" s="279" t="b">
        <f>IF(OR($D67="",$D67=CONST_NA),FALSE,INDEX(Parameters_Constants!$K$110:$AF$127,MATCH($E67,CONST_LIST_Goods,0),MATCH(S$8,Parameters_Constants!$K$109:$AF$109,0))=FALSE)</f>
        <v>0</v>
      </c>
      <c r="T169" s="279" t="b">
        <f>IF(OR($D67="",$D67=CONST_NA),FALSE,INDEX(Parameters_Constants!$K$110:$AF$127,MATCH($E67,CONST_LIST_Goods,0),MATCH(T$8,Parameters_Constants!$K$109:$AF$109,0))=FALSE)</f>
        <v>0</v>
      </c>
      <c r="U169" s="279" t="b">
        <f>IF(OR($D67="",$D67=CONST_NA),FALSE,INDEX(Parameters_Constants!$K$110:$AF$127,MATCH($E67,CONST_LIST_Goods,0),MATCH(U$8,Parameters_Constants!$K$109:$AF$109,0))=FALSE)</f>
        <v>0</v>
      </c>
      <c r="V169" s="279" t="b">
        <f>IF(OR($D67="",$D67=CONST_NA),FALSE,INDEX(Parameters_Constants!$K$110:$AF$127,MATCH($E67,CONST_LIST_Goods,0),MATCH(V$8,Parameters_Constants!$K$109:$AF$109,0))=FALSE)</f>
        <v>0</v>
      </c>
      <c r="W169" s="279" t="b">
        <f>IF(OR($D67="",$D67=CONST_NA),FALSE,INDEX(Parameters_Constants!$K$110:$AF$127,MATCH($E67,CONST_LIST_Goods,0),MATCH(W$8,Parameters_Constants!$K$109:$AF$109,0))=FALSE)</f>
        <v>0</v>
      </c>
      <c r="X169" s="279" t="b">
        <f>IF(OR($D67="",$D67=CONST_NA),FALSE,INDEX(Parameters_Constants!$K$110:$AF$127,MATCH($E67,CONST_LIST_Goods,0),MATCH(X$8,Parameters_Constants!$K$109:$AF$109,0))=FALSE)</f>
        <v>0</v>
      </c>
      <c r="Y169" s="279" t="b">
        <f>IF(OR($D67="",$D67=CONST_NA),FALSE,INDEX(Parameters_Constants!$K$110:$AF$127,MATCH($E67,CONST_LIST_Goods,0),MATCH(Y$8,Parameters_Constants!$K$109:$AF$109,0))=FALSE)</f>
        <v>0</v>
      </c>
      <c r="Z169" s="279" t="b">
        <f>IF(OR($D67="",$D67=CONST_NA),FALSE,INDEX(Parameters_Constants!$K$110:$AF$127,MATCH($E67,CONST_LIST_Goods,0),MATCH(Z$8,Parameters_Constants!$K$109:$AF$109,0))=FALSE)</f>
        <v>0</v>
      </c>
      <c r="AA169" s="279" t="b">
        <f>IF(OR($D67="",$D67=CONST_NA),FALSE,INDEX(Parameters_Constants!$K$110:$AF$127,MATCH($E67,CONST_LIST_Goods,0),MATCH(AA$8,Parameters_Constants!$K$109:$AF$109,0))=FALSE)</f>
        <v>0</v>
      </c>
      <c r="AB169" s="279" t="b">
        <f>IF(OR($D67="",$D67=CONST_NA),FALSE,INDEX(Parameters_Constants!$K$110:$AF$127,MATCH($E67,CONST_LIST_Goods,0),MATCH(AB$8,Parameters_Constants!$K$109:$AF$109,0))=FALSE)</f>
        <v>0</v>
      </c>
      <c r="AC169" s="279" t="b">
        <f>IF(OR($D67="",$D67=CONST_NA),FALSE,INDEX(Parameters_Constants!$K$110:$AF$127,MATCH($E67,CONST_LIST_Goods,0),MATCH(AC$8,Parameters_Constants!$K$109:$AF$109,0))=FALSE)</f>
        <v>0</v>
      </c>
      <c r="AD169" s="279" t="b">
        <f>IF(OR($D67="",$D67=CONST_NA),FALSE,INDEX(Parameters_Constants!$K$110:$AF$127,MATCH($E67,CONST_LIST_Goods,0),MATCH(AD$8,Parameters_Constants!$K$109:$AF$109,0))=FALSE)</f>
        <v>0</v>
      </c>
      <c r="AE169" s="279" t="b">
        <f>IF(OR($D67="",$D67=CONST_NA),FALSE,INDEX(Parameters_Constants!$K$110:$AF$127,MATCH($E67,CONST_LIST_Goods,0),MATCH(AE$8,Parameters_Constants!$K$109:$AF$109,0))=FALSE)</f>
        <v>0</v>
      </c>
      <c r="AF169" s="279" t="b">
        <f>IF(OR($D67="",$D67=CONST_NA),FALSE,INDEX(Parameters_Constants!$K$110:$AF$127,MATCH($E67,CONST_LIST_Goods,0),MATCH(AF$8,Parameters_Constants!$K$109:$AF$109,0))=FALSE)</f>
        <v>0</v>
      </c>
      <c r="AG169" s="279" t="b">
        <f>IF(OR($D67="",$D67=CONST_NA),FALSE,INDEX(Parameters_Constants!$K$110:$AF$127,MATCH($E67,CONST_LIST_Goods,0),MATCH(AG$8,Parameters_Constants!$K$109:$AF$109,0))=FALSE)</f>
        <v>0</v>
      </c>
      <c r="AH169" s="279" t="b">
        <f>IF(OR($D67="",$D67=CONST_NA),FALSE,INDEX(Parameters_Constants!$K$110:$AF$127,MATCH($E67,CONST_LIST_Goods,0),MATCH(AH$8,Parameters_Constants!$K$109:$AF$109,0))=FALSE)</f>
        <v>0</v>
      </c>
      <c r="AI169" s="279" t="b">
        <f>IF(OR($D67="",$D67=CONST_NA),FALSE,INDEX(Parameters_Constants!$K$110:$AF$127,MATCH($E67,CONST_LIST_Goods,0),MATCH(AI$8,Parameters_Constants!$K$109:$AF$109,0))=FALSE)</f>
        <v>0</v>
      </c>
      <c r="AJ169" s="279" t="b">
        <f>IF(OR($D67="",$D67=CONST_NA),FALSE,INDEX(Parameters_Constants!$K$110:$AF$127,MATCH($E67,CONST_LIST_Goods,0),MATCH(AJ$8,Parameters_Constants!$K$109:$AF$109,0))=FALSE)</f>
        <v>0</v>
      </c>
      <c r="AK169" s="279" t="b">
        <f>IF(OR($D67="",$D67=CONST_NA),FALSE,INDEX(Parameters_Constants!$K$110:$AF$127,MATCH($E67,CONST_LIST_Goods,0),MATCH(AK$8,Parameters_Constants!$K$109:$AF$109,0))=FALSE)</f>
        <v>0</v>
      </c>
      <c r="AL169" s="280"/>
      <c r="AM169" s="280"/>
      <c r="AN169" s="280"/>
      <c r="AO169" s="280"/>
      <c r="AP169" s="280"/>
      <c r="AQ169" s="280"/>
      <c r="AR169" s="280"/>
      <c r="AS169" s="280"/>
      <c r="AT169" s="280"/>
      <c r="AU169" s="280"/>
      <c r="AV169" s="280"/>
      <c r="AW169" s="280"/>
    </row>
    <row r="170" spans="1:49" s="275" customFormat="1" hidden="1" x14ac:dyDescent="0.35">
      <c r="A170" s="275" t="s">
        <v>3</v>
      </c>
      <c r="C170" s="275">
        <v>59</v>
      </c>
      <c r="F170" s="279" t="b">
        <v>0</v>
      </c>
      <c r="H170" s="279" t="b">
        <v>0</v>
      </c>
      <c r="P170" s="279" t="b">
        <f>IF(OR($D68="",$D68=CONST_NA),FALSE,INDEX(Parameters_Constants!$K$110:$AF$127,MATCH($E68,CONST_LIST_Goods,0),MATCH(P$8,Parameters_Constants!$K$109:$AF$109,0))=FALSE)</f>
        <v>0</v>
      </c>
      <c r="Q170" s="279" t="b">
        <f>IF(OR($D68="",$D68=CONST_NA),FALSE,INDEX(Parameters_Constants!$K$110:$AF$127,MATCH($E68,CONST_LIST_Goods,0),MATCH(Q$8,Parameters_Constants!$K$109:$AF$109,0))=FALSE)</f>
        <v>0</v>
      </c>
      <c r="R170" s="279" t="b">
        <f>IF(OR($D68="",$D68=CONST_NA),FALSE,INDEX(Parameters_Constants!$K$110:$AF$127,MATCH($E68,CONST_LIST_Goods,0),MATCH(R$8,Parameters_Constants!$K$109:$AF$109,0))=FALSE)</f>
        <v>0</v>
      </c>
      <c r="S170" s="279" t="b">
        <f>IF(OR($D68="",$D68=CONST_NA),FALSE,INDEX(Parameters_Constants!$K$110:$AF$127,MATCH($E68,CONST_LIST_Goods,0),MATCH(S$8,Parameters_Constants!$K$109:$AF$109,0))=FALSE)</f>
        <v>0</v>
      </c>
      <c r="T170" s="279" t="b">
        <f>IF(OR($D68="",$D68=CONST_NA),FALSE,INDEX(Parameters_Constants!$K$110:$AF$127,MATCH($E68,CONST_LIST_Goods,0),MATCH(T$8,Parameters_Constants!$K$109:$AF$109,0))=FALSE)</f>
        <v>0</v>
      </c>
      <c r="U170" s="279" t="b">
        <f>IF(OR($D68="",$D68=CONST_NA),FALSE,INDEX(Parameters_Constants!$K$110:$AF$127,MATCH($E68,CONST_LIST_Goods,0),MATCH(U$8,Parameters_Constants!$K$109:$AF$109,0))=FALSE)</f>
        <v>0</v>
      </c>
      <c r="V170" s="279" t="b">
        <f>IF(OR($D68="",$D68=CONST_NA),FALSE,INDEX(Parameters_Constants!$K$110:$AF$127,MATCH($E68,CONST_LIST_Goods,0),MATCH(V$8,Parameters_Constants!$K$109:$AF$109,0))=FALSE)</f>
        <v>0</v>
      </c>
      <c r="W170" s="279" t="b">
        <f>IF(OR($D68="",$D68=CONST_NA),FALSE,INDEX(Parameters_Constants!$K$110:$AF$127,MATCH($E68,CONST_LIST_Goods,0),MATCH(W$8,Parameters_Constants!$K$109:$AF$109,0))=FALSE)</f>
        <v>0</v>
      </c>
      <c r="X170" s="279" t="b">
        <f>IF(OR($D68="",$D68=CONST_NA),FALSE,INDEX(Parameters_Constants!$K$110:$AF$127,MATCH($E68,CONST_LIST_Goods,0),MATCH(X$8,Parameters_Constants!$K$109:$AF$109,0))=FALSE)</f>
        <v>0</v>
      </c>
      <c r="Y170" s="279" t="b">
        <f>IF(OR($D68="",$D68=CONST_NA),FALSE,INDEX(Parameters_Constants!$K$110:$AF$127,MATCH($E68,CONST_LIST_Goods,0),MATCH(Y$8,Parameters_Constants!$K$109:$AF$109,0))=FALSE)</f>
        <v>0</v>
      </c>
      <c r="Z170" s="279" t="b">
        <f>IF(OR($D68="",$D68=CONST_NA),FALSE,INDEX(Parameters_Constants!$K$110:$AF$127,MATCH($E68,CONST_LIST_Goods,0),MATCH(Z$8,Parameters_Constants!$K$109:$AF$109,0))=FALSE)</f>
        <v>0</v>
      </c>
      <c r="AA170" s="279" t="b">
        <f>IF(OR($D68="",$D68=CONST_NA),FALSE,INDEX(Parameters_Constants!$K$110:$AF$127,MATCH($E68,CONST_LIST_Goods,0),MATCH(AA$8,Parameters_Constants!$K$109:$AF$109,0))=FALSE)</f>
        <v>0</v>
      </c>
      <c r="AB170" s="279" t="b">
        <f>IF(OR($D68="",$D68=CONST_NA),FALSE,INDEX(Parameters_Constants!$K$110:$AF$127,MATCH($E68,CONST_LIST_Goods,0),MATCH(AB$8,Parameters_Constants!$K$109:$AF$109,0))=FALSE)</f>
        <v>0</v>
      </c>
      <c r="AC170" s="279" t="b">
        <f>IF(OR($D68="",$D68=CONST_NA),FALSE,INDEX(Parameters_Constants!$K$110:$AF$127,MATCH($E68,CONST_LIST_Goods,0),MATCH(AC$8,Parameters_Constants!$K$109:$AF$109,0))=FALSE)</f>
        <v>0</v>
      </c>
      <c r="AD170" s="279" t="b">
        <f>IF(OR($D68="",$D68=CONST_NA),FALSE,INDEX(Parameters_Constants!$K$110:$AF$127,MATCH($E68,CONST_LIST_Goods,0),MATCH(AD$8,Parameters_Constants!$K$109:$AF$109,0))=FALSE)</f>
        <v>0</v>
      </c>
      <c r="AE170" s="279" t="b">
        <f>IF(OR($D68="",$D68=CONST_NA),FALSE,INDEX(Parameters_Constants!$K$110:$AF$127,MATCH($E68,CONST_LIST_Goods,0),MATCH(AE$8,Parameters_Constants!$K$109:$AF$109,0))=FALSE)</f>
        <v>0</v>
      </c>
      <c r="AF170" s="279" t="b">
        <f>IF(OR($D68="",$D68=CONST_NA),FALSE,INDEX(Parameters_Constants!$K$110:$AF$127,MATCH($E68,CONST_LIST_Goods,0),MATCH(AF$8,Parameters_Constants!$K$109:$AF$109,0))=FALSE)</f>
        <v>0</v>
      </c>
      <c r="AG170" s="279" t="b">
        <f>IF(OR($D68="",$D68=CONST_NA),FALSE,INDEX(Parameters_Constants!$K$110:$AF$127,MATCH($E68,CONST_LIST_Goods,0),MATCH(AG$8,Parameters_Constants!$K$109:$AF$109,0))=FALSE)</f>
        <v>0</v>
      </c>
      <c r="AH170" s="279" t="b">
        <f>IF(OR($D68="",$D68=CONST_NA),FALSE,INDEX(Parameters_Constants!$K$110:$AF$127,MATCH($E68,CONST_LIST_Goods,0),MATCH(AH$8,Parameters_Constants!$K$109:$AF$109,0))=FALSE)</f>
        <v>0</v>
      </c>
      <c r="AI170" s="279" t="b">
        <f>IF(OR($D68="",$D68=CONST_NA),FALSE,INDEX(Parameters_Constants!$K$110:$AF$127,MATCH($E68,CONST_LIST_Goods,0),MATCH(AI$8,Parameters_Constants!$K$109:$AF$109,0))=FALSE)</f>
        <v>0</v>
      </c>
      <c r="AJ170" s="279" t="b">
        <f>IF(OR($D68="",$D68=CONST_NA),FALSE,INDEX(Parameters_Constants!$K$110:$AF$127,MATCH($E68,CONST_LIST_Goods,0),MATCH(AJ$8,Parameters_Constants!$K$109:$AF$109,0))=FALSE)</f>
        <v>0</v>
      </c>
      <c r="AK170" s="279" t="b">
        <f>IF(OR($D68="",$D68=CONST_NA),FALSE,INDEX(Parameters_Constants!$K$110:$AF$127,MATCH($E68,CONST_LIST_Goods,0),MATCH(AK$8,Parameters_Constants!$K$109:$AF$109,0))=FALSE)</f>
        <v>0</v>
      </c>
      <c r="AL170" s="280"/>
      <c r="AM170" s="280"/>
      <c r="AN170" s="280"/>
      <c r="AO170" s="280"/>
      <c r="AP170" s="280"/>
      <c r="AQ170" s="280"/>
      <c r="AR170" s="280"/>
      <c r="AS170" s="280"/>
      <c r="AT170" s="280"/>
      <c r="AU170" s="280"/>
      <c r="AV170" s="280"/>
      <c r="AW170" s="280"/>
    </row>
    <row r="171" spans="1:49" s="275" customFormat="1" hidden="1" x14ac:dyDescent="0.35">
      <c r="A171" s="275" t="s">
        <v>3</v>
      </c>
      <c r="C171" s="275">
        <v>60</v>
      </c>
      <c r="F171" s="279" t="b">
        <v>0</v>
      </c>
      <c r="H171" s="279" t="b">
        <v>0</v>
      </c>
      <c r="P171" s="279" t="b">
        <f>IF(OR($D69="",$D69=CONST_NA),FALSE,INDEX(Parameters_Constants!$K$110:$AF$127,MATCH($E69,CONST_LIST_Goods,0),MATCH(P$8,Parameters_Constants!$K$109:$AF$109,0))=FALSE)</f>
        <v>0</v>
      </c>
      <c r="Q171" s="279" t="b">
        <f>IF(OR($D69="",$D69=CONST_NA),FALSE,INDEX(Parameters_Constants!$K$110:$AF$127,MATCH($E69,CONST_LIST_Goods,0),MATCH(Q$8,Parameters_Constants!$K$109:$AF$109,0))=FALSE)</f>
        <v>0</v>
      </c>
      <c r="R171" s="279" t="b">
        <f>IF(OR($D69="",$D69=CONST_NA),FALSE,INDEX(Parameters_Constants!$K$110:$AF$127,MATCH($E69,CONST_LIST_Goods,0),MATCH(R$8,Parameters_Constants!$K$109:$AF$109,0))=FALSE)</f>
        <v>0</v>
      </c>
      <c r="S171" s="279" t="b">
        <f>IF(OR($D69="",$D69=CONST_NA),FALSE,INDEX(Parameters_Constants!$K$110:$AF$127,MATCH($E69,CONST_LIST_Goods,0),MATCH(S$8,Parameters_Constants!$K$109:$AF$109,0))=FALSE)</f>
        <v>0</v>
      </c>
      <c r="T171" s="279" t="b">
        <f>IF(OR($D69="",$D69=CONST_NA),FALSE,INDEX(Parameters_Constants!$K$110:$AF$127,MATCH($E69,CONST_LIST_Goods,0),MATCH(T$8,Parameters_Constants!$K$109:$AF$109,0))=FALSE)</f>
        <v>0</v>
      </c>
      <c r="U171" s="279" t="b">
        <f>IF(OR($D69="",$D69=CONST_NA),FALSE,INDEX(Parameters_Constants!$K$110:$AF$127,MATCH($E69,CONST_LIST_Goods,0),MATCH(U$8,Parameters_Constants!$K$109:$AF$109,0))=FALSE)</f>
        <v>0</v>
      </c>
      <c r="V171" s="279" t="b">
        <f>IF(OR($D69="",$D69=CONST_NA),FALSE,INDEX(Parameters_Constants!$K$110:$AF$127,MATCH($E69,CONST_LIST_Goods,0),MATCH(V$8,Parameters_Constants!$K$109:$AF$109,0))=FALSE)</f>
        <v>0</v>
      </c>
      <c r="W171" s="279" t="b">
        <f>IF(OR($D69="",$D69=CONST_NA),FALSE,INDEX(Parameters_Constants!$K$110:$AF$127,MATCH($E69,CONST_LIST_Goods,0),MATCH(W$8,Parameters_Constants!$K$109:$AF$109,0))=FALSE)</f>
        <v>0</v>
      </c>
      <c r="X171" s="279" t="b">
        <f>IF(OR($D69="",$D69=CONST_NA),FALSE,INDEX(Parameters_Constants!$K$110:$AF$127,MATCH($E69,CONST_LIST_Goods,0),MATCH(X$8,Parameters_Constants!$K$109:$AF$109,0))=FALSE)</f>
        <v>0</v>
      </c>
      <c r="Y171" s="279" t="b">
        <f>IF(OR($D69="",$D69=CONST_NA),FALSE,INDEX(Parameters_Constants!$K$110:$AF$127,MATCH($E69,CONST_LIST_Goods,0),MATCH(Y$8,Parameters_Constants!$K$109:$AF$109,0))=FALSE)</f>
        <v>0</v>
      </c>
      <c r="Z171" s="279" t="b">
        <f>IF(OR($D69="",$D69=CONST_NA),FALSE,INDEX(Parameters_Constants!$K$110:$AF$127,MATCH($E69,CONST_LIST_Goods,0),MATCH(Z$8,Parameters_Constants!$K$109:$AF$109,0))=FALSE)</f>
        <v>0</v>
      </c>
      <c r="AA171" s="279" t="b">
        <f>IF(OR($D69="",$D69=CONST_NA),FALSE,INDEX(Parameters_Constants!$K$110:$AF$127,MATCH($E69,CONST_LIST_Goods,0),MATCH(AA$8,Parameters_Constants!$K$109:$AF$109,0))=FALSE)</f>
        <v>0</v>
      </c>
      <c r="AB171" s="279" t="b">
        <f>IF(OR($D69="",$D69=CONST_NA),FALSE,INDEX(Parameters_Constants!$K$110:$AF$127,MATCH($E69,CONST_LIST_Goods,0),MATCH(AB$8,Parameters_Constants!$K$109:$AF$109,0))=FALSE)</f>
        <v>0</v>
      </c>
      <c r="AC171" s="279" t="b">
        <f>IF(OR($D69="",$D69=CONST_NA),FALSE,INDEX(Parameters_Constants!$K$110:$AF$127,MATCH($E69,CONST_LIST_Goods,0),MATCH(AC$8,Parameters_Constants!$K$109:$AF$109,0))=FALSE)</f>
        <v>0</v>
      </c>
      <c r="AD171" s="279" t="b">
        <f>IF(OR($D69="",$D69=CONST_NA),FALSE,INDEX(Parameters_Constants!$K$110:$AF$127,MATCH($E69,CONST_LIST_Goods,0),MATCH(AD$8,Parameters_Constants!$K$109:$AF$109,0))=FALSE)</f>
        <v>0</v>
      </c>
      <c r="AE171" s="279" t="b">
        <f>IF(OR($D69="",$D69=CONST_NA),FALSE,INDEX(Parameters_Constants!$K$110:$AF$127,MATCH($E69,CONST_LIST_Goods,0),MATCH(AE$8,Parameters_Constants!$K$109:$AF$109,0))=FALSE)</f>
        <v>0</v>
      </c>
      <c r="AF171" s="279" t="b">
        <f>IF(OR($D69="",$D69=CONST_NA),FALSE,INDEX(Parameters_Constants!$K$110:$AF$127,MATCH($E69,CONST_LIST_Goods,0),MATCH(AF$8,Parameters_Constants!$K$109:$AF$109,0))=FALSE)</f>
        <v>0</v>
      </c>
      <c r="AG171" s="279" t="b">
        <f>IF(OR($D69="",$D69=CONST_NA),FALSE,INDEX(Parameters_Constants!$K$110:$AF$127,MATCH($E69,CONST_LIST_Goods,0),MATCH(AG$8,Parameters_Constants!$K$109:$AF$109,0))=FALSE)</f>
        <v>0</v>
      </c>
      <c r="AH171" s="279" t="b">
        <f>IF(OR($D69="",$D69=CONST_NA),FALSE,INDEX(Parameters_Constants!$K$110:$AF$127,MATCH($E69,CONST_LIST_Goods,0),MATCH(AH$8,Parameters_Constants!$K$109:$AF$109,0))=FALSE)</f>
        <v>0</v>
      </c>
      <c r="AI171" s="279" t="b">
        <f>IF(OR($D69="",$D69=CONST_NA),FALSE,INDEX(Parameters_Constants!$K$110:$AF$127,MATCH($E69,CONST_LIST_Goods,0),MATCH(AI$8,Parameters_Constants!$K$109:$AF$109,0))=FALSE)</f>
        <v>0</v>
      </c>
      <c r="AJ171" s="279" t="b">
        <f>IF(OR($D69="",$D69=CONST_NA),FALSE,INDEX(Parameters_Constants!$K$110:$AF$127,MATCH($E69,CONST_LIST_Goods,0),MATCH(AJ$8,Parameters_Constants!$K$109:$AF$109,0))=FALSE)</f>
        <v>0</v>
      </c>
      <c r="AK171" s="279" t="b">
        <f>IF(OR($D69="",$D69=CONST_NA),FALSE,INDEX(Parameters_Constants!$K$110:$AF$127,MATCH($E69,CONST_LIST_Goods,0),MATCH(AK$8,Parameters_Constants!$K$109:$AF$109,0))=FALSE)</f>
        <v>0</v>
      </c>
      <c r="AL171" s="280"/>
      <c r="AM171" s="280"/>
      <c r="AN171" s="280"/>
      <c r="AO171" s="280"/>
      <c r="AP171" s="280"/>
      <c r="AQ171" s="280"/>
      <c r="AR171" s="280"/>
      <c r="AS171" s="280"/>
      <c r="AT171" s="280"/>
      <c r="AU171" s="280"/>
      <c r="AV171" s="280"/>
      <c r="AW171" s="280"/>
    </row>
    <row r="172" spans="1:49" s="275" customFormat="1" hidden="1" x14ac:dyDescent="0.35">
      <c r="A172" s="275" t="s">
        <v>3</v>
      </c>
      <c r="C172" s="275">
        <v>61</v>
      </c>
      <c r="F172" s="279" t="b">
        <v>0</v>
      </c>
      <c r="H172" s="279" t="b">
        <v>0</v>
      </c>
      <c r="P172" s="279" t="b">
        <f>IF(OR($D70="",$D70=CONST_NA),FALSE,INDEX(Parameters_Constants!$K$110:$AF$127,MATCH($E70,CONST_LIST_Goods,0),MATCH(P$8,Parameters_Constants!$K$109:$AF$109,0))=FALSE)</f>
        <v>0</v>
      </c>
      <c r="Q172" s="279" t="b">
        <f>IF(OR($D70="",$D70=CONST_NA),FALSE,INDEX(Parameters_Constants!$K$110:$AF$127,MATCH($E70,CONST_LIST_Goods,0),MATCH(Q$8,Parameters_Constants!$K$109:$AF$109,0))=FALSE)</f>
        <v>0</v>
      </c>
      <c r="R172" s="279" t="b">
        <f>IF(OR($D70="",$D70=CONST_NA),FALSE,INDEX(Parameters_Constants!$K$110:$AF$127,MATCH($E70,CONST_LIST_Goods,0),MATCH(R$8,Parameters_Constants!$K$109:$AF$109,0))=FALSE)</f>
        <v>0</v>
      </c>
      <c r="S172" s="279" t="b">
        <f>IF(OR($D70="",$D70=CONST_NA),FALSE,INDEX(Parameters_Constants!$K$110:$AF$127,MATCH($E70,CONST_LIST_Goods,0),MATCH(S$8,Parameters_Constants!$K$109:$AF$109,0))=FALSE)</f>
        <v>0</v>
      </c>
      <c r="T172" s="279" t="b">
        <f>IF(OR($D70="",$D70=CONST_NA),FALSE,INDEX(Parameters_Constants!$K$110:$AF$127,MATCH($E70,CONST_LIST_Goods,0),MATCH(T$8,Parameters_Constants!$K$109:$AF$109,0))=FALSE)</f>
        <v>0</v>
      </c>
      <c r="U172" s="279" t="b">
        <f>IF(OR($D70="",$D70=CONST_NA),FALSE,INDEX(Parameters_Constants!$K$110:$AF$127,MATCH($E70,CONST_LIST_Goods,0),MATCH(U$8,Parameters_Constants!$K$109:$AF$109,0))=FALSE)</f>
        <v>0</v>
      </c>
      <c r="V172" s="279" t="b">
        <f>IF(OR($D70="",$D70=CONST_NA),FALSE,INDEX(Parameters_Constants!$K$110:$AF$127,MATCH($E70,CONST_LIST_Goods,0),MATCH(V$8,Parameters_Constants!$K$109:$AF$109,0))=FALSE)</f>
        <v>0</v>
      </c>
      <c r="W172" s="279" t="b">
        <f>IF(OR($D70="",$D70=CONST_NA),FALSE,INDEX(Parameters_Constants!$K$110:$AF$127,MATCH($E70,CONST_LIST_Goods,0),MATCH(W$8,Parameters_Constants!$K$109:$AF$109,0))=FALSE)</f>
        <v>0</v>
      </c>
      <c r="X172" s="279" t="b">
        <f>IF(OR($D70="",$D70=CONST_NA),FALSE,INDEX(Parameters_Constants!$K$110:$AF$127,MATCH($E70,CONST_LIST_Goods,0),MATCH(X$8,Parameters_Constants!$K$109:$AF$109,0))=FALSE)</f>
        <v>0</v>
      </c>
      <c r="Y172" s="279" t="b">
        <f>IF(OR($D70="",$D70=CONST_NA),FALSE,INDEX(Parameters_Constants!$K$110:$AF$127,MATCH($E70,CONST_LIST_Goods,0),MATCH(Y$8,Parameters_Constants!$K$109:$AF$109,0))=FALSE)</f>
        <v>0</v>
      </c>
      <c r="Z172" s="279" t="b">
        <f>IF(OR($D70="",$D70=CONST_NA),FALSE,INDEX(Parameters_Constants!$K$110:$AF$127,MATCH($E70,CONST_LIST_Goods,0),MATCH(Z$8,Parameters_Constants!$K$109:$AF$109,0))=FALSE)</f>
        <v>0</v>
      </c>
      <c r="AA172" s="279" t="b">
        <f>IF(OR($D70="",$D70=CONST_NA),FALSE,INDEX(Parameters_Constants!$K$110:$AF$127,MATCH($E70,CONST_LIST_Goods,0),MATCH(AA$8,Parameters_Constants!$K$109:$AF$109,0))=FALSE)</f>
        <v>0</v>
      </c>
      <c r="AB172" s="279" t="b">
        <f>IF(OR($D70="",$D70=CONST_NA),FALSE,INDEX(Parameters_Constants!$K$110:$AF$127,MATCH($E70,CONST_LIST_Goods,0),MATCH(AB$8,Parameters_Constants!$K$109:$AF$109,0))=FALSE)</f>
        <v>0</v>
      </c>
      <c r="AC172" s="279" t="b">
        <f>IF(OR($D70="",$D70=CONST_NA),FALSE,INDEX(Parameters_Constants!$K$110:$AF$127,MATCH($E70,CONST_LIST_Goods,0),MATCH(AC$8,Parameters_Constants!$K$109:$AF$109,0))=FALSE)</f>
        <v>0</v>
      </c>
      <c r="AD172" s="279" t="b">
        <f>IF(OR($D70="",$D70=CONST_NA),FALSE,INDEX(Parameters_Constants!$K$110:$AF$127,MATCH($E70,CONST_LIST_Goods,0),MATCH(AD$8,Parameters_Constants!$K$109:$AF$109,0))=FALSE)</f>
        <v>0</v>
      </c>
      <c r="AE172" s="279" t="b">
        <f>IF(OR($D70="",$D70=CONST_NA),FALSE,INDEX(Parameters_Constants!$K$110:$AF$127,MATCH($E70,CONST_LIST_Goods,0),MATCH(AE$8,Parameters_Constants!$K$109:$AF$109,0))=FALSE)</f>
        <v>0</v>
      </c>
      <c r="AF172" s="279" t="b">
        <f>IF(OR($D70="",$D70=CONST_NA),FALSE,INDEX(Parameters_Constants!$K$110:$AF$127,MATCH($E70,CONST_LIST_Goods,0),MATCH(AF$8,Parameters_Constants!$K$109:$AF$109,0))=FALSE)</f>
        <v>0</v>
      </c>
      <c r="AG172" s="279" t="b">
        <f>IF(OR($D70="",$D70=CONST_NA),FALSE,INDEX(Parameters_Constants!$K$110:$AF$127,MATCH($E70,CONST_LIST_Goods,0),MATCH(AG$8,Parameters_Constants!$K$109:$AF$109,0))=FALSE)</f>
        <v>0</v>
      </c>
      <c r="AH172" s="279" t="b">
        <f>IF(OR($D70="",$D70=CONST_NA),FALSE,INDEX(Parameters_Constants!$K$110:$AF$127,MATCH($E70,CONST_LIST_Goods,0),MATCH(AH$8,Parameters_Constants!$K$109:$AF$109,0))=FALSE)</f>
        <v>0</v>
      </c>
      <c r="AI172" s="279" t="b">
        <f>IF(OR($D70="",$D70=CONST_NA),FALSE,INDEX(Parameters_Constants!$K$110:$AF$127,MATCH($E70,CONST_LIST_Goods,0),MATCH(AI$8,Parameters_Constants!$K$109:$AF$109,0))=FALSE)</f>
        <v>0</v>
      </c>
      <c r="AJ172" s="279" t="b">
        <f>IF(OR($D70="",$D70=CONST_NA),FALSE,INDEX(Parameters_Constants!$K$110:$AF$127,MATCH($E70,CONST_LIST_Goods,0),MATCH(AJ$8,Parameters_Constants!$K$109:$AF$109,0))=FALSE)</f>
        <v>0</v>
      </c>
      <c r="AK172" s="279" t="b">
        <f>IF(OR($D70="",$D70=CONST_NA),FALSE,INDEX(Parameters_Constants!$K$110:$AF$127,MATCH($E70,CONST_LIST_Goods,0),MATCH(AK$8,Parameters_Constants!$K$109:$AF$109,0))=FALSE)</f>
        <v>0</v>
      </c>
      <c r="AL172" s="280"/>
      <c r="AM172" s="280"/>
      <c r="AN172" s="280"/>
      <c r="AO172" s="280"/>
      <c r="AP172" s="280"/>
      <c r="AQ172" s="280"/>
      <c r="AR172" s="280"/>
      <c r="AS172" s="280"/>
      <c r="AT172" s="280"/>
      <c r="AU172" s="280"/>
      <c r="AV172" s="280"/>
      <c r="AW172" s="280"/>
    </row>
    <row r="173" spans="1:49" s="275" customFormat="1" hidden="1" x14ac:dyDescent="0.35">
      <c r="A173" s="275" t="s">
        <v>3</v>
      </c>
      <c r="C173" s="275">
        <v>62</v>
      </c>
      <c r="F173" s="279" t="b">
        <v>0</v>
      </c>
      <c r="H173" s="279" t="b">
        <v>0</v>
      </c>
      <c r="P173" s="279" t="b">
        <f>IF(OR($D71="",$D71=CONST_NA),FALSE,INDEX(Parameters_Constants!$K$110:$AF$127,MATCH($E71,CONST_LIST_Goods,0),MATCH(P$8,Parameters_Constants!$K$109:$AF$109,0))=FALSE)</f>
        <v>0</v>
      </c>
      <c r="Q173" s="279" t="b">
        <f>IF(OR($D71="",$D71=CONST_NA),FALSE,INDEX(Parameters_Constants!$K$110:$AF$127,MATCH($E71,CONST_LIST_Goods,0),MATCH(Q$8,Parameters_Constants!$K$109:$AF$109,0))=FALSE)</f>
        <v>0</v>
      </c>
      <c r="R173" s="279" t="b">
        <f>IF(OR($D71="",$D71=CONST_NA),FALSE,INDEX(Parameters_Constants!$K$110:$AF$127,MATCH($E71,CONST_LIST_Goods,0),MATCH(R$8,Parameters_Constants!$K$109:$AF$109,0))=FALSE)</f>
        <v>0</v>
      </c>
      <c r="S173" s="279" t="b">
        <f>IF(OR($D71="",$D71=CONST_NA),FALSE,INDEX(Parameters_Constants!$K$110:$AF$127,MATCH($E71,CONST_LIST_Goods,0),MATCH(S$8,Parameters_Constants!$K$109:$AF$109,0))=FALSE)</f>
        <v>0</v>
      </c>
      <c r="T173" s="279" t="b">
        <f>IF(OR($D71="",$D71=CONST_NA),FALSE,INDEX(Parameters_Constants!$K$110:$AF$127,MATCH($E71,CONST_LIST_Goods,0),MATCH(T$8,Parameters_Constants!$K$109:$AF$109,0))=FALSE)</f>
        <v>0</v>
      </c>
      <c r="U173" s="279" t="b">
        <f>IF(OR($D71="",$D71=CONST_NA),FALSE,INDEX(Parameters_Constants!$K$110:$AF$127,MATCH($E71,CONST_LIST_Goods,0),MATCH(U$8,Parameters_Constants!$K$109:$AF$109,0))=FALSE)</f>
        <v>0</v>
      </c>
      <c r="V173" s="279" t="b">
        <f>IF(OR($D71="",$D71=CONST_NA),FALSE,INDEX(Parameters_Constants!$K$110:$AF$127,MATCH($E71,CONST_LIST_Goods,0),MATCH(V$8,Parameters_Constants!$K$109:$AF$109,0))=FALSE)</f>
        <v>0</v>
      </c>
      <c r="W173" s="279" t="b">
        <f>IF(OR($D71="",$D71=CONST_NA),FALSE,INDEX(Parameters_Constants!$K$110:$AF$127,MATCH($E71,CONST_LIST_Goods,0),MATCH(W$8,Parameters_Constants!$K$109:$AF$109,0))=FALSE)</f>
        <v>0</v>
      </c>
      <c r="X173" s="279" t="b">
        <f>IF(OR($D71="",$D71=CONST_NA),FALSE,INDEX(Parameters_Constants!$K$110:$AF$127,MATCH($E71,CONST_LIST_Goods,0),MATCH(X$8,Parameters_Constants!$K$109:$AF$109,0))=FALSE)</f>
        <v>0</v>
      </c>
      <c r="Y173" s="279" t="b">
        <f>IF(OR($D71="",$D71=CONST_NA),FALSE,INDEX(Parameters_Constants!$K$110:$AF$127,MATCH($E71,CONST_LIST_Goods,0),MATCH(Y$8,Parameters_Constants!$K$109:$AF$109,0))=FALSE)</f>
        <v>0</v>
      </c>
      <c r="Z173" s="279" t="b">
        <f>IF(OR($D71="",$D71=CONST_NA),FALSE,INDEX(Parameters_Constants!$K$110:$AF$127,MATCH($E71,CONST_LIST_Goods,0),MATCH(Z$8,Parameters_Constants!$K$109:$AF$109,0))=FALSE)</f>
        <v>0</v>
      </c>
      <c r="AA173" s="279" t="b">
        <f>IF(OR($D71="",$D71=CONST_NA),FALSE,INDEX(Parameters_Constants!$K$110:$AF$127,MATCH($E71,CONST_LIST_Goods,0),MATCH(AA$8,Parameters_Constants!$K$109:$AF$109,0))=FALSE)</f>
        <v>0</v>
      </c>
      <c r="AB173" s="279" t="b">
        <f>IF(OR($D71="",$D71=CONST_NA),FALSE,INDEX(Parameters_Constants!$K$110:$AF$127,MATCH($E71,CONST_LIST_Goods,0),MATCH(AB$8,Parameters_Constants!$K$109:$AF$109,0))=FALSE)</f>
        <v>0</v>
      </c>
      <c r="AC173" s="279" t="b">
        <f>IF(OR($D71="",$D71=CONST_NA),FALSE,INDEX(Parameters_Constants!$K$110:$AF$127,MATCH($E71,CONST_LIST_Goods,0),MATCH(AC$8,Parameters_Constants!$K$109:$AF$109,0))=FALSE)</f>
        <v>0</v>
      </c>
      <c r="AD173" s="279" t="b">
        <f>IF(OR($D71="",$D71=CONST_NA),FALSE,INDEX(Parameters_Constants!$K$110:$AF$127,MATCH($E71,CONST_LIST_Goods,0),MATCH(AD$8,Parameters_Constants!$K$109:$AF$109,0))=FALSE)</f>
        <v>0</v>
      </c>
      <c r="AE173" s="279" t="b">
        <f>IF(OR($D71="",$D71=CONST_NA),FALSE,INDEX(Parameters_Constants!$K$110:$AF$127,MATCH($E71,CONST_LIST_Goods,0),MATCH(AE$8,Parameters_Constants!$K$109:$AF$109,0))=FALSE)</f>
        <v>0</v>
      </c>
      <c r="AF173" s="279" t="b">
        <f>IF(OR($D71="",$D71=CONST_NA),FALSE,INDEX(Parameters_Constants!$K$110:$AF$127,MATCH($E71,CONST_LIST_Goods,0),MATCH(AF$8,Parameters_Constants!$K$109:$AF$109,0))=FALSE)</f>
        <v>0</v>
      </c>
      <c r="AG173" s="279" t="b">
        <f>IF(OR($D71="",$D71=CONST_NA),FALSE,INDEX(Parameters_Constants!$K$110:$AF$127,MATCH($E71,CONST_LIST_Goods,0),MATCH(AG$8,Parameters_Constants!$K$109:$AF$109,0))=FALSE)</f>
        <v>0</v>
      </c>
      <c r="AH173" s="279" t="b">
        <f>IF(OR($D71="",$D71=CONST_NA),FALSE,INDEX(Parameters_Constants!$K$110:$AF$127,MATCH($E71,CONST_LIST_Goods,0),MATCH(AH$8,Parameters_Constants!$K$109:$AF$109,0))=FALSE)</f>
        <v>0</v>
      </c>
      <c r="AI173" s="279" t="b">
        <f>IF(OR($D71="",$D71=CONST_NA),FALSE,INDEX(Parameters_Constants!$K$110:$AF$127,MATCH($E71,CONST_LIST_Goods,0),MATCH(AI$8,Parameters_Constants!$K$109:$AF$109,0))=FALSE)</f>
        <v>0</v>
      </c>
      <c r="AJ173" s="279" t="b">
        <f>IF(OR($D71="",$D71=CONST_NA),FALSE,INDEX(Parameters_Constants!$K$110:$AF$127,MATCH($E71,CONST_LIST_Goods,0),MATCH(AJ$8,Parameters_Constants!$K$109:$AF$109,0))=FALSE)</f>
        <v>0</v>
      </c>
      <c r="AK173" s="279" t="b">
        <f>IF(OR($D71="",$D71=CONST_NA),FALSE,INDEX(Parameters_Constants!$K$110:$AF$127,MATCH($E71,CONST_LIST_Goods,0),MATCH(AK$8,Parameters_Constants!$K$109:$AF$109,0))=FALSE)</f>
        <v>0</v>
      </c>
      <c r="AL173" s="280"/>
      <c r="AM173" s="280"/>
      <c r="AN173" s="280"/>
      <c r="AO173" s="280"/>
      <c r="AP173" s="280"/>
      <c r="AQ173" s="280"/>
      <c r="AR173" s="280"/>
      <c r="AS173" s="280"/>
      <c r="AT173" s="280"/>
      <c r="AU173" s="280"/>
      <c r="AV173" s="280"/>
      <c r="AW173" s="280"/>
    </row>
    <row r="174" spans="1:49" s="275" customFormat="1" hidden="1" x14ac:dyDescent="0.35">
      <c r="A174" s="275" t="s">
        <v>3</v>
      </c>
      <c r="C174" s="275">
        <v>63</v>
      </c>
      <c r="F174" s="279" t="b">
        <v>0</v>
      </c>
      <c r="H174" s="279" t="b">
        <v>0</v>
      </c>
      <c r="P174" s="279" t="b">
        <f>IF(OR($D72="",$D72=CONST_NA),FALSE,INDEX(Parameters_Constants!$K$110:$AF$127,MATCH($E72,CONST_LIST_Goods,0),MATCH(P$8,Parameters_Constants!$K$109:$AF$109,0))=FALSE)</f>
        <v>0</v>
      </c>
      <c r="Q174" s="279" t="b">
        <f>IF(OR($D72="",$D72=CONST_NA),FALSE,INDEX(Parameters_Constants!$K$110:$AF$127,MATCH($E72,CONST_LIST_Goods,0),MATCH(Q$8,Parameters_Constants!$K$109:$AF$109,0))=FALSE)</f>
        <v>0</v>
      </c>
      <c r="R174" s="279" t="b">
        <f>IF(OR($D72="",$D72=CONST_NA),FALSE,INDEX(Parameters_Constants!$K$110:$AF$127,MATCH($E72,CONST_LIST_Goods,0),MATCH(R$8,Parameters_Constants!$K$109:$AF$109,0))=FALSE)</f>
        <v>0</v>
      </c>
      <c r="S174" s="279" t="b">
        <f>IF(OR($D72="",$D72=CONST_NA),FALSE,INDEX(Parameters_Constants!$K$110:$AF$127,MATCH($E72,CONST_LIST_Goods,0),MATCH(S$8,Parameters_Constants!$K$109:$AF$109,0))=FALSE)</f>
        <v>0</v>
      </c>
      <c r="T174" s="279" t="b">
        <f>IF(OR($D72="",$D72=CONST_NA),FALSE,INDEX(Parameters_Constants!$K$110:$AF$127,MATCH($E72,CONST_LIST_Goods,0),MATCH(T$8,Parameters_Constants!$K$109:$AF$109,0))=FALSE)</f>
        <v>0</v>
      </c>
      <c r="U174" s="279" t="b">
        <f>IF(OR($D72="",$D72=CONST_NA),FALSE,INDEX(Parameters_Constants!$K$110:$AF$127,MATCH($E72,CONST_LIST_Goods,0),MATCH(U$8,Parameters_Constants!$K$109:$AF$109,0))=FALSE)</f>
        <v>0</v>
      </c>
      <c r="V174" s="279" t="b">
        <f>IF(OR($D72="",$D72=CONST_NA),FALSE,INDEX(Parameters_Constants!$K$110:$AF$127,MATCH($E72,CONST_LIST_Goods,0),MATCH(V$8,Parameters_Constants!$K$109:$AF$109,0))=FALSE)</f>
        <v>0</v>
      </c>
      <c r="W174" s="279" t="b">
        <f>IF(OR($D72="",$D72=CONST_NA),FALSE,INDEX(Parameters_Constants!$K$110:$AF$127,MATCH($E72,CONST_LIST_Goods,0),MATCH(W$8,Parameters_Constants!$K$109:$AF$109,0))=FALSE)</f>
        <v>0</v>
      </c>
      <c r="X174" s="279" t="b">
        <f>IF(OR($D72="",$D72=CONST_NA),FALSE,INDEX(Parameters_Constants!$K$110:$AF$127,MATCH($E72,CONST_LIST_Goods,0),MATCH(X$8,Parameters_Constants!$K$109:$AF$109,0))=FALSE)</f>
        <v>0</v>
      </c>
      <c r="Y174" s="279" t="b">
        <f>IF(OR($D72="",$D72=CONST_NA),FALSE,INDEX(Parameters_Constants!$K$110:$AF$127,MATCH($E72,CONST_LIST_Goods,0),MATCH(Y$8,Parameters_Constants!$K$109:$AF$109,0))=FALSE)</f>
        <v>0</v>
      </c>
      <c r="Z174" s="279" t="b">
        <f>IF(OR($D72="",$D72=CONST_NA),FALSE,INDEX(Parameters_Constants!$K$110:$AF$127,MATCH($E72,CONST_LIST_Goods,0),MATCH(Z$8,Parameters_Constants!$K$109:$AF$109,0))=FALSE)</f>
        <v>0</v>
      </c>
      <c r="AA174" s="279" t="b">
        <f>IF(OR($D72="",$D72=CONST_NA),FALSE,INDEX(Parameters_Constants!$K$110:$AF$127,MATCH($E72,CONST_LIST_Goods,0),MATCH(AA$8,Parameters_Constants!$K$109:$AF$109,0))=FALSE)</f>
        <v>0</v>
      </c>
      <c r="AB174" s="279" t="b">
        <f>IF(OR($D72="",$D72=CONST_NA),FALSE,INDEX(Parameters_Constants!$K$110:$AF$127,MATCH($E72,CONST_LIST_Goods,0),MATCH(AB$8,Parameters_Constants!$K$109:$AF$109,0))=FALSE)</f>
        <v>0</v>
      </c>
      <c r="AC174" s="279" t="b">
        <f>IF(OR($D72="",$D72=CONST_NA),FALSE,INDEX(Parameters_Constants!$K$110:$AF$127,MATCH($E72,CONST_LIST_Goods,0),MATCH(AC$8,Parameters_Constants!$K$109:$AF$109,0))=FALSE)</f>
        <v>0</v>
      </c>
      <c r="AD174" s="279" t="b">
        <f>IF(OR($D72="",$D72=CONST_NA),FALSE,INDEX(Parameters_Constants!$K$110:$AF$127,MATCH($E72,CONST_LIST_Goods,0),MATCH(AD$8,Parameters_Constants!$K$109:$AF$109,0))=FALSE)</f>
        <v>0</v>
      </c>
      <c r="AE174" s="279" t="b">
        <f>IF(OR($D72="",$D72=CONST_NA),FALSE,INDEX(Parameters_Constants!$K$110:$AF$127,MATCH($E72,CONST_LIST_Goods,0),MATCH(AE$8,Parameters_Constants!$K$109:$AF$109,0))=FALSE)</f>
        <v>0</v>
      </c>
      <c r="AF174" s="279" t="b">
        <f>IF(OR($D72="",$D72=CONST_NA),FALSE,INDEX(Parameters_Constants!$K$110:$AF$127,MATCH($E72,CONST_LIST_Goods,0),MATCH(AF$8,Parameters_Constants!$K$109:$AF$109,0))=FALSE)</f>
        <v>0</v>
      </c>
      <c r="AG174" s="279" t="b">
        <f>IF(OR($D72="",$D72=CONST_NA),FALSE,INDEX(Parameters_Constants!$K$110:$AF$127,MATCH($E72,CONST_LIST_Goods,0),MATCH(AG$8,Parameters_Constants!$K$109:$AF$109,0))=FALSE)</f>
        <v>0</v>
      </c>
      <c r="AH174" s="279" t="b">
        <f>IF(OR($D72="",$D72=CONST_NA),FALSE,INDEX(Parameters_Constants!$K$110:$AF$127,MATCH($E72,CONST_LIST_Goods,0),MATCH(AH$8,Parameters_Constants!$K$109:$AF$109,0))=FALSE)</f>
        <v>0</v>
      </c>
      <c r="AI174" s="279" t="b">
        <f>IF(OR($D72="",$D72=CONST_NA),FALSE,INDEX(Parameters_Constants!$K$110:$AF$127,MATCH($E72,CONST_LIST_Goods,0),MATCH(AI$8,Parameters_Constants!$K$109:$AF$109,0))=FALSE)</f>
        <v>0</v>
      </c>
      <c r="AJ174" s="279" t="b">
        <f>IF(OR($D72="",$D72=CONST_NA),FALSE,INDEX(Parameters_Constants!$K$110:$AF$127,MATCH($E72,CONST_LIST_Goods,0),MATCH(AJ$8,Parameters_Constants!$K$109:$AF$109,0))=FALSE)</f>
        <v>0</v>
      </c>
      <c r="AK174" s="279" t="b">
        <f>IF(OR($D72="",$D72=CONST_NA),FALSE,INDEX(Parameters_Constants!$K$110:$AF$127,MATCH($E72,CONST_LIST_Goods,0),MATCH(AK$8,Parameters_Constants!$K$109:$AF$109,0))=FALSE)</f>
        <v>0</v>
      </c>
      <c r="AL174" s="280"/>
      <c r="AM174" s="280"/>
      <c r="AN174" s="280"/>
      <c r="AO174" s="280"/>
      <c r="AP174" s="280"/>
      <c r="AQ174" s="280"/>
      <c r="AR174" s="280"/>
      <c r="AS174" s="280"/>
      <c r="AT174" s="280"/>
      <c r="AU174" s="280"/>
      <c r="AV174" s="280"/>
      <c r="AW174" s="280"/>
    </row>
    <row r="175" spans="1:49" s="275" customFormat="1" hidden="1" x14ac:dyDescent="0.35">
      <c r="A175" s="275" t="s">
        <v>3</v>
      </c>
      <c r="C175" s="275">
        <v>64</v>
      </c>
      <c r="F175" s="279" t="b">
        <v>0</v>
      </c>
      <c r="H175" s="279" t="b">
        <v>0</v>
      </c>
      <c r="P175" s="279" t="b">
        <f>IF(OR($D73="",$D73=CONST_NA),FALSE,INDEX(Parameters_Constants!$K$110:$AF$127,MATCH($E73,CONST_LIST_Goods,0),MATCH(P$8,Parameters_Constants!$K$109:$AF$109,0))=FALSE)</f>
        <v>0</v>
      </c>
      <c r="Q175" s="279" t="b">
        <f>IF(OR($D73="",$D73=CONST_NA),FALSE,INDEX(Parameters_Constants!$K$110:$AF$127,MATCH($E73,CONST_LIST_Goods,0),MATCH(Q$8,Parameters_Constants!$K$109:$AF$109,0))=FALSE)</f>
        <v>0</v>
      </c>
      <c r="R175" s="279" t="b">
        <f>IF(OR($D73="",$D73=CONST_NA),FALSE,INDEX(Parameters_Constants!$K$110:$AF$127,MATCH($E73,CONST_LIST_Goods,0),MATCH(R$8,Parameters_Constants!$K$109:$AF$109,0))=FALSE)</f>
        <v>0</v>
      </c>
      <c r="S175" s="279" t="b">
        <f>IF(OR($D73="",$D73=CONST_NA),FALSE,INDEX(Parameters_Constants!$K$110:$AF$127,MATCH($E73,CONST_LIST_Goods,0),MATCH(S$8,Parameters_Constants!$K$109:$AF$109,0))=FALSE)</f>
        <v>0</v>
      </c>
      <c r="T175" s="279" t="b">
        <f>IF(OR($D73="",$D73=CONST_NA),FALSE,INDEX(Parameters_Constants!$K$110:$AF$127,MATCH($E73,CONST_LIST_Goods,0),MATCH(T$8,Parameters_Constants!$K$109:$AF$109,0))=FALSE)</f>
        <v>0</v>
      </c>
      <c r="U175" s="279" t="b">
        <f>IF(OR($D73="",$D73=CONST_NA),FALSE,INDEX(Parameters_Constants!$K$110:$AF$127,MATCH($E73,CONST_LIST_Goods,0),MATCH(U$8,Parameters_Constants!$K$109:$AF$109,0))=FALSE)</f>
        <v>0</v>
      </c>
      <c r="V175" s="279" t="b">
        <f>IF(OR($D73="",$D73=CONST_NA),FALSE,INDEX(Parameters_Constants!$K$110:$AF$127,MATCH($E73,CONST_LIST_Goods,0),MATCH(V$8,Parameters_Constants!$K$109:$AF$109,0))=FALSE)</f>
        <v>0</v>
      </c>
      <c r="W175" s="279" t="b">
        <f>IF(OR($D73="",$D73=CONST_NA),FALSE,INDEX(Parameters_Constants!$K$110:$AF$127,MATCH($E73,CONST_LIST_Goods,0),MATCH(W$8,Parameters_Constants!$K$109:$AF$109,0))=FALSE)</f>
        <v>0</v>
      </c>
      <c r="X175" s="279" t="b">
        <f>IF(OR($D73="",$D73=CONST_NA),FALSE,INDEX(Parameters_Constants!$K$110:$AF$127,MATCH($E73,CONST_LIST_Goods,0),MATCH(X$8,Parameters_Constants!$K$109:$AF$109,0))=FALSE)</f>
        <v>0</v>
      </c>
      <c r="Y175" s="279" t="b">
        <f>IF(OR($D73="",$D73=CONST_NA),FALSE,INDEX(Parameters_Constants!$K$110:$AF$127,MATCH($E73,CONST_LIST_Goods,0),MATCH(Y$8,Parameters_Constants!$K$109:$AF$109,0))=FALSE)</f>
        <v>0</v>
      </c>
      <c r="Z175" s="279" t="b">
        <f>IF(OR($D73="",$D73=CONST_NA),FALSE,INDEX(Parameters_Constants!$K$110:$AF$127,MATCH($E73,CONST_LIST_Goods,0),MATCH(Z$8,Parameters_Constants!$K$109:$AF$109,0))=FALSE)</f>
        <v>0</v>
      </c>
      <c r="AA175" s="279" t="b">
        <f>IF(OR($D73="",$D73=CONST_NA),FALSE,INDEX(Parameters_Constants!$K$110:$AF$127,MATCH($E73,CONST_LIST_Goods,0),MATCH(AA$8,Parameters_Constants!$K$109:$AF$109,0))=FALSE)</f>
        <v>0</v>
      </c>
      <c r="AB175" s="279" t="b">
        <f>IF(OR($D73="",$D73=CONST_NA),FALSE,INDEX(Parameters_Constants!$K$110:$AF$127,MATCH($E73,CONST_LIST_Goods,0),MATCH(AB$8,Parameters_Constants!$K$109:$AF$109,0))=FALSE)</f>
        <v>0</v>
      </c>
      <c r="AC175" s="279" t="b">
        <f>IF(OR($D73="",$D73=CONST_NA),FALSE,INDEX(Parameters_Constants!$K$110:$AF$127,MATCH($E73,CONST_LIST_Goods,0),MATCH(AC$8,Parameters_Constants!$K$109:$AF$109,0))=FALSE)</f>
        <v>0</v>
      </c>
      <c r="AD175" s="279" t="b">
        <f>IF(OR($D73="",$D73=CONST_NA),FALSE,INDEX(Parameters_Constants!$K$110:$AF$127,MATCH($E73,CONST_LIST_Goods,0),MATCH(AD$8,Parameters_Constants!$K$109:$AF$109,0))=FALSE)</f>
        <v>0</v>
      </c>
      <c r="AE175" s="279" t="b">
        <f>IF(OR($D73="",$D73=CONST_NA),FALSE,INDEX(Parameters_Constants!$K$110:$AF$127,MATCH($E73,CONST_LIST_Goods,0),MATCH(AE$8,Parameters_Constants!$K$109:$AF$109,0))=FALSE)</f>
        <v>0</v>
      </c>
      <c r="AF175" s="279" t="b">
        <f>IF(OR($D73="",$D73=CONST_NA),FALSE,INDEX(Parameters_Constants!$K$110:$AF$127,MATCH($E73,CONST_LIST_Goods,0),MATCH(AF$8,Parameters_Constants!$K$109:$AF$109,0))=FALSE)</f>
        <v>0</v>
      </c>
      <c r="AG175" s="279" t="b">
        <f>IF(OR($D73="",$D73=CONST_NA),FALSE,INDEX(Parameters_Constants!$K$110:$AF$127,MATCH($E73,CONST_LIST_Goods,0),MATCH(AG$8,Parameters_Constants!$K$109:$AF$109,0))=FALSE)</f>
        <v>0</v>
      </c>
      <c r="AH175" s="279" t="b">
        <f>IF(OR($D73="",$D73=CONST_NA),FALSE,INDEX(Parameters_Constants!$K$110:$AF$127,MATCH($E73,CONST_LIST_Goods,0),MATCH(AH$8,Parameters_Constants!$K$109:$AF$109,0))=FALSE)</f>
        <v>0</v>
      </c>
      <c r="AI175" s="279" t="b">
        <f>IF(OR($D73="",$D73=CONST_NA),FALSE,INDEX(Parameters_Constants!$K$110:$AF$127,MATCH($E73,CONST_LIST_Goods,0),MATCH(AI$8,Parameters_Constants!$K$109:$AF$109,0))=FALSE)</f>
        <v>0</v>
      </c>
      <c r="AJ175" s="279" t="b">
        <f>IF(OR($D73="",$D73=CONST_NA),FALSE,INDEX(Parameters_Constants!$K$110:$AF$127,MATCH($E73,CONST_LIST_Goods,0),MATCH(AJ$8,Parameters_Constants!$K$109:$AF$109,0))=FALSE)</f>
        <v>0</v>
      </c>
      <c r="AK175" s="279" t="b">
        <f>IF(OR($D73="",$D73=CONST_NA),FALSE,INDEX(Parameters_Constants!$K$110:$AF$127,MATCH($E73,CONST_LIST_Goods,0),MATCH(AK$8,Parameters_Constants!$K$109:$AF$109,0))=FALSE)</f>
        <v>0</v>
      </c>
      <c r="AL175" s="280"/>
      <c r="AM175" s="280"/>
      <c r="AN175" s="280"/>
      <c r="AO175" s="280"/>
      <c r="AP175" s="280"/>
      <c r="AQ175" s="280"/>
      <c r="AR175" s="280"/>
      <c r="AS175" s="280"/>
      <c r="AT175" s="280"/>
      <c r="AU175" s="280"/>
      <c r="AV175" s="280"/>
      <c r="AW175" s="280"/>
    </row>
    <row r="176" spans="1:49" s="275" customFormat="1" hidden="1" x14ac:dyDescent="0.35">
      <c r="A176" s="275" t="s">
        <v>3</v>
      </c>
      <c r="C176" s="275">
        <v>65</v>
      </c>
      <c r="F176" s="279" t="b">
        <v>0</v>
      </c>
      <c r="H176" s="279" t="b">
        <v>0</v>
      </c>
      <c r="P176" s="279" t="b">
        <f>IF(OR($D74="",$D74=CONST_NA),FALSE,INDEX(Parameters_Constants!$K$110:$AF$127,MATCH($E74,CONST_LIST_Goods,0),MATCH(P$8,Parameters_Constants!$K$109:$AF$109,0))=FALSE)</f>
        <v>0</v>
      </c>
      <c r="Q176" s="279" t="b">
        <f>IF(OR($D74="",$D74=CONST_NA),FALSE,INDEX(Parameters_Constants!$K$110:$AF$127,MATCH($E74,CONST_LIST_Goods,0),MATCH(Q$8,Parameters_Constants!$K$109:$AF$109,0))=FALSE)</f>
        <v>0</v>
      </c>
      <c r="R176" s="279" t="b">
        <f>IF(OR($D74="",$D74=CONST_NA),FALSE,INDEX(Parameters_Constants!$K$110:$AF$127,MATCH($E74,CONST_LIST_Goods,0),MATCH(R$8,Parameters_Constants!$K$109:$AF$109,0))=FALSE)</f>
        <v>0</v>
      </c>
      <c r="S176" s="279" t="b">
        <f>IF(OR($D74="",$D74=CONST_NA),FALSE,INDEX(Parameters_Constants!$K$110:$AF$127,MATCH($E74,CONST_LIST_Goods,0),MATCH(S$8,Parameters_Constants!$K$109:$AF$109,0))=FALSE)</f>
        <v>0</v>
      </c>
      <c r="T176" s="279" t="b">
        <f>IF(OR($D74="",$D74=CONST_NA),FALSE,INDEX(Parameters_Constants!$K$110:$AF$127,MATCH($E74,CONST_LIST_Goods,0),MATCH(T$8,Parameters_Constants!$K$109:$AF$109,0))=FALSE)</f>
        <v>0</v>
      </c>
      <c r="U176" s="279" t="b">
        <f>IF(OR($D74="",$D74=CONST_NA),FALSE,INDEX(Parameters_Constants!$K$110:$AF$127,MATCH($E74,CONST_LIST_Goods,0),MATCH(U$8,Parameters_Constants!$K$109:$AF$109,0))=FALSE)</f>
        <v>0</v>
      </c>
      <c r="V176" s="279" t="b">
        <f>IF(OR($D74="",$D74=CONST_NA),FALSE,INDEX(Parameters_Constants!$K$110:$AF$127,MATCH($E74,CONST_LIST_Goods,0),MATCH(V$8,Parameters_Constants!$K$109:$AF$109,0))=FALSE)</f>
        <v>0</v>
      </c>
      <c r="W176" s="279" t="b">
        <f>IF(OR($D74="",$D74=CONST_NA),FALSE,INDEX(Parameters_Constants!$K$110:$AF$127,MATCH($E74,CONST_LIST_Goods,0),MATCH(W$8,Parameters_Constants!$K$109:$AF$109,0))=FALSE)</f>
        <v>0</v>
      </c>
      <c r="X176" s="279" t="b">
        <f>IF(OR($D74="",$D74=CONST_NA),FALSE,INDEX(Parameters_Constants!$K$110:$AF$127,MATCH($E74,CONST_LIST_Goods,0),MATCH(X$8,Parameters_Constants!$K$109:$AF$109,0))=FALSE)</f>
        <v>0</v>
      </c>
      <c r="Y176" s="279" t="b">
        <f>IF(OR($D74="",$D74=CONST_NA),FALSE,INDEX(Parameters_Constants!$K$110:$AF$127,MATCH($E74,CONST_LIST_Goods,0),MATCH(Y$8,Parameters_Constants!$K$109:$AF$109,0))=FALSE)</f>
        <v>0</v>
      </c>
      <c r="Z176" s="279" t="b">
        <f>IF(OR($D74="",$D74=CONST_NA),FALSE,INDEX(Parameters_Constants!$K$110:$AF$127,MATCH($E74,CONST_LIST_Goods,0),MATCH(Z$8,Parameters_Constants!$K$109:$AF$109,0))=FALSE)</f>
        <v>0</v>
      </c>
      <c r="AA176" s="279" t="b">
        <f>IF(OR($D74="",$D74=CONST_NA),FALSE,INDEX(Parameters_Constants!$K$110:$AF$127,MATCH($E74,CONST_LIST_Goods,0),MATCH(AA$8,Parameters_Constants!$K$109:$AF$109,0))=FALSE)</f>
        <v>0</v>
      </c>
      <c r="AB176" s="279" t="b">
        <f>IF(OR($D74="",$D74=CONST_NA),FALSE,INDEX(Parameters_Constants!$K$110:$AF$127,MATCH($E74,CONST_LIST_Goods,0),MATCH(AB$8,Parameters_Constants!$K$109:$AF$109,0))=FALSE)</f>
        <v>0</v>
      </c>
      <c r="AC176" s="279" t="b">
        <f>IF(OR($D74="",$D74=CONST_NA),FALSE,INDEX(Parameters_Constants!$K$110:$AF$127,MATCH($E74,CONST_LIST_Goods,0),MATCH(AC$8,Parameters_Constants!$K$109:$AF$109,0))=FALSE)</f>
        <v>0</v>
      </c>
      <c r="AD176" s="279" t="b">
        <f>IF(OR($D74="",$D74=CONST_NA),FALSE,INDEX(Parameters_Constants!$K$110:$AF$127,MATCH($E74,CONST_LIST_Goods,0),MATCH(AD$8,Parameters_Constants!$K$109:$AF$109,0))=FALSE)</f>
        <v>0</v>
      </c>
      <c r="AE176" s="279" t="b">
        <f>IF(OR($D74="",$D74=CONST_NA),FALSE,INDEX(Parameters_Constants!$K$110:$AF$127,MATCH($E74,CONST_LIST_Goods,0),MATCH(AE$8,Parameters_Constants!$K$109:$AF$109,0))=FALSE)</f>
        <v>0</v>
      </c>
      <c r="AF176" s="279" t="b">
        <f>IF(OR($D74="",$D74=CONST_NA),FALSE,INDEX(Parameters_Constants!$K$110:$AF$127,MATCH($E74,CONST_LIST_Goods,0),MATCH(AF$8,Parameters_Constants!$K$109:$AF$109,0))=FALSE)</f>
        <v>0</v>
      </c>
      <c r="AG176" s="279" t="b">
        <f>IF(OR($D74="",$D74=CONST_NA),FALSE,INDEX(Parameters_Constants!$K$110:$AF$127,MATCH($E74,CONST_LIST_Goods,0),MATCH(AG$8,Parameters_Constants!$K$109:$AF$109,0))=FALSE)</f>
        <v>0</v>
      </c>
      <c r="AH176" s="279" t="b">
        <f>IF(OR($D74="",$D74=CONST_NA),FALSE,INDEX(Parameters_Constants!$K$110:$AF$127,MATCH($E74,CONST_LIST_Goods,0),MATCH(AH$8,Parameters_Constants!$K$109:$AF$109,0))=FALSE)</f>
        <v>0</v>
      </c>
      <c r="AI176" s="279" t="b">
        <f>IF(OR($D74="",$D74=CONST_NA),FALSE,INDEX(Parameters_Constants!$K$110:$AF$127,MATCH($E74,CONST_LIST_Goods,0),MATCH(AI$8,Parameters_Constants!$K$109:$AF$109,0))=FALSE)</f>
        <v>0</v>
      </c>
      <c r="AJ176" s="279" t="b">
        <f>IF(OR($D74="",$D74=CONST_NA),FALSE,INDEX(Parameters_Constants!$K$110:$AF$127,MATCH($E74,CONST_LIST_Goods,0),MATCH(AJ$8,Parameters_Constants!$K$109:$AF$109,0))=FALSE)</f>
        <v>0</v>
      </c>
      <c r="AK176" s="279" t="b">
        <f>IF(OR($D74="",$D74=CONST_NA),FALSE,INDEX(Parameters_Constants!$K$110:$AF$127,MATCH($E74,CONST_LIST_Goods,0),MATCH(AK$8,Parameters_Constants!$K$109:$AF$109,0))=FALSE)</f>
        <v>0</v>
      </c>
      <c r="AL176" s="280"/>
      <c r="AM176" s="280"/>
      <c r="AN176" s="280"/>
      <c r="AO176" s="280"/>
      <c r="AP176" s="280"/>
      <c r="AQ176" s="280"/>
      <c r="AR176" s="280"/>
      <c r="AS176" s="280"/>
      <c r="AT176" s="280"/>
      <c r="AU176" s="280"/>
      <c r="AV176" s="280"/>
      <c r="AW176" s="280"/>
    </row>
    <row r="177" spans="1:49" s="275" customFormat="1" hidden="1" x14ac:dyDescent="0.35">
      <c r="A177" s="275" t="s">
        <v>3</v>
      </c>
      <c r="C177" s="275">
        <v>66</v>
      </c>
      <c r="F177" s="279" t="b">
        <v>0</v>
      </c>
      <c r="H177" s="279" t="b">
        <v>0</v>
      </c>
      <c r="P177" s="279" t="b">
        <f>IF(OR($D75="",$D75=CONST_NA),FALSE,INDEX(Parameters_Constants!$K$110:$AF$127,MATCH($E75,CONST_LIST_Goods,0),MATCH(P$8,Parameters_Constants!$K$109:$AF$109,0))=FALSE)</f>
        <v>0</v>
      </c>
      <c r="Q177" s="279" t="b">
        <f>IF(OR($D75="",$D75=CONST_NA),FALSE,INDEX(Parameters_Constants!$K$110:$AF$127,MATCH($E75,CONST_LIST_Goods,0),MATCH(Q$8,Parameters_Constants!$K$109:$AF$109,0))=FALSE)</f>
        <v>0</v>
      </c>
      <c r="R177" s="279" t="b">
        <f>IF(OR($D75="",$D75=CONST_NA),FALSE,INDEX(Parameters_Constants!$K$110:$AF$127,MATCH($E75,CONST_LIST_Goods,0),MATCH(R$8,Parameters_Constants!$K$109:$AF$109,0))=FALSE)</f>
        <v>0</v>
      </c>
      <c r="S177" s="279" t="b">
        <f>IF(OR($D75="",$D75=CONST_NA),FALSE,INDEX(Parameters_Constants!$K$110:$AF$127,MATCH($E75,CONST_LIST_Goods,0),MATCH(S$8,Parameters_Constants!$K$109:$AF$109,0))=FALSE)</f>
        <v>0</v>
      </c>
      <c r="T177" s="279" t="b">
        <f>IF(OR($D75="",$D75=CONST_NA),FALSE,INDEX(Parameters_Constants!$K$110:$AF$127,MATCH($E75,CONST_LIST_Goods,0),MATCH(T$8,Parameters_Constants!$K$109:$AF$109,0))=FALSE)</f>
        <v>0</v>
      </c>
      <c r="U177" s="279" t="b">
        <f>IF(OR($D75="",$D75=CONST_NA),FALSE,INDEX(Parameters_Constants!$K$110:$AF$127,MATCH($E75,CONST_LIST_Goods,0),MATCH(U$8,Parameters_Constants!$K$109:$AF$109,0))=FALSE)</f>
        <v>0</v>
      </c>
      <c r="V177" s="279" t="b">
        <f>IF(OR($D75="",$D75=CONST_NA),FALSE,INDEX(Parameters_Constants!$K$110:$AF$127,MATCH($E75,CONST_LIST_Goods,0),MATCH(V$8,Parameters_Constants!$K$109:$AF$109,0))=FALSE)</f>
        <v>0</v>
      </c>
      <c r="W177" s="279" t="b">
        <f>IF(OR($D75="",$D75=CONST_NA),FALSE,INDEX(Parameters_Constants!$K$110:$AF$127,MATCH($E75,CONST_LIST_Goods,0),MATCH(W$8,Parameters_Constants!$K$109:$AF$109,0))=FALSE)</f>
        <v>0</v>
      </c>
      <c r="X177" s="279" t="b">
        <f>IF(OR($D75="",$D75=CONST_NA),FALSE,INDEX(Parameters_Constants!$K$110:$AF$127,MATCH($E75,CONST_LIST_Goods,0),MATCH(X$8,Parameters_Constants!$K$109:$AF$109,0))=FALSE)</f>
        <v>0</v>
      </c>
      <c r="Y177" s="279" t="b">
        <f>IF(OR($D75="",$D75=CONST_NA),FALSE,INDEX(Parameters_Constants!$K$110:$AF$127,MATCH($E75,CONST_LIST_Goods,0),MATCH(Y$8,Parameters_Constants!$K$109:$AF$109,0))=FALSE)</f>
        <v>0</v>
      </c>
      <c r="Z177" s="279" t="b">
        <f>IF(OR($D75="",$D75=CONST_NA),FALSE,INDEX(Parameters_Constants!$K$110:$AF$127,MATCH($E75,CONST_LIST_Goods,0),MATCH(Z$8,Parameters_Constants!$K$109:$AF$109,0))=FALSE)</f>
        <v>0</v>
      </c>
      <c r="AA177" s="279" t="b">
        <f>IF(OR($D75="",$D75=CONST_NA),FALSE,INDEX(Parameters_Constants!$K$110:$AF$127,MATCH($E75,CONST_LIST_Goods,0),MATCH(AA$8,Parameters_Constants!$K$109:$AF$109,0))=FALSE)</f>
        <v>0</v>
      </c>
      <c r="AB177" s="279" t="b">
        <f>IF(OR($D75="",$D75=CONST_NA),FALSE,INDEX(Parameters_Constants!$K$110:$AF$127,MATCH($E75,CONST_LIST_Goods,0),MATCH(AB$8,Parameters_Constants!$K$109:$AF$109,0))=FALSE)</f>
        <v>0</v>
      </c>
      <c r="AC177" s="279" t="b">
        <f>IF(OR($D75="",$D75=CONST_NA),FALSE,INDEX(Parameters_Constants!$K$110:$AF$127,MATCH($E75,CONST_LIST_Goods,0),MATCH(AC$8,Parameters_Constants!$K$109:$AF$109,0))=FALSE)</f>
        <v>0</v>
      </c>
      <c r="AD177" s="279" t="b">
        <f>IF(OR($D75="",$D75=CONST_NA),FALSE,INDEX(Parameters_Constants!$K$110:$AF$127,MATCH($E75,CONST_LIST_Goods,0),MATCH(AD$8,Parameters_Constants!$K$109:$AF$109,0))=FALSE)</f>
        <v>0</v>
      </c>
      <c r="AE177" s="279" t="b">
        <f>IF(OR($D75="",$D75=CONST_NA),FALSE,INDEX(Parameters_Constants!$K$110:$AF$127,MATCH($E75,CONST_LIST_Goods,0),MATCH(AE$8,Parameters_Constants!$K$109:$AF$109,0))=FALSE)</f>
        <v>0</v>
      </c>
      <c r="AF177" s="279" t="b">
        <f>IF(OR($D75="",$D75=CONST_NA),FALSE,INDEX(Parameters_Constants!$K$110:$AF$127,MATCH($E75,CONST_LIST_Goods,0),MATCH(AF$8,Parameters_Constants!$K$109:$AF$109,0))=FALSE)</f>
        <v>0</v>
      </c>
      <c r="AG177" s="279" t="b">
        <f>IF(OR($D75="",$D75=CONST_NA),FALSE,INDEX(Parameters_Constants!$K$110:$AF$127,MATCH($E75,CONST_LIST_Goods,0),MATCH(AG$8,Parameters_Constants!$K$109:$AF$109,0))=FALSE)</f>
        <v>0</v>
      </c>
      <c r="AH177" s="279" t="b">
        <f>IF(OR($D75="",$D75=CONST_NA),FALSE,INDEX(Parameters_Constants!$K$110:$AF$127,MATCH($E75,CONST_LIST_Goods,0),MATCH(AH$8,Parameters_Constants!$K$109:$AF$109,0))=FALSE)</f>
        <v>0</v>
      </c>
      <c r="AI177" s="279" t="b">
        <f>IF(OR($D75="",$D75=CONST_NA),FALSE,INDEX(Parameters_Constants!$K$110:$AF$127,MATCH($E75,CONST_LIST_Goods,0),MATCH(AI$8,Parameters_Constants!$K$109:$AF$109,0))=FALSE)</f>
        <v>0</v>
      </c>
      <c r="AJ177" s="279" t="b">
        <f>IF(OR($D75="",$D75=CONST_NA),FALSE,INDEX(Parameters_Constants!$K$110:$AF$127,MATCH($E75,CONST_LIST_Goods,0),MATCH(AJ$8,Parameters_Constants!$K$109:$AF$109,0))=FALSE)</f>
        <v>0</v>
      </c>
      <c r="AK177" s="279" t="b">
        <f>IF(OR($D75="",$D75=CONST_NA),FALSE,INDEX(Parameters_Constants!$K$110:$AF$127,MATCH($E75,CONST_LIST_Goods,0),MATCH(AK$8,Parameters_Constants!$K$109:$AF$109,0))=FALSE)</f>
        <v>0</v>
      </c>
      <c r="AL177" s="280"/>
      <c r="AM177" s="280"/>
      <c r="AN177" s="280"/>
      <c r="AO177" s="280"/>
      <c r="AP177" s="280"/>
      <c r="AQ177" s="280"/>
      <c r="AR177" s="280"/>
      <c r="AS177" s="280"/>
      <c r="AT177" s="280"/>
      <c r="AU177" s="280"/>
      <c r="AV177" s="280"/>
      <c r="AW177" s="280"/>
    </row>
    <row r="178" spans="1:49" s="275" customFormat="1" hidden="1" x14ac:dyDescent="0.35">
      <c r="A178" s="275" t="s">
        <v>3</v>
      </c>
      <c r="C178" s="275">
        <v>67</v>
      </c>
      <c r="F178" s="279" t="b">
        <v>0</v>
      </c>
      <c r="H178" s="279" t="b">
        <v>0</v>
      </c>
      <c r="P178" s="279" t="b">
        <f>IF(OR($D76="",$D76=CONST_NA),FALSE,INDEX(Parameters_Constants!$K$110:$AF$127,MATCH($E76,CONST_LIST_Goods,0),MATCH(P$8,Parameters_Constants!$K$109:$AF$109,0))=FALSE)</f>
        <v>0</v>
      </c>
      <c r="Q178" s="279" t="b">
        <f>IF(OR($D76="",$D76=CONST_NA),FALSE,INDEX(Parameters_Constants!$K$110:$AF$127,MATCH($E76,CONST_LIST_Goods,0),MATCH(Q$8,Parameters_Constants!$K$109:$AF$109,0))=FALSE)</f>
        <v>0</v>
      </c>
      <c r="R178" s="279" t="b">
        <f>IF(OR($D76="",$D76=CONST_NA),FALSE,INDEX(Parameters_Constants!$K$110:$AF$127,MATCH($E76,CONST_LIST_Goods,0),MATCH(R$8,Parameters_Constants!$K$109:$AF$109,0))=FALSE)</f>
        <v>0</v>
      </c>
      <c r="S178" s="279" t="b">
        <f>IF(OR($D76="",$D76=CONST_NA),FALSE,INDEX(Parameters_Constants!$K$110:$AF$127,MATCH($E76,CONST_LIST_Goods,0),MATCH(S$8,Parameters_Constants!$K$109:$AF$109,0))=FALSE)</f>
        <v>0</v>
      </c>
      <c r="T178" s="279" t="b">
        <f>IF(OR($D76="",$D76=CONST_NA),FALSE,INDEX(Parameters_Constants!$K$110:$AF$127,MATCH($E76,CONST_LIST_Goods,0),MATCH(T$8,Parameters_Constants!$K$109:$AF$109,0))=FALSE)</f>
        <v>0</v>
      </c>
      <c r="U178" s="279" t="b">
        <f>IF(OR($D76="",$D76=CONST_NA),FALSE,INDEX(Parameters_Constants!$K$110:$AF$127,MATCH($E76,CONST_LIST_Goods,0),MATCH(U$8,Parameters_Constants!$K$109:$AF$109,0))=FALSE)</f>
        <v>0</v>
      </c>
      <c r="V178" s="279" t="b">
        <f>IF(OR($D76="",$D76=CONST_NA),FALSE,INDEX(Parameters_Constants!$K$110:$AF$127,MATCH($E76,CONST_LIST_Goods,0),MATCH(V$8,Parameters_Constants!$K$109:$AF$109,0))=FALSE)</f>
        <v>0</v>
      </c>
      <c r="W178" s="279" t="b">
        <f>IF(OR($D76="",$D76=CONST_NA),FALSE,INDEX(Parameters_Constants!$K$110:$AF$127,MATCH($E76,CONST_LIST_Goods,0),MATCH(W$8,Parameters_Constants!$K$109:$AF$109,0))=FALSE)</f>
        <v>0</v>
      </c>
      <c r="X178" s="279" t="b">
        <f>IF(OR($D76="",$D76=CONST_NA),FALSE,INDEX(Parameters_Constants!$K$110:$AF$127,MATCH($E76,CONST_LIST_Goods,0),MATCH(X$8,Parameters_Constants!$K$109:$AF$109,0))=FALSE)</f>
        <v>0</v>
      </c>
      <c r="Y178" s="279" t="b">
        <f>IF(OR($D76="",$D76=CONST_NA),FALSE,INDEX(Parameters_Constants!$K$110:$AF$127,MATCH($E76,CONST_LIST_Goods,0),MATCH(Y$8,Parameters_Constants!$K$109:$AF$109,0))=FALSE)</f>
        <v>0</v>
      </c>
      <c r="Z178" s="279" t="b">
        <f>IF(OR($D76="",$D76=CONST_NA),FALSE,INDEX(Parameters_Constants!$K$110:$AF$127,MATCH($E76,CONST_LIST_Goods,0),MATCH(Z$8,Parameters_Constants!$K$109:$AF$109,0))=FALSE)</f>
        <v>0</v>
      </c>
      <c r="AA178" s="279" t="b">
        <f>IF(OR($D76="",$D76=CONST_NA),FALSE,INDEX(Parameters_Constants!$K$110:$AF$127,MATCH($E76,CONST_LIST_Goods,0),MATCH(AA$8,Parameters_Constants!$K$109:$AF$109,0))=FALSE)</f>
        <v>0</v>
      </c>
      <c r="AB178" s="279" t="b">
        <f>IF(OR($D76="",$D76=CONST_NA),FALSE,INDEX(Parameters_Constants!$K$110:$AF$127,MATCH($E76,CONST_LIST_Goods,0),MATCH(AB$8,Parameters_Constants!$K$109:$AF$109,0))=FALSE)</f>
        <v>0</v>
      </c>
      <c r="AC178" s="279" t="b">
        <f>IF(OR($D76="",$D76=CONST_NA),FALSE,INDEX(Parameters_Constants!$K$110:$AF$127,MATCH($E76,CONST_LIST_Goods,0),MATCH(AC$8,Parameters_Constants!$K$109:$AF$109,0))=FALSE)</f>
        <v>0</v>
      </c>
      <c r="AD178" s="279" t="b">
        <f>IF(OR($D76="",$D76=CONST_NA),FALSE,INDEX(Parameters_Constants!$K$110:$AF$127,MATCH($E76,CONST_LIST_Goods,0),MATCH(AD$8,Parameters_Constants!$K$109:$AF$109,0))=FALSE)</f>
        <v>0</v>
      </c>
      <c r="AE178" s="279" t="b">
        <f>IF(OR($D76="",$D76=CONST_NA),FALSE,INDEX(Parameters_Constants!$K$110:$AF$127,MATCH($E76,CONST_LIST_Goods,0),MATCH(AE$8,Parameters_Constants!$K$109:$AF$109,0))=FALSE)</f>
        <v>0</v>
      </c>
      <c r="AF178" s="279" t="b">
        <f>IF(OR($D76="",$D76=CONST_NA),FALSE,INDEX(Parameters_Constants!$K$110:$AF$127,MATCH($E76,CONST_LIST_Goods,0),MATCH(AF$8,Parameters_Constants!$K$109:$AF$109,0))=FALSE)</f>
        <v>0</v>
      </c>
      <c r="AG178" s="279" t="b">
        <f>IF(OR($D76="",$D76=CONST_NA),FALSE,INDEX(Parameters_Constants!$K$110:$AF$127,MATCH($E76,CONST_LIST_Goods,0),MATCH(AG$8,Parameters_Constants!$K$109:$AF$109,0))=FALSE)</f>
        <v>0</v>
      </c>
      <c r="AH178" s="279" t="b">
        <f>IF(OR($D76="",$D76=CONST_NA),FALSE,INDEX(Parameters_Constants!$K$110:$AF$127,MATCH($E76,CONST_LIST_Goods,0),MATCH(AH$8,Parameters_Constants!$K$109:$AF$109,0))=FALSE)</f>
        <v>0</v>
      </c>
      <c r="AI178" s="279" t="b">
        <f>IF(OR($D76="",$D76=CONST_NA),FALSE,INDEX(Parameters_Constants!$K$110:$AF$127,MATCH($E76,CONST_LIST_Goods,0),MATCH(AI$8,Parameters_Constants!$K$109:$AF$109,0))=FALSE)</f>
        <v>0</v>
      </c>
      <c r="AJ178" s="279" t="b">
        <f>IF(OR($D76="",$D76=CONST_NA),FALSE,INDEX(Parameters_Constants!$K$110:$AF$127,MATCH($E76,CONST_LIST_Goods,0),MATCH(AJ$8,Parameters_Constants!$K$109:$AF$109,0))=FALSE)</f>
        <v>0</v>
      </c>
      <c r="AK178" s="279" t="b">
        <f>IF(OR($D76="",$D76=CONST_NA),FALSE,INDEX(Parameters_Constants!$K$110:$AF$127,MATCH($E76,CONST_LIST_Goods,0),MATCH(AK$8,Parameters_Constants!$K$109:$AF$109,0))=FALSE)</f>
        <v>0</v>
      </c>
      <c r="AL178" s="280"/>
      <c r="AM178" s="280"/>
      <c r="AN178" s="280"/>
      <c r="AO178" s="280"/>
      <c r="AP178" s="280"/>
      <c r="AQ178" s="280"/>
      <c r="AR178" s="280"/>
      <c r="AS178" s="280"/>
      <c r="AT178" s="280"/>
      <c r="AU178" s="280"/>
      <c r="AV178" s="280"/>
      <c r="AW178" s="280"/>
    </row>
    <row r="179" spans="1:49" s="275" customFormat="1" hidden="1" x14ac:dyDescent="0.35">
      <c r="A179" s="275" t="s">
        <v>3</v>
      </c>
      <c r="C179" s="275">
        <v>68</v>
      </c>
      <c r="F179" s="279" t="b">
        <v>0</v>
      </c>
      <c r="H179" s="279" t="b">
        <v>0</v>
      </c>
      <c r="P179" s="279" t="b">
        <f>IF(OR($D77="",$D77=CONST_NA),FALSE,INDEX(Parameters_Constants!$K$110:$AF$127,MATCH($E77,CONST_LIST_Goods,0),MATCH(P$8,Parameters_Constants!$K$109:$AF$109,0))=FALSE)</f>
        <v>0</v>
      </c>
      <c r="Q179" s="279" t="b">
        <f>IF(OR($D77="",$D77=CONST_NA),FALSE,INDEX(Parameters_Constants!$K$110:$AF$127,MATCH($E77,CONST_LIST_Goods,0),MATCH(Q$8,Parameters_Constants!$K$109:$AF$109,0))=FALSE)</f>
        <v>0</v>
      </c>
      <c r="R179" s="279" t="b">
        <f>IF(OR($D77="",$D77=CONST_NA),FALSE,INDEX(Parameters_Constants!$K$110:$AF$127,MATCH($E77,CONST_LIST_Goods,0),MATCH(R$8,Parameters_Constants!$K$109:$AF$109,0))=FALSE)</f>
        <v>0</v>
      </c>
      <c r="S179" s="279" t="b">
        <f>IF(OR($D77="",$D77=CONST_NA),FALSE,INDEX(Parameters_Constants!$K$110:$AF$127,MATCH($E77,CONST_LIST_Goods,0),MATCH(S$8,Parameters_Constants!$K$109:$AF$109,0))=FALSE)</f>
        <v>0</v>
      </c>
      <c r="T179" s="279" t="b">
        <f>IF(OR($D77="",$D77=CONST_NA),FALSE,INDEX(Parameters_Constants!$K$110:$AF$127,MATCH($E77,CONST_LIST_Goods,0),MATCH(T$8,Parameters_Constants!$K$109:$AF$109,0))=FALSE)</f>
        <v>0</v>
      </c>
      <c r="U179" s="279" t="b">
        <f>IF(OR($D77="",$D77=CONST_NA),FALSE,INDEX(Parameters_Constants!$K$110:$AF$127,MATCH($E77,CONST_LIST_Goods,0),MATCH(U$8,Parameters_Constants!$K$109:$AF$109,0))=FALSE)</f>
        <v>0</v>
      </c>
      <c r="V179" s="279" t="b">
        <f>IF(OR($D77="",$D77=CONST_NA),FALSE,INDEX(Parameters_Constants!$K$110:$AF$127,MATCH($E77,CONST_LIST_Goods,0),MATCH(V$8,Parameters_Constants!$K$109:$AF$109,0))=FALSE)</f>
        <v>0</v>
      </c>
      <c r="W179" s="279" t="b">
        <f>IF(OR($D77="",$D77=CONST_NA),FALSE,INDEX(Parameters_Constants!$K$110:$AF$127,MATCH($E77,CONST_LIST_Goods,0),MATCH(W$8,Parameters_Constants!$K$109:$AF$109,0))=FALSE)</f>
        <v>0</v>
      </c>
      <c r="X179" s="279" t="b">
        <f>IF(OR($D77="",$D77=CONST_NA),FALSE,INDEX(Parameters_Constants!$K$110:$AF$127,MATCH($E77,CONST_LIST_Goods,0),MATCH(X$8,Parameters_Constants!$K$109:$AF$109,0))=FALSE)</f>
        <v>0</v>
      </c>
      <c r="Y179" s="279" t="b">
        <f>IF(OR($D77="",$D77=CONST_NA),FALSE,INDEX(Parameters_Constants!$K$110:$AF$127,MATCH($E77,CONST_LIST_Goods,0),MATCH(Y$8,Parameters_Constants!$K$109:$AF$109,0))=FALSE)</f>
        <v>0</v>
      </c>
      <c r="Z179" s="279" t="b">
        <f>IF(OR($D77="",$D77=CONST_NA),FALSE,INDEX(Parameters_Constants!$K$110:$AF$127,MATCH($E77,CONST_LIST_Goods,0),MATCH(Z$8,Parameters_Constants!$K$109:$AF$109,0))=FALSE)</f>
        <v>0</v>
      </c>
      <c r="AA179" s="279" t="b">
        <f>IF(OR($D77="",$D77=CONST_NA),FALSE,INDEX(Parameters_Constants!$K$110:$AF$127,MATCH($E77,CONST_LIST_Goods,0),MATCH(AA$8,Parameters_Constants!$K$109:$AF$109,0))=FALSE)</f>
        <v>0</v>
      </c>
      <c r="AB179" s="279" t="b">
        <f>IF(OR($D77="",$D77=CONST_NA),FALSE,INDEX(Parameters_Constants!$K$110:$AF$127,MATCH($E77,CONST_LIST_Goods,0),MATCH(AB$8,Parameters_Constants!$K$109:$AF$109,0))=FALSE)</f>
        <v>0</v>
      </c>
      <c r="AC179" s="279" t="b">
        <f>IF(OR($D77="",$D77=CONST_NA),FALSE,INDEX(Parameters_Constants!$K$110:$AF$127,MATCH($E77,CONST_LIST_Goods,0),MATCH(AC$8,Parameters_Constants!$K$109:$AF$109,0))=FALSE)</f>
        <v>0</v>
      </c>
      <c r="AD179" s="279" t="b">
        <f>IF(OR($D77="",$D77=CONST_NA),FALSE,INDEX(Parameters_Constants!$K$110:$AF$127,MATCH($E77,CONST_LIST_Goods,0),MATCH(AD$8,Parameters_Constants!$K$109:$AF$109,0))=FALSE)</f>
        <v>0</v>
      </c>
      <c r="AE179" s="279" t="b">
        <f>IF(OR($D77="",$D77=CONST_NA),FALSE,INDEX(Parameters_Constants!$K$110:$AF$127,MATCH($E77,CONST_LIST_Goods,0),MATCH(AE$8,Parameters_Constants!$K$109:$AF$109,0))=FALSE)</f>
        <v>0</v>
      </c>
      <c r="AF179" s="279" t="b">
        <f>IF(OR($D77="",$D77=CONST_NA),FALSE,INDEX(Parameters_Constants!$K$110:$AF$127,MATCH($E77,CONST_LIST_Goods,0),MATCH(AF$8,Parameters_Constants!$K$109:$AF$109,0))=FALSE)</f>
        <v>0</v>
      </c>
      <c r="AG179" s="279" t="b">
        <f>IF(OR($D77="",$D77=CONST_NA),FALSE,INDEX(Parameters_Constants!$K$110:$AF$127,MATCH($E77,CONST_LIST_Goods,0),MATCH(AG$8,Parameters_Constants!$K$109:$AF$109,0))=FALSE)</f>
        <v>0</v>
      </c>
      <c r="AH179" s="279" t="b">
        <f>IF(OR($D77="",$D77=CONST_NA),FALSE,INDEX(Parameters_Constants!$K$110:$AF$127,MATCH($E77,CONST_LIST_Goods,0),MATCH(AH$8,Parameters_Constants!$K$109:$AF$109,0))=FALSE)</f>
        <v>0</v>
      </c>
      <c r="AI179" s="279" t="b">
        <f>IF(OR($D77="",$D77=CONST_NA),FALSE,INDEX(Parameters_Constants!$K$110:$AF$127,MATCH($E77,CONST_LIST_Goods,0),MATCH(AI$8,Parameters_Constants!$K$109:$AF$109,0))=FALSE)</f>
        <v>0</v>
      </c>
      <c r="AJ179" s="279" t="b">
        <f>IF(OR($D77="",$D77=CONST_NA),FALSE,INDEX(Parameters_Constants!$K$110:$AF$127,MATCH($E77,CONST_LIST_Goods,0),MATCH(AJ$8,Parameters_Constants!$K$109:$AF$109,0))=FALSE)</f>
        <v>0</v>
      </c>
      <c r="AK179" s="279" t="b">
        <f>IF(OR($D77="",$D77=CONST_NA),FALSE,INDEX(Parameters_Constants!$K$110:$AF$127,MATCH($E77,CONST_LIST_Goods,0),MATCH(AK$8,Parameters_Constants!$K$109:$AF$109,0))=FALSE)</f>
        <v>0</v>
      </c>
      <c r="AL179" s="280"/>
      <c r="AM179" s="280"/>
      <c r="AN179" s="280"/>
      <c r="AO179" s="280"/>
      <c r="AP179" s="280"/>
      <c r="AQ179" s="280"/>
      <c r="AR179" s="280"/>
      <c r="AS179" s="280"/>
      <c r="AT179" s="280"/>
      <c r="AU179" s="280"/>
      <c r="AV179" s="280"/>
      <c r="AW179" s="280"/>
    </row>
    <row r="180" spans="1:49" s="275" customFormat="1" hidden="1" x14ac:dyDescent="0.35">
      <c r="A180" s="275" t="s">
        <v>3</v>
      </c>
      <c r="C180" s="275">
        <v>69</v>
      </c>
      <c r="F180" s="279" t="b">
        <v>0</v>
      </c>
      <c r="H180" s="279" t="b">
        <v>0</v>
      </c>
      <c r="P180" s="279" t="b">
        <f>IF(OR($D78="",$D78=CONST_NA),FALSE,INDEX(Parameters_Constants!$K$110:$AF$127,MATCH($E78,CONST_LIST_Goods,0),MATCH(P$8,Parameters_Constants!$K$109:$AF$109,0))=FALSE)</f>
        <v>0</v>
      </c>
      <c r="Q180" s="279" t="b">
        <f>IF(OR($D78="",$D78=CONST_NA),FALSE,INDEX(Parameters_Constants!$K$110:$AF$127,MATCH($E78,CONST_LIST_Goods,0),MATCH(Q$8,Parameters_Constants!$K$109:$AF$109,0))=FALSE)</f>
        <v>0</v>
      </c>
      <c r="R180" s="279" t="b">
        <f>IF(OR($D78="",$D78=CONST_NA),FALSE,INDEX(Parameters_Constants!$K$110:$AF$127,MATCH($E78,CONST_LIST_Goods,0),MATCH(R$8,Parameters_Constants!$K$109:$AF$109,0))=FALSE)</f>
        <v>0</v>
      </c>
      <c r="S180" s="279" t="b">
        <f>IF(OR($D78="",$D78=CONST_NA),FALSE,INDEX(Parameters_Constants!$K$110:$AF$127,MATCH($E78,CONST_LIST_Goods,0),MATCH(S$8,Parameters_Constants!$K$109:$AF$109,0))=FALSE)</f>
        <v>0</v>
      </c>
      <c r="T180" s="279" t="b">
        <f>IF(OR($D78="",$D78=CONST_NA),FALSE,INDEX(Parameters_Constants!$K$110:$AF$127,MATCH($E78,CONST_LIST_Goods,0),MATCH(T$8,Parameters_Constants!$K$109:$AF$109,0))=FALSE)</f>
        <v>0</v>
      </c>
      <c r="U180" s="279" t="b">
        <f>IF(OR($D78="",$D78=CONST_NA),FALSE,INDEX(Parameters_Constants!$K$110:$AF$127,MATCH($E78,CONST_LIST_Goods,0),MATCH(U$8,Parameters_Constants!$K$109:$AF$109,0))=FALSE)</f>
        <v>0</v>
      </c>
      <c r="V180" s="279" t="b">
        <f>IF(OR($D78="",$D78=CONST_NA),FALSE,INDEX(Parameters_Constants!$K$110:$AF$127,MATCH($E78,CONST_LIST_Goods,0),MATCH(V$8,Parameters_Constants!$K$109:$AF$109,0))=FALSE)</f>
        <v>0</v>
      </c>
      <c r="W180" s="279" t="b">
        <f>IF(OR($D78="",$D78=CONST_NA),FALSE,INDEX(Parameters_Constants!$K$110:$AF$127,MATCH($E78,CONST_LIST_Goods,0),MATCH(W$8,Parameters_Constants!$K$109:$AF$109,0))=FALSE)</f>
        <v>0</v>
      </c>
      <c r="X180" s="279" t="b">
        <f>IF(OR($D78="",$D78=CONST_NA),FALSE,INDEX(Parameters_Constants!$K$110:$AF$127,MATCH($E78,CONST_LIST_Goods,0),MATCH(X$8,Parameters_Constants!$K$109:$AF$109,0))=FALSE)</f>
        <v>0</v>
      </c>
      <c r="Y180" s="279" t="b">
        <f>IF(OR($D78="",$D78=CONST_NA),FALSE,INDEX(Parameters_Constants!$K$110:$AF$127,MATCH($E78,CONST_LIST_Goods,0),MATCH(Y$8,Parameters_Constants!$K$109:$AF$109,0))=FALSE)</f>
        <v>0</v>
      </c>
      <c r="Z180" s="279" t="b">
        <f>IF(OR($D78="",$D78=CONST_NA),FALSE,INDEX(Parameters_Constants!$K$110:$AF$127,MATCH($E78,CONST_LIST_Goods,0),MATCH(Z$8,Parameters_Constants!$K$109:$AF$109,0))=FALSE)</f>
        <v>0</v>
      </c>
      <c r="AA180" s="279" t="b">
        <f>IF(OR($D78="",$D78=CONST_NA),FALSE,INDEX(Parameters_Constants!$K$110:$AF$127,MATCH($E78,CONST_LIST_Goods,0),MATCH(AA$8,Parameters_Constants!$K$109:$AF$109,0))=FALSE)</f>
        <v>0</v>
      </c>
      <c r="AB180" s="279" t="b">
        <f>IF(OR($D78="",$D78=CONST_NA),FALSE,INDEX(Parameters_Constants!$K$110:$AF$127,MATCH($E78,CONST_LIST_Goods,0),MATCH(AB$8,Parameters_Constants!$K$109:$AF$109,0))=FALSE)</f>
        <v>0</v>
      </c>
      <c r="AC180" s="279" t="b">
        <f>IF(OR($D78="",$D78=CONST_NA),FALSE,INDEX(Parameters_Constants!$K$110:$AF$127,MATCH($E78,CONST_LIST_Goods,0),MATCH(AC$8,Parameters_Constants!$K$109:$AF$109,0))=FALSE)</f>
        <v>0</v>
      </c>
      <c r="AD180" s="279" t="b">
        <f>IF(OR($D78="",$D78=CONST_NA),FALSE,INDEX(Parameters_Constants!$K$110:$AF$127,MATCH($E78,CONST_LIST_Goods,0),MATCH(AD$8,Parameters_Constants!$K$109:$AF$109,0))=FALSE)</f>
        <v>0</v>
      </c>
      <c r="AE180" s="279" t="b">
        <f>IF(OR($D78="",$D78=CONST_NA),FALSE,INDEX(Parameters_Constants!$K$110:$AF$127,MATCH($E78,CONST_LIST_Goods,0),MATCH(AE$8,Parameters_Constants!$K$109:$AF$109,0))=FALSE)</f>
        <v>0</v>
      </c>
      <c r="AF180" s="279" t="b">
        <f>IF(OR($D78="",$D78=CONST_NA),FALSE,INDEX(Parameters_Constants!$K$110:$AF$127,MATCH($E78,CONST_LIST_Goods,0),MATCH(AF$8,Parameters_Constants!$K$109:$AF$109,0))=FALSE)</f>
        <v>0</v>
      </c>
      <c r="AG180" s="279" t="b">
        <f>IF(OR($D78="",$D78=CONST_NA),FALSE,INDEX(Parameters_Constants!$K$110:$AF$127,MATCH($E78,CONST_LIST_Goods,0),MATCH(AG$8,Parameters_Constants!$K$109:$AF$109,0))=FALSE)</f>
        <v>0</v>
      </c>
      <c r="AH180" s="279" t="b">
        <f>IF(OR($D78="",$D78=CONST_NA),FALSE,INDEX(Parameters_Constants!$K$110:$AF$127,MATCH($E78,CONST_LIST_Goods,0),MATCH(AH$8,Parameters_Constants!$K$109:$AF$109,0))=FALSE)</f>
        <v>0</v>
      </c>
      <c r="AI180" s="279" t="b">
        <f>IF(OR($D78="",$D78=CONST_NA),FALSE,INDEX(Parameters_Constants!$K$110:$AF$127,MATCH($E78,CONST_LIST_Goods,0),MATCH(AI$8,Parameters_Constants!$K$109:$AF$109,0))=FALSE)</f>
        <v>0</v>
      </c>
      <c r="AJ180" s="279" t="b">
        <f>IF(OR($D78="",$D78=CONST_NA),FALSE,INDEX(Parameters_Constants!$K$110:$AF$127,MATCH($E78,CONST_LIST_Goods,0),MATCH(AJ$8,Parameters_Constants!$K$109:$AF$109,0))=FALSE)</f>
        <v>0</v>
      </c>
      <c r="AK180" s="279" t="b">
        <f>IF(OR($D78="",$D78=CONST_NA),FALSE,INDEX(Parameters_Constants!$K$110:$AF$127,MATCH($E78,CONST_LIST_Goods,0),MATCH(AK$8,Parameters_Constants!$K$109:$AF$109,0))=FALSE)</f>
        <v>0</v>
      </c>
      <c r="AL180" s="280"/>
      <c r="AM180" s="280"/>
      <c r="AN180" s="280"/>
      <c r="AO180" s="280"/>
      <c r="AP180" s="280"/>
      <c r="AQ180" s="280"/>
      <c r="AR180" s="280"/>
      <c r="AS180" s="280"/>
      <c r="AT180" s="280"/>
      <c r="AU180" s="280"/>
      <c r="AV180" s="280"/>
      <c r="AW180" s="280"/>
    </row>
    <row r="181" spans="1:49" s="275" customFormat="1" hidden="1" x14ac:dyDescent="0.35">
      <c r="A181" s="275" t="s">
        <v>3</v>
      </c>
      <c r="C181" s="275">
        <v>70</v>
      </c>
      <c r="F181" s="279" t="b">
        <v>0</v>
      </c>
      <c r="H181" s="279" t="b">
        <v>0</v>
      </c>
      <c r="P181" s="279" t="b">
        <f>IF(OR($D79="",$D79=CONST_NA),FALSE,INDEX(Parameters_Constants!$K$110:$AF$127,MATCH($E79,CONST_LIST_Goods,0),MATCH(P$8,Parameters_Constants!$K$109:$AF$109,0))=FALSE)</f>
        <v>0</v>
      </c>
      <c r="Q181" s="279" t="b">
        <f>IF(OR($D79="",$D79=CONST_NA),FALSE,INDEX(Parameters_Constants!$K$110:$AF$127,MATCH($E79,CONST_LIST_Goods,0),MATCH(Q$8,Parameters_Constants!$K$109:$AF$109,0))=FALSE)</f>
        <v>0</v>
      </c>
      <c r="R181" s="279" t="b">
        <f>IF(OR($D79="",$D79=CONST_NA),FALSE,INDEX(Parameters_Constants!$K$110:$AF$127,MATCH($E79,CONST_LIST_Goods,0),MATCH(R$8,Parameters_Constants!$K$109:$AF$109,0))=FALSE)</f>
        <v>0</v>
      </c>
      <c r="S181" s="279" t="b">
        <f>IF(OR($D79="",$D79=CONST_NA),FALSE,INDEX(Parameters_Constants!$K$110:$AF$127,MATCH($E79,CONST_LIST_Goods,0),MATCH(S$8,Parameters_Constants!$K$109:$AF$109,0))=FALSE)</f>
        <v>0</v>
      </c>
      <c r="T181" s="279" t="b">
        <f>IF(OR($D79="",$D79=CONST_NA),FALSE,INDEX(Parameters_Constants!$K$110:$AF$127,MATCH($E79,CONST_LIST_Goods,0),MATCH(T$8,Parameters_Constants!$K$109:$AF$109,0))=FALSE)</f>
        <v>0</v>
      </c>
      <c r="U181" s="279" t="b">
        <f>IF(OR($D79="",$D79=CONST_NA),FALSE,INDEX(Parameters_Constants!$K$110:$AF$127,MATCH($E79,CONST_LIST_Goods,0),MATCH(U$8,Parameters_Constants!$K$109:$AF$109,0))=FALSE)</f>
        <v>0</v>
      </c>
      <c r="V181" s="279" t="b">
        <f>IF(OR($D79="",$D79=CONST_NA),FALSE,INDEX(Parameters_Constants!$K$110:$AF$127,MATCH($E79,CONST_LIST_Goods,0),MATCH(V$8,Parameters_Constants!$K$109:$AF$109,0))=FALSE)</f>
        <v>0</v>
      </c>
      <c r="W181" s="279" t="b">
        <f>IF(OR($D79="",$D79=CONST_NA),FALSE,INDEX(Parameters_Constants!$K$110:$AF$127,MATCH($E79,CONST_LIST_Goods,0),MATCH(W$8,Parameters_Constants!$K$109:$AF$109,0))=FALSE)</f>
        <v>0</v>
      </c>
      <c r="X181" s="279" t="b">
        <f>IF(OR($D79="",$D79=CONST_NA),FALSE,INDEX(Parameters_Constants!$K$110:$AF$127,MATCH($E79,CONST_LIST_Goods,0),MATCH(X$8,Parameters_Constants!$K$109:$AF$109,0))=FALSE)</f>
        <v>0</v>
      </c>
      <c r="Y181" s="279" t="b">
        <f>IF(OR($D79="",$D79=CONST_NA),FALSE,INDEX(Parameters_Constants!$K$110:$AF$127,MATCH($E79,CONST_LIST_Goods,0),MATCH(Y$8,Parameters_Constants!$K$109:$AF$109,0))=FALSE)</f>
        <v>0</v>
      </c>
      <c r="Z181" s="279" t="b">
        <f>IF(OR($D79="",$D79=CONST_NA),FALSE,INDEX(Parameters_Constants!$K$110:$AF$127,MATCH($E79,CONST_LIST_Goods,0),MATCH(Z$8,Parameters_Constants!$K$109:$AF$109,0))=FALSE)</f>
        <v>0</v>
      </c>
      <c r="AA181" s="279" t="b">
        <f>IF(OR($D79="",$D79=CONST_NA),FALSE,INDEX(Parameters_Constants!$K$110:$AF$127,MATCH($E79,CONST_LIST_Goods,0),MATCH(AA$8,Parameters_Constants!$K$109:$AF$109,0))=FALSE)</f>
        <v>0</v>
      </c>
      <c r="AB181" s="279" t="b">
        <f>IF(OR($D79="",$D79=CONST_NA),FALSE,INDEX(Parameters_Constants!$K$110:$AF$127,MATCH($E79,CONST_LIST_Goods,0),MATCH(AB$8,Parameters_Constants!$K$109:$AF$109,0))=FALSE)</f>
        <v>0</v>
      </c>
      <c r="AC181" s="279" t="b">
        <f>IF(OR($D79="",$D79=CONST_NA),FALSE,INDEX(Parameters_Constants!$K$110:$AF$127,MATCH($E79,CONST_LIST_Goods,0),MATCH(AC$8,Parameters_Constants!$K$109:$AF$109,0))=FALSE)</f>
        <v>0</v>
      </c>
      <c r="AD181" s="279" t="b">
        <f>IF(OR($D79="",$D79=CONST_NA),FALSE,INDEX(Parameters_Constants!$K$110:$AF$127,MATCH($E79,CONST_LIST_Goods,0),MATCH(AD$8,Parameters_Constants!$K$109:$AF$109,0))=FALSE)</f>
        <v>0</v>
      </c>
      <c r="AE181" s="279" t="b">
        <f>IF(OR($D79="",$D79=CONST_NA),FALSE,INDEX(Parameters_Constants!$K$110:$AF$127,MATCH($E79,CONST_LIST_Goods,0),MATCH(AE$8,Parameters_Constants!$K$109:$AF$109,0))=FALSE)</f>
        <v>0</v>
      </c>
      <c r="AF181" s="279" t="b">
        <f>IF(OR($D79="",$D79=CONST_NA),FALSE,INDEX(Parameters_Constants!$K$110:$AF$127,MATCH($E79,CONST_LIST_Goods,0),MATCH(AF$8,Parameters_Constants!$K$109:$AF$109,0))=FALSE)</f>
        <v>0</v>
      </c>
      <c r="AG181" s="279" t="b">
        <f>IF(OR($D79="",$D79=CONST_NA),FALSE,INDEX(Parameters_Constants!$K$110:$AF$127,MATCH($E79,CONST_LIST_Goods,0),MATCH(AG$8,Parameters_Constants!$K$109:$AF$109,0))=FALSE)</f>
        <v>0</v>
      </c>
      <c r="AH181" s="279" t="b">
        <f>IF(OR($D79="",$D79=CONST_NA),FALSE,INDEX(Parameters_Constants!$K$110:$AF$127,MATCH($E79,CONST_LIST_Goods,0),MATCH(AH$8,Parameters_Constants!$K$109:$AF$109,0))=FALSE)</f>
        <v>0</v>
      </c>
      <c r="AI181" s="279" t="b">
        <f>IF(OR($D79="",$D79=CONST_NA),FALSE,INDEX(Parameters_Constants!$K$110:$AF$127,MATCH($E79,CONST_LIST_Goods,0),MATCH(AI$8,Parameters_Constants!$K$109:$AF$109,0))=FALSE)</f>
        <v>0</v>
      </c>
      <c r="AJ181" s="279" t="b">
        <f>IF(OR($D79="",$D79=CONST_NA),FALSE,INDEX(Parameters_Constants!$K$110:$AF$127,MATCH($E79,CONST_LIST_Goods,0),MATCH(AJ$8,Parameters_Constants!$K$109:$AF$109,0))=FALSE)</f>
        <v>0</v>
      </c>
      <c r="AK181" s="279" t="b">
        <f>IF(OR($D79="",$D79=CONST_NA),FALSE,INDEX(Parameters_Constants!$K$110:$AF$127,MATCH($E79,CONST_LIST_Goods,0),MATCH(AK$8,Parameters_Constants!$K$109:$AF$109,0))=FALSE)</f>
        <v>0</v>
      </c>
      <c r="AL181" s="280"/>
      <c r="AM181" s="280"/>
      <c r="AN181" s="280"/>
      <c r="AO181" s="280"/>
      <c r="AP181" s="280"/>
      <c r="AQ181" s="280"/>
      <c r="AR181" s="280"/>
      <c r="AS181" s="280"/>
      <c r="AT181" s="280"/>
      <c r="AU181" s="280"/>
      <c r="AV181" s="280"/>
      <c r="AW181" s="280"/>
    </row>
    <row r="182" spans="1:49" s="275" customFormat="1" hidden="1" x14ac:dyDescent="0.35">
      <c r="A182" s="275" t="s">
        <v>3</v>
      </c>
      <c r="C182" s="275">
        <v>71</v>
      </c>
      <c r="F182" s="279" t="b">
        <v>0</v>
      </c>
      <c r="H182" s="279" t="b">
        <v>0</v>
      </c>
      <c r="P182" s="279" t="b">
        <f>IF(OR($D80="",$D80=CONST_NA),FALSE,INDEX(Parameters_Constants!$K$110:$AF$127,MATCH($E80,CONST_LIST_Goods,0),MATCH(P$8,Parameters_Constants!$K$109:$AF$109,0))=FALSE)</f>
        <v>0</v>
      </c>
      <c r="Q182" s="279" t="b">
        <f>IF(OR($D80="",$D80=CONST_NA),FALSE,INDEX(Parameters_Constants!$K$110:$AF$127,MATCH($E80,CONST_LIST_Goods,0),MATCH(Q$8,Parameters_Constants!$K$109:$AF$109,0))=FALSE)</f>
        <v>0</v>
      </c>
      <c r="R182" s="279" t="b">
        <f>IF(OR($D80="",$D80=CONST_NA),FALSE,INDEX(Parameters_Constants!$K$110:$AF$127,MATCH($E80,CONST_LIST_Goods,0),MATCH(R$8,Parameters_Constants!$K$109:$AF$109,0))=FALSE)</f>
        <v>0</v>
      </c>
      <c r="S182" s="279" t="b">
        <f>IF(OR($D80="",$D80=CONST_NA),FALSE,INDEX(Parameters_Constants!$K$110:$AF$127,MATCH($E80,CONST_LIST_Goods,0),MATCH(S$8,Parameters_Constants!$K$109:$AF$109,0))=FALSE)</f>
        <v>0</v>
      </c>
      <c r="T182" s="279" t="b">
        <f>IF(OR($D80="",$D80=CONST_NA),FALSE,INDEX(Parameters_Constants!$K$110:$AF$127,MATCH($E80,CONST_LIST_Goods,0),MATCH(T$8,Parameters_Constants!$K$109:$AF$109,0))=FALSE)</f>
        <v>0</v>
      </c>
      <c r="U182" s="279" t="b">
        <f>IF(OR($D80="",$D80=CONST_NA),FALSE,INDEX(Parameters_Constants!$K$110:$AF$127,MATCH($E80,CONST_LIST_Goods,0),MATCH(U$8,Parameters_Constants!$K$109:$AF$109,0))=FALSE)</f>
        <v>0</v>
      </c>
      <c r="V182" s="279" t="b">
        <f>IF(OR($D80="",$D80=CONST_NA),FALSE,INDEX(Parameters_Constants!$K$110:$AF$127,MATCH($E80,CONST_LIST_Goods,0),MATCH(V$8,Parameters_Constants!$K$109:$AF$109,0))=FALSE)</f>
        <v>0</v>
      </c>
      <c r="W182" s="279" t="b">
        <f>IF(OR($D80="",$D80=CONST_NA),FALSE,INDEX(Parameters_Constants!$K$110:$AF$127,MATCH($E80,CONST_LIST_Goods,0),MATCH(W$8,Parameters_Constants!$K$109:$AF$109,0))=FALSE)</f>
        <v>0</v>
      </c>
      <c r="X182" s="279" t="b">
        <f>IF(OR($D80="",$D80=CONST_NA),FALSE,INDEX(Parameters_Constants!$K$110:$AF$127,MATCH($E80,CONST_LIST_Goods,0),MATCH(X$8,Parameters_Constants!$K$109:$AF$109,0))=FALSE)</f>
        <v>0</v>
      </c>
      <c r="Y182" s="279" t="b">
        <f>IF(OR($D80="",$D80=CONST_NA),FALSE,INDEX(Parameters_Constants!$K$110:$AF$127,MATCH($E80,CONST_LIST_Goods,0),MATCH(Y$8,Parameters_Constants!$K$109:$AF$109,0))=FALSE)</f>
        <v>0</v>
      </c>
      <c r="Z182" s="279" t="b">
        <f>IF(OR($D80="",$D80=CONST_NA),FALSE,INDEX(Parameters_Constants!$K$110:$AF$127,MATCH($E80,CONST_LIST_Goods,0),MATCH(Z$8,Parameters_Constants!$K$109:$AF$109,0))=FALSE)</f>
        <v>0</v>
      </c>
      <c r="AA182" s="279" t="b">
        <f>IF(OR($D80="",$D80=CONST_NA),FALSE,INDEX(Parameters_Constants!$K$110:$AF$127,MATCH($E80,CONST_LIST_Goods,0),MATCH(AA$8,Parameters_Constants!$K$109:$AF$109,0))=FALSE)</f>
        <v>0</v>
      </c>
      <c r="AB182" s="279" t="b">
        <f>IF(OR($D80="",$D80=CONST_NA),FALSE,INDEX(Parameters_Constants!$K$110:$AF$127,MATCH($E80,CONST_LIST_Goods,0),MATCH(AB$8,Parameters_Constants!$K$109:$AF$109,0))=FALSE)</f>
        <v>0</v>
      </c>
      <c r="AC182" s="279" t="b">
        <f>IF(OR($D80="",$D80=CONST_NA),FALSE,INDEX(Parameters_Constants!$K$110:$AF$127,MATCH($E80,CONST_LIST_Goods,0),MATCH(AC$8,Parameters_Constants!$K$109:$AF$109,0))=FALSE)</f>
        <v>0</v>
      </c>
      <c r="AD182" s="279" t="b">
        <f>IF(OR($D80="",$D80=CONST_NA),FALSE,INDEX(Parameters_Constants!$K$110:$AF$127,MATCH($E80,CONST_LIST_Goods,0),MATCH(AD$8,Parameters_Constants!$K$109:$AF$109,0))=FALSE)</f>
        <v>0</v>
      </c>
      <c r="AE182" s="279" t="b">
        <f>IF(OR($D80="",$D80=CONST_NA),FALSE,INDEX(Parameters_Constants!$K$110:$AF$127,MATCH($E80,CONST_LIST_Goods,0),MATCH(AE$8,Parameters_Constants!$K$109:$AF$109,0))=FALSE)</f>
        <v>0</v>
      </c>
      <c r="AF182" s="279" t="b">
        <f>IF(OR($D80="",$D80=CONST_NA),FALSE,INDEX(Parameters_Constants!$K$110:$AF$127,MATCH($E80,CONST_LIST_Goods,0),MATCH(AF$8,Parameters_Constants!$K$109:$AF$109,0))=FALSE)</f>
        <v>0</v>
      </c>
      <c r="AG182" s="279" t="b">
        <f>IF(OR($D80="",$D80=CONST_NA),FALSE,INDEX(Parameters_Constants!$K$110:$AF$127,MATCH($E80,CONST_LIST_Goods,0),MATCH(AG$8,Parameters_Constants!$K$109:$AF$109,0))=FALSE)</f>
        <v>0</v>
      </c>
      <c r="AH182" s="279" t="b">
        <f>IF(OR($D80="",$D80=CONST_NA),FALSE,INDEX(Parameters_Constants!$K$110:$AF$127,MATCH($E80,CONST_LIST_Goods,0),MATCH(AH$8,Parameters_Constants!$K$109:$AF$109,0))=FALSE)</f>
        <v>0</v>
      </c>
      <c r="AI182" s="279" t="b">
        <f>IF(OR($D80="",$D80=CONST_NA),FALSE,INDEX(Parameters_Constants!$K$110:$AF$127,MATCH($E80,CONST_LIST_Goods,0),MATCH(AI$8,Parameters_Constants!$K$109:$AF$109,0))=FALSE)</f>
        <v>0</v>
      </c>
      <c r="AJ182" s="279" t="b">
        <f>IF(OR($D80="",$D80=CONST_NA),FALSE,INDEX(Parameters_Constants!$K$110:$AF$127,MATCH($E80,CONST_LIST_Goods,0),MATCH(AJ$8,Parameters_Constants!$K$109:$AF$109,0))=FALSE)</f>
        <v>0</v>
      </c>
      <c r="AK182" s="279" t="b">
        <f>IF(OR($D80="",$D80=CONST_NA),FALSE,INDEX(Parameters_Constants!$K$110:$AF$127,MATCH($E80,CONST_LIST_Goods,0),MATCH(AK$8,Parameters_Constants!$K$109:$AF$109,0))=FALSE)</f>
        <v>0</v>
      </c>
      <c r="AL182" s="280"/>
      <c r="AM182" s="280"/>
      <c r="AN182" s="280"/>
      <c r="AO182" s="280"/>
      <c r="AP182" s="280"/>
      <c r="AQ182" s="280"/>
      <c r="AR182" s="280"/>
      <c r="AS182" s="280"/>
      <c r="AT182" s="280"/>
      <c r="AU182" s="280"/>
      <c r="AV182" s="280"/>
      <c r="AW182" s="280"/>
    </row>
    <row r="183" spans="1:49" s="275" customFormat="1" hidden="1" x14ac:dyDescent="0.35">
      <c r="A183" s="275" t="s">
        <v>3</v>
      </c>
      <c r="C183" s="275">
        <v>72</v>
      </c>
      <c r="F183" s="279" t="b">
        <v>0</v>
      </c>
      <c r="H183" s="279" t="b">
        <v>0</v>
      </c>
      <c r="P183" s="279" t="b">
        <f>IF(OR($D81="",$D81=CONST_NA),FALSE,INDEX(Parameters_Constants!$K$110:$AF$127,MATCH($E81,CONST_LIST_Goods,0),MATCH(P$8,Parameters_Constants!$K$109:$AF$109,0))=FALSE)</f>
        <v>0</v>
      </c>
      <c r="Q183" s="279" t="b">
        <f>IF(OR($D81="",$D81=CONST_NA),FALSE,INDEX(Parameters_Constants!$K$110:$AF$127,MATCH($E81,CONST_LIST_Goods,0),MATCH(Q$8,Parameters_Constants!$K$109:$AF$109,0))=FALSE)</f>
        <v>0</v>
      </c>
      <c r="R183" s="279" t="b">
        <f>IF(OR($D81="",$D81=CONST_NA),FALSE,INDEX(Parameters_Constants!$K$110:$AF$127,MATCH($E81,CONST_LIST_Goods,0),MATCH(R$8,Parameters_Constants!$K$109:$AF$109,0))=FALSE)</f>
        <v>0</v>
      </c>
      <c r="S183" s="279" t="b">
        <f>IF(OR($D81="",$D81=CONST_NA),FALSE,INDEX(Parameters_Constants!$K$110:$AF$127,MATCH($E81,CONST_LIST_Goods,0),MATCH(S$8,Parameters_Constants!$K$109:$AF$109,0))=FALSE)</f>
        <v>0</v>
      </c>
      <c r="T183" s="279" t="b">
        <f>IF(OR($D81="",$D81=CONST_NA),FALSE,INDEX(Parameters_Constants!$K$110:$AF$127,MATCH($E81,CONST_LIST_Goods,0),MATCH(T$8,Parameters_Constants!$K$109:$AF$109,0))=FALSE)</f>
        <v>0</v>
      </c>
      <c r="U183" s="279" t="b">
        <f>IF(OR($D81="",$D81=CONST_NA),FALSE,INDEX(Parameters_Constants!$K$110:$AF$127,MATCH($E81,CONST_LIST_Goods,0),MATCH(U$8,Parameters_Constants!$K$109:$AF$109,0))=FALSE)</f>
        <v>0</v>
      </c>
      <c r="V183" s="279" t="b">
        <f>IF(OR($D81="",$D81=CONST_NA),FALSE,INDEX(Parameters_Constants!$K$110:$AF$127,MATCH($E81,CONST_LIST_Goods,0),MATCH(V$8,Parameters_Constants!$K$109:$AF$109,0))=FALSE)</f>
        <v>0</v>
      </c>
      <c r="W183" s="279" t="b">
        <f>IF(OR($D81="",$D81=CONST_NA),FALSE,INDEX(Parameters_Constants!$K$110:$AF$127,MATCH($E81,CONST_LIST_Goods,0),MATCH(W$8,Parameters_Constants!$K$109:$AF$109,0))=FALSE)</f>
        <v>0</v>
      </c>
      <c r="X183" s="279" t="b">
        <f>IF(OR($D81="",$D81=CONST_NA),FALSE,INDEX(Parameters_Constants!$K$110:$AF$127,MATCH($E81,CONST_LIST_Goods,0),MATCH(X$8,Parameters_Constants!$K$109:$AF$109,0))=FALSE)</f>
        <v>0</v>
      </c>
      <c r="Y183" s="279" t="b">
        <f>IF(OR($D81="",$D81=CONST_NA),FALSE,INDEX(Parameters_Constants!$K$110:$AF$127,MATCH($E81,CONST_LIST_Goods,0),MATCH(Y$8,Parameters_Constants!$K$109:$AF$109,0))=FALSE)</f>
        <v>0</v>
      </c>
      <c r="Z183" s="279" t="b">
        <f>IF(OR($D81="",$D81=CONST_NA),FALSE,INDEX(Parameters_Constants!$K$110:$AF$127,MATCH($E81,CONST_LIST_Goods,0),MATCH(Z$8,Parameters_Constants!$K$109:$AF$109,0))=FALSE)</f>
        <v>0</v>
      </c>
      <c r="AA183" s="279" t="b">
        <f>IF(OR($D81="",$D81=CONST_NA),FALSE,INDEX(Parameters_Constants!$K$110:$AF$127,MATCH($E81,CONST_LIST_Goods,0),MATCH(AA$8,Parameters_Constants!$K$109:$AF$109,0))=FALSE)</f>
        <v>0</v>
      </c>
      <c r="AB183" s="279" t="b">
        <f>IF(OR($D81="",$D81=CONST_NA),FALSE,INDEX(Parameters_Constants!$K$110:$AF$127,MATCH($E81,CONST_LIST_Goods,0),MATCH(AB$8,Parameters_Constants!$K$109:$AF$109,0))=FALSE)</f>
        <v>0</v>
      </c>
      <c r="AC183" s="279" t="b">
        <f>IF(OR($D81="",$D81=CONST_NA),FALSE,INDEX(Parameters_Constants!$K$110:$AF$127,MATCH($E81,CONST_LIST_Goods,0),MATCH(AC$8,Parameters_Constants!$K$109:$AF$109,0))=FALSE)</f>
        <v>0</v>
      </c>
      <c r="AD183" s="279" t="b">
        <f>IF(OR($D81="",$D81=CONST_NA),FALSE,INDEX(Parameters_Constants!$K$110:$AF$127,MATCH($E81,CONST_LIST_Goods,0),MATCH(AD$8,Parameters_Constants!$K$109:$AF$109,0))=FALSE)</f>
        <v>0</v>
      </c>
      <c r="AE183" s="279" t="b">
        <f>IF(OR($D81="",$D81=CONST_NA),FALSE,INDEX(Parameters_Constants!$K$110:$AF$127,MATCH($E81,CONST_LIST_Goods,0),MATCH(AE$8,Parameters_Constants!$K$109:$AF$109,0))=FALSE)</f>
        <v>0</v>
      </c>
      <c r="AF183" s="279" t="b">
        <f>IF(OR($D81="",$D81=CONST_NA),FALSE,INDEX(Parameters_Constants!$K$110:$AF$127,MATCH($E81,CONST_LIST_Goods,0),MATCH(AF$8,Parameters_Constants!$K$109:$AF$109,0))=FALSE)</f>
        <v>0</v>
      </c>
      <c r="AG183" s="279" t="b">
        <f>IF(OR($D81="",$D81=CONST_NA),FALSE,INDEX(Parameters_Constants!$K$110:$AF$127,MATCH($E81,CONST_LIST_Goods,0),MATCH(AG$8,Parameters_Constants!$K$109:$AF$109,0))=FALSE)</f>
        <v>0</v>
      </c>
      <c r="AH183" s="279" t="b">
        <f>IF(OR($D81="",$D81=CONST_NA),FALSE,INDEX(Parameters_Constants!$K$110:$AF$127,MATCH($E81,CONST_LIST_Goods,0),MATCH(AH$8,Parameters_Constants!$K$109:$AF$109,0))=FALSE)</f>
        <v>0</v>
      </c>
      <c r="AI183" s="279" t="b">
        <f>IF(OR($D81="",$D81=CONST_NA),FALSE,INDEX(Parameters_Constants!$K$110:$AF$127,MATCH($E81,CONST_LIST_Goods,0),MATCH(AI$8,Parameters_Constants!$K$109:$AF$109,0))=FALSE)</f>
        <v>0</v>
      </c>
      <c r="AJ183" s="279" t="b">
        <f>IF(OR($D81="",$D81=CONST_NA),FALSE,INDEX(Parameters_Constants!$K$110:$AF$127,MATCH($E81,CONST_LIST_Goods,0),MATCH(AJ$8,Parameters_Constants!$K$109:$AF$109,0))=FALSE)</f>
        <v>0</v>
      </c>
      <c r="AK183" s="279" t="b">
        <f>IF(OR($D81="",$D81=CONST_NA),FALSE,INDEX(Parameters_Constants!$K$110:$AF$127,MATCH($E81,CONST_LIST_Goods,0),MATCH(AK$8,Parameters_Constants!$K$109:$AF$109,0))=FALSE)</f>
        <v>0</v>
      </c>
      <c r="AL183" s="280"/>
      <c r="AM183" s="280"/>
      <c r="AN183" s="280"/>
      <c r="AO183" s="280"/>
      <c r="AP183" s="280"/>
      <c r="AQ183" s="280"/>
      <c r="AR183" s="280"/>
      <c r="AS183" s="280"/>
      <c r="AT183" s="280"/>
      <c r="AU183" s="280"/>
      <c r="AV183" s="280"/>
      <c r="AW183" s="280"/>
    </row>
    <row r="184" spans="1:49" s="275" customFormat="1" hidden="1" x14ac:dyDescent="0.35">
      <c r="A184" s="275" t="s">
        <v>3</v>
      </c>
      <c r="C184" s="275">
        <v>73</v>
      </c>
      <c r="F184" s="279" t="b">
        <v>0</v>
      </c>
      <c r="H184" s="279" t="b">
        <v>0</v>
      </c>
      <c r="P184" s="279" t="b">
        <f>IF(OR($D82="",$D82=CONST_NA),FALSE,INDEX(Parameters_Constants!$K$110:$AF$127,MATCH($E82,CONST_LIST_Goods,0),MATCH(P$8,Parameters_Constants!$K$109:$AF$109,0))=FALSE)</f>
        <v>0</v>
      </c>
      <c r="Q184" s="279" t="b">
        <f>IF(OR($D82="",$D82=CONST_NA),FALSE,INDEX(Parameters_Constants!$K$110:$AF$127,MATCH($E82,CONST_LIST_Goods,0),MATCH(Q$8,Parameters_Constants!$K$109:$AF$109,0))=FALSE)</f>
        <v>0</v>
      </c>
      <c r="R184" s="279" t="b">
        <f>IF(OR($D82="",$D82=CONST_NA),FALSE,INDEX(Parameters_Constants!$K$110:$AF$127,MATCH($E82,CONST_LIST_Goods,0),MATCH(R$8,Parameters_Constants!$K$109:$AF$109,0))=FALSE)</f>
        <v>0</v>
      </c>
      <c r="S184" s="279" t="b">
        <f>IF(OR($D82="",$D82=CONST_NA),FALSE,INDEX(Parameters_Constants!$K$110:$AF$127,MATCH($E82,CONST_LIST_Goods,0),MATCH(S$8,Parameters_Constants!$K$109:$AF$109,0))=FALSE)</f>
        <v>0</v>
      </c>
      <c r="T184" s="279" t="b">
        <f>IF(OR($D82="",$D82=CONST_NA),FALSE,INDEX(Parameters_Constants!$K$110:$AF$127,MATCH($E82,CONST_LIST_Goods,0),MATCH(T$8,Parameters_Constants!$K$109:$AF$109,0))=FALSE)</f>
        <v>0</v>
      </c>
      <c r="U184" s="279" t="b">
        <f>IF(OR($D82="",$D82=CONST_NA),FALSE,INDEX(Parameters_Constants!$K$110:$AF$127,MATCH($E82,CONST_LIST_Goods,0),MATCH(U$8,Parameters_Constants!$K$109:$AF$109,0))=FALSE)</f>
        <v>0</v>
      </c>
      <c r="V184" s="279" t="b">
        <f>IF(OR($D82="",$D82=CONST_NA),FALSE,INDEX(Parameters_Constants!$K$110:$AF$127,MATCH($E82,CONST_LIST_Goods,0),MATCH(V$8,Parameters_Constants!$K$109:$AF$109,0))=FALSE)</f>
        <v>0</v>
      </c>
      <c r="W184" s="279" t="b">
        <f>IF(OR($D82="",$D82=CONST_NA),FALSE,INDEX(Parameters_Constants!$K$110:$AF$127,MATCH($E82,CONST_LIST_Goods,0),MATCH(W$8,Parameters_Constants!$K$109:$AF$109,0))=FALSE)</f>
        <v>0</v>
      </c>
      <c r="X184" s="279" t="b">
        <f>IF(OR($D82="",$D82=CONST_NA),FALSE,INDEX(Parameters_Constants!$K$110:$AF$127,MATCH($E82,CONST_LIST_Goods,0),MATCH(X$8,Parameters_Constants!$K$109:$AF$109,0))=FALSE)</f>
        <v>0</v>
      </c>
      <c r="Y184" s="279" t="b">
        <f>IF(OR($D82="",$D82=CONST_NA),FALSE,INDEX(Parameters_Constants!$K$110:$AF$127,MATCH($E82,CONST_LIST_Goods,0),MATCH(Y$8,Parameters_Constants!$K$109:$AF$109,0))=FALSE)</f>
        <v>0</v>
      </c>
      <c r="Z184" s="279" t="b">
        <f>IF(OR($D82="",$D82=CONST_NA),FALSE,INDEX(Parameters_Constants!$K$110:$AF$127,MATCH($E82,CONST_LIST_Goods,0),MATCH(Z$8,Parameters_Constants!$K$109:$AF$109,0))=FALSE)</f>
        <v>0</v>
      </c>
      <c r="AA184" s="279" t="b">
        <f>IF(OR($D82="",$D82=CONST_NA),FALSE,INDEX(Parameters_Constants!$K$110:$AF$127,MATCH($E82,CONST_LIST_Goods,0),MATCH(AA$8,Parameters_Constants!$K$109:$AF$109,0))=FALSE)</f>
        <v>0</v>
      </c>
      <c r="AB184" s="279" t="b">
        <f>IF(OR($D82="",$D82=CONST_NA),FALSE,INDEX(Parameters_Constants!$K$110:$AF$127,MATCH($E82,CONST_LIST_Goods,0),MATCH(AB$8,Parameters_Constants!$K$109:$AF$109,0))=FALSE)</f>
        <v>0</v>
      </c>
      <c r="AC184" s="279" t="b">
        <f>IF(OR($D82="",$D82=CONST_NA),FALSE,INDEX(Parameters_Constants!$K$110:$AF$127,MATCH($E82,CONST_LIST_Goods,0),MATCH(AC$8,Parameters_Constants!$K$109:$AF$109,0))=FALSE)</f>
        <v>0</v>
      </c>
      <c r="AD184" s="279" t="b">
        <f>IF(OR($D82="",$D82=CONST_NA),FALSE,INDEX(Parameters_Constants!$K$110:$AF$127,MATCH($E82,CONST_LIST_Goods,0),MATCH(AD$8,Parameters_Constants!$K$109:$AF$109,0))=FALSE)</f>
        <v>0</v>
      </c>
      <c r="AE184" s="279" t="b">
        <f>IF(OR($D82="",$D82=CONST_NA),FALSE,INDEX(Parameters_Constants!$K$110:$AF$127,MATCH($E82,CONST_LIST_Goods,0),MATCH(AE$8,Parameters_Constants!$K$109:$AF$109,0))=FALSE)</f>
        <v>0</v>
      </c>
      <c r="AF184" s="279" t="b">
        <f>IF(OR($D82="",$D82=CONST_NA),FALSE,INDEX(Parameters_Constants!$K$110:$AF$127,MATCH($E82,CONST_LIST_Goods,0),MATCH(AF$8,Parameters_Constants!$K$109:$AF$109,0))=FALSE)</f>
        <v>0</v>
      </c>
      <c r="AG184" s="279" t="b">
        <f>IF(OR($D82="",$D82=CONST_NA),FALSE,INDEX(Parameters_Constants!$K$110:$AF$127,MATCH($E82,CONST_LIST_Goods,0),MATCH(AG$8,Parameters_Constants!$K$109:$AF$109,0))=FALSE)</f>
        <v>0</v>
      </c>
      <c r="AH184" s="279" t="b">
        <f>IF(OR($D82="",$D82=CONST_NA),FALSE,INDEX(Parameters_Constants!$K$110:$AF$127,MATCH($E82,CONST_LIST_Goods,0),MATCH(AH$8,Parameters_Constants!$K$109:$AF$109,0))=FALSE)</f>
        <v>0</v>
      </c>
      <c r="AI184" s="279" t="b">
        <f>IF(OR($D82="",$D82=CONST_NA),FALSE,INDEX(Parameters_Constants!$K$110:$AF$127,MATCH($E82,CONST_LIST_Goods,0),MATCH(AI$8,Parameters_Constants!$K$109:$AF$109,0))=FALSE)</f>
        <v>0</v>
      </c>
      <c r="AJ184" s="279" t="b">
        <f>IF(OR($D82="",$D82=CONST_NA),FALSE,INDEX(Parameters_Constants!$K$110:$AF$127,MATCH($E82,CONST_LIST_Goods,0),MATCH(AJ$8,Parameters_Constants!$K$109:$AF$109,0))=FALSE)</f>
        <v>0</v>
      </c>
      <c r="AK184" s="279" t="b">
        <f>IF(OR($D82="",$D82=CONST_NA),FALSE,INDEX(Parameters_Constants!$K$110:$AF$127,MATCH($E82,CONST_LIST_Goods,0),MATCH(AK$8,Parameters_Constants!$K$109:$AF$109,0))=FALSE)</f>
        <v>0</v>
      </c>
      <c r="AL184" s="280"/>
      <c r="AM184" s="280"/>
      <c r="AN184" s="280"/>
      <c r="AO184" s="280"/>
      <c r="AP184" s="280"/>
      <c r="AQ184" s="280"/>
      <c r="AR184" s="280"/>
      <c r="AS184" s="280"/>
      <c r="AT184" s="280"/>
      <c r="AU184" s="280"/>
      <c r="AV184" s="280"/>
      <c r="AW184" s="280"/>
    </row>
    <row r="185" spans="1:49" s="275" customFormat="1" hidden="1" x14ac:dyDescent="0.35">
      <c r="A185" s="275" t="s">
        <v>3</v>
      </c>
      <c r="C185" s="275">
        <v>74</v>
      </c>
      <c r="F185" s="279" t="b">
        <v>0</v>
      </c>
      <c r="H185" s="279" t="b">
        <v>0</v>
      </c>
      <c r="P185" s="279" t="b">
        <f>IF(OR($D83="",$D83=CONST_NA),FALSE,INDEX(Parameters_Constants!$K$110:$AF$127,MATCH($E83,CONST_LIST_Goods,0),MATCH(P$8,Parameters_Constants!$K$109:$AF$109,0))=FALSE)</f>
        <v>0</v>
      </c>
      <c r="Q185" s="279" t="b">
        <f>IF(OR($D83="",$D83=CONST_NA),FALSE,INDEX(Parameters_Constants!$K$110:$AF$127,MATCH($E83,CONST_LIST_Goods,0),MATCH(Q$8,Parameters_Constants!$K$109:$AF$109,0))=FALSE)</f>
        <v>0</v>
      </c>
      <c r="R185" s="279" t="b">
        <f>IF(OR($D83="",$D83=CONST_NA),FALSE,INDEX(Parameters_Constants!$K$110:$AF$127,MATCH($E83,CONST_LIST_Goods,0),MATCH(R$8,Parameters_Constants!$K$109:$AF$109,0))=FALSE)</f>
        <v>0</v>
      </c>
      <c r="S185" s="279" t="b">
        <f>IF(OR($D83="",$D83=CONST_NA),FALSE,INDEX(Parameters_Constants!$K$110:$AF$127,MATCH($E83,CONST_LIST_Goods,0),MATCH(S$8,Parameters_Constants!$K$109:$AF$109,0))=FALSE)</f>
        <v>0</v>
      </c>
      <c r="T185" s="279" t="b">
        <f>IF(OR($D83="",$D83=CONST_NA),FALSE,INDEX(Parameters_Constants!$K$110:$AF$127,MATCH($E83,CONST_LIST_Goods,0),MATCH(T$8,Parameters_Constants!$K$109:$AF$109,0))=FALSE)</f>
        <v>0</v>
      </c>
      <c r="U185" s="279" t="b">
        <f>IF(OR($D83="",$D83=CONST_NA),FALSE,INDEX(Parameters_Constants!$K$110:$AF$127,MATCH($E83,CONST_LIST_Goods,0),MATCH(U$8,Parameters_Constants!$K$109:$AF$109,0))=FALSE)</f>
        <v>0</v>
      </c>
      <c r="V185" s="279" t="b">
        <f>IF(OR($D83="",$D83=CONST_NA),FALSE,INDEX(Parameters_Constants!$K$110:$AF$127,MATCH($E83,CONST_LIST_Goods,0),MATCH(V$8,Parameters_Constants!$K$109:$AF$109,0))=FALSE)</f>
        <v>0</v>
      </c>
      <c r="W185" s="279" t="b">
        <f>IF(OR($D83="",$D83=CONST_NA),FALSE,INDEX(Parameters_Constants!$K$110:$AF$127,MATCH($E83,CONST_LIST_Goods,0),MATCH(W$8,Parameters_Constants!$K$109:$AF$109,0))=FALSE)</f>
        <v>0</v>
      </c>
      <c r="X185" s="279" t="b">
        <f>IF(OR($D83="",$D83=CONST_NA),FALSE,INDEX(Parameters_Constants!$K$110:$AF$127,MATCH($E83,CONST_LIST_Goods,0),MATCH(X$8,Parameters_Constants!$K$109:$AF$109,0))=FALSE)</f>
        <v>0</v>
      </c>
      <c r="Y185" s="279" t="b">
        <f>IF(OR($D83="",$D83=CONST_NA),FALSE,INDEX(Parameters_Constants!$K$110:$AF$127,MATCH($E83,CONST_LIST_Goods,0),MATCH(Y$8,Parameters_Constants!$K$109:$AF$109,0))=FALSE)</f>
        <v>0</v>
      </c>
      <c r="Z185" s="279" t="b">
        <f>IF(OR($D83="",$D83=CONST_NA),FALSE,INDEX(Parameters_Constants!$K$110:$AF$127,MATCH($E83,CONST_LIST_Goods,0),MATCH(Z$8,Parameters_Constants!$K$109:$AF$109,0))=FALSE)</f>
        <v>0</v>
      </c>
      <c r="AA185" s="279" t="b">
        <f>IF(OR($D83="",$D83=CONST_NA),FALSE,INDEX(Parameters_Constants!$K$110:$AF$127,MATCH($E83,CONST_LIST_Goods,0),MATCH(AA$8,Parameters_Constants!$K$109:$AF$109,0))=FALSE)</f>
        <v>0</v>
      </c>
      <c r="AB185" s="279" t="b">
        <f>IF(OR($D83="",$D83=CONST_NA),FALSE,INDEX(Parameters_Constants!$K$110:$AF$127,MATCH($E83,CONST_LIST_Goods,0),MATCH(AB$8,Parameters_Constants!$K$109:$AF$109,0))=FALSE)</f>
        <v>0</v>
      </c>
      <c r="AC185" s="279" t="b">
        <f>IF(OR($D83="",$D83=CONST_NA),FALSE,INDEX(Parameters_Constants!$K$110:$AF$127,MATCH($E83,CONST_LIST_Goods,0),MATCH(AC$8,Parameters_Constants!$K$109:$AF$109,0))=FALSE)</f>
        <v>0</v>
      </c>
      <c r="AD185" s="279" t="b">
        <f>IF(OR($D83="",$D83=CONST_NA),FALSE,INDEX(Parameters_Constants!$K$110:$AF$127,MATCH($E83,CONST_LIST_Goods,0),MATCH(AD$8,Parameters_Constants!$K$109:$AF$109,0))=FALSE)</f>
        <v>0</v>
      </c>
      <c r="AE185" s="279" t="b">
        <f>IF(OR($D83="",$D83=CONST_NA),FALSE,INDEX(Parameters_Constants!$K$110:$AF$127,MATCH($E83,CONST_LIST_Goods,0),MATCH(AE$8,Parameters_Constants!$K$109:$AF$109,0))=FALSE)</f>
        <v>0</v>
      </c>
      <c r="AF185" s="279" t="b">
        <f>IF(OR($D83="",$D83=CONST_NA),FALSE,INDEX(Parameters_Constants!$K$110:$AF$127,MATCH($E83,CONST_LIST_Goods,0),MATCH(AF$8,Parameters_Constants!$K$109:$AF$109,0))=FALSE)</f>
        <v>0</v>
      </c>
      <c r="AG185" s="279" t="b">
        <f>IF(OR($D83="",$D83=CONST_NA),FALSE,INDEX(Parameters_Constants!$K$110:$AF$127,MATCH($E83,CONST_LIST_Goods,0),MATCH(AG$8,Parameters_Constants!$K$109:$AF$109,0))=FALSE)</f>
        <v>0</v>
      </c>
      <c r="AH185" s="279" t="b">
        <f>IF(OR($D83="",$D83=CONST_NA),FALSE,INDEX(Parameters_Constants!$K$110:$AF$127,MATCH($E83,CONST_LIST_Goods,0),MATCH(AH$8,Parameters_Constants!$K$109:$AF$109,0))=FALSE)</f>
        <v>0</v>
      </c>
      <c r="AI185" s="279" t="b">
        <f>IF(OR($D83="",$D83=CONST_NA),FALSE,INDEX(Parameters_Constants!$K$110:$AF$127,MATCH($E83,CONST_LIST_Goods,0),MATCH(AI$8,Parameters_Constants!$K$109:$AF$109,0))=FALSE)</f>
        <v>0</v>
      </c>
      <c r="AJ185" s="279" t="b">
        <f>IF(OR($D83="",$D83=CONST_NA),FALSE,INDEX(Parameters_Constants!$K$110:$AF$127,MATCH($E83,CONST_LIST_Goods,0),MATCH(AJ$8,Parameters_Constants!$K$109:$AF$109,0))=FALSE)</f>
        <v>0</v>
      </c>
      <c r="AK185" s="279" t="b">
        <f>IF(OR($D83="",$D83=CONST_NA),FALSE,INDEX(Parameters_Constants!$K$110:$AF$127,MATCH($E83,CONST_LIST_Goods,0),MATCH(AK$8,Parameters_Constants!$K$109:$AF$109,0))=FALSE)</f>
        <v>0</v>
      </c>
    </row>
    <row r="186" spans="1:49" s="275" customFormat="1" hidden="1" x14ac:dyDescent="0.35">
      <c r="A186" s="275" t="s">
        <v>3</v>
      </c>
      <c r="C186" s="275">
        <v>75</v>
      </c>
      <c r="F186" s="279" t="b">
        <v>0</v>
      </c>
      <c r="H186" s="279" t="b">
        <v>0</v>
      </c>
      <c r="P186" s="279" t="b">
        <f>IF(OR($D84="",$D84=CONST_NA),FALSE,INDEX(Parameters_Constants!$K$110:$AF$127,MATCH($E84,CONST_LIST_Goods,0),MATCH(P$8,Parameters_Constants!$K$109:$AF$109,0))=FALSE)</f>
        <v>0</v>
      </c>
      <c r="Q186" s="279" t="b">
        <f>IF(OR($D84="",$D84=CONST_NA),FALSE,INDEX(Parameters_Constants!$K$110:$AF$127,MATCH($E84,CONST_LIST_Goods,0),MATCH(Q$8,Parameters_Constants!$K$109:$AF$109,0))=FALSE)</f>
        <v>0</v>
      </c>
      <c r="R186" s="279" t="b">
        <f>IF(OR($D84="",$D84=CONST_NA),FALSE,INDEX(Parameters_Constants!$K$110:$AF$127,MATCH($E84,CONST_LIST_Goods,0),MATCH(R$8,Parameters_Constants!$K$109:$AF$109,0))=FALSE)</f>
        <v>0</v>
      </c>
      <c r="S186" s="279" t="b">
        <f>IF(OR($D84="",$D84=CONST_NA),FALSE,INDEX(Parameters_Constants!$K$110:$AF$127,MATCH($E84,CONST_LIST_Goods,0),MATCH(S$8,Parameters_Constants!$K$109:$AF$109,0))=FALSE)</f>
        <v>0</v>
      </c>
      <c r="T186" s="279" t="b">
        <f>IF(OR($D84="",$D84=CONST_NA),FALSE,INDEX(Parameters_Constants!$K$110:$AF$127,MATCH($E84,CONST_LIST_Goods,0),MATCH(T$8,Parameters_Constants!$K$109:$AF$109,0))=FALSE)</f>
        <v>0</v>
      </c>
      <c r="U186" s="279" t="b">
        <f>IF(OR($D84="",$D84=CONST_NA),FALSE,INDEX(Parameters_Constants!$K$110:$AF$127,MATCH($E84,CONST_LIST_Goods,0),MATCH(U$8,Parameters_Constants!$K$109:$AF$109,0))=FALSE)</f>
        <v>0</v>
      </c>
      <c r="V186" s="279" t="b">
        <f>IF(OR($D84="",$D84=CONST_NA),FALSE,INDEX(Parameters_Constants!$K$110:$AF$127,MATCH($E84,CONST_LIST_Goods,0),MATCH(V$8,Parameters_Constants!$K$109:$AF$109,0))=FALSE)</f>
        <v>0</v>
      </c>
      <c r="W186" s="279" t="b">
        <f>IF(OR($D84="",$D84=CONST_NA),FALSE,INDEX(Parameters_Constants!$K$110:$AF$127,MATCH($E84,CONST_LIST_Goods,0),MATCH(W$8,Parameters_Constants!$K$109:$AF$109,0))=FALSE)</f>
        <v>0</v>
      </c>
      <c r="X186" s="279" t="b">
        <f>IF(OR($D84="",$D84=CONST_NA),FALSE,INDEX(Parameters_Constants!$K$110:$AF$127,MATCH($E84,CONST_LIST_Goods,0),MATCH(X$8,Parameters_Constants!$K$109:$AF$109,0))=FALSE)</f>
        <v>0</v>
      </c>
      <c r="Y186" s="279" t="b">
        <f>IF(OR($D84="",$D84=CONST_NA),FALSE,INDEX(Parameters_Constants!$K$110:$AF$127,MATCH($E84,CONST_LIST_Goods,0),MATCH(Y$8,Parameters_Constants!$K$109:$AF$109,0))=FALSE)</f>
        <v>0</v>
      </c>
      <c r="Z186" s="279" t="b">
        <f>IF(OR($D84="",$D84=CONST_NA),FALSE,INDEX(Parameters_Constants!$K$110:$AF$127,MATCH($E84,CONST_LIST_Goods,0),MATCH(Z$8,Parameters_Constants!$K$109:$AF$109,0))=FALSE)</f>
        <v>0</v>
      </c>
      <c r="AA186" s="279" t="b">
        <f>IF(OR($D84="",$D84=CONST_NA),FALSE,INDEX(Parameters_Constants!$K$110:$AF$127,MATCH($E84,CONST_LIST_Goods,0),MATCH(AA$8,Parameters_Constants!$K$109:$AF$109,0))=FALSE)</f>
        <v>0</v>
      </c>
      <c r="AB186" s="279" t="b">
        <f>IF(OR($D84="",$D84=CONST_NA),FALSE,INDEX(Parameters_Constants!$K$110:$AF$127,MATCH($E84,CONST_LIST_Goods,0),MATCH(AB$8,Parameters_Constants!$K$109:$AF$109,0))=FALSE)</f>
        <v>0</v>
      </c>
      <c r="AC186" s="279" t="b">
        <f>IF(OR($D84="",$D84=CONST_NA),FALSE,INDEX(Parameters_Constants!$K$110:$AF$127,MATCH($E84,CONST_LIST_Goods,0),MATCH(AC$8,Parameters_Constants!$K$109:$AF$109,0))=FALSE)</f>
        <v>0</v>
      </c>
      <c r="AD186" s="279" t="b">
        <f>IF(OR($D84="",$D84=CONST_NA),FALSE,INDEX(Parameters_Constants!$K$110:$AF$127,MATCH($E84,CONST_LIST_Goods,0),MATCH(AD$8,Parameters_Constants!$K$109:$AF$109,0))=FALSE)</f>
        <v>0</v>
      </c>
      <c r="AE186" s="279" t="b">
        <f>IF(OR($D84="",$D84=CONST_NA),FALSE,INDEX(Parameters_Constants!$K$110:$AF$127,MATCH($E84,CONST_LIST_Goods,0),MATCH(AE$8,Parameters_Constants!$K$109:$AF$109,0))=FALSE)</f>
        <v>0</v>
      </c>
      <c r="AF186" s="279" t="b">
        <f>IF(OR($D84="",$D84=CONST_NA),FALSE,INDEX(Parameters_Constants!$K$110:$AF$127,MATCH($E84,CONST_LIST_Goods,0),MATCH(AF$8,Parameters_Constants!$K$109:$AF$109,0))=FALSE)</f>
        <v>0</v>
      </c>
      <c r="AG186" s="279" t="b">
        <f>IF(OR($D84="",$D84=CONST_NA),FALSE,INDEX(Parameters_Constants!$K$110:$AF$127,MATCH($E84,CONST_LIST_Goods,0),MATCH(AG$8,Parameters_Constants!$K$109:$AF$109,0))=FALSE)</f>
        <v>0</v>
      </c>
      <c r="AH186" s="279" t="b">
        <f>IF(OR($D84="",$D84=CONST_NA),FALSE,INDEX(Parameters_Constants!$K$110:$AF$127,MATCH($E84,CONST_LIST_Goods,0),MATCH(AH$8,Parameters_Constants!$K$109:$AF$109,0))=FALSE)</f>
        <v>0</v>
      </c>
      <c r="AI186" s="279" t="b">
        <f>IF(OR($D84="",$D84=CONST_NA),FALSE,INDEX(Parameters_Constants!$K$110:$AF$127,MATCH($E84,CONST_LIST_Goods,0),MATCH(AI$8,Parameters_Constants!$K$109:$AF$109,0))=FALSE)</f>
        <v>0</v>
      </c>
      <c r="AJ186" s="279" t="b">
        <f>IF(OR($D84="",$D84=CONST_NA),FALSE,INDEX(Parameters_Constants!$K$110:$AF$127,MATCH($E84,CONST_LIST_Goods,0),MATCH(AJ$8,Parameters_Constants!$K$109:$AF$109,0))=FALSE)</f>
        <v>0</v>
      </c>
      <c r="AK186" s="279" t="b">
        <f>IF(OR($D84="",$D84=CONST_NA),FALSE,INDEX(Parameters_Constants!$K$110:$AF$127,MATCH($E84,CONST_LIST_Goods,0),MATCH(AK$8,Parameters_Constants!$K$109:$AF$109,0))=FALSE)</f>
        <v>0</v>
      </c>
    </row>
    <row r="187" spans="1:49" s="275" customFormat="1" hidden="1" x14ac:dyDescent="0.35">
      <c r="A187" s="275" t="s">
        <v>3</v>
      </c>
      <c r="C187" s="275">
        <v>76</v>
      </c>
      <c r="F187" s="279" t="b">
        <v>0</v>
      </c>
      <c r="H187" s="279" t="b">
        <v>0</v>
      </c>
      <c r="P187" s="279" t="b">
        <f>IF(OR($D85="",$D85=CONST_NA),FALSE,INDEX(Parameters_Constants!$K$110:$AF$127,MATCH($E85,CONST_LIST_Goods,0),MATCH(P$8,Parameters_Constants!$K$109:$AF$109,0))=FALSE)</f>
        <v>0</v>
      </c>
      <c r="Q187" s="279" t="b">
        <f>IF(OR($D85="",$D85=CONST_NA),FALSE,INDEX(Parameters_Constants!$K$110:$AF$127,MATCH($E85,CONST_LIST_Goods,0),MATCH(Q$8,Parameters_Constants!$K$109:$AF$109,0))=FALSE)</f>
        <v>0</v>
      </c>
      <c r="R187" s="279" t="b">
        <f>IF(OR($D85="",$D85=CONST_NA),FALSE,INDEX(Parameters_Constants!$K$110:$AF$127,MATCH($E85,CONST_LIST_Goods,0),MATCH(R$8,Parameters_Constants!$K$109:$AF$109,0))=FALSE)</f>
        <v>0</v>
      </c>
      <c r="S187" s="279" t="b">
        <f>IF(OR($D85="",$D85=CONST_NA),FALSE,INDEX(Parameters_Constants!$K$110:$AF$127,MATCH($E85,CONST_LIST_Goods,0),MATCH(S$8,Parameters_Constants!$K$109:$AF$109,0))=FALSE)</f>
        <v>0</v>
      </c>
      <c r="T187" s="279" t="b">
        <f>IF(OR($D85="",$D85=CONST_NA),FALSE,INDEX(Parameters_Constants!$K$110:$AF$127,MATCH($E85,CONST_LIST_Goods,0),MATCH(T$8,Parameters_Constants!$K$109:$AF$109,0))=FALSE)</f>
        <v>0</v>
      </c>
      <c r="U187" s="279" t="b">
        <f>IF(OR($D85="",$D85=CONST_NA),FALSE,INDEX(Parameters_Constants!$K$110:$AF$127,MATCH($E85,CONST_LIST_Goods,0),MATCH(U$8,Parameters_Constants!$K$109:$AF$109,0))=FALSE)</f>
        <v>0</v>
      </c>
      <c r="V187" s="279" t="b">
        <f>IF(OR($D85="",$D85=CONST_NA),FALSE,INDEX(Parameters_Constants!$K$110:$AF$127,MATCH($E85,CONST_LIST_Goods,0),MATCH(V$8,Parameters_Constants!$K$109:$AF$109,0))=FALSE)</f>
        <v>0</v>
      </c>
      <c r="W187" s="279" t="b">
        <f>IF(OR($D85="",$D85=CONST_NA),FALSE,INDEX(Parameters_Constants!$K$110:$AF$127,MATCH($E85,CONST_LIST_Goods,0),MATCH(W$8,Parameters_Constants!$K$109:$AF$109,0))=FALSE)</f>
        <v>0</v>
      </c>
      <c r="X187" s="279" t="b">
        <f>IF(OR($D85="",$D85=CONST_NA),FALSE,INDEX(Parameters_Constants!$K$110:$AF$127,MATCH($E85,CONST_LIST_Goods,0),MATCH(X$8,Parameters_Constants!$K$109:$AF$109,0))=FALSE)</f>
        <v>0</v>
      </c>
      <c r="Y187" s="279" t="b">
        <f>IF(OR($D85="",$D85=CONST_NA),FALSE,INDEX(Parameters_Constants!$K$110:$AF$127,MATCH($E85,CONST_LIST_Goods,0),MATCH(Y$8,Parameters_Constants!$K$109:$AF$109,0))=FALSE)</f>
        <v>0</v>
      </c>
      <c r="Z187" s="279" t="b">
        <f>IF(OR($D85="",$D85=CONST_NA),FALSE,INDEX(Parameters_Constants!$K$110:$AF$127,MATCH($E85,CONST_LIST_Goods,0),MATCH(Z$8,Parameters_Constants!$K$109:$AF$109,0))=FALSE)</f>
        <v>0</v>
      </c>
      <c r="AA187" s="279" t="b">
        <f>IF(OR($D85="",$D85=CONST_NA),FALSE,INDEX(Parameters_Constants!$K$110:$AF$127,MATCH($E85,CONST_LIST_Goods,0),MATCH(AA$8,Parameters_Constants!$K$109:$AF$109,0))=FALSE)</f>
        <v>0</v>
      </c>
      <c r="AB187" s="279" t="b">
        <f>IF(OR($D85="",$D85=CONST_NA),FALSE,INDEX(Parameters_Constants!$K$110:$AF$127,MATCH($E85,CONST_LIST_Goods,0),MATCH(AB$8,Parameters_Constants!$K$109:$AF$109,0))=FALSE)</f>
        <v>0</v>
      </c>
      <c r="AC187" s="279" t="b">
        <f>IF(OR($D85="",$D85=CONST_NA),FALSE,INDEX(Parameters_Constants!$K$110:$AF$127,MATCH($E85,CONST_LIST_Goods,0),MATCH(AC$8,Parameters_Constants!$K$109:$AF$109,0))=FALSE)</f>
        <v>0</v>
      </c>
      <c r="AD187" s="279" t="b">
        <f>IF(OR($D85="",$D85=CONST_NA),FALSE,INDEX(Parameters_Constants!$K$110:$AF$127,MATCH($E85,CONST_LIST_Goods,0),MATCH(AD$8,Parameters_Constants!$K$109:$AF$109,0))=FALSE)</f>
        <v>0</v>
      </c>
      <c r="AE187" s="279" t="b">
        <f>IF(OR($D85="",$D85=CONST_NA),FALSE,INDEX(Parameters_Constants!$K$110:$AF$127,MATCH($E85,CONST_LIST_Goods,0),MATCH(AE$8,Parameters_Constants!$K$109:$AF$109,0))=FALSE)</f>
        <v>0</v>
      </c>
      <c r="AF187" s="279" t="b">
        <f>IF(OR($D85="",$D85=CONST_NA),FALSE,INDEX(Parameters_Constants!$K$110:$AF$127,MATCH($E85,CONST_LIST_Goods,0),MATCH(AF$8,Parameters_Constants!$K$109:$AF$109,0))=FALSE)</f>
        <v>0</v>
      </c>
      <c r="AG187" s="279" t="b">
        <f>IF(OR($D85="",$D85=CONST_NA),FALSE,INDEX(Parameters_Constants!$K$110:$AF$127,MATCH($E85,CONST_LIST_Goods,0),MATCH(AG$8,Parameters_Constants!$K$109:$AF$109,0))=FALSE)</f>
        <v>0</v>
      </c>
      <c r="AH187" s="279" t="b">
        <f>IF(OR($D85="",$D85=CONST_NA),FALSE,INDEX(Parameters_Constants!$K$110:$AF$127,MATCH($E85,CONST_LIST_Goods,0),MATCH(AH$8,Parameters_Constants!$K$109:$AF$109,0))=FALSE)</f>
        <v>0</v>
      </c>
      <c r="AI187" s="279" t="b">
        <f>IF(OR($D85="",$D85=CONST_NA),FALSE,INDEX(Parameters_Constants!$K$110:$AF$127,MATCH($E85,CONST_LIST_Goods,0),MATCH(AI$8,Parameters_Constants!$K$109:$AF$109,0))=FALSE)</f>
        <v>0</v>
      </c>
      <c r="AJ187" s="279" t="b">
        <f>IF(OR($D85="",$D85=CONST_NA),FALSE,INDEX(Parameters_Constants!$K$110:$AF$127,MATCH($E85,CONST_LIST_Goods,0),MATCH(AJ$8,Parameters_Constants!$K$109:$AF$109,0))=FALSE)</f>
        <v>0</v>
      </c>
      <c r="AK187" s="279" t="b">
        <f>IF(OR($D85="",$D85=CONST_NA),FALSE,INDEX(Parameters_Constants!$K$110:$AF$127,MATCH($E85,CONST_LIST_Goods,0),MATCH(AK$8,Parameters_Constants!$K$109:$AF$109,0))=FALSE)</f>
        <v>0</v>
      </c>
    </row>
    <row r="188" spans="1:49" s="275" customFormat="1" hidden="1" x14ac:dyDescent="0.35">
      <c r="A188" s="275" t="s">
        <v>3</v>
      </c>
      <c r="C188" s="275">
        <v>77</v>
      </c>
      <c r="F188" s="279" t="b">
        <v>0</v>
      </c>
      <c r="H188" s="279" t="b">
        <v>0</v>
      </c>
      <c r="P188" s="279" t="b">
        <f>IF(OR($D86="",$D86=CONST_NA),FALSE,INDEX(Parameters_Constants!$K$110:$AF$127,MATCH($E86,CONST_LIST_Goods,0),MATCH(P$8,Parameters_Constants!$K$109:$AF$109,0))=FALSE)</f>
        <v>0</v>
      </c>
      <c r="Q188" s="279" t="b">
        <f>IF(OR($D86="",$D86=CONST_NA),FALSE,INDEX(Parameters_Constants!$K$110:$AF$127,MATCH($E86,CONST_LIST_Goods,0),MATCH(Q$8,Parameters_Constants!$K$109:$AF$109,0))=FALSE)</f>
        <v>0</v>
      </c>
      <c r="R188" s="279" t="b">
        <f>IF(OR($D86="",$D86=CONST_NA),FALSE,INDEX(Parameters_Constants!$K$110:$AF$127,MATCH($E86,CONST_LIST_Goods,0),MATCH(R$8,Parameters_Constants!$K$109:$AF$109,0))=FALSE)</f>
        <v>0</v>
      </c>
      <c r="S188" s="279" t="b">
        <f>IF(OR($D86="",$D86=CONST_NA),FALSE,INDEX(Parameters_Constants!$K$110:$AF$127,MATCH($E86,CONST_LIST_Goods,0),MATCH(S$8,Parameters_Constants!$K$109:$AF$109,0))=FALSE)</f>
        <v>0</v>
      </c>
      <c r="T188" s="279" t="b">
        <f>IF(OR($D86="",$D86=CONST_NA),FALSE,INDEX(Parameters_Constants!$K$110:$AF$127,MATCH($E86,CONST_LIST_Goods,0),MATCH(T$8,Parameters_Constants!$K$109:$AF$109,0))=FALSE)</f>
        <v>0</v>
      </c>
      <c r="U188" s="279" t="b">
        <f>IF(OR($D86="",$D86=CONST_NA),FALSE,INDEX(Parameters_Constants!$K$110:$AF$127,MATCH($E86,CONST_LIST_Goods,0),MATCH(U$8,Parameters_Constants!$K$109:$AF$109,0))=FALSE)</f>
        <v>0</v>
      </c>
      <c r="V188" s="279" t="b">
        <f>IF(OR($D86="",$D86=CONST_NA),FALSE,INDEX(Parameters_Constants!$K$110:$AF$127,MATCH($E86,CONST_LIST_Goods,0),MATCH(V$8,Parameters_Constants!$K$109:$AF$109,0))=FALSE)</f>
        <v>0</v>
      </c>
      <c r="W188" s="279" t="b">
        <f>IF(OR($D86="",$D86=CONST_NA),FALSE,INDEX(Parameters_Constants!$K$110:$AF$127,MATCH($E86,CONST_LIST_Goods,0),MATCH(W$8,Parameters_Constants!$K$109:$AF$109,0))=FALSE)</f>
        <v>0</v>
      </c>
      <c r="X188" s="279" t="b">
        <f>IF(OR($D86="",$D86=CONST_NA),FALSE,INDEX(Parameters_Constants!$K$110:$AF$127,MATCH($E86,CONST_LIST_Goods,0),MATCH(X$8,Parameters_Constants!$K$109:$AF$109,0))=FALSE)</f>
        <v>0</v>
      </c>
      <c r="Y188" s="279" t="b">
        <f>IF(OR($D86="",$D86=CONST_NA),FALSE,INDEX(Parameters_Constants!$K$110:$AF$127,MATCH($E86,CONST_LIST_Goods,0),MATCH(Y$8,Parameters_Constants!$K$109:$AF$109,0))=FALSE)</f>
        <v>0</v>
      </c>
      <c r="Z188" s="279" t="b">
        <f>IF(OR($D86="",$D86=CONST_NA),FALSE,INDEX(Parameters_Constants!$K$110:$AF$127,MATCH($E86,CONST_LIST_Goods,0),MATCH(Z$8,Parameters_Constants!$K$109:$AF$109,0))=FALSE)</f>
        <v>0</v>
      </c>
      <c r="AA188" s="279" t="b">
        <f>IF(OR($D86="",$D86=CONST_NA),FALSE,INDEX(Parameters_Constants!$K$110:$AF$127,MATCH($E86,CONST_LIST_Goods,0),MATCH(AA$8,Parameters_Constants!$K$109:$AF$109,0))=FALSE)</f>
        <v>0</v>
      </c>
      <c r="AB188" s="279" t="b">
        <f>IF(OR($D86="",$D86=CONST_NA),FALSE,INDEX(Parameters_Constants!$K$110:$AF$127,MATCH($E86,CONST_LIST_Goods,0),MATCH(AB$8,Parameters_Constants!$K$109:$AF$109,0))=FALSE)</f>
        <v>0</v>
      </c>
      <c r="AC188" s="279" t="b">
        <f>IF(OR($D86="",$D86=CONST_NA),FALSE,INDEX(Parameters_Constants!$K$110:$AF$127,MATCH($E86,CONST_LIST_Goods,0),MATCH(AC$8,Parameters_Constants!$K$109:$AF$109,0))=FALSE)</f>
        <v>0</v>
      </c>
      <c r="AD188" s="279" t="b">
        <f>IF(OR($D86="",$D86=CONST_NA),FALSE,INDEX(Parameters_Constants!$K$110:$AF$127,MATCH($E86,CONST_LIST_Goods,0),MATCH(AD$8,Parameters_Constants!$K$109:$AF$109,0))=FALSE)</f>
        <v>0</v>
      </c>
      <c r="AE188" s="279" t="b">
        <f>IF(OR($D86="",$D86=CONST_NA),FALSE,INDEX(Parameters_Constants!$K$110:$AF$127,MATCH($E86,CONST_LIST_Goods,0),MATCH(AE$8,Parameters_Constants!$K$109:$AF$109,0))=FALSE)</f>
        <v>0</v>
      </c>
      <c r="AF188" s="279" t="b">
        <f>IF(OR($D86="",$D86=CONST_NA),FALSE,INDEX(Parameters_Constants!$K$110:$AF$127,MATCH($E86,CONST_LIST_Goods,0),MATCH(AF$8,Parameters_Constants!$K$109:$AF$109,0))=FALSE)</f>
        <v>0</v>
      </c>
      <c r="AG188" s="279" t="b">
        <f>IF(OR($D86="",$D86=CONST_NA),FALSE,INDEX(Parameters_Constants!$K$110:$AF$127,MATCH($E86,CONST_LIST_Goods,0),MATCH(AG$8,Parameters_Constants!$K$109:$AF$109,0))=FALSE)</f>
        <v>0</v>
      </c>
      <c r="AH188" s="279" t="b">
        <f>IF(OR($D86="",$D86=CONST_NA),FALSE,INDEX(Parameters_Constants!$K$110:$AF$127,MATCH($E86,CONST_LIST_Goods,0),MATCH(AH$8,Parameters_Constants!$K$109:$AF$109,0))=FALSE)</f>
        <v>0</v>
      </c>
      <c r="AI188" s="279" t="b">
        <f>IF(OR($D86="",$D86=CONST_NA),FALSE,INDEX(Parameters_Constants!$K$110:$AF$127,MATCH($E86,CONST_LIST_Goods,0),MATCH(AI$8,Parameters_Constants!$K$109:$AF$109,0))=FALSE)</f>
        <v>0</v>
      </c>
      <c r="AJ188" s="279" t="b">
        <f>IF(OR($D86="",$D86=CONST_NA),FALSE,INDEX(Parameters_Constants!$K$110:$AF$127,MATCH($E86,CONST_LIST_Goods,0),MATCH(AJ$8,Parameters_Constants!$K$109:$AF$109,0))=FALSE)</f>
        <v>0</v>
      </c>
      <c r="AK188" s="279" t="b">
        <f>IF(OR($D86="",$D86=CONST_NA),FALSE,INDEX(Parameters_Constants!$K$110:$AF$127,MATCH($E86,CONST_LIST_Goods,0),MATCH(AK$8,Parameters_Constants!$K$109:$AF$109,0))=FALSE)</f>
        <v>0</v>
      </c>
    </row>
    <row r="189" spans="1:49" s="275" customFormat="1" hidden="1" x14ac:dyDescent="0.35">
      <c r="A189" s="275" t="s">
        <v>3</v>
      </c>
      <c r="C189" s="275">
        <v>78</v>
      </c>
      <c r="F189" s="279" t="b">
        <v>0</v>
      </c>
      <c r="H189" s="279" t="b">
        <v>0</v>
      </c>
      <c r="P189" s="279" t="b">
        <f>IF(OR($D87="",$D87=CONST_NA),FALSE,INDEX(Parameters_Constants!$K$110:$AF$127,MATCH($E87,CONST_LIST_Goods,0),MATCH(P$8,Parameters_Constants!$K$109:$AF$109,0))=FALSE)</f>
        <v>0</v>
      </c>
      <c r="Q189" s="279" t="b">
        <f>IF(OR($D87="",$D87=CONST_NA),FALSE,INDEX(Parameters_Constants!$K$110:$AF$127,MATCH($E87,CONST_LIST_Goods,0),MATCH(Q$8,Parameters_Constants!$K$109:$AF$109,0))=FALSE)</f>
        <v>0</v>
      </c>
      <c r="R189" s="279" t="b">
        <f>IF(OR($D87="",$D87=CONST_NA),FALSE,INDEX(Parameters_Constants!$K$110:$AF$127,MATCH($E87,CONST_LIST_Goods,0),MATCH(R$8,Parameters_Constants!$K$109:$AF$109,0))=FALSE)</f>
        <v>0</v>
      </c>
      <c r="S189" s="279" t="b">
        <f>IF(OR($D87="",$D87=CONST_NA),FALSE,INDEX(Parameters_Constants!$K$110:$AF$127,MATCH($E87,CONST_LIST_Goods,0),MATCH(S$8,Parameters_Constants!$K$109:$AF$109,0))=FALSE)</f>
        <v>0</v>
      </c>
      <c r="T189" s="279" t="b">
        <f>IF(OR($D87="",$D87=CONST_NA),FALSE,INDEX(Parameters_Constants!$K$110:$AF$127,MATCH($E87,CONST_LIST_Goods,0),MATCH(T$8,Parameters_Constants!$K$109:$AF$109,0))=FALSE)</f>
        <v>0</v>
      </c>
      <c r="U189" s="279" t="b">
        <f>IF(OR($D87="",$D87=CONST_NA),FALSE,INDEX(Parameters_Constants!$K$110:$AF$127,MATCH($E87,CONST_LIST_Goods,0),MATCH(U$8,Parameters_Constants!$K$109:$AF$109,0))=FALSE)</f>
        <v>0</v>
      </c>
      <c r="V189" s="279" t="b">
        <f>IF(OR($D87="",$D87=CONST_NA),FALSE,INDEX(Parameters_Constants!$K$110:$AF$127,MATCH($E87,CONST_LIST_Goods,0),MATCH(V$8,Parameters_Constants!$K$109:$AF$109,0))=FALSE)</f>
        <v>0</v>
      </c>
      <c r="W189" s="279" t="b">
        <f>IF(OR($D87="",$D87=CONST_NA),FALSE,INDEX(Parameters_Constants!$K$110:$AF$127,MATCH($E87,CONST_LIST_Goods,0),MATCH(W$8,Parameters_Constants!$K$109:$AF$109,0))=FALSE)</f>
        <v>0</v>
      </c>
      <c r="X189" s="279" t="b">
        <f>IF(OR($D87="",$D87=CONST_NA),FALSE,INDEX(Parameters_Constants!$K$110:$AF$127,MATCH($E87,CONST_LIST_Goods,0),MATCH(X$8,Parameters_Constants!$K$109:$AF$109,0))=FALSE)</f>
        <v>0</v>
      </c>
      <c r="Y189" s="279" t="b">
        <f>IF(OR($D87="",$D87=CONST_NA),FALSE,INDEX(Parameters_Constants!$K$110:$AF$127,MATCH($E87,CONST_LIST_Goods,0),MATCH(Y$8,Parameters_Constants!$K$109:$AF$109,0))=FALSE)</f>
        <v>0</v>
      </c>
      <c r="Z189" s="279" t="b">
        <f>IF(OR($D87="",$D87=CONST_NA),FALSE,INDEX(Parameters_Constants!$K$110:$AF$127,MATCH($E87,CONST_LIST_Goods,0),MATCH(Z$8,Parameters_Constants!$K$109:$AF$109,0))=FALSE)</f>
        <v>0</v>
      </c>
      <c r="AA189" s="279" t="b">
        <f>IF(OR($D87="",$D87=CONST_NA),FALSE,INDEX(Parameters_Constants!$K$110:$AF$127,MATCH($E87,CONST_LIST_Goods,0),MATCH(AA$8,Parameters_Constants!$K$109:$AF$109,0))=FALSE)</f>
        <v>0</v>
      </c>
      <c r="AB189" s="279" t="b">
        <f>IF(OR($D87="",$D87=CONST_NA),FALSE,INDEX(Parameters_Constants!$K$110:$AF$127,MATCH($E87,CONST_LIST_Goods,0),MATCH(AB$8,Parameters_Constants!$K$109:$AF$109,0))=FALSE)</f>
        <v>0</v>
      </c>
      <c r="AC189" s="279" t="b">
        <f>IF(OR($D87="",$D87=CONST_NA),FALSE,INDEX(Parameters_Constants!$K$110:$AF$127,MATCH($E87,CONST_LIST_Goods,0),MATCH(AC$8,Parameters_Constants!$K$109:$AF$109,0))=FALSE)</f>
        <v>0</v>
      </c>
      <c r="AD189" s="279" t="b">
        <f>IF(OR($D87="",$D87=CONST_NA),FALSE,INDEX(Parameters_Constants!$K$110:$AF$127,MATCH($E87,CONST_LIST_Goods,0),MATCH(AD$8,Parameters_Constants!$K$109:$AF$109,0))=FALSE)</f>
        <v>0</v>
      </c>
      <c r="AE189" s="279" t="b">
        <f>IF(OR($D87="",$D87=CONST_NA),FALSE,INDEX(Parameters_Constants!$K$110:$AF$127,MATCH($E87,CONST_LIST_Goods,0),MATCH(AE$8,Parameters_Constants!$K$109:$AF$109,0))=FALSE)</f>
        <v>0</v>
      </c>
      <c r="AF189" s="279" t="b">
        <f>IF(OR($D87="",$D87=CONST_NA),FALSE,INDEX(Parameters_Constants!$K$110:$AF$127,MATCH($E87,CONST_LIST_Goods,0),MATCH(AF$8,Parameters_Constants!$K$109:$AF$109,0))=FALSE)</f>
        <v>0</v>
      </c>
      <c r="AG189" s="279" t="b">
        <f>IF(OR($D87="",$D87=CONST_NA),FALSE,INDEX(Parameters_Constants!$K$110:$AF$127,MATCH($E87,CONST_LIST_Goods,0),MATCH(AG$8,Parameters_Constants!$K$109:$AF$109,0))=FALSE)</f>
        <v>0</v>
      </c>
      <c r="AH189" s="279" t="b">
        <f>IF(OR($D87="",$D87=CONST_NA),FALSE,INDEX(Parameters_Constants!$K$110:$AF$127,MATCH($E87,CONST_LIST_Goods,0),MATCH(AH$8,Parameters_Constants!$K$109:$AF$109,0))=FALSE)</f>
        <v>0</v>
      </c>
      <c r="AI189" s="279" t="b">
        <f>IF(OR($D87="",$D87=CONST_NA),FALSE,INDEX(Parameters_Constants!$K$110:$AF$127,MATCH($E87,CONST_LIST_Goods,0),MATCH(AI$8,Parameters_Constants!$K$109:$AF$109,0))=FALSE)</f>
        <v>0</v>
      </c>
      <c r="AJ189" s="279" t="b">
        <f>IF(OR($D87="",$D87=CONST_NA),FALSE,INDEX(Parameters_Constants!$K$110:$AF$127,MATCH($E87,CONST_LIST_Goods,0),MATCH(AJ$8,Parameters_Constants!$K$109:$AF$109,0))=FALSE)</f>
        <v>0</v>
      </c>
      <c r="AK189" s="279" t="b">
        <f>IF(OR($D87="",$D87=CONST_NA),FALSE,INDEX(Parameters_Constants!$K$110:$AF$127,MATCH($E87,CONST_LIST_Goods,0),MATCH(AK$8,Parameters_Constants!$K$109:$AF$109,0))=FALSE)</f>
        <v>0</v>
      </c>
    </row>
    <row r="190" spans="1:49" s="275" customFormat="1" hidden="1" x14ac:dyDescent="0.35">
      <c r="A190" s="275" t="s">
        <v>3</v>
      </c>
      <c r="C190" s="275">
        <v>79</v>
      </c>
      <c r="F190" s="279" t="b">
        <v>0</v>
      </c>
      <c r="H190" s="279" t="b">
        <v>0</v>
      </c>
      <c r="P190" s="279" t="b">
        <f>IF(OR($D88="",$D88=CONST_NA),FALSE,INDEX(Parameters_Constants!$K$110:$AF$127,MATCH($E88,CONST_LIST_Goods,0),MATCH(P$8,Parameters_Constants!$K$109:$AF$109,0))=FALSE)</f>
        <v>0</v>
      </c>
      <c r="Q190" s="279" t="b">
        <f>IF(OR($D88="",$D88=CONST_NA),FALSE,INDEX(Parameters_Constants!$K$110:$AF$127,MATCH($E88,CONST_LIST_Goods,0),MATCH(Q$8,Parameters_Constants!$K$109:$AF$109,0))=FALSE)</f>
        <v>0</v>
      </c>
      <c r="R190" s="279" t="b">
        <f>IF(OR($D88="",$D88=CONST_NA),FALSE,INDEX(Parameters_Constants!$K$110:$AF$127,MATCH($E88,CONST_LIST_Goods,0),MATCH(R$8,Parameters_Constants!$K$109:$AF$109,0))=FALSE)</f>
        <v>0</v>
      </c>
      <c r="S190" s="279" t="b">
        <f>IF(OR($D88="",$D88=CONST_NA),FALSE,INDEX(Parameters_Constants!$K$110:$AF$127,MATCH($E88,CONST_LIST_Goods,0),MATCH(S$8,Parameters_Constants!$K$109:$AF$109,0))=FALSE)</f>
        <v>0</v>
      </c>
      <c r="T190" s="279" t="b">
        <f>IF(OR($D88="",$D88=CONST_NA),FALSE,INDEX(Parameters_Constants!$K$110:$AF$127,MATCH($E88,CONST_LIST_Goods,0),MATCH(T$8,Parameters_Constants!$K$109:$AF$109,0))=FALSE)</f>
        <v>0</v>
      </c>
      <c r="U190" s="279" t="b">
        <f>IF(OR($D88="",$D88=CONST_NA),FALSE,INDEX(Parameters_Constants!$K$110:$AF$127,MATCH($E88,CONST_LIST_Goods,0),MATCH(U$8,Parameters_Constants!$K$109:$AF$109,0))=FALSE)</f>
        <v>0</v>
      </c>
      <c r="V190" s="279" t="b">
        <f>IF(OR($D88="",$D88=CONST_NA),FALSE,INDEX(Parameters_Constants!$K$110:$AF$127,MATCH($E88,CONST_LIST_Goods,0),MATCH(V$8,Parameters_Constants!$K$109:$AF$109,0))=FALSE)</f>
        <v>0</v>
      </c>
      <c r="W190" s="279" t="b">
        <f>IF(OR($D88="",$D88=CONST_NA),FALSE,INDEX(Parameters_Constants!$K$110:$AF$127,MATCH($E88,CONST_LIST_Goods,0),MATCH(W$8,Parameters_Constants!$K$109:$AF$109,0))=FALSE)</f>
        <v>0</v>
      </c>
      <c r="X190" s="279" t="b">
        <f>IF(OR($D88="",$D88=CONST_NA),FALSE,INDEX(Parameters_Constants!$K$110:$AF$127,MATCH($E88,CONST_LIST_Goods,0),MATCH(X$8,Parameters_Constants!$K$109:$AF$109,0))=FALSE)</f>
        <v>0</v>
      </c>
      <c r="Y190" s="279" t="b">
        <f>IF(OR($D88="",$D88=CONST_NA),FALSE,INDEX(Parameters_Constants!$K$110:$AF$127,MATCH($E88,CONST_LIST_Goods,0),MATCH(Y$8,Parameters_Constants!$K$109:$AF$109,0))=FALSE)</f>
        <v>0</v>
      </c>
      <c r="Z190" s="279" t="b">
        <f>IF(OR($D88="",$D88=CONST_NA),FALSE,INDEX(Parameters_Constants!$K$110:$AF$127,MATCH($E88,CONST_LIST_Goods,0),MATCH(Z$8,Parameters_Constants!$K$109:$AF$109,0))=FALSE)</f>
        <v>0</v>
      </c>
      <c r="AA190" s="279" t="b">
        <f>IF(OR($D88="",$D88=CONST_NA),FALSE,INDEX(Parameters_Constants!$K$110:$AF$127,MATCH($E88,CONST_LIST_Goods,0),MATCH(AA$8,Parameters_Constants!$K$109:$AF$109,0))=FALSE)</f>
        <v>0</v>
      </c>
      <c r="AB190" s="279" t="b">
        <f>IF(OR($D88="",$D88=CONST_NA),FALSE,INDEX(Parameters_Constants!$K$110:$AF$127,MATCH($E88,CONST_LIST_Goods,0),MATCH(AB$8,Parameters_Constants!$K$109:$AF$109,0))=FALSE)</f>
        <v>0</v>
      </c>
      <c r="AC190" s="279" t="b">
        <f>IF(OR($D88="",$D88=CONST_NA),FALSE,INDEX(Parameters_Constants!$K$110:$AF$127,MATCH($E88,CONST_LIST_Goods,0),MATCH(AC$8,Parameters_Constants!$K$109:$AF$109,0))=FALSE)</f>
        <v>0</v>
      </c>
      <c r="AD190" s="279" t="b">
        <f>IF(OR($D88="",$D88=CONST_NA),FALSE,INDEX(Parameters_Constants!$K$110:$AF$127,MATCH($E88,CONST_LIST_Goods,0),MATCH(AD$8,Parameters_Constants!$K$109:$AF$109,0))=FALSE)</f>
        <v>0</v>
      </c>
      <c r="AE190" s="279" t="b">
        <f>IF(OR($D88="",$D88=CONST_NA),FALSE,INDEX(Parameters_Constants!$K$110:$AF$127,MATCH($E88,CONST_LIST_Goods,0),MATCH(AE$8,Parameters_Constants!$K$109:$AF$109,0))=FALSE)</f>
        <v>0</v>
      </c>
      <c r="AF190" s="279" t="b">
        <f>IF(OR($D88="",$D88=CONST_NA),FALSE,INDEX(Parameters_Constants!$K$110:$AF$127,MATCH($E88,CONST_LIST_Goods,0),MATCH(AF$8,Parameters_Constants!$K$109:$AF$109,0))=FALSE)</f>
        <v>0</v>
      </c>
      <c r="AG190" s="279" t="b">
        <f>IF(OR($D88="",$D88=CONST_NA),FALSE,INDEX(Parameters_Constants!$K$110:$AF$127,MATCH($E88,CONST_LIST_Goods,0),MATCH(AG$8,Parameters_Constants!$K$109:$AF$109,0))=FALSE)</f>
        <v>0</v>
      </c>
      <c r="AH190" s="279" t="b">
        <f>IF(OR($D88="",$D88=CONST_NA),FALSE,INDEX(Parameters_Constants!$K$110:$AF$127,MATCH($E88,CONST_LIST_Goods,0),MATCH(AH$8,Parameters_Constants!$K$109:$AF$109,0))=FALSE)</f>
        <v>0</v>
      </c>
      <c r="AI190" s="279" t="b">
        <f>IF(OR($D88="",$D88=CONST_NA),FALSE,INDEX(Parameters_Constants!$K$110:$AF$127,MATCH($E88,CONST_LIST_Goods,0),MATCH(AI$8,Parameters_Constants!$K$109:$AF$109,0))=FALSE)</f>
        <v>0</v>
      </c>
      <c r="AJ190" s="279" t="b">
        <f>IF(OR($D88="",$D88=CONST_NA),FALSE,INDEX(Parameters_Constants!$K$110:$AF$127,MATCH($E88,CONST_LIST_Goods,0),MATCH(AJ$8,Parameters_Constants!$K$109:$AF$109,0))=FALSE)</f>
        <v>0</v>
      </c>
      <c r="AK190" s="279" t="b">
        <f>IF(OR($D88="",$D88=CONST_NA),FALSE,INDEX(Parameters_Constants!$K$110:$AF$127,MATCH($E88,CONST_LIST_Goods,0),MATCH(AK$8,Parameters_Constants!$K$109:$AF$109,0))=FALSE)</f>
        <v>0</v>
      </c>
    </row>
    <row r="191" spans="1:49" s="275" customFormat="1" hidden="1" x14ac:dyDescent="0.35">
      <c r="A191" s="275" t="s">
        <v>3</v>
      </c>
      <c r="C191" s="275">
        <v>80</v>
      </c>
      <c r="F191" s="279" t="b">
        <v>0</v>
      </c>
      <c r="H191" s="279" t="b">
        <v>0</v>
      </c>
      <c r="P191" s="279" t="b">
        <f>IF(OR($D89="",$D89=CONST_NA),FALSE,INDEX(Parameters_Constants!$K$110:$AF$127,MATCH($E89,CONST_LIST_Goods,0),MATCH(P$8,Parameters_Constants!$K$109:$AF$109,0))=FALSE)</f>
        <v>0</v>
      </c>
      <c r="Q191" s="279" t="b">
        <f>IF(OR($D89="",$D89=CONST_NA),FALSE,INDEX(Parameters_Constants!$K$110:$AF$127,MATCH($E89,CONST_LIST_Goods,0),MATCH(Q$8,Parameters_Constants!$K$109:$AF$109,0))=FALSE)</f>
        <v>0</v>
      </c>
      <c r="R191" s="279" t="b">
        <f>IF(OR($D89="",$D89=CONST_NA),FALSE,INDEX(Parameters_Constants!$K$110:$AF$127,MATCH($E89,CONST_LIST_Goods,0),MATCH(R$8,Parameters_Constants!$K$109:$AF$109,0))=FALSE)</f>
        <v>0</v>
      </c>
      <c r="S191" s="279" t="b">
        <f>IF(OR($D89="",$D89=CONST_NA),FALSE,INDEX(Parameters_Constants!$K$110:$AF$127,MATCH($E89,CONST_LIST_Goods,0),MATCH(S$8,Parameters_Constants!$K$109:$AF$109,0))=FALSE)</f>
        <v>0</v>
      </c>
      <c r="T191" s="279" t="b">
        <f>IF(OR($D89="",$D89=CONST_NA),FALSE,INDEX(Parameters_Constants!$K$110:$AF$127,MATCH($E89,CONST_LIST_Goods,0),MATCH(T$8,Parameters_Constants!$K$109:$AF$109,0))=FALSE)</f>
        <v>0</v>
      </c>
      <c r="U191" s="279" t="b">
        <f>IF(OR($D89="",$D89=CONST_NA),FALSE,INDEX(Parameters_Constants!$K$110:$AF$127,MATCH($E89,CONST_LIST_Goods,0),MATCH(U$8,Parameters_Constants!$K$109:$AF$109,0))=FALSE)</f>
        <v>0</v>
      </c>
      <c r="V191" s="279" t="b">
        <f>IF(OR($D89="",$D89=CONST_NA),FALSE,INDEX(Parameters_Constants!$K$110:$AF$127,MATCH($E89,CONST_LIST_Goods,0),MATCH(V$8,Parameters_Constants!$K$109:$AF$109,0))=FALSE)</f>
        <v>0</v>
      </c>
      <c r="W191" s="279" t="b">
        <f>IF(OR($D89="",$D89=CONST_NA),FALSE,INDEX(Parameters_Constants!$K$110:$AF$127,MATCH($E89,CONST_LIST_Goods,0),MATCH(W$8,Parameters_Constants!$K$109:$AF$109,0))=FALSE)</f>
        <v>0</v>
      </c>
      <c r="X191" s="279" t="b">
        <f>IF(OR($D89="",$D89=CONST_NA),FALSE,INDEX(Parameters_Constants!$K$110:$AF$127,MATCH($E89,CONST_LIST_Goods,0),MATCH(X$8,Parameters_Constants!$K$109:$AF$109,0))=FALSE)</f>
        <v>0</v>
      </c>
      <c r="Y191" s="279" t="b">
        <f>IF(OR($D89="",$D89=CONST_NA),FALSE,INDEX(Parameters_Constants!$K$110:$AF$127,MATCH($E89,CONST_LIST_Goods,0),MATCH(Y$8,Parameters_Constants!$K$109:$AF$109,0))=FALSE)</f>
        <v>0</v>
      </c>
      <c r="Z191" s="279" t="b">
        <f>IF(OR($D89="",$D89=CONST_NA),FALSE,INDEX(Parameters_Constants!$K$110:$AF$127,MATCH($E89,CONST_LIST_Goods,0),MATCH(Z$8,Parameters_Constants!$K$109:$AF$109,0))=FALSE)</f>
        <v>0</v>
      </c>
      <c r="AA191" s="279" t="b">
        <f>IF(OR($D89="",$D89=CONST_NA),FALSE,INDEX(Parameters_Constants!$K$110:$AF$127,MATCH($E89,CONST_LIST_Goods,0),MATCH(AA$8,Parameters_Constants!$K$109:$AF$109,0))=FALSE)</f>
        <v>0</v>
      </c>
      <c r="AB191" s="279" t="b">
        <f>IF(OR($D89="",$D89=CONST_NA),FALSE,INDEX(Parameters_Constants!$K$110:$AF$127,MATCH($E89,CONST_LIST_Goods,0),MATCH(AB$8,Parameters_Constants!$K$109:$AF$109,0))=FALSE)</f>
        <v>0</v>
      </c>
      <c r="AC191" s="279" t="b">
        <f>IF(OR($D89="",$D89=CONST_NA),FALSE,INDEX(Parameters_Constants!$K$110:$AF$127,MATCH($E89,CONST_LIST_Goods,0),MATCH(AC$8,Parameters_Constants!$K$109:$AF$109,0))=FALSE)</f>
        <v>0</v>
      </c>
      <c r="AD191" s="279" t="b">
        <f>IF(OR($D89="",$D89=CONST_NA),FALSE,INDEX(Parameters_Constants!$K$110:$AF$127,MATCH($E89,CONST_LIST_Goods,0),MATCH(AD$8,Parameters_Constants!$K$109:$AF$109,0))=FALSE)</f>
        <v>0</v>
      </c>
      <c r="AE191" s="279" t="b">
        <f>IF(OR($D89="",$D89=CONST_NA),FALSE,INDEX(Parameters_Constants!$K$110:$AF$127,MATCH($E89,CONST_LIST_Goods,0),MATCH(AE$8,Parameters_Constants!$K$109:$AF$109,0))=FALSE)</f>
        <v>0</v>
      </c>
      <c r="AF191" s="279" t="b">
        <f>IF(OR($D89="",$D89=CONST_NA),FALSE,INDEX(Parameters_Constants!$K$110:$AF$127,MATCH($E89,CONST_LIST_Goods,0),MATCH(AF$8,Parameters_Constants!$K$109:$AF$109,0))=FALSE)</f>
        <v>0</v>
      </c>
      <c r="AG191" s="279" t="b">
        <f>IF(OR($D89="",$D89=CONST_NA),FALSE,INDEX(Parameters_Constants!$K$110:$AF$127,MATCH($E89,CONST_LIST_Goods,0),MATCH(AG$8,Parameters_Constants!$K$109:$AF$109,0))=FALSE)</f>
        <v>0</v>
      </c>
      <c r="AH191" s="279" t="b">
        <f>IF(OR($D89="",$D89=CONST_NA),FALSE,INDEX(Parameters_Constants!$K$110:$AF$127,MATCH($E89,CONST_LIST_Goods,0),MATCH(AH$8,Parameters_Constants!$K$109:$AF$109,0))=FALSE)</f>
        <v>0</v>
      </c>
      <c r="AI191" s="279" t="b">
        <f>IF(OR($D89="",$D89=CONST_NA),FALSE,INDEX(Parameters_Constants!$K$110:$AF$127,MATCH($E89,CONST_LIST_Goods,0),MATCH(AI$8,Parameters_Constants!$K$109:$AF$109,0))=FALSE)</f>
        <v>0</v>
      </c>
      <c r="AJ191" s="279" t="b">
        <f>IF(OR($D89="",$D89=CONST_NA),FALSE,INDEX(Parameters_Constants!$K$110:$AF$127,MATCH($E89,CONST_LIST_Goods,0),MATCH(AJ$8,Parameters_Constants!$K$109:$AF$109,0))=FALSE)</f>
        <v>0</v>
      </c>
      <c r="AK191" s="279" t="b">
        <f>IF(OR($D89="",$D89=CONST_NA),FALSE,INDEX(Parameters_Constants!$K$110:$AF$127,MATCH($E89,CONST_LIST_Goods,0),MATCH(AK$8,Parameters_Constants!$K$109:$AF$109,0))=FALSE)</f>
        <v>0</v>
      </c>
      <c r="AL191" s="280"/>
      <c r="AM191" s="280"/>
      <c r="AN191" s="280"/>
      <c r="AO191" s="280"/>
      <c r="AP191" s="280"/>
      <c r="AQ191" s="280"/>
      <c r="AR191" s="280"/>
      <c r="AS191" s="280"/>
      <c r="AT191" s="280"/>
      <c r="AU191" s="280"/>
      <c r="AV191" s="280"/>
      <c r="AW191" s="280"/>
    </row>
    <row r="192" spans="1:49" s="275" customFormat="1" hidden="1" x14ac:dyDescent="0.35">
      <c r="A192" s="275" t="s">
        <v>3</v>
      </c>
      <c r="C192" s="275">
        <v>81</v>
      </c>
      <c r="F192" s="279" t="b">
        <v>0</v>
      </c>
      <c r="H192" s="279" t="b">
        <v>0</v>
      </c>
      <c r="P192" s="279" t="b">
        <f>IF(OR($D90="",$D90=CONST_NA),FALSE,INDEX(Parameters_Constants!$K$110:$AF$127,MATCH($E90,CONST_LIST_Goods,0),MATCH(P$8,Parameters_Constants!$K$109:$AF$109,0))=FALSE)</f>
        <v>0</v>
      </c>
      <c r="Q192" s="279" t="b">
        <f>IF(OR($D90="",$D90=CONST_NA),FALSE,INDEX(Parameters_Constants!$K$110:$AF$127,MATCH($E90,CONST_LIST_Goods,0),MATCH(Q$8,Parameters_Constants!$K$109:$AF$109,0))=FALSE)</f>
        <v>0</v>
      </c>
      <c r="R192" s="279" t="b">
        <f>IF(OR($D90="",$D90=CONST_NA),FALSE,INDEX(Parameters_Constants!$K$110:$AF$127,MATCH($E90,CONST_LIST_Goods,0),MATCH(R$8,Parameters_Constants!$K$109:$AF$109,0))=FALSE)</f>
        <v>0</v>
      </c>
      <c r="S192" s="279" t="b">
        <f>IF(OR($D90="",$D90=CONST_NA),FALSE,INDEX(Parameters_Constants!$K$110:$AF$127,MATCH($E90,CONST_LIST_Goods,0),MATCH(S$8,Parameters_Constants!$K$109:$AF$109,0))=FALSE)</f>
        <v>0</v>
      </c>
      <c r="T192" s="279" t="b">
        <f>IF(OR($D90="",$D90=CONST_NA),FALSE,INDEX(Parameters_Constants!$K$110:$AF$127,MATCH($E90,CONST_LIST_Goods,0),MATCH(T$8,Parameters_Constants!$K$109:$AF$109,0))=FALSE)</f>
        <v>0</v>
      </c>
      <c r="U192" s="279" t="b">
        <f>IF(OR($D90="",$D90=CONST_NA),FALSE,INDEX(Parameters_Constants!$K$110:$AF$127,MATCH($E90,CONST_LIST_Goods,0),MATCH(U$8,Parameters_Constants!$K$109:$AF$109,0))=FALSE)</f>
        <v>0</v>
      </c>
      <c r="V192" s="279" t="b">
        <f>IF(OR($D90="",$D90=CONST_NA),FALSE,INDEX(Parameters_Constants!$K$110:$AF$127,MATCH($E90,CONST_LIST_Goods,0),MATCH(V$8,Parameters_Constants!$K$109:$AF$109,0))=FALSE)</f>
        <v>0</v>
      </c>
      <c r="W192" s="279" t="b">
        <f>IF(OR($D90="",$D90=CONST_NA),FALSE,INDEX(Parameters_Constants!$K$110:$AF$127,MATCH($E90,CONST_LIST_Goods,0),MATCH(W$8,Parameters_Constants!$K$109:$AF$109,0))=FALSE)</f>
        <v>0</v>
      </c>
      <c r="X192" s="279" t="b">
        <f>IF(OR($D90="",$D90=CONST_NA),FALSE,INDEX(Parameters_Constants!$K$110:$AF$127,MATCH($E90,CONST_LIST_Goods,0),MATCH(X$8,Parameters_Constants!$K$109:$AF$109,0))=FALSE)</f>
        <v>0</v>
      </c>
      <c r="Y192" s="279" t="b">
        <f>IF(OR($D90="",$D90=CONST_NA),FALSE,INDEX(Parameters_Constants!$K$110:$AF$127,MATCH($E90,CONST_LIST_Goods,0),MATCH(Y$8,Parameters_Constants!$K$109:$AF$109,0))=FALSE)</f>
        <v>0</v>
      </c>
      <c r="Z192" s="279" t="b">
        <f>IF(OR($D90="",$D90=CONST_NA),FALSE,INDEX(Parameters_Constants!$K$110:$AF$127,MATCH($E90,CONST_LIST_Goods,0),MATCH(Z$8,Parameters_Constants!$K$109:$AF$109,0))=FALSE)</f>
        <v>0</v>
      </c>
      <c r="AA192" s="279" t="b">
        <f>IF(OR($D90="",$D90=CONST_NA),FALSE,INDEX(Parameters_Constants!$K$110:$AF$127,MATCH($E90,CONST_LIST_Goods,0),MATCH(AA$8,Parameters_Constants!$K$109:$AF$109,0))=FALSE)</f>
        <v>0</v>
      </c>
      <c r="AB192" s="279" t="b">
        <f>IF(OR($D90="",$D90=CONST_NA),FALSE,INDEX(Parameters_Constants!$K$110:$AF$127,MATCH($E90,CONST_LIST_Goods,0),MATCH(AB$8,Parameters_Constants!$K$109:$AF$109,0))=FALSE)</f>
        <v>0</v>
      </c>
      <c r="AC192" s="279" t="b">
        <f>IF(OR($D90="",$D90=CONST_NA),FALSE,INDEX(Parameters_Constants!$K$110:$AF$127,MATCH($E90,CONST_LIST_Goods,0),MATCH(AC$8,Parameters_Constants!$K$109:$AF$109,0))=FALSE)</f>
        <v>0</v>
      </c>
      <c r="AD192" s="279" t="b">
        <f>IF(OR($D90="",$D90=CONST_NA),FALSE,INDEX(Parameters_Constants!$K$110:$AF$127,MATCH($E90,CONST_LIST_Goods,0),MATCH(AD$8,Parameters_Constants!$K$109:$AF$109,0))=FALSE)</f>
        <v>0</v>
      </c>
      <c r="AE192" s="279" t="b">
        <f>IF(OR($D90="",$D90=CONST_NA),FALSE,INDEX(Parameters_Constants!$K$110:$AF$127,MATCH($E90,CONST_LIST_Goods,0),MATCH(AE$8,Parameters_Constants!$K$109:$AF$109,0))=FALSE)</f>
        <v>0</v>
      </c>
      <c r="AF192" s="279" t="b">
        <f>IF(OR($D90="",$D90=CONST_NA),FALSE,INDEX(Parameters_Constants!$K$110:$AF$127,MATCH($E90,CONST_LIST_Goods,0),MATCH(AF$8,Parameters_Constants!$K$109:$AF$109,0))=FALSE)</f>
        <v>0</v>
      </c>
      <c r="AG192" s="279" t="b">
        <f>IF(OR($D90="",$D90=CONST_NA),FALSE,INDEX(Parameters_Constants!$K$110:$AF$127,MATCH($E90,CONST_LIST_Goods,0),MATCH(AG$8,Parameters_Constants!$K$109:$AF$109,0))=FALSE)</f>
        <v>0</v>
      </c>
      <c r="AH192" s="279" t="b">
        <f>IF(OR($D90="",$D90=CONST_NA),FALSE,INDEX(Parameters_Constants!$K$110:$AF$127,MATCH($E90,CONST_LIST_Goods,0),MATCH(AH$8,Parameters_Constants!$K$109:$AF$109,0))=FALSE)</f>
        <v>0</v>
      </c>
      <c r="AI192" s="279" t="b">
        <f>IF(OR($D90="",$D90=CONST_NA),FALSE,INDEX(Parameters_Constants!$K$110:$AF$127,MATCH($E90,CONST_LIST_Goods,0),MATCH(AI$8,Parameters_Constants!$K$109:$AF$109,0))=FALSE)</f>
        <v>0</v>
      </c>
      <c r="AJ192" s="279" t="b">
        <f>IF(OR($D90="",$D90=CONST_NA),FALSE,INDEX(Parameters_Constants!$K$110:$AF$127,MATCH($E90,CONST_LIST_Goods,0),MATCH(AJ$8,Parameters_Constants!$K$109:$AF$109,0))=FALSE)</f>
        <v>0</v>
      </c>
      <c r="AK192" s="279" t="b">
        <f>IF(OR($D90="",$D90=CONST_NA),FALSE,INDEX(Parameters_Constants!$K$110:$AF$127,MATCH($E90,CONST_LIST_Goods,0),MATCH(AK$8,Parameters_Constants!$K$109:$AF$109,0))=FALSE)</f>
        <v>0</v>
      </c>
      <c r="AL192" s="280"/>
      <c r="AM192" s="280"/>
      <c r="AN192" s="280"/>
      <c r="AO192" s="280"/>
      <c r="AP192" s="280"/>
      <c r="AQ192" s="280"/>
      <c r="AR192" s="280"/>
      <c r="AS192" s="280"/>
      <c r="AT192" s="280"/>
      <c r="AU192" s="280"/>
      <c r="AV192" s="280"/>
      <c r="AW192" s="280"/>
    </row>
    <row r="193" spans="1:49" s="275" customFormat="1" hidden="1" x14ac:dyDescent="0.35">
      <c r="A193" s="275" t="s">
        <v>3</v>
      </c>
      <c r="C193" s="275">
        <v>82</v>
      </c>
      <c r="F193" s="279" t="b">
        <v>0</v>
      </c>
      <c r="H193" s="279" t="b">
        <v>0</v>
      </c>
      <c r="P193" s="279" t="b">
        <f>IF(OR($D91="",$D91=CONST_NA),FALSE,INDEX(Parameters_Constants!$K$110:$AF$127,MATCH($E91,CONST_LIST_Goods,0),MATCH(P$8,Parameters_Constants!$K$109:$AF$109,0))=FALSE)</f>
        <v>0</v>
      </c>
      <c r="Q193" s="279" t="b">
        <f>IF(OR($D91="",$D91=CONST_NA),FALSE,INDEX(Parameters_Constants!$K$110:$AF$127,MATCH($E91,CONST_LIST_Goods,0),MATCH(Q$8,Parameters_Constants!$K$109:$AF$109,0))=FALSE)</f>
        <v>0</v>
      </c>
      <c r="R193" s="279" t="b">
        <f>IF(OR($D91="",$D91=CONST_NA),FALSE,INDEX(Parameters_Constants!$K$110:$AF$127,MATCH($E91,CONST_LIST_Goods,0),MATCH(R$8,Parameters_Constants!$K$109:$AF$109,0))=FALSE)</f>
        <v>0</v>
      </c>
      <c r="S193" s="279" t="b">
        <f>IF(OR($D91="",$D91=CONST_NA),FALSE,INDEX(Parameters_Constants!$K$110:$AF$127,MATCH($E91,CONST_LIST_Goods,0),MATCH(S$8,Parameters_Constants!$K$109:$AF$109,0))=FALSE)</f>
        <v>0</v>
      </c>
      <c r="T193" s="279" t="b">
        <f>IF(OR($D91="",$D91=CONST_NA),FALSE,INDEX(Parameters_Constants!$K$110:$AF$127,MATCH($E91,CONST_LIST_Goods,0),MATCH(T$8,Parameters_Constants!$K$109:$AF$109,0))=FALSE)</f>
        <v>0</v>
      </c>
      <c r="U193" s="279" t="b">
        <f>IF(OR($D91="",$D91=CONST_NA),FALSE,INDEX(Parameters_Constants!$K$110:$AF$127,MATCH($E91,CONST_LIST_Goods,0),MATCH(U$8,Parameters_Constants!$K$109:$AF$109,0))=FALSE)</f>
        <v>0</v>
      </c>
      <c r="V193" s="279" t="b">
        <f>IF(OR($D91="",$D91=CONST_NA),FALSE,INDEX(Parameters_Constants!$K$110:$AF$127,MATCH($E91,CONST_LIST_Goods,0),MATCH(V$8,Parameters_Constants!$K$109:$AF$109,0))=FALSE)</f>
        <v>0</v>
      </c>
      <c r="W193" s="279" t="b">
        <f>IF(OR($D91="",$D91=CONST_NA),FALSE,INDEX(Parameters_Constants!$K$110:$AF$127,MATCH($E91,CONST_LIST_Goods,0),MATCH(W$8,Parameters_Constants!$K$109:$AF$109,0))=FALSE)</f>
        <v>0</v>
      </c>
      <c r="X193" s="279" t="b">
        <f>IF(OR($D91="",$D91=CONST_NA),FALSE,INDEX(Parameters_Constants!$K$110:$AF$127,MATCH($E91,CONST_LIST_Goods,0),MATCH(X$8,Parameters_Constants!$K$109:$AF$109,0))=FALSE)</f>
        <v>0</v>
      </c>
      <c r="Y193" s="279" t="b">
        <f>IF(OR($D91="",$D91=CONST_NA),FALSE,INDEX(Parameters_Constants!$K$110:$AF$127,MATCH($E91,CONST_LIST_Goods,0),MATCH(Y$8,Parameters_Constants!$K$109:$AF$109,0))=FALSE)</f>
        <v>0</v>
      </c>
      <c r="Z193" s="279" t="b">
        <f>IF(OR($D91="",$D91=CONST_NA),FALSE,INDEX(Parameters_Constants!$K$110:$AF$127,MATCH($E91,CONST_LIST_Goods,0),MATCH(Z$8,Parameters_Constants!$K$109:$AF$109,0))=FALSE)</f>
        <v>0</v>
      </c>
      <c r="AA193" s="279" t="b">
        <f>IF(OR($D91="",$D91=CONST_NA),FALSE,INDEX(Parameters_Constants!$K$110:$AF$127,MATCH($E91,CONST_LIST_Goods,0),MATCH(AA$8,Parameters_Constants!$K$109:$AF$109,0))=FALSE)</f>
        <v>0</v>
      </c>
      <c r="AB193" s="279" t="b">
        <f>IF(OR($D91="",$D91=CONST_NA),FALSE,INDEX(Parameters_Constants!$K$110:$AF$127,MATCH($E91,CONST_LIST_Goods,0),MATCH(AB$8,Parameters_Constants!$K$109:$AF$109,0))=FALSE)</f>
        <v>0</v>
      </c>
      <c r="AC193" s="279" t="b">
        <f>IF(OR($D91="",$D91=CONST_NA),FALSE,INDEX(Parameters_Constants!$K$110:$AF$127,MATCH($E91,CONST_LIST_Goods,0),MATCH(AC$8,Parameters_Constants!$K$109:$AF$109,0))=FALSE)</f>
        <v>0</v>
      </c>
      <c r="AD193" s="279" t="b">
        <f>IF(OR($D91="",$D91=CONST_NA),FALSE,INDEX(Parameters_Constants!$K$110:$AF$127,MATCH($E91,CONST_LIST_Goods,0),MATCH(AD$8,Parameters_Constants!$K$109:$AF$109,0))=FALSE)</f>
        <v>0</v>
      </c>
      <c r="AE193" s="279" t="b">
        <f>IF(OR($D91="",$D91=CONST_NA),FALSE,INDEX(Parameters_Constants!$K$110:$AF$127,MATCH($E91,CONST_LIST_Goods,0),MATCH(AE$8,Parameters_Constants!$K$109:$AF$109,0))=FALSE)</f>
        <v>0</v>
      </c>
      <c r="AF193" s="279" t="b">
        <f>IF(OR($D91="",$D91=CONST_NA),FALSE,INDEX(Parameters_Constants!$K$110:$AF$127,MATCH($E91,CONST_LIST_Goods,0),MATCH(AF$8,Parameters_Constants!$K$109:$AF$109,0))=FALSE)</f>
        <v>0</v>
      </c>
      <c r="AG193" s="279" t="b">
        <f>IF(OR($D91="",$D91=CONST_NA),FALSE,INDEX(Parameters_Constants!$K$110:$AF$127,MATCH($E91,CONST_LIST_Goods,0),MATCH(AG$8,Parameters_Constants!$K$109:$AF$109,0))=FALSE)</f>
        <v>0</v>
      </c>
      <c r="AH193" s="279" t="b">
        <f>IF(OR($D91="",$D91=CONST_NA),FALSE,INDEX(Parameters_Constants!$K$110:$AF$127,MATCH($E91,CONST_LIST_Goods,0),MATCH(AH$8,Parameters_Constants!$K$109:$AF$109,0))=FALSE)</f>
        <v>0</v>
      </c>
      <c r="AI193" s="279" t="b">
        <f>IF(OR($D91="",$D91=CONST_NA),FALSE,INDEX(Parameters_Constants!$K$110:$AF$127,MATCH($E91,CONST_LIST_Goods,0),MATCH(AI$8,Parameters_Constants!$K$109:$AF$109,0))=FALSE)</f>
        <v>0</v>
      </c>
      <c r="AJ193" s="279" t="b">
        <f>IF(OR($D91="",$D91=CONST_NA),FALSE,INDEX(Parameters_Constants!$K$110:$AF$127,MATCH($E91,CONST_LIST_Goods,0),MATCH(AJ$8,Parameters_Constants!$K$109:$AF$109,0))=FALSE)</f>
        <v>0</v>
      </c>
      <c r="AK193" s="279" t="b">
        <f>IF(OR($D91="",$D91=CONST_NA),FALSE,INDEX(Parameters_Constants!$K$110:$AF$127,MATCH($E91,CONST_LIST_Goods,0),MATCH(AK$8,Parameters_Constants!$K$109:$AF$109,0))=FALSE)</f>
        <v>0</v>
      </c>
      <c r="AL193" s="280"/>
      <c r="AM193" s="280"/>
      <c r="AN193" s="280"/>
      <c r="AO193" s="280"/>
      <c r="AP193" s="280"/>
      <c r="AQ193" s="280"/>
      <c r="AR193" s="280"/>
      <c r="AS193" s="280"/>
      <c r="AT193" s="280"/>
      <c r="AU193" s="280"/>
      <c r="AV193" s="280"/>
      <c r="AW193" s="280"/>
    </row>
    <row r="194" spans="1:49" s="275" customFormat="1" hidden="1" x14ac:dyDescent="0.35">
      <c r="A194" s="275" t="s">
        <v>3</v>
      </c>
      <c r="C194" s="275">
        <v>83</v>
      </c>
      <c r="F194" s="279" t="b">
        <v>0</v>
      </c>
      <c r="H194" s="279" t="b">
        <v>0</v>
      </c>
      <c r="P194" s="279" t="b">
        <f>IF(OR($D92="",$D92=CONST_NA),FALSE,INDEX(Parameters_Constants!$K$110:$AF$127,MATCH($E92,CONST_LIST_Goods,0),MATCH(P$8,Parameters_Constants!$K$109:$AF$109,0))=FALSE)</f>
        <v>0</v>
      </c>
      <c r="Q194" s="279" t="b">
        <f>IF(OR($D92="",$D92=CONST_NA),FALSE,INDEX(Parameters_Constants!$K$110:$AF$127,MATCH($E92,CONST_LIST_Goods,0),MATCH(Q$8,Parameters_Constants!$K$109:$AF$109,0))=FALSE)</f>
        <v>0</v>
      </c>
      <c r="R194" s="279" t="b">
        <f>IF(OR($D92="",$D92=CONST_NA),FALSE,INDEX(Parameters_Constants!$K$110:$AF$127,MATCH($E92,CONST_LIST_Goods,0),MATCH(R$8,Parameters_Constants!$K$109:$AF$109,0))=FALSE)</f>
        <v>0</v>
      </c>
      <c r="S194" s="279" t="b">
        <f>IF(OR($D92="",$D92=CONST_NA),FALSE,INDEX(Parameters_Constants!$K$110:$AF$127,MATCH($E92,CONST_LIST_Goods,0),MATCH(S$8,Parameters_Constants!$K$109:$AF$109,0))=FALSE)</f>
        <v>0</v>
      </c>
      <c r="T194" s="279" t="b">
        <f>IF(OR($D92="",$D92=CONST_NA),FALSE,INDEX(Parameters_Constants!$K$110:$AF$127,MATCH($E92,CONST_LIST_Goods,0),MATCH(T$8,Parameters_Constants!$K$109:$AF$109,0))=FALSE)</f>
        <v>0</v>
      </c>
      <c r="U194" s="279" t="b">
        <f>IF(OR($D92="",$D92=CONST_NA),FALSE,INDEX(Parameters_Constants!$K$110:$AF$127,MATCH($E92,CONST_LIST_Goods,0),MATCH(U$8,Parameters_Constants!$K$109:$AF$109,0))=FALSE)</f>
        <v>0</v>
      </c>
      <c r="V194" s="279" t="b">
        <f>IF(OR($D92="",$D92=CONST_NA),FALSE,INDEX(Parameters_Constants!$K$110:$AF$127,MATCH($E92,CONST_LIST_Goods,0),MATCH(V$8,Parameters_Constants!$K$109:$AF$109,0))=FALSE)</f>
        <v>0</v>
      </c>
      <c r="W194" s="279" t="b">
        <f>IF(OR($D92="",$D92=CONST_NA),FALSE,INDEX(Parameters_Constants!$K$110:$AF$127,MATCH($E92,CONST_LIST_Goods,0),MATCH(W$8,Parameters_Constants!$K$109:$AF$109,0))=FALSE)</f>
        <v>0</v>
      </c>
      <c r="X194" s="279" t="b">
        <f>IF(OR($D92="",$D92=CONST_NA),FALSE,INDEX(Parameters_Constants!$K$110:$AF$127,MATCH($E92,CONST_LIST_Goods,0),MATCH(X$8,Parameters_Constants!$K$109:$AF$109,0))=FALSE)</f>
        <v>0</v>
      </c>
      <c r="Y194" s="279" t="b">
        <f>IF(OR($D92="",$D92=CONST_NA),FALSE,INDEX(Parameters_Constants!$K$110:$AF$127,MATCH($E92,CONST_LIST_Goods,0),MATCH(Y$8,Parameters_Constants!$K$109:$AF$109,0))=FALSE)</f>
        <v>0</v>
      </c>
      <c r="Z194" s="279" t="b">
        <f>IF(OR($D92="",$D92=CONST_NA),FALSE,INDEX(Parameters_Constants!$K$110:$AF$127,MATCH($E92,CONST_LIST_Goods,0),MATCH(Z$8,Parameters_Constants!$K$109:$AF$109,0))=FALSE)</f>
        <v>0</v>
      </c>
      <c r="AA194" s="279" t="b">
        <f>IF(OR($D92="",$D92=CONST_NA),FALSE,INDEX(Parameters_Constants!$K$110:$AF$127,MATCH($E92,CONST_LIST_Goods,0),MATCH(AA$8,Parameters_Constants!$K$109:$AF$109,0))=FALSE)</f>
        <v>0</v>
      </c>
      <c r="AB194" s="279" t="b">
        <f>IF(OR($D92="",$D92=CONST_NA),FALSE,INDEX(Parameters_Constants!$K$110:$AF$127,MATCH($E92,CONST_LIST_Goods,0),MATCH(AB$8,Parameters_Constants!$K$109:$AF$109,0))=FALSE)</f>
        <v>0</v>
      </c>
      <c r="AC194" s="279" t="b">
        <f>IF(OR($D92="",$D92=CONST_NA),FALSE,INDEX(Parameters_Constants!$K$110:$AF$127,MATCH($E92,CONST_LIST_Goods,0),MATCH(AC$8,Parameters_Constants!$K$109:$AF$109,0))=FALSE)</f>
        <v>0</v>
      </c>
      <c r="AD194" s="279" t="b">
        <f>IF(OR($D92="",$D92=CONST_NA),FALSE,INDEX(Parameters_Constants!$K$110:$AF$127,MATCH($E92,CONST_LIST_Goods,0),MATCH(AD$8,Parameters_Constants!$K$109:$AF$109,0))=FALSE)</f>
        <v>0</v>
      </c>
      <c r="AE194" s="279" t="b">
        <f>IF(OR($D92="",$D92=CONST_NA),FALSE,INDEX(Parameters_Constants!$K$110:$AF$127,MATCH($E92,CONST_LIST_Goods,0),MATCH(AE$8,Parameters_Constants!$K$109:$AF$109,0))=FALSE)</f>
        <v>0</v>
      </c>
      <c r="AF194" s="279" t="b">
        <f>IF(OR($D92="",$D92=CONST_NA),FALSE,INDEX(Parameters_Constants!$K$110:$AF$127,MATCH($E92,CONST_LIST_Goods,0),MATCH(AF$8,Parameters_Constants!$K$109:$AF$109,0))=FALSE)</f>
        <v>0</v>
      </c>
      <c r="AG194" s="279" t="b">
        <f>IF(OR($D92="",$D92=CONST_NA),FALSE,INDEX(Parameters_Constants!$K$110:$AF$127,MATCH($E92,CONST_LIST_Goods,0),MATCH(AG$8,Parameters_Constants!$K$109:$AF$109,0))=FALSE)</f>
        <v>0</v>
      </c>
      <c r="AH194" s="279" t="b">
        <f>IF(OR($D92="",$D92=CONST_NA),FALSE,INDEX(Parameters_Constants!$K$110:$AF$127,MATCH($E92,CONST_LIST_Goods,0),MATCH(AH$8,Parameters_Constants!$K$109:$AF$109,0))=FALSE)</f>
        <v>0</v>
      </c>
      <c r="AI194" s="279" t="b">
        <f>IF(OR($D92="",$D92=CONST_NA),FALSE,INDEX(Parameters_Constants!$K$110:$AF$127,MATCH($E92,CONST_LIST_Goods,0),MATCH(AI$8,Parameters_Constants!$K$109:$AF$109,0))=FALSE)</f>
        <v>0</v>
      </c>
      <c r="AJ194" s="279" t="b">
        <f>IF(OR($D92="",$D92=CONST_NA),FALSE,INDEX(Parameters_Constants!$K$110:$AF$127,MATCH($E92,CONST_LIST_Goods,0),MATCH(AJ$8,Parameters_Constants!$K$109:$AF$109,0))=FALSE)</f>
        <v>0</v>
      </c>
      <c r="AK194" s="279" t="b">
        <f>IF(OR($D92="",$D92=CONST_NA),FALSE,INDEX(Parameters_Constants!$K$110:$AF$127,MATCH($E92,CONST_LIST_Goods,0),MATCH(AK$8,Parameters_Constants!$K$109:$AF$109,0))=FALSE)</f>
        <v>0</v>
      </c>
      <c r="AL194" s="280"/>
      <c r="AM194" s="280"/>
      <c r="AN194" s="280"/>
      <c r="AO194" s="280"/>
      <c r="AP194" s="280"/>
      <c r="AQ194" s="280"/>
      <c r="AR194" s="280"/>
      <c r="AS194" s="280"/>
      <c r="AT194" s="280"/>
      <c r="AU194" s="280"/>
      <c r="AV194" s="280"/>
      <c r="AW194" s="280"/>
    </row>
    <row r="195" spans="1:49" s="275" customFormat="1" hidden="1" x14ac:dyDescent="0.35">
      <c r="A195" s="275" t="s">
        <v>3</v>
      </c>
      <c r="C195" s="275">
        <v>84</v>
      </c>
      <c r="F195" s="279" t="b">
        <v>0</v>
      </c>
      <c r="H195" s="279" t="b">
        <v>0</v>
      </c>
      <c r="P195" s="279" t="b">
        <f>IF(OR($D93="",$D93=CONST_NA),FALSE,INDEX(Parameters_Constants!$K$110:$AF$127,MATCH($E93,CONST_LIST_Goods,0),MATCH(P$8,Parameters_Constants!$K$109:$AF$109,0))=FALSE)</f>
        <v>0</v>
      </c>
      <c r="Q195" s="279" t="b">
        <f>IF(OR($D93="",$D93=CONST_NA),FALSE,INDEX(Parameters_Constants!$K$110:$AF$127,MATCH($E93,CONST_LIST_Goods,0),MATCH(Q$8,Parameters_Constants!$K$109:$AF$109,0))=FALSE)</f>
        <v>0</v>
      </c>
      <c r="R195" s="279" t="b">
        <f>IF(OR($D93="",$D93=CONST_NA),FALSE,INDEX(Parameters_Constants!$K$110:$AF$127,MATCH($E93,CONST_LIST_Goods,0),MATCH(R$8,Parameters_Constants!$K$109:$AF$109,0))=FALSE)</f>
        <v>0</v>
      </c>
      <c r="S195" s="279" t="b">
        <f>IF(OR($D93="",$D93=CONST_NA),FALSE,INDEX(Parameters_Constants!$K$110:$AF$127,MATCH($E93,CONST_LIST_Goods,0),MATCH(S$8,Parameters_Constants!$K$109:$AF$109,0))=FALSE)</f>
        <v>0</v>
      </c>
      <c r="T195" s="279" t="b">
        <f>IF(OR($D93="",$D93=CONST_NA),FALSE,INDEX(Parameters_Constants!$K$110:$AF$127,MATCH($E93,CONST_LIST_Goods,0),MATCH(T$8,Parameters_Constants!$K$109:$AF$109,0))=FALSE)</f>
        <v>0</v>
      </c>
      <c r="U195" s="279" t="b">
        <f>IF(OR($D93="",$D93=CONST_NA),FALSE,INDEX(Parameters_Constants!$K$110:$AF$127,MATCH($E93,CONST_LIST_Goods,0),MATCH(U$8,Parameters_Constants!$K$109:$AF$109,0))=FALSE)</f>
        <v>0</v>
      </c>
      <c r="V195" s="279" t="b">
        <f>IF(OR($D93="",$D93=CONST_NA),FALSE,INDEX(Parameters_Constants!$K$110:$AF$127,MATCH($E93,CONST_LIST_Goods,0),MATCH(V$8,Parameters_Constants!$K$109:$AF$109,0))=FALSE)</f>
        <v>0</v>
      </c>
      <c r="W195" s="279" t="b">
        <f>IF(OR($D93="",$D93=CONST_NA),FALSE,INDEX(Parameters_Constants!$K$110:$AF$127,MATCH($E93,CONST_LIST_Goods,0),MATCH(W$8,Parameters_Constants!$K$109:$AF$109,0))=FALSE)</f>
        <v>0</v>
      </c>
      <c r="X195" s="279" t="b">
        <f>IF(OR($D93="",$D93=CONST_NA),FALSE,INDEX(Parameters_Constants!$K$110:$AF$127,MATCH($E93,CONST_LIST_Goods,0),MATCH(X$8,Parameters_Constants!$K$109:$AF$109,0))=FALSE)</f>
        <v>0</v>
      </c>
      <c r="Y195" s="279" t="b">
        <f>IF(OR($D93="",$D93=CONST_NA),FALSE,INDEX(Parameters_Constants!$K$110:$AF$127,MATCH($E93,CONST_LIST_Goods,0),MATCH(Y$8,Parameters_Constants!$K$109:$AF$109,0))=FALSE)</f>
        <v>0</v>
      </c>
      <c r="Z195" s="279" t="b">
        <f>IF(OR($D93="",$D93=CONST_NA),FALSE,INDEX(Parameters_Constants!$K$110:$AF$127,MATCH($E93,CONST_LIST_Goods,0),MATCH(Z$8,Parameters_Constants!$K$109:$AF$109,0))=FALSE)</f>
        <v>0</v>
      </c>
      <c r="AA195" s="279" t="b">
        <f>IF(OR($D93="",$D93=CONST_NA),FALSE,INDEX(Parameters_Constants!$K$110:$AF$127,MATCH($E93,CONST_LIST_Goods,0),MATCH(AA$8,Parameters_Constants!$K$109:$AF$109,0))=FALSE)</f>
        <v>0</v>
      </c>
      <c r="AB195" s="279" t="b">
        <f>IF(OR($D93="",$D93=CONST_NA),FALSE,INDEX(Parameters_Constants!$K$110:$AF$127,MATCH($E93,CONST_LIST_Goods,0),MATCH(AB$8,Parameters_Constants!$K$109:$AF$109,0))=FALSE)</f>
        <v>0</v>
      </c>
      <c r="AC195" s="279" t="b">
        <f>IF(OR($D93="",$D93=CONST_NA),FALSE,INDEX(Parameters_Constants!$K$110:$AF$127,MATCH($E93,CONST_LIST_Goods,0),MATCH(AC$8,Parameters_Constants!$K$109:$AF$109,0))=FALSE)</f>
        <v>0</v>
      </c>
      <c r="AD195" s="279" t="b">
        <f>IF(OR($D93="",$D93=CONST_NA),FALSE,INDEX(Parameters_Constants!$K$110:$AF$127,MATCH($E93,CONST_LIST_Goods,0),MATCH(AD$8,Parameters_Constants!$K$109:$AF$109,0))=FALSE)</f>
        <v>0</v>
      </c>
      <c r="AE195" s="279" t="b">
        <f>IF(OR($D93="",$D93=CONST_NA),FALSE,INDEX(Parameters_Constants!$K$110:$AF$127,MATCH($E93,CONST_LIST_Goods,0),MATCH(AE$8,Parameters_Constants!$K$109:$AF$109,0))=FALSE)</f>
        <v>0</v>
      </c>
      <c r="AF195" s="279" t="b">
        <f>IF(OR($D93="",$D93=CONST_NA),FALSE,INDEX(Parameters_Constants!$K$110:$AF$127,MATCH($E93,CONST_LIST_Goods,0),MATCH(AF$8,Parameters_Constants!$K$109:$AF$109,0))=FALSE)</f>
        <v>0</v>
      </c>
      <c r="AG195" s="279" t="b">
        <f>IF(OR($D93="",$D93=CONST_NA),FALSE,INDEX(Parameters_Constants!$K$110:$AF$127,MATCH($E93,CONST_LIST_Goods,0),MATCH(AG$8,Parameters_Constants!$K$109:$AF$109,0))=FALSE)</f>
        <v>0</v>
      </c>
      <c r="AH195" s="279" t="b">
        <f>IF(OR($D93="",$D93=CONST_NA),FALSE,INDEX(Parameters_Constants!$K$110:$AF$127,MATCH($E93,CONST_LIST_Goods,0),MATCH(AH$8,Parameters_Constants!$K$109:$AF$109,0))=FALSE)</f>
        <v>0</v>
      </c>
      <c r="AI195" s="279" t="b">
        <f>IF(OR($D93="",$D93=CONST_NA),FALSE,INDEX(Parameters_Constants!$K$110:$AF$127,MATCH($E93,CONST_LIST_Goods,0),MATCH(AI$8,Parameters_Constants!$K$109:$AF$109,0))=FALSE)</f>
        <v>0</v>
      </c>
      <c r="AJ195" s="279" t="b">
        <f>IF(OR($D93="",$D93=CONST_NA),FALSE,INDEX(Parameters_Constants!$K$110:$AF$127,MATCH($E93,CONST_LIST_Goods,0),MATCH(AJ$8,Parameters_Constants!$K$109:$AF$109,0))=FALSE)</f>
        <v>0</v>
      </c>
      <c r="AK195" s="279" t="b">
        <f>IF(OR($D93="",$D93=CONST_NA),FALSE,INDEX(Parameters_Constants!$K$110:$AF$127,MATCH($E93,CONST_LIST_Goods,0),MATCH(AK$8,Parameters_Constants!$K$109:$AF$109,0))=FALSE)</f>
        <v>0</v>
      </c>
      <c r="AL195" s="280"/>
      <c r="AM195" s="280"/>
      <c r="AN195" s="280"/>
      <c r="AO195" s="280"/>
      <c r="AP195" s="280"/>
      <c r="AQ195" s="280"/>
      <c r="AR195" s="280"/>
      <c r="AS195" s="280"/>
      <c r="AT195" s="280"/>
      <c r="AU195" s="280"/>
      <c r="AV195" s="280"/>
      <c r="AW195" s="280"/>
    </row>
    <row r="196" spans="1:49" s="275" customFormat="1" hidden="1" x14ac:dyDescent="0.35">
      <c r="A196" s="275" t="s">
        <v>3</v>
      </c>
      <c r="C196" s="275">
        <v>85</v>
      </c>
      <c r="F196" s="279" t="b">
        <v>0</v>
      </c>
      <c r="H196" s="279" t="b">
        <v>0</v>
      </c>
      <c r="P196" s="279" t="b">
        <f>IF(OR($D94="",$D94=CONST_NA),FALSE,INDEX(Parameters_Constants!$K$110:$AF$127,MATCH($E94,CONST_LIST_Goods,0),MATCH(P$8,Parameters_Constants!$K$109:$AF$109,0))=FALSE)</f>
        <v>0</v>
      </c>
      <c r="Q196" s="279" t="b">
        <f>IF(OR($D94="",$D94=CONST_NA),FALSE,INDEX(Parameters_Constants!$K$110:$AF$127,MATCH($E94,CONST_LIST_Goods,0),MATCH(Q$8,Parameters_Constants!$K$109:$AF$109,0))=FALSE)</f>
        <v>0</v>
      </c>
      <c r="R196" s="279" t="b">
        <f>IF(OR($D94="",$D94=CONST_NA),FALSE,INDEX(Parameters_Constants!$K$110:$AF$127,MATCH($E94,CONST_LIST_Goods,0),MATCH(R$8,Parameters_Constants!$K$109:$AF$109,0))=FALSE)</f>
        <v>0</v>
      </c>
      <c r="S196" s="279" t="b">
        <f>IF(OR($D94="",$D94=CONST_NA),FALSE,INDEX(Parameters_Constants!$K$110:$AF$127,MATCH($E94,CONST_LIST_Goods,0),MATCH(S$8,Parameters_Constants!$K$109:$AF$109,0))=FALSE)</f>
        <v>0</v>
      </c>
      <c r="T196" s="279" t="b">
        <f>IF(OR($D94="",$D94=CONST_NA),FALSE,INDEX(Parameters_Constants!$K$110:$AF$127,MATCH($E94,CONST_LIST_Goods,0),MATCH(T$8,Parameters_Constants!$K$109:$AF$109,0))=FALSE)</f>
        <v>0</v>
      </c>
      <c r="U196" s="279" t="b">
        <f>IF(OR($D94="",$D94=CONST_NA),FALSE,INDEX(Parameters_Constants!$K$110:$AF$127,MATCH($E94,CONST_LIST_Goods,0),MATCH(U$8,Parameters_Constants!$K$109:$AF$109,0))=FALSE)</f>
        <v>0</v>
      </c>
      <c r="V196" s="279" t="b">
        <f>IF(OR($D94="",$D94=CONST_NA),FALSE,INDEX(Parameters_Constants!$K$110:$AF$127,MATCH($E94,CONST_LIST_Goods,0),MATCH(V$8,Parameters_Constants!$K$109:$AF$109,0))=FALSE)</f>
        <v>0</v>
      </c>
      <c r="W196" s="279" t="b">
        <f>IF(OR($D94="",$D94=CONST_NA),FALSE,INDEX(Parameters_Constants!$K$110:$AF$127,MATCH($E94,CONST_LIST_Goods,0),MATCH(W$8,Parameters_Constants!$K$109:$AF$109,0))=FALSE)</f>
        <v>0</v>
      </c>
      <c r="X196" s="279" t="b">
        <f>IF(OR($D94="",$D94=CONST_NA),FALSE,INDEX(Parameters_Constants!$K$110:$AF$127,MATCH($E94,CONST_LIST_Goods,0),MATCH(X$8,Parameters_Constants!$K$109:$AF$109,0))=FALSE)</f>
        <v>0</v>
      </c>
      <c r="Y196" s="279" t="b">
        <f>IF(OR($D94="",$D94=CONST_NA),FALSE,INDEX(Parameters_Constants!$K$110:$AF$127,MATCH($E94,CONST_LIST_Goods,0),MATCH(Y$8,Parameters_Constants!$K$109:$AF$109,0))=FALSE)</f>
        <v>0</v>
      </c>
      <c r="Z196" s="279" t="b">
        <f>IF(OR($D94="",$D94=CONST_NA),FALSE,INDEX(Parameters_Constants!$K$110:$AF$127,MATCH($E94,CONST_LIST_Goods,0),MATCH(Z$8,Parameters_Constants!$K$109:$AF$109,0))=FALSE)</f>
        <v>0</v>
      </c>
      <c r="AA196" s="279" t="b">
        <f>IF(OR($D94="",$D94=CONST_NA),FALSE,INDEX(Parameters_Constants!$K$110:$AF$127,MATCH($E94,CONST_LIST_Goods,0),MATCH(AA$8,Parameters_Constants!$K$109:$AF$109,0))=FALSE)</f>
        <v>0</v>
      </c>
      <c r="AB196" s="279" t="b">
        <f>IF(OR($D94="",$D94=CONST_NA),FALSE,INDEX(Parameters_Constants!$K$110:$AF$127,MATCH($E94,CONST_LIST_Goods,0),MATCH(AB$8,Parameters_Constants!$K$109:$AF$109,0))=FALSE)</f>
        <v>0</v>
      </c>
      <c r="AC196" s="279" t="b">
        <f>IF(OR($D94="",$D94=CONST_NA),FALSE,INDEX(Parameters_Constants!$K$110:$AF$127,MATCH($E94,CONST_LIST_Goods,0),MATCH(AC$8,Parameters_Constants!$K$109:$AF$109,0))=FALSE)</f>
        <v>0</v>
      </c>
      <c r="AD196" s="279" t="b">
        <f>IF(OR($D94="",$D94=CONST_NA),FALSE,INDEX(Parameters_Constants!$K$110:$AF$127,MATCH($E94,CONST_LIST_Goods,0),MATCH(AD$8,Parameters_Constants!$K$109:$AF$109,0))=FALSE)</f>
        <v>0</v>
      </c>
      <c r="AE196" s="279" t="b">
        <f>IF(OR($D94="",$D94=CONST_NA),FALSE,INDEX(Parameters_Constants!$K$110:$AF$127,MATCH($E94,CONST_LIST_Goods,0),MATCH(AE$8,Parameters_Constants!$K$109:$AF$109,0))=FALSE)</f>
        <v>0</v>
      </c>
      <c r="AF196" s="279" t="b">
        <f>IF(OR($D94="",$D94=CONST_NA),FALSE,INDEX(Parameters_Constants!$K$110:$AF$127,MATCH($E94,CONST_LIST_Goods,0),MATCH(AF$8,Parameters_Constants!$K$109:$AF$109,0))=FALSE)</f>
        <v>0</v>
      </c>
      <c r="AG196" s="279" t="b">
        <f>IF(OR($D94="",$D94=CONST_NA),FALSE,INDEX(Parameters_Constants!$K$110:$AF$127,MATCH($E94,CONST_LIST_Goods,0),MATCH(AG$8,Parameters_Constants!$K$109:$AF$109,0))=FALSE)</f>
        <v>0</v>
      </c>
      <c r="AH196" s="279" t="b">
        <f>IF(OR($D94="",$D94=CONST_NA),FALSE,INDEX(Parameters_Constants!$K$110:$AF$127,MATCH($E94,CONST_LIST_Goods,0),MATCH(AH$8,Parameters_Constants!$K$109:$AF$109,0))=FALSE)</f>
        <v>0</v>
      </c>
      <c r="AI196" s="279" t="b">
        <f>IF(OR($D94="",$D94=CONST_NA),FALSE,INDEX(Parameters_Constants!$K$110:$AF$127,MATCH($E94,CONST_LIST_Goods,0),MATCH(AI$8,Parameters_Constants!$K$109:$AF$109,0))=FALSE)</f>
        <v>0</v>
      </c>
      <c r="AJ196" s="279" t="b">
        <f>IF(OR($D94="",$D94=CONST_NA),FALSE,INDEX(Parameters_Constants!$K$110:$AF$127,MATCH($E94,CONST_LIST_Goods,0),MATCH(AJ$8,Parameters_Constants!$K$109:$AF$109,0))=FALSE)</f>
        <v>0</v>
      </c>
      <c r="AK196" s="279" t="b">
        <f>IF(OR($D94="",$D94=CONST_NA),FALSE,INDEX(Parameters_Constants!$K$110:$AF$127,MATCH($E94,CONST_LIST_Goods,0),MATCH(AK$8,Parameters_Constants!$K$109:$AF$109,0))=FALSE)</f>
        <v>0</v>
      </c>
      <c r="AL196" s="280"/>
      <c r="AM196" s="280"/>
      <c r="AN196" s="280"/>
      <c r="AO196" s="280"/>
      <c r="AP196" s="280"/>
      <c r="AQ196" s="280"/>
      <c r="AR196" s="280"/>
      <c r="AS196" s="280"/>
      <c r="AT196" s="280"/>
      <c r="AU196" s="280"/>
      <c r="AV196" s="280"/>
      <c r="AW196" s="280"/>
    </row>
    <row r="197" spans="1:49" s="275" customFormat="1" hidden="1" x14ac:dyDescent="0.35">
      <c r="A197" s="275" t="s">
        <v>3</v>
      </c>
      <c r="C197" s="275">
        <v>86</v>
      </c>
      <c r="F197" s="279" t="b">
        <v>0</v>
      </c>
      <c r="H197" s="279" t="b">
        <v>0</v>
      </c>
      <c r="P197" s="279" t="b">
        <f>IF(OR($D95="",$D95=CONST_NA),FALSE,INDEX(Parameters_Constants!$K$110:$AF$127,MATCH($E95,CONST_LIST_Goods,0),MATCH(P$8,Parameters_Constants!$K$109:$AF$109,0))=FALSE)</f>
        <v>0</v>
      </c>
      <c r="Q197" s="279" t="b">
        <f>IF(OR($D95="",$D95=CONST_NA),FALSE,INDEX(Parameters_Constants!$K$110:$AF$127,MATCH($E95,CONST_LIST_Goods,0),MATCH(Q$8,Parameters_Constants!$K$109:$AF$109,0))=FALSE)</f>
        <v>0</v>
      </c>
      <c r="R197" s="279" t="b">
        <f>IF(OR($D95="",$D95=CONST_NA),FALSE,INDEX(Parameters_Constants!$K$110:$AF$127,MATCH($E95,CONST_LIST_Goods,0),MATCH(R$8,Parameters_Constants!$K$109:$AF$109,0))=FALSE)</f>
        <v>0</v>
      </c>
      <c r="S197" s="279" t="b">
        <f>IF(OR($D95="",$D95=CONST_NA),FALSE,INDEX(Parameters_Constants!$K$110:$AF$127,MATCH($E95,CONST_LIST_Goods,0),MATCH(S$8,Parameters_Constants!$K$109:$AF$109,0))=FALSE)</f>
        <v>0</v>
      </c>
      <c r="T197" s="279" t="b">
        <f>IF(OR($D95="",$D95=CONST_NA),FALSE,INDEX(Parameters_Constants!$K$110:$AF$127,MATCH($E95,CONST_LIST_Goods,0),MATCH(T$8,Parameters_Constants!$K$109:$AF$109,0))=FALSE)</f>
        <v>0</v>
      </c>
      <c r="U197" s="279" t="b">
        <f>IF(OR($D95="",$D95=CONST_NA),FALSE,INDEX(Parameters_Constants!$K$110:$AF$127,MATCH($E95,CONST_LIST_Goods,0),MATCH(U$8,Parameters_Constants!$K$109:$AF$109,0))=FALSE)</f>
        <v>0</v>
      </c>
      <c r="V197" s="279" t="b">
        <f>IF(OR($D95="",$D95=CONST_NA),FALSE,INDEX(Parameters_Constants!$K$110:$AF$127,MATCH($E95,CONST_LIST_Goods,0),MATCH(V$8,Parameters_Constants!$K$109:$AF$109,0))=FALSE)</f>
        <v>0</v>
      </c>
      <c r="W197" s="279" t="b">
        <f>IF(OR($D95="",$D95=CONST_NA),FALSE,INDEX(Parameters_Constants!$K$110:$AF$127,MATCH($E95,CONST_LIST_Goods,0),MATCH(W$8,Parameters_Constants!$K$109:$AF$109,0))=FALSE)</f>
        <v>0</v>
      </c>
      <c r="X197" s="279" t="b">
        <f>IF(OR($D95="",$D95=CONST_NA),FALSE,INDEX(Parameters_Constants!$K$110:$AF$127,MATCH($E95,CONST_LIST_Goods,0),MATCH(X$8,Parameters_Constants!$K$109:$AF$109,0))=FALSE)</f>
        <v>0</v>
      </c>
      <c r="Y197" s="279" t="b">
        <f>IF(OR($D95="",$D95=CONST_NA),FALSE,INDEX(Parameters_Constants!$K$110:$AF$127,MATCH($E95,CONST_LIST_Goods,0),MATCH(Y$8,Parameters_Constants!$K$109:$AF$109,0))=FALSE)</f>
        <v>0</v>
      </c>
      <c r="Z197" s="279" t="b">
        <f>IF(OR($D95="",$D95=CONST_NA),FALSE,INDEX(Parameters_Constants!$K$110:$AF$127,MATCH($E95,CONST_LIST_Goods,0),MATCH(Z$8,Parameters_Constants!$K$109:$AF$109,0))=FALSE)</f>
        <v>0</v>
      </c>
      <c r="AA197" s="279" t="b">
        <f>IF(OR($D95="",$D95=CONST_NA),FALSE,INDEX(Parameters_Constants!$K$110:$AF$127,MATCH($E95,CONST_LIST_Goods,0),MATCH(AA$8,Parameters_Constants!$K$109:$AF$109,0))=FALSE)</f>
        <v>0</v>
      </c>
      <c r="AB197" s="279" t="b">
        <f>IF(OR($D95="",$D95=CONST_NA),FALSE,INDEX(Parameters_Constants!$K$110:$AF$127,MATCH($E95,CONST_LIST_Goods,0),MATCH(AB$8,Parameters_Constants!$K$109:$AF$109,0))=FALSE)</f>
        <v>0</v>
      </c>
      <c r="AC197" s="279" t="b">
        <f>IF(OR($D95="",$D95=CONST_NA),FALSE,INDEX(Parameters_Constants!$K$110:$AF$127,MATCH($E95,CONST_LIST_Goods,0),MATCH(AC$8,Parameters_Constants!$K$109:$AF$109,0))=FALSE)</f>
        <v>0</v>
      </c>
      <c r="AD197" s="279" t="b">
        <f>IF(OR($D95="",$D95=CONST_NA),FALSE,INDEX(Parameters_Constants!$K$110:$AF$127,MATCH($E95,CONST_LIST_Goods,0),MATCH(AD$8,Parameters_Constants!$K$109:$AF$109,0))=FALSE)</f>
        <v>0</v>
      </c>
      <c r="AE197" s="279" t="b">
        <f>IF(OR($D95="",$D95=CONST_NA),FALSE,INDEX(Parameters_Constants!$K$110:$AF$127,MATCH($E95,CONST_LIST_Goods,0),MATCH(AE$8,Parameters_Constants!$K$109:$AF$109,0))=FALSE)</f>
        <v>0</v>
      </c>
      <c r="AF197" s="279" t="b">
        <f>IF(OR($D95="",$D95=CONST_NA),FALSE,INDEX(Parameters_Constants!$K$110:$AF$127,MATCH($E95,CONST_LIST_Goods,0),MATCH(AF$8,Parameters_Constants!$K$109:$AF$109,0))=FALSE)</f>
        <v>0</v>
      </c>
      <c r="AG197" s="279" t="b">
        <f>IF(OR($D95="",$D95=CONST_NA),FALSE,INDEX(Parameters_Constants!$K$110:$AF$127,MATCH($E95,CONST_LIST_Goods,0),MATCH(AG$8,Parameters_Constants!$K$109:$AF$109,0))=FALSE)</f>
        <v>0</v>
      </c>
      <c r="AH197" s="279" t="b">
        <f>IF(OR($D95="",$D95=CONST_NA),FALSE,INDEX(Parameters_Constants!$K$110:$AF$127,MATCH($E95,CONST_LIST_Goods,0),MATCH(AH$8,Parameters_Constants!$K$109:$AF$109,0))=FALSE)</f>
        <v>0</v>
      </c>
      <c r="AI197" s="279" t="b">
        <f>IF(OR($D95="",$D95=CONST_NA),FALSE,INDEX(Parameters_Constants!$K$110:$AF$127,MATCH($E95,CONST_LIST_Goods,0),MATCH(AI$8,Parameters_Constants!$K$109:$AF$109,0))=FALSE)</f>
        <v>0</v>
      </c>
      <c r="AJ197" s="279" t="b">
        <f>IF(OR($D95="",$D95=CONST_NA),FALSE,INDEX(Parameters_Constants!$K$110:$AF$127,MATCH($E95,CONST_LIST_Goods,0),MATCH(AJ$8,Parameters_Constants!$K$109:$AF$109,0))=FALSE)</f>
        <v>0</v>
      </c>
      <c r="AK197" s="279" t="b">
        <f>IF(OR($D95="",$D95=CONST_NA),FALSE,INDEX(Parameters_Constants!$K$110:$AF$127,MATCH($E95,CONST_LIST_Goods,0),MATCH(AK$8,Parameters_Constants!$K$109:$AF$109,0))=FALSE)</f>
        <v>0</v>
      </c>
      <c r="AL197" s="280"/>
      <c r="AM197" s="280"/>
      <c r="AN197" s="280"/>
      <c r="AO197" s="280"/>
      <c r="AP197" s="280"/>
      <c r="AQ197" s="280"/>
      <c r="AR197" s="280"/>
      <c r="AS197" s="280"/>
      <c r="AT197" s="280"/>
      <c r="AU197" s="280"/>
      <c r="AV197" s="280"/>
      <c r="AW197" s="280"/>
    </row>
    <row r="198" spans="1:49" s="275" customFormat="1" hidden="1" x14ac:dyDescent="0.35">
      <c r="A198" s="275" t="s">
        <v>3</v>
      </c>
      <c r="C198" s="275">
        <v>87</v>
      </c>
      <c r="F198" s="279" t="b">
        <v>0</v>
      </c>
      <c r="H198" s="279" t="b">
        <v>0</v>
      </c>
      <c r="P198" s="279" t="b">
        <f>IF(OR($D96="",$D96=CONST_NA),FALSE,INDEX(Parameters_Constants!$K$110:$AF$127,MATCH($E96,CONST_LIST_Goods,0),MATCH(P$8,Parameters_Constants!$K$109:$AF$109,0))=FALSE)</f>
        <v>0</v>
      </c>
      <c r="Q198" s="279" t="b">
        <f>IF(OR($D96="",$D96=CONST_NA),FALSE,INDEX(Parameters_Constants!$K$110:$AF$127,MATCH($E96,CONST_LIST_Goods,0),MATCH(Q$8,Parameters_Constants!$K$109:$AF$109,0))=FALSE)</f>
        <v>0</v>
      </c>
      <c r="R198" s="279" t="b">
        <f>IF(OR($D96="",$D96=CONST_NA),FALSE,INDEX(Parameters_Constants!$K$110:$AF$127,MATCH($E96,CONST_LIST_Goods,0),MATCH(R$8,Parameters_Constants!$K$109:$AF$109,0))=FALSE)</f>
        <v>0</v>
      </c>
      <c r="S198" s="279" t="b">
        <f>IF(OR($D96="",$D96=CONST_NA),FALSE,INDEX(Parameters_Constants!$K$110:$AF$127,MATCH($E96,CONST_LIST_Goods,0),MATCH(S$8,Parameters_Constants!$K$109:$AF$109,0))=FALSE)</f>
        <v>0</v>
      </c>
      <c r="T198" s="279" t="b">
        <f>IF(OR($D96="",$D96=CONST_NA),FALSE,INDEX(Parameters_Constants!$K$110:$AF$127,MATCH($E96,CONST_LIST_Goods,0),MATCH(T$8,Parameters_Constants!$K$109:$AF$109,0))=FALSE)</f>
        <v>0</v>
      </c>
      <c r="U198" s="279" t="b">
        <f>IF(OR($D96="",$D96=CONST_NA),FALSE,INDEX(Parameters_Constants!$K$110:$AF$127,MATCH($E96,CONST_LIST_Goods,0),MATCH(U$8,Parameters_Constants!$K$109:$AF$109,0))=FALSE)</f>
        <v>0</v>
      </c>
      <c r="V198" s="279" t="b">
        <f>IF(OR($D96="",$D96=CONST_NA),FALSE,INDEX(Parameters_Constants!$K$110:$AF$127,MATCH($E96,CONST_LIST_Goods,0),MATCH(V$8,Parameters_Constants!$K$109:$AF$109,0))=FALSE)</f>
        <v>0</v>
      </c>
      <c r="W198" s="279" t="b">
        <f>IF(OR($D96="",$D96=CONST_NA),FALSE,INDEX(Parameters_Constants!$K$110:$AF$127,MATCH($E96,CONST_LIST_Goods,0),MATCH(W$8,Parameters_Constants!$K$109:$AF$109,0))=FALSE)</f>
        <v>0</v>
      </c>
      <c r="X198" s="279" t="b">
        <f>IF(OR($D96="",$D96=CONST_NA),FALSE,INDEX(Parameters_Constants!$K$110:$AF$127,MATCH($E96,CONST_LIST_Goods,0),MATCH(X$8,Parameters_Constants!$K$109:$AF$109,0))=FALSE)</f>
        <v>0</v>
      </c>
      <c r="Y198" s="279" t="b">
        <f>IF(OR($D96="",$D96=CONST_NA),FALSE,INDEX(Parameters_Constants!$K$110:$AF$127,MATCH($E96,CONST_LIST_Goods,0),MATCH(Y$8,Parameters_Constants!$K$109:$AF$109,0))=FALSE)</f>
        <v>0</v>
      </c>
      <c r="Z198" s="279" t="b">
        <f>IF(OR($D96="",$D96=CONST_NA),FALSE,INDEX(Parameters_Constants!$K$110:$AF$127,MATCH($E96,CONST_LIST_Goods,0),MATCH(Z$8,Parameters_Constants!$K$109:$AF$109,0))=FALSE)</f>
        <v>0</v>
      </c>
      <c r="AA198" s="279" t="b">
        <f>IF(OR($D96="",$D96=CONST_NA),FALSE,INDEX(Parameters_Constants!$K$110:$AF$127,MATCH($E96,CONST_LIST_Goods,0),MATCH(AA$8,Parameters_Constants!$K$109:$AF$109,0))=FALSE)</f>
        <v>0</v>
      </c>
      <c r="AB198" s="279" t="b">
        <f>IF(OR($D96="",$D96=CONST_NA),FALSE,INDEX(Parameters_Constants!$K$110:$AF$127,MATCH($E96,CONST_LIST_Goods,0),MATCH(AB$8,Parameters_Constants!$K$109:$AF$109,0))=FALSE)</f>
        <v>0</v>
      </c>
      <c r="AC198" s="279" t="b">
        <f>IF(OR($D96="",$D96=CONST_NA),FALSE,INDEX(Parameters_Constants!$K$110:$AF$127,MATCH($E96,CONST_LIST_Goods,0),MATCH(AC$8,Parameters_Constants!$K$109:$AF$109,0))=FALSE)</f>
        <v>0</v>
      </c>
      <c r="AD198" s="279" t="b">
        <f>IF(OR($D96="",$D96=CONST_NA),FALSE,INDEX(Parameters_Constants!$K$110:$AF$127,MATCH($E96,CONST_LIST_Goods,0),MATCH(AD$8,Parameters_Constants!$K$109:$AF$109,0))=FALSE)</f>
        <v>0</v>
      </c>
      <c r="AE198" s="279" t="b">
        <f>IF(OR($D96="",$D96=CONST_NA),FALSE,INDEX(Parameters_Constants!$K$110:$AF$127,MATCH($E96,CONST_LIST_Goods,0),MATCH(AE$8,Parameters_Constants!$K$109:$AF$109,0))=FALSE)</f>
        <v>0</v>
      </c>
      <c r="AF198" s="279" t="b">
        <f>IF(OR($D96="",$D96=CONST_NA),FALSE,INDEX(Parameters_Constants!$K$110:$AF$127,MATCH($E96,CONST_LIST_Goods,0),MATCH(AF$8,Parameters_Constants!$K$109:$AF$109,0))=FALSE)</f>
        <v>0</v>
      </c>
      <c r="AG198" s="279" t="b">
        <f>IF(OR($D96="",$D96=CONST_NA),FALSE,INDEX(Parameters_Constants!$K$110:$AF$127,MATCH($E96,CONST_LIST_Goods,0),MATCH(AG$8,Parameters_Constants!$K$109:$AF$109,0))=FALSE)</f>
        <v>0</v>
      </c>
      <c r="AH198" s="279" t="b">
        <f>IF(OR($D96="",$D96=CONST_NA),FALSE,INDEX(Parameters_Constants!$K$110:$AF$127,MATCH($E96,CONST_LIST_Goods,0),MATCH(AH$8,Parameters_Constants!$K$109:$AF$109,0))=FALSE)</f>
        <v>0</v>
      </c>
      <c r="AI198" s="279" t="b">
        <f>IF(OR($D96="",$D96=CONST_NA),FALSE,INDEX(Parameters_Constants!$K$110:$AF$127,MATCH($E96,CONST_LIST_Goods,0),MATCH(AI$8,Parameters_Constants!$K$109:$AF$109,0))=FALSE)</f>
        <v>0</v>
      </c>
      <c r="AJ198" s="279" t="b">
        <f>IF(OR($D96="",$D96=CONST_NA),FALSE,INDEX(Parameters_Constants!$K$110:$AF$127,MATCH($E96,CONST_LIST_Goods,0),MATCH(AJ$8,Parameters_Constants!$K$109:$AF$109,0))=FALSE)</f>
        <v>0</v>
      </c>
      <c r="AK198" s="279" t="b">
        <f>IF(OR($D96="",$D96=CONST_NA),FALSE,INDEX(Parameters_Constants!$K$110:$AF$127,MATCH($E96,CONST_LIST_Goods,0),MATCH(AK$8,Parameters_Constants!$K$109:$AF$109,0))=FALSE)</f>
        <v>0</v>
      </c>
      <c r="AL198" s="280"/>
      <c r="AM198" s="280"/>
      <c r="AN198" s="280"/>
      <c r="AO198" s="280"/>
      <c r="AP198" s="280"/>
      <c r="AQ198" s="280"/>
      <c r="AR198" s="280"/>
      <c r="AS198" s="280"/>
      <c r="AT198" s="280"/>
      <c r="AU198" s="280"/>
      <c r="AV198" s="280"/>
      <c r="AW198" s="280"/>
    </row>
    <row r="199" spans="1:49" s="275" customFormat="1" hidden="1" x14ac:dyDescent="0.35">
      <c r="A199" s="275" t="s">
        <v>3</v>
      </c>
      <c r="C199" s="275">
        <v>88</v>
      </c>
      <c r="F199" s="279" t="b">
        <v>0</v>
      </c>
      <c r="H199" s="279" t="b">
        <v>0</v>
      </c>
      <c r="P199" s="279" t="b">
        <f>IF(OR($D97="",$D97=CONST_NA),FALSE,INDEX(Parameters_Constants!$K$110:$AF$127,MATCH($E97,CONST_LIST_Goods,0),MATCH(P$8,Parameters_Constants!$K$109:$AF$109,0))=FALSE)</f>
        <v>0</v>
      </c>
      <c r="Q199" s="279" t="b">
        <f>IF(OR($D97="",$D97=CONST_NA),FALSE,INDEX(Parameters_Constants!$K$110:$AF$127,MATCH($E97,CONST_LIST_Goods,0),MATCH(Q$8,Parameters_Constants!$K$109:$AF$109,0))=FALSE)</f>
        <v>0</v>
      </c>
      <c r="R199" s="279" t="b">
        <f>IF(OR($D97="",$D97=CONST_NA),FALSE,INDEX(Parameters_Constants!$K$110:$AF$127,MATCH($E97,CONST_LIST_Goods,0),MATCH(R$8,Parameters_Constants!$K$109:$AF$109,0))=FALSE)</f>
        <v>0</v>
      </c>
      <c r="S199" s="279" t="b">
        <f>IF(OR($D97="",$D97=CONST_NA),FALSE,INDEX(Parameters_Constants!$K$110:$AF$127,MATCH($E97,CONST_LIST_Goods,0),MATCH(S$8,Parameters_Constants!$K$109:$AF$109,0))=FALSE)</f>
        <v>0</v>
      </c>
      <c r="T199" s="279" t="b">
        <f>IF(OR($D97="",$D97=CONST_NA),FALSE,INDEX(Parameters_Constants!$K$110:$AF$127,MATCH($E97,CONST_LIST_Goods,0),MATCH(T$8,Parameters_Constants!$K$109:$AF$109,0))=FALSE)</f>
        <v>0</v>
      </c>
      <c r="U199" s="279" t="b">
        <f>IF(OR($D97="",$D97=CONST_NA),FALSE,INDEX(Parameters_Constants!$K$110:$AF$127,MATCH($E97,CONST_LIST_Goods,0),MATCH(U$8,Parameters_Constants!$K$109:$AF$109,0))=FALSE)</f>
        <v>0</v>
      </c>
      <c r="V199" s="279" t="b">
        <f>IF(OR($D97="",$D97=CONST_NA),FALSE,INDEX(Parameters_Constants!$K$110:$AF$127,MATCH($E97,CONST_LIST_Goods,0),MATCH(V$8,Parameters_Constants!$K$109:$AF$109,0))=FALSE)</f>
        <v>0</v>
      </c>
      <c r="W199" s="279" t="b">
        <f>IF(OR($D97="",$D97=CONST_NA),FALSE,INDEX(Parameters_Constants!$K$110:$AF$127,MATCH($E97,CONST_LIST_Goods,0),MATCH(W$8,Parameters_Constants!$K$109:$AF$109,0))=FALSE)</f>
        <v>0</v>
      </c>
      <c r="X199" s="279" t="b">
        <f>IF(OR($D97="",$D97=CONST_NA),FALSE,INDEX(Parameters_Constants!$K$110:$AF$127,MATCH($E97,CONST_LIST_Goods,0),MATCH(X$8,Parameters_Constants!$K$109:$AF$109,0))=FALSE)</f>
        <v>0</v>
      </c>
      <c r="Y199" s="279" t="b">
        <f>IF(OR($D97="",$D97=CONST_NA),FALSE,INDEX(Parameters_Constants!$K$110:$AF$127,MATCH($E97,CONST_LIST_Goods,0),MATCH(Y$8,Parameters_Constants!$K$109:$AF$109,0))=FALSE)</f>
        <v>0</v>
      </c>
      <c r="Z199" s="279" t="b">
        <f>IF(OR($D97="",$D97=CONST_NA),FALSE,INDEX(Parameters_Constants!$K$110:$AF$127,MATCH($E97,CONST_LIST_Goods,0),MATCH(Z$8,Parameters_Constants!$K$109:$AF$109,0))=FALSE)</f>
        <v>0</v>
      </c>
      <c r="AA199" s="279" t="b">
        <f>IF(OR($D97="",$D97=CONST_NA),FALSE,INDEX(Parameters_Constants!$K$110:$AF$127,MATCH($E97,CONST_LIST_Goods,0),MATCH(AA$8,Parameters_Constants!$K$109:$AF$109,0))=FALSE)</f>
        <v>0</v>
      </c>
      <c r="AB199" s="279" t="b">
        <f>IF(OR($D97="",$D97=CONST_NA),FALSE,INDEX(Parameters_Constants!$K$110:$AF$127,MATCH($E97,CONST_LIST_Goods,0),MATCH(AB$8,Parameters_Constants!$K$109:$AF$109,0))=FALSE)</f>
        <v>0</v>
      </c>
      <c r="AC199" s="279" t="b">
        <f>IF(OR($D97="",$D97=CONST_NA),FALSE,INDEX(Parameters_Constants!$K$110:$AF$127,MATCH($E97,CONST_LIST_Goods,0),MATCH(AC$8,Parameters_Constants!$K$109:$AF$109,0))=FALSE)</f>
        <v>0</v>
      </c>
      <c r="AD199" s="279" t="b">
        <f>IF(OR($D97="",$D97=CONST_NA),FALSE,INDEX(Parameters_Constants!$K$110:$AF$127,MATCH($E97,CONST_LIST_Goods,0),MATCH(AD$8,Parameters_Constants!$K$109:$AF$109,0))=FALSE)</f>
        <v>0</v>
      </c>
      <c r="AE199" s="279" t="b">
        <f>IF(OR($D97="",$D97=CONST_NA),FALSE,INDEX(Parameters_Constants!$K$110:$AF$127,MATCH($E97,CONST_LIST_Goods,0),MATCH(AE$8,Parameters_Constants!$K$109:$AF$109,0))=FALSE)</f>
        <v>0</v>
      </c>
      <c r="AF199" s="279" t="b">
        <f>IF(OR($D97="",$D97=CONST_NA),FALSE,INDEX(Parameters_Constants!$K$110:$AF$127,MATCH($E97,CONST_LIST_Goods,0),MATCH(AF$8,Parameters_Constants!$K$109:$AF$109,0))=FALSE)</f>
        <v>0</v>
      </c>
      <c r="AG199" s="279" t="b">
        <f>IF(OR($D97="",$D97=CONST_NA),FALSE,INDEX(Parameters_Constants!$K$110:$AF$127,MATCH($E97,CONST_LIST_Goods,0),MATCH(AG$8,Parameters_Constants!$K$109:$AF$109,0))=FALSE)</f>
        <v>0</v>
      </c>
      <c r="AH199" s="279" t="b">
        <f>IF(OR($D97="",$D97=CONST_NA),FALSE,INDEX(Parameters_Constants!$K$110:$AF$127,MATCH($E97,CONST_LIST_Goods,0),MATCH(AH$8,Parameters_Constants!$K$109:$AF$109,0))=FALSE)</f>
        <v>0</v>
      </c>
      <c r="AI199" s="279" t="b">
        <f>IF(OR($D97="",$D97=CONST_NA),FALSE,INDEX(Parameters_Constants!$K$110:$AF$127,MATCH($E97,CONST_LIST_Goods,0),MATCH(AI$8,Parameters_Constants!$K$109:$AF$109,0))=FALSE)</f>
        <v>0</v>
      </c>
      <c r="AJ199" s="279" t="b">
        <f>IF(OR($D97="",$D97=CONST_NA),FALSE,INDEX(Parameters_Constants!$K$110:$AF$127,MATCH($E97,CONST_LIST_Goods,0),MATCH(AJ$8,Parameters_Constants!$K$109:$AF$109,0))=FALSE)</f>
        <v>0</v>
      </c>
      <c r="AK199" s="279" t="b">
        <f>IF(OR($D97="",$D97=CONST_NA),FALSE,INDEX(Parameters_Constants!$K$110:$AF$127,MATCH($E97,CONST_LIST_Goods,0),MATCH(AK$8,Parameters_Constants!$K$109:$AF$109,0))=FALSE)</f>
        <v>0</v>
      </c>
      <c r="AL199" s="280"/>
      <c r="AM199" s="280"/>
      <c r="AN199" s="280"/>
      <c r="AO199" s="280"/>
      <c r="AP199" s="280"/>
      <c r="AQ199" s="280"/>
      <c r="AR199" s="280"/>
      <c r="AS199" s="280"/>
      <c r="AT199" s="280"/>
      <c r="AU199" s="280"/>
      <c r="AV199" s="280"/>
      <c r="AW199" s="280"/>
    </row>
    <row r="200" spans="1:49" s="275" customFormat="1" hidden="1" x14ac:dyDescent="0.35">
      <c r="A200" s="275" t="s">
        <v>3</v>
      </c>
      <c r="C200" s="275">
        <v>89</v>
      </c>
      <c r="F200" s="279" t="b">
        <v>0</v>
      </c>
      <c r="H200" s="279" t="b">
        <v>0</v>
      </c>
      <c r="P200" s="279" t="b">
        <f>IF(OR($D98="",$D98=CONST_NA),FALSE,INDEX(Parameters_Constants!$K$110:$AF$127,MATCH($E98,CONST_LIST_Goods,0),MATCH(P$8,Parameters_Constants!$K$109:$AF$109,0))=FALSE)</f>
        <v>0</v>
      </c>
      <c r="Q200" s="279" t="b">
        <f>IF(OR($D98="",$D98=CONST_NA),FALSE,INDEX(Parameters_Constants!$K$110:$AF$127,MATCH($E98,CONST_LIST_Goods,0),MATCH(Q$8,Parameters_Constants!$K$109:$AF$109,0))=FALSE)</f>
        <v>0</v>
      </c>
      <c r="R200" s="279" t="b">
        <f>IF(OR($D98="",$D98=CONST_NA),FALSE,INDEX(Parameters_Constants!$K$110:$AF$127,MATCH($E98,CONST_LIST_Goods,0),MATCH(R$8,Parameters_Constants!$K$109:$AF$109,0))=FALSE)</f>
        <v>0</v>
      </c>
      <c r="S200" s="279" t="b">
        <f>IF(OR($D98="",$D98=CONST_NA),FALSE,INDEX(Parameters_Constants!$K$110:$AF$127,MATCH($E98,CONST_LIST_Goods,0),MATCH(S$8,Parameters_Constants!$K$109:$AF$109,0))=FALSE)</f>
        <v>0</v>
      </c>
      <c r="T200" s="279" t="b">
        <f>IF(OR($D98="",$D98=CONST_NA),FALSE,INDEX(Parameters_Constants!$K$110:$AF$127,MATCH($E98,CONST_LIST_Goods,0),MATCH(T$8,Parameters_Constants!$K$109:$AF$109,0))=FALSE)</f>
        <v>0</v>
      </c>
      <c r="U200" s="279" t="b">
        <f>IF(OR($D98="",$D98=CONST_NA),FALSE,INDEX(Parameters_Constants!$K$110:$AF$127,MATCH($E98,CONST_LIST_Goods,0),MATCH(U$8,Parameters_Constants!$K$109:$AF$109,0))=FALSE)</f>
        <v>0</v>
      </c>
      <c r="V200" s="279" t="b">
        <f>IF(OR($D98="",$D98=CONST_NA),FALSE,INDEX(Parameters_Constants!$K$110:$AF$127,MATCH($E98,CONST_LIST_Goods,0),MATCH(V$8,Parameters_Constants!$K$109:$AF$109,0))=FALSE)</f>
        <v>0</v>
      </c>
      <c r="W200" s="279" t="b">
        <f>IF(OR($D98="",$D98=CONST_NA),FALSE,INDEX(Parameters_Constants!$K$110:$AF$127,MATCH($E98,CONST_LIST_Goods,0),MATCH(W$8,Parameters_Constants!$K$109:$AF$109,0))=FALSE)</f>
        <v>0</v>
      </c>
      <c r="X200" s="279" t="b">
        <f>IF(OR($D98="",$D98=CONST_NA),FALSE,INDEX(Parameters_Constants!$K$110:$AF$127,MATCH($E98,CONST_LIST_Goods,0),MATCH(X$8,Parameters_Constants!$K$109:$AF$109,0))=FALSE)</f>
        <v>0</v>
      </c>
      <c r="Y200" s="279" t="b">
        <f>IF(OR($D98="",$D98=CONST_NA),FALSE,INDEX(Parameters_Constants!$K$110:$AF$127,MATCH($E98,CONST_LIST_Goods,0),MATCH(Y$8,Parameters_Constants!$K$109:$AF$109,0))=FALSE)</f>
        <v>0</v>
      </c>
      <c r="Z200" s="279" t="b">
        <f>IF(OR($D98="",$D98=CONST_NA),FALSE,INDEX(Parameters_Constants!$K$110:$AF$127,MATCH($E98,CONST_LIST_Goods,0),MATCH(Z$8,Parameters_Constants!$K$109:$AF$109,0))=FALSE)</f>
        <v>0</v>
      </c>
      <c r="AA200" s="279" t="b">
        <f>IF(OR($D98="",$D98=CONST_NA),FALSE,INDEX(Parameters_Constants!$K$110:$AF$127,MATCH($E98,CONST_LIST_Goods,0),MATCH(AA$8,Parameters_Constants!$K$109:$AF$109,0))=FALSE)</f>
        <v>0</v>
      </c>
      <c r="AB200" s="279" t="b">
        <f>IF(OR($D98="",$D98=CONST_NA),FALSE,INDEX(Parameters_Constants!$K$110:$AF$127,MATCH($E98,CONST_LIST_Goods,0),MATCH(AB$8,Parameters_Constants!$K$109:$AF$109,0))=FALSE)</f>
        <v>0</v>
      </c>
      <c r="AC200" s="279" t="b">
        <f>IF(OR($D98="",$D98=CONST_NA),FALSE,INDEX(Parameters_Constants!$K$110:$AF$127,MATCH($E98,CONST_LIST_Goods,0),MATCH(AC$8,Parameters_Constants!$K$109:$AF$109,0))=FALSE)</f>
        <v>0</v>
      </c>
      <c r="AD200" s="279" t="b">
        <f>IF(OR($D98="",$D98=CONST_NA),FALSE,INDEX(Parameters_Constants!$K$110:$AF$127,MATCH($E98,CONST_LIST_Goods,0),MATCH(AD$8,Parameters_Constants!$K$109:$AF$109,0))=FALSE)</f>
        <v>0</v>
      </c>
      <c r="AE200" s="279" t="b">
        <f>IF(OR($D98="",$D98=CONST_NA),FALSE,INDEX(Parameters_Constants!$K$110:$AF$127,MATCH($E98,CONST_LIST_Goods,0),MATCH(AE$8,Parameters_Constants!$K$109:$AF$109,0))=FALSE)</f>
        <v>0</v>
      </c>
      <c r="AF200" s="279" t="b">
        <f>IF(OR($D98="",$D98=CONST_NA),FALSE,INDEX(Parameters_Constants!$K$110:$AF$127,MATCH($E98,CONST_LIST_Goods,0),MATCH(AF$8,Parameters_Constants!$K$109:$AF$109,0))=FALSE)</f>
        <v>0</v>
      </c>
      <c r="AG200" s="279" t="b">
        <f>IF(OR($D98="",$D98=CONST_NA),FALSE,INDEX(Parameters_Constants!$K$110:$AF$127,MATCH($E98,CONST_LIST_Goods,0),MATCH(AG$8,Parameters_Constants!$K$109:$AF$109,0))=FALSE)</f>
        <v>0</v>
      </c>
      <c r="AH200" s="279" t="b">
        <f>IF(OR($D98="",$D98=CONST_NA),FALSE,INDEX(Parameters_Constants!$K$110:$AF$127,MATCH($E98,CONST_LIST_Goods,0),MATCH(AH$8,Parameters_Constants!$K$109:$AF$109,0))=FALSE)</f>
        <v>0</v>
      </c>
      <c r="AI200" s="279" t="b">
        <f>IF(OR($D98="",$D98=CONST_NA),FALSE,INDEX(Parameters_Constants!$K$110:$AF$127,MATCH($E98,CONST_LIST_Goods,0),MATCH(AI$8,Parameters_Constants!$K$109:$AF$109,0))=FALSE)</f>
        <v>0</v>
      </c>
      <c r="AJ200" s="279" t="b">
        <f>IF(OR($D98="",$D98=CONST_NA),FALSE,INDEX(Parameters_Constants!$K$110:$AF$127,MATCH($E98,CONST_LIST_Goods,0),MATCH(AJ$8,Parameters_Constants!$K$109:$AF$109,0))=FALSE)</f>
        <v>0</v>
      </c>
      <c r="AK200" s="279" t="b">
        <f>IF(OR($D98="",$D98=CONST_NA),FALSE,INDEX(Parameters_Constants!$K$110:$AF$127,MATCH($E98,CONST_LIST_Goods,0),MATCH(AK$8,Parameters_Constants!$K$109:$AF$109,0))=FALSE)</f>
        <v>0</v>
      </c>
      <c r="AL200" s="280"/>
      <c r="AM200" s="280"/>
      <c r="AN200" s="280"/>
      <c r="AO200" s="280"/>
      <c r="AP200" s="280"/>
      <c r="AQ200" s="280"/>
      <c r="AR200" s="280"/>
      <c r="AS200" s="280"/>
      <c r="AT200" s="280"/>
      <c r="AU200" s="280"/>
      <c r="AV200" s="280"/>
      <c r="AW200" s="280"/>
    </row>
    <row r="201" spans="1:49" s="275" customFormat="1" hidden="1" x14ac:dyDescent="0.35">
      <c r="A201" s="275" t="s">
        <v>3</v>
      </c>
      <c r="C201" s="275">
        <v>90</v>
      </c>
      <c r="F201" s="279" t="b">
        <v>0</v>
      </c>
      <c r="H201" s="279" t="b">
        <v>0</v>
      </c>
      <c r="P201" s="279" t="b">
        <f>IF(OR($D99="",$D99=CONST_NA),FALSE,INDEX(Parameters_Constants!$K$110:$AF$127,MATCH($E99,CONST_LIST_Goods,0),MATCH(P$8,Parameters_Constants!$K$109:$AF$109,0))=FALSE)</f>
        <v>0</v>
      </c>
      <c r="Q201" s="279" t="b">
        <f>IF(OR($D99="",$D99=CONST_NA),FALSE,INDEX(Parameters_Constants!$K$110:$AF$127,MATCH($E99,CONST_LIST_Goods,0),MATCH(Q$8,Parameters_Constants!$K$109:$AF$109,0))=FALSE)</f>
        <v>0</v>
      </c>
      <c r="R201" s="279" t="b">
        <f>IF(OR($D99="",$D99=CONST_NA),FALSE,INDEX(Parameters_Constants!$K$110:$AF$127,MATCH($E99,CONST_LIST_Goods,0),MATCH(R$8,Parameters_Constants!$K$109:$AF$109,0))=FALSE)</f>
        <v>0</v>
      </c>
      <c r="S201" s="279" t="b">
        <f>IF(OR($D99="",$D99=CONST_NA),FALSE,INDEX(Parameters_Constants!$K$110:$AF$127,MATCH($E99,CONST_LIST_Goods,0),MATCH(S$8,Parameters_Constants!$K$109:$AF$109,0))=FALSE)</f>
        <v>0</v>
      </c>
      <c r="T201" s="279" t="b">
        <f>IF(OR($D99="",$D99=CONST_NA),FALSE,INDEX(Parameters_Constants!$K$110:$AF$127,MATCH($E99,CONST_LIST_Goods,0),MATCH(T$8,Parameters_Constants!$K$109:$AF$109,0))=FALSE)</f>
        <v>0</v>
      </c>
      <c r="U201" s="279" t="b">
        <f>IF(OR($D99="",$D99=CONST_NA),FALSE,INDEX(Parameters_Constants!$K$110:$AF$127,MATCH($E99,CONST_LIST_Goods,0),MATCH(U$8,Parameters_Constants!$K$109:$AF$109,0))=FALSE)</f>
        <v>0</v>
      </c>
      <c r="V201" s="279" t="b">
        <f>IF(OR($D99="",$D99=CONST_NA),FALSE,INDEX(Parameters_Constants!$K$110:$AF$127,MATCH($E99,CONST_LIST_Goods,0),MATCH(V$8,Parameters_Constants!$K$109:$AF$109,0))=FALSE)</f>
        <v>0</v>
      </c>
      <c r="W201" s="279" t="b">
        <f>IF(OR($D99="",$D99=CONST_NA),FALSE,INDEX(Parameters_Constants!$K$110:$AF$127,MATCH($E99,CONST_LIST_Goods,0),MATCH(W$8,Parameters_Constants!$K$109:$AF$109,0))=FALSE)</f>
        <v>0</v>
      </c>
      <c r="X201" s="279" t="b">
        <f>IF(OR($D99="",$D99=CONST_NA),FALSE,INDEX(Parameters_Constants!$K$110:$AF$127,MATCH($E99,CONST_LIST_Goods,0),MATCH(X$8,Parameters_Constants!$K$109:$AF$109,0))=FALSE)</f>
        <v>0</v>
      </c>
      <c r="Y201" s="279" t="b">
        <f>IF(OR($D99="",$D99=CONST_NA),FALSE,INDEX(Parameters_Constants!$K$110:$AF$127,MATCH($E99,CONST_LIST_Goods,0),MATCH(Y$8,Parameters_Constants!$K$109:$AF$109,0))=FALSE)</f>
        <v>0</v>
      </c>
      <c r="Z201" s="279" t="b">
        <f>IF(OR($D99="",$D99=CONST_NA),FALSE,INDEX(Parameters_Constants!$K$110:$AF$127,MATCH($E99,CONST_LIST_Goods,0),MATCH(Z$8,Parameters_Constants!$K$109:$AF$109,0))=FALSE)</f>
        <v>0</v>
      </c>
      <c r="AA201" s="279" t="b">
        <f>IF(OR($D99="",$D99=CONST_NA),FALSE,INDEX(Parameters_Constants!$K$110:$AF$127,MATCH($E99,CONST_LIST_Goods,0),MATCH(AA$8,Parameters_Constants!$K$109:$AF$109,0))=FALSE)</f>
        <v>0</v>
      </c>
      <c r="AB201" s="279" t="b">
        <f>IF(OR($D99="",$D99=CONST_NA),FALSE,INDEX(Parameters_Constants!$K$110:$AF$127,MATCH($E99,CONST_LIST_Goods,0),MATCH(AB$8,Parameters_Constants!$K$109:$AF$109,0))=FALSE)</f>
        <v>0</v>
      </c>
      <c r="AC201" s="279" t="b">
        <f>IF(OR($D99="",$D99=CONST_NA),FALSE,INDEX(Parameters_Constants!$K$110:$AF$127,MATCH($E99,CONST_LIST_Goods,0),MATCH(AC$8,Parameters_Constants!$K$109:$AF$109,0))=FALSE)</f>
        <v>0</v>
      </c>
      <c r="AD201" s="279" t="b">
        <f>IF(OR($D99="",$D99=CONST_NA),FALSE,INDEX(Parameters_Constants!$K$110:$AF$127,MATCH($E99,CONST_LIST_Goods,0),MATCH(AD$8,Parameters_Constants!$K$109:$AF$109,0))=FALSE)</f>
        <v>0</v>
      </c>
      <c r="AE201" s="279" t="b">
        <f>IF(OR($D99="",$D99=CONST_NA),FALSE,INDEX(Parameters_Constants!$K$110:$AF$127,MATCH($E99,CONST_LIST_Goods,0),MATCH(AE$8,Parameters_Constants!$K$109:$AF$109,0))=FALSE)</f>
        <v>0</v>
      </c>
      <c r="AF201" s="279" t="b">
        <f>IF(OR($D99="",$D99=CONST_NA),FALSE,INDEX(Parameters_Constants!$K$110:$AF$127,MATCH($E99,CONST_LIST_Goods,0),MATCH(AF$8,Parameters_Constants!$K$109:$AF$109,0))=FALSE)</f>
        <v>0</v>
      </c>
      <c r="AG201" s="279" t="b">
        <f>IF(OR($D99="",$D99=CONST_NA),FALSE,INDEX(Parameters_Constants!$K$110:$AF$127,MATCH($E99,CONST_LIST_Goods,0),MATCH(AG$8,Parameters_Constants!$K$109:$AF$109,0))=FALSE)</f>
        <v>0</v>
      </c>
      <c r="AH201" s="279" t="b">
        <f>IF(OR($D99="",$D99=CONST_NA),FALSE,INDEX(Parameters_Constants!$K$110:$AF$127,MATCH($E99,CONST_LIST_Goods,0),MATCH(AH$8,Parameters_Constants!$K$109:$AF$109,0))=FALSE)</f>
        <v>0</v>
      </c>
      <c r="AI201" s="279" t="b">
        <f>IF(OR($D99="",$D99=CONST_NA),FALSE,INDEX(Parameters_Constants!$K$110:$AF$127,MATCH($E99,CONST_LIST_Goods,0),MATCH(AI$8,Parameters_Constants!$K$109:$AF$109,0))=FALSE)</f>
        <v>0</v>
      </c>
      <c r="AJ201" s="279" t="b">
        <f>IF(OR($D99="",$D99=CONST_NA),FALSE,INDEX(Parameters_Constants!$K$110:$AF$127,MATCH($E99,CONST_LIST_Goods,0),MATCH(AJ$8,Parameters_Constants!$K$109:$AF$109,0))=FALSE)</f>
        <v>0</v>
      </c>
      <c r="AK201" s="279" t="b">
        <f>IF(OR($D99="",$D99=CONST_NA),FALSE,INDEX(Parameters_Constants!$K$110:$AF$127,MATCH($E99,CONST_LIST_Goods,0),MATCH(AK$8,Parameters_Constants!$K$109:$AF$109,0))=FALSE)</f>
        <v>0</v>
      </c>
      <c r="AL201" s="280"/>
      <c r="AM201" s="280"/>
      <c r="AN201" s="280"/>
      <c r="AO201" s="280"/>
      <c r="AP201" s="280"/>
      <c r="AQ201" s="280"/>
      <c r="AR201" s="280"/>
      <c r="AS201" s="280"/>
      <c r="AT201" s="280"/>
      <c r="AU201" s="280"/>
      <c r="AV201" s="280"/>
      <c r="AW201" s="280"/>
    </row>
    <row r="202" spans="1:49" s="275" customFormat="1" hidden="1" x14ac:dyDescent="0.35">
      <c r="A202" s="275" t="s">
        <v>3</v>
      </c>
      <c r="C202" s="275">
        <v>91</v>
      </c>
      <c r="F202" s="279" t="b">
        <v>0</v>
      </c>
      <c r="H202" s="279" t="b">
        <v>0</v>
      </c>
      <c r="P202" s="279" t="b">
        <f>IF(OR($D100="",$D100=CONST_NA),FALSE,INDEX(Parameters_Constants!$K$110:$AF$127,MATCH($E100,CONST_LIST_Goods,0),MATCH(P$8,Parameters_Constants!$K$109:$AF$109,0))=FALSE)</f>
        <v>0</v>
      </c>
      <c r="Q202" s="279" t="b">
        <f>IF(OR($D100="",$D100=CONST_NA),FALSE,INDEX(Parameters_Constants!$K$110:$AF$127,MATCH($E100,CONST_LIST_Goods,0),MATCH(Q$8,Parameters_Constants!$K$109:$AF$109,0))=FALSE)</f>
        <v>0</v>
      </c>
      <c r="R202" s="279" t="b">
        <f>IF(OR($D100="",$D100=CONST_NA),FALSE,INDEX(Parameters_Constants!$K$110:$AF$127,MATCH($E100,CONST_LIST_Goods,0),MATCH(R$8,Parameters_Constants!$K$109:$AF$109,0))=FALSE)</f>
        <v>0</v>
      </c>
      <c r="S202" s="279" t="b">
        <f>IF(OR($D100="",$D100=CONST_NA),FALSE,INDEX(Parameters_Constants!$K$110:$AF$127,MATCH($E100,CONST_LIST_Goods,0),MATCH(S$8,Parameters_Constants!$K$109:$AF$109,0))=FALSE)</f>
        <v>0</v>
      </c>
      <c r="T202" s="279" t="b">
        <f>IF(OR($D100="",$D100=CONST_NA),FALSE,INDEX(Parameters_Constants!$K$110:$AF$127,MATCH($E100,CONST_LIST_Goods,0),MATCH(T$8,Parameters_Constants!$K$109:$AF$109,0))=FALSE)</f>
        <v>0</v>
      </c>
      <c r="U202" s="279" t="b">
        <f>IF(OR($D100="",$D100=CONST_NA),FALSE,INDEX(Parameters_Constants!$K$110:$AF$127,MATCH($E100,CONST_LIST_Goods,0),MATCH(U$8,Parameters_Constants!$K$109:$AF$109,0))=FALSE)</f>
        <v>0</v>
      </c>
      <c r="V202" s="279" t="b">
        <f>IF(OR($D100="",$D100=CONST_NA),FALSE,INDEX(Parameters_Constants!$K$110:$AF$127,MATCH($E100,CONST_LIST_Goods,0),MATCH(V$8,Parameters_Constants!$K$109:$AF$109,0))=FALSE)</f>
        <v>0</v>
      </c>
      <c r="W202" s="279" t="b">
        <f>IF(OR($D100="",$D100=CONST_NA),FALSE,INDEX(Parameters_Constants!$K$110:$AF$127,MATCH($E100,CONST_LIST_Goods,0),MATCH(W$8,Parameters_Constants!$K$109:$AF$109,0))=FALSE)</f>
        <v>0</v>
      </c>
      <c r="X202" s="279" t="b">
        <f>IF(OR($D100="",$D100=CONST_NA),FALSE,INDEX(Parameters_Constants!$K$110:$AF$127,MATCH($E100,CONST_LIST_Goods,0),MATCH(X$8,Parameters_Constants!$K$109:$AF$109,0))=FALSE)</f>
        <v>0</v>
      </c>
      <c r="Y202" s="279" t="b">
        <f>IF(OR($D100="",$D100=CONST_NA),FALSE,INDEX(Parameters_Constants!$K$110:$AF$127,MATCH($E100,CONST_LIST_Goods,0),MATCH(Y$8,Parameters_Constants!$K$109:$AF$109,0))=FALSE)</f>
        <v>0</v>
      </c>
      <c r="Z202" s="279" t="b">
        <f>IF(OR($D100="",$D100=CONST_NA),FALSE,INDEX(Parameters_Constants!$K$110:$AF$127,MATCH($E100,CONST_LIST_Goods,0),MATCH(Z$8,Parameters_Constants!$K$109:$AF$109,0))=FALSE)</f>
        <v>0</v>
      </c>
      <c r="AA202" s="279" t="b">
        <f>IF(OR($D100="",$D100=CONST_NA),FALSE,INDEX(Parameters_Constants!$K$110:$AF$127,MATCH($E100,CONST_LIST_Goods,0),MATCH(AA$8,Parameters_Constants!$K$109:$AF$109,0))=FALSE)</f>
        <v>0</v>
      </c>
      <c r="AB202" s="279" t="b">
        <f>IF(OR($D100="",$D100=CONST_NA),FALSE,INDEX(Parameters_Constants!$K$110:$AF$127,MATCH($E100,CONST_LIST_Goods,0),MATCH(AB$8,Parameters_Constants!$K$109:$AF$109,0))=FALSE)</f>
        <v>0</v>
      </c>
      <c r="AC202" s="279" t="b">
        <f>IF(OR($D100="",$D100=CONST_NA),FALSE,INDEX(Parameters_Constants!$K$110:$AF$127,MATCH($E100,CONST_LIST_Goods,0),MATCH(AC$8,Parameters_Constants!$K$109:$AF$109,0))=FALSE)</f>
        <v>0</v>
      </c>
      <c r="AD202" s="279" t="b">
        <f>IF(OR($D100="",$D100=CONST_NA),FALSE,INDEX(Parameters_Constants!$K$110:$AF$127,MATCH($E100,CONST_LIST_Goods,0),MATCH(AD$8,Parameters_Constants!$K$109:$AF$109,0))=FALSE)</f>
        <v>0</v>
      </c>
      <c r="AE202" s="279" t="b">
        <f>IF(OR($D100="",$D100=CONST_NA),FALSE,INDEX(Parameters_Constants!$K$110:$AF$127,MATCH($E100,CONST_LIST_Goods,0),MATCH(AE$8,Parameters_Constants!$K$109:$AF$109,0))=FALSE)</f>
        <v>0</v>
      </c>
      <c r="AF202" s="279" t="b">
        <f>IF(OR($D100="",$D100=CONST_NA),FALSE,INDEX(Parameters_Constants!$K$110:$AF$127,MATCH($E100,CONST_LIST_Goods,0),MATCH(AF$8,Parameters_Constants!$K$109:$AF$109,0))=FALSE)</f>
        <v>0</v>
      </c>
      <c r="AG202" s="279" t="b">
        <f>IF(OR($D100="",$D100=CONST_NA),FALSE,INDEX(Parameters_Constants!$K$110:$AF$127,MATCH($E100,CONST_LIST_Goods,0),MATCH(AG$8,Parameters_Constants!$K$109:$AF$109,0))=FALSE)</f>
        <v>0</v>
      </c>
      <c r="AH202" s="279" t="b">
        <f>IF(OR($D100="",$D100=CONST_NA),FALSE,INDEX(Parameters_Constants!$K$110:$AF$127,MATCH($E100,CONST_LIST_Goods,0),MATCH(AH$8,Parameters_Constants!$K$109:$AF$109,0))=FALSE)</f>
        <v>0</v>
      </c>
      <c r="AI202" s="279" t="b">
        <f>IF(OR($D100="",$D100=CONST_NA),FALSE,INDEX(Parameters_Constants!$K$110:$AF$127,MATCH($E100,CONST_LIST_Goods,0),MATCH(AI$8,Parameters_Constants!$K$109:$AF$109,0))=FALSE)</f>
        <v>0</v>
      </c>
      <c r="AJ202" s="279" t="b">
        <f>IF(OR($D100="",$D100=CONST_NA),FALSE,INDEX(Parameters_Constants!$K$110:$AF$127,MATCH($E100,CONST_LIST_Goods,0),MATCH(AJ$8,Parameters_Constants!$K$109:$AF$109,0))=FALSE)</f>
        <v>0</v>
      </c>
      <c r="AK202" s="279" t="b">
        <f>IF(OR($D100="",$D100=CONST_NA),FALSE,INDEX(Parameters_Constants!$K$110:$AF$127,MATCH($E100,CONST_LIST_Goods,0),MATCH(AK$8,Parameters_Constants!$K$109:$AF$109,0))=FALSE)</f>
        <v>0</v>
      </c>
      <c r="AL202" s="280"/>
      <c r="AM202" s="280"/>
      <c r="AN202" s="280"/>
      <c r="AO202" s="280"/>
      <c r="AP202" s="280"/>
      <c r="AQ202" s="280"/>
      <c r="AR202" s="280"/>
      <c r="AS202" s="280"/>
      <c r="AT202" s="280"/>
      <c r="AU202" s="280"/>
      <c r="AV202" s="280"/>
      <c r="AW202" s="280"/>
    </row>
    <row r="203" spans="1:49" s="275" customFormat="1" hidden="1" x14ac:dyDescent="0.35">
      <c r="A203" s="275" t="s">
        <v>3</v>
      </c>
      <c r="C203" s="275">
        <v>92</v>
      </c>
      <c r="F203" s="279" t="b">
        <v>0</v>
      </c>
      <c r="H203" s="279" t="b">
        <v>0</v>
      </c>
      <c r="P203" s="279" t="b">
        <f>IF(OR($D101="",$D101=CONST_NA),FALSE,INDEX(Parameters_Constants!$K$110:$AF$127,MATCH($E101,CONST_LIST_Goods,0),MATCH(P$8,Parameters_Constants!$K$109:$AF$109,0))=FALSE)</f>
        <v>0</v>
      </c>
      <c r="Q203" s="279" t="b">
        <f>IF(OR($D101="",$D101=CONST_NA),FALSE,INDEX(Parameters_Constants!$K$110:$AF$127,MATCH($E101,CONST_LIST_Goods,0),MATCH(Q$8,Parameters_Constants!$K$109:$AF$109,0))=FALSE)</f>
        <v>0</v>
      </c>
      <c r="R203" s="279" t="b">
        <f>IF(OR($D101="",$D101=CONST_NA),FALSE,INDEX(Parameters_Constants!$K$110:$AF$127,MATCH($E101,CONST_LIST_Goods,0),MATCH(R$8,Parameters_Constants!$K$109:$AF$109,0))=FALSE)</f>
        <v>0</v>
      </c>
      <c r="S203" s="279" t="b">
        <f>IF(OR($D101="",$D101=CONST_NA),FALSE,INDEX(Parameters_Constants!$K$110:$AF$127,MATCH($E101,CONST_LIST_Goods,0),MATCH(S$8,Parameters_Constants!$K$109:$AF$109,0))=FALSE)</f>
        <v>0</v>
      </c>
      <c r="T203" s="279" t="b">
        <f>IF(OR($D101="",$D101=CONST_NA),FALSE,INDEX(Parameters_Constants!$K$110:$AF$127,MATCH($E101,CONST_LIST_Goods,0),MATCH(T$8,Parameters_Constants!$K$109:$AF$109,0))=FALSE)</f>
        <v>0</v>
      </c>
      <c r="U203" s="279" t="b">
        <f>IF(OR($D101="",$D101=CONST_NA),FALSE,INDEX(Parameters_Constants!$K$110:$AF$127,MATCH($E101,CONST_LIST_Goods,0),MATCH(U$8,Parameters_Constants!$K$109:$AF$109,0))=FALSE)</f>
        <v>0</v>
      </c>
      <c r="V203" s="279" t="b">
        <f>IF(OR($D101="",$D101=CONST_NA),FALSE,INDEX(Parameters_Constants!$K$110:$AF$127,MATCH($E101,CONST_LIST_Goods,0),MATCH(V$8,Parameters_Constants!$K$109:$AF$109,0))=FALSE)</f>
        <v>0</v>
      </c>
      <c r="W203" s="279" t="b">
        <f>IF(OR($D101="",$D101=CONST_NA),FALSE,INDEX(Parameters_Constants!$K$110:$AF$127,MATCH($E101,CONST_LIST_Goods,0),MATCH(W$8,Parameters_Constants!$K$109:$AF$109,0))=FALSE)</f>
        <v>0</v>
      </c>
      <c r="X203" s="279" t="b">
        <f>IF(OR($D101="",$D101=CONST_NA),FALSE,INDEX(Parameters_Constants!$K$110:$AF$127,MATCH($E101,CONST_LIST_Goods,0),MATCH(X$8,Parameters_Constants!$K$109:$AF$109,0))=FALSE)</f>
        <v>0</v>
      </c>
      <c r="Y203" s="279" t="b">
        <f>IF(OR($D101="",$D101=CONST_NA),FALSE,INDEX(Parameters_Constants!$K$110:$AF$127,MATCH($E101,CONST_LIST_Goods,0),MATCH(Y$8,Parameters_Constants!$K$109:$AF$109,0))=FALSE)</f>
        <v>0</v>
      </c>
      <c r="Z203" s="279" t="b">
        <f>IF(OR($D101="",$D101=CONST_NA),FALSE,INDEX(Parameters_Constants!$K$110:$AF$127,MATCH($E101,CONST_LIST_Goods,0),MATCH(Z$8,Parameters_Constants!$K$109:$AF$109,0))=FALSE)</f>
        <v>0</v>
      </c>
      <c r="AA203" s="279" t="b">
        <f>IF(OR($D101="",$D101=CONST_NA),FALSE,INDEX(Parameters_Constants!$K$110:$AF$127,MATCH($E101,CONST_LIST_Goods,0),MATCH(AA$8,Parameters_Constants!$K$109:$AF$109,0))=FALSE)</f>
        <v>0</v>
      </c>
      <c r="AB203" s="279" t="b">
        <f>IF(OR($D101="",$D101=CONST_NA),FALSE,INDEX(Parameters_Constants!$K$110:$AF$127,MATCH($E101,CONST_LIST_Goods,0),MATCH(AB$8,Parameters_Constants!$K$109:$AF$109,0))=FALSE)</f>
        <v>0</v>
      </c>
      <c r="AC203" s="279" t="b">
        <f>IF(OR($D101="",$D101=CONST_NA),FALSE,INDEX(Parameters_Constants!$K$110:$AF$127,MATCH($E101,CONST_LIST_Goods,0),MATCH(AC$8,Parameters_Constants!$K$109:$AF$109,0))=FALSE)</f>
        <v>0</v>
      </c>
      <c r="AD203" s="279" t="b">
        <f>IF(OR($D101="",$D101=CONST_NA),FALSE,INDEX(Parameters_Constants!$K$110:$AF$127,MATCH($E101,CONST_LIST_Goods,0),MATCH(AD$8,Parameters_Constants!$K$109:$AF$109,0))=FALSE)</f>
        <v>0</v>
      </c>
      <c r="AE203" s="279" t="b">
        <f>IF(OR($D101="",$D101=CONST_NA),FALSE,INDEX(Parameters_Constants!$K$110:$AF$127,MATCH($E101,CONST_LIST_Goods,0),MATCH(AE$8,Parameters_Constants!$K$109:$AF$109,0))=FALSE)</f>
        <v>0</v>
      </c>
      <c r="AF203" s="279" t="b">
        <f>IF(OR($D101="",$D101=CONST_NA),FALSE,INDEX(Parameters_Constants!$K$110:$AF$127,MATCH($E101,CONST_LIST_Goods,0),MATCH(AF$8,Parameters_Constants!$K$109:$AF$109,0))=FALSE)</f>
        <v>0</v>
      </c>
      <c r="AG203" s="279" t="b">
        <f>IF(OR($D101="",$D101=CONST_NA),FALSE,INDEX(Parameters_Constants!$K$110:$AF$127,MATCH($E101,CONST_LIST_Goods,0),MATCH(AG$8,Parameters_Constants!$K$109:$AF$109,0))=FALSE)</f>
        <v>0</v>
      </c>
      <c r="AH203" s="279" t="b">
        <f>IF(OR($D101="",$D101=CONST_NA),FALSE,INDEX(Parameters_Constants!$K$110:$AF$127,MATCH($E101,CONST_LIST_Goods,0),MATCH(AH$8,Parameters_Constants!$K$109:$AF$109,0))=FALSE)</f>
        <v>0</v>
      </c>
      <c r="AI203" s="279" t="b">
        <f>IF(OR($D101="",$D101=CONST_NA),FALSE,INDEX(Parameters_Constants!$K$110:$AF$127,MATCH($E101,CONST_LIST_Goods,0),MATCH(AI$8,Parameters_Constants!$K$109:$AF$109,0))=FALSE)</f>
        <v>0</v>
      </c>
      <c r="AJ203" s="279" t="b">
        <f>IF(OR($D101="",$D101=CONST_NA),FALSE,INDEX(Parameters_Constants!$K$110:$AF$127,MATCH($E101,CONST_LIST_Goods,0),MATCH(AJ$8,Parameters_Constants!$K$109:$AF$109,0))=FALSE)</f>
        <v>0</v>
      </c>
      <c r="AK203" s="279" t="b">
        <f>IF(OR($D101="",$D101=CONST_NA),FALSE,INDEX(Parameters_Constants!$K$110:$AF$127,MATCH($E101,CONST_LIST_Goods,0),MATCH(AK$8,Parameters_Constants!$K$109:$AF$109,0))=FALSE)</f>
        <v>0</v>
      </c>
      <c r="AL203" s="280"/>
      <c r="AM203" s="280"/>
      <c r="AN203" s="280"/>
      <c r="AO203" s="280"/>
      <c r="AP203" s="280"/>
      <c r="AQ203" s="280"/>
      <c r="AR203" s="280"/>
      <c r="AS203" s="280"/>
      <c r="AT203" s="280"/>
      <c r="AU203" s="280"/>
      <c r="AV203" s="280"/>
      <c r="AW203" s="280"/>
    </row>
    <row r="204" spans="1:49" s="275" customFormat="1" hidden="1" x14ac:dyDescent="0.35">
      <c r="A204" s="275" t="s">
        <v>3</v>
      </c>
      <c r="C204" s="275">
        <v>93</v>
      </c>
      <c r="F204" s="279" t="b">
        <v>0</v>
      </c>
      <c r="H204" s="279" t="b">
        <v>0</v>
      </c>
      <c r="P204" s="279" t="b">
        <f>IF(OR($D102="",$D102=CONST_NA),FALSE,INDEX(Parameters_Constants!$K$110:$AF$127,MATCH($E102,CONST_LIST_Goods,0),MATCH(P$8,Parameters_Constants!$K$109:$AF$109,0))=FALSE)</f>
        <v>0</v>
      </c>
      <c r="Q204" s="279" t="b">
        <f>IF(OR($D102="",$D102=CONST_NA),FALSE,INDEX(Parameters_Constants!$K$110:$AF$127,MATCH($E102,CONST_LIST_Goods,0),MATCH(Q$8,Parameters_Constants!$K$109:$AF$109,0))=FALSE)</f>
        <v>0</v>
      </c>
      <c r="R204" s="279" t="b">
        <f>IF(OR($D102="",$D102=CONST_NA),FALSE,INDEX(Parameters_Constants!$K$110:$AF$127,MATCH($E102,CONST_LIST_Goods,0),MATCH(R$8,Parameters_Constants!$K$109:$AF$109,0))=FALSE)</f>
        <v>0</v>
      </c>
      <c r="S204" s="279" t="b">
        <f>IF(OR($D102="",$D102=CONST_NA),FALSE,INDEX(Parameters_Constants!$K$110:$AF$127,MATCH($E102,CONST_LIST_Goods,0),MATCH(S$8,Parameters_Constants!$K$109:$AF$109,0))=FALSE)</f>
        <v>0</v>
      </c>
      <c r="T204" s="279" t="b">
        <f>IF(OR($D102="",$D102=CONST_NA),FALSE,INDEX(Parameters_Constants!$K$110:$AF$127,MATCH($E102,CONST_LIST_Goods,0),MATCH(T$8,Parameters_Constants!$K$109:$AF$109,0))=FALSE)</f>
        <v>0</v>
      </c>
      <c r="U204" s="279" t="b">
        <f>IF(OR($D102="",$D102=CONST_NA),FALSE,INDEX(Parameters_Constants!$K$110:$AF$127,MATCH($E102,CONST_LIST_Goods,0),MATCH(U$8,Parameters_Constants!$K$109:$AF$109,0))=FALSE)</f>
        <v>0</v>
      </c>
      <c r="V204" s="279" t="b">
        <f>IF(OR($D102="",$D102=CONST_NA),FALSE,INDEX(Parameters_Constants!$K$110:$AF$127,MATCH($E102,CONST_LIST_Goods,0),MATCH(V$8,Parameters_Constants!$K$109:$AF$109,0))=FALSE)</f>
        <v>0</v>
      </c>
      <c r="W204" s="279" t="b">
        <f>IF(OR($D102="",$D102=CONST_NA),FALSE,INDEX(Parameters_Constants!$K$110:$AF$127,MATCH($E102,CONST_LIST_Goods,0),MATCH(W$8,Parameters_Constants!$K$109:$AF$109,0))=FALSE)</f>
        <v>0</v>
      </c>
      <c r="X204" s="279" t="b">
        <f>IF(OR($D102="",$D102=CONST_NA),FALSE,INDEX(Parameters_Constants!$K$110:$AF$127,MATCH($E102,CONST_LIST_Goods,0),MATCH(X$8,Parameters_Constants!$K$109:$AF$109,0))=FALSE)</f>
        <v>0</v>
      </c>
      <c r="Y204" s="279" t="b">
        <f>IF(OR($D102="",$D102=CONST_NA),FALSE,INDEX(Parameters_Constants!$K$110:$AF$127,MATCH($E102,CONST_LIST_Goods,0),MATCH(Y$8,Parameters_Constants!$K$109:$AF$109,0))=FALSE)</f>
        <v>0</v>
      </c>
      <c r="Z204" s="279" t="b">
        <f>IF(OR($D102="",$D102=CONST_NA),FALSE,INDEX(Parameters_Constants!$K$110:$AF$127,MATCH($E102,CONST_LIST_Goods,0),MATCH(Z$8,Parameters_Constants!$K$109:$AF$109,0))=FALSE)</f>
        <v>0</v>
      </c>
      <c r="AA204" s="279" t="b">
        <f>IF(OR($D102="",$D102=CONST_NA),FALSE,INDEX(Parameters_Constants!$K$110:$AF$127,MATCH($E102,CONST_LIST_Goods,0),MATCH(AA$8,Parameters_Constants!$K$109:$AF$109,0))=FALSE)</f>
        <v>0</v>
      </c>
      <c r="AB204" s="279" t="b">
        <f>IF(OR($D102="",$D102=CONST_NA),FALSE,INDEX(Parameters_Constants!$K$110:$AF$127,MATCH($E102,CONST_LIST_Goods,0),MATCH(AB$8,Parameters_Constants!$K$109:$AF$109,0))=FALSE)</f>
        <v>0</v>
      </c>
      <c r="AC204" s="279" t="b">
        <f>IF(OR($D102="",$D102=CONST_NA),FALSE,INDEX(Parameters_Constants!$K$110:$AF$127,MATCH($E102,CONST_LIST_Goods,0),MATCH(AC$8,Parameters_Constants!$K$109:$AF$109,0))=FALSE)</f>
        <v>0</v>
      </c>
      <c r="AD204" s="279" t="b">
        <f>IF(OR($D102="",$D102=CONST_NA),FALSE,INDEX(Parameters_Constants!$K$110:$AF$127,MATCH($E102,CONST_LIST_Goods,0),MATCH(AD$8,Parameters_Constants!$K$109:$AF$109,0))=FALSE)</f>
        <v>0</v>
      </c>
      <c r="AE204" s="279" t="b">
        <f>IF(OR($D102="",$D102=CONST_NA),FALSE,INDEX(Parameters_Constants!$K$110:$AF$127,MATCH($E102,CONST_LIST_Goods,0),MATCH(AE$8,Parameters_Constants!$K$109:$AF$109,0))=FALSE)</f>
        <v>0</v>
      </c>
      <c r="AF204" s="279" t="b">
        <f>IF(OR($D102="",$D102=CONST_NA),FALSE,INDEX(Parameters_Constants!$K$110:$AF$127,MATCH($E102,CONST_LIST_Goods,0),MATCH(AF$8,Parameters_Constants!$K$109:$AF$109,0))=FALSE)</f>
        <v>0</v>
      </c>
      <c r="AG204" s="279" t="b">
        <f>IF(OR($D102="",$D102=CONST_NA),FALSE,INDEX(Parameters_Constants!$K$110:$AF$127,MATCH($E102,CONST_LIST_Goods,0),MATCH(AG$8,Parameters_Constants!$K$109:$AF$109,0))=FALSE)</f>
        <v>0</v>
      </c>
      <c r="AH204" s="279" t="b">
        <f>IF(OR($D102="",$D102=CONST_NA),FALSE,INDEX(Parameters_Constants!$K$110:$AF$127,MATCH($E102,CONST_LIST_Goods,0),MATCH(AH$8,Parameters_Constants!$K$109:$AF$109,0))=FALSE)</f>
        <v>0</v>
      </c>
      <c r="AI204" s="279" t="b">
        <f>IF(OR($D102="",$D102=CONST_NA),FALSE,INDEX(Parameters_Constants!$K$110:$AF$127,MATCH($E102,CONST_LIST_Goods,0),MATCH(AI$8,Parameters_Constants!$K$109:$AF$109,0))=FALSE)</f>
        <v>0</v>
      </c>
      <c r="AJ204" s="279" t="b">
        <f>IF(OR($D102="",$D102=CONST_NA),FALSE,INDEX(Parameters_Constants!$K$110:$AF$127,MATCH($E102,CONST_LIST_Goods,0),MATCH(AJ$8,Parameters_Constants!$K$109:$AF$109,0))=FALSE)</f>
        <v>0</v>
      </c>
      <c r="AK204" s="279" t="b">
        <f>IF(OR($D102="",$D102=CONST_NA),FALSE,INDEX(Parameters_Constants!$K$110:$AF$127,MATCH($E102,CONST_LIST_Goods,0),MATCH(AK$8,Parameters_Constants!$K$109:$AF$109,0))=FALSE)</f>
        <v>0</v>
      </c>
      <c r="AL204" s="280"/>
      <c r="AM204" s="280"/>
      <c r="AN204" s="280"/>
      <c r="AO204" s="280"/>
      <c r="AP204" s="280"/>
      <c r="AQ204" s="280"/>
      <c r="AR204" s="280"/>
      <c r="AS204" s="280"/>
      <c r="AT204" s="280"/>
      <c r="AU204" s="280"/>
      <c r="AV204" s="280"/>
      <c r="AW204" s="280"/>
    </row>
    <row r="205" spans="1:49" s="275" customFormat="1" hidden="1" x14ac:dyDescent="0.35">
      <c r="A205" s="275" t="s">
        <v>3</v>
      </c>
      <c r="C205" s="275">
        <v>94</v>
      </c>
      <c r="F205" s="279" t="b">
        <v>0</v>
      </c>
      <c r="H205" s="279" t="b">
        <v>0</v>
      </c>
      <c r="P205" s="279" t="b">
        <f>IF(OR($D103="",$D103=CONST_NA),FALSE,INDEX(Parameters_Constants!$K$110:$AF$127,MATCH($E103,CONST_LIST_Goods,0),MATCH(P$8,Parameters_Constants!$K$109:$AF$109,0))=FALSE)</f>
        <v>0</v>
      </c>
      <c r="Q205" s="279" t="b">
        <f>IF(OR($D103="",$D103=CONST_NA),FALSE,INDEX(Parameters_Constants!$K$110:$AF$127,MATCH($E103,CONST_LIST_Goods,0),MATCH(Q$8,Parameters_Constants!$K$109:$AF$109,0))=FALSE)</f>
        <v>0</v>
      </c>
      <c r="R205" s="279" t="b">
        <f>IF(OR($D103="",$D103=CONST_NA),FALSE,INDEX(Parameters_Constants!$K$110:$AF$127,MATCH($E103,CONST_LIST_Goods,0),MATCH(R$8,Parameters_Constants!$K$109:$AF$109,0))=FALSE)</f>
        <v>0</v>
      </c>
      <c r="S205" s="279" t="b">
        <f>IF(OR($D103="",$D103=CONST_NA),FALSE,INDEX(Parameters_Constants!$K$110:$AF$127,MATCH($E103,CONST_LIST_Goods,0),MATCH(S$8,Parameters_Constants!$K$109:$AF$109,0))=FALSE)</f>
        <v>0</v>
      </c>
      <c r="T205" s="279" t="b">
        <f>IF(OR($D103="",$D103=CONST_NA),FALSE,INDEX(Parameters_Constants!$K$110:$AF$127,MATCH($E103,CONST_LIST_Goods,0),MATCH(T$8,Parameters_Constants!$K$109:$AF$109,0))=FALSE)</f>
        <v>0</v>
      </c>
      <c r="U205" s="279" t="b">
        <f>IF(OR($D103="",$D103=CONST_NA),FALSE,INDEX(Parameters_Constants!$K$110:$AF$127,MATCH($E103,CONST_LIST_Goods,0),MATCH(U$8,Parameters_Constants!$K$109:$AF$109,0))=FALSE)</f>
        <v>0</v>
      </c>
      <c r="V205" s="279" t="b">
        <f>IF(OR($D103="",$D103=CONST_NA),FALSE,INDEX(Parameters_Constants!$K$110:$AF$127,MATCH($E103,CONST_LIST_Goods,0),MATCH(V$8,Parameters_Constants!$K$109:$AF$109,0))=FALSE)</f>
        <v>0</v>
      </c>
      <c r="W205" s="279" t="b">
        <f>IF(OR($D103="",$D103=CONST_NA),FALSE,INDEX(Parameters_Constants!$K$110:$AF$127,MATCH($E103,CONST_LIST_Goods,0),MATCH(W$8,Parameters_Constants!$K$109:$AF$109,0))=FALSE)</f>
        <v>0</v>
      </c>
      <c r="X205" s="279" t="b">
        <f>IF(OR($D103="",$D103=CONST_NA),FALSE,INDEX(Parameters_Constants!$K$110:$AF$127,MATCH($E103,CONST_LIST_Goods,0),MATCH(X$8,Parameters_Constants!$K$109:$AF$109,0))=FALSE)</f>
        <v>0</v>
      </c>
      <c r="Y205" s="279" t="b">
        <f>IF(OR($D103="",$D103=CONST_NA),FALSE,INDEX(Parameters_Constants!$K$110:$AF$127,MATCH($E103,CONST_LIST_Goods,0),MATCH(Y$8,Parameters_Constants!$K$109:$AF$109,0))=FALSE)</f>
        <v>0</v>
      </c>
      <c r="Z205" s="279" t="b">
        <f>IF(OR($D103="",$D103=CONST_NA),FALSE,INDEX(Parameters_Constants!$K$110:$AF$127,MATCH($E103,CONST_LIST_Goods,0),MATCH(Z$8,Parameters_Constants!$K$109:$AF$109,0))=FALSE)</f>
        <v>0</v>
      </c>
      <c r="AA205" s="279" t="b">
        <f>IF(OR($D103="",$D103=CONST_NA),FALSE,INDEX(Parameters_Constants!$K$110:$AF$127,MATCH($E103,CONST_LIST_Goods,0),MATCH(AA$8,Parameters_Constants!$K$109:$AF$109,0))=FALSE)</f>
        <v>0</v>
      </c>
      <c r="AB205" s="279" t="b">
        <f>IF(OR($D103="",$D103=CONST_NA),FALSE,INDEX(Parameters_Constants!$K$110:$AF$127,MATCH($E103,CONST_LIST_Goods,0),MATCH(AB$8,Parameters_Constants!$K$109:$AF$109,0))=FALSE)</f>
        <v>0</v>
      </c>
      <c r="AC205" s="279" t="b">
        <f>IF(OR($D103="",$D103=CONST_NA),FALSE,INDEX(Parameters_Constants!$K$110:$AF$127,MATCH($E103,CONST_LIST_Goods,0),MATCH(AC$8,Parameters_Constants!$K$109:$AF$109,0))=FALSE)</f>
        <v>0</v>
      </c>
      <c r="AD205" s="279" t="b">
        <f>IF(OR($D103="",$D103=CONST_NA),FALSE,INDEX(Parameters_Constants!$K$110:$AF$127,MATCH($E103,CONST_LIST_Goods,0),MATCH(AD$8,Parameters_Constants!$K$109:$AF$109,0))=FALSE)</f>
        <v>0</v>
      </c>
      <c r="AE205" s="279" t="b">
        <f>IF(OR($D103="",$D103=CONST_NA),FALSE,INDEX(Parameters_Constants!$K$110:$AF$127,MATCH($E103,CONST_LIST_Goods,0),MATCH(AE$8,Parameters_Constants!$K$109:$AF$109,0))=FALSE)</f>
        <v>0</v>
      </c>
      <c r="AF205" s="279" t="b">
        <f>IF(OR($D103="",$D103=CONST_NA),FALSE,INDEX(Parameters_Constants!$K$110:$AF$127,MATCH($E103,CONST_LIST_Goods,0),MATCH(AF$8,Parameters_Constants!$K$109:$AF$109,0))=FALSE)</f>
        <v>0</v>
      </c>
      <c r="AG205" s="279" t="b">
        <f>IF(OR($D103="",$D103=CONST_NA),FALSE,INDEX(Parameters_Constants!$K$110:$AF$127,MATCH($E103,CONST_LIST_Goods,0),MATCH(AG$8,Parameters_Constants!$K$109:$AF$109,0))=FALSE)</f>
        <v>0</v>
      </c>
      <c r="AH205" s="279" t="b">
        <f>IF(OR($D103="",$D103=CONST_NA),FALSE,INDEX(Parameters_Constants!$K$110:$AF$127,MATCH($E103,CONST_LIST_Goods,0),MATCH(AH$8,Parameters_Constants!$K$109:$AF$109,0))=FALSE)</f>
        <v>0</v>
      </c>
      <c r="AI205" s="279" t="b">
        <f>IF(OR($D103="",$D103=CONST_NA),FALSE,INDEX(Parameters_Constants!$K$110:$AF$127,MATCH($E103,CONST_LIST_Goods,0),MATCH(AI$8,Parameters_Constants!$K$109:$AF$109,0))=FALSE)</f>
        <v>0</v>
      </c>
      <c r="AJ205" s="279" t="b">
        <f>IF(OR($D103="",$D103=CONST_NA),FALSE,INDEX(Parameters_Constants!$K$110:$AF$127,MATCH($E103,CONST_LIST_Goods,0),MATCH(AJ$8,Parameters_Constants!$K$109:$AF$109,0))=FALSE)</f>
        <v>0</v>
      </c>
      <c r="AK205" s="279" t="b">
        <f>IF(OR($D103="",$D103=CONST_NA),FALSE,INDEX(Parameters_Constants!$K$110:$AF$127,MATCH($E103,CONST_LIST_Goods,0),MATCH(AK$8,Parameters_Constants!$K$109:$AF$109,0))=FALSE)</f>
        <v>0</v>
      </c>
      <c r="AL205" s="280"/>
      <c r="AM205" s="280"/>
      <c r="AN205" s="280"/>
      <c r="AO205" s="280"/>
      <c r="AP205" s="280"/>
      <c r="AQ205" s="280"/>
      <c r="AR205" s="280"/>
      <c r="AS205" s="280"/>
      <c r="AT205" s="280"/>
      <c r="AU205" s="280"/>
      <c r="AV205" s="280"/>
      <c r="AW205" s="280"/>
    </row>
    <row r="206" spans="1:49" s="275" customFormat="1" hidden="1" x14ac:dyDescent="0.35">
      <c r="A206" s="275" t="s">
        <v>3</v>
      </c>
      <c r="C206" s="275">
        <v>95</v>
      </c>
      <c r="F206" s="279" t="b">
        <v>0</v>
      </c>
      <c r="H206" s="279" t="b">
        <v>0</v>
      </c>
      <c r="P206" s="279" t="b">
        <f>IF(OR($D104="",$D104=CONST_NA),FALSE,INDEX(Parameters_Constants!$K$110:$AF$127,MATCH($E104,CONST_LIST_Goods,0),MATCH(P$8,Parameters_Constants!$K$109:$AF$109,0))=FALSE)</f>
        <v>0</v>
      </c>
      <c r="Q206" s="279" t="b">
        <f>IF(OR($D104="",$D104=CONST_NA),FALSE,INDEX(Parameters_Constants!$K$110:$AF$127,MATCH($E104,CONST_LIST_Goods,0),MATCH(Q$8,Parameters_Constants!$K$109:$AF$109,0))=FALSE)</f>
        <v>0</v>
      </c>
      <c r="R206" s="279" t="b">
        <f>IF(OR($D104="",$D104=CONST_NA),FALSE,INDEX(Parameters_Constants!$K$110:$AF$127,MATCH($E104,CONST_LIST_Goods,0),MATCH(R$8,Parameters_Constants!$K$109:$AF$109,0))=FALSE)</f>
        <v>0</v>
      </c>
      <c r="S206" s="279" t="b">
        <f>IF(OR($D104="",$D104=CONST_NA),FALSE,INDEX(Parameters_Constants!$K$110:$AF$127,MATCH($E104,CONST_LIST_Goods,0),MATCH(S$8,Parameters_Constants!$K$109:$AF$109,0))=FALSE)</f>
        <v>0</v>
      </c>
      <c r="T206" s="279" t="b">
        <f>IF(OR($D104="",$D104=CONST_NA),FALSE,INDEX(Parameters_Constants!$K$110:$AF$127,MATCH($E104,CONST_LIST_Goods,0),MATCH(T$8,Parameters_Constants!$K$109:$AF$109,0))=FALSE)</f>
        <v>0</v>
      </c>
      <c r="U206" s="279" t="b">
        <f>IF(OR($D104="",$D104=CONST_NA),FALSE,INDEX(Parameters_Constants!$K$110:$AF$127,MATCH($E104,CONST_LIST_Goods,0),MATCH(U$8,Parameters_Constants!$K$109:$AF$109,0))=FALSE)</f>
        <v>0</v>
      </c>
      <c r="V206" s="279" t="b">
        <f>IF(OR($D104="",$D104=CONST_NA),FALSE,INDEX(Parameters_Constants!$K$110:$AF$127,MATCH($E104,CONST_LIST_Goods,0),MATCH(V$8,Parameters_Constants!$K$109:$AF$109,0))=FALSE)</f>
        <v>0</v>
      </c>
      <c r="W206" s="279" t="b">
        <f>IF(OR($D104="",$D104=CONST_NA),FALSE,INDEX(Parameters_Constants!$K$110:$AF$127,MATCH($E104,CONST_LIST_Goods,0),MATCH(W$8,Parameters_Constants!$K$109:$AF$109,0))=FALSE)</f>
        <v>0</v>
      </c>
      <c r="X206" s="279" t="b">
        <f>IF(OR($D104="",$D104=CONST_NA),FALSE,INDEX(Parameters_Constants!$K$110:$AF$127,MATCH($E104,CONST_LIST_Goods,0),MATCH(X$8,Parameters_Constants!$K$109:$AF$109,0))=FALSE)</f>
        <v>0</v>
      </c>
      <c r="Y206" s="279" t="b">
        <f>IF(OR($D104="",$D104=CONST_NA),FALSE,INDEX(Parameters_Constants!$K$110:$AF$127,MATCH($E104,CONST_LIST_Goods,0),MATCH(Y$8,Parameters_Constants!$K$109:$AF$109,0))=FALSE)</f>
        <v>0</v>
      </c>
      <c r="Z206" s="279" t="b">
        <f>IF(OR($D104="",$D104=CONST_NA),FALSE,INDEX(Parameters_Constants!$K$110:$AF$127,MATCH($E104,CONST_LIST_Goods,0),MATCH(Z$8,Parameters_Constants!$K$109:$AF$109,0))=FALSE)</f>
        <v>0</v>
      </c>
      <c r="AA206" s="279" t="b">
        <f>IF(OR($D104="",$D104=CONST_NA),FALSE,INDEX(Parameters_Constants!$K$110:$AF$127,MATCH($E104,CONST_LIST_Goods,0),MATCH(AA$8,Parameters_Constants!$K$109:$AF$109,0))=FALSE)</f>
        <v>0</v>
      </c>
      <c r="AB206" s="279" t="b">
        <f>IF(OR($D104="",$D104=CONST_NA),FALSE,INDEX(Parameters_Constants!$K$110:$AF$127,MATCH($E104,CONST_LIST_Goods,0),MATCH(AB$8,Parameters_Constants!$K$109:$AF$109,0))=FALSE)</f>
        <v>0</v>
      </c>
      <c r="AC206" s="279" t="b">
        <f>IF(OR($D104="",$D104=CONST_NA),FALSE,INDEX(Parameters_Constants!$K$110:$AF$127,MATCH($E104,CONST_LIST_Goods,0),MATCH(AC$8,Parameters_Constants!$K$109:$AF$109,0))=FALSE)</f>
        <v>0</v>
      </c>
      <c r="AD206" s="279" t="b">
        <f>IF(OR($D104="",$D104=CONST_NA),FALSE,INDEX(Parameters_Constants!$K$110:$AF$127,MATCH($E104,CONST_LIST_Goods,0),MATCH(AD$8,Parameters_Constants!$K$109:$AF$109,0))=FALSE)</f>
        <v>0</v>
      </c>
      <c r="AE206" s="279" t="b">
        <f>IF(OR($D104="",$D104=CONST_NA),FALSE,INDEX(Parameters_Constants!$K$110:$AF$127,MATCH($E104,CONST_LIST_Goods,0),MATCH(AE$8,Parameters_Constants!$K$109:$AF$109,0))=FALSE)</f>
        <v>0</v>
      </c>
      <c r="AF206" s="279" t="b">
        <f>IF(OR($D104="",$D104=CONST_NA),FALSE,INDEX(Parameters_Constants!$K$110:$AF$127,MATCH($E104,CONST_LIST_Goods,0),MATCH(AF$8,Parameters_Constants!$K$109:$AF$109,0))=FALSE)</f>
        <v>0</v>
      </c>
      <c r="AG206" s="279" t="b">
        <f>IF(OR($D104="",$D104=CONST_NA),FALSE,INDEX(Parameters_Constants!$K$110:$AF$127,MATCH($E104,CONST_LIST_Goods,0),MATCH(AG$8,Parameters_Constants!$K$109:$AF$109,0))=FALSE)</f>
        <v>0</v>
      </c>
      <c r="AH206" s="279" t="b">
        <f>IF(OR($D104="",$D104=CONST_NA),FALSE,INDEX(Parameters_Constants!$K$110:$AF$127,MATCH($E104,CONST_LIST_Goods,0),MATCH(AH$8,Parameters_Constants!$K$109:$AF$109,0))=FALSE)</f>
        <v>0</v>
      </c>
      <c r="AI206" s="279" t="b">
        <f>IF(OR($D104="",$D104=CONST_NA),FALSE,INDEX(Parameters_Constants!$K$110:$AF$127,MATCH($E104,CONST_LIST_Goods,0),MATCH(AI$8,Parameters_Constants!$K$109:$AF$109,0))=FALSE)</f>
        <v>0</v>
      </c>
      <c r="AJ206" s="279" t="b">
        <f>IF(OR($D104="",$D104=CONST_NA),FALSE,INDEX(Parameters_Constants!$K$110:$AF$127,MATCH($E104,CONST_LIST_Goods,0),MATCH(AJ$8,Parameters_Constants!$K$109:$AF$109,0))=FALSE)</f>
        <v>0</v>
      </c>
      <c r="AK206" s="279" t="b">
        <f>IF(OR($D104="",$D104=CONST_NA),FALSE,INDEX(Parameters_Constants!$K$110:$AF$127,MATCH($E104,CONST_LIST_Goods,0),MATCH(AK$8,Parameters_Constants!$K$109:$AF$109,0))=FALSE)</f>
        <v>0</v>
      </c>
      <c r="AL206" s="280"/>
      <c r="AM206" s="280"/>
      <c r="AN206" s="280"/>
      <c r="AO206" s="280"/>
      <c r="AP206" s="280"/>
      <c r="AQ206" s="280"/>
      <c r="AR206" s="280"/>
      <c r="AS206" s="280"/>
      <c r="AT206" s="280"/>
      <c r="AU206" s="280"/>
      <c r="AV206" s="280"/>
      <c r="AW206" s="280"/>
    </row>
    <row r="207" spans="1:49" s="275" customFormat="1" hidden="1" x14ac:dyDescent="0.35">
      <c r="A207" s="275" t="s">
        <v>3</v>
      </c>
      <c r="C207" s="275">
        <v>96</v>
      </c>
      <c r="F207" s="279" t="b">
        <v>0</v>
      </c>
      <c r="H207" s="279" t="b">
        <v>0</v>
      </c>
      <c r="P207" s="279" t="b">
        <f>IF(OR($D105="",$D105=CONST_NA),FALSE,INDEX(Parameters_Constants!$K$110:$AF$127,MATCH($E105,CONST_LIST_Goods,0),MATCH(P$8,Parameters_Constants!$K$109:$AF$109,0))=FALSE)</f>
        <v>0</v>
      </c>
      <c r="Q207" s="279" t="b">
        <f>IF(OR($D105="",$D105=CONST_NA),FALSE,INDEX(Parameters_Constants!$K$110:$AF$127,MATCH($E105,CONST_LIST_Goods,0),MATCH(Q$8,Parameters_Constants!$K$109:$AF$109,0))=FALSE)</f>
        <v>0</v>
      </c>
      <c r="R207" s="279" t="b">
        <f>IF(OR($D105="",$D105=CONST_NA),FALSE,INDEX(Parameters_Constants!$K$110:$AF$127,MATCH($E105,CONST_LIST_Goods,0),MATCH(R$8,Parameters_Constants!$K$109:$AF$109,0))=FALSE)</f>
        <v>0</v>
      </c>
      <c r="S207" s="279" t="b">
        <f>IF(OR($D105="",$D105=CONST_NA),FALSE,INDEX(Parameters_Constants!$K$110:$AF$127,MATCH($E105,CONST_LIST_Goods,0),MATCH(S$8,Parameters_Constants!$K$109:$AF$109,0))=FALSE)</f>
        <v>0</v>
      </c>
      <c r="T207" s="279" t="b">
        <f>IF(OR($D105="",$D105=CONST_NA),FALSE,INDEX(Parameters_Constants!$K$110:$AF$127,MATCH($E105,CONST_LIST_Goods,0),MATCH(T$8,Parameters_Constants!$K$109:$AF$109,0))=FALSE)</f>
        <v>0</v>
      </c>
      <c r="U207" s="279" t="b">
        <f>IF(OR($D105="",$D105=CONST_NA),FALSE,INDEX(Parameters_Constants!$K$110:$AF$127,MATCH($E105,CONST_LIST_Goods,0),MATCH(U$8,Parameters_Constants!$K$109:$AF$109,0))=FALSE)</f>
        <v>0</v>
      </c>
      <c r="V207" s="279" t="b">
        <f>IF(OR($D105="",$D105=CONST_NA),FALSE,INDEX(Parameters_Constants!$K$110:$AF$127,MATCH($E105,CONST_LIST_Goods,0),MATCH(V$8,Parameters_Constants!$K$109:$AF$109,0))=FALSE)</f>
        <v>0</v>
      </c>
      <c r="W207" s="279" t="b">
        <f>IF(OR($D105="",$D105=CONST_NA),FALSE,INDEX(Parameters_Constants!$K$110:$AF$127,MATCH($E105,CONST_LIST_Goods,0),MATCH(W$8,Parameters_Constants!$K$109:$AF$109,0))=FALSE)</f>
        <v>0</v>
      </c>
      <c r="X207" s="279" t="b">
        <f>IF(OR($D105="",$D105=CONST_NA),FALSE,INDEX(Parameters_Constants!$K$110:$AF$127,MATCH($E105,CONST_LIST_Goods,0),MATCH(X$8,Parameters_Constants!$K$109:$AF$109,0))=FALSE)</f>
        <v>0</v>
      </c>
      <c r="Y207" s="279" t="b">
        <f>IF(OR($D105="",$D105=CONST_NA),FALSE,INDEX(Parameters_Constants!$K$110:$AF$127,MATCH($E105,CONST_LIST_Goods,0),MATCH(Y$8,Parameters_Constants!$K$109:$AF$109,0))=FALSE)</f>
        <v>0</v>
      </c>
      <c r="Z207" s="279" t="b">
        <f>IF(OR($D105="",$D105=CONST_NA),FALSE,INDEX(Parameters_Constants!$K$110:$AF$127,MATCH($E105,CONST_LIST_Goods,0),MATCH(Z$8,Parameters_Constants!$K$109:$AF$109,0))=FALSE)</f>
        <v>0</v>
      </c>
      <c r="AA207" s="279" t="b">
        <f>IF(OR($D105="",$D105=CONST_NA),FALSE,INDEX(Parameters_Constants!$K$110:$AF$127,MATCH($E105,CONST_LIST_Goods,0),MATCH(AA$8,Parameters_Constants!$K$109:$AF$109,0))=FALSE)</f>
        <v>0</v>
      </c>
      <c r="AB207" s="279" t="b">
        <f>IF(OR($D105="",$D105=CONST_NA),FALSE,INDEX(Parameters_Constants!$K$110:$AF$127,MATCH($E105,CONST_LIST_Goods,0),MATCH(AB$8,Parameters_Constants!$K$109:$AF$109,0))=FALSE)</f>
        <v>0</v>
      </c>
      <c r="AC207" s="279" t="b">
        <f>IF(OR($D105="",$D105=CONST_NA),FALSE,INDEX(Parameters_Constants!$K$110:$AF$127,MATCH($E105,CONST_LIST_Goods,0),MATCH(AC$8,Parameters_Constants!$K$109:$AF$109,0))=FALSE)</f>
        <v>0</v>
      </c>
      <c r="AD207" s="279" t="b">
        <f>IF(OR($D105="",$D105=CONST_NA),FALSE,INDEX(Parameters_Constants!$K$110:$AF$127,MATCH($E105,CONST_LIST_Goods,0),MATCH(AD$8,Parameters_Constants!$K$109:$AF$109,0))=FALSE)</f>
        <v>0</v>
      </c>
      <c r="AE207" s="279" t="b">
        <f>IF(OR($D105="",$D105=CONST_NA),FALSE,INDEX(Parameters_Constants!$K$110:$AF$127,MATCH($E105,CONST_LIST_Goods,0),MATCH(AE$8,Parameters_Constants!$K$109:$AF$109,0))=FALSE)</f>
        <v>0</v>
      </c>
      <c r="AF207" s="279" t="b">
        <f>IF(OR($D105="",$D105=CONST_NA),FALSE,INDEX(Parameters_Constants!$K$110:$AF$127,MATCH($E105,CONST_LIST_Goods,0),MATCH(AF$8,Parameters_Constants!$K$109:$AF$109,0))=FALSE)</f>
        <v>0</v>
      </c>
      <c r="AG207" s="279" t="b">
        <f>IF(OR($D105="",$D105=CONST_NA),FALSE,INDEX(Parameters_Constants!$K$110:$AF$127,MATCH($E105,CONST_LIST_Goods,0),MATCH(AG$8,Parameters_Constants!$K$109:$AF$109,0))=FALSE)</f>
        <v>0</v>
      </c>
      <c r="AH207" s="279" t="b">
        <f>IF(OR($D105="",$D105=CONST_NA),FALSE,INDEX(Parameters_Constants!$K$110:$AF$127,MATCH($E105,CONST_LIST_Goods,0),MATCH(AH$8,Parameters_Constants!$K$109:$AF$109,0))=FALSE)</f>
        <v>0</v>
      </c>
      <c r="AI207" s="279" t="b">
        <f>IF(OR($D105="",$D105=CONST_NA),FALSE,INDEX(Parameters_Constants!$K$110:$AF$127,MATCH($E105,CONST_LIST_Goods,0),MATCH(AI$8,Parameters_Constants!$K$109:$AF$109,0))=FALSE)</f>
        <v>0</v>
      </c>
      <c r="AJ207" s="279" t="b">
        <f>IF(OR($D105="",$D105=CONST_NA),FALSE,INDEX(Parameters_Constants!$K$110:$AF$127,MATCH($E105,CONST_LIST_Goods,0),MATCH(AJ$8,Parameters_Constants!$K$109:$AF$109,0))=FALSE)</f>
        <v>0</v>
      </c>
      <c r="AK207" s="279" t="b">
        <f>IF(OR($D105="",$D105=CONST_NA),FALSE,INDEX(Parameters_Constants!$K$110:$AF$127,MATCH($E105,CONST_LIST_Goods,0),MATCH(AK$8,Parameters_Constants!$K$109:$AF$109,0))=FALSE)</f>
        <v>0</v>
      </c>
      <c r="AL207" s="280"/>
      <c r="AM207" s="280"/>
      <c r="AN207" s="280"/>
      <c r="AO207" s="280"/>
      <c r="AP207" s="280"/>
      <c r="AQ207" s="280"/>
      <c r="AR207" s="280"/>
      <c r="AS207" s="280"/>
      <c r="AT207" s="280"/>
      <c r="AU207" s="280"/>
      <c r="AV207" s="280"/>
      <c r="AW207" s="280"/>
    </row>
    <row r="208" spans="1:49" s="275" customFormat="1" hidden="1" x14ac:dyDescent="0.35">
      <c r="A208" s="275" t="s">
        <v>3</v>
      </c>
      <c r="C208" s="275">
        <v>97</v>
      </c>
      <c r="F208" s="279" t="b">
        <v>0</v>
      </c>
      <c r="H208" s="279" t="b">
        <v>0</v>
      </c>
      <c r="P208" s="279" t="b">
        <f>IF(OR($D106="",$D106=CONST_NA),FALSE,INDEX(Parameters_Constants!$K$110:$AF$127,MATCH($E106,CONST_LIST_Goods,0),MATCH(P$8,Parameters_Constants!$K$109:$AF$109,0))=FALSE)</f>
        <v>0</v>
      </c>
      <c r="Q208" s="279" t="b">
        <f>IF(OR($D106="",$D106=CONST_NA),FALSE,INDEX(Parameters_Constants!$K$110:$AF$127,MATCH($E106,CONST_LIST_Goods,0),MATCH(Q$8,Parameters_Constants!$K$109:$AF$109,0))=FALSE)</f>
        <v>0</v>
      </c>
      <c r="R208" s="279" t="b">
        <f>IF(OR($D106="",$D106=CONST_NA),FALSE,INDEX(Parameters_Constants!$K$110:$AF$127,MATCH($E106,CONST_LIST_Goods,0),MATCH(R$8,Parameters_Constants!$K$109:$AF$109,0))=FALSE)</f>
        <v>0</v>
      </c>
      <c r="S208" s="279" t="b">
        <f>IF(OR($D106="",$D106=CONST_NA),FALSE,INDEX(Parameters_Constants!$K$110:$AF$127,MATCH($E106,CONST_LIST_Goods,0),MATCH(S$8,Parameters_Constants!$K$109:$AF$109,0))=FALSE)</f>
        <v>0</v>
      </c>
      <c r="T208" s="279" t="b">
        <f>IF(OR($D106="",$D106=CONST_NA),FALSE,INDEX(Parameters_Constants!$K$110:$AF$127,MATCH($E106,CONST_LIST_Goods,0),MATCH(T$8,Parameters_Constants!$K$109:$AF$109,0))=FALSE)</f>
        <v>0</v>
      </c>
      <c r="U208" s="279" t="b">
        <f>IF(OR($D106="",$D106=CONST_NA),FALSE,INDEX(Parameters_Constants!$K$110:$AF$127,MATCH($E106,CONST_LIST_Goods,0),MATCH(U$8,Parameters_Constants!$K$109:$AF$109,0))=FALSE)</f>
        <v>0</v>
      </c>
      <c r="V208" s="279" t="b">
        <f>IF(OR($D106="",$D106=CONST_NA),FALSE,INDEX(Parameters_Constants!$K$110:$AF$127,MATCH($E106,CONST_LIST_Goods,0),MATCH(V$8,Parameters_Constants!$K$109:$AF$109,0))=FALSE)</f>
        <v>0</v>
      </c>
      <c r="W208" s="279" t="b">
        <f>IF(OR($D106="",$D106=CONST_NA),FALSE,INDEX(Parameters_Constants!$K$110:$AF$127,MATCH($E106,CONST_LIST_Goods,0),MATCH(W$8,Parameters_Constants!$K$109:$AF$109,0))=FALSE)</f>
        <v>0</v>
      </c>
      <c r="X208" s="279" t="b">
        <f>IF(OR($D106="",$D106=CONST_NA),FALSE,INDEX(Parameters_Constants!$K$110:$AF$127,MATCH($E106,CONST_LIST_Goods,0),MATCH(X$8,Parameters_Constants!$K$109:$AF$109,0))=FALSE)</f>
        <v>0</v>
      </c>
      <c r="Y208" s="279" t="b">
        <f>IF(OR($D106="",$D106=CONST_NA),FALSE,INDEX(Parameters_Constants!$K$110:$AF$127,MATCH($E106,CONST_LIST_Goods,0),MATCH(Y$8,Parameters_Constants!$K$109:$AF$109,0))=FALSE)</f>
        <v>0</v>
      </c>
      <c r="Z208" s="279" t="b">
        <f>IF(OR($D106="",$D106=CONST_NA),FALSE,INDEX(Parameters_Constants!$K$110:$AF$127,MATCH($E106,CONST_LIST_Goods,0),MATCH(Z$8,Parameters_Constants!$K$109:$AF$109,0))=FALSE)</f>
        <v>0</v>
      </c>
      <c r="AA208" s="279" t="b">
        <f>IF(OR($D106="",$D106=CONST_NA),FALSE,INDEX(Parameters_Constants!$K$110:$AF$127,MATCH($E106,CONST_LIST_Goods,0),MATCH(AA$8,Parameters_Constants!$K$109:$AF$109,0))=FALSE)</f>
        <v>0</v>
      </c>
      <c r="AB208" s="279" t="b">
        <f>IF(OR($D106="",$D106=CONST_NA),FALSE,INDEX(Parameters_Constants!$K$110:$AF$127,MATCH($E106,CONST_LIST_Goods,0),MATCH(AB$8,Parameters_Constants!$K$109:$AF$109,0))=FALSE)</f>
        <v>0</v>
      </c>
      <c r="AC208" s="279" t="b">
        <f>IF(OR($D106="",$D106=CONST_NA),FALSE,INDEX(Parameters_Constants!$K$110:$AF$127,MATCH($E106,CONST_LIST_Goods,0),MATCH(AC$8,Parameters_Constants!$K$109:$AF$109,0))=FALSE)</f>
        <v>0</v>
      </c>
      <c r="AD208" s="279" t="b">
        <f>IF(OR($D106="",$D106=CONST_NA),FALSE,INDEX(Parameters_Constants!$K$110:$AF$127,MATCH($E106,CONST_LIST_Goods,0),MATCH(AD$8,Parameters_Constants!$K$109:$AF$109,0))=FALSE)</f>
        <v>0</v>
      </c>
      <c r="AE208" s="279" t="b">
        <f>IF(OR($D106="",$D106=CONST_NA),FALSE,INDEX(Parameters_Constants!$K$110:$AF$127,MATCH($E106,CONST_LIST_Goods,0),MATCH(AE$8,Parameters_Constants!$K$109:$AF$109,0))=FALSE)</f>
        <v>0</v>
      </c>
      <c r="AF208" s="279" t="b">
        <f>IF(OR($D106="",$D106=CONST_NA),FALSE,INDEX(Parameters_Constants!$K$110:$AF$127,MATCH($E106,CONST_LIST_Goods,0),MATCH(AF$8,Parameters_Constants!$K$109:$AF$109,0))=FALSE)</f>
        <v>0</v>
      </c>
      <c r="AG208" s="279" t="b">
        <f>IF(OR($D106="",$D106=CONST_NA),FALSE,INDEX(Parameters_Constants!$K$110:$AF$127,MATCH($E106,CONST_LIST_Goods,0),MATCH(AG$8,Parameters_Constants!$K$109:$AF$109,0))=FALSE)</f>
        <v>0</v>
      </c>
      <c r="AH208" s="279" t="b">
        <f>IF(OR($D106="",$D106=CONST_NA),FALSE,INDEX(Parameters_Constants!$K$110:$AF$127,MATCH($E106,CONST_LIST_Goods,0),MATCH(AH$8,Parameters_Constants!$K$109:$AF$109,0))=FALSE)</f>
        <v>0</v>
      </c>
      <c r="AI208" s="279" t="b">
        <f>IF(OR($D106="",$D106=CONST_NA),FALSE,INDEX(Parameters_Constants!$K$110:$AF$127,MATCH($E106,CONST_LIST_Goods,0),MATCH(AI$8,Parameters_Constants!$K$109:$AF$109,0))=FALSE)</f>
        <v>0</v>
      </c>
      <c r="AJ208" s="279" t="b">
        <f>IF(OR($D106="",$D106=CONST_NA),FALSE,INDEX(Parameters_Constants!$K$110:$AF$127,MATCH($E106,CONST_LIST_Goods,0),MATCH(AJ$8,Parameters_Constants!$K$109:$AF$109,0))=FALSE)</f>
        <v>0</v>
      </c>
      <c r="AK208" s="279" t="b">
        <f>IF(OR($D106="",$D106=CONST_NA),FALSE,INDEX(Parameters_Constants!$K$110:$AF$127,MATCH($E106,CONST_LIST_Goods,0),MATCH(AK$8,Parameters_Constants!$K$109:$AF$109,0))=FALSE)</f>
        <v>0</v>
      </c>
      <c r="AL208" s="280"/>
      <c r="AM208" s="280"/>
      <c r="AN208" s="280"/>
      <c r="AO208" s="280"/>
      <c r="AP208" s="280"/>
      <c r="AQ208" s="280"/>
      <c r="AR208" s="280"/>
      <c r="AS208" s="280"/>
      <c r="AT208" s="280"/>
      <c r="AU208" s="280"/>
      <c r="AV208" s="280"/>
      <c r="AW208" s="280"/>
    </row>
    <row r="209" spans="1:53" s="275" customFormat="1" hidden="1" x14ac:dyDescent="0.35">
      <c r="A209" s="275" t="s">
        <v>3</v>
      </c>
      <c r="C209" s="275">
        <v>98</v>
      </c>
      <c r="F209" s="279" t="b">
        <v>0</v>
      </c>
      <c r="H209" s="279" t="b">
        <v>0</v>
      </c>
      <c r="P209" s="279" t="b">
        <f>IF(OR($D107="",$D107=CONST_NA),FALSE,INDEX(Parameters_Constants!$K$110:$AF$127,MATCH($E107,CONST_LIST_Goods,0),MATCH(P$8,Parameters_Constants!$K$109:$AF$109,0))=FALSE)</f>
        <v>0</v>
      </c>
      <c r="Q209" s="279" t="b">
        <f>IF(OR($D107="",$D107=CONST_NA),FALSE,INDEX(Parameters_Constants!$K$110:$AF$127,MATCH($E107,CONST_LIST_Goods,0),MATCH(Q$8,Parameters_Constants!$K$109:$AF$109,0))=FALSE)</f>
        <v>0</v>
      </c>
      <c r="R209" s="279" t="b">
        <f>IF(OR($D107="",$D107=CONST_NA),FALSE,INDEX(Parameters_Constants!$K$110:$AF$127,MATCH($E107,CONST_LIST_Goods,0),MATCH(R$8,Parameters_Constants!$K$109:$AF$109,0))=FALSE)</f>
        <v>0</v>
      </c>
      <c r="S209" s="279" t="b">
        <f>IF(OR($D107="",$D107=CONST_NA),FALSE,INDEX(Parameters_Constants!$K$110:$AF$127,MATCH($E107,CONST_LIST_Goods,0),MATCH(S$8,Parameters_Constants!$K$109:$AF$109,0))=FALSE)</f>
        <v>0</v>
      </c>
      <c r="T209" s="279" t="b">
        <f>IF(OR($D107="",$D107=CONST_NA),FALSE,INDEX(Parameters_Constants!$K$110:$AF$127,MATCH($E107,CONST_LIST_Goods,0),MATCH(T$8,Parameters_Constants!$K$109:$AF$109,0))=FALSE)</f>
        <v>0</v>
      </c>
      <c r="U209" s="279" t="b">
        <f>IF(OR($D107="",$D107=CONST_NA),FALSE,INDEX(Parameters_Constants!$K$110:$AF$127,MATCH($E107,CONST_LIST_Goods,0),MATCH(U$8,Parameters_Constants!$K$109:$AF$109,0))=FALSE)</f>
        <v>0</v>
      </c>
      <c r="V209" s="279" t="b">
        <f>IF(OR($D107="",$D107=CONST_NA),FALSE,INDEX(Parameters_Constants!$K$110:$AF$127,MATCH($E107,CONST_LIST_Goods,0),MATCH(V$8,Parameters_Constants!$K$109:$AF$109,0))=FALSE)</f>
        <v>0</v>
      </c>
      <c r="W209" s="279" t="b">
        <f>IF(OR($D107="",$D107=CONST_NA),FALSE,INDEX(Parameters_Constants!$K$110:$AF$127,MATCH($E107,CONST_LIST_Goods,0),MATCH(W$8,Parameters_Constants!$K$109:$AF$109,0))=FALSE)</f>
        <v>0</v>
      </c>
      <c r="X209" s="279" t="b">
        <f>IF(OR($D107="",$D107=CONST_NA),FALSE,INDEX(Parameters_Constants!$K$110:$AF$127,MATCH($E107,CONST_LIST_Goods,0),MATCH(X$8,Parameters_Constants!$K$109:$AF$109,0))=FALSE)</f>
        <v>0</v>
      </c>
      <c r="Y209" s="279" t="b">
        <f>IF(OR($D107="",$D107=CONST_NA),FALSE,INDEX(Parameters_Constants!$K$110:$AF$127,MATCH($E107,CONST_LIST_Goods,0),MATCH(Y$8,Parameters_Constants!$K$109:$AF$109,0))=FALSE)</f>
        <v>0</v>
      </c>
      <c r="Z209" s="279" t="b">
        <f>IF(OR($D107="",$D107=CONST_NA),FALSE,INDEX(Parameters_Constants!$K$110:$AF$127,MATCH($E107,CONST_LIST_Goods,0),MATCH(Z$8,Parameters_Constants!$K$109:$AF$109,0))=FALSE)</f>
        <v>0</v>
      </c>
      <c r="AA209" s="279" t="b">
        <f>IF(OR($D107="",$D107=CONST_NA),FALSE,INDEX(Parameters_Constants!$K$110:$AF$127,MATCH($E107,CONST_LIST_Goods,0),MATCH(AA$8,Parameters_Constants!$K$109:$AF$109,0))=FALSE)</f>
        <v>0</v>
      </c>
      <c r="AB209" s="279" t="b">
        <f>IF(OR($D107="",$D107=CONST_NA),FALSE,INDEX(Parameters_Constants!$K$110:$AF$127,MATCH($E107,CONST_LIST_Goods,0),MATCH(AB$8,Parameters_Constants!$K$109:$AF$109,0))=FALSE)</f>
        <v>0</v>
      </c>
      <c r="AC209" s="279" t="b">
        <f>IF(OR($D107="",$D107=CONST_NA),FALSE,INDEX(Parameters_Constants!$K$110:$AF$127,MATCH($E107,CONST_LIST_Goods,0),MATCH(AC$8,Parameters_Constants!$K$109:$AF$109,0))=FALSE)</f>
        <v>0</v>
      </c>
      <c r="AD209" s="279" t="b">
        <f>IF(OR($D107="",$D107=CONST_NA),FALSE,INDEX(Parameters_Constants!$K$110:$AF$127,MATCH($E107,CONST_LIST_Goods,0),MATCH(AD$8,Parameters_Constants!$K$109:$AF$109,0))=FALSE)</f>
        <v>0</v>
      </c>
      <c r="AE209" s="279" t="b">
        <f>IF(OR($D107="",$D107=CONST_NA),FALSE,INDEX(Parameters_Constants!$K$110:$AF$127,MATCH($E107,CONST_LIST_Goods,0),MATCH(AE$8,Parameters_Constants!$K$109:$AF$109,0))=FALSE)</f>
        <v>0</v>
      </c>
      <c r="AF209" s="279" t="b">
        <f>IF(OR($D107="",$D107=CONST_NA),FALSE,INDEX(Parameters_Constants!$K$110:$AF$127,MATCH($E107,CONST_LIST_Goods,0),MATCH(AF$8,Parameters_Constants!$K$109:$AF$109,0))=FALSE)</f>
        <v>0</v>
      </c>
      <c r="AG209" s="279" t="b">
        <f>IF(OR($D107="",$D107=CONST_NA),FALSE,INDEX(Parameters_Constants!$K$110:$AF$127,MATCH($E107,CONST_LIST_Goods,0),MATCH(AG$8,Parameters_Constants!$K$109:$AF$109,0))=FALSE)</f>
        <v>0</v>
      </c>
      <c r="AH209" s="279" t="b">
        <f>IF(OR($D107="",$D107=CONST_NA),FALSE,INDEX(Parameters_Constants!$K$110:$AF$127,MATCH($E107,CONST_LIST_Goods,0),MATCH(AH$8,Parameters_Constants!$K$109:$AF$109,0))=FALSE)</f>
        <v>0</v>
      </c>
      <c r="AI209" s="279" t="b">
        <f>IF(OR($D107="",$D107=CONST_NA),FALSE,INDEX(Parameters_Constants!$K$110:$AF$127,MATCH($E107,CONST_LIST_Goods,0),MATCH(AI$8,Parameters_Constants!$K$109:$AF$109,0))=FALSE)</f>
        <v>0</v>
      </c>
      <c r="AJ209" s="279" t="b">
        <f>IF(OR($D107="",$D107=CONST_NA),FALSE,INDEX(Parameters_Constants!$K$110:$AF$127,MATCH($E107,CONST_LIST_Goods,0),MATCH(AJ$8,Parameters_Constants!$K$109:$AF$109,0))=FALSE)</f>
        <v>0</v>
      </c>
      <c r="AK209" s="279" t="b">
        <f>IF(OR($D107="",$D107=CONST_NA),FALSE,INDEX(Parameters_Constants!$K$110:$AF$127,MATCH($E107,CONST_LIST_Goods,0),MATCH(AK$8,Parameters_Constants!$K$109:$AF$109,0))=FALSE)</f>
        <v>0</v>
      </c>
    </row>
    <row r="210" spans="1:53" s="275" customFormat="1" hidden="1" x14ac:dyDescent="0.35">
      <c r="A210" s="275" t="s">
        <v>3</v>
      </c>
      <c r="C210" s="275">
        <v>99</v>
      </c>
      <c r="F210" s="279" t="b">
        <v>0</v>
      </c>
      <c r="H210" s="279" t="b">
        <v>0</v>
      </c>
      <c r="P210" s="279" t="b">
        <f>IF(OR($D108="",$D108=CONST_NA),FALSE,INDEX(Parameters_Constants!$K$110:$AF$127,MATCH($E108,CONST_LIST_Goods,0),MATCH(P$8,Parameters_Constants!$K$109:$AF$109,0))=FALSE)</f>
        <v>0</v>
      </c>
      <c r="Q210" s="279" t="b">
        <f>IF(OR($D108="",$D108=CONST_NA),FALSE,INDEX(Parameters_Constants!$K$110:$AF$127,MATCH($E108,CONST_LIST_Goods,0),MATCH(Q$8,Parameters_Constants!$K$109:$AF$109,0))=FALSE)</f>
        <v>0</v>
      </c>
      <c r="R210" s="279" t="b">
        <f>IF(OR($D108="",$D108=CONST_NA),FALSE,INDEX(Parameters_Constants!$K$110:$AF$127,MATCH($E108,CONST_LIST_Goods,0),MATCH(R$8,Parameters_Constants!$K$109:$AF$109,0))=FALSE)</f>
        <v>0</v>
      </c>
      <c r="S210" s="279" t="b">
        <f>IF(OR($D108="",$D108=CONST_NA),FALSE,INDEX(Parameters_Constants!$K$110:$AF$127,MATCH($E108,CONST_LIST_Goods,0),MATCH(S$8,Parameters_Constants!$K$109:$AF$109,0))=FALSE)</f>
        <v>0</v>
      </c>
      <c r="T210" s="279" t="b">
        <f>IF(OR($D108="",$D108=CONST_NA),FALSE,INDEX(Parameters_Constants!$K$110:$AF$127,MATCH($E108,CONST_LIST_Goods,0),MATCH(T$8,Parameters_Constants!$K$109:$AF$109,0))=FALSE)</f>
        <v>0</v>
      </c>
      <c r="U210" s="279" t="b">
        <f>IF(OR($D108="",$D108=CONST_NA),FALSE,INDEX(Parameters_Constants!$K$110:$AF$127,MATCH($E108,CONST_LIST_Goods,0),MATCH(U$8,Parameters_Constants!$K$109:$AF$109,0))=FALSE)</f>
        <v>0</v>
      </c>
      <c r="V210" s="279" t="b">
        <f>IF(OR($D108="",$D108=CONST_NA),FALSE,INDEX(Parameters_Constants!$K$110:$AF$127,MATCH($E108,CONST_LIST_Goods,0),MATCH(V$8,Parameters_Constants!$K$109:$AF$109,0))=FALSE)</f>
        <v>0</v>
      </c>
      <c r="W210" s="279" t="b">
        <f>IF(OR($D108="",$D108=CONST_NA),FALSE,INDEX(Parameters_Constants!$K$110:$AF$127,MATCH($E108,CONST_LIST_Goods,0),MATCH(W$8,Parameters_Constants!$K$109:$AF$109,0))=FALSE)</f>
        <v>0</v>
      </c>
      <c r="X210" s="279" t="b">
        <f>IF(OR($D108="",$D108=CONST_NA),FALSE,INDEX(Parameters_Constants!$K$110:$AF$127,MATCH($E108,CONST_LIST_Goods,0),MATCH(X$8,Parameters_Constants!$K$109:$AF$109,0))=FALSE)</f>
        <v>0</v>
      </c>
      <c r="Y210" s="279" t="b">
        <f>IF(OR($D108="",$D108=CONST_NA),FALSE,INDEX(Parameters_Constants!$K$110:$AF$127,MATCH($E108,CONST_LIST_Goods,0),MATCH(Y$8,Parameters_Constants!$K$109:$AF$109,0))=FALSE)</f>
        <v>0</v>
      </c>
      <c r="Z210" s="279" t="b">
        <f>IF(OR($D108="",$D108=CONST_NA),FALSE,INDEX(Parameters_Constants!$K$110:$AF$127,MATCH($E108,CONST_LIST_Goods,0),MATCH(Z$8,Parameters_Constants!$K$109:$AF$109,0))=FALSE)</f>
        <v>0</v>
      </c>
      <c r="AA210" s="279" t="b">
        <f>IF(OR($D108="",$D108=CONST_NA),FALSE,INDEX(Parameters_Constants!$K$110:$AF$127,MATCH($E108,CONST_LIST_Goods,0),MATCH(AA$8,Parameters_Constants!$K$109:$AF$109,0))=FALSE)</f>
        <v>0</v>
      </c>
      <c r="AB210" s="279" t="b">
        <f>IF(OR($D108="",$D108=CONST_NA),FALSE,INDEX(Parameters_Constants!$K$110:$AF$127,MATCH($E108,CONST_LIST_Goods,0),MATCH(AB$8,Parameters_Constants!$K$109:$AF$109,0))=FALSE)</f>
        <v>0</v>
      </c>
      <c r="AC210" s="279" t="b">
        <f>IF(OR($D108="",$D108=CONST_NA),FALSE,INDEX(Parameters_Constants!$K$110:$AF$127,MATCH($E108,CONST_LIST_Goods,0),MATCH(AC$8,Parameters_Constants!$K$109:$AF$109,0))=FALSE)</f>
        <v>0</v>
      </c>
      <c r="AD210" s="279" t="b">
        <f>IF(OR($D108="",$D108=CONST_NA),FALSE,INDEX(Parameters_Constants!$K$110:$AF$127,MATCH($E108,CONST_LIST_Goods,0),MATCH(AD$8,Parameters_Constants!$K$109:$AF$109,0))=FALSE)</f>
        <v>0</v>
      </c>
      <c r="AE210" s="279" t="b">
        <f>IF(OR($D108="",$D108=CONST_NA),FALSE,INDEX(Parameters_Constants!$K$110:$AF$127,MATCH($E108,CONST_LIST_Goods,0),MATCH(AE$8,Parameters_Constants!$K$109:$AF$109,0))=FALSE)</f>
        <v>0</v>
      </c>
      <c r="AF210" s="279" t="b">
        <f>IF(OR($D108="",$D108=CONST_NA),FALSE,INDEX(Parameters_Constants!$K$110:$AF$127,MATCH($E108,CONST_LIST_Goods,0),MATCH(AF$8,Parameters_Constants!$K$109:$AF$109,0))=FALSE)</f>
        <v>0</v>
      </c>
      <c r="AG210" s="279" t="b">
        <f>IF(OR($D108="",$D108=CONST_NA),FALSE,INDEX(Parameters_Constants!$K$110:$AF$127,MATCH($E108,CONST_LIST_Goods,0),MATCH(AG$8,Parameters_Constants!$K$109:$AF$109,0))=FALSE)</f>
        <v>0</v>
      </c>
      <c r="AH210" s="279" t="b">
        <f>IF(OR($D108="",$D108=CONST_NA),FALSE,INDEX(Parameters_Constants!$K$110:$AF$127,MATCH($E108,CONST_LIST_Goods,0),MATCH(AH$8,Parameters_Constants!$K$109:$AF$109,0))=FALSE)</f>
        <v>0</v>
      </c>
      <c r="AI210" s="279" t="b">
        <f>IF(OR($D108="",$D108=CONST_NA),FALSE,INDEX(Parameters_Constants!$K$110:$AF$127,MATCH($E108,CONST_LIST_Goods,0),MATCH(AI$8,Parameters_Constants!$K$109:$AF$109,0))=FALSE)</f>
        <v>0</v>
      </c>
      <c r="AJ210" s="279" t="b">
        <f>IF(OR($D108="",$D108=CONST_NA),FALSE,INDEX(Parameters_Constants!$K$110:$AF$127,MATCH($E108,CONST_LIST_Goods,0),MATCH(AJ$8,Parameters_Constants!$K$109:$AF$109,0))=FALSE)</f>
        <v>0</v>
      </c>
      <c r="AK210" s="279" t="b">
        <f>IF(OR($D108="",$D108=CONST_NA),FALSE,INDEX(Parameters_Constants!$K$110:$AF$127,MATCH($E108,CONST_LIST_Goods,0),MATCH(AK$8,Parameters_Constants!$K$109:$AF$109,0))=FALSE)</f>
        <v>0</v>
      </c>
    </row>
    <row r="211" spans="1:53" s="275" customFormat="1" hidden="1" x14ac:dyDescent="0.35">
      <c r="A211" s="275" t="s">
        <v>3</v>
      </c>
      <c r="C211" s="275">
        <v>100</v>
      </c>
      <c r="F211" s="279" t="b">
        <v>0</v>
      </c>
      <c r="H211" s="279" t="b">
        <v>0</v>
      </c>
      <c r="P211" s="279" t="b">
        <f>IF(OR($D109="",$D109=CONST_NA),FALSE,INDEX(Parameters_Constants!$K$110:$AF$127,MATCH($E109,CONST_LIST_Goods,0),MATCH(P$8,Parameters_Constants!$K$109:$AF$109,0))=FALSE)</f>
        <v>0</v>
      </c>
      <c r="Q211" s="279" t="b">
        <f>IF(OR($D109="",$D109=CONST_NA),FALSE,INDEX(Parameters_Constants!$K$110:$AF$127,MATCH($E109,CONST_LIST_Goods,0),MATCH(Q$8,Parameters_Constants!$K$109:$AF$109,0))=FALSE)</f>
        <v>0</v>
      </c>
      <c r="R211" s="279" t="b">
        <f>IF(OR($D109="",$D109=CONST_NA),FALSE,INDEX(Parameters_Constants!$K$110:$AF$127,MATCH($E109,CONST_LIST_Goods,0),MATCH(R$8,Parameters_Constants!$K$109:$AF$109,0))=FALSE)</f>
        <v>0</v>
      </c>
      <c r="S211" s="279" t="b">
        <f>IF(OR($D109="",$D109=CONST_NA),FALSE,INDEX(Parameters_Constants!$K$110:$AF$127,MATCH($E109,CONST_LIST_Goods,0),MATCH(S$8,Parameters_Constants!$K$109:$AF$109,0))=FALSE)</f>
        <v>0</v>
      </c>
      <c r="T211" s="279" t="b">
        <f>IF(OR($D109="",$D109=CONST_NA),FALSE,INDEX(Parameters_Constants!$K$110:$AF$127,MATCH($E109,CONST_LIST_Goods,0),MATCH(T$8,Parameters_Constants!$K$109:$AF$109,0))=FALSE)</f>
        <v>0</v>
      </c>
      <c r="U211" s="279" t="b">
        <f>IF(OR($D109="",$D109=CONST_NA),FALSE,INDEX(Parameters_Constants!$K$110:$AF$127,MATCH($E109,CONST_LIST_Goods,0),MATCH(U$8,Parameters_Constants!$K$109:$AF$109,0))=FALSE)</f>
        <v>0</v>
      </c>
      <c r="V211" s="279" t="b">
        <f>IF(OR($D109="",$D109=CONST_NA),FALSE,INDEX(Parameters_Constants!$K$110:$AF$127,MATCH($E109,CONST_LIST_Goods,0),MATCH(V$8,Parameters_Constants!$K$109:$AF$109,0))=FALSE)</f>
        <v>0</v>
      </c>
      <c r="W211" s="279" t="b">
        <f>IF(OR($D109="",$D109=CONST_NA),FALSE,INDEX(Parameters_Constants!$K$110:$AF$127,MATCH($E109,CONST_LIST_Goods,0),MATCH(W$8,Parameters_Constants!$K$109:$AF$109,0))=FALSE)</f>
        <v>0</v>
      </c>
      <c r="X211" s="279" t="b">
        <f>IF(OR($D109="",$D109=CONST_NA),FALSE,INDEX(Parameters_Constants!$K$110:$AF$127,MATCH($E109,CONST_LIST_Goods,0),MATCH(X$8,Parameters_Constants!$K$109:$AF$109,0))=FALSE)</f>
        <v>0</v>
      </c>
      <c r="Y211" s="279" t="b">
        <f>IF(OR($D109="",$D109=CONST_NA),FALSE,INDEX(Parameters_Constants!$K$110:$AF$127,MATCH($E109,CONST_LIST_Goods,0),MATCH(Y$8,Parameters_Constants!$K$109:$AF$109,0))=FALSE)</f>
        <v>0</v>
      </c>
      <c r="Z211" s="279" t="b">
        <f>IF(OR($D109="",$D109=CONST_NA),FALSE,INDEX(Parameters_Constants!$K$110:$AF$127,MATCH($E109,CONST_LIST_Goods,0),MATCH(Z$8,Parameters_Constants!$K$109:$AF$109,0))=FALSE)</f>
        <v>0</v>
      </c>
      <c r="AA211" s="279" t="b">
        <f>IF(OR($D109="",$D109=CONST_NA),FALSE,INDEX(Parameters_Constants!$K$110:$AF$127,MATCH($E109,CONST_LIST_Goods,0),MATCH(AA$8,Parameters_Constants!$K$109:$AF$109,0))=FALSE)</f>
        <v>0</v>
      </c>
      <c r="AB211" s="279" t="b">
        <f>IF(OR($D109="",$D109=CONST_NA),FALSE,INDEX(Parameters_Constants!$K$110:$AF$127,MATCH($E109,CONST_LIST_Goods,0),MATCH(AB$8,Parameters_Constants!$K$109:$AF$109,0))=FALSE)</f>
        <v>0</v>
      </c>
      <c r="AC211" s="279" t="b">
        <f>IF(OR($D109="",$D109=CONST_NA),FALSE,INDEX(Parameters_Constants!$K$110:$AF$127,MATCH($E109,CONST_LIST_Goods,0),MATCH(AC$8,Parameters_Constants!$K$109:$AF$109,0))=FALSE)</f>
        <v>0</v>
      </c>
      <c r="AD211" s="279" t="b">
        <f>IF(OR($D109="",$D109=CONST_NA),FALSE,INDEX(Parameters_Constants!$K$110:$AF$127,MATCH($E109,CONST_LIST_Goods,0),MATCH(AD$8,Parameters_Constants!$K$109:$AF$109,0))=FALSE)</f>
        <v>0</v>
      </c>
      <c r="AE211" s="279" t="b">
        <f>IF(OR($D109="",$D109=CONST_NA),FALSE,INDEX(Parameters_Constants!$K$110:$AF$127,MATCH($E109,CONST_LIST_Goods,0),MATCH(AE$8,Parameters_Constants!$K$109:$AF$109,0))=FALSE)</f>
        <v>0</v>
      </c>
      <c r="AF211" s="279" t="b">
        <f>IF(OR($D109="",$D109=CONST_NA),FALSE,INDEX(Parameters_Constants!$K$110:$AF$127,MATCH($E109,CONST_LIST_Goods,0),MATCH(AF$8,Parameters_Constants!$K$109:$AF$109,0))=FALSE)</f>
        <v>0</v>
      </c>
      <c r="AG211" s="279" t="b">
        <f>IF(OR($D109="",$D109=CONST_NA),FALSE,INDEX(Parameters_Constants!$K$110:$AF$127,MATCH($E109,CONST_LIST_Goods,0),MATCH(AG$8,Parameters_Constants!$K$109:$AF$109,0))=FALSE)</f>
        <v>0</v>
      </c>
      <c r="AH211" s="279" t="b">
        <f>IF(OR($D109="",$D109=CONST_NA),FALSE,INDEX(Parameters_Constants!$K$110:$AF$127,MATCH($E109,CONST_LIST_Goods,0),MATCH(AH$8,Parameters_Constants!$K$109:$AF$109,0))=FALSE)</f>
        <v>0</v>
      </c>
      <c r="AI211" s="279" t="b">
        <f>IF(OR($D109="",$D109=CONST_NA),FALSE,INDEX(Parameters_Constants!$K$110:$AF$127,MATCH($E109,CONST_LIST_Goods,0),MATCH(AI$8,Parameters_Constants!$K$109:$AF$109,0))=FALSE)</f>
        <v>0</v>
      </c>
      <c r="AJ211" s="279" t="b">
        <f>IF(OR($D109="",$D109=CONST_NA),FALSE,INDEX(Parameters_Constants!$K$110:$AF$127,MATCH($E109,CONST_LIST_Goods,0),MATCH(AJ$8,Parameters_Constants!$K$109:$AF$109,0))=FALSE)</f>
        <v>0</v>
      </c>
      <c r="AK211" s="279" t="b">
        <f>IF(OR($D109="",$D109=CONST_NA),FALSE,INDEX(Parameters_Constants!$K$110:$AF$127,MATCH($E109,CONST_LIST_Goods,0),MATCH(AK$8,Parameters_Constants!$K$109:$AF$109,0))=FALSE)</f>
        <v>0</v>
      </c>
    </row>
    <row r="212" spans="1:53" s="275" customFormat="1" hidden="1" x14ac:dyDescent="0.35">
      <c r="A212" s="275" t="s">
        <v>3</v>
      </c>
    </row>
    <row r="213" spans="1:53" s="275" customFormat="1" hidden="1" x14ac:dyDescent="0.35">
      <c r="A213" s="275" t="s">
        <v>3</v>
      </c>
      <c r="C213" s="275" t="s">
        <v>4080</v>
      </c>
    </row>
    <row r="214" spans="1:53" s="275" customFormat="1" hidden="1" x14ac:dyDescent="0.35">
      <c r="A214" s="275" t="s">
        <v>3</v>
      </c>
      <c r="C214" s="275">
        <v>1</v>
      </c>
      <c r="F214" s="279" t="b">
        <f t="shared" ref="F214:L223" si="57">AND($BG10=FALSE,AND(F112&lt;&gt;"",F112=FALSE),F10="")</f>
        <v>1</v>
      </c>
      <c r="G214" s="279" t="b">
        <f t="shared" si="57"/>
        <v>0</v>
      </c>
      <c r="H214" s="279" t="b">
        <f t="shared" si="57"/>
        <v>1</v>
      </c>
      <c r="I214" s="279" t="b">
        <f t="shared" si="57"/>
        <v>0</v>
      </c>
      <c r="J214" s="279" t="b">
        <f t="shared" si="57"/>
        <v>0</v>
      </c>
      <c r="K214" s="279" t="b">
        <f t="shared" si="57"/>
        <v>0</v>
      </c>
      <c r="L214" s="279" t="b">
        <f t="shared" si="57"/>
        <v>0</v>
      </c>
      <c r="M214" s="279"/>
      <c r="N214" s="279" t="b">
        <f t="shared" ref="N214:P244" si="58">AND($BG10=FALSE,AND(N112&lt;&gt;"",N112=FALSE),N10="")</f>
        <v>0</v>
      </c>
      <c r="O214" s="279" t="b">
        <f t="shared" si="58"/>
        <v>0</v>
      </c>
      <c r="P214" s="279" t="b">
        <f t="shared" si="58"/>
        <v>1</v>
      </c>
      <c r="Q214" s="279" t="b">
        <f t="shared" ref="Q214:AF245" si="59">AND($BG10=FALSE,AND(Q112&lt;&gt;"",Q112=FALSE),Q10="")</f>
        <v>1</v>
      </c>
      <c r="AB214" s="279" t="b">
        <f t="shared" ref="AB214:AP214" si="60">AND($BG10=FALSE,AND(AB112&lt;&gt;"",AB112=FALSE),AB10="")</f>
        <v>1</v>
      </c>
      <c r="AC214" s="279" t="b">
        <f t="shared" si="60"/>
        <v>1</v>
      </c>
      <c r="AD214" s="279" t="b">
        <f t="shared" si="60"/>
        <v>1</v>
      </c>
      <c r="AE214" s="279" t="b">
        <f t="shared" si="60"/>
        <v>1</v>
      </c>
      <c r="AF214" s="279" t="b">
        <f t="shared" si="60"/>
        <v>1</v>
      </c>
      <c r="AG214" s="279" t="b">
        <f t="shared" si="60"/>
        <v>1</v>
      </c>
      <c r="AH214" s="279" t="b">
        <f t="shared" si="60"/>
        <v>1</v>
      </c>
      <c r="AI214" s="279" t="b">
        <f t="shared" si="60"/>
        <v>1</v>
      </c>
      <c r="AJ214" s="279" t="b">
        <f t="shared" si="60"/>
        <v>1</v>
      </c>
      <c r="AK214" s="279" t="b">
        <f t="shared" si="60"/>
        <v>1</v>
      </c>
      <c r="AL214" s="279" t="b">
        <f t="shared" si="60"/>
        <v>0</v>
      </c>
      <c r="AM214" s="279" t="b">
        <f t="shared" si="60"/>
        <v>0</v>
      </c>
      <c r="AN214" s="279" t="b">
        <f t="shared" si="60"/>
        <v>0</v>
      </c>
      <c r="AO214" s="279" t="b">
        <f t="shared" si="60"/>
        <v>0</v>
      </c>
      <c r="AP214" s="279" t="b">
        <f t="shared" si="60"/>
        <v>0</v>
      </c>
      <c r="AQ214" s="279"/>
      <c r="AR214" s="279" t="b">
        <f t="shared" ref="AR214:BA214" si="61">AND($BG10=FALSE,AND(AR112&lt;&gt;"",AR112=FALSE),AR10="")</f>
        <v>0</v>
      </c>
      <c r="AS214" s="279" t="b">
        <f t="shared" si="61"/>
        <v>0</v>
      </c>
      <c r="AT214" s="279" t="b">
        <f t="shared" si="61"/>
        <v>0</v>
      </c>
      <c r="AU214" s="279" t="b">
        <f t="shared" si="61"/>
        <v>0</v>
      </c>
      <c r="AV214" s="279" t="b">
        <f t="shared" si="61"/>
        <v>0</v>
      </c>
      <c r="AW214" s="279" t="b">
        <f t="shared" si="61"/>
        <v>0</v>
      </c>
      <c r="AX214" s="279" t="b">
        <f t="shared" si="61"/>
        <v>0</v>
      </c>
      <c r="AY214" s="279" t="b">
        <f t="shared" si="61"/>
        <v>0</v>
      </c>
      <c r="AZ214" s="279" t="b">
        <f t="shared" si="61"/>
        <v>0</v>
      </c>
      <c r="BA214" s="279" t="b">
        <f t="shared" si="61"/>
        <v>0</v>
      </c>
    </row>
    <row r="215" spans="1:53" s="275" customFormat="1" hidden="1" x14ac:dyDescent="0.35">
      <c r="A215" s="275" t="s">
        <v>3</v>
      </c>
      <c r="C215" s="275">
        <v>2</v>
      </c>
      <c r="F215" s="279" t="b">
        <f t="shared" si="57"/>
        <v>1</v>
      </c>
      <c r="G215" s="279" t="b">
        <f t="shared" si="57"/>
        <v>0</v>
      </c>
      <c r="H215" s="279" t="b">
        <f t="shared" si="57"/>
        <v>1</v>
      </c>
      <c r="I215" s="279" t="b">
        <f t="shared" si="57"/>
        <v>0</v>
      </c>
      <c r="J215" s="279" t="b">
        <f t="shared" si="57"/>
        <v>0</v>
      </c>
      <c r="K215" s="279" t="b">
        <f t="shared" si="57"/>
        <v>0</v>
      </c>
      <c r="L215" s="279" t="b">
        <f t="shared" si="57"/>
        <v>0</v>
      </c>
      <c r="M215" s="279"/>
      <c r="N215" s="279" t="b">
        <f t="shared" si="58"/>
        <v>0</v>
      </c>
      <c r="O215" s="279" t="b">
        <f t="shared" si="58"/>
        <v>0</v>
      </c>
      <c r="P215" s="279" t="b">
        <f t="shared" si="58"/>
        <v>1</v>
      </c>
      <c r="Q215" s="279" t="b">
        <f t="shared" si="59"/>
        <v>1</v>
      </c>
      <c r="AB215" s="279" t="b">
        <f t="shared" ref="AB215:AP215" si="62">AND($BG11=FALSE,AND(AB113&lt;&gt;"",AB113=FALSE),AB11="")</f>
        <v>1</v>
      </c>
      <c r="AC215" s="279" t="b">
        <f t="shared" si="62"/>
        <v>1</v>
      </c>
      <c r="AD215" s="279" t="b">
        <f t="shared" si="62"/>
        <v>1</v>
      </c>
      <c r="AE215" s="279" t="b">
        <f t="shared" si="62"/>
        <v>1</v>
      </c>
      <c r="AF215" s="279" t="b">
        <f t="shared" si="62"/>
        <v>1</v>
      </c>
      <c r="AG215" s="279" t="b">
        <f t="shared" si="62"/>
        <v>1</v>
      </c>
      <c r="AH215" s="279" t="b">
        <f t="shared" si="62"/>
        <v>1</v>
      </c>
      <c r="AI215" s="279" t="b">
        <f t="shared" si="62"/>
        <v>1</v>
      </c>
      <c r="AJ215" s="279" t="b">
        <f t="shared" si="62"/>
        <v>1</v>
      </c>
      <c r="AK215" s="279" t="b">
        <f t="shared" si="62"/>
        <v>1</v>
      </c>
      <c r="AL215" s="279" t="b">
        <f t="shared" si="62"/>
        <v>0</v>
      </c>
      <c r="AM215" s="279" t="b">
        <f t="shared" si="62"/>
        <v>0</v>
      </c>
      <c r="AN215" s="279" t="b">
        <f t="shared" si="62"/>
        <v>0</v>
      </c>
      <c r="AO215" s="279" t="b">
        <f t="shared" si="62"/>
        <v>0</v>
      </c>
      <c r="AP215" s="279" t="b">
        <f t="shared" si="62"/>
        <v>0</v>
      </c>
      <c r="AQ215" s="279"/>
      <c r="AR215" s="279" t="b">
        <f t="shared" ref="AR215:BA215" si="63">AND($BG11=FALSE,AND(AR113&lt;&gt;"",AR113=FALSE),AR11="")</f>
        <v>0</v>
      </c>
      <c r="AS215" s="279" t="b">
        <f t="shared" si="63"/>
        <v>0</v>
      </c>
      <c r="AT215" s="279" t="b">
        <f t="shared" si="63"/>
        <v>0</v>
      </c>
      <c r="AU215" s="279" t="b">
        <f t="shared" si="63"/>
        <v>0</v>
      </c>
      <c r="AV215" s="279" t="b">
        <f t="shared" si="63"/>
        <v>0</v>
      </c>
      <c r="AW215" s="279" t="b">
        <f t="shared" si="63"/>
        <v>0</v>
      </c>
      <c r="AX215" s="279" t="b">
        <f t="shared" si="63"/>
        <v>0</v>
      </c>
      <c r="AY215" s="279" t="b">
        <f t="shared" si="63"/>
        <v>0</v>
      </c>
      <c r="AZ215" s="279" t="b">
        <f t="shared" si="63"/>
        <v>0</v>
      </c>
      <c r="BA215" s="279" t="b">
        <f t="shared" si="63"/>
        <v>0</v>
      </c>
    </row>
    <row r="216" spans="1:53" s="275" customFormat="1" hidden="1" x14ac:dyDescent="0.35">
      <c r="A216" s="275" t="s">
        <v>3</v>
      </c>
      <c r="C216" s="275">
        <v>3</v>
      </c>
      <c r="F216" s="279" t="b">
        <f t="shared" si="57"/>
        <v>1</v>
      </c>
      <c r="G216" s="279" t="b">
        <f t="shared" si="57"/>
        <v>0</v>
      </c>
      <c r="H216" s="279" t="b">
        <f t="shared" si="57"/>
        <v>1</v>
      </c>
      <c r="I216" s="279" t="b">
        <f t="shared" si="57"/>
        <v>0</v>
      </c>
      <c r="J216" s="279" t="b">
        <f t="shared" si="57"/>
        <v>0</v>
      </c>
      <c r="K216" s="279" t="b">
        <f t="shared" si="57"/>
        <v>0</v>
      </c>
      <c r="L216" s="279" t="b">
        <f t="shared" si="57"/>
        <v>0</v>
      </c>
      <c r="M216" s="279"/>
      <c r="N216" s="279" t="b">
        <f t="shared" si="58"/>
        <v>0</v>
      </c>
      <c r="O216" s="279" t="b">
        <f t="shared" si="58"/>
        <v>0</v>
      </c>
      <c r="P216" s="279" t="b">
        <f t="shared" si="58"/>
        <v>1</v>
      </c>
      <c r="Q216" s="279" t="b">
        <f t="shared" si="59"/>
        <v>1</v>
      </c>
      <c r="AB216" s="279" t="b">
        <f t="shared" ref="AB216:AP216" si="64">AND($BG12=FALSE,AND(AB114&lt;&gt;"",AB114=FALSE),AB12="")</f>
        <v>1</v>
      </c>
      <c r="AC216" s="279" t="b">
        <f t="shared" si="64"/>
        <v>1</v>
      </c>
      <c r="AD216" s="279" t="b">
        <f t="shared" si="64"/>
        <v>1</v>
      </c>
      <c r="AE216" s="279" t="b">
        <f t="shared" si="64"/>
        <v>1</v>
      </c>
      <c r="AF216" s="279" t="b">
        <f t="shared" si="64"/>
        <v>1</v>
      </c>
      <c r="AG216" s="279" t="b">
        <f t="shared" si="64"/>
        <v>1</v>
      </c>
      <c r="AH216" s="279" t="b">
        <f t="shared" si="64"/>
        <v>1</v>
      </c>
      <c r="AI216" s="279" t="b">
        <f t="shared" si="64"/>
        <v>1</v>
      </c>
      <c r="AJ216" s="279" t="b">
        <f t="shared" si="64"/>
        <v>1</v>
      </c>
      <c r="AK216" s="279" t="b">
        <f t="shared" si="64"/>
        <v>1</v>
      </c>
      <c r="AL216" s="279" t="b">
        <f t="shared" si="64"/>
        <v>0</v>
      </c>
      <c r="AM216" s="279" t="b">
        <f t="shared" si="64"/>
        <v>0</v>
      </c>
      <c r="AN216" s="279" t="b">
        <f t="shared" si="64"/>
        <v>0</v>
      </c>
      <c r="AO216" s="279" t="b">
        <f t="shared" si="64"/>
        <v>0</v>
      </c>
      <c r="AP216" s="279" t="b">
        <f t="shared" si="64"/>
        <v>0</v>
      </c>
      <c r="AQ216" s="279"/>
      <c r="AR216" s="279" t="b">
        <f t="shared" ref="AR216:BA216" si="65">AND($BG12=FALSE,AND(AR114&lt;&gt;"",AR114=FALSE),AR12="")</f>
        <v>0</v>
      </c>
      <c r="AS216" s="279" t="b">
        <f t="shared" si="65"/>
        <v>0</v>
      </c>
      <c r="AT216" s="279" t="b">
        <f t="shared" si="65"/>
        <v>0</v>
      </c>
      <c r="AU216" s="279" t="b">
        <f t="shared" si="65"/>
        <v>0</v>
      </c>
      <c r="AV216" s="279" t="b">
        <f t="shared" si="65"/>
        <v>0</v>
      </c>
      <c r="AW216" s="279" t="b">
        <f t="shared" si="65"/>
        <v>0</v>
      </c>
      <c r="AX216" s="279" t="b">
        <f t="shared" si="65"/>
        <v>0</v>
      </c>
      <c r="AY216" s="279" t="b">
        <f t="shared" si="65"/>
        <v>0</v>
      </c>
      <c r="AZ216" s="279" t="b">
        <f t="shared" si="65"/>
        <v>0</v>
      </c>
      <c r="BA216" s="279" t="b">
        <f t="shared" si="65"/>
        <v>0</v>
      </c>
    </row>
    <row r="217" spans="1:53" s="275" customFormat="1" hidden="1" x14ac:dyDescent="0.35">
      <c r="A217" s="275" t="s">
        <v>3</v>
      </c>
      <c r="C217" s="275">
        <v>4</v>
      </c>
      <c r="F217" s="279" t="b">
        <f t="shared" si="57"/>
        <v>1</v>
      </c>
      <c r="G217" s="279" t="b">
        <f t="shared" si="57"/>
        <v>0</v>
      </c>
      <c r="H217" s="279" t="b">
        <f t="shared" si="57"/>
        <v>1</v>
      </c>
      <c r="I217" s="279" t="b">
        <f t="shared" si="57"/>
        <v>0</v>
      </c>
      <c r="J217" s="279" t="b">
        <f t="shared" si="57"/>
        <v>0</v>
      </c>
      <c r="K217" s="279" t="b">
        <f t="shared" si="57"/>
        <v>0</v>
      </c>
      <c r="L217" s="279" t="b">
        <f t="shared" si="57"/>
        <v>0</v>
      </c>
      <c r="M217" s="279"/>
      <c r="N217" s="279" t="b">
        <f t="shared" si="58"/>
        <v>0</v>
      </c>
      <c r="O217" s="279" t="b">
        <f t="shared" si="58"/>
        <v>0</v>
      </c>
      <c r="P217" s="279" t="b">
        <f t="shared" si="58"/>
        <v>1</v>
      </c>
      <c r="Q217" s="279" t="b">
        <f t="shared" si="59"/>
        <v>1</v>
      </c>
      <c r="AB217" s="279" t="b">
        <f t="shared" ref="AB217:AP217" si="66">AND($BG13=FALSE,AND(AB115&lt;&gt;"",AB115=FALSE),AB13="")</f>
        <v>1</v>
      </c>
      <c r="AC217" s="279" t="b">
        <f t="shared" si="66"/>
        <v>1</v>
      </c>
      <c r="AD217" s="279" t="b">
        <f t="shared" si="66"/>
        <v>1</v>
      </c>
      <c r="AE217" s="279" t="b">
        <f t="shared" si="66"/>
        <v>1</v>
      </c>
      <c r="AF217" s="279" t="b">
        <f t="shared" si="66"/>
        <v>1</v>
      </c>
      <c r="AG217" s="279" t="b">
        <f t="shared" si="66"/>
        <v>1</v>
      </c>
      <c r="AH217" s="279" t="b">
        <f t="shared" si="66"/>
        <v>1</v>
      </c>
      <c r="AI217" s="279" t="b">
        <f t="shared" si="66"/>
        <v>1</v>
      </c>
      <c r="AJ217" s="279" t="b">
        <f t="shared" si="66"/>
        <v>1</v>
      </c>
      <c r="AK217" s="279" t="b">
        <f t="shared" si="66"/>
        <v>1</v>
      </c>
      <c r="AL217" s="279" t="b">
        <f t="shared" si="66"/>
        <v>0</v>
      </c>
      <c r="AM217" s="279" t="b">
        <f t="shared" si="66"/>
        <v>0</v>
      </c>
      <c r="AN217" s="279" t="b">
        <f t="shared" si="66"/>
        <v>0</v>
      </c>
      <c r="AO217" s="279" t="b">
        <f t="shared" si="66"/>
        <v>0</v>
      </c>
      <c r="AP217" s="279" t="b">
        <f t="shared" si="66"/>
        <v>0</v>
      </c>
      <c r="AQ217" s="279"/>
      <c r="AR217" s="279" t="b">
        <f t="shared" ref="AR217:BA217" si="67">AND($BG13=FALSE,AND(AR115&lt;&gt;"",AR115=FALSE),AR13="")</f>
        <v>0</v>
      </c>
      <c r="AS217" s="279" t="b">
        <f t="shared" si="67"/>
        <v>0</v>
      </c>
      <c r="AT217" s="279" t="b">
        <f t="shared" si="67"/>
        <v>0</v>
      </c>
      <c r="AU217" s="279" t="b">
        <f t="shared" si="67"/>
        <v>0</v>
      </c>
      <c r="AV217" s="279" t="b">
        <f t="shared" si="67"/>
        <v>0</v>
      </c>
      <c r="AW217" s="279" t="b">
        <f t="shared" si="67"/>
        <v>0</v>
      </c>
      <c r="AX217" s="279" t="b">
        <f t="shared" si="67"/>
        <v>0</v>
      </c>
      <c r="AY217" s="279" t="b">
        <f t="shared" si="67"/>
        <v>0</v>
      </c>
      <c r="AZ217" s="279" t="b">
        <f t="shared" si="67"/>
        <v>0</v>
      </c>
      <c r="BA217" s="279" t="b">
        <f t="shared" si="67"/>
        <v>0</v>
      </c>
    </row>
    <row r="218" spans="1:53" s="275" customFormat="1" hidden="1" x14ac:dyDescent="0.35">
      <c r="A218" s="275" t="s">
        <v>3</v>
      </c>
      <c r="C218" s="275">
        <v>5</v>
      </c>
      <c r="F218" s="279" t="b">
        <f t="shared" si="57"/>
        <v>1</v>
      </c>
      <c r="G218" s="279" t="b">
        <f t="shared" si="57"/>
        <v>0</v>
      </c>
      <c r="H218" s="279" t="b">
        <f t="shared" si="57"/>
        <v>1</v>
      </c>
      <c r="I218" s="279" t="b">
        <f t="shared" si="57"/>
        <v>0</v>
      </c>
      <c r="J218" s="279" t="b">
        <f t="shared" si="57"/>
        <v>0</v>
      </c>
      <c r="K218" s="279" t="b">
        <f t="shared" si="57"/>
        <v>0</v>
      </c>
      <c r="L218" s="279" t="b">
        <f t="shared" si="57"/>
        <v>0</v>
      </c>
      <c r="M218" s="279"/>
      <c r="N218" s="279" t="b">
        <f t="shared" si="58"/>
        <v>0</v>
      </c>
      <c r="O218" s="279" t="b">
        <f t="shared" si="58"/>
        <v>0</v>
      </c>
      <c r="P218" s="279" t="b">
        <f t="shared" si="58"/>
        <v>1</v>
      </c>
      <c r="Q218" s="279" t="b">
        <f t="shared" si="59"/>
        <v>1</v>
      </c>
      <c r="AB218" s="279" t="b">
        <f t="shared" ref="AB218:AP218" si="68">AND($BG14=FALSE,AND(AB116&lt;&gt;"",AB116=FALSE),AB14="")</f>
        <v>1</v>
      </c>
      <c r="AC218" s="279" t="b">
        <f t="shared" si="68"/>
        <v>1</v>
      </c>
      <c r="AD218" s="279" t="b">
        <f t="shared" si="68"/>
        <v>1</v>
      </c>
      <c r="AE218" s="279" t="b">
        <f t="shared" si="68"/>
        <v>1</v>
      </c>
      <c r="AF218" s="279" t="b">
        <f t="shared" si="68"/>
        <v>1</v>
      </c>
      <c r="AG218" s="279" t="b">
        <f t="shared" si="68"/>
        <v>1</v>
      </c>
      <c r="AH218" s="279" t="b">
        <f t="shared" si="68"/>
        <v>1</v>
      </c>
      <c r="AI218" s="279" t="b">
        <f t="shared" si="68"/>
        <v>1</v>
      </c>
      <c r="AJ218" s="279" t="b">
        <f t="shared" si="68"/>
        <v>1</v>
      </c>
      <c r="AK218" s="279" t="b">
        <f t="shared" si="68"/>
        <v>1</v>
      </c>
      <c r="AL218" s="279" t="b">
        <f t="shared" si="68"/>
        <v>0</v>
      </c>
      <c r="AM218" s="279" t="b">
        <f t="shared" si="68"/>
        <v>0</v>
      </c>
      <c r="AN218" s="279" t="b">
        <f t="shared" si="68"/>
        <v>0</v>
      </c>
      <c r="AO218" s="279" t="b">
        <f t="shared" si="68"/>
        <v>0</v>
      </c>
      <c r="AP218" s="279" t="b">
        <f t="shared" si="68"/>
        <v>0</v>
      </c>
      <c r="AQ218" s="279"/>
      <c r="AR218" s="279" t="b">
        <f t="shared" ref="AR218:BA218" si="69">AND($BG14=FALSE,AND(AR116&lt;&gt;"",AR116=FALSE),AR14="")</f>
        <v>0</v>
      </c>
      <c r="AS218" s="279" t="b">
        <f t="shared" si="69"/>
        <v>0</v>
      </c>
      <c r="AT218" s="279" t="b">
        <f t="shared" si="69"/>
        <v>0</v>
      </c>
      <c r="AU218" s="279" t="b">
        <f t="shared" si="69"/>
        <v>0</v>
      </c>
      <c r="AV218" s="279" t="b">
        <f t="shared" si="69"/>
        <v>0</v>
      </c>
      <c r="AW218" s="279" t="b">
        <f t="shared" si="69"/>
        <v>0</v>
      </c>
      <c r="AX218" s="279" t="b">
        <f t="shared" si="69"/>
        <v>0</v>
      </c>
      <c r="AY218" s="279" t="b">
        <f t="shared" si="69"/>
        <v>0</v>
      </c>
      <c r="AZ218" s="279" t="b">
        <f t="shared" si="69"/>
        <v>0</v>
      </c>
      <c r="BA218" s="279" t="b">
        <f t="shared" si="69"/>
        <v>0</v>
      </c>
    </row>
    <row r="219" spans="1:53" s="275" customFormat="1" hidden="1" x14ac:dyDescent="0.35">
      <c r="A219" s="275" t="s">
        <v>3</v>
      </c>
      <c r="C219" s="275">
        <v>6</v>
      </c>
      <c r="F219" s="279" t="b">
        <f t="shared" si="57"/>
        <v>1</v>
      </c>
      <c r="G219" s="279" t="b">
        <f t="shared" si="57"/>
        <v>0</v>
      </c>
      <c r="H219" s="279" t="b">
        <f t="shared" si="57"/>
        <v>1</v>
      </c>
      <c r="I219" s="279" t="b">
        <f t="shared" si="57"/>
        <v>0</v>
      </c>
      <c r="J219" s="279" t="b">
        <f t="shared" si="57"/>
        <v>0</v>
      </c>
      <c r="K219" s="279" t="b">
        <f t="shared" si="57"/>
        <v>0</v>
      </c>
      <c r="L219" s="279" t="b">
        <f t="shared" si="57"/>
        <v>0</v>
      </c>
      <c r="M219" s="279"/>
      <c r="N219" s="279" t="b">
        <f t="shared" si="58"/>
        <v>0</v>
      </c>
      <c r="O219" s="279" t="b">
        <f t="shared" si="58"/>
        <v>0</v>
      </c>
      <c r="P219" s="279" t="b">
        <f t="shared" si="58"/>
        <v>1</v>
      </c>
      <c r="Q219" s="279" t="b">
        <f t="shared" si="59"/>
        <v>1</v>
      </c>
      <c r="AB219" s="279" t="b">
        <f t="shared" ref="AB219:AP219" si="70">AND($BG15=FALSE,AND(AB117&lt;&gt;"",AB117=FALSE),AB15="")</f>
        <v>1</v>
      </c>
      <c r="AC219" s="279" t="b">
        <f t="shared" si="70"/>
        <v>1</v>
      </c>
      <c r="AD219" s="279" t="b">
        <f t="shared" si="70"/>
        <v>1</v>
      </c>
      <c r="AE219" s="279" t="b">
        <f t="shared" si="70"/>
        <v>1</v>
      </c>
      <c r="AF219" s="279" t="b">
        <f t="shared" si="70"/>
        <v>1</v>
      </c>
      <c r="AG219" s="279" t="b">
        <f t="shared" si="70"/>
        <v>1</v>
      </c>
      <c r="AH219" s="279" t="b">
        <f t="shared" si="70"/>
        <v>1</v>
      </c>
      <c r="AI219" s="279" t="b">
        <f t="shared" si="70"/>
        <v>1</v>
      </c>
      <c r="AJ219" s="279" t="b">
        <f t="shared" si="70"/>
        <v>1</v>
      </c>
      <c r="AK219" s="279" t="b">
        <f t="shared" si="70"/>
        <v>1</v>
      </c>
      <c r="AL219" s="279" t="b">
        <f t="shared" si="70"/>
        <v>0</v>
      </c>
      <c r="AM219" s="279" t="b">
        <f t="shared" si="70"/>
        <v>0</v>
      </c>
      <c r="AN219" s="279" t="b">
        <f t="shared" si="70"/>
        <v>0</v>
      </c>
      <c r="AO219" s="279" t="b">
        <f t="shared" si="70"/>
        <v>0</v>
      </c>
      <c r="AP219" s="279" t="b">
        <f t="shared" si="70"/>
        <v>0</v>
      </c>
      <c r="AQ219" s="279"/>
      <c r="AR219" s="279" t="b">
        <f t="shared" ref="AR219:BA219" si="71">AND($BG15=FALSE,AND(AR117&lt;&gt;"",AR117=FALSE),AR15="")</f>
        <v>0</v>
      </c>
      <c r="AS219" s="279" t="b">
        <f t="shared" si="71"/>
        <v>0</v>
      </c>
      <c r="AT219" s="279" t="b">
        <f t="shared" si="71"/>
        <v>0</v>
      </c>
      <c r="AU219" s="279" t="b">
        <f t="shared" si="71"/>
        <v>0</v>
      </c>
      <c r="AV219" s="279" t="b">
        <f t="shared" si="71"/>
        <v>0</v>
      </c>
      <c r="AW219" s="279" t="b">
        <f t="shared" si="71"/>
        <v>0</v>
      </c>
      <c r="AX219" s="279" t="b">
        <f t="shared" si="71"/>
        <v>0</v>
      </c>
      <c r="AY219" s="279" t="b">
        <f t="shared" si="71"/>
        <v>0</v>
      </c>
      <c r="AZ219" s="279" t="b">
        <f t="shared" si="71"/>
        <v>0</v>
      </c>
      <c r="BA219" s="279" t="b">
        <f t="shared" si="71"/>
        <v>0</v>
      </c>
    </row>
    <row r="220" spans="1:53" s="275" customFormat="1" hidden="1" x14ac:dyDescent="0.35">
      <c r="A220" s="275" t="s">
        <v>3</v>
      </c>
      <c r="C220" s="275">
        <v>7</v>
      </c>
      <c r="F220" s="279" t="b">
        <f t="shared" si="57"/>
        <v>1</v>
      </c>
      <c r="G220" s="279" t="b">
        <f t="shared" si="57"/>
        <v>0</v>
      </c>
      <c r="H220" s="279" t="b">
        <f t="shared" si="57"/>
        <v>1</v>
      </c>
      <c r="I220" s="279" t="b">
        <f t="shared" si="57"/>
        <v>0</v>
      </c>
      <c r="J220" s="279" t="b">
        <f t="shared" si="57"/>
        <v>0</v>
      </c>
      <c r="K220" s="279" t="b">
        <f t="shared" si="57"/>
        <v>0</v>
      </c>
      <c r="L220" s="279" t="b">
        <f t="shared" si="57"/>
        <v>0</v>
      </c>
      <c r="M220" s="279"/>
      <c r="N220" s="279" t="b">
        <f t="shared" si="58"/>
        <v>0</v>
      </c>
      <c r="O220" s="279" t="b">
        <f t="shared" si="58"/>
        <v>0</v>
      </c>
      <c r="P220" s="279" t="b">
        <f t="shared" si="58"/>
        <v>1</v>
      </c>
      <c r="Q220" s="279" t="b">
        <f t="shared" si="59"/>
        <v>1</v>
      </c>
      <c r="AB220" s="279" t="b">
        <f t="shared" ref="AB220:AP220" si="72">AND($BG16=FALSE,AND(AB118&lt;&gt;"",AB118=FALSE),AB16="")</f>
        <v>1</v>
      </c>
      <c r="AC220" s="279" t="b">
        <f t="shared" si="72"/>
        <v>1</v>
      </c>
      <c r="AD220" s="279" t="b">
        <f t="shared" si="72"/>
        <v>1</v>
      </c>
      <c r="AE220" s="279" t="b">
        <f t="shared" si="72"/>
        <v>1</v>
      </c>
      <c r="AF220" s="279" t="b">
        <f t="shared" si="72"/>
        <v>1</v>
      </c>
      <c r="AG220" s="279" t="b">
        <f t="shared" si="72"/>
        <v>1</v>
      </c>
      <c r="AH220" s="279" t="b">
        <f t="shared" si="72"/>
        <v>1</v>
      </c>
      <c r="AI220" s="279" t="b">
        <f t="shared" si="72"/>
        <v>1</v>
      </c>
      <c r="AJ220" s="279" t="b">
        <f t="shared" si="72"/>
        <v>1</v>
      </c>
      <c r="AK220" s="279" t="b">
        <f t="shared" si="72"/>
        <v>1</v>
      </c>
      <c r="AL220" s="279" t="b">
        <f t="shared" si="72"/>
        <v>0</v>
      </c>
      <c r="AM220" s="279" t="b">
        <f t="shared" si="72"/>
        <v>0</v>
      </c>
      <c r="AN220" s="279" t="b">
        <f t="shared" si="72"/>
        <v>0</v>
      </c>
      <c r="AO220" s="279" t="b">
        <f t="shared" si="72"/>
        <v>0</v>
      </c>
      <c r="AP220" s="279" t="b">
        <f t="shared" si="72"/>
        <v>0</v>
      </c>
      <c r="AQ220" s="279"/>
      <c r="AR220" s="279" t="b">
        <f t="shared" ref="AR220:BA220" si="73">AND($BG16=FALSE,AND(AR118&lt;&gt;"",AR118=FALSE),AR16="")</f>
        <v>0</v>
      </c>
      <c r="AS220" s="279" t="b">
        <f t="shared" si="73"/>
        <v>0</v>
      </c>
      <c r="AT220" s="279" t="b">
        <f t="shared" si="73"/>
        <v>0</v>
      </c>
      <c r="AU220" s="279" t="b">
        <f t="shared" si="73"/>
        <v>0</v>
      </c>
      <c r="AV220" s="279" t="b">
        <f t="shared" si="73"/>
        <v>0</v>
      </c>
      <c r="AW220" s="279" t="b">
        <f t="shared" si="73"/>
        <v>0</v>
      </c>
      <c r="AX220" s="279" t="b">
        <f t="shared" si="73"/>
        <v>0</v>
      </c>
      <c r="AY220" s="279" t="b">
        <f t="shared" si="73"/>
        <v>0</v>
      </c>
      <c r="AZ220" s="279" t="b">
        <f t="shared" si="73"/>
        <v>0</v>
      </c>
      <c r="BA220" s="279" t="b">
        <f t="shared" si="73"/>
        <v>0</v>
      </c>
    </row>
    <row r="221" spans="1:53" s="275" customFormat="1" hidden="1" x14ac:dyDescent="0.35">
      <c r="A221" s="275" t="s">
        <v>3</v>
      </c>
      <c r="C221" s="275">
        <v>8</v>
      </c>
      <c r="F221" s="279" t="b">
        <f t="shared" si="57"/>
        <v>1</v>
      </c>
      <c r="G221" s="279" t="b">
        <f t="shared" si="57"/>
        <v>0</v>
      </c>
      <c r="H221" s="279" t="b">
        <f t="shared" si="57"/>
        <v>1</v>
      </c>
      <c r="I221" s="279" t="b">
        <f t="shared" si="57"/>
        <v>0</v>
      </c>
      <c r="J221" s="279" t="b">
        <f t="shared" si="57"/>
        <v>0</v>
      </c>
      <c r="K221" s="279" t="b">
        <f t="shared" si="57"/>
        <v>0</v>
      </c>
      <c r="L221" s="279" t="b">
        <f t="shared" si="57"/>
        <v>0</v>
      </c>
      <c r="M221" s="279"/>
      <c r="N221" s="279" t="b">
        <f t="shared" si="58"/>
        <v>0</v>
      </c>
      <c r="O221" s="279" t="b">
        <f t="shared" si="58"/>
        <v>0</v>
      </c>
      <c r="P221" s="279" t="b">
        <f t="shared" si="58"/>
        <v>1</v>
      </c>
      <c r="Q221" s="279" t="b">
        <f t="shared" si="59"/>
        <v>1</v>
      </c>
      <c r="AB221" s="279" t="b">
        <f t="shared" ref="AB221:AP221" si="74">AND($BG17=FALSE,AND(AB119&lt;&gt;"",AB119=FALSE),AB17="")</f>
        <v>1</v>
      </c>
      <c r="AC221" s="279" t="b">
        <f t="shared" si="74"/>
        <v>1</v>
      </c>
      <c r="AD221" s="279" t="b">
        <f t="shared" si="74"/>
        <v>1</v>
      </c>
      <c r="AE221" s="279" t="b">
        <f t="shared" si="74"/>
        <v>1</v>
      </c>
      <c r="AF221" s="279" t="b">
        <f t="shared" si="74"/>
        <v>1</v>
      </c>
      <c r="AG221" s="279" t="b">
        <f t="shared" si="74"/>
        <v>1</v>
      </c>
      <c r="AH221" s="279" t="b">
        <f t="shared" si="74"/>
        <v>1</v>
      </c>
      <c r="AI221" s="279" t="b">
        <f t="shared" si="74"/>
        <v>1</v>
      </c>
      <c r="AJ221" s="279" t="b">
        <f t="shared" si="74"/>
        <v>1</v>
      </c>
      <c r="AK221" s="279" t="b">
        <f t="shared" si="74"/>
        <v>1</v>
      </c>
      <c r="AL221" s="279" t="b">
        <f t="shared" si="74"/>
        <v>0</v>
      </c>
      <c r="AM221" s="279" t="b">
        <f t="shared" si="74"/>
        <v>0</v>
      </c>
      <c r="AN221" s="279" t="b">
        <f t="shared" si="74"/>
        <v>0</v>
      </c>
      <c r="AO221" s="279" t="b">
        <f t="shared" si="74"/>
        <v>0</v>
      </c>
      <c r="AP221" s="279" t="b">
        <f t="shared" si="74"/>
        <v>0</v>
      </c>
      <c r="AQ221" s="279"/>
      <c r="AR221" s="279" t="b">
        <f t="shared" ref="AR221:BA221" si="75">AND($BG17=FALSE,AND(AR119&lt;&gt;"",AR119=FALSE),AR17="")</f>
        <v>0</v>
      </c>
      <c r="AS221" s="279" t="b">
        <f t="shared" si="75"/>
        <v>0</v>
      </c>
      <c r="AT221" s="279" t="b">
        <f t="shared" si="75"/>
        <v>0</v>
      </c>
      <c r="AU221" s="279" t="b">
        <f t="shared" si="75"/>
        <v>0</v>
      </c>
      <c r="AV221" s="279" t="b">
        <f t="shared" si="75"/>
        <v>0</v>
      </c>
      <c r="AW221" s="279" t="b">
        <f t="shared" si="75"/>
        <v>0</v>
      </c>
      <c r="AX221" s="279" t="b">
        <f t="shared" si="75"/>
        <v>0</v>
      </c>
      <c r="AY221" s="279" t="b">
        <f t="shared" si="75"/>
        <v>0</v>
      </c>
      <c r="AZ221" s="279" t="b">
        <f t="shared" si="75"/>
        <v>0</v>
      </c>
      <c r="BA221" s="279" t="b">
        <f t="shared" si="75"/>
        <v>0</v>
      </c>
    </row>
    <row r="222" spans="1:53" s="275" customFormat="1" hidden="1" x14ac:dyDescent="0.35">
      <c r="A222" s="275" t="s">
        <v>3</v>
      </c>
      <c r="C222" s="275">
        <v>9</v>
      </c>
      <c r="F222" s="279" t="b">
        <f t="shared" si="57"/>
        <v>1</v>
      </c>
      <c r="G222" s="279" t="b">
        <f t="shared" si="57"/>
        <v>0</v>
      </c>
      <c r="H222" s="279" t="b">
        <f t="shared" si="57"/>
        <v>1</v>
      </c>
      <c r="I222" s="279" t="b">
        <f t="shared" si="57"/>
        <v>0</v>
      </c>
      <c r="J222" s="279" t="b">
        <f t="shared" si="57"/>
        <v>0</v>
      </c>
      <c r="K222" s="279" t="b">
        <f t="shared" si="57"/>
        <v>0</v>
      </c>
      <c r="L222" s="279" t="b">
        <f t="shared" si="57"/>
        <v>0</v>
      </c>
      <c r="M222" s="279"/>
      <c r="N222" s="279" t="b">
        <f t="shared" si="58"/>
        <v>0</v>
      </c>
      <c r="O222" s="279" t="b">
        <f t="shared" si="58"/>
        <v>0</v>
      </c>
      <c r="P222" s="279" t="b">
        <f t="shared" si="58"/>
        <v>1</v>
      </c>
      <c r="Q222" s="279" t="b">
        <f t="shared" si="59"/>
        <v>1</v>
      </c>
      <c r="AB222" s="279" t="b">
        <f t="shared" ref="AB222:AP222" si="76">AND($BG18=FALSE,AND(AB120&lt;&gt;"",AB120=FALSE),AB18="")</f>
        <v>1</v>
      </c>
      <c r="AC222" s="279" t="b">
        <f t="shared" si="76"/>
        <v>1</v>
      </c>
      <c r="AD222" s="279" t="b">
        <f t="shared" si="76"/>
        <v>1</v>
      </c>
      <c r="AE222" s="279" t="b">
        <f t="shared" si="76"/>
        <v>1</v>
      </c>
      <c r="AF222" s="279" t="b">
        <f t="shared" si="76"/>
        <v>1</v>
      </c>
      <c r="AG222" s="279" t="b">
        <f t="shared" si="76"/>
        <v>1</v>
      </c>
      <c r="AH222" s="279" t="b">
        <f t="shared" si="76"/>
        <v>1</v>
      </c>
      <c r="AI222" s="279" t="b">
        <f t="shared" si="76"/>
        <v>1</v>
      </c>
      <c r="AJ222" s="279" t="b">
        <f t="shared" si="76"/>
        <v>1</v>
      </c>
      <c r="AK222" s="279" t="b">
        <f t="shared" si="76"/>
        <v>1</v>
      </c>
      <c r="AL222" s="279" t="b">
        <f t="shared" si="76"/>
        <v>0</v>
      </c>
      <c r="AM222" s="279" t="b">
        <f t="shared" si="76"/>
        <v>0</v>
      </c>
      <c r="AN222" s="279" t="b">
        <f t="shared" si="76"/>
        <v>0</v>
      </c>
      <c r="AO222" s="279" t="b">
        <f t="shared" si="76"/>
        <v>0</v>
      </c>
      <c r="AP222" s="279" t="b">
        <f t="shared" si="76"/>
        <v>0</v>
      </c>
      <c r="AQ222" s="279"/>
      <c r="AR222" s="279" t="b">
        <f t="shared" ref="AR222:BA222" si="77">AND($BG18=FALSE,AND(AR120&lt;&gt;"",AR120=FALSE),AR18="")</f>
        <v>0</v>
      </c>
      <c r="AS222" s="279" t="b">
        <f t="shared" si="77"/>
        <v>0</v>
      </c>
      <c r="AT222" s="279" t="b">
        <f t="shared" si="77"/>
        <v>0</v>
      </c>
      <c r="AU222" s="279" t="b">
        <f t="shared" si="77"/>
        <v>0</v>
      </c>
      <c r="AV222" s="279" t="b">
        <f t="shared" si="77"/>
        <v>0</v>
      </c>
      <c r="AW222" s="279" t="b">
        <f t="shared" si="77"/>
        <v>0</v>
      </c>
      <c r="AX222" s="279" t="b">
        <f t="shared" si="77"/>
        <v>0</v>
      </c>
      <c r="AY222" s="279" t="b">
        <f t="shared" si="77"/>
        <v>0</v>
      </c>
      <c r="AZ222" s="279" t="b">
        <f t="shared" si="77"/>
        <v>0</v>
      </c>
      <c r="BA222" s="279" t="b">
        <f t="shared" si="77"/>
        <v>0</v>
      </c>
    </row>
    <row r="223" spans="1:53" s="275" customFormat="1" hidden="1" x14ac:dyDescent="0.35">
      <c r="A223" s="275" t="s">
        <v>3</v>
      </c>
      <c r="C223" s="275">
        <v>10</v>
      </c>
      <c r="F223" s="279" t="b">
        <f t="shared" si="57"/>
        <v>1</v>
      </c>
      <c r="G223" s="279" t="b">
        <f t="shared" si="57"/>
        <v>0</v>
      </c>
      <c r="H223" s="279" t="b">
        <f t="shared" si="57"/>
        <v>1</v>
      </c>
      <c r="I223" s="279" t="b">
        <f t="shared" si="57"/>
        <v>0</v>
      </c>
      <c r="J223" s="279" t="b">
        <f t="shared" si="57"/>
        <v>0</v>
      </c>
      <c r="K223" s="279" t="b">
        <f t="shared" si="57"/>
        <v>0</v>
      </c>
      <c r="L223" s="279" t="b">
        <f t="shared" si="57"/>
        <v>0</v>
      </c>
      <c r="M223" s="279"/>
      <c r="N223" s="279" t="b">
        <f t="shared" si="58"/>
        <v>0</v>
      </c>
      <c r="O223" s="279" t="b">
        <f t="shared" si="58"/>
        <v>0</v>
      </c>
      <c r="P223" s="279" t="b">
        <f t="shared" si="58"/>
        <v>1</v>
      </c>
      <c r="Q223" s="279" t="b">
        <f t="shared" si="59"/>
        <v>1</v>
      </c>
      <c r="AB223" s="279" t="b">
        <f t="shared" ref="AB223:AP223" si="78">AND($BG19=FALSE,AND(AB121&lt;&gt;"",AB121=FALSE),AB19="")</f>
        <v>1</v>
      </c>
      <c r="AC223" s="279" t="b">
        <f t="shared" si="78"/>
        <v>1</v>
      </c>
      <c r="AD223" s="279" t="b">
        <f t="shared" si="78"/>
        <v>1</v>
      </c>
      <c r="AE223" s="279" t="b">
        <f t="shared" si="78"/>
        <v>1</v>
      </c>
      <c r="AF223" s="279" t="b">
        <f t="shared" si="78"/>
        <v>1</v>
      </c>
      <c r="AG223" s="279" t="b">
        <f t="shared" si="78"/>
        <v>1</v>
      </c>
      <c r="AH223" s="279" t="b">
        <f t="shared" si="78"/>
        <v>1</v>
      </c>
      <c r="AI223" s="279" t="b">
        <f t="shared" si="78"/>
        <v>1</v>
      </c>
      <c r="AJ223" s="279" t="b">
        <f t="shared" si="78"/>
        <v>1</v>
      </c>
      <c r="AK223" s="279" t="b">
        <f t="shared" si="78"/>
        <v>1</v>
      </c>
      <c r="AL223" s="279" t="b">
        <f t="shared" si="78"/>
        <v>0</v>
      </c>
      <c r="AM223" s="279" t="b">
        <f t="shared" si="78"/>
        <v>0</v>
      </c>
      <c r="AN223" s="279" t="b">
        <f t="shared" si="78"/>
        <v>0</v>
      </c>
      <c r="AO223" s="279" t="b">
        <f t="shared" si="78"/>
        <v>0</v>
      </c>
      <c r="AP223" s="279" t="b">
        <f t="shared" si="78"/>
        <v>0</v>
      </c>
      <c r="AQ223" s="279"/>
      <c r="AR223" s="279" t="b">
        <f t="shared" ref="AR223:BA223" si="79">AND($BG19=FALSE,AND(AR121&lt;&gt;"",AR121=FALSE),AR19="")</f>
        <v>0</v>
      </c>
      <c r="AS223" s="279" t="b">
        <f t="shared" si="79"/>
        <v>0</v>
      </c>
      <c r="AT223" s="279" t="b">
        <f t="shared" si="79"/>
        <v>0</v>
      </c>
      <c r="AU223" s="279" t="b">
        <f t="shared" si="79"/>
        <v>0</v>
      </c>
      <c r="AV223" s="279" t="b">
        <f t="shared" si="79"/>
        <v>0</v>
      </c>
      <c r="AW223" s="279" t="b">
        <f t="shared" si="79"/>
        <v>0</v>
      </c>
      <c r="AX223" s="279" t="b">
        <f t="shared" si="79"/>
        <v>0</v>
      </c>
      <c r="AY223" s="279" t="b">
        <f t="shared" si="79"/>
        <v>0</v>
      </c>
      <c r="AZ223" s="279" t="b">
        <f t="shared" si="79"/>
        <v>0</v>
      </c>
      <c r="BA223" s="279" t="b">
        <f t="shared" si="79"/>
        <v>0</v>
      </c>
    </row>
    <row r="224" spans="1:53" s="275" customFormat="1" hidden="1" x14ac:dyDescent="0.35">
      <c r="A224" s="275" t="s">
        <v>3</v>
      </c>
      <c r="C224" s="275">
        <v>11</v>
      </c>
      <c r="F224" s="279" t="b">
        <f t="shared" ref="F224:L233" si="80">AND($BG20=FALSE,AND(F122&lt;&gt;"",F122=FALSE),F20="")</f>
        <v>1</v>
      </c>
      <c r="G224" s="279" t="b">
        <f t="shared" si="80"/>
        <v>0</v>
      </c>
      <c r="H224" s="279" t="b">
        <f t="shared" si="80"/>
        <v>1</v>
      </c>
      <c r="I224" s="279" t="b">
        <f t="shared" si="80"/>
        <v>0</v>
      </c>
      <c r="J224" s="279" t="b">
        <f t="shared" si="80"/>
        <v>0</v>
      </c>
      <c r="K224" s="279" t="b">
        <f t="shared" si="80"/>
        <v>0</v>
      </c>
      <c r="L224" s="279" t="b">
        <f t="shared" si="80"/>
        <v>0</v>
      </c>
      <c r="M224" s="279"/>
      <c r="N224" s="279" t="b">
        <f t="shared" si="58"/>
        <v>0</v>
      </c>
      <c r="O224" s="279" t="b">
        <f t="shared" si="58"/>
        <v>0</v>
      </c>
      <c r="P224" s="279" t="b">
        <f t="shared" si="58"/>
        <v>1</v>
      </c>
      <c r="Q224" s="279" t="b">
        <f t="shared" si="59"/>
        <v>1</v>
      </c>
      <c r="AB224" s="279" t="b">
        <f t="shared" ref="AB224:AP224" si="81">AND($BG20=FALSE,AND(AB122&lt;&gt;"",AB122=FALSE),AB20="")</f>
        <v>1</v>
      </c>
      <c r="AC224" s="279" t="b">
        <f t="shared" si="81"/>
        <v>1</v>
      </c>
      <c r="AD224" s="279" t="b">
        <f t="shared" si="81"/>
        <v>1</v>
      </c>
      <c r="AE224" s="279" t="b">
        <f t="shared" si="81"/>
        <v>1</v>
      </c>
      <c r="AF224" s="279" t="b">
        <f t="shared" si="81"/>
        <v>1</v>
      </c>
      <c r="AG224" s="279" t="b">
        <f t="shared" si="81"/>
        <v>1</v>
      </c>
      <c r="AH224" s="279" t="b">
        <f t="shared" si="81"/>
        <v>1</v>
      </c>
      <c r="AI224" s="279" t="b">
        <f t="shared" si="81"/>
        <v>1</v>
      </c>
      <c r="AJ224" s="279" t="b">
        <f t="shared" si="81"/>
        <v>1</v>
      </c>
      <c r="AK224" s="279" t="b">
        <f t="shared" si="81"/>
        <v>1</v>
      </c>
      <c r="AL224" s="279" t="b">
        <f t="shared" si="81"/>
        <v>0</v>
      </c>
      <c r="AM224" s="279" t="b">
        <f t="shared" si="81"/>
        <v>0</v>
      </c>
      <c r="AN224" s="279" t="b">
        <f t="shared" si="81"/>
        <v>0</v>
      </c>
      <c r="AO224" s="279" t="b">
        <f t="shared" si="81"/>
        <v>0</v>
      </c>
      <c r="AP224" s="279" t="b">
        <f t="shared" si="81"/>
        <v>0</v>
      </c>
      <c r="AQ224" s="279"/>
      <c r="AR224" s="279" t="b">
        <f t="shared" ref="AR224:BA224" si="82">AND($BG20=FALSE,AND(AR122&lt;&gt;"",AR122=FALSE),AR20="")</f>
        <v>0</v>
      </c>
      <c r="AS224" s="279" t="b">
        <f t="shared" si="82"/>
        <v>0</v>
      </c>
      <c r="AT224" s="279" t="b">
        <f t="shared" si="82"/>
        <v>0</v>
      </c>
      <c r="AU224" s="279" t="b">
        <f t="shared" si="82"/>
        <v>0</v>
      </c>
      <c r="AV224" s="279" t="b">
        <f t="shared" si="82"/>
        <v>0</v>
      </c>
      <c r="AW224" s="279" t="b">
        <f t="shared" si="82"/>
        <v>0</v>
      </c>
      <c r="AX224" s="279" t="b">
        <f t="shared" si="82"/>
        <v>0</v>
      </c>
      <c r="AY224" s="279" t="b">
        <f t="shared" si="82"/>
        <v>0</v>
      </c>
      <c r="AZ224" s="279" t="b">
        <f t="shared" si="82"/>
        <v>0</v>
      </c>
      <c r="BA224" s="279" t="b">
        <f t="shared" si="82"/>
        <v>0</v>
      </c>
    </row>
    <row r="225" spans="1:53" s="275" customFormat="1" hidden="1" x14ac:dyDescent="0.35">
      <c r="A225" s="275" t="s">
        <v>3</v>
      </c>
      <c r="C225" s="275">
        <v>12</v>
      </c>
      <c r="F225" s="279" t="b">
        <f t="shared" si="80"/>
        <v>1</v>
      </c>
      <c r="G225" s="279" t="b">
        <f t="shared" si="80"/>
        <v>0</v>
      </c>
      <c r="H225" s="279" t="b">
        <f t="shared" si="80"/>
        <v>1</v>
      </c>
      <c r="I225" s="279" t="b">
        <f t="shared" si="80"/>
        <v>0</v>
      </c>
      <c r="J225" s="279" t="b">
        <f t="shared" si="80"/>
        <v>0</v>
      </c>
      <c r="K225" s="279" t="b">
        <f t="shared" si="80"/>
        <v>0</v>
      </c>
      <c r="L225" s="279" t="b">
        <f t="shared" si="80"/>
        <v>0</v>
      </c>
      <c r="M225" s="279"/>
      <c r="N225" s="279" t="b">
        <f t="shared" si="58"/>
        <v>0</v>
      </c>
      <c r="O225" s="279" t="b">
        <f t="shared" si="58"/>
        <v>0</v>
      </c>
      <c r="P225" s="279" t="b">
        <f t="shared" si="58"/>
        <v>1</v>
      </c>
      <c r="Q225" s="279" t="b">
        <f t="shared" si="59"/>
        <v>1</v>
      </c>
      <c r="AB225" s="279" t="b">
        <f t="shared" ref="AB225:AP225" si="83">AND($BG21=FALSE,AND(AB123&lt;&gt;"",AB123=FALSE),AB21="")</f>
        <v>1</v>
      </c>
      <c r="AC225" s="279" t="b">
        <f t="shared" si="83"/>
        <v>1</v>
      </c>
      <c r="AD225" s="279" t="b">
        <f t="shared" si="83"/>
        <v>1</v>
      </c>
      <c r="AE225" s="279" t="b">
        <f t="shared" si="83"/>
        <v>1</v>
      </c>
      <c r="AF225" s="279" t="b">
        <f t="shared" si="83"/>
        <v>1</v>
      </c>
      <c r="AG225" s="279" t="b">
        <f t="shared" si="83"/>
        <v>1</v>
      </c>
      <c r="AH225" s="279" t="b">
        <f t="shared" si="83"/>
        <v>1</v>
      </c>
      <c r="AI225" s="279" t="b">
        <f t="shared" si="83"/>
        <v>1</v>
      </c>
      <c r="AJ225" s="279" t="b">
        <f t="shared" si="83"/>
        <v>1</v>
      </c>
      <c r="AK225" s="279" t="b">
        <f t="shared" si="83"/>
        <v>1</v>
      </c>
      <c r="AL225" s="279" t="b">
        <f t="shared" si="83"/>
        <v>0</v>
      </c>
      <c r="AM225" s="279" t="b">
        <f t="shared" si="83"/>
        <v>0</v>
      </c>
      <c r="AN225" s="279" t="b">
        <f t="shared" si="83"/>
        <v>0</v>
      </c>
      <c r="AO225" s="279" t="b">
        <f t="shared" si="83"/>
        <v>0</v>
      </c>
      <c r="AP225" s="279" t="b">
        <f t="shared" si="83"/>
        <v>0</v>
      </c>
      <c r="AQ225" s="279"/>
      <c r="AR225" s="279" t="b">
        <f t="shared" ref="AR225:BA225" si="84">AND($BG21=FALSE,AND(AR123&lt;&gt;"",AR123=FALSE),AR21="")</f>
        <v>0</v>
      </c>
      <c r="AS225" s="279" t="b">
        <f t="shared" si="84"/>
        <v>0</v>
      </c>
      <c r="AT225" s="279" t="b">
        <f t="shared" si="84"/>
        <v>0</v>
      </c>
      <c r="AU225" s="279" t="b">
        <f t="shared" si="84"/>
        <v>0</v>
      </c>
      <c r="AV225" s="279" t="b">
        <f t="shared" si="84"/>
        <v>0</v>
      </c>
      <c r="AW225" s="279" t="b">
        <f t="shared" si="84"/>
        <v>0</v>
      </c>
      <c r="AX225" s="279" t="b">
        <f t="shared" si="84"/>
        <v>0</v>
      </c>
      <c r="AY225" s="279" t="b">
        <f t="shared" si="84"/>
        <v>0</v>
      </c>
      <c r="AZ225" s="279" t="b">
        <f t="shared" si="84"/>
        <v>0</v>
      </c>
      <c r="BA225" s="279" t="b">
        <f t="shared" si="84"/>
        <v>0</v>
      </c>
    </row>
    <row r="226" spans="1:53" s="275" customFormat="1" hidden="1" x14ac:dyDescent="0.35">
      <c r="A226" s="275" t="s">
        <v>3</v>
      </c>
      <c r="C226" s="275">
        <v>13</v>
      </c>
      <c r="F226" s="279" t="b">
        <f t="shared" si="80"/>
        <v>1</v>
      </c>
      <c r="G226" s="279" t="b">
        <f t="shared" si="80"/>
        <v>0</v>
      </c>
      <c r="H226" s="279" t="b">
        <f t="shared" si="80"/>
        <v>1</v>
      </c>
      <c r="I226" s="279" t="b">
        <f t="shared" si="80"/>
        <v>0</v>
      </c>
      <c r="J226" s="279" t="b">
        <f t="shared" si="80"/>
        <v>0</v>
      </c>
      <c r="K226" s="279" t="b">
        <f t="shared" si="80"/>
        <v>0</v>
      </c>
      <c r="L226" s="279" t="b">
        <f t="shared" si="80"/>
        <v>0</v>
      </c>
      <c r="M226" s="279"/>
      <c r="N226" s="279" t="b">
        <f t="shared" si="58"/>
        <v>0</v>
      </c>
      <c r="O226" s="279" t="b">
        <f t="shared" si="58"/>
        <v>0</v>
      </c>
      <c r="P226" s="279" t="b">
        <f t="shared" si="58"/>
        <v>1</v>
      </c>
      <c r="Q226" s="279" t="b">
        <f t="shared" si="59"/>
        <v>1</v>
      </c>
      <c r="AB226" s="279" t="b">
        <f t="shared" ref="AB226:AP226" si="85">AND($BG22=FALSE,AND(AB124&lt;&gt;"",AB124=FALSE),AB22="")</f>
        <v>1</v>
      </c>
      <c r="AC226" s="279" t="b">
        <f t="shared" si="85"/>
        <v>1</v>
      </c>
      <c r="AD226" s="279" t="b">
        <f t="shared" si="85"/>
        <v>1</v>
      </c>
      <c r="AE226" s="279" t="b">
        <f t="shared" si="85"/>
        <v>1</v>
      </c>
      <c r="AF226" s="279" t="b">
        <f t="shared" si="85"/>
        <v>1</v>
      </c>
      <c r="AG226" s="279" t="b">
        <f t="shared" si="85"/>
        <v>1</v>
      </c>
      <c r="AH226" s="279" t="b">
        <f t="shared" si="85"/>
        <v>1</v>
      </c>
      <c r="AI226" s="279" t="b">
        <f t="shared" si="85"/>
        <v>1</v>
      </c>
      <c r="AJ226" s="279" t="b">
        <f t="shared" si="85"/>
        <v>1</v>
      </c>
      <c r="AK226" s="279" t="b">
        <f t="shared" si="85"/>
        <v>1</v>
      </c>
      <c r="AL226" s="279" t="b">
        <f t="shared" si="85"/>
        <v>0</v>
      </c>
      <c r="AM226" s="279" t="b">
        <f t="shared" si="85"/>
        <v>0</v>
      </c>
      <c r="AN226" s="279" t="b">
        <f t="shared" si="85"/>
        <v>0</v>
      </c>
      <c r="AO226" s="279" t="b">
        <f t="shared" si="85"/>
        <v>0</v>
      </c>
      <c r="AP226" s="279" t="b">
        <f t="shared" si="85"/>
        <v>0</v>
      </c>
      <c r="AQ226" s="279"/>
      <c r="AR226" s="279" t="b">
        <f t="shared" ref="AR226:BA226" si="86">AND($BG22=FALSE,AND(AR124&lt;&gt;"",AR124=FALSE),AR22="")</f>
        <v>0</v>
      </c>
      <c r="AS226" s="279" t="b">
        <f t="shared" si="86"/>
        <v>0</v>
      </c>
      <c r="AT226" s="279" t="b">
        <f t="shared" si="86"/>
        <v>0</v>
      </c>
      <c r="AU226" s="279" t="b">
        <f t="shared" si="86"/>
        <v>0</v>
      </c>
      <c r="AV226" s="279" t="b">
        <f t="shared" si="86"/>
        <v>0</v>
      </c>
      <c r="AW226" s="279" t="b">
        <f t="shared" si="86"/>
        <v>0</v>
      </c>
      <c r="AX226" s="279" t="b">
        <f t="shared" si="86"/>
        <v>0</v>
      </c>
      <c r="AY226" s="279" t="b">
        <f t="shared" si="86"/>
        <v>0</v>
      </c>
      <c r="AZ226" s="279" t="b">
        <f t="shared" si="86"/>
        <v>0</v>
      </c>
      <c r="BA226" s="279" t="b">
        <f t="shared" si="86"/>
        <v>0</v>
      </c>
    </row>
    <row r="227" spans="1:53" s="275" customFormat="1" hidden="1" x14ac:dyDescent="0.35">
      <c r="A227" s="275" t="s">
        <v>3</v>
      </c>
      <c r="C227" s="275">
        <v>14</v>
      </c>
      <c r="F227" s="279" t="b">
        <f t="shared" si="80"/>
        <v>1</v>
      </c>
      <c r="G227" s="279" t="b">
        <f t="shared" si="80"/>
        <v>0</v>
      </c>
      <c r="H227" s="279" t="b">
        <f t="shared" si="80"/>
        <v>1</v>
      </c>
      <c r="I227" s="279" t="b">
        <f t="shared" si="80"/>
        <v>0</v>
      </c>
      <c r="J227" s="279" t="b">
        <f t="shared" si="80"/>
        <v>0</v>
      </c>
      <c r="K227" s="279" t="b">
        <f t="shared" si="80"/>
        <v>0</v>
      </c>
      <c r="L227" s="279" t="b">
        <f t="shared" si="80"/>
        <v>0</v>
      </c>
      <c r="M227" s="279"/>
      <c r="N227" s="279" t="b">
        <f t="shared" si="58"/>
        <v>0</v>
      </c>
      <c r="O227" s="279" t="b">
        <f t="shared" si="58"/>
        <v>0</v>
      </c>
      <c r="P227" s="279" t="b">
        <f t="shared" si="58"/>
        <v>1</v>
      </c>
      <c r="Q227" s="279" t="b">
        <f t="shared" si="59"/>
        <v>1</v>
      </c>
      <c r="AB227" s="279" t="b">
        <f t="shared" ref="AB227:AP227" si="87">AND($BG23=FALSE,AND(AB125&lt;&gt;"",AB125=FALSE),AB23="")</f>
        <v>1</v>
      </c>
      <c r="AC227" s="279" t="b">
        <f t="shared" si="87"/>
        <v>1</v>
      </c>
      <c r="AD227" s="279" t="b">
        <f t="shared" si="87"/>
        <v>1</v>
      </c>
      <c r="AE227" s="279" t="b">
        <f t="shared" si="87"/>
        <v>1</v>
      </c>
      <c r="AF227" s="279" t="b">
        <f t="shared" si="87"/>
        <v>1</v>
      </c>
      <c r="AG227" s="279" t="b">
        <f t="shared" si="87"/>
        <v>1</v>
      </c>
      <c r="AH227" s="279" t="b">
        <f t="shared" si="87"/>
        <v>1</v>
      </c>
      <c r="AI227" s="279" t="b">
        <f t="shared" si="87"/>
        <v>1</v>
      </c>
      <c r="AJ227" s="279" t="b">
        <f t="shared" si="87"/>
        <v>1</v>
      </c>
      <c r="AK227" s="279" t="b">
        <f t="shared" si="87"/>
        <v>1</v>
      </c>
      <c r="AL227" s="279" t="b">
        <f t="shared" si="87"/>
        <v>0</v>
      </c>
      <c r="AM227" s="279" t="b">
        <f t="shared" si="87"/>
        <v>0</v>
      </c>
      <c r="AN227" s="279" t="b">
        <f t="shared" si="87"/>
        <v>0</v>
      </c>
      <c r="AO227" s="279" t="b">
        <f t="shared" si="87"/>
        <v>0</v>
      </c>
      <c r="AP227" s="279" t="b">
        <f t="shared" si="87"/>
        <v>0</v>
      </c>
      <c r="AQ227" s="279"/>
      <c r="AR227" s="279" t="b">
        <f t="shared" ref="AR227:BA227" si="88">AND($BG23=FALSE,AND(AR125&lt;&gt;"",AR125=FALSE),AR23="")</f>
        <v>0</v>
      </c>
      <c r="AS227" s="279" t="b">
        <f t="shared" si="88"/>
        <v>0</v>
      </c>
      <c r="AT227" s="279" t="b">
        <f t="shared" si="88"/>
        <v>0</v>
      </c>
      <c r="AU227" s="279" t="b">
        <f t="shared" si="88"/>
        <v>0</v>
      </c>
      <c r="AV227" s="279" t="b">
        <f t="shared" si="88"/>
        <v>0</v>
      </c>
      <c r="AW227" s="279" t="b">
        <f t="shared" si="88"/>
        <v>0</v>
      </c>
      <c r="AX227" s="279" t="b">
        <f t="shared" si="88"/>
        <v>0</v>
      </c>
      <c r="AY227" s="279" t="b">
        <f t="shared" si="88"/>
        <v>0</v>
      </c>
      <c r="AZ227" s="279" t="b">
        <f t="shared" si="88"/>
        <v>0</v>
      </c>
      <c r="BA227" s="279" t="b">
        <f t="shared" si="88"/>
        <v>0</v>
      </c>
    </row>
    <row r="228" spans="1:53" s="275" customFormat="1" hidden="1" x14ac:dyDescent="0.35">
      <c r="A228" s="275" t="s">
        <v>3</v>
      </c>
      <c r="C228" s="275">
        <v>15</v>
      </c>
      <c r="F228" s="279" t="b">
        <f t="shared" si="80"/>
        <v>1</v>
      </c>
      <c r="G228" s="279" t="b">
        <f t="shared" si="80"/>
        <v>0</v>
      </c>
      <c r="H228" s="279" t="b">
        <f t="shared" si="80"/>
        <v>1</v>
      </c>
      <c r="I228" s="279" t="b">
        <f t="shared" si="80"/>
        <v>0</v>
      </c>
      <c r="J228" s="279" t="b">
        <f t="shared" si="80"/>
        <v>0</v>
      </c>
      <c r="K228" s="279" t="b">
        <f t="shared" si="80"/>
        <v>0</v>
      </c>
      <c r="L228" s="279" t="b">
        <f t="shared" si="80"/>
        <v>0</v>
      </c>
      <c r="M228" s="279"/>
      <c r="N228" s="279" t="b">
        <f t="shared" si="58"/>
        <v>0</v>
      </c>
      <c r="O228" s="279" t="b">
        <f t="shared" si="58"/>
        <v>0</v>
      </c>
      <c r="P228" s="279" t="b">
        <f t="shared" si="58"/>
        <v>1</v>
      </c>
      <c r="Q228" s="279" t="b">
        <f t="shared" si="59"/>
        <v>1</v>
      </c>
      <c r="AB228" s="279" t="b">
        <f t="shared" ref="AB228:AP228" si="89">AND($BG24=FALSE,AND(AB126&lt;&gt;"",AB126=FALSE),AB24="")</f>
        <v>1</v>
      </c>
      <c r="AC228" s="279" t="b">
        <f t="shared" si="89"/>
        <v>1</v>
      </c>
      <c r="AD228" s="279" t="b">
        <f t="shared" si="89"/>
        <v>1</v>
      </c>
      <c r="AE228" s="279" t="b">
        <f t="shared" si="89"/>
        <v>1</v>
      </c>
      <c r="AF228" s="279" t="b">
        <f t="shared" si="89"/>
        <v>1</v>
      </c>
      <c r="AG228" s="279" t="b">
        <f t="shared" si="89"/>
        <v>1</v>
      </c>
      <c r="AH228" s="279" t="b">
        <f t="shared" si="89"/>
        <v>1</v>
      </c>
      <c r="AI228" s="279" t="b">
        <f t="shared" si="89"/>
        <v>1</v>
      </c>
      <c r="AJ228" s="279" t="b">
        <f t="shared" si="89"/>
        <v>1</v>
      </c>
      <c r="AK228" s="279" t="b">
        <f t="shared" si="89"/>
        <v>1</v>
      </c>
      <c r="AL228" s="279" t="b">
        <f t="shared" si="89"/>
        <v>0</v>
      </c>
      <c r="AM228" s="279" t="b">
        <f t="shared" si="89"/>
        <v>0</v>
      </c>
      <c r="AN228" s="279" t="b">
        <f t="shared" si="89"/>
        <v>0</v>
      </c>
      <c r="AO228" s="279" t="b">
        <f t="shared" si="89"/>
        <v>0</v>
      </c>
      <c r="AP228" s="279" t="b">
        <f t="shared" si="89"/>
        <v>0</v>
      </c>
      <c r="AQ228" s="279"/>
      <c r="AR228" s="279" t="b">
        <f t="shared" ref="AR228:BA228" si="90">AND($BG24=FALSE,AND(AR126&lt;&gt;"",AR126=FALSE),AR24="")</f>
        <v>0</v>
      </c>
      <c r="AS228" s="279" t="b">
        <f t="shared" si="90"/>
        <v>0</v>
      </c>
      <c r="AT228" s="279" t="b">
        <f t="shared" si="90"/>
        <v>0</v>
      </c>
      <c r="AU228" s="279" t="b">
        <f t="shared" si="90"/>
        <v>0</v>
      </c>
      <c r="AV228" s="279" t="b">
        <f t="shared" si="90"/>
        <v>0</v>
      </c>
      <c r="AW228" s="279" t="b">
        <f t="shared" si="90"/>
        <v>0</v>
      </c>
      <c r="AX228" s="279" t="b">
        <f t="shared" si="90"/>
        <v>0</v>
      </c>
      <c r="AY228" s="279" t="b">
        <f t="shared" si="90"/>
        <v>0</v>
      </c>
      <c r="AZ228" s="279" t="b">
        <f t="shared" si="90"/>
        <v>0</v>
      </c>
      <c r="BA228" s="279" t="b">
        <f t="shared" si="90"/>
        <v>0</v>
      </c>
    </row>
    <row r="229" spans="1:53" s="275" customFormat="1" hidden="1" x14ac:dyDescent="0.35">
      <c r="A229" s="275" t="s">
        <v>3</v>
      </c>
      <c r="C229" s="275">
        <v>16</v>
      </c>
      <c r="F229" s="279" t="b">
        <f t="shared" si="80"/>
        <v>1</v>
      </c>
      <c r="G229" s="279" t="b">
        <f t="shared" si="80"/>
        <v>0</v>
      </c>
      <c r="H229" s="279" t="b">
        <f t="shared" si="80"/>
        <v>1</v>
      </c>
      <c r="I229" s="279" t="b">
        <f t="shared" si="80"/>
        <v>0</v>
      </c>
      <c r="J229" s="279" t="b">
        <f t="shared" si="80"/>
        <v>0</v>
      </c>
      <c r="K229" s="279" t="b">
        <f t="shared" si="80"/>
        <v>0</v>
      </c>
      <c r="L229" s="279" t="b">
        <f t="shared" si="80"/>
        <v>0</v>
      </c>
      <c r="M229" s="279"/>
      <c r="N229" s="279" t="b">
        <f t="shared" si="58"/>
        <v>0</v>
      </c>
      <c r="O229" s="279" t="b">
        <f t="shared" si="58"/>
        <v>0</v>
      </c>
      <c r="P229" s="279" t="b">
        <f t="shared" si="58"/>
        <v>1</v>
      </c>
      <c r="Q229" s="279" t="b">
        <f t="shared" si="59"/>
        <v>1</v>
      </c>
      <c r="AB229" s="279" t="b">
        <f t="shared" ref="AB229:AP229" si="91">AND($BG25=FALSE,AND(AB127&lt;&gt;"",AB127=FALSE),AB25="")</f>
        <v>1</v>
      </c>
      <c r="AC229" s="279" t="b">
        <f t="shared" si="91"/>
        <v>1</v>
      </c>
      <c r="AD229" s="279" t="b">
        <f t="shared" si="91"/>
        <v>1</v>
      </c>
      <c r="AE229" s="279" t="b">
        <f t="shared" si="91"/>
        <v>1</v>
      </c>
      <c r="AF229" s="279" t="b">
        <f t="shared" si="91"/>
        <v>1</v>
      </c>
      <c r="AG229" s="279" t="b">
        <f t="shared" si="91"/>
        <v>1</v>
      </c>
      <c r="AH229" s="279" t="b">
        <f t="shared" si="91"/>
        <v>1</v>
      </c>
      <c r="AI229" s="279" t="b">
        <f t="shared" si="91"/>
        <v>1</v>
      </c>
      <c r="AJ229" s="279" t="b">
        <f t="shared" si="91"/>
        <v>1</v>
      </c>
      <c r="AK229" s="279" t="b">
        <f t="shared" si="91"/>
        <v>1</v>
      </c>
      <c r="AL229" s="279" t="b">
        <f t="shared" si="91"/>
        <v>0</v>
      </c>
      <c r="AM229" s="279" t="b">
        <f t="shared" si="91"/>
        <v>0</v>
      </c>
      <c r="AN229" s="279" t="b">
        <f t="shared" si="91"/>
        <v>0</v>
      </c>
      <c r="AO229" s="279" t="b">
        <f t="shared" si="91"/>
        <v>0</v>
      </c>
      <c r="AP229" s="279" t="b">
        <f t="shared" si="91"/>
        <v>0</v>
      </c>
      <c r="AQ229" s="279"/>
      <c r="AR229" s="279" t="b">
        <f t="shared" ref="AR229:BA229" si="92">AND($BG25=FALSE,AND(AR127&lt;&gt;"",AR127=FALSE),AR25="")</f>
        <v>0</v>
      </c>
      <c r="AS229" s="279" t="b">
        <f t="shared" si="92"/>
        <v>0</v>
      </c>
      <c r="AT229" s="279" t="b">
        <f t="shared" si="92"/>
        <v>0</v>
      </c>
      <c r="AU229" s="279" t="b">
        <f t="shared" si="92"/>
        <v>0</v>
      </c>
      <c r="AV229" s="279" t="b">
        <f t="shared" si="92"/>
        <v>0</v>
      </c>
      <c r="AW229" s="279" t="b">
        <f t="shared" si="92"/>
        <v>0</v>
      </c>
      <c r="AX229" s="279" t="b">
        <f t="shared" si="92"/>
        <v>0</v>
      </c>
      <c r="AY229" s="279" t="b">
        <f t="shared" si="92"/>
        <v>0</v>
      </c>
      <c r="AZ229" s="279" t="b">
        <f t="shared" si="92"/>
        <v>0</v>
      </c>
      <c r="BA229" s="279" t="b">
        <f t="shared" si="92"/>
        <v>0</v>
      </c>
    </row>
    <row r="230" spans="1:53" s="275" customFormat="1" hidden="1" x14ac:dyDescent="0.35">
      <c r="A230" s="275" t="s">
        <v>3</v>
      </c>
      <c r="C230" s="275">
        <v>17</v>
      </c>
      <c r="F230" s="279" t="b">
        <f t="shared" si="80"/>
        <v>1</v>
      </c>
      <c r="G230" s="279" t="b">
        <f t="shared" si="80"/>
        <v>0</v>
      </c>
      <c r="H230" s="279" t="b">
        <f t="shared" si="80"/>
        <v>1</v>
      </c>
      <c r="I230" s="279" t="b">
        <f t="shared" si="80"/>
        <v>0</v>
      </c>
      <c r="J230" s="279" t="b">
        <f t="shared" si="80"/>
        <v>0</v>
      </c>
      <c r="K230" s="279" t="b">
        <f t="shared" si="80"/>
        <v>0</v>
      </c>
      <c r="L230" s="279" t="b">
        <f t="shared" si="80"/>
        <v>0</v>
      </c>
      <c r="M230" s="279"/>
      <c r="N230" s="279" t="b">
        <f t="shared" si="58"/>
        <v>0</v>
      </c>
      <c r="O230" s="279" t="b">
        <f t="shared" si="58"/>
        <v>0</v>
      </c>
      <c r="P230" s="279" t="b">
        <f t="shared" si="58"/>
        <v>1</v>
      </c>
      <c r="Q230" s="279" t="b">
        <f t="shared" si="59"/>
        <v>1</v>
      </c>
      <c r="AB230" s="279" t="b">
        <f t="shared" ref="AB230:AP230" si="93">AND($BG26=FALSE,AND(AB128&lt;&gt;"",AB128=FALSE),AB26="")</f>
        <v>1</v>
      </c>
      <c r="AC230" s="279" t="b">
        <f t="shared" si="93"/>
        <v>1</v>
      </c>
      <c r="AD230" s="279" t="b">
        <f t="shared" si="93"/>
        <v>1</v>
      </c>
      <c r="AE230" s="279" t="b">
        <f t="shared" si="93"/>
        <v>1</v>
      </c>
      <c r="AF230" s="279" t="b">
        <f t="shared" si="93"/>
        <v>1</v>
      </c>
      <c r="AG230" s="279" t="b">
        <f t="shared" si="93"/>
        <v>1</v>
      </c>
      <c r="AH230" s="279" t="b">
        <f t="shared" si="93"/>
        <v>1</v>
      </c>
      <c r="AI230" s="279" t="b">
        <f t="shared" si="93"/>
        <v>1</v>
      </c>
      <c r="AJ230" s="279" t="b">
        <f t="shared" si="93"/>
        <v>1</v>
      </c>
      <c r="AK230" s="279" t="b">
        <f t="shared" si="93"/>
        <v>1</v>
      </c>
      <c r="AL230" s="279" t="b">
        <f t="shared" si="93"/>
        <v>0</v>
      </c>
      <c r="AM230" s="279" t="b">
        <f t="shared" si="93"/>
        <v>0</v>
      </c>
      <c r="AN230" s="279" t="b">
        <f t="shared" si="93"/>
        <v>0</v>
      </c>
      <c r="AO230" s="279" t="b">
        <f t="shared" si="93"/>
        <v>0</v>
      </c>
      <c r="AP230" s="279" t="b">
        <f t="shared" si="93"/>
        <v>0</v>
      </c>
      <c r="AQ230" s="279"/>
      <c r="AR230" s="279" t="b">
        <f t="shared" ref="AR230:BA230" si="94">AND($BG26=FALSE,AND(AR128&lt;&gt;"",AR128=FALSE),AR26="")</f>
        <v>0</v>
      </c>
      <c r="AS230" s="279" t="b">
        <f t="shared" si="94"/>
        <v>0</v>
      </c>
      <c r="AT230" s="279" t="b">
        <f t="shared" si="94"/>
        <v>0</v>
      </c>
      <c r="AU230" s="279" t="b">
        <f t="shared" si="94"/>
        <v>0</v>
      </c>
      <c r="AV230" s="279" t="b">
        <f t="shared" si="94"/>
        <v>0</v>
      </c>
      <c r="AW230" s="279" t="b">
        <f t="shared" si="94"/>
        <v>0</v>
      </c>
      <c r="AX230" s="279" t="b">
        <f t="shared" si="94"/>
        <v>0</v>
      </c>
      <c r="AY230" s="279" t="b">
        <f t="shared" si="94"/>
        <v>0</v>
      </c>
      <c r="AZ230" s="279" t="b">
        <f t="shared" si="94"/>
        <v>0</v>
      </c>
      <c r="BA230" s="279" t="b">
        <f t="shared" si="94"/>
        <v>0</v>
      </c>
    </row>
    <row r="231" spans="1:53" s="275" customFormat="1" hidden="1" x14ac:dyDescent="0.35">
      <c r="A231" s="275" t="s">
        <v>3</v>
      </c>
      <c r="C231" s="275">
        <v>18</v>
      </c>
      <c r="F231" s="279" t="b">
        <f t="shared" si="80"/>
        <v>1</v>
      </c>
      <c r="G231" s="279" t="b">
        <f t="shared" si="80"/>
        <v>0</v>
      </c>
      <c r="H231" s="279" t="b">
        <f t="shared" si="80"/>
        <v>1</v>
      </c>
      <c r="I231" s="279" t="b">
        <f t="shared" si="80"/>
        <v>0</v>
      </c>
      <c r="J231" s="279" t="b">
        <f t="shared" si="80"/>
        <v>0</v>
      </c>
      <c r="K231" s="279" t="b">
        <f t="shared" si="80"/>
        <v>0</v>
      </c>
      <c r="L231" s="279" t="b">
        <f t="shared" si="80"/>
        <v>0</v>
      </c>
      <c r="M231" s="279"/>
      <c r="N231" s="279" t="b">
        <f t="shared" si="58"/>
        <v>0</v>
      </c>
      <c r="O231" s="279" t="b">
        <f t="shared" si="58"/>
        <v>0</v>
      </c>
      <c r="P231" s="279" t="b">
        <f t="shared" si="58"/>
        <v>1</v>
      </c>
      <c r="Q231" s="279" t="b">
        <f t="shared" si="59"/>
        <v>1</v>
      </c>
      <c r="AB231" s="279" t="b">
        <f t="shared" ref="AB231:AP231" si="95">AND($BG27=FALSE,AND(AB129&lt;&gt;"",AB129=FALSE),AB27="")</f>
        <v>1</v>
      </c>
      <c r="AC231" s="279" t="b">
        <f t="shared" si="95"/>
        <v>1</v>
      </c>
      <c r="AD231" s="279" t="b">
        <f t="shared" si="95"/>
        <v>1</v>
      </c>
      <c r="AE231" s="279" t="b">
        <f t="shared" si="95"/>
        <v>1</v>
      </c>
      <c r="AF231" s="279" t="b">
        <f t="shared" si="95"/>
        <v>1</v>
      </c>
      <c r="AG231" s="279" t="b">
        <f t="shared" si="95"/>
        <v>1</v>
      </c>
      <c r="AH231" s="279" t="b">
        <f t="shared" si="95"/>
        <v>1</v>
      </c>
      <c r="AI231" s="279" t="b">
        <f t="shared" si="95"/>
        <v>1</v>
      </c>
      <c r="AJ231" s="279" t="b">
        <f t="shared" si="95"/>
        <v>1</v>
      </c>
      <c r="AK231" s="279" t="b">
        <f t="shared" si="95"/>
        <v>1</v>
      </c>
      <c r="AL231" s="279" t="b">
        <f t="shared" si="95"/>
        <v>0</v>
      </c>
      <c r="AM231" s="279" t="b">
        <f t="shared" si="95"/>
        <v>0</v>
      </c>
      <c r="AN231" s="279" t="b">
        <f t="shared" si="95"/>
        <v>0</v>
      </c>
      <c r="AO231" s="279" t="b">
        <f t="shared" si="95"/>
        <v>0</v>
      </c>
      <c r="AP231" s="279" t="b">
        <f t="shared" si="95"/>
        <v>0</v>
      </c>
      <c r="AQ231" s="279"/>
      <c r="AR231" s="279" t="b">
        <f t="shared" ref="AR231:BA231" si="96">AND($BG27=FALSE,AND(AR129&lt;&gt;"",AR129=FALSE),AR27="")</f>
        <v>0</v>
      </c>
      <c r="AS231" s="279" t="b">
        <f t="shared" si="96"/>
        <v>0</v>
      </c>
      <c r="AT231" s="279" t="b">
        <f t="shared" si="96"/>
        <v>0</v>
      </c>
      <c r="AU231" s="279" t="b">
        <f t="shared" si="96"/>
        <v>0</v>
      </c>
      <c r="AV231" s="279" t="b">
        <f t="shared" si="96"/>
        <v>0</v>
      </c>
      <c r="AW231" s="279" t="b">
        <f t="shared" si="96"/>
        <v>0</v>
      </c>
      <c r="AX231" s="279" t="b">
        <f t="shared" si="96"/>
        <v>0</v>
      </c>
      <c r="AY231" s="279" t="b">
        <f t="shared" si="96"/>
        <v>0</v>
      </c>
      <c r="AZ231" s="279" t="b">
        <f t="shared" si="96"/>
        <v>0</v>
      </c>
      <c r="BA231" s="279" t="b">
        <f t="shared" si="96"/>
        <v>0</v>
      </c>
    </row>
    <row r="232" spans="1:53" s="275" customFormat="1" hidden="1" x14ac:dyDescent="0.35">
      <c r="A232" s="275" t="s">
        <v>3</v>
      </c>
      <c r="C232" s="275">
        <v>19</v>
      </c>
      <c r="F232" s="279" t="b">
        <f t="shared" si="80"/>
        <v>1</v>
      </c>
      <c r="G232" s="279" t="b">
        <f t="shared" si="80"/>
        <v>0</v>
      </c>
      <c r="H232" s="279" t="b">
        <f t="shared" si="80"/>
        <v>1</v>
      </c>
      <c r="I232" s="279" t="b">
        <f t="shared" si="80"/>
        <v>0</v>
      </c>
      <c r="J232" s="279" t="b">
        <f t="shared" si="80"/>
        <v>0</v>
      </c>
      <c r="K232" s="279" t="b">
        <f t="shared" si="80"/>
        <v>0</v>
      </c>
      <c r="L232" s="279" t="b">
        <f t="shared" si="80"/>
        <v>0</v>
      </c>
      <c r="M232" s="279"/>
      <c r="N232" s="279" t="b">
        <f t="shared" si="58"/>
        <v>0</v>
      </c>
      <c r="O232" s="279" t="b">
        <f t="shared" si="58"/>
        <v>0</v>
      </c>
      <c r="P232" s="279" t="b">
        <f t="shared" si="58"/>
        <v>1</v>
      </c>
      <c r="Q232" s="279" t="b">
        <f t="shared" si="59"/>
        <v>1</v>
      </c>
      <c r="AB232" s="279" t="b">
        <f t="shared" ref="AB232:AP232" si="97">AND($BG28=FALSE,AND(AB130&lt;&gt;"",AB130=FALSE),AB28="")</f>
        <v>1</v>
      </c>
      <c r="AC232" s="279" t="b">
        <f t="shared" si="97"/>
        <v>1</v>
      </c>
      <c r="AD232" s="279" t="b">
        <f t="shared" si="97"/>
        <v>1</v>
      </c>
      <c r="AE232" s="279" t="b">
        <f t="shared" si="97"/>
        <v>1</v>
      </c>
      <c r="AF232" s="279" t="b">
        <f t="shared" si="97"/>
        <v>1</v>
      </c>
      <c r="AG232" s="279" t="b">
        <f t="shared" si="97"/>
        <v>1</v>
      </c>
      <c r="AH232" s="279" t="b">
        <f t="shared" si="97"/>
        <v>1</v>
      </c>
      <c r="AI232" s="279" t="b">
        <f t="shared" si="97"/>
        <v>1</v>
      </c>
      <c r="AJ232" s="279" t="b">
        <f t="shared" si="97"/>
        <v>1</v>
      </c>
      <c r="AK232" s="279" t="b">
        <f t="shared" si="97"/>
        <v>1</v>
      </c>
      <c r="AL232" s="279" t="b">
        <f t="shared" si="97"/>
        <v>0</v>
      </c>
      <c r="AM232" s="279" t="b">
        <f t="shared" si="97"/>
        <v>0</v>
      </c>
      <c r="AN232" s="279" t="b">
        <f t="shared" si="97"/>
        <v>0</v>
      </c>
      <c r="AO232" s="279" t="b">
        <f t="shared" si="97"/>
        <v>0</v>
      </c>
      <c r="AP232" s="279" t="b">
        <f t="shared" si="97"/>
        <v>0</v>
      </c>
      <c r="AQ232" s="279"/>
      <c r="AR232" s="279" t="b">
        <f t="shared" ref="AR232:BA232" si="98">AND($BG28=FALSE,AND(AR130&lt;&gt;"",AR130=FALSE),AR28="")</f>
        <v>0</v>
      </c>
      <c r="AS232" s="279" t="b">
        <f t="shared" si="98"/>
        <v>0</v>
      </c>
      <c r="AT232" s="279" t="b">
        <f t="shared" si="98"/>
        <v>0</v>
      </c>
      <c r="AU232" s="279" t="b">
        <f t="shared" si="98"/>
        <v>0</v>
      </c>
      <c r="AV232" s="279" t="b">
        <f t="shared" si="98"/>
        <v>0</v>
      </c>
      <c r="AW232" s="279" t="b">
        <f t="shared" si="98"/>
        <v>0</v>
      </c>
      <c r="AX232" s="279" t="b">
        <f t="shared" si="98"/>
        <v>0</v>
      </c>
      <c r="AY232" s="279" t="b">
        <f t="shared" si="98"/>
        <v>0</v>
      </c>
      <c r="AZ232" s="279" t="b">
        <f t="shared" si="98"/>
        <v>0</v>
      </c>
      <c r="BA232" s="279" t="b">
        <f t="shared" si="98"/>
        <v>0</v>
      </c>
    </row>
    <row r="233" spans="1:53" s="275" customFormat="1" hidden="1" x14ac:dyDescent="0.35">
      <c r="A233" s="275" t="s">
        <v>3</v>
      </c>
      <c r="C233" s="275">
        <v>20</v>
      </c>
      <c r="F233" s="279" t="b">
        <f t="shared" si="80"/>
        <v>1</v>
      </c>
      <c r="G233" s="279" t="b">
        <f t="shared" si="80"/>
        <v>0</v>
      </c>
      <c r="H233" s="279" t="b">
        <f t="shared" si="80"/>
        <v>1</v>
      </c>
      <c r="I233" s="279" t="b">
        <f t="shared" si="80"/>
        <v>0</v>
      </c>
      <c r="J233" s="279" t="b">
        <f t="shared" si="80"/>
        <v>0</v>
      </c>
      <c r="K233" s="279" t="b">
        <f t="shared" si="80"/>
        <v>0</v>
      </c>
      <c r="L233" s="279" t="b">
        <f t="shared" si="80"/>
        <v>0</v>
      </c>
      <c r="M233" s="279"/>
      <c r="N233" s="279" t="b">
        <f t="shared" si="58"/>
        <v>0</v>
      </c>
      <c r="O233" s="279" t="b">
        <f t="shared" si="58"/>
        <v>0</v>
      </c>
      <c r="P233" s="279" t="b">
        <f t="shared" si="58"/>
        <v>1</v>
      </c>
      <c r="Q233" s="279" t="b">
        <f t="shared" si="59"/>
        <v>1</v>
      </c>
      <c r="AB233" s="279" t="b">
        <f t="shared" ref="AB233:AP233" si="99">AND($BG29=FALSE,AND(AB131&lt;&gt;"",AB131=FALSE),AB29="")</f>
        <v>1</v>
      </c>
      <c r="AC233" s="279" t="b">
        <f t="shared" si="99"/>
        <v>1</v>
      </c>
      <c r="AD233" s="279" t="b">
        <f t="shared" si="99"/>
        <v>1</v>
      </c>
      <c r="AE233" s="279" t="b">
        <f t="shared" si="99"/>
        <v>1</v>
      </c>
      <c r="AF233" s="279" t="b">
        <f t="shared" si="99"/>
        <v>1</v>
      </c>
      <c r="AG233" s="279" t="b">
        <f t="shared" si="99"/>
        <v>1</v>
      </c>
      <c r="AH233" s="279" t="b">
        <f t="shared" si="99"/>
        <v>1</v>
      </c>
      <c r="AI233" s="279" t="b">
        <f t="shared" si="99"/>
        <v>1</v>
      </c>
      <c r="AJ233" s="279" t="b">
        <f t="shared" si="99"/>
        <v>1</v>
      </c>
      <c r="AK233" s="279" t="b">
        <f t="shared" si="99"/>
        <v>1</v>
      </c>
      <c r="AL233" s="279" t="b">
        <f t="shared" si="99"/>
        <v>0</v>
      </c>
      <c r="AM233" s="279" t="b">
        <f t="shared" si="99"/>
        <v>0</v>
      </c>
      <c r="AN233" s="279" t="b">
        <f t="shared" si="99"/>
        <v>0</v>
      </c>
      <c r="AO233" s="279" t="b">
        <f t="shared" si="99"/>
        <v>0</v>
      </c>
      <c r="AP233" s="279" t="b">
        <f t="shared" si="99"/>
        <v>0</v>
      </c>
      <c r="AQ233" s="279"/>
      <c r="AR233" s="279" t="b">
        <f t="shared" ref="AR233:BA233" si="100">AND($BG29=FALSE,AND(AR131&lt;&gt;"",AR131=FALSE),AR29="")</f>
        <v>0</v>
      </c>
      <c r="AS233" s="279" t="b">
        <f t="shared" si="100"/>
        <v>0</v>
      </c>
      <c r="AT233" s="279" t="b">
        <f t="shared" si="100"/>
        <v>0</v>
      </c>
      <c r="AU233" s="279" t="b">
        <f t="shared" si="100"/>
        <v>0</v>
      </c>
      <c r="AV233" s="279" t="b">
        <f t="shared" si="100"/>
        <v>0</v>
      </c>
      <c r="AW233" s="279" t="b">
        <f t="shared" si="100"/>
        <v>0</v>
      </c>
      <c r="AX233" s="279" t="b">
        <f t="shared" si="100"/>
        <v>0</v>
      </c>
      <c r="AY233" s="279" t="b">
        <f t="shared" si="100"/>
        <v>0</v>
      </c>
      <c r="AZ233" s="279" t="b">
        <f t="shared" si="100"/>
        <v>0</v>
      </c>
      <c r="BA233" s="279" t="b">
        <f t="shared" si="100"/>
        <v>0</v>
      </c>
    </row>
    <row r="234" spans="1:53" s="275" customFormat="1" hidden="1" x14ac:dyDescent="0.35">
      <c r="A234" s="275" t="s">
        <v>3</v>
      </c>
      <c r="C234" s="275">
        <v>21</v>
      </c>
      <c r="F234" s="279" t="b">
        <f t="shared" ref="F234:L243" si="101">AND($BG30=FALSE,AND(F132&lt;&gt;"",F132=FALSE),F30="")</f>
        <v>1</v>
      </c>
      <c r="G234" s="279" t="b">
        <f t="shared" si="101"/>
        <v>0</v>
      </c>
      <c r="H234" s="279" t="b">
        <f t="shared" si="101"/>
        <v>1</v>
      </c>
      <c r="I234" s="279" t="b">
        <f t="shared" si="101"/>
        <v>0</v>
      </c>
      <c r="J234" s="279" t="b">
        <f t="shared" si="101"/>
        <v>0</v>
      </c>
      <c r="K234" s="279" t="b">
        <f t="shared" si="101"/>
        <v>0</v>
      </c>
      <c r="L234" s="279" t="b">
        <f t="shared" si="101"/>
        <v>0</v>
      </c>
      <c r="M234" s="279"/>
      <c r="N234" s="279" t="b">
        <f t="shared" si="58"/>
        <v>0</v>
      </c>
      <c r="O234" s="279" t="b">
        <f t="shared" si="58"/>
        <v>0</v>
      </c>
      <c r="P234" s="279" t="b">
        <f t="shared" si="58"/>
        <v>1</v>
      </c>
      <c r="Q234" s="279" t="b">
        <f t="shared" si="59"/>
        <v>1</v>
      </c>
      <c r="AB234" s="279" t="b">
        <f t="shared" ref="AB234:AP234" si="102">AND($BG30=FALSE,AND(AB132&lt;&gt;"",AB132=FALSE),AB30="")</f>
        <v>1</v>
      </c>
      <c r="AC234" s="279" t="b">
        <f t="shared" si="102"/>
        <v>1</v>
      </c>
      <c r="AD234" s="279" t="b">
        <f t="shared" si="102"/>
        <v>1</v>
      </c>
      <c r="AE234" s="279" t="b">
        <f t="shared" si="102"/>
        <v>1</v>
      </c>
      <c r="AF234" s="279" t="b">
        <f t="shared" si="102"/>
        <v>1</v>
      </c>
      <c r="AG234" s="279" t="b">
        <f t="shared" si="102"/>
        <v>1</v>
      </c>
      <c r="AH234" s="279" t="b">
        <f t="shared" si="102"/>
        <v>1</v>
      </c>
      <c r="AI234" s="279" t="b">
        <f t="shared" si="102"/>
        <v>1</v>
      </c>
      <c r="AJ234" s="279" t="b">
        <f t="shared" si="102"/>
        <v>1</v>
      </c>
      <c r="AK234" s="279" t="b">
        <f t="shared" si="102"/>
        <v>1</v>
      </c>
      <c r="AL234" s="279" t="b">
        <f t="shared" si="102"/>
        <v>0</v>
      </c>
      <c r="AM234" s="279" t="b">
        <f t="shared" si="102"/>
        <v>0</v>
      </c>
      <c r="AN234" s="279" t="b">
        <f t="shared" si="102"/>
        <v>0</v>
      </c>
      <c r="AO234" s="279" t="b">
        <f t="shared" si="102"/>
        <v>0</v>
      </c>
      <c r="AP234" s="279" t="b">
        <f t="shared" si="102"/>
        <v>0</v>
      </c>
      <c r="AQ234" s="279"/>
      <c r="AR234" s="279" t="b">
        <f t="shared" ref="AR234:BA234" si="103">AND($BG30=FALSE,AND(AR132&lt;&gt;"",AR132=FALSE),AR30="")</f>
        <v>0</v>
      </c>
      <c r="AS234" s="279" t="b">
        <f t="shared" si="103"/>
        <v>0</v>
      </c>
      <c r="AT234" s="279" t="b">
        <f t="shared" si="103"/>
        <v>0</v>
      </c>
      <c r="AU234" s="279" t="b">
        <f t="shared" si="103"/>
        <v>0</v>
      </c>
      <c r="AV234" s="279" t="b">
        <f t="shared" si="103"/>
        <v>0</v>
      </c>
      <c r="AW234" s="279" t="b">
        <f t="shared" si="103"/>
        <v>0</v>
      </c>
      <c r="AX234" s="279" t="b">
        <f t="shared" si="103"/>
        <v>0</v>
      </c>
      <c r="AY234" s="279" t="b">
        <f t="shared" si="103"/>
        <v>0</v>
      </c>
      <c r="AZ234" s="279" t="b">
        <f t="shared" si="103"/>
        <v>0</v>
      </c>
      <c r="BA234" s="279" t="b">
        <f t="shared" si="103"/>
        <v>0</v>
      </c>
    </row>
    <row r="235" spans="1:53" s="275" customFormat="1" hidden="1" x14ac:dyDescent="0.35">
      <c r="A235" s="275" t="s">
        <v>3</v>
      </c>
      <c r="C235" s="275">
        <v>22</v>
      </c>
      <c r="F235" s="279" t="b">
        <f t="shared" si="101"/>
        <v>1</v>
      </c>
      <c r="G235" s="279" t="b">
        <f t="shared" si="101"/>
        <v>0</v>
      </c>
      <c r="H235" s="279" t="b">
        <f t="shared" si="101"/>
        <v>1</v>
      </c>
      <c r="I235" s="279" t="b">
        <f t="shared" si="101"/>
        <v>0</v>
      </c>
      <c r="J235" s="279" t="b">
        <f t="shared" si="101"/>
        <v>0</v>
      </c>
      <c r="K235" s="279" t="b">
        <f t="shared" si="101"/>
        <v>0</v>
      </c>
      <c r="L235" s="279" t="b">
        <f t="shared" si="101"/>
        <v>0</v>
      </c>
      <c r="M235" s="279"/>
      <c r="N235" s="279" t="b">
        <f t="shared" si="58"/>
        <v>0</v>
      </c>
      <c r="O235" s="279" t="b">
        <f t="shared" si="58"/>
        <v>0</v>
      </c>
      <c r="P235" s="279" t="b">
        <f t="shared" si="58"/>
        <v>1</v>
      </c>
      <c r="Q235" s="279" t="b">
        <f t="shared" si="59"/>
        <v>1</v>
      </c>
      <c r="AB235" s="279" t="b">
        <f t="shared" ref="AB235:AP235" si="104">AND($BG31=FALSE,AND(AB133&lt;&gt;"",AB133=FALSE),AB31="")</f>
        <v>1</v>
      </c>
      <c r="AC235" s="279" t="b">
        <f t="shared" si="104"/>
        <v>1</v>
      </c>
      <c r="AD235" s="279" t="b">
        <f t="shared" si="104"/>
        <v>1</v>
      </c>
      <c r="AE235" s="279" t="b">
        <f t="shared" si="104"/>
        <v>1</v>
      </c>
      <c r="AF235" s="279" t="b">
        <f t="shared" si="104"/>
        <v>1</v>
      </c>
      <c r="AG235" s="279" t="b">
        <f t="shared" si="104"/>
        <v>1</v>
      </c>
      <c r="AH235" s="279" t="b">
        <f t="shared" si="104"/>
        <v>1</v>
      </c>
      <c r="AI235" s="279" t="b">
        <f t="shared" si="104"/>
        <v>1</v>
      </c>
      <c r="AJ235" s="279" t="b">
        <f t="shared" si="104"/>
        <v>1</v>
      </c>
      <c r="AK235" s="279" t="b">
        <f t="shared" si="104"/>
        <v>1</v>
      </c>
      <c r="AL235" s="279" t="b">
        <f t="shared" si="104"/>
        <v>0</v>
      </c>
      <c r="AM235" s="279" t="b">
        <f t="shared" si="104"/>
        <v>0</v>
      </c>
      <c r="AN235" s="279" t="b">
        <f t="shared" si="104"/>
        <v>0</v>
      </c>
      <c r="AO235" s="279" t="b">
        <f t="shared" si="104"/>
        <v>0</v>
      </c>
      <c r="AP235" s="279" t="b">
        <f t="shared" si="104"/>
        <v>0</v>
      </c>
      <c r="AQ235" s="279"/>
      <c r="AR235" s="279" t="b">
        <f t="shared" ref="AR235:BA235" si="105">AND($BG31=FALSE,AND(AR133&lt;&gt;"",AR133=FALSE),AR31="")</f>
        <v>0</v>
      </c>
      <c r="AS235" s="279" t="b">
        <f t="shared" si="105"/>
        <v>0</v>
      </c>
      <c r="AT235" s="279" t="b">
        <f t="shared" si="105"/>
        <v>0</v>
      </c>
      <c r="AU235" s="279" t="b">
        <f t="shared" si="105"/>
        <v>0</v>
      </c>
      <c r="AV235" s="279" t="b">
        <f t="shared" si="105"/>
        <v>0</v>
      </c>
      <c r="AW235" s="279" t="b">
        <f t="shared" si="105"/>
        <v>0</v>
      </c>
      <c r="AX235" s="279" t="b">
        <f t="shared" si="105"/>
        <v>0</v>
      </c>
      <c r="AY235" s="279" t="b">
        <f t="shared" si="105"/>
        <v>0</v>
      </c>
      <c r="AZ235" s="279" t="b">
        <f t="shared" si="105"/>
        <v>0</v>
      </c>
      <c r="BA235" s="279" t="b">
        <f t="shared" si="105"/>
        <v>0</v>
      </c>
    </row>
    <row r="236" spans="1:53" s="275" customFormat="1" hidden="1" x14ac:dyDescent="0.35">
      <c r="A236" s="275" t="s">
        <v>3</v>
      </c>
      <c r="C236" s="275">
        <v>23</v>
      </c>
      <c r="F236" s="279" t="b">
        <f t="shared" si="101"/>
        <v>1</v>
      </c>
      <c r="G236" s="279" t="b">
        <f t="shared" si="101"/>
        <v>0</v>
      </c>
      <c r="H236" s="279" t="b">
        <f t="shared" si="101"/>
        <v>1</v>
      </c>
      <c r="I236" s="279" t="b">
        <f t="shared" si="101"/>
        <v>0</v>
      </c>
      <c r="J236" s="279" t="b">
        <f t="shared" si="101"/>
        <v>0</v>
      </c>
      <c r="K236" s="279" t="b">
        <f t="shared" si="101"/>
        <v>0</v>
      </c>
      <c r="L236" s="279" t="b">
        <f t="shared" si="101"/>
        <v>0</v>
      </c>
      <c r="M236" s="279"/>
      <c r="N236" s="279" t="b">
        <f t="shared" si="58"/>
        <v>0</v>
      </c>
      <c r="O236" s="279" t="b">
        <f t="shared" si="58"/>
        <v>0</v>
      </c>
      <c r="P236" s="279" t="b">
        <f t="shared" si="58"/>
        <v>1</v>
      </c>
      <c r="Q236" s="279" t="b">
        <f t="shared" si="59"/>
        <v>1</v>
      </c>
      <c r="AB236" s="279" t="b">
        <f t="shared" ref="AB236:AP236" si="106">AND($BG32=FALSE,AND(AB134&lt;&gt;"",AB134=FALSE),AB32="")</f>
        <v>1</v>
      </c>
      <c r="AC236" s="279" t="b">
        <f t="shared" si="106"/>
        <v>1</v>
      </c>
      <c r="AD236" s="279" t="b">
        <f t="shared" si="106"/>
        <v>1</v>
      </c>
      <c r="AE236" s="279" t="b">
        <f t="shared" si="106"/>
        <v>1</v>
      </c>
      <c r="AF236" s="279" t="b">
        <f t="shared" si="106"/>
        <v>1</v>
      </c>
      <c r="AG236" s="279" t="b">
        <f t="shared" si="106"/>
        <v>1</v>
      </c>
      <c r="AH236" s="279" t="b">
        <f t="shared" si="106"/>
        <v>1</v>
      </c>
      <c r="AI236" s="279" t="b">
        <f t="shared" si="106"/>
        <v>1</v>
      </c>
      <c r="AJ236" s="279" t="b">
        <f t="shared" si="106"/>
        <v>1</v>
      </c>
      <c r="AK236" s="279" t="b">
        <f t="shared" si="106"/>
        <v>1</v>
      </c>
      <c r="AL236" s="279" t="b">
        <f t="shared" si="106"/>
        <v>0</v>
      </c>
      <c r="AM236" s="279" t="b">
        <f t="shared" si="106"/>
        <v>0</v>
      </c>
      <c r="AN236" s="279" t="b">
        <f t="shared" si="106"/>
        <v>0</v>
      </c>
      <c r="AO236" s="279" t="b">
        <f t="shared" si="106"/>
        <v>0</v>
      </c>
      <c r="AP236" s="279" t="b">
        <f t="shared" si="106"/>
        <v>0</v>
      </c>
      <c r="AQ236" s="279"/>
      <c r="AR236" s="279" t="b">
        <f t="shared" ref="AR236:BA236" si="107">AND($BG32=FALSE,AND(AR134&lt;&gt;"",AR134=FALSE),AR32="")</f>
        <v>0</v>
      </c>
      <c r="AS236" s="279" t="b">
        <f t="shared" si="107"/>
        <v>0</v>
      </c>
      <c r="AT236" s="279" t="b">
        <f t="shared" si="107"/>
        <v>0</v>
      </c>
      <c r="AU236" s="279" t="b">
        <f t="shared" si="107"/>
        <v>0</v>
      </c>
      <c r="AV236" s="279" t="b">
        <f t="shared" si="107"/>
        <v>0</v>
      </c>
      <c r="AW236" s="279" t="b">
        <f t="shared" si="107"/>
        <v>0</v>
      </c>
      <c r="AX236" s="279" t="b">
        <f t="shared" si="107"/>
        <v>0</v>
      </c>
      <c r="AY236" s="279" t="b">
        <f t="shared" si="107"/>
        <v>0</v>
      </c>
      <c r="AZ236" s="279" t="b">
        <f t="shared" si="107"/>
        <v>0</v>
      </c>
      <c r="BA236" s="279" t="b">
        <f t="shared" si="107"/>
        <v>0</v>
      </c>
    </row>
    <row r="237" spans="1:53" s="275" customFormat="1" hidden="1" x14ac:dyDescent="0.35">
      <c r="A237" s="275" t="s">
        <v>3</v>
      </c>
      <c r="C237" s="275">
        <v>24</v>
      </c>
      <c r="F237" s="279" t="b">
        <f t="shared" si="101"/>
        <v>1</v>
      </c>
      <c r="G237" s="279" t="b">
        <f t="shared" si="101"/>
        <v>0</v>
      </c>
      <c r="H237" s="279" t="b">
        <f t="shared" si="101"/>
        <v>1</v>
      </c>
      <c r="I237" s="279" t="b">
        <f t="shared" si="101"/>
        <v>0</v>
      </c>
      <c r="J237" s="279" t="b">
        <f t="shared" si="101"/>
        <v>0</v>
      </c>
      <c r="K237" s="279" t="b">
        <f t="shared" si="101"/>
        <v>0</v>
      </c>
      <c r="L237" s="279" t="b">
        <f t="shared" si="101"/>
        <v>0</v>
      </c>
      <c r="M237" s="279"/>
      <c r="N237" s="279" t="b">
        <f t="shared" si="58"/>
        <v>0</v>
      </c>
      <c r="O237" s="279" t="b">
        <f t="shared" si="58"/>
        <v>0</v>
      </c>
      <c r="P237" s="279" t="b">
        <f t="shared" si="58"/>
        <v>1</v>
      </c>
      <c r="Q237" s="279" t="b">
        <f t="shared" si="59"/>
        <v>1</v>
      </c>
      <c r="AB237" s="279" t="b">
        <f t="shared" ref="AB237:AP237" si="108">AND($BG33=FALSE,AND(AB135&lt;&gt;"",AB135=FALSE),AB33="")</f>
        <v>1</v>
      </c>
      <c r="AC237" s="279" t="b">
        <f t="shared" si="108"/>
        <v>1</v>
      </c>
      <c r="AD237" s="279" t="b">
        <f t="shared" si="108"/>
        <v>1</v>
      </c>
      <c r="AE237" s="279" t="b">
        <f t="shared" si="108"/>
        <v>1</v>
      </c>
      <c r="AF237" s="279" t="b">
        <f t="shared" si="108"/>
        <v>1</v>
      </c>
      <c r="AG237" s="279" t="b">
        <f t="shared" si="108"/>
        <v>1</v>
      </c>
      <c r="AH237" s="279" t="b">
        <f t="shared" si="108"/>
        <v>1</v>
      </c>
      <c r="AI237" s="279" t="b">
        <f t="shared" si="108"/>
        <v>1</v>
      </c>
      <c r="AJ237" s="279" t="b">
        <f t="shared" si="108"/>
        <v>1</v>
      </c>
      <c r="AK237" s="279" t="b">
        <f t="shared" si="108"/>
        <v>1</v>
      </c>
      <c r="AL237" s="279" t="b">
        <f t="shared" si="108"/>
        <v>0</v>
      </c>
      <c r="AM237" s="279" t="b">
        <f t="shared" si="108"/>
        <v>0</v>
      </c>
      <c r="AN237" s="279" t="b">
        <f t="shared" si="108"/>
        <v>0</v>
      </c>
      <c r="AO237" s="279" t="b">
        <f t="shared" si="108"/>
        <v>0</v>
      </c>
      <c r="AP237" s="279" t="b">
        <f t="shared" si="108"/>
        <v>0</v>
      </c>
      <c r="AQ237" s="279"/>
      <c r="AR237" s="279" t="b">
        <f t="shared" ref="AR237:BA237" si="109">AND($BG33=FALSE,AND(AR135&lt;&gt;"",AR135=FALSE),AR33="")</f>
        <v>0</v>
      </c>
      <c r="AS237" s="279" t="b">
        <f t="shared" si="109"/>
        <v>0</v>
      </c>
      <c r="AT237" s="279" t="b">
        <f t="shared" si="109"/>
        <v>0</v>
      </c>
      <c r="AU237" s="279" t="b">
        <f t="shared" si="109"/>
        <v>0</v>
      </c>
      <c r="AV237" s="279" t="b">
        <f t="shared" si="109"/>
        <v>0</v>
      </c>
      <c r="AW237" s="279" t="b">
        <f t="shared" si="109"/>
        <v>0</v>
      </c>
      <c r="AX237" s="279" t="b">
        <f t="shared" si="109"/>
        <v>0</v>
      </c>
      <c r="AY237" s="279" t="b">
        <f t="shared" si="109"/>
        <v>0</v>
      </c>
      <c r="AZ237" s="279" t="b">
        <f t="shared" si="109"/>
        <v>0</v>
      </c>
      <c r="BA237" s="279" t="b">
        <f t="shared" si="109"/>
        <v>0</v>
      </c>
    </row>
    <row r="238" spans="1:53" s="275" customFormat="1" hidden="1" x14ac:dyDescent="0.35">
      <c r="A238" s="275" t="s">
        <v>3</v>
      </c>
      <c r="C238" s="275">
        <v>25</v>
      </c>
      <c r="F238" s="279" t="b">
        <f t="shared" si="101"/>
        <v>1</v>
      </c>
      <c r="G238" s="279" t="b">
        <f t="shared" si="101"/>
        <v>0</v>
      </c>
      <c r="H238" s="279" t="b">
        <f t="shared" si="101"/>
        <v>1</v>
      </c>
      <c r="I238" s="279" t="b">
        <f t="shared" si="101"/>
        <v>0</v>
      </c>
      <c r="J238" s="279" t="b">
        <f t="shared" si="101"/>
        <v>0</v>
      </c>
      <c r="K238" s="279" t="b">
        <f t="shared" si="101"/>
        <v>0</v>
      </c>
      <c r="L238" s="279" t="b">
        <f t="shared" si="101"/>
        <v>0</v>
      </c>
      <c r="M238" s="279"/>
      <c r="N238" s="279" t="b">
        <f t="shared" si="58"/>
        <v>0</v>
      </c>
      <c r="O238" s="279" t="b">
        <f t="shared" si="58"/>
        <v>0</v>
      </c>
      <c r="P238" s="279" t="b">
        <f t="shared" si="58"/>
        <v>1</v>
      </c>
      <c r="Q238" s="279" t="b">
        <f t="shared" si="59"/>
        <v>1</v>
      </c>
      <c r="AB238" s="279" t="b">
        <f t="shared" ref="AB238:AP238" si="110">AND($BG34=FALSE,AND(AB136&lt;&gt;"",AB136=FALSE),AB34="")</f>
        <v>1</v>
      </c>
      <c r="AC238" s="279" t="b">
        <f t="shared" si="110"/>
        <v>1</v>
      </c>
      <c r="AD238" s="279" t="b">
        <f t="shared" si="110"/>
        <v>1</v>
      </c>
      <c r="AE238" s="279" t="b">
        <f t="shared" si="110"/>
        <v>1</v>
      </c>
      <c r="AF238" s="279" t="b">
        <f t="shared" si="110"/>
        <v>1</v>
      </c>
      <c r="AG238" s="279" t="b">
        <f t="shared" si="110"/>
        <v>1</v>
      </c>
      <c r="AH238" s="279" t="b">
        <f t="shared" si="110"/>
        <v>1</v>
      </c>
      <c r="AI238" s="279" t="b">
        <f t="shared" si="110"/>
        <v>1</v>
      </c>
      <c r="AJ238" s="279" t="b">
        <f t="shared" si="110"/>
        <v>1</v>
      </c>
      <c r="AK238" s="279" t="b">
        <f t="shared" si="110"/>
        <v>1</v>
      </c>
      <c r="AL238" s="279" t="b">
        <f t="shared" si="110"/>
        <v>0</v>
      </c>
      <c r="AM238" s="279" t="b">
        <f t="shared" si="110"/>
        <v>0</v>
      </c>
      <c r="AN238" s="279" t="b">
        <f t="shared" si="110"/>
        <v>0</v>
      </c>
      <c r="AO238" s="279" t="b">
        <f t="shared" si="110"/>
        <v>0</v>
      </c>
      <c r="AP238" s="279" t="b">
        <f t="shared" si="110"/>
        <v>0</v>
      </c>
      <c r="AQ238" s="279"/>
      <c r="AR238" s="279" t="b">
        <f t="shared" ref="AR238:BA238" si="111">AND($BG34=FALSE,AND(AR136&lt;&gt;"",AR136=FALSE),AR34="")</f>
        <v>0</v>
      </c>
      <c r="AS238" s="279" t="b">
        <f t="shared" si="111"/>
        <v>0</v>
      </c>
      <c r="AT238" s="279" t="b">
        <f t="shared" si="111"/>
        <v>0</v>
      </c>
      <c r="AU238" s="279" t="b">
        <f t="shared" si="111"/>
        <v>0</v>
      </c>
      <c r="AV238" s="279" t="b">
        <f t="shared" si="111"/>
        <v>0</v>
      </c>
      <c r="AW238" s="279" t="b">
        <f t="shared" si="111"/>
        <v>0</v>
      </c>
      <c r="AX238" s="279" t="b">
        <f t="shared" si="111"/>
        <v>0</v>
      </c>
      <c r="AY238" s="279" t="b">
        <f t="shared" si="111"/>
        <v>0</v>
      </c>
      <c r="AZ238" s="279" t="b">
        <f t="shared" si="111"/>
        <v>0</v>
      </c>
      <c r="BA238" s="279" t="b">
        <f t="shared" si="111"/>
        <v>0</v>
      </c>
    </row>
    <row r="239" spans="1:53" s="275" customFormat="1" hidden="1" x14ac:dyDescent="0.35">
      <c r="A239" s="275" t="s">
        <v>3</v>
      </c>
      <c r="C239" s="275">
        <v>26</v>
      </c>
      <c r="F239" s="279" t="b">
        <f t="shared" si="101"/>
        <v>1</v>
      </c>
      <c r="G239" s="279" t="b">
        <f t="shared" si="101"/>
        <v>0</v>
      </c>
      <c r="H239" s="279" t="b">
        <f t="shared" si="101"/>
        <v>1</v>
      </c>
      <c r="I239" s="279" t="b">
        <f t="shared" si="101"/>
        <v>0</v>
      </c>
      <c r="J239" s="279" t="b">
        <f t="shared" si="101"/>
        <v>0</v>
      </c>
      <c r="K239" s="279" t="b">
        <f t="shared" si="101"/>
        <v>0</v>
      </c>
      <c r="L239" s="279" t="b">
        <f t="shared" si="101"/>
        <v>0</v>
      </c>
      <c r="M239" s="279"/>
      <c r="N239" s="279" t="b">
        <f t="shared" si="58"/>
        <v>0</v>
      </c>
      <c r="O239" s="279" t="b">
        <f t="shared" si="58"/>
        <v>0</v>
      </c>
      <c r="P239" s="279" t="b">
        <f t="shared" si="58"/>
        <v>1</v>
      </c>
      <c r="Q239" s="279" t="b">
        <f t="shared" si="59"/>
        <v>1</v>
      </c>
      <c r="AB239" s="279" t="b">
        <f t="shared" ref="AB239:AP239" si="112">AND($BG35=FALSE,AND(AB137&lt;&gt;"",AB137=FALSE),AB35="")</f>
        <v>1</v>
      </c>
      <c r="AC239" s="279" t="b">
        <f t="shared" si="112"/>
        <v>1</v>
      </c>
      <c r="AD239" s="279" t="b">
        <f t="shared" si="112"/>
        <v>1</v>
      </c>
      <c r="AE239" s="279" t="b">
        <f t="shared" si="112"/>
        <v>1</v>
      </c>
      <c r="AF239" s="279" t="b">
        <f t="shared" si="112"/>
        <v>1</v>
      </c>
      <c r="AG239" s="279" t="b">
        <f t="shared" si="112"/>
        <v>1</v>
      </c>
      <c r="AH239" s="279" t="b">
        <f t="shared" si="112"/>
        <v>1</v>
      </c>
      <c r="AI239" s="279" t="b">
        <f t="shared" si="112"/>
        <v>1</v>
      </c>
      <c r="AJ239" s="279" t="b">
        <f t="shared" si="112"/>
        <v>1</v>
      </c>
      <c r="AK239" s="279" t="b">
        <f t="shared" si="112"/>
        <v>1</v>
      </c>
      <c r="AL239" s="279" t="b">
        <f t="shared" si="112"/>
        <v>0</v>
      </c>
      <c r="AM239" s="279" t="b">
        <f t="shared" si="112"/>
        <v>0</v>
      </c>
      <c r="AN239" s="279" t="b">
        <f t="shared" si="112"/>
        <v>0</v>
      </c>
      <c r="AO239" s="279" t="b">
        <f t="shared" si="112"/>
        <v>0</v>
      </c>
      <c r="AP239" s="279" t="b">
        <f t="shared" si="112"/>
        <v>0</v>
      </c>
      <c r="AQ239" s="279"/>
      <c r="AR239" s="279" t="b">
        <f t="shared" ref="AR239:BA239" si="113">AND($BG35=FALSE,AND(AR137&lt;&gt;"",AR137=FALSE),AR35="")</f>
        <v>0</v>
      </c>
      <c r="AS239" s="279" t="b">
        <f t="shared" si="113"/>
        <v>0</v>
      </c>
      <c r="AT239" s="279" t="b">
        <f t="shared" si="113"/>
        <v>0</v>
      </c>
      <c r="AU239" s="279" t="b">
        <f t="shared" si="113"/>
        <v>0</v>
      </c>
      <c r="AV239" s="279" t="b">
        <f t="shared" si="113"/>
        <v>0</v>
      </c>
      <c r="AW239" s="279" t="b">
        <f t="shared" si="113"/>
        <v>0</v>
      </c>
      <c r="AX239" s="279" t="b">
        <f t="shared" si="113"/>
        <v>0</v>
      </c>
      <c r="AY239" s="279" t="b">
        <f t="shared" si="113"/>
        <v>0</v>
      </c>
      <c r="AZ239" s="279" t="b">
        <f t="shared" si="113"/>
        <v>0</v>
      </c>
      <c r="BA239" s="279" t="b">
        <f t="shared" si="113"/>
        <v>0</v>
      </c>
    </row>
    <row r="240" spans="1:53" s="275" customFormat="1" hidden="1" x14ac:dyDescent="0.35">
      <c r="A240" s="275" t="s">
        <v>3</v>
      </c>
      <c r="C240" s="275">
        <v>27</v>
      </c>
      <c r="F240" s="279" t="b">
        <f t="shared" si="101"/>
        <v>1</v>
      </c>
      <c r="G240" s="279" t="b">
        <f t="shared" si="101"/>
        <v>0</v>
      </c>
      <c r="H240" s="279" t="b">
        <f t="shared" si="101"/>
        <v>1</v>
      </c>
      <c r="I240" s="279" t="b">
        <f t="shared" si="101"/>
        <v>0</v>
      </c>
      <c r="J240" s="279" t="b">
        <f t="shared" si="101"/>
        <v>0</v>
      </c>
      <c r="K240" s="279" t="b">
        <f t="shared" si="101"/>
        <v>0</v>
      </c>
      <c r="L240" s="279" t="b">
        <f t="shared" si="101"/>
        <v>0</v>
      </c>
      <c r="M240" s="279"/>
      <c r="N240" s="279" t="b">
        <f t="shared" si="58"/>
        <v>0</v>
      </c>
      <c r="O240" s="279" t="b">
        <f t="shared" si="58"/>
        <v>0</v>
      </c>
      <c r="P240" s="279" t="b">
        <f t="shared" si="58"/>
        <v>1</v>
      </c>
      <c r="Q240" s="279" t="b">
        <f t="shared" si="59"/>
        <v>1</v>
      </c>
      <c r="AB240" s="279" t="b">
        <f t="shared" ref="AB240:AP240" si="114">AND($BG36=FALSE,AND(AB138&lt;&gt;"",AB138=FALSE),AB36="")</f>
        <v>1</v>
      </c>
      <c r="AC240" s="279" t="b">
        <f t="shared" si="114"/>
        <v>1</v>
      </c>
      <c r="AD240" s="279" t="b">
        <f t="shared" si="114"/>
        <v>1</v>
      </c>
      <c r="AE240" s="279" t="b">
        <f t="shared" si="114"/>
        <v>1</v>
      </c>
      <c r="AF240" s="279" t="b">
        <f t="shared" si="114"/>
        <v>1</v>
      </c>
      <c r="AG240" s="279" t="b">
        <f t="shared" si="114"/>
        <v>1</v>
      </c>
      <c r="AH240" s="279" t="b">
        <f t="shared" si="114"/>
        <v>1</v>
      </c>
      <c r="AI240" s="279" t="b">
        <f t="shared" si="114"/>
        <v>1</v>
      </c>
      <c r="AJ240" s="279" t="b">
        <f t="shared" si="114"/>
        <v>1</v>
      </c>
      <c r="AK240" s="279" t="b">
        <f t="shared" si="114"/>
        <v>1</v>
      </c>
      <c r="AL240" s="279" t="b">
        <f t="shared" si="114"/>
        <v>0</v>
      </c>
      <c r="AM240" s="279" t="b">
        <f t="shared" si="114"/>
        <v>0</v>
      </c>
      <c r="AN240" s="279" t="b">
        <f t="shared" si="114"/>
        <v>0</v>
      </c>
      <c r="AO240" s="279" t="b">
        <f t="shared" si="114"/>
        <v>0</v>
      </c>
      <c r="AP240" s="279" t="b">
        <f t="shared" si="114"/>
        <v>0</v>
      </c>
      <c r="AQ240" s="279"/>
      <c r="AR240" s="279" t="b">
        <f t="shared" ref="AR240:BA240" si="115">AND($BG36=FALSE,AND(AR138&lt;&gt;"",AR138=FALSE),AR36="")</f>
        <v>0</v>
      </c>
      <c r="AS240" s="279" t="b">
        <f t="shared" si="115"/>
        <v>0</v>
      </c>
      <c r="AT240" s="279" t="b">
        <f t="shared" si="115"/>
        <v>0</v>
      </c>
      <c r="AU240" s="279" t="b">
        <f t="shared" si="115"/>
        <v>0</v>
      </c>
      <c r="AV240" s="279" t="b">
        <f t="shared" si="115"/>
        <v>0</v>
      </c>
      <c r="AW240" s="279" t="b">
        <f t="shared" si="115"/>
        <v>0</v>
      </c>
      <c r="AX240" s="279" t="b">
        <f t="shared" si="115"/>
        <v>0</v>
      </c>
      <c r="AY240" s="279" t="b">
        <f t="shared" si="115"/>
        <v>0</v>
      </c>
      <c r="AZ240" s="279" t="b">
        <f t="shared" si="115"/>
        <v>0</v>
      </c>
      <c r="BA240" s="279" t="b">
        <f t="shared" si="115"/>
        <v>0</v>
      </c>
    </row>
    <row r="241" spans="1:53" s="275" customFormat="1" hidden="1" x14ac:dyDescent="0.35">
      <c r="A241" s="275" t="s">
        <v>3</v>
      </c>
      <c r="C241" s="275">
        <v>28</v>
      </c>
      <c r="F241" s="279" t="b">
        <f t="shared" si="101"/>
        <v>1</v>
      </c>
      <c r="G241" s="279" t="b">
        <f t="shared" si="101"/>
        <v>0</v>
      </c>
      <c r="H241" s="279" t="b">
        <f t="shared" si="101"/>
        <v>1</v>
      </c>
      <c r="I241" s="279" t="b">
        <f t="shared" si="101"/>
        <v>0</v>
      </c>
      <c r="J241" s="279" t="b">
        <f t="shared" si="101"/>
        <v>0</v>
      </c>
      <c r="K241" s="279" t="b">
        <f t="shared" si="101"/>
        <v>0</v>
      </c>
      <c r="L241" s="279" t="b">
        <f t="shared" si="101"/>
        <v>0</v>
      </c>
      <c r="M241" s="279"/>
      <c r="N241" s="279" t="b">
        <f t="shared" si="58"/>
        <v>0</v>
      </c>
      <c r="O241" s="279" t="b">
        <f t="shared" si="58"/>
        <v>0</v>
      </c>
      <c r="P241" s="279" t="b">
        <f t="shared" si="58"/>
        <v>1</v>
      </c>
      <c r="Q241" s="279" t="b">
        <f t="shared" si="59"/>
        <v>1</v>
      </c>
      <c r="AB241" s="279" t="b">
        <f t="shared" ref="AB241:AP241" si="116">AND($BG37=FALSE,AND(AB139&lt;&gt;"",AB139=FALSE),AB37="")</f>
        <v>1</v>
      </c>
      <c r="AC241" s="279" t="b">
        <f t="shared" si="116"/>
        <v>1</v>
      </c>
      <c r="AD241" s="279" t="b">
        <f t="shared" si="116"/>
        <v>1</v>
      </c>
      <c r="AE241" s="279" t="b">
        <f t="shared" si="116"/>
        <v>1</v>
      </c>
      <c r="AF241" s="279" t="b">
        <f t="shared" si="116"/>
        <v>1</v>
      </c>
      <c r="AG241" s="279" t="b">
        <f t="shared" si="116"/>
        <v>1</v>
      </c>
      <c r="AH241" s="279" t="b">
        <f t="shared" si="116"/>
        <v>1</v>
      </c>
      <c r="AI241" s="279" t="b">
        <f t="shared" si="116"/>
        <v>1</v>
      </c>
      <c r="AJ241" s="279" t="b">
        <f t="shared" si="116"/>
        <v>1</v>
      </c>
      <c r="AK241" s="279" t="b">
        <f t="shared" si="116"/>
        <v>1</v>
      </c>
      <c r="AL241" s="279" t="b">
        <f t="shared" si="116"/>
        <v>0</v>
      </c>
      <c r="AM241" s="279" t="b">
        <f t="shared" si="116"/>
        <v>0</v>
      </c>
      <c r="AN241" s="279" t="b">
        <f t="shared" si="116"/>
        <v>0</v>
      </c>
      <c r="AO241" s="279" t="b">
        <f t="shared" si="116"/>
        <v>0</v>
      </c>
      <c r="AP241" s="279" t="b">
        <f t="shared" si="116"/>
        <v>0</v>
      </c>
      <c r="AQ241" s="279"/>
      <c r="AR241" s="279" t="b">
        <f t="shared" ref="AR241:BA241" si="117">AND($BG37=FALSE,AND(AR139&lt;&gt;"",AR139=FALSE),AR37="")</f>
        <v>0</v>
      </c>
      <c r="AS241" s="279" t="b">
        <f t="shared" si="117"/>
        <v>0</v>
      </c>
      <c r="AT241" s="279" t="b">
        <f t="shared" si="117"/>
        <v>0</v>
      </c>
      <c r="AU241" s="279" t="b">
        <f t="shared" si="117"/>
        <v>0</v>
      </c>
      <c r="AV241" s="279" t="b">
        <f t="shared" si="117"/>
        <v>0</v>
      </c>
      <c r="AW241" s="279" t="b">
        <f t="shared" si="117"/>
        <v>0</v>
      </c>
      <c r="AX241" s="279" t="b">
        <f t="shared" si="117"/>
        <v>0</v>
      </c>
      <c r="AY241" s="279" t="b">
        <f t="shared" si="117"/>
        <v>0</v>
      </c>
      <c r="AZ241" s="279" t="b">
        <f t="shared" si="117"/>
        <v>0</v>
      </c>
      <c r="BA241" s="279" t="b">
        <f t="shared" si="117"/>
        <v>0</v>
      </c>
    </row>
    <row r="242" spans="1:53" s="275" customFormat="1" hidden="1" x14ac:dyDescent="0.35">
      <c r="A242" s="275" t="s">
        <v>3</v>
      </c>
      <c r="C242" s="275">
        <v>29</v>
      </c>
      <c r="F242" s="279" t="b">
        <f t="shared" si="101"/>
        <v>1</v>
      </c>
      <c r="G242" s="279" t="b">
        <f t="shared" si="101"/>
        <v>0</v>
      </c>
      <c r="H242" s="279" t="b">
        <f t="shared" si="101"/>
        <v>1</v>
      </c>
      <c r="I242" s="279" t="b">
        <f t="shared" si="101"/>
        <v>0</v>
      </c>
      <c r="J242" s="279" t="b">
        <f t="shared" si="101"/>
        <v>0</v>
      </c>
      <c r="K242" s="279" t="b">
        <f t="shared" si="101"/>
        <v>0</v>
      </c>
      <c r="L242" s="279" t="b">
        <f t="shared" si="101"/>
        <v>0</v>
      </c>
      <c r="M242" s="279"/>
      <c r="N242" s="279" t="b">
        <f t="shared" si="58"/>
        <v>0</v>
      </c>
      <c r="O242" s="279" t="b">
        <f t="shared" si="58"/>
        <v>0</v>
      </c>
      <c r="P242" s="279" t="b">
        <f t="shared" si="58"/>
        <v>1</v>
      </c>
      <c r="Q242" s="279" t="b">
        <f t="shared" si="59"/>
        <v>1</v>
      </c>
      <c r="AB242" s="279" t="b">
        <f t="shared" ref="AB242:AP242" si="118">AND($BG38=FALSE,AND(AB140&lt;&gt;"",AB140=FALSE),AB38="")</f>
        <v>1</v>
      </c>
      <c r="AC242" s="279" t="b">
        <f t="shared" si="118"/>
        <v>1</v>
      </c>
      <c r="AD242" s="279" t="b">
        <f t="shared" si="118"/>
        <v>1</v>
      </c>
      <c r="AE242" s="279" t="b">
        <f t="shared" si="118"/>
        <v>1</v>
      </c>
      <c r="AF242" s="279" t="b">
        <f t="shared" si="118"/>
        <v>1</v>
      </c>
      <c r="AG242" s="279" t="b">
        <f t="shared" si="118"/>
        <v>1</v>
      </c>
      <c r="AH242" s="279" t="b">
        <f t="shared" si="118"/>
        <v>1</v>
      </c>
      <c r="AI242" s="279" t="b">
        <f t="shared" si="118"/>
        <v>1</v>
      </c>
      <c r="AJ242" s="279" t="b">
        <f t="shared" si="118"/>
        <v>1</v>
      </c>
      <c r="AK242" s="279" t="b">
        <f t="shared" si="118"/>
        <v>1</v>
      </c>
      <c r="AL242" s="279" t="b">
        <f t="shared" si="118"/>
        <v>0</v>
      </c>
      <c r="AM242" s="279" t="b">
        <f t="shared" si="118"/>
        <v>0</v>
      </c>
      <c r="AN242" s="279" t="b">
        <f t="shared" si="118"/>
        <v>0</v>
      </c>
      <c r="AO242" s="279" t="b">
        <f t="shared" si="118"/>
        <v>0</v>
      </c>
      <c r="AP242" s="279" t="b">
        <f t="shared" si="118"/>
        <v>0</v>
      </c>
      <c r="AQ242" s="279"/>
      <c r="AR242" s="279" t="b">
        <f t="shared" ref="AR242:BA242" si="119">AND($BG38=FALSE,AND(AR140&lt;&gt;"",AR140=FALSE),AR38="")</f>
        <v>0</v>
      </c>
      <c r="AS242" s="279" t="b">
        <f t="shared" si="119"/>
        <v>0</v>
      </c>
      <c r="AT242" s="279" t="b">
        <f t="shared" si="119"/>
        <v>0</v>
      </c>
      <c r="AU242" s="279" t="b">
        <f t="shared" si="119"/>
        <v>0</v>
      </c>
      <c r="AV242" s="279" t="b">
        <f t="shared" si="119"/>
        <v>0</v>
      </c>
      <c r="AW242" s="279" t="b">
        <f t="shared" si="119"/>
        <v>0</v>
      </c>
      <c r="AX242" s="279" t="b">
        <f t="shared" si="119"/>
        <v>0</v>
      </c>
      <c r="AY242" s="279" t="b">
        <f t="shared" si="119"/>
        <v>0</v>
      </c>
      <c r="AZ242" s="279" t="b">
        <f t="shared" si="119"/>
        <v>0</v>
      </c>
      <c r="BA242" s="279" t="b">
        <f t="shared" si="119"/>
        <v>0</v>
      </c>
    </row>
    <row r="243" spans="1:53" s="275" customFormat="1" hidden="1" x14ac:dyDescent="0.35">
      <c r="A243" s="275" t="s">
        <v>3</v>
      </c>
      <c r="C243" s="275">
        <v>30</v>
      </c>
      <c r="F243" s="279" t="b">
        <f t="shared" si="101"/>
        <v>1</v>
      </c>
      <c r="G243" s="279" t="b">
        <f t="shared" si="101"/>
        <v>0</v>
      </c>
      <c r="H243" s="279" t="b">
        <f t="shared" si="101"/>
        <v>1</v>
      </c>
      <c r="I243" s="279" t="b">
        <f t="shared" si="101"/>
        <v>0</v>
      </c>
      <c r="J243" s="279" t="b">
        <f t="shared" si="101"/>
        <v>0</v>
      </c>
      <c r="K243" s="279" t="b">
        <f t="shared" si="101"/>
        <v>0</v>
      </c>
      <c r="L243" s="279" t="b">
        <f t="shared" si="101"/>
        <v>0</v>
      </c>
      <c r="M243" s="279"/>
      <c r="N243" s="279" t="b">
        <f t="shared" si="58"/>
        <v>0</v>
      </c>
      <c r="O243" s="279" t="b">
        <f t="shared" si="58"/>
        <v>0</v>
      </c>
      <c r="P243" s="279" t="b">
        <f t="shared" si="58"/>
        <v>1</v>
      </c>
      <c r="Q243" s="279" t="b">
        <f t="shared" si="59"/>
        <v>1</v>
      </c>
      <c r="AB243" s="279" t="b">
        <f t="shared" ref="AB243:AP243" si="120">AND($BG39=FALSE,AND(AB141&lt;&gt;"",AB141=FALSE),AB39="")</f>
        <v>1</v>
      </c>
      <c r="AC243" s="279" t="b">
        <f t="shared" si="120"/>
        <v>1</v>
      </c>
      <c r="AD243" s="279" t="b">
        <f t="shared" si="120"/>
        <v>1</v>
      </c>
      <c r="AE243" s="279" t="b">
        <f t="shared" si="120"/>
        <v>1</v>
      </c>
      <c r="AF243" s="279" t="b">
        <f t="shared" si="120"/>
        <v>1</v>
      </c>
      <c r="AG243" s="279" t="b">
        <f t="shared" si="120"/>
        <v>1</v>
      </c>
      <c r="AH243" s="279" t="b">
        <f t="shared" si="120"/>
        <v>1</v>
      </c>
      <c r="AI243" s="279" t="b">
        <f t="shared" si="120"/>
        <v>1</v>
      </c>
      <c r="AJ243" s="279" t="b">
        <f t="shared" si="120"/>
        <v>1</v>
      </c>
      <c r="AK243" s="279" t="b">
        <f t="shared" si="120"/>
        <v>1</v>
      </c>
      <c r="AL243" s="279" t="b">
        <f t="shared" si="120"/>
        <v>0</v>
      </c>
      <c r="AM243" s="279" t="b">
        <f t="shared" si="120"/>
        <v>0</v>
      </c>
      <c r="AN243" s="279" t="b">
        <f t="shared" si="120"/>
        <v>0</v>
      </c>
      <c r="AO243" s="279" t="b">
        <f t="shared" si="120"/>
        <v>0</v>
      </c>
      <c r="AP243" s="279" t="b">
        <f t="shared" si="120"/>
        <v>0</v>
      </c>
      <c r="AQ243" s="279"/>
      <c r="AR243" s="279" t="b">
        <f t="shared" ref="AR243:BA243" si="121">AND($BG39=FALSE,AND(AR141&lt;&gt;"",AR141=FALSE),AR39="")</f>
        <v>0</v>
      </c>
      <c r="AS243" s="279" t="b">
        <f t="shared" si="121"/>
        <v>0</v>
      </c>
      <c r="AT243" s="279" t="b">
        <f t="shared" si="121"/>
        <v>0</v>
      </c>
      <c r="AU243" s="279" t="b">
        <f t="shared" si="121"/>
        <v>0</v>
      </c>
      <c r="AV243" s="279" t="b">
        <f t="shared" si="121"/>
        <v>0</v>
      </c>
      <c r="AW243" s="279" t="b">
        <f t="shared" si="121"/>
        <v>0</v>
      </c>
      <c r="AX243" s="279" t="b">
        <f t="shared" si="121"/>
        <v>0</v>
      </c>
      <c r="AY243" s="279" t="b">
        <f t="shared" si="121"/>
        <v>0</v>
      </c>
      <c r="AZ243" s="279" t="b">
        <f t="shared" si="121"/>
        <v>0</v>
      </c>
      <c r="BA243" s="279" t="b">
        <f t="shared" si="121"/>
        <v>0</v>
      </c>
    </row>
    <row r="244" spans="1:53" s="275" customFormat="1" hidden="1" x14ac:dyDescent="0.35">
      <c r="A244" s="275" t="s">
        <v>3</v>
      </c>
      <c r="C244" s="275">
        <v>31</v>
      </c>
      <c r="F244" s="279" t="b">
        <f t="shared" ref="F244:L244" si="122">AND($BG40=FALSE,AND(F142&lt;&gt;"",F142=FALSE),F40="")</f>
        <v>1</v>
      </c>
      <c r="G244" s="279" t="b">
        <f t="shared" si="122"/>
        <v>0</v>
      </c>
      <c r="H244" s="279" t="b">
        <f t="shared" si="122"/>
        <v>1</v>
      </c>
      <c r="I244" s="279" t="b">
        <f t="shared" si="122"/>
        <v>0</v>
      </c>
      <c r="J244" s="279" t="b">
        <f t="shared" si="122"/>
        <v>0</v>
      </c>
      <c r="K244" s="279" t="b">
        <f t="shared" si="122"/>
        <v>0</v>
      </c>
      <c r="L244" s="279" t="b">
        <f t="shared" si="122"/>
        <v>0</v>
      </c>
      <c r="M244" s="279"/>
      <c r="N244" s="279" t="b">
        <f t="shared" si="58"/>
        <v>0</v>
      </c>
      <c r="O244" s="279" t="b">
        <f t="shared" si="58"/>
        <v>0</v>
      </c>
      <c r="P244" s="279" t="b">
        <f t="shared" si="58"/>
        <v>1</v>
      </c>
      <c r="Q244" s="279" t="b">
        <f t="shared" si="59"/>
        <v>1</v>
      </c>
      <c r="AB244" s="279" t="b">
        <f t="shared" ref="AB244:AP244" si="123">AND($BG40=FALSE,AND(AB142&lt;&gt;"",AB142=FALSE),AB40="")</f>
        <v>1</v>
      </c>
      <c r="AC244" s="279" t="b">
        <f t="shared" si="123"/>
        <v>1</v>
      </c>
      <c r="AD244" s="279" t="b">
        <f t="shared" si="123"/>
        <v>1</v>
      </c>
      <c r="AE244" s="279" t="b">
        <f t="shared" si="123"/>
        <v>1</v>
      </c>
      <c r="AF244" s="279" t="b">
        <f t="shared" si="123"/>
        <v>1</v>
      </c>
      <c r="AG244" s="279" t="b">
        <f t="shared" si="123"/>
        <v>1</v>
      </c>
      <c r="AH244" s="279" t="b">
        <f t="shared" si="123"/>
        <v>1</v>
      </c>
      <c r="AI244" s="279" t="b">
        <f t="shared" si="123"/>
        <v>1</v>
      </c>
      <c r="AJ244" s="279" t="b">
        <f t="shared" si="123"/>
        <v>1</v>
      </c>
      <c r="AK244" s="279" t="b">
        <f t="shared" si="123"/>
        <v>1</v>
      </c>
      <c r="AL244" s="279" t="b">
        <f t="shared" si="123"/>
        <v>0</v>
      </c>
      <c r="AM244" s="279" t="b">
        <f t="shared" si="123"/>
        <v>0</v>
      </c>
      <c r="AN244" s="279" t="b">
        <f t="shared" si="123"/>
        <v>0</v>
      </c>
      <c r="AO244" s="279" t="b">
        <f t="shared" si="123"/>
        <v>0</v>
      </c>
      <c r="AP244" s="279" t="b">
        <f t="shared" si="123"/>
        <v>0</v>
      </c>
      <c r="AQ244" s="279"/>
      <c r="AR244" s="279" t="b">
        <f t="shared" ref="AR244:BA244" si="124">AND($BG40=FALSE,AND(AR142&lt;&gt;"",AR142=FALSE),AR40="")</f>
        <v>0</v>
      </c>
      <c r="AS244" s="279" t="b">
        <f t="shared" si="124"/>
        <v>0</v>
      </c>
      <c r="AT244" s="279" t="b">
        <f t="shared" si="124"/>
        <v>0</v>
      </c>
      <c r="AU244" s="279" t="b">
        <f t="shared" si="124"/>
        <v>0</v>
      </c>
      <c r="AV244" s="279" t="b">
        <f t="shared" si="124"/>
        <v>0</v>
      </c>
      <c r="AW244" s="279" t="b">
        <f t="shared" si="124"/>
        <v>0</v>
      </c>
      <c r="AX244" s="279" t="b">
        <f t="shared" si="124"/>
        <v>0</v>
      </c>
      <c r="AY244" s="279" t="b">
        <f t="shared" si="124"/>
        <v>0</v>
      </c>
      <c r="AZ244" s="279" t="b">
        <f t="shared" si="124"/>
        <v>0</v>
      </c>
      <c r="BA244" s="279" t="b">
        <f t="shared" si="124"/>
        <v>0</v>
      </c>
    </row>
    <row r="245" spans="1:53" s="275" customFormat="1" hidden="1" x14ac:dyDescent="0.35">
      <c r="A245" s="275" t="s">
        <v>3</v>
      </c>
      <c r="C245" s="275">
        <v>32</v>
      </c>
      <c r="F245" s="279" t="b">
        <f t="shared" ref="F245:L245" si="125">AND($BG41=FALSE,AND(F143&lt;&gt;"",F143=FALSE),F41="")</f>
        <v>1</v>
      </c>
      <c r="G245" s="279" t="b">
        <f t="shared" si="125"/>
        <v>0</v>
      </c>
      <c r="H245" s="279" t="b">
        <f t="shared" si="125"/>
        <v>1</v>
      </c>
      <c r="I245" s="279" t="b">
        <f t="shared" si="125"/>
        <v>0</v>
      </c>
      <c r="J245" s="279" t="b">
        <f t="shared" si="125"/>
        <v>0</v>
      </c>
      <c r="K245" s="279" t="b">
        <f t="shared" si="125"/>
        <v>0</v>
      </c>
      <c r="L245" s="279" t="b">
        <f t="shared" si="125"/>
        <v>0</v>
      </c>
      <c r="M245" s="279"/>
      <c r="N245" s="279" t="b">
        <f t="shared" ref="N245:P245" si="126">AND($BG41=FALSE,AND(N143&lt;&gt;"",N143=FALSE),N41="")</f>
        <v>0</v>
      </c>
      <c r="O245" s="279" t="b">
        <f t="shared" si="126"/>
        <v>0</v>
      </c>
      <c r="P245" s="279" t="b">
        <f t="shared" si="126"/>
        <v>1</v>
      </c>
      <c r="Q245" s="279" t="b">
        <f t="shared" si="59"/>
        <v>1</v>
      </c>
      <c r="AB245" s="279" t="b">
        <f t="shared" si="59"/>
        <v>1</v>
      </c>
      <c r="AC245" s="279" t="b">
        <f t="shared" si="59"/>
        <v>1</v>
      </c>
      <c r="AD245" s="279" t="b">
        <f t="shared" si="59"/>
        <v>1</v>
      </c>
      <c r="AE245" s="279" t="b">
        <f t="shared" si="59"/>
        <v>1</v>
      </c>
      <c r="AF245" s="279" t="b">
        <f t="shared" si="59"/>
        <v>1</v>
      </c>
      <c r="AG245" s="279" t="b">
        <f t="shared" ref="AG245:AP245" si="127">AND($BG41=FALSE,AND(AG143&lt;&gt;"",AG143=FALSE),AG41="")</f>
        <v>1</v>
      </c>
      <c r="AH245" s="279" t="b">
        <f t="shared" si="127"/>
        <v>1</v>
      </c>
      <c r="AI245" s="279" t="b">
        <f t="shared" si="127"/>
        <v>1</v>
      </c>
      <c r="AJ245" s="279" t="b">
        <f t="shared" si="127"/>
        <v>1</v>
      </c>
      <c r="AK245" s="279" t="b">
        <f t="shared" si="127"/>
        <v>1</v>
      </c>
      <c r="AL245" s="279" t="b">
        <f t="shared" si="127"/>
        <v>0</v>
      </c>
      <c r="AM245" s="279" t="b">
        <f t="shared" si="127"/>
        <v>0</v>
      </c>
      <c r="AN245" s="279" t="b">
        <f t="shared" si="127"/>
        <v>0</v>
      </c>
      <c r="AO245" s="279" t="b">
        <f t="shared" si="127"/>
        <v>0</v>
      </c>
      <c r="AP245" s="279" t="b">
        <f t="shared" si="127"/>
        <v>0</v>
      </c>
      <c r="AQ245" s="279"/>
      <c r="AR245" s="279" t="b">
        <f t="shared" ref="AR245:BA245" si="128">AND($BG41=FALSE,AND(AR143&lt;&gt;"",AR143=FALSE),AR41="")</f>
        <v>0</v>
      </c>
      <c r="AS245" s="279" t="b">
        <f t="shared" si="128"/>
        <v>0</v>
      </c>
      <c r="AT245" s="279" t="b">
        <f t="shared" si="128"/>
        <v>0</v>
      </c>
      <c r="AU245" s="279" t="b">
        <f t="shared" si="128"/>
        <v>0</v>
      </c>
      <c r="AV245" s="279" t="b">
        <f t="shared" si="128"/>
        <v>0</v>
      </c>
      <c r="AW245" s="279" t="b">
        <f t="shared" si="128"/>
        <v>0</v>
      </c>
      <c r="AX245" s="279" t="b">
        <f t="shared" si="128"/>
        <v>0</v>
      </c>
      <c r="AY245" s="279" t="b">
        <f t="shared" si="128"/>
        <v>0</v>
      </c>
      <c r="AZ245" s="279" t="b">
        <f t="shared" si="128"/>
        <v>0</v>
      </c>
      <c r="BA245" s="279" t="b">
        <f t="shared" si="128"/>
        <v>0</v>
      </c>
    </row>
    <row r="246" spans="1:53" s="275" customFormat="1" hidden="1" x14ac:dyDescent="0.35">
      <c r="A246" s="275" t="s">
        <v>3</v>
      </c>
      <c r="C246" s="275">
        <v>33</v>
      </c>
      <c r="F246" s="279" t="b">
        <f t="shared" ref="F246:L246" si="129">AND($BG42=FALSE,AND(F144&lt;&gt;"",F144=FALSE),F42="")</f>
        <v>1</v>
      </c>
      <c r="G246" s="279" t="b">
        <f t="shared" si="129"/>
        <v>0</v>
      </c>
      <c r="H246" s="279" t="b">
        <f t="shared" si="129"/>
        <v>1</v>
      </c>
      <c r="I246" s="279" t="b">
        <f t="shared" si="129"/>
        <v>0</v>
      </c>
      <c r="J246" s="279" t="b">
        <f t="shared" si="129"/>
        <v>0</v>
      </c>
      <c r="K246" s="279" t="b">
        <f t="shared" si="129"/>
        <v>0</v>
      </c>
      <c r="L246" s="279" t="b">
        <f t="shared" si="129"/>
        <v>0</v>
      </c>
      <c r="M246" s="279"/>
      <c r="N246" s="279" t="b">
        <f t="shared" ref="N246:AP255" si="130">AND($BG42=FALSE,AND(N144&lt;&gt;"",N144=FALSE),N42="")</f>
        <v>0</v>
      </c>
      <c r="O246" s="279" t="b">
        <f t="shared" si="130"/>
        <v>0</v>
      </c>
      <c r="P246" s="279" t="b">
        <f t="shared" si="130"/>
        <v>1</v>
      </c>
      <c r="Q246" s="279" t="b">
        <f t="shared" si="130"/>
        <v>1</v>
      </c>
      <c r="AB246" s="279" t="b">
        <f t="shared" si="130"/>
        <v>1</v>
      </c>
      <c r="AC246" s="279" t="b">
        <f t="shared" si="130"/>
        <v>1</v>
      </c>
      <c r="AD246" s="279" t="b">
        <f t="shared" si="130"/>
        <v>1</v>
      </c>
      <c r="AE246" s="279" t="b">
        <f t="shared" si="130"/>
        <v>1</v>
      </c>
      <c r="AF246" s="279" t="b">
        <f t="shared" si="130"/>
        <v>1</v>
      </c>
      <c r="AG246" s="279" t="b">
        <f t="shared" si="130"/>
        <v>1</v>
      </c>
      <c r="AH246" s="279" t="b">
        <f t="shared" si="130"/>
        <v>1</v>
      </c>
      <c r="AI246" s="279" t="b">
        <f t="shared" si="130"/>
        <v>1</v>
      </c>
      <c r="AJ246" s="279" t="b">
        <f t="shared" si="130"/>
        <v>1</v>
      </c>
      <c r="AK246" s="279" t="b">
        <f t="shared" si="130"/>
        <v>1</v>
      </c>
      <c r="AL246" s="279" t="b">
        <f t="shared" si="130"/>
        <v>0</v>
      </c>
      <c r="AM246" s="279" t="b">
        <f t="shared" si="130"/>
        <v>0</v>
      </c>
      <c r="AN246" s="279" t="b">
        <f t="shared" si="130"/>
        <v>0</v>
      </c>
      <c r="AO246" s="279" t="b">
        <f t="shared" si="130"/>
        <v>0</v>
      </c>
      <c r="AP246" s="279" t="b">
        <f t="shared" si="130"/>
        <v>0</v>
      </c>
      <c r="AQ246" s="279"/>
      <c r="AR246" s="279" t="b">
        <f t="shared" ref="AR246:BA246" si="131">AND($BG42=FALSE,AND(AR144&lt;&gt;"",AR144=FALSE),AR42="")</f>
        <v>0</v>
      </c>
      <c r="AS246" s="279" t="b">
        <f t="shared" si="131"/>
        <v>0</v>
      </c>
      <c r="AT246" s="279" t="b">
        <f t="shared" si="131"/>
        <v>0</v>
      </c>
      <c r="AU246" s="279" t="b">
        <f t="shared" si="131"/>
        <v>0</v>
      </c>
      <c r="AV246" s="279" t="b">
        <f t="shared" si="131"/>
        <v>0</v>
      </c>
      <c r="AW246" s="279" t="b">
        <f t="shared" si="131"/>
        <v>0</v>
      </c>
      <c r="AX246" s="279" t="b">
        <f t="shared" si="131"/>
        <v>0</v>
      </c>
      <c r="AY246" s="279" t="b">
        <f t="shared" si="131"/>
        <v>0</v>
      </c>
      <c r="AZ246" s="279" t="b">
        <f t="shared" si="131"/>
        <v>0</v>
      </c>
      <c r="BA246" s="279" t="b">
        <f t="shared" si="131"/>
        <v>0</v>
      </c>
    </row>
    <row r="247" spans="1:53" s="275" customFormat="1" hidden="1" x14ac:dyDescent="0.35">
      <c r="A247" s="275" t="s">
        <v>3</v>
      </c>
      <c r="C247" s="275">
        <v>34</v>
      </c>
      <c r="F247" s="279" t="b">
        <f t="shared" ref="F247:L247" si="132">AND($BG43=FALSE,AND(F145&lt;&gt;"",F145=FALSE),F43="")</f>
        <v>1</v>
      </c>
      <c r="G247" s="279" t="b">
        <f t="shared" si="132"/>
        <v>0</v>
      </c>
      <c r="H247" s="279" t="b">
        <f t="shared" si="132"/>
        <v>1</v>
      </c>
      <c r="I247" s="279" t="b">
        <f t="shared" si="132"/>
        <v>0</v>
      </c>
      <c r="J247" s="279" t="b">
        <f t="shared" si="132"/>
        <v>0</v>
      </c>
      <c r="K247" s="279" t="b">
        <f t="shared" si="132"/>
        <v>0</v>
      </c>
      <c r="L247" s="279" t="b">
        <f t="shared" si="132"/>
        <v>0</v>
      </c>
      <c r="M247" s="279"/>
      <c r="N247" s="279" t="b">
        <f t="shared" ref="N247:P247" si="133">AND($BG43=FALSE,AND(N145&lt;&gt;"",N145=FALSE),N43="")</f>
        <v>0</v>
      </c>
      <c r="O247" s="279" t="b">
        <f t="shared" si="133"/>
        <v>0</v>
      </c>
      <c r="P247" s="279" t="b">
        <f t="shared" si="133"/>
        <v>1</v>
      </c>
      <c r="Q247" s="279" t="b">
        <f t="shared" si="130"/>
        <v>1</v>
      </c>
      <c r="AB247" s="279" t="b">
        <f t="shared" si="130"/>
        <v>1</v>
      </c>
      <c r="AC247" s="279" t="b">
        <f t="shared" si="130"/>
        <v>1</v>
      </c>
      <c r="AD247" s="279" t="b">
        <f t="shared" si="130"/>
        <v>1</v>
      </c>
      <c r="AE247" s="279" t="b">
        <f t="shared" si="130"/>
        <v>1</v>
      </c>
      <c r="AF247" s="279" t="b">
        <f t="shared" si="130"/>
        <v>1</v>
      </c>
      <c r="AG247" s="279" t="b">
        <f t="shared" si="130"/>
        <v>1</v>
      </c>
      <c r="AH247" s="279" t="b">
        <f t="shared" si="130"/>
        <v>1</v>
      </c>
      <c r="AI247" s="279" t="b">
        <f t="shared" si="130"/>
        <v>1</v>
      </c>
      <c r="AJ247" s="279" t="b">
        <f t="shared" si="130"/>
        <v>1</v>
      </c>
      <c r="AK247" s="279" t="b">
        <f t="shared" si="130"/>
        <v>1</v>
      </c>
      <c r="AL247" s="279" t="b">
        <f t="shared" si="130"/>
        <v>0</v>
      </c>
      <c r="AM247" s="279" t="b">
        <f t="shared" si="130"/>
        <v>0</v>
      </c>
      <c r="AN247" s="279" t="b">
        <f t="shared" si="130"/>
        <v>0</v>
      </c>
      <c r="AO247" s="279" t="b">
        <f t="shared" si="130"/>
        <v>0</v>
      </c>
      <c r="AP247" s="279" t="b">
        <f t="shared" si="130"/>
        <v>0</v>
      </c>
      <c r="AQ247" s="279"/>
      <c r="AR247" s="279" t="b">
        <f t="shared" ref="AR247:BA247" si="134">AND($BG43=FALSE,AND(AR145&lt;&gt;"",AR145=FALSE),AR43="")</f>
        <v>0</v>
      </c>
      <c r="AS247" s="279" t="b">
        <f t="shared" si="134"/>
        <v>0</v>
      </c>
      <c r="AT247" s="279" t="b">
        <f t="shared" si="134"/>
        <v>0</v>
      </c>
      <c r="AU247" s="279" t="b">
        <f t="shared" si="134"/>
        <v>0</v>
      </c>
      <c r="AV247" s="279" t="b">
        <f t="shared" si="134"/>
        <v>0</v>
      </c>
      <c r="AW247" s="279" t="b">
        <f t="shared" si="134"/>
        <v>0</v>
      </c>
      <c r="AX247" s="279" t="b">
        <f t="shared" si="134"/>
        <v>0</v>
      </c>
      <c r="AY247" s="279" t="b">
        <f t="shared" si="134"/>
        <v>0</v>
      </c>
      <c r="AZ247" s="279" t="b">
        <f t="shared" si="134"/>
        <v>0</v>
      </c>
      <c r="BA247" s="279" t="b">
        <f t="shared" si="134"/>
        <v>0</v>
      </c>
    </row>
    <row r="248" spans="1:53" s="275" customFormat="1" hidden="1" x14ac:dyDescent="0.35">
      <c r="A248" s="275" t="s">
        <v>3</v>
      </c>
      <c r="C248" s="275">
        <v>35</v>
      </c>
      <c r="F248" s="279" t="b">
        <f t="shared" ref="F248:L248" si="135">AND($BG44=FALSE,AND(F146&lt;&gt;"",F146=FALSE),F44="")</f>
        <v>1</v>
      </c>
      <c r="G248" s="279" t="b">
        <f t="shared" si="135"/>
        <v>0</v>
      </c>
      <c r="H248" s="279" t="b">
        <f t="shared" si="135"/>
        <v>1</v>
      </c>
      <c r="I248" s="279" t="b">
        <f t="shared" si="135"/>
        <v>0</v>
      </c>
      <c r="J248" s="279" t="b">
        <f t="shared" si="135"/>
        <v>0</v>
      </c>
      <c r="K248" s="279" t="b">
        <f t="shared" si="135"/>
        <v>0</v>
      </c>
      <c r="L248" s="279" t="b">
        <f t="shared" si="135"/>
        <v>0</v>
      </c>
      <c r="M248" s="279"/>
      <c r="N248" s="279" t="b">
        <f t="shared" ref="N248:P248" si="136">AND($BG44=FALSE,AND(N146&lt;&gt;"",N146=FALSE),N44="")</f>
        <v>0</v>
      </c>
      <c r="O248" s="279" t="b">
        <f t="shared" si="136"/>
        <v>0</v>
      </c>
      <c r="P248" s="279" t="b">
        <f t="shared" si="136"/>
        <v>1</v>
      </c>
      <c r="Q248" s="279" t="b">
        <f t="shared" si="130"/>
        <v>1</v>
      </c>
      <c r="AB248" s="279" t="b">
        <f t="shared" si="130"/>
        <v>1</v>
      </c>
      <c r="AC248" s="279" t="b">
        <f t="shared" si="130"/>
        <v>1</v>
      </c>
      <c r="AD248" s="279" t="b">
        <f t="shared" si="130"/>
        <v>1</v>
      </c>
      <c r="AE248" s="279" t="b">
        <f t="shared" si="130"/>
        <v>1</v>
      </c>
      <c r="AF248" s="279" t="b">
        <f t="shared" si="130"/>
        <v>1</v>
      </c>
      <c r="AG248" s="279" t="b">
        <f t="shared" si="130"/>
        <v>1</v>
      </c>
      <c r="AH248" s="279" t="b">
        <f t="shared" si="130"/>
        <v>1</v>
      </c>
      <c r="AI248" s="279" t="b">
        <f t="shared" si="130"/>
        <v>1</v>
      </c>
      <c r="AJ248" s="279" t="b">
        <f t="shared" si="130"/>
        <v>1</v>
      </c>
      <c r="AK248" s="279" t="b">
        <f t="shared" si="130"/>
        <v>1</v>
      </c>
      <c r="AL248" s="279" t="b">
        <f t="shared" si="130"/>
        <v>0</v>
      </c>
      <c r="AM248" s="279" t="b">
        <f t="shared" si="130"/>
        <v>0</v>
      </c>
      <c r="AN248" s="279" t="b">
        <f t="shared" si="130"/>
        <v>0</v>
      </c>
      <c r="AO248" s="279" t="b">
        <f t="shared" si="130"/>
        <v>0</v>
      </c>
      <c r="AP248" s="279" t="b">
        <f t="shared" si="130"/>
        <v>0</v>
      </c>
      <c r="AQ248" s="279"/>
      <c r="AR248" s="279" t="b">
        <f t="shared" ref="AR248:BA248" si="137">AND($BG44=FALSE,AND(AR146&lt;&gt;"",AR146=FALSE),AR44="")</f>
        <v>0</v>
      </c>
      <c r="AS248" s="279" t="b">
        <f t="shared" si="137"/>
        <v>0</v>
      </c>
      <c r="AT248" s="279" t="b">
        <f t="shared" si="137"/>
        <v>0</v>
      </c>
      <c r="AU248" s="279" t="b">
        <f t="shared" si="137"/>
        <v>0</v>
      </c>
      <c r="AV248" s="279" t="b">
        <f t="shared" si="137"/>
        <v>0</v>
      </c>
      <c r="AW248" s="279" t="b">
        <f t="shared" si="137"/>
        <v>0</v>
      </c>
      <c r="AX248" s="279" t="b">
        <f t="shared" si="137"/>
        <v>0</v>
      </c>
      <c r="AY248" s="279" t="b">
        <f t="shared" si="137"/>
        <v>0</v>
      </c>
      <c r="AZ248" s="279" t="b">
        <f t="shared" si="137"/>
        <v>0</v>
      </c>
      <c r="BA248" s="279" t="b">
        <f t="shared" si="137"/>
        <v>0</v>
      </c>
    </row>
    <row r="249" spans="1:53" s="275" customFormat="1" hidden="1" x14ac:dyDescent="0.35">
      <c r="A249" s="275" t="s">
        <v>3</v>
      </c>
      <c r="C249" s="275">
        <v>36</v>
      </c>
      <c r="F249" s="279" t="b">
        <f t="shared" ref="F249:L249" si="138">AND($BG45=FALSE,AND(F147&lt;&gt;"",F147=FALSE),F45="")</f>
        <v>1</v>
      </c>
      <c r="G249" s="279" t="b">
        <f t="shared" si="138"/>
        <v>0</v>
      </c>
      <c r="H249" s="279" t="b">
        <f t="shared" si="138"/>
        <v>1</v>
      </c>
      <c r="I249" s="279" t="b">
        <f t="shared" si="138"/>
        <v>0</v>
      </c>
      <c r="J249" s="279" t="b">
        <f t="shared" si="138"/>
        <v>0</v>
      </c>
      <c r="K249" s="279" t="b">
        <f t="shared" si="138"/>
        <v>0</v>
      </c>
      <c r="L249" s="279" t="b">
        <f t="shared" si="138"/>
        <v>0</v>
      </c>
      <c r="M249" s="279"/>
      <c r="N249" s="279" t="b">
        <f t="shared" ref="N249:P249" si="139">AND($BG45=FALSE,AND(N147&lt;&gt;"",N147=FALSE),N45="")</f>
        <v>0</v>
      </c>
      <c r="O249" s="279" t="b">
        <f t="shared" si="139"/>
        <v>0</v>
      </c>
      <c r="P249" s="279" t="b">
        <f t="shared" si="139"/>
        <v>1</v>
      </c>
      <c r="Q249" s="279" t="b">
        <f t="shared" si="130"/>
        <v>1</v>
      </c>
      <c r="AB249" s="279" t="b">
        <f t="shared" si="130"/>
        <v>1</v>
      </c>
      <c r="AC249" s="279" t="b">
        <f t="shared" si="130"/>
        <v>1</v>
      </c>
      <c r="AD249" s="279" t="b">
        <f t="shared" si="130"/>
        <v>1</v>
      </c>
      <c r="AE249" s="279" t="b">
        <f t="shared" si="130"/>
        <v>1</v>
      </c>
      <c r="AF249" s="279" t="b">
        <f t="shared" si="130"/>
        <v>1</v>
      </c>
      <c r="AG249" s="279" t="b">
        <f t="shared" si="130"/>
        <v>1</v>
      </c>
      <c r="AH249" s="279" t="b">
        <f t="shared" si="130"/>
        <v>1</v>
      </c>
      <c r="AI249" s="279" t="b">
        <f t="shared" si="130"/>
        <v>1</v>
      </c>
      <c r="AJ249" s="279" t="b">
        <f t="shared" si="130"/>
        <v>1</v>
      </c>
      <c r="AK249" s="279" t="b">
        <f t="shared" si="130"/>
        <v>1</v>
      </c>
      <c r="AL249" s="279" t="b">
        <f t="shared" si="130"/>
        <v>0</v>
      </c>
      <c r="AM249" s="279" t="b">
        <f t="shared" si="130"/>
        <v>0</v>
      </c>
      <c r="AN249" s="279" t="b">
        <f t="shared" si="130"/>
        <v>0</v>
      </c>
      <c r="AO249" s="279" t="b">
        <f t="shared" si="130"/>
        <v>0</v>
      </c>
      <c r="AP249" s="279" t="b">
        <f t="shared" si="130"/>
        <v>0</v>
      </c>
      <c r="AQ249" s="279"/>
      <c r="AR249" s="279" t="b">
        <f t="shared" ref="AR249:BA249" si="140">AND($BG45=FALSE,AND(AR147&lt;&gt;"",AR147=FALSE),AR45="")</f>
        <v>0</v>
      </c>
      <c r="AS249" s="279" t="b">
        <f t="shared" si="140"/>
        <v>0</v>
      </c>
      <c r="AT249" s="279" t="b">
        <f t="shared" si="140"/>
        <v>0</v>
      </c>
      <c r="AU249" s="279" t="b">
        <f t="shared" si="140"/>
        <v>0</v>
      </c>
      <c r="AV249" s="279" t="b">
        <f t="shared" si="140"/>
        <v>0</v>
      </c>
      <c r="AW249" s="279" t="b">
        <f t="shared" si="140"/>
        <v>0</v>
      </c>
      <c r="AX249" s="279" t="b">
        <f t="shared" si="140"/>
        <v>0</v>
      </c>
      <c r="AY249" s="279" t="b">
        <f t="shared" si="140"/>
        <v>0</v>
      </c>
      <c r="AZ249" s="279" t="b">
        <f t="shared" si="140"/>
        <v>0</v>
      </c>
      <c r="BA249" s="279" t="b">
        <f t="shared" si="140"/>
        <v>0</v>
      </c>
    </row>
    <row r="250" spans="1:53" s="275" customFormat="1" hidden="1" x14ac:dyDescent="0.35">
      <c r="A250" s="275" t="s">
        <v>3</v>
      </c>
      <c r="C250" s="275">
        <v>37</v>
      </c>
      <c r="F250" s="279" t="b">
        <f t="shared" ref="F250:L250" si="141">AND($BG46=FALSE,AND(F148&lt;&gt;"",F148=FALSE),F46="")</f>
        <v>1</v>
      </c>
      <c r="G250" s="279" t="b">
        <f t="shared" si="141"/>
        <v>0</v>
      </c>
      <c r="H250" s="279" t="b">
        <f t="shared" si="141"/>
        <v>1</v>
      </c>
      <c r="I250" s="279" t="b">
        <f t="shared" si="141"/>
        <v>0</v>
      </c>
      <c r="J250" s="279" t="b">
        <f t="shared" si="141"/>
        <v>0</v>
      </c>
      <c r="K250" s="279" t="b">
        <f t="shared" si="141"/>
        <v>0</v>
      </c>
      <c r="L250" s="279" t="b">
        <f t="shared" si="141"/>
        <v>0</v>
      </c>
      <c r="M250" s="279"/>
      <c r="N250" s="279" t="b">
        <f t="shared" ref="N250:P250" si="142">AND($BG46=FALSE,AND(N148&lt;&gt;"",N148=FALSE),N46="")</f>
        <v>0</v>
      </c>
      <c r="O250" s="279" t="b">
        <f t="shared" si="142"/>
        <v>0</v>
      </c>
      <c r="P250" s="279" t="b">
        <f t="shared" si="142"/>
        <v>1</v>
      </c>
      <c r="Q250" s="279" t="b">
        <f t="shared" si="130"/>
        <v>1</v>
      </c>
      <c r="AB250" s="279" t="b">
        <f t="shared" si="130"/>
        <v>1</v>
      </c>
      <c r="AC250" s="279" t="b">
        <f t="shared" si="130"/>
        <v>1</v>
      </c>
      <c r="AD250" s="279" t="b">
        <f t="shared" si="130"/>
        <v>1</v>
      </c>
      <c r="AE250" s="279" t="b">
        <f t="shared" si="130"/>
        <v>1</v>
      </c>
      <c r="AF250" s="279" t="b">
        <f t="shared" si="130"/>
        <v>1</v>
      </c>
      <c r="AG250" s="279" t="b">
        <f t="shared" si="130"/>
        <v>1</v>
      </c>
      <c r="AH250" s="279" t="b">
        <f t="shared" si="130"/>
        <v>1</v>
      </c>
      <c r="AI250" s="279" t="b">
        <f t="shared" si="130"/>
        <v>1</v>
      </c>
      <c r="AJ250" s="279" t="b">
        <f t="shared" si="130"/>
        <v>1</v>
      </c>
      <c r="AK250" s="279" t="b">
        <f t="shared" si="130"/>
        <v>1</v>
      </c>
      <c r="AL250" s="279" t="b">
        <f t="shared" si="130"/>
        <v>0</v>
      </c>
      <c r="AM250" s="279" t="b">
        <f t="shared" si="130"/>
        <v>0</v>
      </c>
      <c r="AN250" s="279" t="b">
        <f t="shared" si="130"/>
        <v>0</v>
      </c>
      <c r="AO250" s="279" t="b">
        <f t="shared" si="130"/>
        <v>0</v>
      </c>
      <c r="AP250" s="279" t="b">
        <f t="shared" si="130"/>
        <v>0</v>
      </c>
      <c r="AQ250" s="279"/>
      <c r="AR250" s="279" t="b">
        <f t="shared" ref="AR250:BA250" si="143">AND($BG46=FALSE,AND(AR148&lt;&gt;"",AR148=FALSE),AR46="")</f>
        <v>0</v>
      </c>
      <c r="AS250" s="279" t="b">
        <f t="shared" si="143"/>
        <v>0</v>
      </c>
      <c r="AT250" s="279" t="b">
        <f t="shared" si="143"/>
        <v>0</v>
      </c>
      <c r="AU250" s="279" t="b">
        <f t="shared" si="143"/>
        <v>0</v>
      </c>
      <c r="AV250" s="279" t="b">
        <f t="shared" si="143"/>
        <v>0</v>
      </c>
      <c r="AW250" s="279" t="b">
        <f t="shared" si="143"/>
        <v>0</v>
      </c>
      <c r="AX250" s="279" t="b">
        <f t="shared" si="143"/>
        <v>0</v>
      </c>
      <c r="AY250" s="279" t="b">
        <f t="shared" si="143"/>
        <v>0</v>
      </c>
      <c r="AZ250" s="279" t="b">
        <f t="shared" si="143"/>
        <v>0</v>
      </c>
      <c r="BA250" s="279" t="b">
        <f t="shared" si="143"/>
        <v>0</v>
      </c>
    </row>
    <row r="251" spans="1:53" s="275" customFormat="1" hidden="1" x14ac:dyDescent="0.35">
      <c r="A251" s="275" t="s">
        <v>3</v>
      </c>
      <c r="C251" s="275">
        <v>38</v>
      </c>
      <c r="F251" s="279" t="b">
        <f t="shared" ref="F251:L251" si="144">AND($BG47=FALSE,AND(F149&lt;&gt;"",F149=FALSE),F47="")</f>
        <v>1</v>
      </c>
      <c r="G251" s="279" t="b">
        <f t="shared" si="144"/>
        <v>0</v>
      </c>
      <c r="H251" s="279" t="b">
        <f t="shared" si="144"/>
        <v>1</v>
      </c>
      <c r="I251" s="279" t="b">
        <f t="shared" si="144"/>
        <v>0</v>
      </c>
      <c r="J251" s="279" t="b">
        <f t="shared" si="144"/>
        <v>0</v>
      </c>
      <c r="K251" s="279" t="b">
        <f t="shared" si="144"/>
        <v>0</v>
      </c>
      <c r="L251" s="279" t="b">
        <f t="shared" si="144"/>
        <v>0</v>
      </c>
      <c r="M251" s="279"/>
      <c r="N251" s="279" t="b">
        <f t="shared" ref="N251:P251" si="145">AND($BG47=FALSE,AND(N149&lt;&gt;"",N149=FALSE),N47="")</f>
        <v>0</v>
      </c>
      <c r="O251" s="279" t="b">
        <f t="shared" si="145"/>
        <v>0</v>
      </c>
      <c r="P251" s="279" t="b">
        <f t="shared" si="145"/>
        <v>1</v>
      </c>
      <c r="Q251" s="279" t="b">
        <f t="shared" si="130"/>
        <v>1</v>
      </c>
      <c r="AB251" s="279" t="b">
        <f t="shared" si="130"/>
        <v>1</v>
      </c>
      <c r="AC251" s="279" t="b">
        <f t="shared" si="130"/>
        <v>1</v>
      </c>
      <c r="AD251" s="279" t="b">
        <f t="shared" si="130"/>
        <v>1</v>
      </c>
      <c r="AE251" s="279" t="b">
        <f t="shared" si="130"/>
        <v>1</v>
      </c>
      <c r="AF251" s="279" t="b">
        <f t="shared" si="130"/>
        <v>1</v>
      </c>
      <c r="AG251" s="279" t="b">
        <f t="shared" si="130"/>
        <v>1</v>
      </c>
      <c r="AH251" s="279" t="b">
        <f t="shared" si="130"/>
        <v>1</v>
      </c>
      <c r="AI251" s="279" t="b">
        <f t="shared" si="130"/>
        <v>1</v>
      </c>
      <c r="AJ251" s="279" t="b">
        <f t="shared" si="130"/>
        <v>1</v>
      </c>
      <c r="AK251" s="279" t="b">
        <f t="shared" si="130"/>
        <v>1</v>
      </c>
      <c r="AL251" s="279" t="b">
        <f t="shared" si="130"/>
        <v>0</v>
      </c>
      <c r="AM251" s="279" t="b">
        <f t="shared" si="130"/>
        <v>0</v>
      </c>
      <c r="AN251" s="279" t="b">
        <f t="shared" si="130"/>
        <v>0</v>
      </c>
      <c r="AO251" s="279" t="b">
        <f t="shared" si="130"/>
        <v>0</v>
      </c>
      <c r="AP251" s="279" t="b">
        <f t="shared" si="130"/>
        <v>0</v>
      </c>
      <c r="AQ251" s="279"/>
      <c r="AR251" s="279" t="b">
        <f t="shared" ref="AR251:BA251" si="146">AND($BG47=FALSE,AND(AR149&lt;&gt;"",AR149=FALSE),AR47="")</f>
        <v>0</v>
      </c>
      <c r="AS251" s="279" t="b">
        <f t="shared" si="146"/>
        <v>0</v>
      </c>
      <c r="AT251" s="279" t="b">
        <f t="shared" si="146"/>
        <v>0</v>
      </c>
      <c r="AU251" s="279" t="b">
        <f t="shared" si="146"/>
        <v>0</v>
      </c>
      <c r="AV251" s="279" t="b">
        <f t="shared" si="146"/>
        <v>0</v>
      </c>
      <c r="AW251" s="279" t="b">
        <f t="shared" si="146"/>
        <v>0</v>
      </c>
      <c r="AX251" s="279" t="b">
        <f t="shared" si="146"/>
        <v>0</v>
      </c>
      <c r="AY251" s="279" t="b">
        <f t="shared" si="146"/>
        <v>0</v>
      </c>
      <c r="AZ251" s="279" t="b">
        <f t="shared" si="146"/>
        <v>0</v>
      </c>
      <c r="BA251" s="279" t="b">
        <f t="shared" si="146"/>
        <v>0</v>
      </c>
    </row>
    <row r="252" spans="1:53" s="275" customFormat="1" hidden="1" x14ac:dyDescent="0.35">
      <c r="A252" s="275" t="s">
        <v>3</v>
      </c>
      <c r="C252" s="275">
        <v>39</v>
      </c>
      <c r="F252" s="279" t="b">
        <f t="shared" ref="F252:L252" si="147">AND($BG48=FALSE,AND(F150&lt;&gt;"",F150=FALSE),F48="")</f>
        <v>1</v>
      </c>
      <c r="G252" s="279" t="b">
        <f t="shared" si="147"/>
        <v>0</v>
      </c>
      <c r="H252" s="279" t="b">
        <f t="shared" si="147"/>
        <v>1</v>
      </c>
      <c r="I252" s="279" t="b">
        <f t="shared" si="147"/>
        <v>0</v>
      </c>
      <c r="J252" s="279" t="b">
        <f t="shared" si="147"/>
        <v>0</v>
      </c>
      <c r="K252" s="279" t="b">
        <f t="shared" si="147"/>
        <v>0</v>
      </c>
      <c r="L252" s="279" t="b">
        <f t="shared" si="147"/>
        <v>0</v>
      </c>
      <c r="M252" s="279"/>
      <c r="N252" s="279" t="b">
        <f t="shared" ref="N252:P252" si="148">AND($BG48=FALSE,AND(N150&lt;&gt;"",N150=FALSE),N48="")</f>
        <v>0</v>
      </c>
      <c r="O252" s="279" t="b">
        <f t="shared" si="148"/>
        <v>0</v>
      </c>
      <c r="P252" s="279" t="b">
        <f t="shared" si="148"/>
        <v>1</v>
      </c>
      <c r="Q252" s="279" t="b">
        <f t="shared" si="130"/>
        <v>1</v>
      </c>
      <c r="AB252" s="279" t="b">
        <f t="shared" si="130"/>
        <v>1</v>
      </c>
      <c r="AC252" s="279" t="b">
        <f t="shared" si="130"/>
        <v>1</v>
      </c>
      <c r="AD252" s="279" t="b">
        <f t="shared" si="130"/>
        <v>1</v>
      </c>
      <c r="AE252" s="279" t="b">
        <f t="shared" si="130"/>
        <v>1</v>
      </c>
      <c r="AF252" s="279" t="b">
        <f t="shared" si="130"/>
        <v>1</v>
      </c>
      <c r="AG252" s="279" t="b">
        <f t="shared" si="130"/>
        <v>1</v>
      </c>
      <c r="AH252" s="279" t="b">
        <f t="shared" si="130"/>
        <v>1</v>
      </c>
      <c r="AI252" s="279" t="b">
        <f t="shared" si="130"/>
        <v>1</v>
      </c>
      <c r="AJ252" s="279" t="b">
        <f t="shared" si="130"/>
        <v>1</v>
      </c>
      <c r="AK252" s="279" t="b">
        <f t="shared" si="130"/>
        <v>1</v>
      </c>
      <c r="AL252" s="279" t="b">
        <f t="shared" si="130"/>
        <v>0</v>
      </c>
      <c r="AM252" s="279" t="b">
        <f t="shared" si="130"/>
        <v>0</v>
      </c>
      <c r="AN252" s="279" t="b">
        <f t="shared" si="130"/>
        <v>0</v>
      </c>
      <c r="AO252" s="279" t="b">
        <f t="shared" si="130"/>
        <v>0</v>
      </c>
      <c r="AP252" s="279" t="b">
        <f t="shared" si="130"/>
        <v>0</v>
      </c>
      <c r="AQ252" s="279"/>
      <c r="AR252" s="279" t="b">
        <f t="shared" ref="AR252:BA252" si="149">AND($BG48=FALSE,AND(AR150&lt;&gt;"",AR150=FALSE),AR48="")</f>
        <v>0</v>
      </c>
      <c r="AS252" s="279" t="b">
        <f t="shared" si="149"/>
        <v>0</v>
      </c>
      <c r="AT252" s="279" t="b">
        <f t="shared" si="149"/>
        <v>0</v>
      </c>
      <c r="AU252" s="279" t="b">
        <f t="shared" si="149"/>
        <v>0</v>
      </c>
      <c r="AV252" s="279" t="b">
        <f t="shared" si="149"/>
        <v>0</v>
      </c>
      <c r="AW252" s="279" t="b">
        <f t="shared" si="149"/>
        <v>0</v>
      </c>
      <c r="AX252" s="279" t="b">
        <f t="shared" si="149"/>
        <v>0</v>
      </c>
      <c r="AY252" s="279" t="b">
        <f t="shared" si="149"/>
        <v>0</v>
      </c>
      <c r="AZ252" s="279" t="b">
        <f t="shared" si="149"/>
        <v>0</v>
      </c>
      <c r="BA252" s="279" t="b">
        <f t="shared" si="149"/>
        <v>0</v>
      </c>
    </row>
    <row r="253" spans="1:53" s="275" customFormat="1" hidden="1" x14ac:dyDescent="0.35">
      <c r="A253" s="275" t="s">
        <v>3</v>
      </c>
      <c r="C253" s="275">
        <v>40</v>
      </c>
      <c r="F253" s="279" t="b">
        <f t="shared" ref="F253:L253" si="150">AND($BG49=FALSE,AND(F151&lt;&gt;"",F151=FALSE),F49="")</f>
        <v>1</v>
      </c>
      <c r="G253" s="279" t="b">
        <f t="shared" si="150"/>
        <v>0</v>
      </c>
      <c r="H253" s="279" t="b">
        <f t="shared" si="150"/>
        <v>1</v>
      </c>
      <c r="I253" s="279" t="b">
        <f t="shared" si="150"/>
        <v>0</v>
      </c>
      <c r="J253" s="279" t="b">
        <f t="shared" si="150"/>
        <v>0</v>
      </c>
      <c r="K253" s="279" t="b">
        <f t="shared" si="150"/>
        <v>0</v>
      </c>
      <c r="L253" s="279" t="b">
        <f t="shared" si="150"/>
        <v>0</v>
      </c>
      <c r="M253" s="279"/>
      <c r="N253" s="279" t="b">
        <f t="shared" ref="N253:P253" si="151">AND($BG49=FALSE,AND(N151&lt;&gt;"",N151=FALSE),N49="")</f>
        <v>0</v>
      </c>
      <c r="O253" s="279" t="b">
        <f t="shared" si="151"/>
        <v>0</v>
      </c>
      <c r="P253" s="279" t="b">
        <f t="shared" si="151"/>
        <v>1</v>
      </c>
      <c r="Q253" s="279" t="b">
        <f t="shared" si="130"/>
        <v>1</v>
      </c>
      <c r="AB253" s="279" t="b">
        <f t="shared" si="130"/>
        <v>1</v>
      </c>
      <c r="AC253" s="279" t="b">
        <f t="shared" si="130"/>
        <v>1</v>
      </c>
      <c r="AD253" s="279" t="b">
        <f t="shared" si="130"/>
        <v>1</v>
      </c>
      <c r="AE253" s="279" t="b">
        <f t="shared" si="130"/>
        <v>1</v>
      </c>
      <c r="AF253" s="279" t="b">
        <f t="shared" si="130"/>
        <v>1</v>
      </c>
      <c r="AG253" s="279" t="b">
        <f t="shared" si="130"/>
        <v>1</v>
      </c>
      <c r="AH253" s="279" t="b">
        <f t="shared" si="130"/>
        <v>1</v>
      </c>
      <c r="AI253" s="279" t="b">
        <f t="shared" si="130"/>
        <v>1</v>
      </c>
      <c r="AJ253" s="279" t="b">
        <f t="shared" si="130"/>
        <v>1</v>
      </c>
      <c r="AK253" s="279" t="b">
        <f t="shared" si="130"/>
        <v>1</v>
      </c>
      <c r="AL253" s="279" t="b">
        <f t="shared" si="130"/>
        <v>0</v>
      </c>
      <c r="AM253" s="279" t="b">
        <f t="shared" si="130"/>
        <v>0</v>
      </c>
      <c r="AN253" s="279" t="b">
        <f t="shared" si="130"/>
        <v>0</v>
      </c>
      <c r="AO253" s="279" t="b">
        <f t="shared" si="130"/>
        <v>0</v>
      </c>
      <c r="AP253" s="279" t="b">
        <f t="shared" si="130"/>
        <v>0</v>
      </c>
      <c r="AQ253" s="279"/>
      <c r="AR253" s="279" t="b">
        <f t="shared" ref="AR253:BA253" si="152">AND($BG49=FALSE,AND(AR151&lt;&gt;"",AR151=FALSE),AR49="")</f>
        <v>0</v>
      </c>
      <c r="AS253" s="279" t="b">
        <f t="shared" si="152"/>
        <v>0</v>
      </c>
      <c r="AT253" s="279" t="b">
        <f t="shared" si="152"/>
        <v>0</v>
      </c>
      <c r="AU253" s="279" t="b">
        <f t="shared" si="152"/>
        <v>0</v>
      </c>
      <c r="AV253" s="279" t="b">
        <f t="shared" si="152"/>
        <v>0</v>
      </c>
      <c r="AW253" s="279" t="b">
        <f t="shared" si="152"/>
        <v>0</v>
      </c>
      <c r="AX253" s="279" t="b">
        <f t="shared" si="152"/>
        <v>0</v>
      </c>
      <c r="AY253" s="279" t="b">
        <f t="shared" si="152"/>
        <v>0</v>
      </c>
      <c r="AZ253" s="279" t="b">
        <f t="shared" si="152"/>
        <v>0</v>
      </c>
      <c r="BA253" s="279" t="b">
        <f t="shared" si="152"/>
        <v>0</v>
      </c>
    </row>
    <row r="254" spans="1:53" s="275" customFormat="1" hidden="1" x14ac:dyDescent="0.35">
      <c r="A254" s="275" t="s">
        <v>3</v>
      </c>
      <c r="C254" s="275">
        <v>41</v>
      </c>
      <c r="F254" s="279" t="b">
        <f t="shared" ref="F254:L254" si="153">AND($BG50=FALSE,AND(F152&lt;&gt;"",F152=FALSE),F50="")</f>
        <v>1</v>
      </c>
      <c r="G254" s="279" t="b">
        <f t="shared" si="153"/>
        <v>0</v>
      </c>
      <c r="H254" s="279" t="b">
        <f t="shared" si="153"/>
        <v>1</v>
      </c>
      <c r="I254" s="279" t="b">
        <f t="shared" si="153"/>
        <v>0</v>
      </c>
      <c r="J254" s="279" t="b">
        <f t="shared" si="153"/>
        <v>0</v>
      </c>
      <c r="K254" s="279" t="b">
        <f t="shared" si="153"/>
        <v>0</v>
      </c>
      <c r="L254" s="279" t="b">
        <f t="shared" si="153"/>
        <v>0</v>
      </c>
      <c r="M254" s="279"/>
      <c r="N254" s="279" t="b">
        <f t="shared" ref="N254:P254" si="154">AND($BG50=FALSE,AND(N152&lt;&gt;"",N152=FALSE),N50="")</f>
        <v>0</v>
      </c>
      <c r="O254" s="279" t="b">
        <f t="shared" si="154"/>
        <v>0</v>
      </c>
      <c r="P254" s="279" t="b">
        <f t="shared" si="154"/>
        <v>1</v>
      </c>
      <c r="Q254" s="279" t="b">
        <f t="shared" si="130"/>
        <v>1</v>
      </c>
      <c r="AB254" s="279" t="b">
        <f t="shared" si="130"/>
        <v>1</v>
      </c>
      <c r="AC254" s="279" t="b">
        <f t="shared" si="130"/>
        <v>1</v>
      </c>
      <c r="AD254" s="279" t="b">
        <f t="shared" si="130"/>
        <v>1</v>
      </c>
      <c r="AE254" s="279" t="b">
        <f t="shared" si="130"/>
        <v>1</v>
      </c>
      <c r="AF254" s="279" t="b">
        <f t="shared" si="130"/>
        <v>1</v>
      </c>
      <c r="AG254" s="279" t="b">
        <f t="shared" si="130"/>
        <v>1</v>
      </c>
      <c r="AH254" s="279" t="b">
        <f t="shared" si="130"/>
        <v>1</v>
      </c>
      <c r="AI254" s="279" t="b">
        <f t="shared" si="130"/>
        <v>1</v>
      </c>
      <c r="AJ254" s="279" t="b">
        <f t="shared" si="130"/>
        <v>1</v>
      </c>
      <c r="AK254" s="279" t="b">
        <f t="shared" si="130"/>
        <v>1</v>
      </c>
      <c r="AL254" s="279" t="b">
        <f t="shared" si="130"/>
        <v>0</v>
      </c>
      <c r="AM254" s="279" t="b">
        <f t="shared" si="130"/>
        <v>0</v>
      </c>
      <c r="AN254" s="279" t="b">
        <f t="shared" si="130"/>
        <v>0</v>
      </c>
      <c r="AO254" s="279" t="b">
        <f t="shared" si="130"/>
        <v>0</v>
      </c>
      <c r="AP254" s="279" t="b">
        <f t="shared" si="130"/>
        <v>0</v>
      </c>
      <c r="AQ254" s="279"/>
      <c r="AR254" s="279" t="b">
        <f t="shared" ref="AR254:BA254" si="155">AND($BG50=FALSE,AND(AR152&lt;&gt;"",AR152=FALSE),AR50="")</f>
        <v>0</v>
      </c>
      <c r="AS254" s="279" t="b">
        <f t="shared" si="155"/>
        <v>0</v>
      </c>
      <c r="AT254" s="279" t="b">
        <f t="shared" si="155"/>
        <v>0</v>
      </c>
      <c r="AU254" s="279" t="b">
        <f t="shared" si="155"/>
        <v>0</v>
      </c>
      <c r="AV254" s="279" t="b">
        <f t="shared" si="155"/>
        <v>0</v>
      </c>
      <c r="AW254" s="279" t="b">
        <f t="shared" si="155"/>
        <v>0</v>
      </c>
      <c r="AX254" s="279" t="b">
        <f t="shared" si="155"/>
        <v>0</v>
      </c>
      <c r="AY254" s="279" t="b">
        <f t="shared" si="155"/>
        <v>0</v>
      </c>
      <c r="AZ254" s="279" t="b">
        <f t="shared" si="155"/>
        <v>0</v>
      </c>
      <c r="BA254" s="279" t="b">
        <f t="shared" si="155"/>
        <v>0</v>
      </c>
    </row>
    <row r="255" spans="1:53" s="275" customFormat="1" hidden="1" x14ac:dyDescent="0.35">
      <c r="A255" s="275" t="s">
        <v>3</v>
      </c>
      <c r="C255" s="275">
        <v>42</v>
      </c>
      <c r="F255" s="279" t="b">
        <f t="shared" ref="F255:L255" si="156">AND($BG51=FALSE,AND(F153&lt;&gt;"",F153=FALSE),F51="")</f>
        <v>1</v>
      </c>
      <c r="G255" s="279" t="b">
        <f t="shared" si="156"/>
        <v>0</v>
      </c>
      <c r="H255" s="279" t="b">
        <f t="shared" si="156"/>
        <v>1</v>
      </c>
      <c r="I255" s="279" t="b">
        <f t="shared" si="156"/>
        <v>0</v>
      </c>
      <c r="J255" s="279" t="b">
        <f t="shared" si="156"/>
        <v>0</v>
      </c>
      <c r="K255" s="279" t="b">
        <f t="shared" si="156"/>
        <v>0</v>
      </c>
      <c r="L255" s="279" t="b">
        <f t="shared" si="156"/>
        <v>0</v>
      </c>
      <c r="M255" s="279"/>
      <c r="N255" s="279" t="b">
        <f t="shared" ref="N255:P255" si="157">AND($BG51=FALSE,AND(N153&lt;&gt;"",N153=FALSE),N51="")</f>
        <v>0</v>
      </c>
      <c r="O255" s="279" t="b">
        <f t="shared" si="157"/>
        <v>0</v>
      </c>
      <c r="P255" s="279" t="b">
        <f t="shared" si="157"/>
        <v>1</v>
      </c>
      <c r="Q255" s="279" t="b">
        <f t="shared" si="130"/>
        <v>1</v>
      </c>
      <c r="AB255" s="279" t="b">
        <f t="shared" si="130"/>
        <v>1</v>
      </c>
      <c r="AC255" s="279" t="b">
        <f t="shared" si="130"/>
        <v>1</v>
      </c>
      <c r="AD255" s="279" t="b">
        <f t="shared" si="130"/>
        <v>1</v>
      </c>
      <c r="AE255" s="279" t="b">
        <f t="shared" si="130"/>
        <v>1</v>
      </c>
      <c r="AF255" s="279" t="b">
        <f t="shared" si="130"/>
        <v>1</v>
      </c>
      <c r="AG255" s="279" t="b">
        <f t="shared" si="130"/>
        <v>1</v>
      </c>
      <c r="AH255" s="279" t="b">
        <f t="shared" si="130"/>
        <v>1</v>
      </c>
      <c r="AI255" s="279" t="b">
        <f t="shared" ref="AI255:AP255" si="158">AND($BG51=FALSE,AND(AI153&lt;&gt;"",AI153=FALSE),AI51="")</f>
        <v>1</v>
      </c>
      <c r="AJ255" s="279" t="b">
        <f t="shared" si="158"/>
        <v>1</v>
      </c>
      <c r="AK255" s="279" t="b">
        <f t="shared" si="158"/>
        <v>1</v>
      </c>
      <c r="AL255" s="279" t="b">
        <f t="shared" si="158"/>
        <v>0</v>
      </c>
      <c r="AM255" s="279" t="b">
        <f t="shared" si="158"/>
        <v>0</v>
      </c>
      <c r="AN255" s="279" t="b">
        <f t="shared" si="158"/>
        <v>0</v>
      </c>
      <c r="AO255" s="279" t="b">
        <f t="shared" si="158"/>
        <v>0</v>
      </c>
      <c r="AP255" s="279" t="b">
        <f t="shared" si="158"/>
        <v>0</v>
      </c>
      <c r="AQ255" s="279"/>
      <c r="AR255" s="279" t="b">
        <f t="shared" ref="AR255:BA255" si="159">AND($BG51=FALSE,AND(AR153&lt;&gt;"",AR153=FALSE),AR51="")</f>
        <v>0</v>
      </c>
      <c r="AS255" s="279" t="b">
        <f t="shared" si="159"/>
        <v>0</v>
      </c>
      <c r="AT255" s="279" t="b">
        <f t="shared" si="159"/>
        <v>0</v>
      </c>
      <c r="AU255" s="279" t="b">
        <f t="shared" si="159"/>
        <v>0</v>
      </c>
      <c r="AV255" s="279" t="b">
        <f t="shared" si="159"/>
        <v>0</v>
      </c>
      <c r="AW255" s="279" t="b">
        <f t="shared" si="159"/>
        <v>0</v>
      </c>
      <c r="AX255" s="279" t="b">
        <f t="shared" si="159"/>
        <v>0</v>
      </c>
      <c r="AY255" s="279" t="b">
        <f t="shared" si="159"/>
        <v>0</v>
      </c>
      <c r="AZ255" s="279" t="b">
        <f t="shared" si="159"/>
        <v>0</v>
      </c>
      <c r="BA255" s="279" t="b">
        <f t="shared" si="159"/>
        <v>0</v>
      </c>
    </row>
    <row r="256" spans="1:53" s="275" customFormat="1" hidden="1" x14ac:dyDescent="0.35">
      <c r="A256" s="275" t="s">
        <v>3</v>
      </c>
      <c r="C256" s="275">
        <v>43</v>
      </c>
      <c r="F256" s="279" t="b">
        <f t="shared" ref="F256:L256" si="160">AND($BG52=FALSE,AND(F154&lt;&gt;"",F154=FALSE),F52="")</f>
        <v>1</v>
      </c>
      <c r="G256" s="279" t="b">
        <f t="shared" si="160"/>
        <v>0</v>
      </c>
      <c r="H256" s="279" t="b">
        <f t="shared" si="160"/>
        <v>1</v>
      </c>
      <c r="I256" s="279" t="b">
        <f t="shared" si="160"/>
        <v>0</v>
      </c>
      <c r="J256" s="279" t="b">
        <f t="shared" si="160"/>
        <v>0</v>
      </c>
      <c r="K256" s="279" t="b">
        <f t="shared" si="160"/>
        <v>0</v>
      </c>
      <c r="L256" s="279" t="b">
        <f t="shared" si="160"/>
        <v>0</v>
      </c>
      <c r="M256" s="279"/>
      <c r="N256" s="279" t="b">
        <f t="shared" ref="N256:AP265" si="161">AND($BG52=FALSE,AND(N154&lt;&gt;"",N154=FALSE),N52="")</f>
        <v>0</v>
      </c>
      <c r="O256" s="279" t="b">
        <f t="shared" si="161"/>
        <v>0</v>
      </c>
      <c r="P256" s="279" t="b">
        <f t="shared" si="161"/>
        <v>1</v>
      </c>
      <c r="Q256" s="279" t="b">
        <f t="shared" si="161"/>
        <v>1</v>
      </c>
      <c r="AB256" s="279" t="b">
        <f t="shared" si="161"/>
        <v>1</v>
      </c>
      <c r="AC256" s="279" t="b">
        <f t="shared" si="161"/>
        <v>1</v>
      </c>
      <c r="AD256" s="279" t="b">
        <f t="shared" si="161"/>
        <v>1</v>
      </c>
      <c r="AE256" s="279" t="b">
        <f t="shared" si="161"/>
        <v>1</v>
      </c>
      <c r="AF256" s="279" t="b">
        <f t="shared" si="161"/>
        <v>1</v>
      </c>
      <c r="AG256" s="279" t="b">
        <f t="shared" si="161"/>
        <v>1</v>
      </c>
      <c r="AH256" s="279" t="b">
        <f t="shared" si="161"/>
        <v>1</v>
      </c>
      <c r="AI256" s="279" t="b">
        <f t="shared" si="161"/>
        <v>1</v>
      </c>
      <c r="AJ256" s="279" t="b">
        <f t="shared" si="161"/>
        <v>1</v>
      </c>
      <c r="AK256" s="279" t="b">
        <f t="shared" si="161"/>
        <v>1</v>
      </c>
      <c r="AL256" s="279" t="b">
        <f t="shared" si="161"/>
        <v>0</v>
      </c>
      <c r="AM256" s="279" t="b">
        <f t="shared" si="161"/>
        <v>0</v>
      </c>
      <c r="AN256" s="279" t="b">
        <f t="shared" si="161"/>
        <v>0</v>
      </c>
      <c r="AO256" s="279" t="b">
        <f t="shared" si="161"/>
        <v>0</v>
      </c>
      <c r="AP256" s="279" t="b">
        <f t="shared" si="161"/>
        <v>0</v>
      </c>
      <c r="AQ256" s="279"/>
      <c r="AR256" s="279" t="b">
        <f t="shared" ref="AR256:BA256" si="162">AND($BG52=FALSE,AND(AR154&lt;&gt;"",AR154=FALSE),AR52="")</f>
        <v>0</v>
      </c>
      <c r="AS256" s="279" t="b">
        <f t="shared" si="162"/>
        <v>0</v>
      </c>
      <c r="AT256" s="279" t="b">
        <f t="shared" si="162"/>
        <v>0</v>
      </c>
      <c r="AU256" s="279" t="b">
        <f t="shared" si="162"/>
        <v>0</v>
      </c>
      <c r="AV256" s="279" t="b">
        <f t="shared" si="162"/>
        <v>0</v>
      </c>
      <c r="AW256" s="279" t="b">
        <f t="shared" si="162"/>
        <v>0</v>
      </c>
      <c r="AX256" s="279" t="b">
        <f t="shared" si="162"/>
        <v>0</v>
      </c>
      <c r="AY256" s="279" t="b">
        <f t="shared" si="162"/>
        <v>0</v>
      </c>
      <c r="AZ256" s="279" t="b">
        <f t="shared" si="162"/>
        <v>0</v>
      </c>
      <c r="BA256" s="279" t="b">
        <f t="shared" si="162"/>
        <v>0</v>
      </c>
    </row>
    <row r="257" spans="1:53" s="275" customFormat="1" hidden="1" x14ac:dyDescent="0.35">
      <c r="A257" s="275" t="s">
        <v>3</v>
      </c>
      <c r="C257" s="275">
        <v>44</v>
      </c>
      <c r="F257" s="279" t="b">
        <f t="shared" ref="F257:L257" si="163">AND($BG53=FALSE,AND(F155&lt;&gt;"",F155=FALSE),F53="")</f>
        <v>1</v>
      </c>
      <c r="G257" s="279" t="b">
        <f t="shared" si="163"/>
        <v>0</v>
      </c>
      <c r="H257" s="279" t="b">
        <f t="shared" si="163"/>
        <v>1</v>
      </c>
      <c r="I257" s="279" t="b">
        <f t="shared" si="163"/>
        <v>0</v>
      </c>
      <c r="J257" s="279" t="b">
        <f t="shared" si="163"/>
        <v>0</v>
      </c>
      <c r="K257" s="279" t="b">
        <f t="shared" si="163"/>
        <v>0</v>
      </c>
      <c r="L257" s="279" t="b">
        <f t="shared" si="163"/>
        <v>0</v>
      </c>
      <c r="M257" s="279"/>
      <c r="N257" s="279" t="b">
        <f t="shared" ref="N257:P257" si="164">AND($BG53=FALSE,AND(N155&lt;&gt;"",N155=FALSE),N53="")</f>
        <v>0</v>
      </c>
      <c r="O257" s="279" t="b">
        <f t="shared" si="164"/>
        <v>0</v>
      </c>
      <c r="P257" s="279" t="b">
        <f t="shared" si="164"/>
        <v>1</v>
      </c>
      <c r="Q257" s="279" t="b">
        <f t="shared" si="161"/>
        <v>1</v>
      </c>
      <c r="AB257" s="279" t="b">
        <f t="shared" si="161"/>
        <v>1</v>
      </c>
      <c r="AC257" s="279" t="b">
        <f t="shared" si="161"/>
        <v>1</v>
      </c>
      <c r="AD257" s="279" t="b">
        <f t="shared" si="161"/>
        <v>1</v>
      </c>
      <c r="AE257" s="279" t="b">
        <f t="shared" si="161"/>
        <v>1</v>
      </c>
      <c r="AF257" s="279" t="b">
        <f t="shared" si="161"/>
        <v>1</v>
      </c>
      <c r="AG257" s="279" t="b">
        <f t="shared" si="161"/>
        <v>1</v>
      </c>
      <c r="AH257" s="279" t="b">
        <f t="shared" si="161"/>
        <v>1</v>
      </c>
      <c r="AI257" s="279" t="b">
        <f t="shared" si="161"/>
        <v>1</v>
      </c>
      <c r="AJ257" s="279" t="b">
        <f t="shared" si="161"/>
        <v>1</v>
      </c>
      <c r="AK257" s="279" t="b">
        <f t="shared" si="161"/>
        <v>1</v>
      </c>
      <c r="AL257" s="279" t="b">
        <f t="shared" si="161"/>
        <v>0</v>
      </c>
      <c r="AM257" s="279" t="b">
        <f t="shared" si="161"/>
        <v>0</v>
      </c>
      <c r="AN257" s="279" t="b">
        <f t="shared" si="161"/>
        <v>0</v>
      </c>
      <c r="AO257" s="279" t="b">
        <f t="shared" si="161"/>
        <v>0</v>
      </c>
      <c r="AP257" s="279" t="b">
        <f t="shared" si="161"/>
        <v>0</v>
      </c>
      <c r="AQ257" s="279"/>
      <c r="AR257" s="279" t="b">
        <f t="shared" ref="AR257:BA257" si="165">AND($BG53=FALSE,AND(AR155&lt;&gt;"",AR155=FALSE),AR53="")</f>
        <v>0</v>
      </c>
      <c r="AS257" s="279" t="b">
        <f t="shared" si="165"/>
        <v>0</v>
      </c>
      <c r="AT257" s="279" t="b">
        <f t="shared" si="165"/>
        <v>0</v>
      </c>
      <c r="AU257" s="279" t="b">
        <f t="shared" si="165"/>
        <v>0</v>
      </c>
      <c r="AV257" s="279" t="b">
        <f t="shared" si="165"/>
        <v>0</v>
      </c>
      <c r="AW257" s="279" t="b">
        <f t="shared" si="165"/>
        <v>0</v>
      </c>
      <c r="AX257" s="279" t="b">
        <f t="shared" si="165"/>
        <v>0</v>
      </c>
      <c r="AY257" s="279" t="b">
        <f t="shared" si="165"/>
        <v>0</v>
      </c>
      <c r="AZ257" s="279" t="b">
        <f t="shared" si="165"/>
        <v>0</v>
      </c>
      <c r="BA257" s="279" t="b">
        <f t="shared" si="165"/>
        <v>0</v>
      </c>
    </row>
    <row r="258" spans="1:53" s="275" customFormat="1" hidden="1" x14ac:dyDescent="0.35">
      <c r="A258" s="275" t="s">
        <v>3</v>
      </c>
      <c r="C258" s="275">
        <v>45</v>
      </c>
      <c r="F258" s="279" t="b">
        <f t="shared" ref="F258:L258" si="166">AND($BG54=FALSE,AND(F156&lt;&gt;"",F156=FALSE),F54="")</f>
        <v>1</v>
      </c>
      <c r="G258" s="279" t="b">
        <f t="shared" si="166"/>
        <v>0</v>
      </c>
      <c r="H258" s="279" t="b">
        <f t="shared" si="166"/>
        <v>1</v>
      </c>
      <c r="I258" s="279" t="b">
        <f t="shared" si="166"/>
        <v>0</v>
      </c>
      <c r="J258" s="279" t="b">
        <f t="shared" si="166"/>
        <v>0</v>
      </c>
      <c r="K258" s="279" t="b">
        <f t="shared" si="166"/>
        <v>0</v>
      </c>
      <c r="L258" s="279" t="b">
        <f t="shared" si="166"/>
        <v>0</v>
      </c>
      <c r="M258" s="279"/>
      <c r="N258" s="279" t="b">
        <f t="shared" ref="N258:P258" si="167">AND($BG54=FALSE,AND(N156&lt;&gt;"",N156=FALSE),N54="")</f>
        <v>0</v>
      </c>
      <c r="O258" s="279" t="b">
        <f t="shared" si="167"/>
        <v>0</v>
      </c>
      <c r="P258" s="279" t="b">
        <f t="shared" si="167"/>
        <v>1</v>
      </c>
      <c r="Q258" s="279" t="b">
        <f t="shared" si="161"/>
        <v>1</v>
      </c>
      <c r="AB258" s="279" t="b">
        <f t="shared" si="161"/>
        <v>1</v>
      </c>
      <c r="AC258" s="279" t="b">
        <f t="shared" si="161"/>
        <v>1</v>
      </c>
      <c r="AD258" s="279" t="b">
        <f t="shared" si="161"/>
        <v>1</v>
      </c>
      <c r="AE258" s="279" t="b">
        <f t="shared" si="161"/>
        <v>1</v>
      </c>
      <c r="AF258" s="279" t="b">
        <f t="shared" si="161"/>
        <v>1</v>
      </c>
      <c r="AG258" s="279" t="b">
        <f t="shared" si="161"/>
        <v>1</v>
      </c>
      <c r="AH258" s="279" t="b">
        <f t="shared" si="161"/>
        <v>1</v>
      </c>
      <c r="AI258" s="279" t="b">
        <f t="shared" si="161"/>
        <v>1</v>
      </c>
      <c r="AJ258" s="279" t="b">
        <f t="shared" si="161"/>
        <v>1</v>
      </c>
      <c r="AK258" s="279" t="b">
        <f t="shared" si="161"/>
        <v>1</v>
      </c>
      <c r="AL258" s="279" t="b">
        <f t="shared" si="161"/>
        <v>0</v>
      </c>
      <c r="AM258" s="279" t="b">
        <f t="shared" si="161"/>
        <v>0</v>
      </c>
      <c r="AN258" s="279" t="b">
        <f t="shared" si="161"/>
        <v>0</v>
      </c>
      <c r="AO258" s="279" t="b">
        <f t="shared" si="161"/>
        <v>0</v>
      </c>
      <c r="AP258" s="279" t="b">
        <f t="shared" si="161"/>
        <v>0</v>
      </c>
      <c r="AQ258" s="279"/>
      <c r="AR258" s="279" t="b">
        <f t="shared" ref="AR258:BA258" si="168">AND($BG54=FALSE,AND(AR156&lt;&gt;"",AR156=FALSE),AR54="")</f>
        <v>0</v>
      </c>
      <c r="AS258" s="279" t="b">
        <f t="shared" si="168"/>
        <v>0</v>
      </c>
      <c r="AT258" s="279" t="b">
        <f t="shared" si="168"/>
        <v>0</v>
      </c>
      <c r="AU258" s="279" t="b">
        <f t="shared" si="168"/>
        <v>0</v>
      </c>
      <c r="AV258" s="279" t="b">
        <f t="shared" si="168"/>
        <v>0</v>
      </c>
      <c r="AW258" s="279" t="b">
        <f t="shared" si="168"/>
        <v>0</v>
      </c>
      <c r="AX258" s="279" t="b">
        <f t="shared" si="168"/>
        <v>0</v>
      </c>
      <c r="AY258" s="279" t="b">
        <f t="shared" si="168"/>
        <v>0</v>
      </c>
      <c r="AZ258" s="279" t="b">
        <f t="shared" si="168"/>
        <v>0</v>
      </c>
      <c r="BA258" s="279" t="b">
        <f t="shared" si="168"/>
        <v>0</v>
      </c>
    </row>
    <row r="259" spans="1:53" s="275" customFormat="1" hidden="1" x14ac:dyDescent="0.35">
      <c r="A259" s="275" t="s">
        <v>3</v>
      </c>
      <c r="C259" s="275">
        <v>46</v>
      </c>
      <c r="F259" s="279" t="b">
        <f t="shared" ref="F259:L259" si="169">AND($BG55=FALSE,AND(F157&lt;&gt;"",F157=FALSE),F55="")</f>
        <v>1</v>
      </c>
      <c r="G259" s="279" t="b">
        <f t="shared" si="169"/>
        <v>0</v>
      </c>
      <c r="H259" s="279" t="b">
        <f t="shared" si="169"/>
        <v>1</v>
      </c>
      <c r="I259" s="279" t="b">
        <f t="shared" si="169"/>
        <v>0</v>
      </c>
      <c r="J259" s="279" t="b">
        <f t="shared" si="169"/>
        <v>0</v>
      </c>
      <c r="K259" s="279" t="b">
        <f t="shared" si="169"/>
        <v>0</v>
      </c>
      <c r="L259" s="279" t="b">
        <f t="shared" si="169"/>
        <v>0</v>
      </c>
      <c r="M259" s="279"/>
      <c r="N259" s="279" t="b">
        <f t="shared" ref="N259:P259" si="170">AND($BG55=FALSE,AND(N157&lt;&gt;"",N157=FALSE),N55="")</f>
        <v>0</v>
      </c>
      <c r="O259" s="279" t="b">
        <f t="shared" si="170"/>
        <v>0</v>
      </c>
      <c r="P259" s="279" t="b">
        <f t="shared" si="170"/>
        <v>1</v>
      </c>
      <c r="Q259" s="279" t="b">
        <f t="shared" si="161"/>
        <v>1</v>
      </c>
      <c r="AB259" s="279" t="b">
        <f t="shared" si="161"/>
        <v>1</v>
      </c>
      <c r="AC259" s="279" t="b">
        <f t="shared" si="161"/>
        <v>1</v>
      </c>
      <c r="AD259" s="279" t="b">
        <f t="shared" si="161"/>
        <v>1</v>
      </c>
      <c r="AE259" s="279" t="b">
        <f t="shared" si="161"/>
        <v>1</v>
      </c>
      <c r="AF259" s="279" t="b">
        <f t="shared" si="161"/>
        <v>1</v>
      </c>
      <c r="AG259" s="279" t="b">
        <f t="shared" si="161"/>
        <v>1</v>
      </c>
      <c r="AH259" s="279" t="b">
        <f t="shared" si="161"/>
        <v>1</v>
      </c>
      <c r="AI259" s="279" t="b">
        <f t="shared" si="161"/>
        <v>1</v>
      </c>
      <c r="AJ259" s="279" t="b">
        <f t="shared" si="161"/>
        <v>1</v>
      </c>
      <c r="AK259" s="279" t="b">
        <f t="shared" si="161"/>
        <v>1</v>
      </c>
      <c r="AL259" s="279" t="b">
        <f t="shared" si="161"/>
        <v>0</v>
      </c>
      <c r="AM259" s="279" t="b">
        <f t="shared" si="161"/>
        <v>0</v>
      </c>
      <c r="AN259" s="279" t="b">
        <f t="shared" si="161"/>
        <v>0</v>
      </c>
      <c r="AO259" s="279" t="b">
        <f t="shared" si="161"/>
        <v>0</v>
      </c>
      <c r="AP259" s="279" t="b">
        <f t="shared" si="161"/>
        <v>0</v>
      </c>
      <c r="AQ259" s="279"/>
      <c r="AR259" s="279" t="b">
        <f t="shared" ref="AR259:BA259" si="171">AND($BG55=FALSE,AND(AR157&lt;&gt;"",AR157=FALSE),AR55="")</f>
        <v>0</v>
      </c>
      <c r="AS259" s="279" t="b">
        <f t="shared" si="171"/>
        <v>0</v>
      </c>
      <c r="AT259" s="279" t="b">
        <f t="shared" si="171"/>
        <v>0</v>
      </c>
      <c r="AU259" s="279" t="b">
        <f t="shared" si="171"/>
        <v>0</v>
      </c>
      <c r="AV259" s="279" t="b">
        <f t="shared" si="171"/>
        <v>0</v>
      </c>
      <c r="AW259" s="279" t="b">
        <f t="shared" si="171"/>
        <v>0</v>
      </c>
      <c r="AX259" s="279" t="b">
        <f t="shared" si="171"/>
        <v>0</v>
      </c>
      <c r="AY259" s="279" t="b">
        <f t="shared" si="171"/>
        <v>0</v>
      </c>
      <c r="AZ259" s="279" t="b">
        <f t="shared" si="171"/>
        <v>0</v>
      </c>
      <c r="BA259" s="279" t="b">
        <f t="shared" si="171"/>
        <v>0</v>
      </c>
    </row>
    <row r="260" spans="1:53" s="275" customFormat="1" hidden="1" x14ac:dyDescent="0.35">
      <c r="A260" s="275" t="s">
        <v>3</v>
      </c>
      <c r="C260" s="275">
        <v>47</v>
      </c>
      <c r="F260" s="279" t="b">
        <f t="shared" ref="F260:L260" si="172">AND($BG56=FALSE,AND(F158&lt;&gt;"",F158=FALSE),F56="")</f>
        <v>1</v>
      </c>
      <c r="G260" s="279" t="b">
        <f t="shared" si="172"/>
        <v>0</v>
      </c>
      <c r="H260" s="279" t="b">
        <f t="shared" si="172"/>
        <v>1</v>
      </c>
      <c r="I260" s="279" t="b">
        <f t="shared" si="172"/>
        <v>0</v>
      </c>
      <c r="J260" s="279" t="b">
        <f t="shared" si="172"/>
        <v>0</v>
      </c>
      <c r="K260" s="279" t="b">
        <f t="shared" si="172"/>
        <v>0</v>
      </c>
      <c r="L260" s="279" t="b">
        <f t="shared" si="172"/>
        <v>0</v>
      </c>
      <c r="M260" s="279"/>
      <c r="N260" s="279" t="b">
        <f t="shared" ref="N260:P260" si="173">AND($BG56=FALSE,AND(N158&lt;&gt;"",N158=FALSE),N56="")</f>
        <v>0</v>
      </c>
      <c r="O260" s="279" t="b">
        <f t="shared" si="173"/>
        <v>0</v>
      </c>
      <c r="P260" s="279" t="b">
        <f t="shared" si="173"/>
        <v>1</v>
      </c>
      <c r="Q260" s="279" t="b">
        <f t="shared" si="161"/>
        <v>1</v>
      </c>
      <c r="AB260" s="279" t="b">
        <f t="shared" si="161"/>
        <v>1</v>
      </c>
      <c r="AC260" s="279" t="b">
        <f t="shared" si="161"/>
        <v>1</v>
      </c>
      <c r="AD260" s="279" t="b">
        <f t="shared" si="161"/>
        <v>1</v>
      </c>
      <c r="AE260" s="279" t="b">
        <f t="shared" si="161"/>
        <v>1</v>
      </c>
      <c r="AF260" s="279" t="b">
        <f t="shared" si="161"/>
        <v>1</v>
      </c>
      <c r="AG260" s="279" t="b">
        <f t="shared" si="161"/>
        <v>1</v>
      </c>
      <c r="AH260" s="279" t="b">
        <f t="shared" si="161"/>
        <v>1</v>
      </c>
      <c r="AI260" s="279" t="b">
        <f t="shared" si="161"/>
        <v>1</v>
      </c>
      <c r="AJ260" s="279" t="b">
        <f t="shared" si="161"/>
        <v>1</v>
      </c>
      <c r="AK260" s="279" t="b">
        <f t="shared" si="161"/>
        <v>1</v>
      </c>
      <c r="AL260" s="279" t="b">
        <f t="shared" si="161"/>
        <v>0</v>
      </c>
      <c r="AM260" s="279" t="b">
        <f t="shared" si="161"/>
        <v>0</v>
      </c>
      <c r="AN260" s="279" t="b">
        <f t="shared" si="161"/>
        <v>0</v>
      </c>
      <c r="AO260" s="279" t="b">
        <f t="shared" si="161"/>
        <v>0</v>
      </c>
      <c r="AP260" s="279" t="b">
        <f t="shared" si="161"/>
        <v>0</v>
      </c>
      <c r="AQ260" s="279"/>
      <c r="AR260" s="279" t="b">
        <f t="shared" ref="AR260:BA260" si="174">AND($BG56=FALSE,AND(AR158&lt;&gt;"",AR158=FALSE),AR56="")</f>
        <v>0</v>
      </c>
      <c r="AS260" s="279" t="b">
        <f t="shared" si="174"/>
        <v>0</v>
      </c>
      <c r="AT260" s="279" t="b">
        <f t="shared" si="174"/>
        <v>0</v>
      </c>
      <c r="AU260" s="279" t="b">
        <f t="shared" si="174"/>
        <v>0</v>
      </c>
      <c r="AV260" s="279" t="b">
        <f t="shared" si="174"/>
        <v>0</v>
      </c>
      <c r="AW260" s="279" t="b">
        <f t="shared" si="174"/>
        <v>0</v>
      </c>
      <c r="AX260" s="279" t="b">
        <f t="shared" si="174"/>
        <v>0</v>
      </c>
      <c r="AY260" s="279" t="b">
        <f t="shared" si="174"/>
        <v>0</v>
      </c>
      <c r="AZ260" s="279" t="b">
        <f t="shared" si="174"/>
        <v>0</v>
      </c>
      <c r="BA260" s="279" t="b">
        <f t="shared" si="174"/>
        <v>0</v>
      </c>
    </row>
    <row r="261" spans="1:53" s="275" customFormat="1" hidden="1" x14ac:dyDescent="0.35">
      <c r="A261" s="275" t="s">
        <v>3</v>
      </c>
      <c r="C261" s="275">
        <v>48</v>
      </c>
      <c r="F261" s="279" t="b">
        <f t="shared" ref="F261:L261" si="175">AND($BG57=FALSE,AND(F159&lt;&gt;"",F159=FALSE),F57="")</f>
        <v>1</v>
      </c>
      <c r="G261" s="279" t="b">
        <f t="shared" si="175"/>
        <v>0</v>
      </c>
      <c r="H261" s="279" t="b">
        <f t="shared" si="175"/>
        <v>1</v>
      </c>
      <c r="I261" s="279" t="b">
        <f t="shared" si="175"/>
        <v>0</v>
      </c>
      <c r="J261" s="279" t="b">
        <f t="shared" si="175"/>
        <v>0</v>
      </c>
      <c r="K261" s="279" t="b">
        <f t="shared" si="175"/>
        <v>0</v>
      </c>
      <c r="L261" s="279" t="b">
        <f t="shared" si="175"/>
        <v>0</v>
      </c>
      <c r="M261" s="279"/>
      <c r="N261" s="279" t="b">
        <f t="shared" ref="N261:P261" si="176">AND($BG57=FALSE,AND(N159&lt;&gt;"",N159=FALSE),N57="")</f>
        <v>0</v>
      </c>
      <c r="O261" s="279" t="b">
        <f t="shared" si="176"/>
        <v>0</v>
      </c>
      <c r="P261" s="279" t="b">
        <f t="shared" si="176"/>
        <v>1</v>
      </c>
      <c r="Q261" s="279" t="b">
        <f t="shared" si="161"/>
        <v>1</v>
      </c>
      <c r="AB261" s="279" t="b">
        <f t="shared" si="161"/>
        <v>1</v>
      </c>
      <c r="AC261" s="279" t="b">
        <f t="shared" si="161"/>
        <v>1</v>
      </c>
      <c r="AD261" s="279" t="b">
        <f t="shared" si="161"/>
        <v>1</v>
      </c>
      <c r="AE261" s="279" t="b">
        <f t="shared" si="161"/>
        <v>1</v>
      </c>
      <c r="AF261" s="279" t="b">
        <f t="shared" si="161"/>
        <v>1</v>
      </c>
      <c r="AG261" s="279" t="b">
        <f t="shared" si="161"/>
        <v>1</v>
      </c>
      <c r="AH261" s="279" t="b">
        <f t="shared" si="161"/>
        <v>1</v>
      </c>
      <c r="AI261" s="279" t="b">
        <f t="shared" si="161"/>
        <v>1</v>
      </c>
      <c r="AJ261" s="279" t="b">
        <f t="shared" si="161"/>
        <v>1</v>
      </c>
      <c r="AK261" s="279" t="b">
        <f t="shared" si="161"/>
        <v>1</v>
      </c>
      <c r="AL261" s="279" t="b">
        <f t="shared" si="161"/>
        <v>0</v>
      </c>
      <c r="AM261" s="279" t="b">
        <f t="shared" si="161"/>
        <v>0</v>
      </c>
      <c r="AN261" s="279" t="b">
        <f t="shared" si="161"/>
        <v>0</v>
      </c>
      <c r="AO261" s="279" t="b">
        <f t="shared" si="161"/>
        <v>0</v>
      </c>
      <c r="AP261" s="279" t="b">
        <f t="shared" si="161"/>
        <v>0</v>
      </c>
      <c r="AQ261" s="279"/>
      <c r="AR261" s="279" t="b">
        <f t="shared" ref="AR261:BA261" si="177">AND($BG57=FALSE,AND(AR159&lt;&gt;"",AR159=FALSE),AR57="")</f>
        <v>0</v>
      </c>
      <c r="AS261" s="279" t="b">
        <f t="shared" si="177"/>
        <v>0</v>
      </c>
      <c r="AT261" s="279" t="b">
        <f t="shared" si="177"/>
        <v>0</v>
      </c>
      <c r="AU261" s="279" t="b">
        <f t="shared" si="177"/>
        <v>0</v>
      </c>
      <c r="AV261" s="279" t="b">
        <f t="shared" si="177"/>
        <v>0</v>
      </c>
      <c r="AW261" s="279" t="b">
        <f t="shared" si="177"/>
        <v>0</v>
      </c>
      <c r="AX261" s="279" t="b">
        <f t="shared" si="177"/>
        <v>0</v>
      </c>
      <c r="AY261" s="279" t="b">
        <f t="shared" si="177"/>
        <v>0</v>
      </c>
      <c r="AZ261" s="279" t="b">
        <f t="shared" si="177"/>
        <v>0</v>
      </c>
      <c r="BA261" s="279" t="b">
        <f t="shared" si="177"/>
        <v>0</v>
      </c>
    </row>
    <row r="262" spans="1:53" s="275" customFormat="1" hidden="1" x14ac:dyDescent="0.35">
      <c r="A262" s="275" t="s">
        <v>3</v>
      </c>
      <c r="C262" s="275">
        <v>49</v>
      </c>
      <c r="F262" s="279" t="b">
        <f t="shared" ref="F262:L262" si="178">AND($BG58=FALSE,AND(F160&lt;&gt;"",F160=FALSE),F58="")</f>
        <v>1</v>
      </c>
      <c r="G262" s="279" t="b">
        <f t="shared" si="178"/>
        <v>0</v>
      </c>
      <c r="H262" s="279" t="b">
        <f t="shared" si="178"/>
        <v>1</v>
      </c>
      <c r="I262" s="279" t="b">
        <f t="shared" si="178"/>
        <v>0</v>
      </c>
      <c r="J262" s="279" t="b">
        <f t="shared" si="178"/>
        <v>0</v>
      </c>
      <c r="K262" s="279" t="b">
        <f t="shared" si="178"/>
        <v>0</v>
      </c>
      <c r="L262" s="279" t="b">
        <f t="shared" si="178"/>
        <v>0</v>
      </c>
      <c r="M262" s="279"/>
      <c r="N262" s="279" t="b">
        <f t="shared" ref="N262:P262" si="179">AND($BG58=FALSE,AND(N160&lt;&gt;"",N160=FALSE),N58="")</f>
        <v>0</v>
      </c>
      <c r="O262" s="279" t="b">
        <f t="shared" si="179"/>
        <v>0</v>
      </c>
      <c r="P262" s="279" t="b">
        <f t="shared" si="179"/>
        <v>1</v>
      </c>
      <c r="Q262" s="279" t="b">
        <f t="shared" si="161"/>
        <v>1</v>
      </c>
      <c r="AB262" s="279" t="b">
        <f t="shared" si="161"/>
        <v>1</v>
      </c>
      <c r="AC262" s="279" t="b">
        <f t="shared" si="161"/>
        <v>1</v>
      </c>
      <c r="AD262" s="279" t="b">
        <f t="shared" si="161"/>
        <v>1</v>
      </c>
      <c r="AE262" s="279" t="b">
        <f t="shared" si="161"/>
        <v>1</v>
      </c>
      <c r="AF262" s="279" t="b">
        <f t="shared" si="161"/>
        <v>1</v>
      </c>
      <c r="AG262" s="279" t="b">
        <f t="shared" si="161"/>
        <v>1</v>
      </c>
      <c r="AH262" s="279" t="b">
        <f t="shared" si="161"/>
        <v>1</v>
      </c>
      <c r="AI262" s="279" t="b">
        <f t="shared" si="161"/>
        <v>1</v>
      </c>
      <c r="AJ262" s="279" t="b">
        <f t="shared" si="161"/>
        <v>1</v>
      </c>
      <c r="AK262" s="279" t="b">
        <f t="shared" si="161"/>
        <v>1</v>
      </c>
      <c r="AL262" s="279" t="b">
        <f t="shared" si="161"/>
        <v>0</v>
      </c>
      <c r="AM262" s="279" t="b">
        <f t="shared" si="161"/>
        <v>0</v>
      </c>
      <c r="AN262" s="279" t="b">
        <f t="shared" si="161"/>
        <v>0</v>
      </c>
      <c r="AO262" s="279" t="b">
        <f t="shared" si="161"/>
        <v>0</v>
      </c>
      <c r="AP262" s="279" t="b">
        <f t="shared" si="161"/>
        <v>0</v>
      </c>
      <c r="AQ262" s="279"/>
      <c r="AR262" s="279" t="b">
        <f t="shared" ref="AR262:BA262" si="180">AND($BG58=FALSE,AND(AR160&lt;&gt;"",AR160=FALSE),AR58="")</f>
        <v>0</v>
      </c>
      <c r="AS262" s="279" t="b">
        <f t="shared" si="180"/>
        <v>0</v>
      </c>
      <c r="AT262" s="279" t="b">
        <f t="shared" si="180"/>
        <v>0</v>
      </c>
      <c r="AU262" s="279" t="b">
        <f t="shared" si="180"/>
        <v>0</v>
      </c>
      <c r="AV262" s="279" t="b">
        <f t="shared" si="180"/>
        <v>0</v>
      </c>
      <c r="AW262" s="279" t="b">
        <f t="shared" si="180"/>
        <v>0</v>
      </c>
      <c r="AX262" s="279" t="b">
        <f t="shared" si="180"/>
        <v>0</v>
      </c>
      <c r="AY262" s="279" t="b">
        <f t="shared" si="180"/>
        <v>0</v>
      </c>
      <c r="AZ262" s="279" t="b">
        <f t="shared" si="180"/>
        <v>0</v>
      </c>
      <c r="BA262" s="279" t="b">
        <f t="shared" si="180"/>
        <v>0</v>
      </c>
    </row>
    <row r="263" spans="1:53" s="275" customFormat="1" hidden="1" x14ac:dyDescent="0.35">
      <c r="A263" s="275" t="s">
        <v>3</v>
      </c>
      <c r="C263" s="275">
        <v>50</v>
      </c>
      <c r="F263" s="279" t="b">
        <f t="shared" ref="F263:L263" si="181">AND($BG59=FALSE,AND(F161&lt;&gt;"",F161=FALSE),F59="")</f>
        <v>1</v>
      </c>
      <c r="G263" s="279" t="b">
        <f t="shared" si="181"/>
        <v>0</v>
      </c>
      <c r="H263" s="279" t="b">
        <f t="shared" si="181"/>
        <v>1</v>
      </c>
      <c r="I263" s="279" t="b">
        <f t="shared" si="181"/>
        <v>0</v>
      </c>
      <c r="J263" s="279" t="b">
        <f t="shared" si="181"/>
        <v>0</v>
      </c>
      <c r="K263" s="279" t="b">
        <f t="shared" si="181"/>
        <v>0</v>
      </c>
      <c r="L263" s="279" t="b">
        <f t="shared" si="181"/>
        <v>0</v>
      </c>
      <c r="M263" s="279"/>
      <c r="N263" s="279" t="b">
        <f t="shared" ref="N263:P263" si="182">AND($BG59=FALSE,AND(N161&lt;&gt;"",N161=FALSE),N59="")</f>
        <v>0</v>
      </c>
      <c r="O263" s="279" t="b">
        <f t="shared" si="182"/>
        <v>0</v>
      </c>
      <c r="P263" s="279" t="b">
        <f t="shared" si="182"/>
        <v>1</v>
      </c>
      <c r="Q263" s="279" t="b">
        <f t="shared" si="161"/>
        <v>1</v>
      </c>
      <c r="AB263" s="279" t="b">
        <f t="shared" si="161"/>
        <v>1</v>
      </c>
      <c r="AC263" s="279" t="b">
        <f t="shared" si="161"/>
        <v>1</v>
      </c>
      <c r="AD263" s="279" t="b">
        <f t="shared" si="161"/>
        <v>1</v>
      </c>
      <c r="AE263" s="279" t="b">
        <f t="shared" si="161"/>
        <v>1</v>
      </c>
      <c r="AF263" s="279" t="b">
        <f t="shared" si="161"/>
        <v>1</v>
      </c>
      <c r="AG263" s="279" t="b">
        <f t="shared" si="161"/>
        <v>1</v>
      </c>
      <c r="AH263" s="279" t="b">
        <f t="shared" si="161"/>
        <v>1</v>
      </c>
      <c r="AI263" s="279" t="b">
        <f t="shared" si="161"/>
        <v>1</v>
      </c>
      <c r="AJ263" s="279" t="b">
        <f t="shared" si="161"/>
        <v>1</v>
      </c>
      <c r="AK263" s="279" t="b">
        <f t="shared" si="161"/>
        <v>1</v>
      </c>
      <c r="AL263" s="279" t="b">
        <f t="shared" si="161"/>
        <v>0</v>
      </c>
      <c r="AM263" s="279" t="b">
        <f t="shared" si="161"/>
        <v>0</v>
      </c>
      <c r="AN263" s="279" t="b">
        <f t="shared" si="161"/>
        <v>0</v>
      </c>
      <c r="AO263" s="279" t="b">
        <f t="shared" si="161"/>
        <v>0</v>
      </c>
      <c r="AP263" s="279" t="b">
        <f t="shared" si="161"/>
        <v>0</v>
      </c>
      <c r="AQ263" s="279"/>
      <c r="AR263" s="279" t="b">
        <f t="shared" ref="AR263:BA263" si="183">AND($BG59=FALSE,AND(AR161&lt;&gt;"",AR161=FALSE),AR59="")</f>
        <v>0</v>
      </c>
      <c r="AS263" s="279" t="b">
        <f t="shared" si="183"/>
        <v>0</v>
      </c>
      <c r="AT263" s="279" t="b">
        <f t="shared" si="183"/>
        <v>0</v>
      </c>
      <c r="AU263" s="279" t="b">
        <f t="shared" si="183"/>
        <v>0</v>
      </c>
      <c r="AV263" s="279" t="b">
        <f t="shared" si="183"/>
        <v>0</v>
      </c>
      <c r="AW263" s="279" t="b">
        <f t="shared" si="183"/>
        <v>0</v>
      </c>
      <c r="AX263" s="279" t="b">
        <f t="shared" si="183"/>
        <v>0</v>
      </c>
      <c r="AY263" s="279" t="b">
        <f t="shared" si="183"/>
        <v>0</v>
      </c>
      <c r="AZ263" s="279" t="b">
        <f t="shared" si="183"/>
        <v>0</v>
      </c>
      <c r="BA263" s="279" t="b">
        <f t="shared" si="183"/>
        <v>0</v>
      </c>
    </row>
    <row r="264" spans="1:53" s="275" customFormat="1" hidden="1" x14ac:dyDescent="0.35">
      <c r="A264" s="275" t="s">
        <v>3</v>
      </c>
      <c r="C264" s="275">
        <v>51</v>
      </c>
      <c r="F264" s="279" t="b">
        <f t="shared" ref="F264:L264" si="184">AND($BG60=FALSE,AND(F162&lt;&gt;"",F162=FALSE),F60="")</f>
        <v>1</v>
      </c>
      <c r="G264" s="279" t="b">
        <f t="shared" si="184"/>
        <v>0</v>
      </c>
      <c r="H264" s="279" t="b">
        <f t="shared" si="184"/>
        <v>1</v>
      </c>
      <c r="I264" s="279" t="b">
        <f t="shared" si="184"/>
        <v>0</v>
      </c>
      <c r="J264" s="279" t="b">
        <f t="shared" si="184"/>
        <v>0</v>
      </c>
      <c r="K264" s="279" t="b">
        <f t="shared" si="184"/>
        <v>0</v>
      </c>
      <c r="L264" s="279" t="b">
        <f t="shared" si="184"/>
        <v>0</v>
      </c>
      <c r="M264" s="279"/>
      <c r="N264" s="279" t="b">
        <f t="shared" ref="N264:P264" si="185">AND($BG60=FALSE,AND(N162&lt;&gt;"",N162=FALSE),N60="")</f>
        <v>0</v>
      </c>
      <c r="O264" s="279" t="b">
        <f t="shared" si="185"/>
        <v>0</v>
      </c>
      <c r="P264" s="279" t="b">
        <f t="shared" si="185"/>
        <v>1</v>
      </c>
      <c r="Q264" s="279" t="b">
        <f t="shared" si="161"/>
        <v>1</v>
      </c>
      <c r="AB264" s="279" t="b">
        <f t="shared" si="161"/>
        <v>1</v>
      </c>
      <c r="AC264" s="279" t="b">
        <f t="shared" si="161"/>
        <v>1</v>
      </c>
      <c r="AD264" s="279" t="b">
        <f t="shared" si="161"/>
        <v>1</v>
      </c>
      <c r="AE264" s="279" t="b">
        <f t="shared" si="161"/>
        <v>1</v>
      </c>
      <c r="AF264" s="279" t="b">
        <f t="shared" si="161"/>
        <v>1</v>
      </c>
      <c r="AG264" s="279" t="b">
        <f t="shared" si="161"/>
        <v>1</v>
      </c>
      <c r="AH264" s="279" t="b">
        <f t="shared" si="161"/>
        <v>1</v>
      </c>
      <c r="AI264" s="279" t="b">
        <f t="shared" si="161"/>
        <v>1</v>
      </c>
      <c r="AJ264" s="279" t="b">
        <f t="shared" si="161"/>
        <v>1</v>
      </c>
      <c r="AK264" s="279" t="b">
        <f t="shared" si="161"/>
        <v>1</v>
      </c>
      <c r="AL264" s="279" t="b">
        <f t="shared" si="161"/>
        <v>0</v>
      </c>
      <c r="AM264" s="279" t="b">
        <f t="shared" si="161"/>
        <v>0</v>
      </c>
      <c r="AN264" s="279" t="b">
        <f t="shared" si="161"/>
        <v>0</v>
      </c>
      <c r="AO264" s="279" t="b">
        <f t="shared" si="161"/>
        <v>0</v>
      </c>
      <c r="AP264" s="279" t="b">
        <f t="shared" si="161"/>
        <v>0</v>
      </c>
      <c r="AQ264" s="279"/>
      <c r="AR264" s="279" t="b">
        <f t="shared" ref="AR264:BA264" si="186">AND($BG60=FALSE,AND(AR162&lt;&gt;"",AR162=FALSE),AR60="")</f>
        <v>0</v>
      </c>
      <c r="AS264" s="279" t="b">
        <f t="shared" si="186"/>
        <v>0</v>
      </c>
      <c r="AT264" s="279" t="b">
        <f t="shared" si="186"/>
        <v>0</v>
      </c>
      <c r="AU264" s="279" t="b">
        <f t="shared" si="186"/>
        <v>0</v>
      </c>
      <c r="AV264" s="279" t="b">
        <f t="shared" si="186"/>
        <v>0</v>
      </c>
      <c r="AW264" s="279" t="b">
        <f t="shared" si="186"/>
        <v>0</v>
      </c>
      <c r="AX264" s="279" t="b">
        <f t="shared" si="186"/>
        <v>0</v>
      </c>
      <c r="AY264" s="279" t="b">
        <f t="shared" si="186"/>
        <v>0</v>
      </c>
      <c r="AZ264" s="279" t="b">
        <f t="shared" si="186"/>
        <v>0</v>
      </c>
      <c r="BA264" s="279" t="b">
        <f t="shared" si="186"/>
        <v>0</v>
      </c>
    </row>
    <row r="265" spans="1:53" s="275" customFormat="1" hidden="1" x14ac:dyDescent="0.35">
      <c r="A265" s="275" t="s">
        <v>3</v>
      </c>
      <c r="C265" s="275">
        <v>52</v>
      </c>
      <c r="F265" s="279" t="b">
        <f t="shared" ref="F265:L265" si="187">AND($BG61=FALSE,AND(F163&lt;&gt;"",F163=FALSE),F61="")</f>
        <v>1</v>
      </c>
      <c r="G265" s="279" t="b">
        <f t="shared" si="187"/>
        <v>0</v>
      </c>
      <c r="H265" s="279" t="b">
        <f t="shared" si="187"/>
        <v>1</v>
      </c>
      <c r="I265" s="279" t="b">
        <f t="shared" si="187"/>
        <v>0</v>
      </c>
      <c r="J265" s="279" t="b">
        <f t="shared" si="187"/>
        <v>0</v>
      </c>
      <c r="K265" s="279" t="b">
        <f t="shared" si="187"/>
        <v>0</v>
      </c>
      <c r="L265" s="279" t="b">
        <f t="shared" si="187"/>
        <v>0</v>
      </c>
      <c r="M265" s="279"/>
      <c r="N265" s="279" t="b">
        <f t="shared" ref="N265:P265" si="188">AND($BG61=FALSE,AND(N163&lt;&gt;"",N163=FALSE),N61="")</f>
        <v>0</v>
      </c>
      <c r="O265" s="279" t="b">
        <f t="shared" si="188"/>
        <v>0</v>
      </c>
      <c r="P265" s="279" t="b">
        <f t="shared" si="188"/>
        <v>1</v>
      </c>
      <c r="Q265" s="279" t="b">
        <f t="shared" si="161"/>
        <v>1</v>
      </c>
      <c r="AB265" s="279" t="b">
        <f t="shared" si="161"/>
        <v>1</v>
      </c>
      <c r="AC265" s="279" t="b">
        <f t="shared" si="161"/>
        <v>1</v>
      </c>
      <c r="AD265" s="279" t="b">
        <f t="shared" si="161"/>
        <v>1</v>
      </c>
      <c r="AE265" s="279" t="b">
        <f t="shared" si="161"/>
        <v>1</v>
      </c>
      <c r="AF265" s="279" t="b">
        <f t="shared" si="161"/>
        <v>1</v>
      </c>
      <c r="AG265" s="279" t="b">
        <f t="shared" si="161"/>
        <v>1</v>
      </c>
      <c r="AH265" s="279" t="b">
        <f t="shared" si="161"/>
        <v>1</v>
      </c>
      <c r="AI265" s="279" t="b">
        <f t="shared" ref="AI265:AP265" si="189">AND($BG61=FALSE,AND(AI163&lt;&gt;"",AI163=FALSE),AI61="")</f>
        <v>1</v>
      </c>
      <c r="AJ265" s="279" t="b">
        <f t="shared" si="189"/>
        <v>1</v>
      </c>
      <c r="AK265" s="279" t="b">
        <f t="shared" si="189"/>
        <v>1</v>
      </c>
      <c r="AL265" s="279" t="b">
        <f t="shared" si="189"/>
        <v>0</v>
      </c>
      <c r="AM265" s="279" t="b">
        <f t="shared" si="189"/>
        <v>0</v>
      </c>
      <c r="AN265" s="279" t="b">
        <f t="shared" si="189"/>
        <v>0</v>
      </c>
      <c r="AO265" s="279" t="b">
        <f t="shared" si="189"/>
        <v>0</v>
      </c>
      <c r="AP265" s="279" t="b">
        <f t="shared" si="189"/>
        <v>0</v>
      </c>
      <c r="AQ265" s="279"/>
      <c r="AR265" s="279" t="b">
        <f t="shared" ref="AR265:BA265" si="190">AND($BG61=FALSE,AND(AR163&lt;&gt;"",AR163=FALSE),AR61="")</f>
        <v>0</v>
      </c>
      <c r="AS265" s="279" t="b">
        <f t="shared" si="190"/>
        <v>0</v>
      </c>
      <c r="AT265" s="279" t="b">
        <f t="shared" si="190"/>
        <v>0</v>
      </c>
      <c r="AU265" s="279" t="b">
        <f t="shared" si="190"/>
        <v>0</v>
      </c>
      <c r="AV265" s="279" t="b">
        <f t="shared" si="190"/>
        <v>0</v>
      </c>
      <c r="AW265" s="279" t="b">
        <f t="shared" si="190"/>
        <v>0</v>
      </c>
      <c r="AX265" s="279" t="b">
        <f t="shared" si="190"/>
        <v>0</v>
      </c>
      <c r="AY265" s="279" t="b">
        <f t="shared" si="190"/>
        <v>0</v>
      </c>
      <c r="AZ265" s="279" t="b">
        <f t="shared" si="190"/>
        <v>0</v>
      </c>
      <c r="BA265" s="279" t="b">
        <f t="shared" si="190"/>
        <v>0</v>
      </c>
    </row>
    <row r="266" spans="1:53" s="275" customFormat="1" hidden="1" x14ac:dyDescent="0.35">
      <c r="A266" s="275" t="s">
        <v>3</v>
      </c>
      <c r="C266" s="275">
        <v>53</v>
      </c>
      <c r="F266" s="279" t="b">
        <f t="shared" ref="F266:L266" si="191">AND($BG62=FALSE,AND(F164&lt;&gt;"",F164=FALSE),F62="")</f>
        <v>1</v>
      </c>
      <c r="G266" s="279" t="b">
        <f t="shared" si="191"/>
        <v>0</v>
      </c>
      <c r="H266" s="279" t="b">
        <f t="shared" si="191"/>
        <v>1</v>
      </c>
      <c r="I266" s="279" t="b">
        <f t="shared" si="191"/>
        <v>0</v>
      </c>
      <c r="J266" s="279" t="b">
        <f t="shared" si="191"/>
        <v>0</v>
      </c>
      <c r="K266" s="279" t="b">
        <f t="shared" si="191"/>
        <v>0</v>
      </c>
      <c r="L266" s="279" t="b">
        <f t="shared" si="191"/>
        <v>0</v>
      </c>
      <c r="M266" s="279"/>
      <c r="N266" s="279" t="b">
        <f t="shared" ref="N266:AP275" si="192">AND($BG62=FALSE,AND(N164&lt;&gt;"",N164=FALSE),N62="")</f>
        <v>0</v>
      </c>
      <c r="O266" s="279" t="b">
        <f t="shared" si="192"/>
        <v>0</v>
      </c>
      <c r="P266" s="279" t="b">
        <f t="shared" si="192"/>
        <v>1</v>
      </c>
      <c r="Q266" s="279" t="b">
        <f t="shared" si="192"/>
        <v>1</v>
      </c>
      <c r="AB266" s="279" t="b">
        <f t="shared" si="192"/>
        <v>1</v>
      </c>
      <c r="AC266" s="279" t="b">
        <f t="shared" si="192"/>
        <v>1</v>
      </c>
      <c r="AD266" s="279" t="b">
        <f t="shared" si="192"/>
        <v>1</v>
      </c>
      <c r="AE266" s="279" t="b">
        <f t="shared" si="192"/>
        <v>1</v>
      </c>
      <c r="AF266" s="279" t="b">
        <f t="shared" si="192"/>
        <v>1</v>
      </c>
      <c r="AG266" s="279" t="b">
        <f t="shared" si="192"/>
        <v>1</v>
      </c>
      <c r="AH266" s="279" t="b">
        <f t="shared" si="192"/>
        <v>1</v>
      </c>
      <c r="AI266" s="279" t="b">
        <f t="shared" si="192"/>
        <v>1</v>
      </c>
      <c r="AJ266" s="279" t="b">
        <f t="shared" si="192"/>
        <v>1</v>
      </c>
      <c r="AK266" s="279" t="b">
        <f t="shared" si="192"/>
        <v>1</v>
      </c>
      <c r="AL266" s="279" t="b">
        <f t="shared" si="192"/>
        <v>0</v>
      </c>
      <c r="AM266" s="279" t="b">
        <f t="shared" si="192"/>
        <v>0</v>
      </c>
      <c r="AN266" s="279" t="b">
        <f t="shared" si="192"/>
        <v>0</v>
      </c>
      <c r="AO266" s="279" t="b">
        <f t="shared" si="192"/>
        <v>0</v>
      </c>
      <c r="AP266" s="279" t="b">
        <f t="shared" si="192"/>
        <v>0</v>
      </c>
      <c r="AQ266" s="279"/>
      <c r="AR266" s="279" t="b">
        <f t="shared" ref="AR266:BA266" si="193">AND($BG62=FALSE,AND(AR164&lt;&gt;"",AR164=FALSE),AR62="")</f>
        <v>0</v>
      </c>
      <c r="AS266" s="279" t="b">
        <f t="shared" si="193"/>
        <v>0</v>
      </c>
      <c r="AT266" s="279" t="b">
        <f t="shared" si="193"/>
        <v>0</v>
      </c>
      <c r="AU266" s="279" t="b">
        <f t="shared" si="193"/>
        <v>0</v>
      </c>
      <c r="AV266" s="279" t="b">
        <f t="shared" si="193"/>
        <v>0</v>
      </c>
      <c r="AW266" s="279" t="b">
        <f t="shared" si="193"/>
        <v>0</v>
      </c>
      <c r="AX266" s="279" t="b">
        <f t="shared" si="193"/>
        <v>0</v>
      </c>
      <c r="AY266" s="279" t="b">
        <f t="shared" si="193"/>
        <v>0</v>
      </c>
      <c r="AZ266" s="279" t="b">
        <f t="shared" si="193"/>
        <v>0</v>
      </c>
      <c r="BA266" s="279" t="b">
        <f t="shared" si="193"/>
        <v>0</v>
      </c>
    </row>
    <row r="267" spans="1:53" s="275" customFormat="1" hidden="1" x14ac:dyDescent="0.35">
      <c r="A267" s="275" t="s">
        <v>3</v>
      </c>
      <c r="C267" s="275">
        <v>54</v>
      </c>
      <c r="F267" s="279" t="b">
        <f t="shared" ref="F267:L267" si="194">AND($BG63=FALSE,AND(F165&lt;&gt;"",F165=FALSE),F63="")</f>
        <v>1</v>
      </c>
      <c r="G267" s="279" t="b">
        <f t="shared" si="194"/>
        <v>0</v>
      </c>
      <c r="H267" s="279" t="b">
        <f t="shared" si="194"/>
        <v>1</v>
      </c>
      <c r="I267" s="279" t="b">
        <f t="shared" si="194"/>
        <v>0</v>
      </c>
      <c r="J267" s="279" t="b">
        <f t="shared" si="194"/>
        <v>0</v>
      </c>
      <c r="K267" s="279" t="b">
        <f t="shared" si="194"/>
        <v>0</v>
      </c>
      <c r="L267" s="279" t="b">
        <f t="shared" si="194"/>
        <v>0</v>
      </c>
      <c r="M267" s="279"/>
      <c r="N267" s="279" t="b">
        <f t="shared" ref="N267:P267" si="195">AND($BG63=FALSE,AND(N165&lt;&gt;"",N165=FALSE),N63="")</f>
        <v>0</v>
      </c>
      <c r="O267" s="279" t="b">
        <f t="shared" si="195"/>
        <v>0</v>
      </c>
      <c r="P267" s="279" t="b">
        <f t="shared" si="195"/>
        <v>1</v>
      </c>
      <c r="Q267" s="279" t="b">
        <f t="shared" si="192"/>
        <v>1</v>
      </c>
      <c r="AB267" s="279" t="b">
        <f t="shared" si="192"/>
        <v>1</v>
      </c>
      <c r="AC267" s="279" t="b">
        <f t="shared" si="192"/>
        <v>1</v>
      </c>
      <c r="AD267" s="279" t="b">
        <f t="shared" si="192"/>
        <v>1</v>
      </c>
      <c r="AE267" s="279" t="b">
        <f t="shared" si="192"/>
        <v>1</v>
      </c>
      <c r="AF267" s="279" t="b">
        <f t="shared" si="192"/>
        <v>1</v>
      </c>
      <c r="AG267" s="279" t="b">
        <f t="shared" si="192"/>
        <v>1</v>
      </c>
      <c r="AH267" s="279" t="b">
        <f t="shared" si="192"/>
        <v>1</v>
      </c>
      <c r="AI267" s="279" t="b">
        <f t="shared" si="192"/>
        <v>1</v>
      </c>
      <c r="AJ267" s="279" t="b">
        <f t="shared" si="192"/>
        <v>1</v>
      </c>
      <c r="AK267" s="279" t="b">
        <f t="shared" si="192"/>
        <v>1</v>
      </c>
      <c r="AL267" s="279" t="b">
        <f t="shared" si="192"/>
        <v>0</v>
      </c>
      <c r="AM267" s="279" t="b">
        <f t="shared" si="192"/>
        <v>0</v>
      </c>
      <c r="AN267" s="279" t="b">
        <f t="shared" si="192"/>
        <v>0</v>
      </c>
      <c r="AO267" s="279" t="b">
        <f t="shared" si="192"/>
        <v>0</v>
      </c>
      <c r="AP267" s="279" t="b">
        <f t="shared" si="192"/>
        <v>0</v>
      </c>
      <c r="AQ267" s="279"/>
      <c r="AR267" s="279" t="b">
        <f t="shared" ref="AR267:BA267" si="196">AND($BG63=FALSE,AND(AR165&lt;&gt;"",AR165=FALSE),AR63="")</f>
        <v>0</v>
      </c>
      <c r="AS267" s="279" t="b">
        <f t="shared" si="196"/>
        <v>0</v>
      </c>
      <c r="AT267" s="279" t="b">
        <f t="shared" si="196"/>
        <v>0</v>
      </c>
      <c r="AU267" s="279" t="b">
        <f t="shared" si="196"/>
        <v>0</v>
      </c>
      <c r="AV267" s="279" t="b">
        <f t="shared" si="196"/>
        <v>0</v>
      </c>
      <c r="AW267" s="279" t="b">
        <f t="shared" si="196"/>
        <v>0</v>
      </c>
      <c r="AX267" s="279" t="b">
        <f t="shared" si="196"/>
        <v>0</v>
      </c>
      <c r="AY267" s="279" t="b">
        <f t="shared" si="196"/>
        <v>0</v>
      </c>
      <c r="AZ267" s="279" t="b">
        <f t="shared" si="196"/>
        <v>0</v>
      </c>
      <c r="BA267" s="279" t="b">
        <f t="shared" si="196"/>
        <v>0</v>
      </c>
    </row>
    <row r="268" spans="1:53" s="275" customFormat="1" hidden="1" x14ac:dyDescent="0.35">
      <c r="A268" s="275" t="s">
        <v>3</v>
      </c>
      <c r="C268" s="275">
        <v>55</v>
      </c>
      <c r="F268" s="279" t="b">
        <f t="shared" ref="F268:L268" si="197">AND($BG64=FALSE,AND(F166&lt;&gt;"",F166=FALSE),F64="")</f>
        <v>1</v>
      </c>
      <c r="G268" s="279" t="b">
        <f t="shared" si="197"/>
        <v>0</v>
      </c>
      <c r="H268" s="279" t="b">
        <f t="shared" si="197"/>
        <v>1</v>
      </c>
      <c r="I268" s="279" t="b">
        <f t="shared" si="197"/>
        <v>0</v>
      </c>
      <c r="J268" s="279" t="b">
        <f t="shared" si="197"/>
        <v>0</v>
      </c>
      <c r="K268" s="279" t="b">
        <f t="shared" si="197"/>
        <v>0</v>
      </c>
      <c r="L268" s="279" t="b">
        <f t="shared" si="197"/>
        <v>0</v>
      </c>
      <c r="M268" s="279"/>
      <c r="N268" s="279" t="b">
        <f t="shared" ref="N268:P268" si="198">AND($BG64=FALSE,AND(N166&lt;&gt;"",N166=FALSE),N64="")</f>
        <v>0</v>
      </c>
      <c r="O268" s="279" t="b">
        <f t="shared" si="198"/>
        <v>0</v>
      </c>
      <c r="P268" s="279" t="b">
        <f t="shared" si="198"/>
        <v>1</v>
      </c>
      <c r="Q268" s="279" t="b">
        <f t="shared" si="192"/>
        <v>1</v>
      </c>
      <c r="AB268" s="279" t="b">
        <f t="shared" si="192"/>
        <v>1</v>
      </c>
      <c r="AC268" s="279" t="b">
        <f t="shared" si="192"/>
        <v>1</v>
      </c>
      <c r="AD268" s="279" t="b">
        <f t="shared" si="192"/>
        <v>1</v>
      </c>
      <c r="AE268" s="279" t="b">
        <f t="shared" si="192"/>
        <v>1</v>
      </c>
      <c r="AF268" s="279" t="b">
        <f t="shared" si="192"/>
        <v>1</v>
      </c>
      <c r="AG268" s="279" t="b">
        <f t="shared" si="192"/>
        <v>1</v>
      </c>
      <c r="AH268" s="279" t="b">
        <f t="shared" si="192"/>
        <v>1</v>
      </c>
      <c r="AI268" s="279" t="b">
        <f t="shared" si="192"/>
        <v>1</v>
      </c>
      <c r="AJ268" s="279" t="b">
        <f t="shared" si="192"/>
        <v>1</v>
      </c>
      <c r="AK268" s="279" t="b">
        <f t="shared" si="192"/>
        <v>1</v>
      </c>
      <c r="AL268" s="279" t="b">
        <f t="shared" si="192"/>
        <v>0</v>
      </c>
      <c r="AM268" s="279" t="b">
        <f t="shared" si="192"/>
        <v>0</v>
      </c>
      <c r="AN268" s="279" t="b">
        <f t="shared" si="192"/>
        <v>0</v>
      </c>
      <c r="AO268" s="279" t="b">
        <f t="shared" si="192"/>
        <v>0</v>
      </c>
      <c r="AP268" s="279" t="b">
        <f t="shared" si="192"/>
        <v>0</v>
      </c>
      <c r="AQ268" s="279"/>
      <c r="AR268" s="279" t="b">
        <f t="shared" ref="AR268:BA268" si="199">AND($BG64=FALSE,AND(AR166&lt;&gt;"",AR166=FALSE),AR64="")</f>
        <v>0</v>
      </c>
      <c r="AS268" s="279" t="b">
        <f t="shared" si="199"/>
        <v>0</v>
      </c>
      <c r="AT268" s="279" t="b">
        <f t="shared" si="199"/>
        <v>0</v>
      </c>
      <c r="AU268" s="279" t="b">
        <f t="shared" si="199"/>
        <v>0</v>
      </c>
      <c r="AV268" s="279" t="b">
        <f t="shared" si="199"/>
        <v>0</v>
      </c>
      <c r="AW268" s="279" t="b">
        <f t="shared" si="199"/>
        <v>0</v>
      </c>
      <c r="AX268" s="279" t="b">
        <f t="shared" si="199"/>
        <v>0</v>
      </c>
      <c r="AY268" s="279" t="b">
        <f t="shared" si="199"/>
        <v>0</v>
      </c>
      <c r="AZ268" s="279" t="b">
        <f t="shared" si="199"/>
        <v>0</v>
      </c>
      <c r="BA268" s="279" t="b">
        <f t="shared" si="199"/>
        <v>0</v>
      </c>
    </row>
    <row r="269" spans="1:53" s="275" customFormat="1" hidden="1" x14ac:dyDescent="0.35">
      <c r="A269" s="275" t="s">
        <v>3</v>
      </c>
      <c r="C269" s="275">
        <v>56</v>
      </c>
      <c r="F269" s="279" t="b">
        <f t="shared" ref="F269:L269" si="200">AND($BG65=FALSE,AND(F167&lt;&gt;"",F167=FALSE),F65="")</f>
        <v>1</v>
      </c>
      <c r="G269" s="279" t="b">
        <f t="shared" si="200"/>
        <v>0</v>
      </c>
      <c r="H269" s="279" t="b">
        <f t="shared" si="200"/>
        <v>1</v>
      </c>
      <c r="I269" s="279" t="b">
        <f t="shared" si="200"/>
        <v>0</v>
      </c>
      <c r="J269" s="279" t="b">
        <f t="shared" si="200"/>
        <v>0</v>
      </c>
      <c r="K269" s="279" t="b">
        <f t="shared" si="200"/>
        <v>0</v>
      </c>
      <c r="L269" s="279" t="b">
        <f t="shared" si="200"/>
        <v>0</v>
      </c>
      <c r="M269" s="279"/>
      <c r="N269" s="279" t="b">
        <f t="shared" ref="N269:P269" si="201">AND($BG65=FALSE,AND(N167&lt;&gt;"",N167=FALSE),N65="")</f>
        <v>0</v>
      </c>
      <c r="O269" s="279" t="b">
        <f t="shared" si="201"/>
        <v>0</v>
      </c>
      <c r="P269" s="279" t="b">
        <f t="shared" si="201"/>
        <v>1</v>
      </c>
      <c r="Q269" s="279" t="b">
        <f t="shared" si="192"/>
        <v>1</v>
      </c>
      <c r="AB269" s="279" t="b">
        <f t="shared" si="192"/>
        <v>1</v>
      </c>
      <c r="AC269" s="279" t="b">
        <f t="shared" si="192"/>
        <v>1</v>
      </c>
      <c r="AD269" s="279" t="b">
        <f t="shared" si="192"/>
        <v>1</v>
      </c>
      <c r="AE269" s="279" t="b">
        <f t="shared" si="192"/>
        <v>1</v>
      </c>
      <c r="AF269" s="279" t="b">
        <f t="shared" si="192"/>
        <v>1</v>
      </c>
      <c r="AG269" s="279" t="b">
        <f t="shared" si="192"/>
        <v>1</v>
      </c>
      <c r="AH269" s="279" t="b">
        <f t="shared" si="192"/>
        <v>1</v>
      </c>
      <c r="AI269" s="279" t="b">
        <f t="shared" si="192"/>
        <v>1</v>
      </c>
      <c r="AJ269" s="279" t="b">
        <f t="shared" si="192"/>
        <v>1</v>
      </c>
      <c r="AK269" s="279" t="b">
        <f t="shared" si="192"/>
        <v>1</v>
      </c>
      <c r="AL269" s="279" t="b">
        <f t="shared" si="192"/>
        <v>0</v>
      </c>
      <c r="AM269" s="279" t="b">
        <f t="shared" si="192"/>
        <v>0</v>
      </c>
      <c r="AN269" s="279" t="b">
        <f t="shared" si="192"/>
        <v>0</v>
      </c>
      <c r="AO269" s="279" t="b">
        <f t="shared" si="192"/>
        <v>0</v>
      </c>
      <c r="AP269" s="279" t="b">
        <f t="shared" si="192"/>
        <v>0</v>
      </c>
      <c r="AQ269" s="279"/>
      <c r="AR269" s="279" t="b">
        <f t="shared" ref="AR269:BA269" si="202">AND($BG65=FALSE,AND(AR167&lt;&gt;"",AR167=FALSE),AR65="")</f>
        <v>0</v>
      </c>
      <c r="AS269" s="279" t="b">
        <f t="shared" si="202"/>
        <v>0</v>
      </c>
      <c r="AT269" s="279" t="b">
        <f t="shared" si="202"/>
        <v>0</v>
      </c>
      <c r="AU269" s="279" t="b">
        <f t="shared" si="202"/>
        <v>0</v>
      </c>
      <c r="AV269" s="279" t="b">
        <f t="shared" si="202"/>
        <v>0</v>
      </c>
      <c r="AW269" s="279" t="b">
        <f t="shared" si="202"/>
        <v>0</v>
      </c>
      <c r="AX269" s="279" t="b">
        <f t="shared" si="202"/>
        <v>0</v>
      </c>
      <c r="AY269" s="279" t="b">
        <f t="shared" si="202"/>
        <v>0</v>
      </c>
      <c r="AZ269" s="279" t="b">
        <f t="shared" si="202"/>
        <v>0</v>
      </c>
      <c r="BA269" s="279" t="b">
        <f t="shared" si="202"/>
        <v>0</v>
      </c>
    </row>
    <row r="270" spans="1:53" s="275" customFormat="1" hidden="1" x14ac:dyDescent="0.35">
      <c r="A270" s="275" t="s">
        <v>3</v>
      </c>
      <c r="C270" s="275">
        <v>57</v>
      </c>
      <c r="F270" s="279" t="b">
        <f t="shared" ref="F270:L270" si="203">AND($BG66=FALSE,AND(F168&lt;&gt;"",F168=FALSE),F66="")</f>
        <v>1</v>
      </c>
      <c r="G270" s="279" t="b">
        <f t="shared" si="203"/>
        <v>0</v>
      </c>
      <c r="H270" s="279" t="b">
        <f t="shared" si="203"/>
        <v>1</v>
      </c>
      <c r="I270" s="279" t="b">
        <f t="shared" si="203"/>
        <v>0</v>
      </c>
      <c r="J270" s="279" t="b">
        <f t="shared" si="203"/>
        <v>0</v>
      </c>
      <c r="K270" s="279" t="b">
        <f t="shared" si="203"/>
        <v>0</v>
      </c>
      <c r="L270" s="279" t="b">
        <f t="shared" si="203"/>
        <v>0</v>
      </c>
      <c r="M270" s="279"/>
      <c r="N270" s="279" t="b">
        <f t="shared" ref="N270:P270" si="204">AND($BG66=FALSE,AND(N168&lt;&gt;"",N168=FALSE),N66="")</f>
        <v>0</v>
      </c>
      <c r="O270" s="279" t="b">
        <f t="shared" si="204"/>
        <v>0</v>
      </c>
      <c r="P270" s="279" t="b">
        <f t="shared" si="204"/>
        <v>1</v>
      </c>
      <c r="Q270" s="279" t="b">
        <f t="shared" si="192"/>
        <v>1</v>
      </c>
      <c r="AB270" s="279" t="b">
        <f t="shared" si="192"/>
        <v>1</v>
      </c>
      <c r="AC270" s="279" t="b">
        <f t="shared" si="192"/>
        <v>1</v>
      </c>
      <c r="AD270" s="279" t="b">
        <f t="shared" si="192"/>
        <v>1</v>
      </c>
      <c r="AE270" s="279" t="b">
        <f t="shared" si="192"/>
        <v>1</v>
      </c>
      <c r="AF270" s="279" t="b">
        <f t="shared" si="192"/>
        <v>1</v>
      </c>
      <c r="AG270" s="279" t="b">
        <f t="shared" si="192"/>
        <v>1</v>
      </c>
      <c r="AH270" s="279" t="b">
        <f t="shared" si="192"/>
        <v>1</v>
      </c>
      <c r="AI270" s="279" t="b">
        <f t="shared" si="192"/>
        <v>1</v>
      </c>
      <c r="AJ270" s="279" t="b">
        <f t="shared" si="192"/>
        <v>1</v>
      </c>
      <c r="AK270" s="279" t="b">
        <f t="shared" si="192"/>
        <v>1</v>
      </c>
      <c r="AL270" s="279" t="b">
        <f t="shared" si="192"/>
        <v>0</v>
      </c>
      <c r="AM270" s="279" t="b">
        <f t="shared" si="192"/>
        <v>0</v>
      </c>
      <c r="AN270" s="279" t="b">
        <f t="shared" si="192"/>
        <v>0</v>
      </c>
      <c r="AO270" s="279" t="b">
        <f t="shared" si="192"/>
        <v>0</v>
      </c>
      <c r="AP270" s="279" t="b">
        <f t="shared" si="192"/>
        <v>0</v>
      </c>
      <c r="AQ270" s="279"/>
      <c r="AR270" s="279" t="b">
        <f t="shared" ref="AR270:BA270" si="205">AND($BG66=FALSE,AND(AR168&lt;&gt;"",AR168=FALSE),AR66="")</f>
        <v>0</v>
      </c>
      <c r="AS270" s="279" t="b">
        <f t="shared" si="205"/>
        <v>0</v>
      </c>
      <c r="AT270" s="279" t="b">
        <f t="shared" si="205"/>
        <v>0</v>
      </c>
      <c r="AU270" s="279" t="b">
        <f t="shared" si="205"/>
        <v>0</v>
      </c>
      <c r="AV270" s="279" t="b">
        <f t="shared" si="205"/>
        <v>0</v>
      </c>
      <c r="AW270" s="279" t="b">
        <f t="shared" si="205"/>
        <v>0</v>
      </c>
      <c r="AX270" s="279" t="b">
        <f t="shared" si="205"/>
        <v>0</v>
      </c>
      <c r="AY270" s="279" t="b">
        <f t="shared" si="205"/>
        <v>0</v>
      </c>
      <c r="AZ270" s="279" t="b">
        <f t="shared" si="205"/>
        <v>0</v>
      </c>
      <c r="BA270" s="279" t="b">
        <f t="shared" si="205"/>
        <v>0</v>
      </c>
    </row>
    <row r="271" spans="1:53" s="275" customFormat="1" hidden="1" x14ac:dyDescent="0.35">
      <c r="A271" s="275" t="s">
        <v>3</v>
      </c>
      <c r="C271" s="275">
        <v>58</v>
      </c>
      <c r="F271" s="279" t="b">
        <f t="shared" ref="F271:L271" si="206">AND($BG67=FALSE,AND(F169&lt;&gt;"",F169=FALSE),F67="")</f>
        <v>1</v>
      </c>
      <c r="G271" s="279" t="b">
        <f t="shared" si="206"/>
        <v>0</v>
      </c>
      <c r="H271" s="279" t="b">
        <f t="shared" si="206"/>
        <v>1</v>
      </c>
      <c r="I271" s="279" t="b">
        <f t="shared" si="206"/>
        <v>0</v>
      </c>
      <c r="J271" s="279" t="b">
        <f t="shared" si="206"/>
        <v>0</v>
      </c>
      <c r="K271" s="279" t="b">
        <f t="shared" si="206"/>
        <v>0</v>
      </c>
      <c r="L271" s="279" t="b">
        <f t="shared" si="206"/>
        <v>0</v>
      </c>
      <c r="M271" s="279"/>
      <c r="N271" s="279" t="b">
        <f t="shared" ref="N271:P271" si="207">AND($BG67=FALSE,AND(N169&lt;&gt;"",N169=FALSE),N67="")</f>
        <v>0</v>
      </c>
      <c r="O271" s="279" t="b">
        <f t="shared" si="207"/>
        <v>0</v>
      </c>
      <c r="P271" s="279" t="b">
        <f t="shared" si="207"/>
        <v>1</v>
      </c>
      <c r="Q271" s="279" t="b">
        <f t="shared" si="192"/>
        <v>1</v>
      </c>
      <c r="AB271" s="279" t="b">
        <f t="shared" si="192"/>
        <v>1</v>
      </c>
      <c r="AC271" s="279" t="b">
        <f t="shared" si="192"/>
        <v>1</v>
      </c>
      <c r="AD271" s="279" t="b">
        <f t="shared" si="192"/>
        <v>1</v>
      </c>
      <c r="AE271" s="279" t="b">
        <f t="shared" si="192"/>
        <v>1</v>
      </c>
      <c r="AF271" s="279" t="b">
        <f t="shared" si="192"/>
        <v>1</v>
      </c>
      <c r="AG271" s="279" t="b">
        <f t="shared" si="192"/>
        <v>1</v>
      </c>
      <c r="AH271" s="279" t="b">
        <f t="shared" si="192"/>
        <v>1</v>
      </c>
      <c r="AI271" s="279" t="b">
        <f t="shared" si="192"/>
        <v>1</v>
      </c>
      <c r="AJ271" s="279" t="b">
        <f t="shared" si="192"/>
        <v>1</v>
      </c>
      <c r="AK271" s="279" t="b">
        <f t="shared" si="192"/>
        <v>1</v>
      </c>
      <c r="AL271" s="279" t="b">
        <f t="shared" si="192"/>
        <v>0</v>
      </c>
      <c r="AM271" s="279" t="b">
        <f t="shared" si="192"/>
        <v>0</v>
      </c>
      <c r="AN271" s="279" t="b">
        <f t="shared" si="192"/>
        <v>0</v>
      </c>
      <c r="AO271" s="279" t="b">
        <f t="shared" si="192"/>
        <v>0</v>
      </c>
      <c r="AP271" s="279" t="b">
        <f t="shared" si="192"/>
        <v>0</v>
      </c>
      <c r="AQ271" s="279"/>
      <c r="AR271" s="279" t="b">
        <f t="shared" ref="AR271:BA271" si="208">AND($BG67=FALSE,AND(AR169&lt;&gt;"",AR169=FALSE),AR67="")</f>
        <v>0</v>
      </c>
      <c r="AS271" s="279" t="b">
        <f t="shared" si="208"/>
        <v>0</v>
      </c>
      <c r="AT271" s="279" t="b">
        <f t="shared" si="208"/>
        <v>0</v>
      </c>
      <c r="AU271" s="279" t="b">
        <f t="shared" si="208"/>
        <v>0</v>
      </c>
      <c r="AV271" s="279" t="b">
        <f t="shared" si="208"/>
        <v>0</v>
      </c>
      <c r="AW271" s="279" t="b">
        <f t="shared" si="208"/>
        <v>0</v>
      </c>
      <c r="AX271" s="279" t="b">
        <f t="shared" si="208"/>
        <v>0</v>
      </c>
      <c r="AY271" s="279" t="b">
        <f t="shared" si="208"/>
        <v>0</v>
      </c>
      <c r="AZ271" s="279" t="b">
        <f t="shared" si="208"/>
        <v>0</v>
      </c>
      <c r="BA271" s="279" t="b">
        <f t="shared" si="208"/>
        <v>0</v>
      </c>
    </row>
    <row r="272" spans="1:53" s="275" customFormat="1" hidden="1" x14ac:dyDescent="0.35">
      <c r="A272" s="275" t="s">
        <v>3</v>
      </c>
      <c r="C272" s="275">
        <v>59</v>
      </c>
      <c r="F272" s="279" t="b">
        <f t="shared" ref="F272:L272" si="209">AND($BG68=FALSE,AND(F170&lt;&gt;"",F170=FALSE),F68="")</f>
        <v>1</v>
      </c>
      <c r="G272" s="279" t="b">
        <f t="shared" si="209"/>
        <v>0</v>
      </c>
      <c r="H272" s="279" t="b">
        <f t="shared" si="209"/>
        <v>1</v>
      </c>
      <c r="I272" s="279" t="b">
        <f t="shared" si="209"/>
        <v>0</v>
      </c>
      <c r="J272" s="279" t="b">
        <f t="shared" si="209"/>
        <v>0</v>
      </c>
      <c r="K272" s="279" t="b">
        <f t="shared" si="209"/>
        <v>0</v>
      </c>
      <c r="L272" s="279" t="b">
        <f t="shared" si="209"/>
        <v>0</v>
      </c>
      <c r="M272" s="279"/>
      <c r="N272" s="279" t="b">
        <f t="shared" ref="N272:P272" si="210">AND($BG68=FALSE,AND(N170&lt;&gt;"",N170=FALSE),N68="")</f>
        <v>0</v>
      </c>
      <c r="O272" s="279" t="b">
        <f t="shared" si="210"/>
        <v>0</v>
      </c>
      <c r="P272" s="279" t="b">
        <f t="shared" si="210"/>
        <v>1</v>
      </c>
      <c r="Q272" s="279" t="b">
        <f t="shared" si="192"/>
        <v>1</v>
      </c>
      <c r="AB272" s="279" t="b">
        <f t="shared" si="192"/>
        <v>1</v>
      </c>
      <c r="AC272" s="279" t="b">
        <f t="shared" si="192"/>
        <v>1</v>
      </c>
      <c r="AD272" s="279" t="b">
        <f t="shared" si="192"/>
        <v>1</v>
      </c>
      <c r="AE272" s="279" t="b">
        <f t="shared" si="192"/>
        <v>1</v>
      </c>
      <c r="AF272" s="279" t="b">
        <f t="shared" si="192"/>
        <v>1</v>
      </c>
      <c r="AG272" s="279" t="b">
        <f t="shared" si="192"/>
        <v>1</v>
      </c>
      <c r="AH272" s="279" t="b">
        <f t="shared" si="192"/>
        <v>1</v>
      </c>
      <c r="AI272" s="279" t="b">
        <f t="shared" si="192"/>
        <v>1</v>
      </c>
      <c r="AJ272" s="279" t="b">
        <f t="shared" si="192"/>
        <v>1</v>
      </c>
      <c r="AK272" s="279" t="b">
        <f t="shared" si="192"/>
        <v>1</v>
      </c>
      <c r="AL272" s="279" t="b">
        <f t="shared" si="192"/>
        <v>0</v>
      </c>
      <c r="AM272" s="279" t="b">
        <f t="shared" si="192"/>
        <v>0</v>
      </c>
      <c r="AN272" s="279" t="b">
        <f t="shared" si="192"/>
        <v>0</v>
      </c>
      <c r="AO272" s="279" t="b">
        <f t="shared" si="192"/>
        <v>0</v>
      </c>
      <c r="AP272" s="279" t="b">
        <f t="shared" si="192"/>
        <v>0</v>
      </c>
      <c r="AQ272" s="279"/>
      <c r="AR272" s="279" t="b">
        <f t="shared" ref="AR272:BA272" si="211">AND($BG68=FALSE,AND(AR170&lt;&gt;"",AR170=FALSE),AR68="")</f>
        <v>0</v>
      </c>
      <c r="AS272" s="279" t="b">
        <f t="shared" si="211"/>
        <v>0</v>
      </c>
      <c r="AT272" s="279" t="b">
        <f t="shared" si="211"/>
        <v>0</v>
      </c>
      <c r="AU272" s="279" t="b">
        <f t="shared" si="211"/>
        <v>0</v>
      </c>
      <c r="AV272" s="279" t="b">
        <f t="shared" si="211"/>
        <v>0</v>
      </c>
      <c r="AW272" s="279" t="b">
        <f t="shared" si="211"/>
        <v>0</v>
      </c>
      <c r="AX272" s="279" t="b">
        <f t="shared" si="211"/>
        <v>0</v>
      </c>
      <c r="AY272" s="279" t="b">
        <f t="shared" si="211"/>
        <v>0</v>
      </c>
      <c r="AZ272" s="279" t="b">
        <f t="shared" si="211"/>
        <v>0</v>
      </c>
      <c r="BA272" s="279" t="b">
        <f t="shared" si="211"/>
        <v>0</v>
      </c>
    </row>
    <row r="273" spans="1:53" s="275" customFormat="1" hidden="1" x14ac:dyDescent="0.35">
      <c r="A273" s="275" t="s">
        <v>3</v>
      </c>
      <c r="C273" s="275">
        <v>60</v>
      </c>
      <c r="F273" s="279" t="b">
        <f t="shared" ref="F273:L273" si="212">AND($BG69=FALSE,AND(F171&lt;&gt;"",F171=FALSE),F69="")</f>
        <v>1</v>
      </c>
      <c r="G273" s="279" t="b">
        <f t="shared" si="212"/>
        <v>0</v>
      </c>
      <c r="H273" s="279" t="b">
        <f t="shared" si="212"/>
        <v>1</v>
      </c>
      <c r="I273" s="279" t="b">
        <f t="shared" si="212"/>
        <v>0</v>
      </c>
      <c r="J273" s="279" t="b">
        <f t="shared" si="212"/>
        <v>0</v>
      </c>
      <c r="K273" s="279" t="b">
        <f t="shared" si="212"/>
        <v>0</v>
      </c>
      <c r="L273" s="279" t="b">
        <f t="shared" si="212"/>
        <v>0</v>
      </c>
      <c r="M273" s="279"/>
      <c r="N273" s="279" t="b">
        <f t="shared" ref="N273:P273" si="213">AND($BG69=FALSE,AND(N171&lt;&gt;"",N171=FALSE),N69="")</f>
        <v>0</v>
      </c>
      <c r="O273" s="279" t="b">
        <f t="shared" si="213"/>
        <v>0</v>
      </c>
      <c r="P273" s="279" t="b">
        <f t="shared" si="213"/>
        <v>1</v>
      </c>
      <c r="Q273" s="279" t="b">
        <f t="shared" si="192"/>
        <v>1</v>
      </c>
      <c r="AB273" s="279" t="b">
        <f t="shared" si="192"/>
        <v>1</v>
      </c>
      <c r="AC273" s="279" t="b">
        <f t="shared" si="192"/>
        <v>1</v>
      </c>
      <c r="AD273" s="279" t="b">
        <f t="shared" si="192"/>
        <v>1</v>
      </c>
      <c r="AE273" s="279" t="b">
        <f t="shared" si="192"/>
        <v>1</v>
      </c>
      <c r="AF273" s="279" t="b">
        <f t="shared" si="192"/>
        <v>1</v>
      </c>
      <c r="AG273" s="279" t="b">
        <f t="shared" si="192"/>
        <v>1</v>
      </c>
      <c r="AH273" s="279" t="b">
        <f t="shared" si="192"/>
        <v>1</v>
      </c>
      <c r="AI273" s="279" t="b">
        <f t="shared" si="192"/>
        <v>1</v>
      </c>
      <c r="AJ273" s="279" t="b">
        <f t="shared" si="192"/>
        <v>1</v>
      </c>
      <c r="AK273" s="279" t="b">
        <f t="shared" si="192"/>
        <v>1</v>
      </c>
      <c r="AL273" s="279" t="b">
        <f t="shared" si="192"/>
        <v>0</v>
      </c>
      <c r="AM273" s="279" t="b">
        <f t="shared" si="192"/>
        <v>0</v>
      </c>
      <c r="AN273" s="279" t="b">
        <f t="shared" si="192"/>
        <v>0</v>
      </c>
      <c r="AO273" s="279" t="b">
        <f t="shared" si="192"/>
        <v>0</v>
      </c>
      <c r="AP273" s="279" t="b">
        <f t="shared" si="192"/>
        <v>0</v>
      </c>
      <c r="AQ273" s="279"/>
      <c r="AR273" s="279" t="b">
        <f t="shared" ref="AR273:BA273" si="214">AND($BG69=FALSE,AND(AR171&lt;&gt;"",AR171=FALSE),AR69="")</f>
        <v>0</v>
      </c>
      <c r="AS273" s="279" t="b">
        <f t="shared" si="214"/>
        <v>0</v>
      </c>
      <c r="AT273" s="279" t="b">
        <f t="shared" si="214"/>
        <v>0</v>
      </c>
      <c r="AU273" s="279" t="b">
        <f t="shared" si="214"/>
        <v>0</v>
      </c>
      <c r="AV273" s="279" t="b">
        <f t="shared" si="214"/>
        <v>0</v>
      </c>
      <c r="AW273" s="279" t="b">
        <f t="shared" si="214"/>
        <v>0</v>
      </c>
      <c r="AX273" s="279" t="b">
        <f t="shared" si="214"/>
        <v>0</v>
      </c>
      <c r="AY273" s="279" t="b">
        <f t="shared" si="214"/>
        <v>0</v>
      </c>
      <c r="AZ273" s="279" t="b">
        <f t="shared" si="214"/>
        <v>0</v>
      </c>
      <c r="BA273" s="279" t="b">
        <f t="shared" si="214"/>
        <v>0</v>
      </c>
    </row>
    <row r="274" spans="1:53" s="275" customFormat="1" hidden="1" x14ac:dyDescent="0.35">
      <c r="A274" s="275" t="s">
        <v>3</v>
      </c>
      <c r="C274" s="275">
        <v>61</v>
      </c>
      <c r="F274" s="279" t="b">
        <f t="shared" ref="F274:L274" si="215">AND($BG70=FALSE,AND(F172&lt;&gt;"",F172=FALSE),F70="")</f>
        <v>1</v>
      </c>
      <c r="G274" s="279" t="b">
        <f t="shared" si="215"/>
        <v>0</v>
      </c>
      <c r="H274" s="279" t="b">
        <f t="shared" si="215"/>
        <v>1</v>
      </c>
      <c r="I274" s="279" t="b">
        <f t="shared" si="215"/>
        <v>0</v>
      </c>
      <c r="J274" s="279" t="b">
        <f t="shared" si="215"/>
        <v>0</v>
      </c>
      <c r="K274" s="279" t="b">
        <f t="shared" si="215"/>
        <v>0</v>
      </c>
      <c r="L274" s="279" t="b">
        <f t="shared" si="215"/>
        <v>0</v>
      </c>
      <c r="M274" s="279"/>
      <c r="N274" s="279" t="b">
        <f t="shared" ref="N274:P274" si="216">AND($BG70=FALSE,AND(N172&lt;&gt;"",N172=FALSE),N70="")</f>
        <v>0</v>
      </c>
      <c r="O274" s="279" t="b">
        <f t="shared" si="216"/>
        <v>0</v>
      </c>
      <c r="P274" s="279" t="b">
        <f t="shared" si="216"/>
        <v>1</v>
      </c>
      <c r="Q274" s="279" t="b">
        <f t="shared" si="192"/>
        <v>1</v>
      </c>
      <c r="AB274" s="279" t="b">
        <f t="shared" si="192"/>
        <v>1</v>
      </c>
      <c r="AC274" s="279" t="b">
        <f t="shared" si="192"/>
        <v>1</v>
      </c>
      <c r="AD274" s="279" t="b">
        <f t="shared" si="192"/>
        <v>1</v>
      </c>
      <c r="AE274" s="279" t="b">
        <f t="shared" si="192"/>
        <v>1</v>
      </c>
      <c r="AF274" s="279" t="b">
        <f t="shared" si="192"/>
        <v>1</v>
      </c>
      <c r="AG274" s="279" t="b">
        <f t="shared" si="192"/>
        <v>1</v>
      </c>
      <c r="AH274" s="279" t="b">
        <f t="shared" si="192"/>
        <v>1</v>
      </c>
      <c r="AI274" s="279" t="b">
        <f t="shared" si="192"/>
        <v>1</v>
      </c>
      <c r="AJ274" s="279" t="b">
        <f t="shared" si="192"/>
        <v>1</v>
      </c>
      <c r="AK274" s="279" t="b">
        <f t="shared" si="192"/>
        <v>1</v>
      </c>
      <c r="AL274" s="279" t="b">
        <f t="shared" si="192"/>
        <v>0</v>
      </c>
      <c r="AM274" s="279" t="b">
        <f t="shared" si="192"/>
        <v>0</v>
      </c>
      <c r="AN274" s="279" t="b">
        <f t="shared" si="192"/>
        <v>0</v>
      </c>
      <c r="AO274" s="279" t="b">
        <f t="shared" si="192"/>
        <v>0</v>
      </c>
      <c r="AP274" s="279" t="b">
        <f t="shared" si="192"/>
        <v>0</v>
      </c>
      <c r="AQ274" s="279"/>
      <c r="AR274" s="279" t="b">
        <f t="shared" ref="AR274:BA274" si="217">AND($BG70=FALSE,AND(AR172&lt;&gt;"",AR172=FALSE),AR70="")</f>
        <v>0</v>
      </c>
      <c r="AS274" s="279" t="b">
        <f t="shared" si="217"/>
        <v>0</v>
      </c>
      <c r="AT274" s="279" t="b">
        <f t="shared" si="217"/>
        <v>0</v>
      </c>
      <c r="AU274" s="279" t="b">
        <f t="shared" si="217"/>
        <v>0</v>
      </c>
      <c r="AV274" s="279" t="b">
        <f t="shared" si="217"/>
        <v>0</v>
      </c>
      <c r="AW274" s="279" t="b">
        <f t="shared" si="217"/>
        <v>0</v>
      </c>
      <c r="AX274" s="279" t="b">
        <f t="shared" si="217"/>
        <v>0</v>
      </c>
      <c r="AY274" s="279" t="b">
        <f t="shared" si="217"/>
        <v>0</v>
      </c>
      <c r="AZ274" s="279" t="b">
        <f t="shared" si="217"/>
        <v>0</v>
      </c>
      <c r="BA274" s="279" t="b">
        <f t="shared" si="217"/>
        <v>0</v>
      </c>
    </row>
    <row r="275" spans="1:53" s="275" customFormat="1" hidden="1" x14ac:dyDescent="0.35">
      <c r="A275" s="275" t="s">
        <v>3</v>
      </c>
      <c r="C275" s="275">
        <v>62</v>
      </c>
      <c r="F275" s="279" t="b">
        <f t="shared" ref="F275:L275" si="218">AND($BG71=FALSE,AND(F173&lt;&gt;"",F173=FALSE),F71="")</f>
        <v>1</v>
      </c>
      <c r="G275" s="279" t="b">
        <f t="shared" si="218"/>
        <v>0</v>
      </c>
      <c r="H275" s="279" t="b">
        <f t="shared" si="218"/>
        <v>1</v>
      </c>
      <c r="I275" s="279" t="b">
        <f t="shared" si="218"/>
        <v>0</v>
      </c>
      <c r="J275" s="279" t="b">
        <f t="shared" si="218"/>
        <v>0</v>
      </c>
      <c r="K275" s="279" t="b">
        <f t="shared" si="218"/>
        <v>0</v>
      </c>
      <c r="L275" s="279" t="b">
        <f t="shared" si="218"/>
        <v>0</v>
      </c>
      <c r="M275" s="279"/>
      <c r="N275" s="279" t="b">
        <f t="shared" ref="N275:P275" si="219">AND($BG71=FALSE,AND(N173&lt;&gt;"",N173=FALSE),N71="")</f>
        <v>0</v>
      </c>
      <c r="O275" s="279" t="b">
        <f t="shared" si="219"/>
        <v>0</v>
      </c>
      <c r="P275" s="279" t="b">
        <f t="shared" si="219"/>
        <v>1</v>
      </c>
      <c r="Q275" s="279" t="b">
        <f t="shared" si="192"/>
        <v>1</v>
      </c>
      <c r="AB275" s="279" t="b">
        <f t="shared" si="192"/>
        <v>1</v>
      </c>
      <c r="AC275" s="279" t="b">
        <f t="shared" si="192"/>
        <v>1</v>
      </c>
      <c r="AD275" s="279" t="b">
        <f t="shared" si="192"/>
        <v>1</v>
      </c>
      <c r="AE275" s="279" t="b">
        <f t="shared" si="192"/>
        <v>1</v>
      </c>
      <c r="AF275" s="279" t="b">
        <f t="shared" si="192"/>
        <v>1</v>
      </c>
      <c r="AG275" s="279" t="b">
        <f t="shared" si="192"/>
        <v>1</v>
      </c>
      <c r="AH275" s="279" t="b">
        <f t="shared" si="192"/>
        <v>1</v>
      </c>
      <c r="AI275" s="279" t="b">
        <f t="shared" ref="AI275:AP275" si="220">AND($BG71=FALSE,AND(AI173&lt;&gt;"",AI173=FALSE),AI71="")</f>
        <v>1</v>
      </c>
      <c r="AJ275" s="279" t="b">
        <f t="shared" si="220"/>
        <v>1</v>
      </c>
      <c r="AK275" s="279" t="b">
        <f t="shared" si="220"/>
        <v>1</v>
      </c>
      <c r="AL275" s="279" t="b">
        <f t="shared" si="220"/>
        <v>0</v>
      </c>
      <c r="AM275" s="279" t="b">
        <f t="shared" si="220"/>
        <v>0</v>
      </c>
      <c r="AN275" s="279" t="b">
        <f t="shared" si="220"/>
        <v>0</v>
      </c>
      <c r="AO275" s="279" t="b">
        <f t="shared" si="220"/>
        <v>0</v>
      </c>
      <c r="AP275" s="279" t="b">
        <f t="shared" si="220"/>
        <v>0</v>
      </c>
      <c r="AQ275" s="279"/>
      <c r="AR275" s="279" t="b">
        <f t="shared" ref="AR275:BA275" si="221">AND($BG71=FALSE,AND(AR173&lt;&gt;"",AR173=FALSE),AR71="")</f>
        <v>0</v>
      </c>
      <c r="AS275" s="279" t="b">
        <f t="shared" si="221"/>
        <v>0</v>
      </c>
      <c r="AT275" s="279" t="b">
        <f t="shared" si="221"/>
        <v>0</v>
      </c>
      <c r="AU275" s="279" t="b">
        <f t="shared" si="221"/>
        <v>0</v>
      </c>
      <c r="AV275" s="279" t="b">
        <f t="shared" si="221"/>
        <v>0</v>
      </c>
      <c r="AW275" s="279" t="b">
        <f t="shared" si="221"/>
        <v>0</v>
      </c>
      <c r="AX275" s="279" t="b">
        <f t="shared" si="221"/>
        <v>0</v>
      </c>
      <c r="AY275" s="279" t="b">
        <f t="shared" si="221"/>
        <v>0</v>
      </c>
      <c r="AZ275" s="279" t="b">
        <f t="shared" si="221"/>
        <v>0</v>
      </c>
      <c r="BA275" s="279" t="b">
        <f t="shared" si="221"/>
        <v>0</v>
      </c>
    </row>
    <row r="276" spans="1:53" s="275" customFormat="1" hidden="1" x14ac:dyDescent="0.35">
      <c r="A276" s="275" t="s">
        <v>3</v>
      </c>
      <c r="C276" s="275">
        <v>63</v>
      </c>
      <c r="F276" s="279" t="b">
        <f t="shared" ref="F276:L276" si="222">AND($BG72=FALSE,AND(F174&lt;&gt;"",F174=FALSE),F72="")</f>
        <v>1</v>
      </c>
      <c r="G276" s="279" t="b">
        <f t="shared" si="222"/>
        <v>0</v>
      </c>
      <c r="H276" s="279" t="b">
        <f t="shared" si="222"/>
        <v>1</v>
      </c>
      <c r="I276" s="279" t="b">
        <f t="shared" si="222"/>
        <v>0</v>
      </c>
      <c r="J276" s="279" t="b">
        <f t="shared" si="222"/>
        <v>0</v>
      </c>
      <c r="K276" s="279" t="b">
        <f t="shared" si="222"/>
        <v>0</v>
      </c>
      <c r="L276" s="279" t="b">
        <f t="shared" si="222"/>
        <v>0</v>
      </c>
      <c r="M276" s="279"/>
      <c r="N276" s="279" t="b">
        <f t="shared" ref="N276:AP285" si="223">AND($BG72=FALSE,AND(N174&lt;&gt;"",N174=FALSE),N72="")</f>
        <v>0</v>
      </c>
      <c r="O276" s="279" t="b">
        <f t="shared" si="223"/>
        <v>0</v>
      </c>
      <c r="P276" s="279" t="b">
        <f t="shared" si="223"/>
        <v>1</v>
      </c>
      <c r="Q276" s="279" t="b">
        <f t="shared" si="223"/>
        <v>1</v>
      </c>
      <c r="AB276" s="279" t="b">
        <f t="shared" si="223"/>
        <v>1</v>
      </c>
      <c r="AC276" s="279" t="b">
        <f t="shared" si="223"/>
        <v>1</v>
      </c>
      <c r="AD276" s="279" t="b">
        <f t="shared" si="223"/>
        <v>1</v>
      </c>
      <c r="AE276" s="279" t="b">
        <f t="shared" si="223"/>
        <v>1</v>
      </c>
      <c r="AF276" s="279" t="b">
        <f t="shared" si="223"/>
        <v>1</v>
      </c>
      <c r="AG276" s="279" t="b">
        <f t="shared" si="223"/>
        <v>1</v>
      </c>
      <c r="AH276" s="279" t="b">
        <f t="shared" si="223"/>
        <v>1</v>
      </c>
      <c r="AI276" s="279" t="b">
        <f t="shared" si="223"/>
        <v>1</v>
      </c>
      <c r="AJ276" s="279" t="b">
        <f t="shared" si="223"/>
        <v>1</v>
      </c>
      <c r="AK276" s="279" t="b">
        <f t="shared" si="223"/>
        <v>1</v>
      </c>
      <c r="AL276" s="279" t="b">
        <f t="shared" si="223"/>
        <v>0</v>
      </c>
      <c r="AM276" s="279" t="b">
        <f t="shared" si="223"/>
        <v>0</v>
      </c>
      <c r="AN276" s="279" t="b">
        <f t="shared" si="223"/>
        <v>0</v>
      </c>
      <c r="AO276" s="279" t="b">
        <f t="shared" si="223"/>
        <v>0</v>
      </c>
      <c r="AP276" s="279" t="b">
        <f t="shared" si="223"/>
        <v>0</v>
      </c>
      <c r="AQ276" s="279"/>
      <c r="AR276" s="279" t="b">
        <f t="shared" ref="AR276:BA276" si="224">AND($BG72=FALSE,AND(AR174&lt;&gt;"",AR174=FALSE),AR72="")</f>
        <v>0</v>
      </c>
      <c r="AS276" s="279" t="b">
        <f t="shared" si="224"/>
        <v>0</v>
      </c>
      <c r="AT276" s="279" t="b">
        <f t="shared" si="224"/>
        <v>0</v>
      </c>
      <c r="AU276" s="279" t="b">
        <f t="shared" si="224"/>
        <v>0</v>
      </c>
      <c r="AV276" s="279" t="b">
        <f t="shared" si="224"/>
        <v>0</v>
      </c>
      <c r="AW276" s="279" t="b">
        <f t="shared" si="224"/>
        <v>0</v>
      </c>
      <c r="AX276" s="279" t="b">
        <f t="shared" si="224"/>
        <v>0</v>
      </c>
      <c r="AY276" s="279" t="b">
        <f t="shared" si="224"/>
        <v>0</v>
      </c>
      <c r="AZ276" s="279" t="b">
        <f t="shared" si="224"/>
        <v>0</v>
      </c>
      <c r="BA276" s="279" t="b">
        <f t="shared" si="224"/>
        <v>0</v>
      </c>
    </row>
    <row r="277" spans="1:53" s="275" customFormat="1" hidden="1" x14ac:dyDescent="0.35">
      <c r="A277" s="275" t="s">
        <v>3</v>
      </c>
      <c r="C277" s="275">
        <v>64</v>
      </c>
      <c r="F277" s="279" t="b">
        <f t="shared" ref="F277:L277" si="225">AND($BG73=FALSE,AND(F175&lt;&gt;"",F175=FALSE),F73="")</f>
        <v>1</v>
      </c>
      <c r="G277" s="279" t="b">
        <f t="shared" si="225"/>
        <v>0</v>
      </c>
      <c r="H277" s="279" t="b">
        <f t="shared" si="225"/>
        <v>1</v>
      </c>
      <c r="I277" s="279" t="b">
        <f t="shared" si="225"/>
        <v>0</v>
      </c>
      <c r="J277" s="279" t="b">
        <f t="shared" si="225"/>
        <v>0</v>
      </c>
      <c r="K277" s="279" t="b">
        <f t="shared" si="225"/>
        <v>0</v>
      </c>
      <c r="L277" s="279" t="b">
        <f t="shared" si="225"/>
        <v>0</v>
      </c>
      <c r="M277" s="279"/>
      <c r="N277" s="279" t="b">
        <f t="shared" ref="N277:P277" si="226">AND($BG73=FALSE,AND(N175&lt;&gt;"",N175=FALSE),N73="")</f>
        <v>0</v>
      </c>
      <c r="O277" s="279" t="b">
        <f t="shared" si="226"/>
        <v>0</v>
      </c>
      <c r="P277" s="279" t="b">
        <f t="shared" si="226"/>
        <v>1</v>
      </c>
      <c r="Q277" s="279" t="b">
        <f t="shared" si="223"/>
        <v>1</v>
      </c>
      <c r="AB277" s="279" t="b">
        <f t="shared" si="223"/>
        <v>1</v>
      </c>
      <c r="AC277" s="279" t="b">
        <f t="shared" si="223"/>
        <v>1</v>
      </c>
      <c r="AD277" s="279" t="b">
        <f t="shared" si="223"/>
        <v>1</v>
      </c>
      <c r="AE277" s="279" t="b">
        <f t="shared" si="223"/>
        <v>1</v>
      </c>
      <c r="AF277" s="279" t="b">
        <f t="shared" si="223"/>
        <v>1</v>
      </c>
      <c r="AG277" s="279" t="b">
        <f t="shared" si="223"/>
        <v>1</v>
      </c>
      <c r="AH277" s="279" t="b">
        <f t="shared" si="223"/>
        <v>1</v>
      </c>
      <c r="AI277" s="279" t="b">
        <f t="shared" si="223"/>
        <v>1</v>
      </c>
      <c r="AJ277" s="279" t="b">
        <f t="shared" si="223"/>
        <v>1</v>
      </c>
      <c r="AK277" s="279" t="b">
        <f t="shared" si="223"/>
        <v>1</v>
      </c>
      <c r="AL277" s="279" t="b">
        <f t="shared" si="223"/>
        <v>0</v>
      </c>
      <c r="AM277" s="279" t="b">
        <f t="shared" si="223"/>
        <v>0</v>
      </c>
      <c r="AN277" s="279" t="b">
        <f t="shared" si="223"/>
        <v>0</v>
      </c>
      <c r="AO277" s="279" t="b">
        <f t="shared" si="223"/>
        <v>0</v>
      </c>
      <c r="AP277" s="279" t="b">
        <f t="shared" si="223"/>
        <v>0</v>
      </c>
      <c r="AQ277" s="279"/>
      <c r="AR277" s="279" t="b">
        <f t="shared" ref="AR277:BA277" si="227">AND($BG73=FALSE,AND(AR175&lt;&gt;"",AR175=FALSE),AR73="")</f>
        <v>0</v>
      </c>
      <c r="AS277" s="279" t="b">
        <f t="shared" si="227"/>
        <v>0</v>
      </c>
      <c r="AT277" s="279" t="b">
        <f t="shared" si="227"/>
        <v>0</v>
      </c>
      <c r="AU277" s="279" t="b">
        <f t="shared" si="227"/>
        <v>0</v>
      </c>
      <c r="AV277" s="279" t="b">
        <f t="shared" si="227"/>
        <v>0</v>
      </c>
      <c r="AW277" s="279" t="b">
        <f t="shared" si="227"/>
        <v>0</v>
      </c>
      <c r="AX277" s="279" t="b">
        <f t="shared" si="227"/>
        <v>0</v>
      </c>
      <c r="AY277" s="279" t="b">
        <f t="shared" si="227"/>
        <v>0</v>
      </c>
      <c r="AZ277" s="279" t="b">
        <f t="shared" si="227"/>
        <v>0</v>
      </c>
      <c r="BA277" s="279" t="b">
        <f t="shared" si="227"/>
        <v>0</v>
      </c>
    </row>
    <row r="278" spans="1:53" s="275" customFormat="1" hidden="1" x14ac:dyDescent="0.35">
      <c r="A278" s="275" t="s">
        <v>3</v>
      </c>
      <c r="C278" s="275">
        <v>65</v>
      </c>
      <c r="F278" s="279" t="b">
        <f t="shared" ref="F278:L278" si="228">AND($BG74=FALSE,AND(F176&lt;&gt;"",F176=FALSE),F74="")</f>
        <v>1</v>
      </c>
      <c r="G278" s="279" t="b">
        <f t="shared" si="228"/>
        <v>0</v>
      </c>
      <c r="H278" s="279" t="b">
        <f t="shared" si="228"/>
        <v>1</v>
      </c>
      <c r="I278" s="279" t="b">
        <f t="shared" si="228"/>
        <v>0</v>
      </c>
      <c r="J278" s="279" t="b">
        <f t="shared" si="228"/>
        <v>0</v>
      </c>
      <c r="K278" s="279" t="b">
        <f t="shared" si="228"/>
        <v>0</v>
      </c>
      <c r="L278" s="279" t="b">
        <f t="shared" si="228"/>
        <v>0</v>
      </c>
      <c r="M278" s="279"/>
      <c r="N278" s="279" t="b">
        <f t="shared" ref="N278:P278" si="229">AND($BG74=FALSE,AND(N176&lt;&gt;"",N176=FALSE),N74="")</f>
        <v>0</v>
      </c>
      <c r="O278" s="279" t="b">
        <f t="shared" si="229"/>
        <v>0</v>
      </c>
      <c r="P278" s="279" t="b">
        <f t="shared" si="229"/>
        <v>1</v>
      </c>
      <c r="Q278" s="279" t="b">
        <f t="shared" si="223"/>
        <v>1</v>
      </c>
      <c r="AB278" s="279" t="b">
        <f t="shared" si="223"/>
        <v>1</v>
      </c>
      <c r="AC278" s="279" t="b">
        <f t="shared" si="223"/>
        <v>1</v>
      </c>
      <c r="AD278" s="279" t="b">
        <f t="shared" si="223"/>
        <v>1</v>
      </c>
      <c r="AE278" s="279" t="b">
        <f t="shared" si="223"/>
        <v>1</v>
      </c>
      <c r="AF278" s="279" t="b">
        <f t="shared" si="223"/>
        <v>1</v>
      </c>
      <c r="AG278" s="279" t="b">
        <f t="shared" si="223"/>
        <v>1</v>
      </c>
      <c r="AH278" s="279" t="b">
        <f t="shared" si="223"/>
        <v>1</v>
      </c>
      <c r="AI278" s="279" t="b">
        <f t="shared" si="223"/>
        <v>1</v>
      </c>
      <c r="AJ278" s="279" t="b">
        <f t="shared" si="223"/>
        <v>1</v>
      </c>
      <c r="AK278" s="279" t="b">
        <f t="shared" si="223"/>
        <v>1</v>
      </c>
      <c r="AL278" s="279" t="b">
        <f t="shared" si="223"/>
        <v>0</v>
      </c>
      <c r="AM278" s="279" t="b">
        <f t="shared" si="223"/>
        <v>0</v>
      </c>
      <c r="AN278" s="279" t="b">
        <f t="shared" si="223"/>
        <v>0</v>
      </c>
      <c r="AO278" s="279" t="b">
        <f t="shared" si="223"/>
        <v>0</v>
      </c>
      <c r="AP278" s="279" t="b">
        <f t="shared" si="223"/>
        <v>0</v>
      </c>
      <c r="AQ278" s="279"/>
      <c r="AR278" s="279" t="b">
        <f t="shared" ref="AR278:BA278" si="230">AND($BG74=FALSE,AND(AR176&lt;&gt;"",AR176=FALSE),AR74="")</f>
        <v>0</v>
      </c>
      <c r="AS278" s="279" t="b">
        <f t="shared" si="230"/>
        <v>0</v>
      </c>
      <c r="AT278" s="279" t="b">
        <f t="shared" si="230"/>
        <v>0</v>
      </c>
      <c r="AU278" s="279" t="b">
        <f t="shared" si="230"/>
        <v>0</v>
      </c>
      <c r="AV278" s="279" t="b">
        <f t="shared" si="230"/>
        <v>0</v>
      </c>
      <c r="AW278" s="279" t="b">
        <f t="shared" si="230"/>
        <v>0</v>
      </c>
      <c r="AX278" s="279" t="b">
        <f t="shared" si="230"/>
        <v>0</v>
      </c>
      <c r="AY278" s="279" t="b">
        <f t="shared" si="230"/>
        <v>0</v>
      </c>
      <c r="AZ278" s="279" t="b">
        <f t="shared" si="230"/>
        <v>0</v>
      </c>
      <c r="BA278" s="279" t="b">
        <f t="shared" si="230"/>
        <v>0</v>
      </c>
    </row>
    <row r="279" spans="1:53" s="275" customFormat="1" hidden="1" x14ac:dyDescent="0.35">
      <c r="A279" s="275" t="s">
        <v>3</v>
      </c>
      <c r="C279" s="275">
        <v>66</v>
      </c>
      <c r="F279" s="279" t="b">
        <f t="shared" ref="F279:L279" si="231">AND($BG75=FALSE,AND(F177&lt;&gt;"",F177=FALSE),F75="")</f>
        <v>1</v>
      </c>
      <c r="G279" s="279" t="b">
        <f t="shared" si="231"/>
        <v>0</v>
      </c>
      <c r="H279" s="279" t="b">
        <f t="shared" si="231"/>
        <v>1</v>
      </c>
      <c r="I279" s="279" t="b">
        <f t="shared" si="231"/>
        <v>0</v>
      </c>
      <c r="J279" s="279" t="b">
        <f t="shared" si="231"/>
        <v>0</v>
      </c>
      <c r="K279" s="279" t="b">
        <f t="shared" si="231"/>
        <v>0</v>
      </c>
      <c r="L279" s="279" t="b">
        <f t="shared" si="231"/>
        <v>0</v>
      </c>
      <c r="M279" s="279"/>
      <c r="N279" s="279" t="b">
        <f t="shared" ref="N279:P279" si="232">AND($BG75=FALSE,AND(N177&lt;&gt;"",N177=FALSE),N75="")</f>
        <v>0</v>
      </c>
      <c r="O279" s="279" t="b">
        <f t="shared" si="232"/>
        <v>0</v>
      </c>
      <c r="P279" s="279" t="b">
        <f t="shared" si="232"/>
        <v>1</v>
      </c>
      <c r="Q279" s="279" t="b">
        <f t="shared" si="223"/>
        <v>1</v>
      </c>
      <c r="AB279" s="279" t="b">
        <f t="shared" si="223"/>
        <v>1</v>
      </c>
      <c r="AC279" s="279" t="b">
        <f t="shared" si="223"/>
        <v>1</v>
      </c>
      <c r="AD279" s="279" t="b">
        <f t="shared" si="223"/>
        <v>1</v>
      </c>
      <c r="AE279" s="279" t="b">
        <f t="shared" si="223"/>
        <v>1</v>
      </c>
      <c r="AF279" s="279" t="b">
        <f t="shared" si="223"/>
        <v>1</v>
      </c>
      <c r="AG279" s="279" t="b">
        <f t="shared" si="223"/>
        <v>1</v>
      </c>
      <c r="AH279" s="279" t="b">
        <f t="shared" si="223"/>
        <v>1</v>
      </c>
      <c r="AI279" s="279" t="b">
        <f t="shared" si="223"/>
        <v>1</v>
      </c>
      <c r="AJ279" s="279" t="b">
        <f t="shared" si="223"/>
        <v>1</v>
      </c>
      <c r="AK279" s="279" t="b">
        <f t="shared" si="223"/>
        <v>1</v>
      </c>
      <c r="AL279" s="279" t="b">
        <f t="shared" si="223"/>
        <v>0</v>
      </c>
      <c r="AM279" s="279" t="b">
        <f t="shared" si="223"/>
        <v>0</v>
      </c>
      <c r="AN279" s="279" t="b">
        <f t="shared" si="223"/>
        <v>0</v>
      </c>
      <c r="AO279" s="279" t="b">
        <f t="shared" si="223"/>
        <v>0</v>
      </c>
      <c r="AP279" s="279" t="b">
        <f t="shared" si="223"/>
        <v>0</v>
      </c>
      <c r="AQ279" s="279"/>
      <c r="AR279" s="279" t="b">
        <f t="shared" ref="AR279:BA279" si="233">AND($BG75=FALSE,AND(AR177&lt;&gt;"",AR177=FALSE),AR75="")</f>
        <v>0</v>
      </c>
      <c r="AS279" s="279" t="b">
        <f t="shared" si="233"/>
        <v>0</v>
      </c>
      <c r="AT279" s="279" t="b">
        <f t="shared" si="233"/>
        <v>0</v>
      </c>
      <c r="AU279" s="279" t="b">
        <f t="shared" si="233"/>
        <v>0</v>
      </c>
      <c r="AV279" s="279" t="b">
        <f t="shared" si="233"/>
        <v>0</v>
      </c>
      <c r="AW279" s="279" t="b">
        <f t="shared" si="233"/>
        <v>0</v>
      </c>
      <c r="AX279" s="279" t="b">
        <f t="shared" si="233"/>
        <v>0</v>
      </c>
      <c r="AY279" s="279" t="b">
        <f t="shared" si="233"/>
        <v>0</v>
      </c>
      <c r="AZ279" s="279" t="b">
        <f t="shared" si="233"/>
        <v>0</v>
      </c>
      <c r="BA279" s="279" t="b">
        <f t="shared" si="233"/>
        <v>0</v>
      </c>
    </row>
    <row r="280" spans="1:53" s="275" customFormat="1" hidden="1" x14ac:dyDescent="0.35">
      <c r="A280" s="275" t="s">
        <v>3</v>
      </c>
      <c r="C280" s="275">
        <v>67</v>
      </c>
      <c r="F280" s="279" t="b">
        <f t="shared" ref="F280:L280" si="234">AND($BG76=FALSE,AND(F178&lt;&gt;"",F178=FALSE),F76="")</f>
        <v>1</v>
      </c>
      <c r="G280" s="279" t="b">
        <f t="shared" si="234"/>
        <v>0</v>
      </c>
      <c r="H280" s="279" t="b">
        <f t="shared" si="234"/>
        <v>1</v>
      </c>
      <c r="I280" s="279" t="b">
        <f t="shared" si="234"/>
        <v>0</v>
      </c>
      <c r="J280" s="279" t="b">
        <f t="shared" si="234"/>
        <v>0</v>
      </c>
      <c r="K280" s="279" t="b">
        <f t="shared" si="234"/>
        <v>0</v>
      </c>
      <c r="L280" s="279" t="b">
        <f t="shared" si="234"/>
        <v>0</v>
      </c>
      <c r="M280" s="279"/>
      <c r="N280" s="279" t="b">
        <f t="shared" ref="N280:P280" si="235">AND($BG76=FALSE,AND(N178&lt;&gt;"",N178=FALSE),N76="")</f>
        <v>0</v>
      </c>
      <c r="O280" s="279" t="b">
        <f t="shared" si="235"/>
        <v>0</v>
      </c>
      <c r="P280" s="279" t="b">
        <f t="shared" si="235"/>
        <v>1</v>
      </c>
      <c r="Q280" s="279" t="b">
        <f t="shared" si="223"/>
        <v>1</v>
      </c>
      <c r="AB280" s="279" t="b">
        <f t="shared" si="223"/>
        <v>1</v>
      </c>
      <c r="AC280" s="279" t="b">
        <f t="shared" si="223"/>
        <v>1</v>
      </c>
      <c r="AD280" s="279" t="b">
        <f t="shared" si="223"/>
        <v>1</v>
      </c>
      <c r="AE280" s="279" t="b">
        <f t="shared" si="223"/>
        <v>1</v>
      </c>
      <c r="AF280" s="279" t="b">
        <f t="shared" si="223"/>
        <v>1</v>
      </c>
      <c r="AG280" s="279" t="b">
        <f t="shared" si="223"/>
        <v>1</v>
      </c>
      <c r="AH280" s="279" t="b">
        <f t="shared" si="223"/>
        <v>1</v>
      </c>
      <c r="AI280" s="279" t="b">
        <f t="shared" si="223"/>
        <v>1</v>
      </c>
      <c r="AJ280" s="279" t="b">
        <f t="shared" si="223"/>
        <v>1</v>
      </c>
      <c r="AK280" s="279" t="b">
        <f t="shared" si="223"/>
        <v>1</v>
      </c>
      <c r="AL280" s="279" t="b">
        <f t="shared" si="223"/>
        <v>0</v>
      </c>
      <c r="AM280" s="279" t="b">
        <f t="shared" si="223"/>
        <v>0</v>
      </c>
      <c r="AN280" s="279" t="b">
        <f t="shared" si="223"/>
        <v>0</v>
      </c>
      <c r="AO280" s="279" t="b">
        <f t="shared" si="223"/>
        <v>0</v>
      </c>
      <c r="AP280" s="279" t="b">
        <f t="shared" si="223"/>
        <v>0</v>
      </c>
      <c r="AQ280" s="279"/>
      <c r="AR280" s="279" t="b">
        <f t="shared" ref="AR280:BA280" si="236">AND($BG76=FALSE,AND(AR178&lt;&gt;"",AR178=FALSE),AR76="")</f>
        <v>0</v>
      </c>
      <c r="AS280" s="279" t="b">
        <f t="shared" si="236"/>
        <v>0</v>
      </c>
      <c r="AT280" s="279" t="b">
        <f t="shared" si="236"/>
        <v>0</v>
      </c>
      <c r="AU280" s="279" t="b">
        <f t="shared" si="236"/>
        <v>0</v>
      </c>
      <c r="AV280" s="279" t="b">
        <f t="shared" si="236"/>
        <v>0</v>
      </c>
      <c r="AW280" s="279" t="b">
        <f t="shared" si="236"/>
        <v>0</v>
      </c>
      <c r="AX280" s="279" t="b">
        <f t="shared" si="236"/>
        <v>0</v>
      </c>
      <c r="AY280" s="279" t="b">
        <f t="shared" si="236"/>
        <v>0</v>
      </c>
      <c r="AZ280" s="279" t="b">
        <f t="shared" si="236"/>
        <v>0</v>
      </c>
      <c r="BA280" s="279" t="b">
        <f t="shared" si="236"/>
        <v>0</v>
      </c>
    </row>
    <row r="281" spans="1:53" s="275" customFormat="1" hidden="1" x14ac:dyDescent="0.35">
      <c r="A281" s="275" t="s">
        <v>3</v>
      </c>
      <c r="C281" s="275">
        <v>68</v>
      </c>
      <c r="F281" s="279" t="b">
        <f t="shared" ref="F281:L281" si="237">AND($BG77=FALSE,AND(F179&lt;&gt;"",F179=FALSE),F77="")</f>
        <v>1</v>
      </c>
      <c r="G281" s="279" t="b">
        <f t="shared" si="237"/>
        <v>0</v>
      </c>
      <c r="H281" s="279" t="b">
        <f t="shared" si="237"/>
        <v>1</v>
      </c>
      <c r="I281" s="279" t="b">
        <f t="shared" si="237"/>
        <v>0</v>
      </c>
      <c r="J281" s="279" t="b">
        <f t="shared" si="237"/>
        <v>0</v>
      </c>
      <c r="K281" s="279" t="b">
        <f t="shared" si="237"/>
        <v>0</v>
      </c>
      <c r="L281" s="279" t="b">
        <f t="shared" si="237"/>
        <v>0</v>
      </c>
      <c r="M281" s="279"/>
      <c r="N281" s="279" t="b">
        <f t="shared" ref="N281:P281" si="238">AND($BG77=FALSE,AND(N179&lt;&gt;"",N179=FALSE),N77="")</f>
        <v>0</v>
      </c>
      <c r="O281" s="279" t="b">
        <f t="shared" si="238"/>
        <v>0</v>
      </c>
      <c r="P281" s="279" t="b">
        <f t="shared" si="238"/>
        <v>1</v>
      </c>
      <c r="Q281" s="279" t="b">
        <f t="shared" si="223"/>
        <v>1</v>
      </c>
      <c r="AB281" s="279" t="b">
        <f t="shared" si="223"/>
        <v>1</v>
      </c>
      <c r="AC281" s="279" t="b">
        <f t="shared" si="223"/>
        <v>1</v>
      </c>
      <c r="AD281" s="279" t="b">
        <f t="shared" si="223"/>
        <v>1</v>
      </c>
      <c r="AE281" s="279" t="b">
        <f t="shared" si="223"/>
        <v>1</v>
      </c>
      <c r="AF281" s="279" t="b">
        <f t="shared" si="223"/>
        <v>1</v>
      </c>
      <c r="AG281" s="279" t="b">
        <f t="shared" si="223"/>
        <v>1</v>
      </c>
      <c r="AH281" s="279" t="b">
        <f t="shared" si="223"/>
        <v>1</v>
      </c>
      <c r="AI281" s="279" t="b">
        <f t="shared" si="223"/>
        <v>1</v>
      </c>
      <c r="AJ281" s="279" t="b">
        <f t="shared" si="223"/>
        <v>1</v>
      </c>
      <c r="AK281" s="279" t="b">
        <f t="shared" si="223"/>
        <v>1</v>
      </c>
      <c r="AL281" s="279" t="b">
        <f t="shared" si="223"/>
        <v>0</v>
      </c>
      <c r="AM281" s="279" t="b">
        <f t="shared" si="223"/>
        <v>0</v>
      </c>
      <c r="AN281" s="279" t="b">
        <f t="shared" si="223"/>
        <v>0</v>
      </c>
      <c r="AO281" s="279" t="b">
        <f t="shared" si="223"/>
        <v>0</v>
      </c>
      <c r="AP281" s="279" t="b">
        <f t="shared" si="223"/>
        <v>0</v>
      </c>
      <c r="AQ281" s="279"/>
      <c r="AR281" s="279" t="b">
        <f t="shared" ref="AR281:BA281" si="239">AND($BG77=FALSE,AND(AR179&lt;&gt;"",AR179=FALSE),AR77="")</f>
        <v>0</v>
      </c>
      <c r="AS281" s="279" t="b">
        <f t="shared" si="239"/>
        <v>0</v>
      </c>
      <c r="AT281" s="279" t="b">
        <f t="shared" si="239"/>
        <v>0</v>
      </c>
      <c r="AU281" s="279" t="b">
        <f t="shared" si="239"/>
        <v>0</v>
      </c>
      <c r="AV281" s="279" t="b">
        <f t="shared" si="239"/>
        <v>0</v>
      </c>
      <c r="AW281" s="279" t="b">
        <f t="shared" si="239"/>
        <v>0</v>
      </c>
      <c r="AX281" s="279" t="b">
        <f t="shared" si="239"/>
        <v>0</v>
      </c>
      <c r="AY281" s="279" t="b">
        <f t="shared" si="239"/>
        <v>0</v>
      </c>
      <c r="AZ281" s="279" t="b">
        <f t="shared" si="239"/>
        <v>0</v>
      </c>
      <c r="BA281" s="279" t="b">
        <f t="shared" si="239"/>
        <v>0</v>
      </c>
    </row>
    <row r="282" spans="1:53" s="275" customFormat="1" hidden="1" x14ac:dyDescent="0.35">
      <c r="A282" s="275" t="s">
        <v>3</v>
      </c>
      <c r="C282" s="275">
        <v>69</v>
      </c>
      <c r="F282" s="279" t="b">
        <f t="shared" ref="F282:L282" si="240">AND($BG78=FALSE,AND(F180&lt;&gt;"",F180=FALSE),F78="")</f>
        <v>1</v>
      </c>
      <c r="G282" s="279" t="b">
        <f t="shared" si="240"/>
        <v>0</v>
      </c>
      <c r="H282" s="279" t="b">
        <f t="shared" si="240"/>
        <v>1</v>
      </c>
      <c r="I282" s="279" t="b">
        <f t="shared" si="240"/>
        <v>0</v>
      </c>
      <c r="J282" s="279" t="b">
        <f t="shared" si="240"/>
        <v>0</v>
      </c>
      <c r="K282" s="279" t="b">
        <f t="shared" si="240"/>
        <v>0</v>
      </c>
      <c r="L282" s="279" t="b">
        <f t="shared" si="240"/>
        <v>0</v>
      </c>
      <c r="M282" s="279"/>
      <c r="N282" s="279" t="b">
        <f t="shared" ref="N282:P282" si="241">AND($BG78=FALSE,AND(N180&lt;&gt;"",N180=FALSE),N78="")</f>
        <v>0</v>
      </c>
      <c r="O282" s="279" t="b">
        <f t="shared" si="241"/>
        <v>0</v>
      </c>
      <c r="P282" s="279" t="b">
        <f t="shared" si="241"/>
        <v>1</v>
      </c>
      <c r="Q282" s="279" t="b">
        <f t="shared" si="223"/>
        <v>1</v>
      </c>
      <c r="AB282" s="279" t="b">
        <f t="shared" si="223"/>
        <v>1</v>
      </c>
      <c r="AC282" s="279" t="b">
        <f t="shared" si="223"/>
        <v>1</v>
      </c>
      <c r="AD282" s="279" t="b">
        <f t="shared" si="223"/>
        <v>1</v>
      </c>
      <c r="AE282" s="279" t="b">
        <f t="shared" si="223"/>
        <v>1</v>
      </c>
      <c r="AF282" s="279" t="b">
        <f t="shared" si="223"/>
        <v>1</v>
      </c>
      <c r="AG282" s="279" t="b">
        <f t="shared" si="223"/>
        <v>1</v>
      </c>
      <c r="AH282" s="279" t="b">
        <f t="shared" si="223"/>
        <v>1</v>
      </c>
      <c r="AI282" s="279" t="b">
        <f t="shared" si="223"/>
        <v>1</v>
      </c>
      <c r="AJ282" s="279" t="b">
        <f t="shared" si="223"/>
        <v>1</v>
      </c>
      <c r="AK282" s="279" t="b">
        <f t="shared" si="223"/>
        <v>1</v>
      </c>
      <c r="AL282" s="279" t="b">
        <f t="shared" si="223"/>
        <v>0</v>
      </c>
      <c r="AM282" s="279" t="b">
        <f t="shared" si="223"/>
        <v>0</v>
      </c>
      <c r="AN282" s="279" t="b">
        <f t="shared" si="223"/>
        <v>0</v>
      </c>
      <c r="AO282" s="279" t="b">
        <f t="shared" si="223"/>
        <v>0</v>
      </c>
      <c r="AP282" s="279" t="b">
        <f t="shared" si="223"/>
        <v>0</v>
      </c>
      <c r="AQ282" s="279"/>
      <c r="AR282" s="279" t="b">
        <f t="shared" ref="AR282:BA282" si="242">AND($BG78=FALSE,AND(AR180&lt;&gt;"",AR180=FALSE),AR78="")</f>
        <v>0</v>
      </c>
      <c r="AS282" s="279" t="b">
        <f t="shared" si="242"/>
        <v>0</v>
      </c>
      <c r="AT282" s="279" t="b">
        <f t="shared" si="242"/>
        <v>0</v>
      </c>
      <c r="AU282" s="279" t="b">
        <f t="shared" si="242"/>
        <v>0</v>
      </c>
      <c r="AV282" s="279" t="b">
        <f t="shared" si="242"/>
        <v>0</v>
      </c>
      <c r="AW282" s="279" t="b">
        <f t="shared" si="242"/>
        <v>0</v>
      </c>
      <c r="AX282" s="279" t="b">
        <f t="shared" si="242"/>
        <v>0</v>
      </c>
      <c r="AY282" s="279" t="b">
        <f t="shared" si="242"/>
        <v>0</v>
      </c>
      <c r="AZ282" s="279" t="b">
        <f t="shared" si="242"/>
        <v>0</v>
      </c>
      <c r="BA282" s="279" t="b">
        <f t="shared" si="242"/>
        <v>0</v>
      </c>
    </row>
    <row r="283" spans="1:53" s="275" customFormat="1" hidden="1" x14ac:dyDescent="0.35">
      <c r="A283" s="275" t="s">
        <v>3</v>
      </c>
      <c r="C283" s="275">
        <v>70</v>
      </c>
      <c r="F283" s="279" t="b">
        <f t="shared" ref="F283:L283" si="243">AND($BG79=FALSE,AND(F181&lt;&gt;"",F181=FALSE),F79="")</f>
        <v>1</v>
      </c>
      <c r="G283" s="279" t="b">
        <f t="shared" si="243"/>
        <v>0</v>
      </c>
      <c r="H283" s="279" t="b">
        <f t="shared" si="243"/>
        <v>1</v>
      </c>
      <c r="I283" s="279" t="b">
        <f t="shared" si="243"/>
        <v>0</v>
      </c>
      <c r="J283" s="279" t="b">
        <f t="shared" si="243"/>
        <v>0</v>
      </c>
      <c r="K283" s="279" t="b">
        <f t="shared" si="243"/>
        <v>0</v>
      </c>
      <c r="L283" s="279" t="b">
        <f t="shared" si="243"/>
        <v>0</v>
      </c>
      <c r="M283" s="279"/>
      <c r="N283" s="279" t="b">
        <f t="shared" ref="N283:P283" si="244">AND($BG79=FALSE,AND(N181&lt;&gt;"",N181=FALSE),N79="")</f>
        <v>0</v>
      </c>
      <c r="O283" s="279" t="b">
        <f t="shared" si="244"/>
        <v>0</v>
      </c>
      <c r="P283" s="279" t="b">
        <f t="shared" si="244"/>
        <v>1</v>
      </c>
      <c r="Q283" s="279" t="b">
        <f t="shared" si="223"/>
        <v>1</v>
      </c>
      <c r="AB283" s="279" t="b">
        <f t="shared" si="223"/>
        <v>1</v>
      </c>
      <c r="AC283" s="279" t="b">
        <f t="shared" si="223"/>
        <v>1</v>
      </c>
      <c r="AD283" s="279" t="b">
        <f t="shared" si="223"/>
        <v>1</v>
      </c>
      <c r="AE283" s="279" t="b">
        <f t="shared" si="223"/>
        <v>1</v>
      </c>
      <c r="AF283" s="279" t="b">
        <f t="shared" si="223"/>
        <v>1</v>
      </c>
      <c r="AG283" s="279" t="b">
        <f t="shared" si="223"/>
        <v>1</v>
      </c>
      <c r="AH283" s="279" t="b">
        <f t="shared" si="223"/>
        <v>1</v>
      </c>
      <c r="AI283" s="279" t="b">
        <f t="shared" si="223"/>
        <v>1</v>
      </c>
      <c r="AJ283" s="279" t="b">
        <f t="shared" si="223"/>
        <v>1</v>
      </c>
      <c r="AK283" s="279" t="b">
        <f t="shared" si="223"/>
        <v>1</v>
      </c>
      <c r="AL283" s="279" t="b">
        <f t="shared" si="223"/>
        <v>0</v>
      </c>
      <c r="AM283" s="279" t="b">
        <f t="shared" si="223"/>
        <v>0</v>
      </c>
      <c r="AN283" s="279" t="b">
        <f t="shared" si="223"/>
        <v>0</v>
      </c>
      <c r="AO283" s="279" t="b">
        <f t="shared" si="223"/>
        <v>0</v>
      </c>
      <c r="AP283" s="279" t="b">
        <f t="shared" si="223"/>
        <v>0</v>
      </c>
      <c r="AQ283" s="279"/>
      <c r="AR283" s="279" t="b">
        <f t="shared" ref="AR283:BA283" si="245">AND($BG79=FALSE,AND(AR181&lt;&gt;"",AR181=FALSE),AR79="")</f>
        <v>0</v>
      </c>
      <c r="AS283" s="279" t="b">
        <f t="shared" si="245"/>
        <v>0</v>
      </c>
      <c r="AT283" s="279" t="b">
        <f t="shared" si="245"/>
        <v>0</v>
      </c>
      <c r="AU283" s="279" t="b">
        <f t="shared" si="245"/>
        <v>0</v>
      </c>
      <c r="AV283" s="279" t="b">
        <f t="shared" si="245"/>
        <v>0</v>
      </c>
      <c r="AW283" s="279" t="b">
        <f t="shared" si="245"/>
        <v>0</v>
      </c>
      <c r="AX283" s="279" t="b">
        <f t="shared" si="245"/>
        <v>0</v>
      </c>
      <c r="AY283" s="279" t="b">
        <f t="shared" si="245"/>
        <v>0</v>
      </c>
      <c r="AZ283" s="279" t="b">
        <f t="shared" si="245"/>
        <v>0</v>
      </c>
      <c r="BA283" s="279" t="b">
        <f t="shared" si="245"/>
        <v>0</v>
      </c>
    </row>
    <row r="284" spans="1:53" s="275" customFormat="1" hidden="1" x14ac:dyDescent="0.35">
      <c r="A284" s="275" t="s">
        <v>3</v>
      </c>
      <c r="C284" s="275">
        <v>71</v>
      </c>
      <c r="F284" s="279" t="b">
        <f t="shared" ref="F284:L284" si="246">AND($BG80=FALSE,AND(F182&lt;&gt;"",F182=FALSE),F80="")</f>
        <v>1</v>
      </c>
      <c r="G284" s="279" t="b">
        <f t="shared" si="246"/>
        <v>0</v>
      </c>
      <c r="H284" s="279" t="b">
        <f t="shared" si="246"/>
        <v>1</v>
      </c>
      <c r="I284" s="279" t="b">
        <f t="shared" si="246"/>
        <v>0</v>
      </c>
      <c r="J284" s="279" t="b">
        <f t="shared" si="246"/>
        <v>0</v>
      </c>
      <c r="K284" s="279" t="b">
        <f t="shared" si="246"/>
        <v>0</v>
      </c>
      <c r="L284" s="279" t="b">
        <f t="shared" si="246"/>
        <v>0</v>
      </c>
      <c r="M284" s="279"/>
      <c r="N284" s="279" t="b">
        <f t="shared" ref="N284:P284" si="247">AND($BG80=FALSE,AND(N182&lt;&gt;"",N182=FALSE),N80="")</f>
        <v>0</v>
      </c>
      <c r="O284" s="279" t="b">
        <f t="shared" si="247"/>
        <v>0</v>
      </c>
      <c r="P284" s="279" t="b">
        <f t="shared" si="247"/>
        <v>1</v>
      </c>
      <c r="Q284" s="279" t="b">
        <f t="shared" si="223"/>
        <v>1</v>
      </c>
      <c r="AB284" s="279" t="b">
        <f t="shared" si="223"/>
        <v>1</v>
      </c>
      <c r="AC284" s="279" t="b">
        <f t="shared" si="223"/>
        <v>1</v>
      </c>
      <c r="AD284" s="279" t="b">
        <f t="shared" si="223"/>
        <v>1</v>
      </c>
      <c r="AE284" s="279" t="b">
        <f t="shared" si="223"/>
        <v>1</v>
      </c>
      <c r="AF284" s="279" t="b">
        <f t="shared" si="223"/>
        <v>1</v>
      </c>
      <c r="AG284" s="279" t="b">
        <f t="shared" si="223"/>
        <v>1</v>
      </c>
      <c r="AH284" s="279" t="b">
        <f t="shared" si="223"/>
        <v>1</v>
      </c>
      <c r="AI284" s="279" t="b">
        <f t="shared" si="223"/>
        <v>1</v>
      </c>
      <c r="AJ284" s="279" t="b">
        <f t="shared" si="223"/>
        <v>1</v>
      </c>
      <c r="AK284" s="279" t="b">
        <f t="shared" si="223"/>
        <v>1</v>
      </c>
      <c r="AL284" s="279" t="b">
        <f t="shared" si="223"/>
        <v>0</v>
      </c>
      <c r="AM284" s="279" t="b">
        <f t="shared" si="223"/>
        <v>0</v>
      </c>
      <c r="AN284" s="279" t="b">
        <f t="shared" si="223"/>
        <v>0</v>
      </c>
      <c r="AO284" s="279" t="b">
        <f t="shared" si="223"/>
        <v>0</v>
      </c>
      <c r="AP284" s="279" t="b">
        <f t="shared" si="223"/>
        <v>0</v>
      </c>
      <c r="AQ284" s="279"/>
      <c r="AR284" s="279" t="b">
        <f t="shared" ref="AR284:BA284" si="248">AND($BG80=FALSE,AND(AR182&lt;&gt;"",AR182=FALSE),AR80="")</f>
        <v>0</v>
      </c>
      <c r="AS284" s="279" t="b">
        <f t="shared" si="248"/>
        <v>0</v>
      </c>
      <c r="AT284" s="279" t="b">
        <f t="shared" si="248"/>
        <v>0</v>
      </c>
      <c r="AU284" s="279" t="b">
        <f t="shared" si="248"/>
        <v>0</v>
      </c>
      <c r="AV284" s="279" t="b">
        <f t="shared" si="248"/>
        <v>0</v>
      </c>
      <c r="AW284" s="279" t="b">
        <f t="shared" si="248"/>
        <v>0</v>
      </c>
      <c r="AX284" s="279" t="b">
        <f t="shared" si="248"/>
        <v>0</v>
      </c>
      <c r="AY284" s="279" t="b">
        <f t="shared" si="248"/>
        <v>0</v>
      </c>
      <c r="AZ284" s="279" t="b">
        <f t="shared" si="248"/>
        <v>0</v>
      </c>
      <c r="BA284" s="279" t="b">
        <f t="shared" si="248"/>
        <v>0</v>
      </c>
    </row>
    <row r="285" spans="1:53" s="275" customFormat="1" hidden="1" x14ac:dyDescent="0.35">
      <c r="A285" s="275" t="s">
        <v>3</v>
      </c>
      <c r="C285" s="275">
        <v>72</v>
      </c>
      <c r="F285" s="279" t="b">
        <f t="shared" ref="F285:L285" si="249">AND($BG81=FALSE,AND(F183&lt;&gt;"",F183=FALSE),F81="")</f>
        <v>1</v>
      </c>
      <c r="G285" s="279" t="b">
        <f t="shared" si="249"/>
        <v>0</v>
      </c>
      <c r="H285" s="279" t="b">
        <f t="shared" si="249"/>
        <v>1</v>
      </c>
      <c r="I285" s="279" t="b">
        <f t="shared" si="249"/>
        <v>0</v>
      </c>
      <c r="J285" s="279" t="b">
        <f t="shared" si="249"/>
        <v>0</v>
      </c>
      <c r="K285" s="279" t="b">
        <f t="shared" si="249"/>
        <v>0</v>
      </c>
      <c r="L285" s="279" t="b">
        <f t="shared" si="249"/>
        <v>0</v>
      </c>
      <c r="M285" s="279"/>
      <c r="N285" s="279" t="b">
        <f t="shared" ref="N285:P285" si="250">AND($BG81=FALSE,AND(N183&lt;&gt;"",N183=FALSE),N81="")</f>
        <v>0</v>
      </c>
      <c r="O285" s="279" t="b">
        <f t="shared" si="250"/>
        <v>0</v>
      </c>
      <c r="P285" s="279" t="b">
        <f t="shared" si="250"/>
        <v>1</v>
      </c>
      <c r="Q285" s="279" t="b">
        <f t="shared" si="223"/>
        <v>1</v>
      </c>
      <c r="AB285" s="279" t="b">
        <f t="shared" si="223"/>
        <v>1</v>
      </c>
      <c r="AC285" s="279" t="b">
        <f t="shared" si="223"/>
        <v>1</v>
      </c>
      <c r="AD285" s="279" t="b">
        <f t="shared" si="223"/>
        <v>1</v>
      </c>
      <c r="AE285" s="279" t="b">
        <f t="shared" si="223"/>
        <v>1</v>
      </c>
      <c r="AF285" s="279" t="b">
        <f t="shared" si="223"/>
        <v>1</v>
      </c>
      <c r="AG285" s="279" t="b">
        <f t="shared" si="223"/>
        <v>1</v>
      </c>
      <c r="AH285" s="279" t="b">
        <f t="shared" si="223"/>
        <v>1</v>
      </c>
      <c r="AI285" s="279" t="b">
        <f t="shared" ref="AI285:AP285" si="251">AND($BG81=FALSE,AND(AI183&lt;&gt;"",AI183=FALSE),AI81="")</f>
        <v>1</v>
      </c>
      <c r="AJ285" s="279" t="b">
        <f t="shared" si="251"/>
        <v>1</v>
      </c>
      <c r="AK285" s="279" t="b">
        <f t="shared" si="251"/>
        <v>1</v>
      </c>
      <c r="AL285" s="279" t="b">
        <f t="shared" si="251"/>
        <v>0</v>
      </c>
      <c r="AM285" s="279" t="b">
        <f t="shared" si="251"/>
        <v>0</v>
      </c>
      <c r="AN285" s="279" t="b">
        <f t="shared" si="251"/>
        <v>0</v>
      </c>
      <c r="AO285" s="279" t="b">
        <f t="shared" si="251"/>
        <v>0</v>
      </c>
      <c r="AP285" s="279" t="b">
        <f t="shared" si="251"/>
        <v>0</v>
      </c>
      <c r="AQ285" s="279"/>
      <c r="AR285" s="279" t="b">
        <f t="shared" ref="AR285:BA285" si="252">AND($BG81=FALSE,AND(AR183&lt;&gt;"",AR183=FALSE),AR81="")</f>
        <v>0</v>
      </c>
      <c r="AS285" s="279" t="b">
        <f t="shared" si="252"/>
        <v>0</v>
      </c>
      <c r="AT285" s="279" t="b">
        <f t="shared" si="252"/>
        <v>0</v>
      </c>
      <c r="AU285" s="279" t="b">
        <f t="shared" si="252"/>
        <v>0</v>
      </c>
      <c r="AV285" s="279" t="b">
        <f t="shared" si="252"/>
        <v>0</v>
      </c>
      <c r="AW285" s="279" t="b">
        <f t="shared" si="252"/>
        <v>0</v>
      </c>
      <c r="AX285" s="279" t="b">
        <f t="shared" si="252"/>
        <v>0</v>
      </c>
      <c r="AY285" s="279" t="b">
        <f t="shared" si="252"/>
        <v>0</v>
      </c>
      <c r="AZ285" s="279" t="b">
        <f t="shared" si="252"/>
        <v>0</v>
      </c>
      <c r="BA285" s="279" t="b">
        <f t="shared" si="252"/>
        <v>0</v>
      </c>
    </row>
    <row r="286" spans="1:53" s="275" customFormat="1" hidden="1" x14ac:dyDescent="0.35">
      <c r="A286" s="275" t="s">
        <v>3</v>
      </c>
      <c r="C286" s="275">
        <v>73</v>
      </c>
      <c r="F286" s="279" t="b">
        <f t="shared" ref="F286:L286" si="253">AND($BG82=FALSE,AND(F184&lt;&gt;"",F184=FALSE),F82="")</f>
        <v>1</v>
      </c>
      <c r="G286" s="279" t="b">
        <f t="shared" si="253"/>
        <v>0</v>
      </c>
      <c r="H286" s="279" t="b">
        <f t="shared" si="253"/>
        <v>1</v>
      </c>
      <c r="I286" s="279" t="b">
        <f t="shared" si="253"/>
        <v>0</v>
      </c>
      <c r="J286" s="279" t="b">
        <f t="shared" si="253"/>
        <v>0</v>
      </c>
      <c r="K286" s="279" t="b">
        <f t="shared" si="253"/>
        <v>0</v>
      </c>
      <c r="L286" s="279" t="b">
        <f t="shared" si="253"/>
        <v>0</v>
      </c>
      <c r="M286" s="279"/>
      <c r="N286" s="279" t="b">
        <f t="shared" ref="N286:AP295" si="254">AND($BG82=FALSE,AND(N184&lt;&gt;"",N184=FALSE),N82="")</f>
        <v>0</v>
      </c>
      <c r="O286" s="279" t="b">
        <f t="shared" si="254"/>
        <v>0</v>
      </c>
      <c r="P286" s="279" t="b">
        <f t="shared" si="254"/>
        <v>1</v>
      </c>
      <c r="Q286" s="279" t="b">
        <f t="shared" si="254"/>
        <v>1</v>
      </c>
      <c r="AB286" s="279" t="b">
        <f t="shared" si="254"/>
        <v>1</v>
      </c>
      <c r="AC286" s="279" t="b">
        <f t="shared" si="254"/>
        <v>1</v>
      </c>
      <c r="AD286" s="279" t="b">
        <f t="shared" si="254"/>
        <v>1</v>
      </c>
      <c r="AE286" s="279" t="b">
        <f t="shared" si="254"/>
        <v>1</v>
      </c>
      <c r="AF286" s="279" t="b">
        <f t="shared" si="254"/>
        <v>1</v>
      </c>
      <c r="AG286" s="279" t="b">
        <f t="shared" si="254"/>
        <v>1</v>
      </c>
      <c r="AH286" s="279" t="b">
        <f t="shared" si="254"/>
        <v>1</v>
      </c>
      <c r="AI286" s="279" t="b">
        <f t="shared" si="254"/>
        <v>1</v>
      </c>
      <c r="AJ286" s="279" t="b">
        <f t="shared" si="254"/>
        <v>1</v>
      </c>
      <c r="AK286" s="279" t="b">
        <f t="shared" si="254"/>
        <v>1</v>
      </c>
      <c r="AL286" s="279" t="b">
        <f t="shared" si="254"/>
        <v>0</v>
      </c>
      <c r="AM286" s="279" t="b">
        <f t="shared" si="254"/>
        <v>0</v>
      </c>
      <c r="AN286" s="279" t="b">
        <f t="shared" si="254"/>
        <v>0</v>
      </c>
      <c r="AO286" s="279" t="b">
        <f t="shared" si="254"/>
        <v>0</v>
      </c>
      <c r="AP286" s="279" t="b">
        <f t="shared" si="254"/>
        <v>0</v>
      </c>
      <c r="AQ286" s="279"/>
      <c r="AR286" s="279" t="b">
        <f t="shared" ref="AR286:BA286" si="255">AND($BG82=FALSE,AND(AR184&lt;&gt;"",AR184=FALSE),AR82="")</f>
        <v>0</v>
      </c>
      <c r="AS286" s="279" t="b">
        <f t="shared" si="255"/>
        <v>0</v>
      </c>
      <c r="AT286" s="279" t="b">
        <f t="shared" si="255"/>
        <v>0</v>
      </c>
      <c r="AU286" s="279" t="b">
        <f t="shared" si="255"/>
        <v>0</v>
      </c>
      <c r="AV286" s="279" t="b">
        <f t="shared" si="255"/>
        <v>0</v>
      </c>
      <c r="AW286" s="279" t="b">
        <f t="shared" si="255"/>
        <v>0</v>
      </c>
      <c r="AX286" s="279" t="b">
        <f t="shared" si="255"/>
        <v>0</v>
      </c>
      <c r="AY286" s="279" t="b">
        <f t="shared" si="255"/>
        <v>0</v>
      </c>
      <c r="AZ286" s="279" t="b">
        <f t="shared" si="255"/>
        <v>0</v>
      </c>
      <c r="BA286" s="279" t="b">
        <f t="shared" si="255"/>
        <v>0</v>
      </c>
    </row>
    <row r="287" spans="1:53" s="275" customFormat="1" hidden="1" x14ac:dyDescent="0.35">
      <c r="A287" s="275" t="s">
        <v>3</v>
      </c>
      <c r="C287" s="275">
        <v>74</v>
      </c>
      <c r="F287" s="279" t="b">
        <f t="shared" ref="F287:L287" si="256">AND($BG83=FALSE,AND(F185&lt;&gt;"",F185=FALSE),F83="")</f>
        <v>1</v>
      </c>
      <c r="G287" s="279" t="b">
        <f t="shared" si="256"/>
        <v>0</v>
      </c>
      <c r="H287" s="279" t="b">
        <f t="shared" si="256"/>
        <v>1</v>
      </c>
      <c r="I287" s="279" t="b">
        <f t="shared" si="256"/>
        <v>0</v>
      </c>
      <c r="J287" s="279" t="b">
        <f t="shared" si="256"/>
        <v>0</v>
      </c>
      <c r="K287" s="279" t="b">
        <f t="shared" si="256"/>
        <v>0</v>
      </c>
      <c r="L287" s="279" t="b">
        <f t="shared" si="256"/>
        <v>0</v>
      </c>
      <c r="M287" s="279"/>
      <c r="N287" s="279" t="b">
        <f t="shared" ref="N287:P287" si="257">AND($BG83=FALSE,AND(N185&lt;&gt;"",N185=FALSE),N83="")</f>
        <v>0</v>
      </c>
      <c r="O287" s="279" t="b">
        <f t="shared" si="257"/>
        <v>0</v>
      </c>
      <c r="P287" s="279" t="b">
        <f t="shared" si="257"/>
        <v>1</v>
      </c>
      <c r="Q287" s="279" t="b">
        <f t="shared" si="254"/>
        <v>1</v>
      </c>
      <c r="AB287" s="279" t="b">
        <f t="shared" si="254"/>
        <v>1</v>
      </c>
      <c r="AC287" s="279" t="b">
        <f t="shared" si="254"/>
        <v>1</v>
      </c>
      <c r="AD287" s="279" t="b">
        <f t="shared" si="254"/>
        <v>1</v>
      </c>
      <c r="AE287" s="279" t="b">
        <f t="shared" si="254"/>
        <v>1</v>
      </c>
      <c r="AF287" s="279" t="b">
        <f t="shared" si="254"/>
        <v>1</v>
      </c>
      <c r="AG287" s="279" t="b">
        <f t="shared" si="254"/>
        <v>1</v>
      </c>
      <c r="AH287" s="279" t="b">
        <f t="shared" si="254"/>
        <v>1</v>
      </c>
      <c r="AI287" s="279" t="b">
        <f t="shared" si="254"/>
        <v>1</v>
      </c>
      <c r="AJ287" s="279" t="b">
        <f t="shared" si="254"/>
        <v>1</v>
      </c>
      <c r="AK287" s="279" t="b">
        <f t="shared" si="254"/>
        <v>1</v>
      </c>
      <c r="AL287" s="279" t="b">
        <f t="shared" si="254"/>
        <v>0</v>
      </c>
      <c r="AM287" s="279" t="b">
        <f t="shared" si="254"/>
        <v>0</v>
      </c>
      <c r="AN287" s="279" t="b">
        <f t="shared" si="254"/>
        <v>0</v>
      </c>
      <c r="AO287" s="279" t="b">
        <f t="shared" si="254"/>
        <v>0</v>
      </c>
      <c r="AP287" s="279" t="b">
        <f t="shared" si="254"/>
        <v>0</v>
      </c>
      <c r="AQ287" s="279"/>
      <c r="AR287" s="279" t="b">
        <f t="shared" ref="AR287:BA287" si="258">AND($BG83=FALSE,AND(AR185&lt;&gt;"",AR185=FALSE),AR83="")</f>
        <v>0</v>
      </c>
      <c r="AS287" s="279" t="b">
        <f t="shared" si="258"/>
        <v>0</v>
      </c>
      <c r="AT287" s="279" t="b">
        <f t="shared" si="258"/>
        <v>0</v>
      </c>
      <c r="AU287" s="279" t="b">
        <f t="shared" si="258"/>
        <v>0</v>
      </c>
      <c r="AV287" s="279" t="b">
        <f t="shared" si="258"/>
        <v>0</v>
      </c>
      <c r="AW287" s="279" t="b">
        <f t="shared" si="258"/>
        <v>0</v>
      </c>
      <c r="AX287" s="279" t="b">
        <f t="shared" si="258"/>
        <v>0</v>
      </c>
      <c r="AY287" s="279" t="b">
        <f t="shared" si="258"/>
        <v>0</v>
      </c>
      <c r="AZ287" s="279" t="b">
        <f t="shared" si="258"/>
        <v>0</v>
      </c>
      <c r="BA287" s="279" t="b">
        <f t="shared" si="258"/>
        <v>0</v>
      </c>
    </row>
    <row r="288" spans="1:53" s="275" customFormat="1" hidden="1" x14ac:dyDescent="0.35">
      <c r="A288" s="275" t="s">
        <v>3</v>
      </c>
      <c r="C288" s="275">
        <v>75</v>
      </c>
      <c r="F288" s="279" t="b">
        <f t="shared" ref="F288:L288" si="259">AND($BG84=FALSE,AND(F186&lt;&gt;"",F186=FALSE),F84="")</f>
        <v>1</v>
      </c>
      <c r="G288" s="279" t="b">
        <f t="shared" si="259"/>
        <v>0</v>
      </c>
      <c r="H288" s="279" t="b">
        <f t="shared" si="259"/>
        <v>1</v>
      </c>
      <c r="I288" s="279" t="b">
        <f t="shared" si="259"/>
        <v>0</v>
      </c>
      <c r="J288" s="279" t="b">
        <f t="shared" si="259"/>
        <v>0</v>
      </c>
      <c r="K288" s="279" t="b">
        <f t="shared" si="259"/>
        <v>0</v>
      </c>
      <c r="L288" s="279" t="b">
        <f t="shared" si="259"/>
        <v>0</v>
      </c>
      <c r="M288" s="279"/>
      <c r="N288" s="279" t="b">
        <f t="shared" ref="N288:P288" si="260">AND($BG84=FALSE,AND(N186&lt;&gt;"",N186=FALSE),N84="")</f>
        <v>0</v>
      </c>
      <c r="O288" s="279" t="b">
        <f t="shared" si="260"/>
        <v>0</v>
      </c>
      <c r="P288" s="279" t="b">
        <f t="shared" si="260"/>
        <v>1</v>
      </c>
      <c r="Q288" s="279" t="b">
        <f t="shared" si="254"/>
        <v>1</v>
      </c>
      <c r="AB288" s="279" t="b">
        <f t="shared" si="254"/>
        <v>1</v>
      </c>
      <c r="AC288" s="279" t="b">
        <f t="shared" si="254"/>
        <v>1</v>
      </c>
      <c r="AD288" s="279" t="b">
        <f t="shared" si="254"/>
        <v>1</v>
      </c>
      <c r="AE288" s="279" t="b">
        <f t="shared" si="254"/>
        <v>1</v>
      </c>
      <c r="AF288" s="279" t="b">
        <f t="shared" si="254"/>
        <v>1</v>
      </c>
      <c r="AG288" s="279" t="b">
        <f t="shared" si="254"/>
        <v>1</v>
      </c>
      <c r="AH288" s="279" t="b">
        <f t="shared" si="254"/>
        <v>1</v>
      </c>
      <c r="AI288" s="279" t="b">
        <f t="shared" si="254"/>
        <v>1</v>
      </c>
      <c r="AJ288" s="279" t="b">
        <f t="shared" si="254"/>
        <v>1</v>
      </c>
      <c r="AK288" s="279" t="b">
        <f t="shared" si="254"/>
        <v>1</v>
      </c>
      <c r="AL288" s="279" t="b">
        <f t="shared" si="254"/>
        <v>0</v>
      </c>
      <c r="AM288" s="279" t="b">
        <f t="shared" si="254"/>
        <v>0</v>
      </c>
      <c r="AN288" s="279" t="b">
        <f t="shared" si="254"/>
        <v>0</v>
      </c>
      <c r="AO288" s="279" t="b">
        <f t="shared" si="254"/>
        <v>0</v>
      </c>
      <c r="AP288" s="279" t="b">
        <f t="shared" si="254"/>
        <v>0</v>
      </c>
      <c r="AQ288" s="279"/>
      <c r="AR288" s="279" t="b">
        <f t="shared" ref="AR288:BA288" si="261">AND($BG84=FALSE,AND(AR186&lt;&gt;"",AR186=FALSE),AR84="")</f>
        <v>0</v>
      </c>
      <c r="AS288" s="279" t="b">
        <f t="shared" si="261"/>
        <v>0</v>
      </c>
      <c r="AT288" s="279" t="b">
        <f t="shared" si="261"/>
        <v>0</v>
      </c>
      <c r="AU288" s="279" t="b">
        <f t="shared" si="261"/>
        <v>0</v>
      </c>
      <c r="AV288" s="279" t="b">
        <f t="shared" si="261"/>
        <v>0</v>
      </c>
      <c r="AW288" s="279" t="b">
        <f t="shared" si="261"/>
        <v>0</v>
      </c>
      <c r="AX288" s="279" t="b">
        <f t="shared" si="261"/>
        <v>0</v>
      </c>
      <c r="AY288" s="279" t="b">
        <f t="shared" si="261"/>
        <v>0</v>
      </c>
      <c r="AZ288" s="279" t="b">
        <f t="shared" si="261"/>
        <v>0</v>
      </c>
      <c r="BA288" s="279" t="b">
        <f t="shared" si="261"/>
        <v>0</v>
      </c>
    </row>
    <row r="289" spans="1:53" s="275" customFormat="1" hidden="1" x14ac:dyDescent="0.35">
      <c r="A289" s="275" t="s">
        <v>3</v>
      </c>
      <c r="C289" s="275">
        <v>76</v>
      </c>
      <c r="F289" s="279" t="b">
        <f t="shared" ref="F289:L289" si="262">AND($BG85=FALSE,AND(F187&lt;&gt;"",F187=FALSE),F85="")</f>
        <v>1</v>
      </c>
      <c r="G289" s="279" t="b">
        <f t="shared" si="262"/>
        <v>0</v>
      </c>
      <c r="H289" s="279" t="b">
        <f t="shared" si="262"/>
        <v>1</v>
      </c>
      <c r="I289" s="279" t="b">
        <f t="shared" si="262"/>
        <v>0</v>
      </c>
      <c r="J289" s="279" t="b">
        <f t="shared" si="262"/>
        <v>0</v>
      </c>
      <c r="K289" s="279" t="b">
        <f t="shared" si="262"/>
        <v>0</v>
      </c>
      <c r="L289" s="279" t="b">
        <f t="shared" si="262"/>
        <v>0</v>
      </c>
      <c r="M289" s="279"/>
      <c r="N289" s="279" t="b">
        <f t="shared" ref="N289:P289" si="263">AND($BG85=FALSE,AND(N187&lt;&gt;"",N187=FALSE),N85="")</f>
        <v>0</v>
      </c>
      <c r="O289" s="279" t="b">
        <f t="shared" si="263"/>
        <v>0</v>
      </c>
      <c r="P289" s="279" t="b">
        <f t="shared" si="263"/>
        <v>1</v>
      </c>
      <c r="Q289" s="279" t="b">
        <f t="shared" si="254"/>
        <v>1</v>
      </c>
      <c r="AB289" s="279" t="b">
        <f t="shared" si="254"/>
        <v>1</v>
      </c>
      <c r="AC289" s="279" t="b">
        <f t="shared" si="254"/>
        <v>1</v>
      </c>
      <c r="AD289" s="279" t="b">
        <f t="shared" si="254"/>
        <v>1</v>
      </c>
      <c r="AE289" s="279" t="b">
        <f t="shared" si="254"/>
        <v>1</v>
      </c>
      <c r="AF289" s="279" t="b">
        <f t="shared" si="254"/>
        <v>1</v>
      </c>
      <c r="AG289" s="279" t="b">
        <f t="shared" si="254"/>
        <v>1</v>
      </c>
      <c r="AH289" s="279" t="b">
        <f t="shared" si="254"/>
        <v>1</v>
      </c>
      <c r="AI289" s="279" t="b">
        <f t="shared" si="254"/>
        <v>1</v>
      </c>
      <c r="AJ289" s="279" t="b">
        <f t="shared" si="254"/>
        <v>1</v>
      </c>
      <c r="AK289" s="279" t="b">
        <f t="shared" si="254"/>
        <v>1</v>
      </c>
      <c r="AL289" s="279" t="b">
        <f t="shared" si="254"/>
        <v>0</v>
      </c>
      <c r="AM289" s="279" t="b">
        <f t="shared" si="254"/>
        <v>0</v>
      </c>
      <c r="AN289" s="279" t="b">
        <f t="shared" si="254"/>
        <v>0</v>
      </c>
      <c r="AO289" s="279" t="b">
        <f t="shared" si="254"/>
        <v>0</v>
      </c>
      <c r="AP289" s="279" t="b">
        <f t="shared" si="254"/>
        <v>0</v>
      </c>
      <c r="AQ289" s="279"/>
      <c r="AR289" s="279" t="b">
        <f t="shared" ref="AR289:BA289" si="264">AND($BG85=FALSE,AND(AR187&lt;&gt;"",AR187=FALSE),AR85="")</f>
        <v>0</v>
      </c>
      <c r="AS289" s="279" t="b">
        <f t="shared" si="264"/>
        <v>0</v>
      </c>
      <c r="AT289" s="279" t="b">
        <f t="shared" si="264"/>
        <v>0</v>
      </c>
      <c r="AU289" s="279" t="b">
        <f t="shared" si="264"/>
        <v>0</v>
      </c>
      <c r="AV289" s="279" t="b">
        <f t="shared" si="264"/>
        <v>0</v>
      </c>
      <c r="AW289" s="279" t="b">
        <f t="shared" si="264"/>
        <v>0</v>
      </c>
      <c r="AX289" s="279" t="b">
        <f t="shared" si="264"/>
        <v>0</v>
      </c>
      <c r="AY289" s="279" t="b">
        <f t="shared" si="264"/>
        <v>0</v>
      </c>
      <c r="AZ289" s="279" t="b">
        <f t="shared" si="264"/>
        <v>0</v>
      </c>
      <c r="BA289" s="279" t="b">
        <f t="shared" si="264"/>
        <v>0</v>
      </c>
    </row>
    <row r="290" spans="1:53" s="275" customFormat="1" hidden="1" x14ac:dyDescent="0.35">
      <c r="A290" s="275" t="s">
        <v>3</v>
      </c>
      <c r="C290" s="275">
        <v>77</v>
      </c>
      <c r="F290" s="279" t="b">
        <f t="shared" ref="F290:L290" si="265">AND($BG86=FALSE,AND(F188&lt;&gt;"",F188=FALSE),F86="")</f>
        <v>1</v>
      </c>
      <c r="G290" s="279" t="b">
        <f t="shared" si="265"/>
        <v>0</v>
      </c>
      <c r="H290" s="279" t="b">
        <f t="shared" si="265"/>
        <v>1</v>
      </c>
      <c r="I290" s="279" t="b">
        <f t="shared" si="265"/>
        <v>0</v>
      </c>
      <c r="J290" s="279" t="b">
        <f t="shared" si="265"/>
        <v>0</v>
      </c>
      <c r="K290" s="279" t="b">
        <f t="shared" si="265"/>
        <v>0</v>
      </c>
      <c r="L290" s="279" t="b">
        <f t="shared" si="265"/>
        <v>0</v>
      </c>
      <c r="M290" s="279"/>
      <c r="N290" s="279" t="b">
        <f t="shared" ref="N290:P290" si="266">AND($BG86=FALSE,AND(N188&lt;&gt;"",N188=FALSE),N86="")</f>
        <v>0</v>
      </c>
      <c r="O290" s="279" t="b">
        <f t="shared" si="266"/>
        <v>0</v>
      </c>
      <c r="P290" s="279" t="b">
        <f t="shared" si="266"/>
        <v>1</v>
      </c>
      <c r="Q290" s="279" t="b">
        <f t="shared" si="254"/>
        <v>1</v>
      </c>
      <c r="AB290" s="279" t="b">
        <f t="shared" si="254"/>
        <v>1</v>
      </c>
      <c r="AC290" s="279" t="b">
        <f t="shared" si="254"/>
        <v>1</v>
      </c>
      <c r="AD290" s="279" t="b">
        <f t="shared" si="254"/>
        <v>1</v>
      </c>
      <c r="AE290" s="279" t="b">
        <f t="shared" si="254"/>
        <v>1</v>
      </c>
      <c r="AF290" s="279" t="b">
        <f t="shared" si="254"/>
        <v>1</v>
      </c>
      <c r="AG290" s="279" t="b">
        <f t="shared" si="254"/>
        <v>1</v>
      </c>
      <c r="AH290" s="279" t="b">
        <f t="shared" si="254"/>
        <v>1</v>
      </c>
      <c r="AI290" s="279" t="b">
        <f t="shared" si="254"/>
        <v>1</v>
      </c>
      <c r="AJ290" s="279" t="b">
        <f t="shared" si="254"/>
        <v>1</v>
      </c>
      <c r="AK290" s="279" t="b">
        <f t="shared" si="254"/>
        <v>1</v>
      </c>
      <c r="AL290" s="279" t="b">
        <f t="shared" si="254"/>
        <v>0</v>
      </c>
      <c r="AM290" s="279" t="b">
        <f t="shared" si="254"/>
        <v>0</v>
      </c>
      <c r="AN290" s="279" t="b">
        <f t="shared" si="254"/>
        <v>0</v>
      </c>
      <c r="AO290" s="279" t="b">
        <f t="shared" si="254"/>
        <v>0</v>
      </c>
      <c r="AP290" s="279" t="b">
        <f t="shared" si="254"/>
        <v>0</v>
      </c>
      <c r="AQ290" s="279"/>
      <c r="AR290" s="279" t="b">
        <f t="shared" ref="AR290:BA290" si="267">AND($BG86=FALSE,AND(AR188&lt;&gt;"",AR188=FALSE),AR86="")</f>
        <v>0</v>
      </c>
      <c r="AS290" s="279" t="b">
        <f t="shared" si="267"/>
        <v>0</v>
      </c>
      <c r="AT290" s="279" t="b">
        <f t="shared" si="267"/>
        <v>0</v>
      </c>
      <c r="AU290" s="279" t="b">
        <f t="shared" si="267"/>
        <v>0</v>
      </c>
      <c r="AV290" s="279" t="b">
        <f t="shared" si="267"/>
        <v>0</v>
      </c>
      <c r="AW290" s="279" t="b">
        <f t="shared" si="267"/>
        <v>0</v>
      </c>
      <c r="AX290" s="279" t="b">
        <f t="shared" si="267"/>
        <v>0</v>
      </c>
      <c r="AY290" s="279" t="b">
        <f t="shared" si="267"/>
        <v>0</v>
      </c>
      <c r="AZ290" s="279" t="b">
        <f t="shared" si="267"/>
        <v>0</v>
      </c>
      <c r="BA290" s="279" t="b">
        <f t="shared" si="267"/>
        <v>0</v>
      </c>
    </row>
    <row r="291" spans="1:53" s="275" customFormat="1" hidden="1" x14ac:dyDescent="0.35">
      <c r="A291" s="275" t="s">
        <v>3</v>
      </c>
      <c r="C291" s="275">
        <v>78</v>
      </c>
      <c r="F291" s="279" t="b">
        <f t="shared" ref="F291:L291" si="268">AND($BG87=FALSE,AND(F189&lt;&gt;"",F189=FALSE),F87="")</f>
        <v>1</v>
      </c>
      <c r="G291" s="279" t="b">
        <f t="shared" si="268"/>
        <v>0</v>
      </c>
      <c r="H291" s="279" t="b">
        <f t="shared" si="268"/>
        <v>1</v>
      </c>
      <c r="I291" s="279" t="b">
        <f t="shared" si="268"/>
        <v>0</v>
      </c>
      <c r="J291" s="279" t="b">
        <f t="shared" si="268"/>
        <v>0</v>
      </c>
      <c r="K291" s="279" t="b">
        <f t="shared" si="268"/>
        <v>0</v>
      </c>
      <c r="L291" s="279" t="b">
        <f t="shared" si="268"/>
        <v>0</v>
      </c>
      <c r="M291" s="279"/>
      <c r="N291" s="279" t="b">
        <f t="shared" ref="N291:P291" si="269">AND($BG87=FALSE,AND(N189&lt;&gt;"",N189=FALSE),N87="")</f>
        <v>0</v>
      </c>
      <c r="O291" s="279" t="b">
        <f t="shared" si="269"/>
        <v>0</v>
      </c>
      <c r="P291" s="279" t="b">
        <f t="shared" si="269"/>
        <v>1</v>
      </c>
      <c r="Q291" s="279" t="b">
        <f t="shared" si="254"/>
        <v>1</v>
      </c>
      <c r="AB291" s="279" t="b">
        <f t="shared" si="254"/>
        <v>1</v>
      </c>
      <c r="AC291" s="279" t="b">
        <f t="shared" si="254"/>
        <v>1</v>
      </c>
      <c r="AD291" s="279" t="b">
        <f t="shared" si="254"/>
        <v>1</v>
      </c>
      <c r="AE291" s="279" t="b">
        <f t="shared" si="254"/>
        <v>1</v>
      </c>
      <c r="AF291" s="279" t="b">
        <f t="shared" si="254"/>
        <v>1</v>
      </c>
      <c r="AG291" s="279" t="b">
        <f t="shared" si="254"/>
        <v>1</v>
      </c>
      <c r="AH291" s="279" t="b">
        <f t="shared" si="254"/>
        <v>1</v>
      </c>
      <c r="AI291" s="279" t="b">
        <f t="shared" si="254"/>
        <v>1</v>
      </c>
      <c r="AJ291" s="279" t="b">
        <f t="shared" si="254"/>
        <v>1</v>
      </c>
      <c r="AK291" s="279" t="b">
        <f t="shared" si="254"/>
        <v>1</v>
      </c>
      <c r="AL291" s="279" t="b">
        <f t="shared" si="254"/>
        <v>0</v>
      </c>
      <c r="AM291" s="279" t="b">
        <f t="shared" si="254"/>
        <v>0</v>
      </c>
      <c r="AN291" s="279" t="b">
        <f t="shared" si="254"/>
        <v>0</v>
      </c>
      <c r="AO291" s="279" t="b">
        <f t="shared" si="254"/>
        <v>0</v>
      </c>
      <c r="AP291" s="279" t="b">
        <f t="shared" si="254"/>
        <v>0</v>
      </c>
      <c r="AQ291" s="279"/>
      <c r="AR291" s="279" t="b">
        <f t="shared" ref="AR291:BA291" si="270">AND($BG87=FALSE,AND(AR189&lt;&gt;"",AR189=FALSE),AR87="")</f>
        <v>0</v>
      </c>
      <c r="AS291" s="279" t="b">
        <f t="shared" si="270"/>
        <v>0</v>
      </c>
      <c r="AT291" s="279" t="b">
        <f t="shared" si="270"/>
        <v>0</v>
      </c>
      <c r="AU291" s="279" t="b">
        <f t="shared" si="270"/>
        <v>0</v>
      </c>
      <c r="AV291" s="279" t="b">
        <f t="shared" si="270"/>
        <v>0</v>
      </c>
      <c r="AW291" s="279" t="b">
        <f t="shared" si="270"/>
        <v>0</v>
      </c>
      <c r="AX291" s="279" t="b">
        <f t="shared" si="270"/>
        <v>0</v>
      </c>
      <c r="AY291" s="279" t="b">
        <f t="shared" si="270"/>
        <v>0</v>
      </c>
      <c r="AZ291" s="279" t="b">
        <f t="shared" si="270"/>
        <v>0</v>
      </c>
      <c r="BA291" s="279" t="b">
        <f t="shared" si="270"/>
        <v>0</v>
      </c>
    </row>
    <row r="292" spans="1:53" s="275" customFormat="1" hidden="1" x14ac:dyDescent="0.35">
      <c r="A292" s="275" t="s">
        <v>3</v>
      </c>
      <c r="C292" s="275">
        <v>79</v>
      </c>
      <c r="F292" s="279" t="b">
        <f t="shared" ref="F292:L292" si="271">AND($BG88=FALSE,AND(F190&lt;&gt;"",F190=FALSE),F88="")</f>
        <v>1</v>
      </c>
      <c r="G292" s="279" t="b">
        <f t="shared" si="271"/>
        <v>0</v>
      </c>
      <c r="H292" s="279" t="b">
        <f t="shared" si="271"/>
        <v>1</v>
      </c>
      <c r="I292" s="279" t="b">
        <f t="shared" si="271"/>
        <v>0</v>
      </c>
      <c r="J292" s="279" t="b">
        <f t="shared" si="271"/>
        <v>0</v>
      </c>
      <c r="K292" s="279" t="b">
        <f t="shared" si="271"/>
        <v>0</v>
      </c>
      <c r="L292" s="279" t="b">
        <f t="shared" si="271"/>
        <v>0</v>
      </c>
      <c r="M292" s="279"/>
      <c r="N292" s="279" t="b">
        <f t="shared" ref="N292:P292" si="272">AND($BG88=FALSE,AND(N190&lt;&gt;"",N190=FALSE),N88="")</f>
        <v>0</v>
      </c>
      <c r="O292" s="279" t="b">
        <f t="shared" si="272"/>
        <v>0</v>
      </c>
      <c r="P292" s="279" t="b">
        <f t="shared" si="272"/>
        <v>1</v>
      </c>
      <c r="Q292" s="279" t="b">
        <f t="shared" si="254"/>
        <v>1</v>
      </c>
      <c r="AB292" s="279" t="b">
        <f t="shared" si="254"/>
        <v>1</v>
      </c>
      <c r="AC292" s="279" t="b">
        <f t="shared" si="254"/>
        <v>1</v>
      </c>
      <c r="AD292" s="279" t="b">
        <f t="shared" si="254"/>
        <v>1</v>
      </c>
      <c r="AE292" s="279" t="b">
        <f t="shared" si="254"/>
        <v>1</v>
      </c>
      <c r="AF292" s="279" t="b">
        <f t="shared" si="254"/>
        <v>1</v>
      </c>
      <c r="AG292" s="279" t="b">
        <f t="shared" si="254"/>
        <v>1</v>
      </c>
      <c r="AH292" s="279" t="b">
        <f t="shared" si="254"/>
        <v>1</v>
      </c>
      <c r="AI292" s="279" t="b">
        <f t="shared" si="254"/>
        <v>1</v>
      </c>
      <c r="AJ292" s="279" t="b">
        <f t="shared" si="254"/>
        <v>1</v>
      </c>
      <c r="AK292" s="279" t="b">
        <f t="shared" si="254"/>
        <v>1</v>
      </c>
      <c r="AL292" s="279" t="b">
        <f t="shared" si="254"/>
        <v>0</v>
      </c>
      <c r="AM292" s="279" t="b">
        <f t="shared" si="254"/>
        <v>0</v>
      </c>
      <c r="AN292" s="279" t="b">
        <f t="shared" si="254"/>
        <v>0</v>
      </c>
      <c r="AO292" s="279" t="b">
        <f t="shared" si="254"/>
        <v>0</v>
      </c>
      <c r="AP292" s="279" t="b">
        <f t="shared" si="254"/>
        <v>0</v>
      </c>
      <c r="AQ292" s="279"/>
      <c r="AR292" s="279" t="b">
        <f t="shared" ref="AR292:BA292" si="273">AND($BG88=FALSE,AND(AR190&lt;&gt;"",AR190=FALSE),AR88="")</f>
        <v>0</v>
      </c>
      <c r="AS292" s="279" t="b">
        <f t="shared" si="273"/>
        <v>0</v>
      </c>
      <c r="AT292" s="279" t="b">
        <f t="shared" si="273"/>
        <v>0</v>
      </c>
      <c r="AU292" s="279" t="b">
        <f t="shared" si="273"/>
        <v>0</v>
      </c>
      <c r="AV292" s="279" t="b">
        <f t="shared" si="273"/>
        <v>0</v>
      </c>
      <c r="AW292" s="279" t="b">
        <f t="shared" si="273"/>
        <v>0</v>
      </c>
      <c r="AX292" s="279" t="b">
        <f t="shared" si="273"/>
        <v>0</v>
      </c>
      <c r="AY292" s="279" t="b">
        <f t="shared" si="273"/>
        <v>0</v>
      </c>
      <c r="AZ292" s="279" t="b">
        <f t="shared" si="273"/>
        <v>0</v>
      </c>
      <c r="BA292" s="279" t="b">
        <f t="shared" si="273"/>
        <v>0</v>
      </c>
    </row>
    <row r="293" spans="1:53" s="275" customFormat="1" hidden="1" x14ac:dyDescent="0.35">
      <c r="A293" s="275" t="s">
        <v>3</v>
      </c>
      <c r="C293" s="275">
        <v>80</v>
      </c>
      <c r="F293" s="279" t="b">
        <f t="shared" ref="F293:L293" si="274">AND($BG89=FALSE,AND(F191&lt;&gt;"",F191=FALSE),F89="")</f>
        <v>1</v>
      </c>
      <c r="G293" s="279" t="b">
        <f t="shared" si="274"/>
        <v>0</v>
      </c>
      <c r="H293" s="279" t="b">
        <f t="shared" si="274"/>
        <v>1</v>
      </c>
      <c r="I293" s="279" t="b">
        <f t="shared" si="274"/>
        <v>0</v>
      </c>
      <c r="J293" s="279" t="b">
        <f t="shared" si="274"/>
        <v>0</v>
      </c>
      <c r="K293" s="279" t="b">
        <f t="shared" si="274"/>
        <v>0</v>
      </c>
      <c r="L293" s="279" t="b">
        <f t="shared" si="274"/>
        <v>0</v>
      </c>
      <c r="M293" s="279"/>
      <c r="N293" s="279" t="b">
        <f t="shared" ref="N293:P293" si="275">AND($BG89=FALSE,AND(N191&lt;&gt;"",N191=FALSE),N89="")</f>
        <v>0</v>
      </c>
      <c r="O293" s="279" t="b">
        <f t="shared" si="275"/>
        <v>0</v>
      </c>
      <c r="P293" s="279" t="b">
        <f t="shared" si="275"/>
        <v>1</v>
      </c>
      <c r="Q293" s="279" t="b">
        <f t="shared" si="254"/>
        <v>1</v>
      </c>
      <c r="AB293" s="279" t="b">
        <f t="shared" si="254"/>
        <v>1</v>
      </c>
      <c r="AC293" s="279" t="b">
        <f t="shared" si="254"/>
        <v>1</v>
      </c>
      <c r="AD293" s="279" t="b">
        <f t="shared" si="254"/>
        <v>1</v>
      </c>
      <c r="AE293" s="279" t="b">
        <f t="shared" si="254"/>
        <v>1</v>
      </c>
      <c r="AF293" s="279" t="b">
        <f t="shared" si="254"/>
        <v>1</v>
      </c>
      <c r="AG293" s="279" t="b">
        <f t="shared" si="254"/>
        <v>1</v>
      </c>
      <c r="AH293" s="279" t="b">
        <f t="shared" si="254"/>
        <v>1</v>
      </c>
      <c r="AI293" s="279" t="b">
        <f t="shared" si="254"/>
        <v>1</v>
      </c>
      <c r="AJ293" s="279" t="b">
        <f t="shared" si="254"/>
        <v>1</v>
      </c>
      <c r="AK293" s="279" t="b">
        <f t="shared" si="254"/>
        <v>1</v>
      </c>
      <c r="AL293" s="279" t="b">
        <f t="shared" si="254"/>
        <v>0</v>
      </c>
      <c r="AM293" s="279" t="b">
        <f t="shared" si="254"/>
        <v>0</v>
      </c>
      <c r="AN293" s="279" t="b">
        <f t="shared" si="254"/>
        <v>0</v>
      </c>
      <c r="AO293" s="279" t="b">
        <f t="shared" si="254"/>
        <v>0</v>
      </c>
      <c r="AP293" s="279" t="b">
        <f t="shared" si="254"/>
        <v>0</v>
      </c>
      <c r="AQ293" s="279"/>
      <c r="AR293" s="279" t="b">
        <f t="shared" ref="AR293:BA293" si="276">AND($BG89=FALSE,AND(AR191&lt;&gt;"",AR191=FALSE),AR89="")</f>
        <v>0</v>
      </c>
      <c r="AS293" s="279" t="b">
        <f t="shared" si="276"/>
        <v>0</v>
      </c>
      <c r="AT293" s="279" t="b">
        <f t="shared" si="276"/>
        <v>0</v>
      </c>
      <c r="AU293" s="279" t="b">
        <f t="shared" si="276"/>
        <v>0</v>
      </c>
      <c r="AV293" s="279" t="b">
        <f t="shared" si="276"/>
        <v>0</v>
      </c>
      <c r="AW293" s="279" t="b">
        <f t="shared" si="276"/>
        <v>0</v>
      </c>
      <c r="AX293" s="279" t="b">
        <f t="shared" si="276"/>
        <v>0</v>
      </c>
      <c r="AY293" s="279" t="b">
        <f t="shared" si="276"/>
        <v>0</v>
      </c>
      <c r="AZ293" s="279" t="b">
        <f t="shared" si="276"/>
        <v>0</v>
      </c>
      <c r="BA293" s="279" t="b">
        <f t="shared" si="276"/>
        <v>0</v>
      </c>
    </row>
    <row r="294" spans="1:53" s="275" customFormat="1" hidden="1" x14ac:dyDescent="0.35">
      <c r="A294" s="275" t="s">
        <v>3</v>
      </c>
      <c r="C294" s="275">
        <v>81</v>
      </c>
      <c r="F294" s="279" t="b">
        <f t="shared" ref="F294:L294" si="277">AND($BG90=FALSE,AND(F192&lt;&gt;"",F192=FALSE),F90="")</f>
        <v>1</v>
      </c>
      <c r="G294" s="279" t="b">
        <f t="shared" si="277"/>
        <v>0</v>
      </c>
      <c r="H294" s="279" t="b">
        <f t="shared" si="277"/>
        <v>1</v>
      </c>
      <c r="I294" s="279" t="b">
        <f t="shared" si="277"/>
        <v>0</v>
      </c>
      <c r="J294" s="279" t="b">
        <f t="shared" si="277"/>
        <v>0</v>
      </c>
      <c r="K294" s="279" t="b">
        <f t="shared" si="277"/>
        <v>0</v>
      </c>
      <c r="L294" s="279" t="b">
        <f t="shared" si="277"/>
        <v>0</v>
      </c>
      <c r="M294" s="279"/>
      <c r="N294" s="279" t="b">
        <f t="shared" ref="N294:P294" si="278">AND($BG90=FALSE,AND(N192&lt;&gt;"",N192=FALSE),N90="")</f>
        <v>0</v>
      </c>
      <c r="O294" s="279" t="b">
        <f t="shared" si="278"/>
        <v>0</v>
      </c>
      <c r="P294" s="279" t="b">
        <f t="shared" si="278"/>
        <v>1</v>
      </c>
      <c r="Q294" s="279" t="b">
        <f t="shared" si="254"/>
        <v>1</v>
      </c>
      <c r="AB294" s="279" t="b">
        <f t="shared" si="254"/>
        <v>1</v>
      </c>
      <c r="AC294" s="279" t="b">
        <f t="shared" si="254"/>
        <v>1</v>
      </c>
      <c r="AD294" s="279" t="b">
        <f t="shared" si="254"/>
        <v>1</v>
      </c>
      <c r="AE294" s="279" t="b">
        <f t="shared" si="254"/>
        <v>1</v>
      </c>
      <c r="AF294" s="279" t="b">
        <f t="shared" si="254"/>
        <v>1</v>
      </c>
      <c r="AG294" s="279" t="b">
        <f t="shared" si="254"/>
        <v>1</v>
      </c>
      <c r="AH294" s="279" t="b">
        <f t="shared" si="254"/>
        <v>1</v>
      </c>
      <c r="AI294" s="279" t="b">
        <f t="shared" si="254"/>
        <v>1</v>
      </c>
      <c r="AJ294" s="279" t="b">
        <f t="shared" si="254"/>
        <v>1</v>
      </c>
      <c r="AK294" s="279" t="b">
        <f t="shared" si="254"/>
        <v>1</v>
      </c>
      <c r="AL294" s="279" t="b">
        <f t="shared" si="254"/>
        <v>0</v>
      </c>
      <c r="AM294" s="279" t="b">
        <f t="shared" si="254"/>
        <v>0</v>
      </c>
      <c r="AN294" s="279" t="b">
        <f t="shared" si="254"/>
        <v>0</v>
      </c>
      <c r="AO294" s="279" t="b">
        <f t="shared" si="254"/>
        <v>0</v>
      </c>
      <c r="AP294" s="279" t="b">
        <f t="shared" si="254"/>
        <v>0</v>
      </c>
      <c r="AQ294" s="279"/>
      <c r="AR294" s="279" t="b">
        <f t="shared" ref="AR294:BA294" si="279">AND($BG90=FALSE,AND(AR192&lt;&gt;"",AR192=FALSE),AR90="")</f>
        <v>0</v>
      </c>
      <c r="AS294" s="279" t="b">
        <f t="shared" si="279"/>
        <v>0</v>
      </c>
      <c r="AT294" s="279" t="b">
        <f t="shared" si="279"/>
        <v>0</v>
      </c>
      <c r="AU294" s="279" t="b">
        <f t="shared" si="279"/>
        <v>0</v>
      </c>
      <c r="AV294" s="279" t="b">
        <f t="shared" si="279"/>
        <v>0</v>
      </c>
      <c r="AW294" s="279" t="b">
        <f t="shared" si="279"/>
        <v>0</v>
      </c>
      <c r="AX294" s="279" t="b">
        <f t="shared" si="279"/>
        <v>0</v>
      </c>
      <c r="AY294" s="279" t="b">
        <f t="shared" si="279"/>
        <v>0</v>
      </c>
      <c r="AZ294" s="279" t="b">
        <f t="shared" si="279"/>
        <v>0</v>
      </c>
      <c r="BA294" s="279" t="b">
        <f t="shared" si="279"/>
        <v>0</v>
      </c>
    </row>
    <row r="295" spans="1:53" s="275" customFormat="1" hidden="1" x14ac:dyDescent="0.35">
      <c r="A295" s="275" t="s">
        <v>3</v>
      </c>
      <c r="C295" s="275">
        <v>82</v>
      </c>
      <c r="F295" s="279" t="b">
        <f t="shared" ref="F295:L295" si="280">AND($BG91=FALSE,AND(F193&lt;&gt;"",F193=FALSE),F91="")</f>
        <v>1</v>
      </c>
      <c r="G295" s="279" t="b">
        <f t="shared" si="280"/>
        <v>0</v>
      </c>
      <c r="H295" s="279" t="b">
        <f t="shared" si="280"/>
        <v>1</v>
      </c>
      <c r="I295" s="279" t="b">
        <f t="shared" si="280"/>
        <v>0</v>
      </c>
      <c r="J295" s="279" t="b">
        <f t="shared" si="280"/>
        <v>0</v>
      </c>
      <c r="K295" s="279" t="b">
        <f t="shared" si="280"/>
        <v>0</v>
      </c>
      <c r="L295" s="279" t="b">
        <f t="shared" si="280"/>
        <v>0</v>
      </c>
      <c r="M295" s="279"/>
      <c r="N295" s="279" t="b">
        <f t="shared" ref="N295:P295" si="281">AND($BG91=FALSE,AND(N193&lt;&gt;"",N193=FALSE),N91="")</f>
        <v>0</v>
      </c>
      <c r="O295" s="279" t="b">
        <f t="shared" si="281"/>
        <v>0</v>
      </c>
      <c r="P295" s="279" t="b">
        <f t="shared" si="281"/>
        <v>1</v>
      </c>
      <c r="Q295" s="279" t="b">
        <f t="shared" si="254"/>
        <v>1</v>
      </c>
      <c r="AB295" s="279" t="b">
        <f t="shared" si="254"/>
        <v>1</v>
      </c>
      <c r="AC295" s="279" t="b">
        <f t="shared" si="254"/>
        <v>1</v>
      </c>
      <c r="AD295" s="279" t="b">
        <f t="shared" si="254"/>
        <v>1</v>
      </c>
      <c r="AE295" s="279" t="b">
        <f t="shared" si="254"/>
        <v>1</v>
      </c>
      <c r="AF295" s="279" t="b">
        <f t="shared" si="254"/>
        <v>1</v>
      </c>
      <c r="AG295" s="279" t="b">
        <f t="shared" si="254"/>
        <v>1</v>
      </c>
      <c r="AH295" s="279" t="b">
        <f t="shared" si="254"/>
        <v>1</v>
      </c>
      <c r="AI295" s="279" t="b">
        <f t="shared" ref="AI295:AP295" si="282">AND($BG91=FALSE,AND(AI193&lt;&gt;"",AI193=FALSE),AI91="")</f>
        <v>1</v>
      </c>
      <c r="AJ295" s="279" t="b">
        <f t="shared" si="282"/>
        <v>1</v>
      </c>
      <c r="AK295" s="279" t="b">
        <f t="shared" si="282"/>
        <v>1</v>
      </c>
      <c r="AL295" s="279" t="b">
        <f t="shared" si="282"/>
        <v>0</v>
      </c>
      <c r="AM295" s="279" t="b">
        <f t="shared" si="282"/>
        <v>0</v>
      </c>
      <c r="AN295" s="279" t="b">
        <f t="shared" si="282"/>
        <v>0</v>
      </c>
      <c r="AO295" s="279" t="b">
        <f t="shared" si="282"/>
        <v>0</v>
      </c>
      <c r="AP295" s="279" t="b">
        <f t="shared" si="282"/>
        <v>0</v>
      </c>
      <c r="AQ295" s="279"/>
      <c r="AR295" s="279" t="b">
        <f t="shared" ref="AR295:BA295" si="283">AND($BG91=FALSE,AND(AR193&lt;&gt;"",AR193=FALSE),AR91="")</f>
        <v>0</v>
      </c>
      <c r="AS295" s="279" t="b">
        <f t="shared" si="283"/>
        <v>0</v>
      </c>
      <c r="AT295" s="279" t="b">
        <f t="shared" si="283"/>
        <v>0</v>
      </c>
      <c r="AU295" s="279" t="b">
        <f t="shared" si="283"/>
        <v>0</v>
      </c>
      <c r="AV295" s="279" t="b">
        <f t="shared" si="283"/>
        <v>0</v>
      </c>
      <c r="AW295" s="279" t="b">
        <f t="shared" si="283"/>
        <v>0</v>
      </c>
      <c r="AX295" s="279" t="b">
        <f t="shared" si="283"/>
        <v>0</v>
      </c>
      <c r="AY295" s="279" t="b">
        <f t="shared" si="283"/>
        <v>0</v>
      </c>
      <c r="AZ295" s="279" t="b">
        <f t="shared" si="283"/>
        <v>0</v>
      </c>
      <c r="BA295" s="279" t="b">
        <f t="shared" si="283"/>
        <v>0</v>
      </c>
    </row>
    <row r="296" spans="1:53" s="275" customFormat="1" hidden="1" x14ac:dyDescent="0.35">
      <c r="A296" s="275" t="s">
        <v>3</v>
      </c>
      <c r="C296" s="275">
        <v>83</v>
      </c>
      <c r="F296" s="279" t="b">
        <f t="shared" ref="F296:L296" si="284">AND($BG92=FALSE,AND(F194&lt;&gt;"",F194=FALSE),F92="")</f>
        <v>1</v>
      </c>
      <c r="G296" s="279" t="b">
        <f t="shared" si="284"/>
        <v>0</v>
      </c>
      <c r="H296" s="279" t="b">
        <f t="shared" si="284"/>
        <v>1</v>
      </c>
      <c r="I296" s="279" t="b">
        <f t="shared" si="284"/>
        <v>0</v>
      </c>
      <c r="J296" s="279" t="b">
        <f t="shared" si="284"/>
        <v>0</v>
      </c>
      <c r="K296" s="279" t="b">
        <f t="shared" si="284"/>
        <v>0</v>
      </c>
      <c r="L296" s="279" t="b">
        <f t="shared" si="284"/>
        <v>0</v>
      </c>
      <c r="M296" s="279"/>
      <c r="N296" s="279" t="b">
        <f t="shared" ref="N296:AP305" si="285">AND($BG92=FALSE,AND(N194&lt;&gt;"",N194=FALSE),N92="")</f>
        <v>0</v>
      </c>
      <c r="O296" s="279" t="b">
        <f t="shared" si="285"/>
        <v>0</v>
      </c>
      <c r="P296" s="279" t="b">
        <f t="shared" si="285"/>
        <v>1</v>
      </c>
      <c r="Q296" s="279" t="b">
        <f t="shared" si="285"/>
        <v>1</v>
      </c>
      <c r="AB296" s="279" t="b">
        <f t="shared" si="285"/>
        <v>1</v>
      </c>
      <c r="AC296" s="279" t="b">
        <f t="shared" si="285"/>
        <v>1</v>
      </c>
      <c r="AD296" s="279" t="b">
        <f t="shared" si="285"/>
        <v>1</v>
      </c>
      <c r="AE296" s="279" t="b">
        <f t="shared" si="285"/>
        <v>1</v>
      </c>
      <c r="AF296" s="279" t="b">
        <f t="shared" si="285"/>
        <v>1</v>
      </c>
      <c r="AG296" s="279" t="b">
        <f t="shared" si="285"/>
        <v>1</v>
      </c>
      <c r="AH296" s="279" t="b">
        <f t="shared" si="285"/>
        <v>1</v>
      </c>
      <c r="AI296" s="279" t="b">
        <f t="shared" si="285"/>
        <v>1</v>
      </c>
      <c r="AJ296" s="279" t="b">
        <f t="shared" si="285"/>
        <v>1</v>
      </c>
      <c r="AK296" s="279" t="b">
        <f t="shared" si="285"/>
        <v>1</v>
      </c>
      <c r="AL296" s="279" t="b">
        <f t="shared" si="285"/>
        <v>0</v>
      </c>
      <c r="AM296" s="279" t="b">
        <f t="shared" si="285"/>
        <v>0</v>
      </c>
      <c r="AN296" s="279" t="b">
        <f t="shared" si="285"/>
        <v>0</v>
      </c>
      <c r="AO296" s="279" t="b">
        <f t="shared" si="285"/>
        <v>0</v>
      </c>
      <c r="AP296" s="279" t="b">
        <f t="shared" si="285"/>
        <v>0</v>
      </c>
      <c r="AQ296" s="279"/>
      <c r="AR296" s="279" t="b">
        <f t="shared" ref="AR296:BA296" si="286">AND($BG92=FALSE,AND(AR194&lt;&gt;"",AR194=FALSE),AR92="")</f>
        <v>0</v>
      </c>
      <c r="AS296" s="279" t="b">
        <f t="shared" si="286"/>
        <v>0</v>
      </c>
      <c r="AT296" s="279" t="b">
        <f t="shared" si="286"/>
        <v>0</v>
      </c>
      <c r="AU296" s="279" t="b">
        <f t="shared" si="286"/>
        <v>0</v>
      </c>
      <c r="AV296" s="279" t="b">
        <f t="shared" si="286"/>
        <v>0</v>
      </c>
      <c r="AW296" s="279" t="b">
        <f t="shared" si="286"/>
        <v>0</v>
      </c>
      <c r="AX296" s="279" t="b">
        <f t="shared" si="286"/>
        <v>0</v>
      </c>
      <c r="AY296" s="279" t="b">
        <f t="shared" si="286"/>
        <v>0</v>
      </c>
      <c r="AZ296" s="279" t="b">
        <f t="shared" si="286"/>
        <v>0</v>
      </c>
      <c r="BA296" s="279" t="b">
        <f t="shared" si="286"/>
        <v>0</v>
      </c>
    </row>
    <row r="297" spans="1:53" s="275" customFormat="1" hidden="1" x14ac:dyDescent="0.35">
      <c r="A297" s="275" t="s">
        <v>3</v>
      </c>
      <c r="C297" s="275">
        <v>84</v>
      </c>
      <c r="F297" s="279" t="b">
        <f t="shared" ref="F297:L297" si="287">AND($BG93=FALSE,AND(F195&lt;&gt;"",F195=FALSE),F93="")</f>
        <v>1</v>
      </c>
      <c r="G297" s="279" t="b">
        <f t="shared" si="287"/>
        <v>0</v>
      </c>
      <c r="H297" s="279" t="b">
        <f t="shared" si="287"/>
        <v>1</v>
      </c>
      <c r="I297" s="279" t="b">
        <f t="shared" si="287"/>
        <v>0</v>
      </c>
      <c r="J297" s="279" t="b">
        <f t="shared" si="287"/>
        <v>0</v>
      </c>
      <c r="K297" s="279" t="b">
        <f t="shared" si="287"/>
        <v>0</v>
      </c>
      <c r="L297" s="279" t="b">
        <f t="shared" si="287"/>
        <v>0</v>
      </c>
      <c r="M297" s="279"/>
      <c r="N297" s="279" t="b">
        <f t="shared" ref="N297:P297" si="288">AND($BG93=FALSE,AND(N195&lt;&gt;"",N195=FALSE),N93="")</f>
        <v>0</v>
      </c>
      <c r="O297" s="279" t="b">
        <f t="shared" si="288"/>
        <v>0</v>
      </c>
      <c r="P297" s="279" t="b">
        <f t="shared" si="288"/>
        <v>1</v>
      </c>
      <c r="Q297" s="279" t="b">
        <f t="shared" si="285"/>
        <v>1</v>
      </c>
      <c r="AB297" s="279" t="b">
        <f t="shared" si="285"/>
        <v>1</v>
      </c>
      <c r="AC297" s="279" t="b">
        <f t="shared" si="285"/>
        <v>1</v>
      </c>
      <c r="AD297" s="279" t="b">
        <f t="shared" si="285"/>
        <v>1</v>
      </c>
      <c r="AE297" s="279" t="b">
        <f t="shared" si="285"/>
        <v>1</v>
      </c>
      <c r="AF297" s="279" t="b">
        <f t="shared" si="285"/>
        <v>1</v>
      </c>
      <c r="AG297" s="279" t="b">
        <f t="shared" si="285"/>
        <v>1</v>
      </c>
      <c r="AH297" s="279" t="b">
        <f t="shared" si="285"/>
        <v>1</v>
      </c>
      <c r="AI297" s="279" t="b">
        <f t="shared" si="285"/>
        <v>1</v>
      </c>
      <c r="AJ297" s="279" t="b">
        <f t="shared" si="285"/>
        <v>1</v>
      </c>
      <c r="AK297" s="279" t="b">
        <f t="shared" si="285"/>
        <v>1</v>
      </c>
      <c r="AL297" s="279" t="b">
        <f t="shared" si="285"/>
        <v>0</v>
      </c>
      <c r="AM297" s="279" t="b">
        <f t="shared" si="285"/>
        <v>0</v>
      </c>
      <c r="AN297" s="279" t="b">
        <f t="shared" si="285"/>
        <v>0</v>
      </c>
      <c r="AO297" s="279" t="b">
        <f t="shared" si="285"/>
        <v>0</v>
      </c>
      <c r="AP297" s="279" t="b">
        <f t="shared" si="285"/>
        <v>0</v>
      </c>
      <c r="AQ297" s="279"/>
      <c r="AR297" s="279" t="b">
        <f t="shared" ref="AR297:BA297" si="289">AND($BG93=FALSE,AND(AR195&lt;&gt;"",AR195=FALSE),AR93="")</f>
        <v>0</v>
      </c>
      <c r="AS297" s="279" t="b">
        <f t="shared" si="289"/>
        <v>0</v>
      </c>
      <c r="AT297" s="279" t="b">
        <f t="shared" si="289"/>
        <v>0</v>
      </c>
      <c r="AU297" s="279" t="b">
        <f t="shared" si="289"/>
        <v>0</v>
      </c>
      <c r="AV297" s="279" t="b">
        <f t="shared" si="289"/>
        <v>0</v>
      </c>
      <c r="AW297" s="279" t="b">
        <f t="shared" si="289"/>
        <v>0</v>
      </c>
      <c r="AX297" s="279" t="b">
        <f t="shared" si="289"/>
        <v>0</v>
      </c>
      <c r="AY297" s="279" t="b">
        <f t="shared" si="289"/>
        <v>0</v>
      </c>
      <c r="AZ297" s="279" t="b">
        <f t="shared" si="289"/>
        <v>0</v>
      </c>
      <c r="BA297" s="279" t="b">
        <f t="shared" si="289"/>
        <v>0</v>
      </c>
    </row>
    <row r="298" spans="1:53" s="275" customFormat="1" hidden="1" x14ac:dyDescent="0.35">
      <c r="A298" s="275" t="s">
        <v>3</v>
      </c>
      <c r="C298" s="275">
        <v>85</v>
      </c>
      <c r="F298" s="279" t="b">
        <f t="shared" ref="F298:L298" si="290">AND($BG94=FALSE,AND(F196&lt;&gt;"",F196=FALSE),F94="")</f>
        <v>1</v>
      </c>
      <c r="G298" s="279" t="b">
        <f t="shared" si="290"/>
        <v>0</v>
      </c>
      <c r="H298" s="279" t="b">
        <f t="shared" si="290"/>
        <v>1</v>
      </c>
      <c r="I298" s="279" t="b">
        <f t="shared" si="290"/>
        <v>0</v>
      </c>
      <c r="J298" s="279" t="b">
        <f t="shared" si="290"/>
        <v>0</v>
      </c>
      <c r="K298" s="279" t="b">
        <f t="shared" si="290"/>
        <v>0</v>
      </c>
      <c r="L298" s="279" t="b">
        <f t="shared" si="290"/>
        <v>0</v>
      </c>
      <c r="M298" s="279"/>
      <c r="N298" s="279" t="b">
        <f t="shared" ref="N298:P298" si="291">AND($BG94=FALSE,AND(N196&lt;&gt;"",N196=FALSE),N94="")</f>
        <v>0</v>
      </c>
      <c r="O298" s="279" t="b">
        <f t="shared" si="291"/>
        <v>0</v>
      </c>
      <c r="P298" s="279" t="b">
        <f t="shared" si="291"/>
        <v>1</v>
      </c>
      <c r="Q298" s="279" t="b">
        <f t="shared" si="285"/>
        <v>1</v>
      </c>
      <c r="AB298" s="279" t="b">
        <f t="shared" si="285"/>
        <v>1</v>
      </c>
      <c r="AC298" s="279" t="b">
        <f t="shared" si="285"/>
        <v>1</v>
      </c>
      <c r="AD298" s="279" t="b">
        <f t="shared" si="285"/>
        <v>1</v>
      </c>
      <c r="AE298" s="279" t="b">
        <f t="shared" si="285"/>
        <v>1</v>
      </c>
      <c r="AF298" s="279" t="b">
        <f t="shared" si="285"/>
        <v>1</v>
      </c>
      <c r="AG298" s="279" t="b">
        <f t="shared" si="285"/>
        <v>1</v>
      </c>
      <c r="AH298" s="279" t="b">
        <f t="shared" si="285"/>
        <v>1</v>
      </c>
      <c r="AI298" s="279" t="b">
        <f t="shared" si="285"/>
        <v>1</v>
      </c>
      <c r="AJ298" s="279" t="b">
        <f t="shared" si="285"/>
        <v>1</v>
      </c>
      <c r="AK298" s="279" t="b">
        <f t="shared" si="285"/>
        <v>1</v>
      </c>
      <c r="AL298" s="279" t="b">
        <f t="shared" si="285"/>
        <v>0</v>
      </c>
      <c r="AM298" s="279" t="b">
        <f t="shared" si="285"/>
        <v>0</v>
      </c>
      <c r="AN298" s="279" t="b">
        <f t="shared" si="285"/>
        <v>0</v>
      </c>
      <c r="AO298" s="279" t="b">
        <f t="shared" si="285"/>
        <v>0</v>
      </c>
      <c r="AP298" s="279" t="b">
        <f t="shared" si="285"/>
        <v>0</v>
      </c>
      <c r="AQ298" s="279"/>
      <c r="AR298" s="279" t="b">
        <f t="shared" ref="AR298:BA298" si="292">AND($BG94=FALSE,AND(AR196&lt;&gt;"",AR196=FALSE),AR94="")</f>
        <v>0</v>
      </c>
      <c r="AS298" s="279" t="b">
        <f t="shared" si="292"/>
        <v>0</v>
      </c>
      <c r="AT298" s="279" t="b">
        <f t="shared" si="292"/>
        <v>0</v>
      </c>
      <c r="AU298" s="279" t="b">
        <f t="shared" si="292"/>
        <v>0</v>
      </c>
      <c r="AV298" s="279" t="b">
        <f t="shared" si="292"/>
        <v>0</v>
      </c>
      <c r="AW298" s="279" t="b">
        <f t="shared" si="292"/>
        <v>0</v>
      </c>
      <c r="AX298" s="279" t="b">
        <f t="shared" si="292"/>
        <v>0</v>
      </c>
      <c r="AY298" s="279" t="b">
        <f t="shared" si="292"/>
        <v>0</v>
      </c>
      <c r="AZ298" s="279" t="b">
        <f t="shared" si="292"/>
        <v>0</v>
      </c>
      <c r="BA298" s="279" t="b">
        <f t="shared" si="292"/>
        <v>0</v>
      </c>
    </row>
    <row r="299" spans="1:53" s="275" customFormat="1" hidden="1" x14ac:dyDescent="0.35">
      <c r="A299" s="275" t="s">
        <v>3</v>
      </c>
      <c r="C299" s="275">
        <v>86</v>
      </c>
      <c r="F299" s="279" t="b">
        <f t="shared" ref="F299:L299" si="293">AND($BG95=FALSE,AND(F197&lt;&gt;"",F197=FALSE),F95="")</f>
        <v>1</v>
      </c>
      <c r="G299" s="279" t="b">
        <f t="shared" si="293"/>
        <v>0</v>
      </c>
      <c r="H299" s="279" t="b">
        <f t="shared" si="293"/>
        <v>1</v>
      </c>
      <c r="I299" s="279" t="b">
        <f t="shared" si="293"/>
        <v>0</v>
      </c>
      <c r="J299" s="279" t="b">
        <f t="shared" si="293"/>
        <v>0</v>
      </c>
      <c r="K299" s="279" t="b">
        <f t="shared" si="293"/>
        <v>0</v>
      </c>
      <c r="L299" s="279" t="b">
        <f t="shared" si="293"/>
        <v>0</v>
      </c>
      <c r="M299" s="279"/>
      <c r="N299" s="279" t="b">
        <f t="shared" ref="N299:P299" si="294">AND($BG95=FALSE,AND(N197&lt;&gt;"",N197=FALSE),N95="")</f>
        <v>0</v>
      </c>
      <c r="O299" s="279" t="b">
        <f t="shared" si="294"/>
        <v>0</v>
      </c>
      <c r="P299" s="279" t="b">
        <f t="shared" si="294"/>
        <v>1</v>
      </c>
      <c r="Q299" s="279" t="b">
        <f t="shared" si="285"/>
        <v>1</v>
      </c>
      <c r="AB299" s="279" t="b">
        <f t="shared" si="285"/>
        <v>1</v>
      </c>
      <c r="AC299" s="279" t="b">
        <f t="shared" si="285"/>
        <v>1</v>
      </c>
      <c r="AD299" s="279" t="b">
        <f t="shared" si="285"/>
        <v>1</v>
      </c>
      <c r="AE299" s="279" t="b">
        <f t="shared" si="285"/>
        <v>1</v>
      </c>
      <c r="AF299" s="279" t="b">
        <f t="shared" si="285"/>
        <v>1</v>
      </c>
      <c r="AG299" s="279" t="b">
        <f t="shared" si="285"/>
        <v>1</v>
      </c>
      <c r="AH299" s="279" t="b">
        <f t="shared" si="285"/>
        <v>1</v>
      </c>
      <c r="AI299" s="279" t="b">
        <f t="shared" si="285"/>
        <v>1</v>
      </c>
      <c r="AJ299" s="279" t="b">
        <f t="shared" si="285"/>
        <v>1</v>
      </c>
      <c r="AK299" s="279" t="b">
        <f t="shared" si="285"/>
        <v>1</v>
      </c>
      <c r="AL299" s="279" t="b">
        <f t="shared" si="285"/>
        <v>0</v>
      </c>
      <c r="AM299" s="279" t="b">
        <f t="shared" si="285"/>
        <v>0</v>
      </c>
      <c r="AN299" s="279" t="b">
        <f t="shared" si="285"/>
        <v>0</v>
      </c>
      <c r="AO299" s="279" t="b">
        <f t="shared" si="285"/>
        <v>0</v>
      </c>
      <c r="AP299" s="279" t="b">
        <f t="shared" si="285"/>
        <v>0</v>
      </c>
      <c r="AQ299" s="279"/>
      <c r="AR299" s="279" t="b">
        <f t="shared" ref="AR299:BA299" si="295">AND($BG95=FALSE,AND(AR197&lt;&gt;"",AR197=FALSE),AR95="")</f>
        <v>0</v>
      </c>
      <c r="AS299" s="279" t="b">
        <f t="shared" si="295"/>
        <v>0</v>
      </c>
      <c r="AT299" s="279" t="b">
        <f t="shared" si="295"/>
        <v>0</v>
      </c>
      <c r="AU299" s="279" t="b">
        <f t="shared" si="295"/>
        <v>0</v>
      </c>
      <c r="AV299" s="279" t="b">
        <f t="shared" si="295"/>
        <v>0</v>
      </c>
      <c r="AW299" s="279" t="b">
        <f t="shared" si="295"/>
        <v>0</v>
      </c>
      <c r="AX299" s="279" t="b">
        <f t="shared" si="295"/>
        <v>0</v>
      </c>
      <c r="AY299" s="279" t="b">
        <f t="shared" si="295"/>
        <v>0</v>
      </c>
      <c r="AZ299" s="279" t="b">
        <f t="shared" si="295"/>
        <v>0</v>
      </c>
      <c r="BA299" s="279" t="b">
        <f t="shared" si="295"/>
        <v>0</v>
      </c>
    </row>
    <row r="300" spans="1:53" s="275" customFormat="1" hidden="1" x14ac:dyDescent="0.35">
      <c r="A300" s="275" t="s">
        <v>3</v>
      </c>
      <c r="C300" s="275">
        <v>87</v>
      </c>
      <c r="F300" s="279" t="b">
        <f t="shared" ref="F300:L300" si="296">AND($BG96=FALSE,AND(F198&lt;&gt;"",F198=FALSE),F96="")</f>
        <v>1</v>
      </c>
      <c r="G300" s="279" t="b">
        <f t="shared" si="296"/>
        <v>0</v>
      </c>
      <c r="H300" s="279" t="b">
        <f t="shared" si="296"/>
        <v>1</v>
      </c>
      <c r="I300" s="279" t="b">
        <f t="shared" si="296"/>
        <v>0</v>
      </c>
      <c r="J300" s="279" t="b">
        <f t="shared" si="296"/>
        <v>0</v>
      </c>
      <c r="K300" s="279" t="b">
        <f t="shared" si="296"/>
        <v>0</v>
      </c>
      <c r="L300" s="279" t="b">
        <f t="shared" si="296"/>
        <v>0</v>
      </c>
      <c r="M300" s="279"/>
      <c r="N300" s="279" t="b">
        <f t="shared" ref="N300:P300" si="297">AND($BG96=FALSE,AND(N198&lt;&gt;"",N198=FALSE),N96="")</f>
        <v>0</v>
      </c>
      <c r="O300" s="279" t="b">
        <f t="shared" si="297"/>
        <v>0</v>
      </c>
      <c r="P300" s="279" t="b">
        <f t="shared" si="297"/>
        <v>1</v>
      </c>
      <c r="Q300" s="279" t="b">
        <f t="shared" si="285"/>
        <v>1</v>
      </c>
      <c r="AB300" s="279" t="b">
        <f t="shared" si="285"/>
        <v>1</v>
      </c>
      <c r="AC300" s="279" t="b">
        <f t="shared" si="285"/>
        <v>1</v>
      </c>
      <c r="AD300" s="279" t="b">
        <f t="shared" si="285"/>
        <v>1</v>
      </c>
      <c r="AE300" s="279" t="b">
        <f t="shared" si="285"/>
        <v>1</v>
      </c>
      <c r="AF300" s="279" t="b">
        <f t="shared" si="285"/>
        <v>1</v>
      </c>
      <c r="AG300" s="279" t="b">
        <f t="shared" si="285"/>
        <v>1</v>
      </c>
      <c r="AH300" s="279" t="b">
        <f t="shared" si="285"/>
        <v>1</v>
      </c>
      <c r="AI300" s="279" t="b">
        <f t="shared" si="285"/>
        <v>1</v>
      </c>
      <c r="AJ300" s="279" t="b">
        <f t="shared" si="285"/>
        <v>1</v>
      </c>
      <c r="AK300" s="279" t="b">
        <f t="shared" si="285"/>
        <v>1</v>
      </c>
      <c r="AL300" s="279" t="b">
        <f t="shared" si="285"/>
        <v>0</v>
      </c>
      <c r="AM300" s="279" t="b">
        <f t="shared" si="285"/>
        <v>0</v>
      </c>
      <c r="AN300" s="279" t="b">
        <f t="shared" si="285"/>
        <v>0</v>
      </c>
      <c r="AO300" s="279" t="b">
        <f t="shared" si="285"/>
        <v>0</v>
      </c>
      <c r="AP300" s="279" t="b">
        <f t="shared" si="285"/>
        <v>0</v>
      </c>
      <c r="AQ300" s="279"/>
      <c r="AR300" s="279" t="b">
        <f t="shared" ref="AR300:BA300" si="298">AND($BG96=FALSE,AND(AR198&lt;&gt;"",AR198=FALSE),AR96="")</f>
        <v>0</v>
      </c>
      <c r="AS300" s="279" t="b">
        <f t="shared" si="298"/>
        <v>0</v>
      </c>
      <c r="AT300" s="279" t="b">
        <f t="shared" si="298"/>
        <v>0</v>
      </c>
      <c r="AU300" s="279" t="b">
        <f t="shared" si="298"/>
        <v>0</v>
      </c>
      <c r="AV300" s="279" t="b">
        <f t="shared" si="298"/>
        <v>0</v>
      </c>
      <c r="AW300" s="279" t="b">
        <f t="shared" si="298"/>
        <v>0</v>
      </c>
      <c r="AX300" s="279" t="b">
        <f t="shared" si="298"/>
        <v>0</v>
      </c>
      <c r="AY300" s="279" t="b">
        <f t="shared" si="298"/>
        <v>0</v>
      </c>
      <c r="AZ300" s="279" t="b">
        <f t="shared" si="298"/>
        <v>0</v>
      </c>
      <c r="BA300" s="279" t="b">
        <f t="shared" si="298"/>
        <v>0</v>
      </c>
    </row>
    <row r="301" spans="1:53" s="275" customFormat="1" hidden="1" x14ac:dyDescent="0.35">
      <c r="A301" s="275" t="s">
        <v>3</v>
      </c>
      <c r="C301" s="275">
        <v>88</v>
      </c>
      <c r="F301" s="279" t="b">
        <f t="shared" ref="F301:L301" si="299">AND($BG97=FALSE,AND(F199&lt;&gt;"",F199=FALSE),F97="")</f>
        <v>1</v>
      </c>
      <c r="G301" s="279" t="b">
        <f t="shared" si="299"/>
        <v>0</v>
      </c>
      <c r="H301" s="279" t="b">
        <f t="shared" si="299"/>
        <v>1</v>
      </c>
      <c r="I301" s="279" t="b">
        <f t="shared" si="299"/>
        <v>0</v>
      </c>
      <c r="J301" s="279" t="b">
        <f t="shared" si="299"/>
        <v>0</v>
      </c>
      <c r="K301" s="279" t="b">
        <f t="shared" si="299"/>
        <v>0</v>
      </c>
      <c r="L301" s="279" t="b">
        <f t="shared" si="299"/>
        <v>0</v>
      </c>
      <c r="M301" s="279"/>
      <c r="N301" s="279" t="b">
        <f t="shared" ref="N301:P301" si="300">AND($BG97=FALSE,AND(N199&lt;&gt;"",N199=FALSE),N97="")</f>
        <v>0</v>
      </c>
      <c r="O301" s="279" t="b">
        <f t="shared" si="300"/>
        <v>0</v>
      </c>
      <c r="P301" s="279" t="b">
        <f t="shared" si="300"/>
        <v>1</v>
      </c>
      <c r="Q301" s="279" t="b">
        <f t="shared" si="285"/>
        <v>1</v>
      </c>
      <c r="AB301" s="279" t="b">
        <f t="shared" si="285"/>
        <v>1</v>
      </c>
      <c r="AC301" s="279" t="b">
        <f t="shared" si="285"/>
        <v>1</v>
      </c>
      <c r="AD301" s="279" t="b">
        <f t="shared" si="285"/>
        <v>1</v>
      </c>
      <c r="AE301" s="279" t="b">
        <f t="shared" si="285"/>
        <v>1</v>
      </c>
      <c r="AF301" s="279" t="b">
        <f t="shared" si="285"/>
        <v>1</v>
      </c>
      <c r="AG301" s="279" t="b">
        <f t="shared" si="285"/>
        <v>1</v>
      </c>
      <c r="AH301" s="279" t="b">
        <f t="shared" si="285"/>
        <v>1</v>
      </c>
      <c r="AI301" s="279" t="b">
        <f t="shared" si="285"/>
        <v>1</v>
      </c>
      <c r="AJ301" s="279" t="b">
        <f t="shared" si="285"/>
        <v>1</v>
      </c>
      <c r="AK301" s="279" t="b">
        <f t="shared" si="285"/>
        <v>1</v>
      </c>
      <c r="AL301" s="279" t="b">
        <f t="shared" si="285"/>
        <v>0</v>
      </c>
      <c r="AM301" s="279" t="b">
        <f t="shared" si="285"/>
        <v>0</v>
      </c>
      <c r="AN301" s="279" t="b">
        <f t="shared" si="285"/>
        <v>0</v>
      </c>
      <c r="AO301" s="279" t="b">
        <f t="shared" si="285"/>
        <v>0</v>
      </c>
      <c r="AP301" s="279" t="b">
        <f t="shared" si="285"/>
        <v>0</v>
      </c>
      <c r="AQ301" s="279"/>
      <c r="AR301" s="279" t="b">
        <f t="shared" ref="AR301:BA301" si="301">AND($BG97=FALSE,AND(AR199&lt;&gt;"",AR199=FALSE),AR97="")</f>
        <v>0</v>
      </c>
      <c r="AS301" s="279" t="b">
        <f t="shared" si="301"/>
        <v>0</v>
      </c>
      <c r="AT301" s="279" t="b">
        <f t="shared" si="301"/>
        <v>0</v>
      </c>
      <c r="AU301" s="279" t="b">
        <f t="shared" si="301"/>
        <v>0</v>
      </c>
      <c r="AV301" s="279" t="b">
        <f t="shared" si="301"/>
        <v>0</v>
      </c>
      <c r="AW301" s="279" t="b">
        <f t="shared" si="301"/>
        <v>0</v>
      </c>
      <c r="AX301" s="279" t="b">
        <f t="shared" si="301"/>
        <v>0</v>
      </c>
      <c r="AY301" s="279" t="b">
        <f t="shared" si="301"/>
        <v>0</v>
      </c>
      <c r="AZ301" s="279" t="b">
        <f t="shared" si="301"/>
        <v>0</v>
      </c>
      <c r="BA301" s="279" t="b">
        <f t="shared" si="301"/>
        <v>0</v>
      </c>
    </row>
    <row r="302" spans="1:53" s="275" customFormat="1" hidden="1" x14ac:dyDescent="0.35">
      <c r="A302" s="275" t="s">
        <v>3</v>
      </c>
      <c r="C302" s="275">
        <v>89</v>
      </c>
      <c r="F302" s="279" t="b">
        <f t="shared" ref="F302:L302" si="302">AND($BG98=FALSE,AND(F200&lt;&gt;"",F200=FALSE),F98="")</f>
        <v>1</v>
      </c>
      <c r="G302" s="279" t="b">
        <f t="shared" si="302"/>
        <v>0</v>
      </c>
      <c r="H302" s="279" t="b">
        <f t="shared" si="302"/>
        <v>1</v>
      </c>
      <c r="I302" s="279" t="b">
        <f t="shared" si="302"/>
        <v>0</v>
      </c>
      <c r="J302" s="279" t="b">
        <f t="shared" si="302"/>
        <v>0</v>
      </c>
      <c r="K302" s="279" t="b">
        <f t="shared" si="302"/>
        <v>0</v>
      </c>
      <c r="L302" s="279" t="b">
        <f t="shared" si="302"/>
        <v>0</v>
      </c>
      <c r="M302" s="279"/>
      <c r="N302" s="279" t="b">
        <f t="shared" ref="N302:P302" si="303">AND($BG98=FALSE,AND(N200&lt;&gt;"",N200=FALSE),N98="")</f>
        <v>0</v>
      </c>
      <c r="O302" s="279" t="b">
        <f t="shared" si="303"/>
        <v>0</v>
      </c>
      <c r="P302" s="279" t="b">
        <f t="shared" si="303"/>
        <v>1</v>
      </c>
      <c r="Q302" s="279" t="b">
        <f t="shared" si="285"/>
        <v>1</v>
      </c>
      <c r="AB302" s="279" t="b">
        <f t="shared" si="285"/>
        <v>1</v>
      </c>
      <c r="AC302" s="279" t="b">
        <f t="shared" si="285"/>
        <v>1</v>
      </c>
      <c r="AD302" s="279" t="b">
        <f t="shared" si="285"/>
        <v>1</v>
      </c>
      <c r="AE302" s="279" t="b">
        <f t="shared" si="285"/>
        <v>1</v>
      </c>
      <c r="AF302" s="279" t="b">
        <f t="shared" si="285"/>
        <v>1</v>
      </c>
      <c r="AG302" s="279" t="b">
        <f t="shared" si="285"/>
        <v>1</v>
      </c>
      <c r="AH302" s="279" t="b">
        <f t="shared" si="285"/>
        <v>1</v>
      </c>
      <c r="AI302" s="279" t="b">
        <f t="shared" si="285"/>
        <v>1</v>
      </c>
      <c r="AJ302" s="279" t="b">
        <f t="shared" si="285"/>
        <v>1</v>
      </c>
      <c r="AK302" s="279" t="b">
        <f t="shared" si="285"/>
        <v>1</v>
      </c>
      <c r="AL302" s="279" t="b">
        <f t="shared" si="285"/>
        <v>0</v>
      </c>
      <c r="AM302" s="279" t="b">
        <f t="shared" si="285"/>
        <v>0</v>
      </c>
      <c r="AN302" s="279" t="b">
        <f t="shared" si="285"/>
        <v>0</v>
      </c>
      <c r="AO302" s="279" t="b">
        <f t="shared" si="285"/>
        <v>0</v>
      </c>
      <c r="AP302" s="279" t="b">
        <f t="shared" si="285"/>
        <v>0</v>
      </c>
      <c r="AQ302" s="279"/>
      <c r="AR302" s="279" t="b">
        <f t="shared" ref="AR302:BA302" si="304">AND($BG98=FALSE,AND(AR200&lt;&gt;"",AR200=FALSE),AR98="")</f>
        <v>0</v>
      </c>
      <c r="AS302" s="279" t="b">
        <f t="shared" si="304"/>
        <v>0</v>
      </c>
      <c r="AT302" s="279" t="b">
        <f t="shared" si="304"/>
        <v>0</v>
      </c>
      <c r="AU302" s="279" t="b">
        <f t="shared" si="304"/>
        <v>0</v>
      </c>
      <c r="AV302" s="279" t="b">
        <f t="shared" si="304"/>
        <v>0</v>
      </c>
      <c r="AW302" s="279" t="b">
        <f t="shared" si="304"/>
        <v>0</v>
      </c>
      <c r="AX302" s="279" t="b">
        <f t="shared" si="304"/>
        <v>0</v>
      </c>
      <c r="AY302" s="279" t="b">
        <f t="shared" si="304"/>
        <v>0</v>
      </c>
      <c r="AZ302" s="279" t="b">
        <f t="shared" si="304"/>
        <v>0</v>
      </c>
      <c r="BA302" s="279" t="b">
        <f t="shared" si="304"/>
        <v>0</v>
      </c>
    </row>
    <row r="303" spans="1:53" s="275" customFormat="1" hidden="1" x14ac:dyDescent="0.35">
      <c r="A303" s="275" t="s">
        <v>3</v>
      </c>
      <c r="C303" s="275">
        <v>90</v>
      </c>
      <c r="F303" s="279" t="b">
        <f t="shared" ref="F303:L303" si="305">AND($BG99=FALSE,AND(F201&lt;&gt;"",F201=FALSE),F99="")</f>
        <v>1</v>
      </c>
      <c r="G303" s="279" t="b">
        <f t="shared" si="305"/>
        <v>0</v>
      </c>
      <c r="H303" s="279" t="b">
        <f t="shared" si="305"/>
        <v>1</v>
      </c>
      <c r="I303" s="279" t="b">
        <f t="shared" si="305"/>
        <v>0</v>
      </c>
      <c r="J303" s="279" t="b">
        <f t="shared" si="305"/>
        <v>0</v>
      </c>
      <c r="K303" s="279" t="b">
        <f t="shared" si="305"/>
        <v>0</v>
      </c>
      <c r="L303" s="279" t="b">
        <f t="shared" si="305"/>
        <v>0</v>
      </c>
      <c r="M303" s="279"/>
      <c r="N303" s="279" t="b">
        <f t="shared" ref="N303:P303" si="306">AND($BG99=FALSE,AND(N201&lt;&gt;"",N201=FALSE),N99="")</f>
        <v>0</v>
      </c>
      <c r="O303" s="279" t="b">
        <f t="shared" si="306"/>
        <v>0</v>
      </c>
      <c r="P303" s="279" t="b">
        <f t="shared" si="306"/>
        <v>1</v>
      </c>
      <c r="Q303" s="279" t="b">
        <f t="shared" si="285"/>
        <v>1</v>
      </c>
      <c r="AB303" s="279" t="b">
        <f t="shared" si="285"/>
        <v>1</v>
      </c>
      <c r="AC303" s="279" t="b">
        <f t="shared" si="285"/>
        <v>1</v>
      </c>
      <c r="AD303" s="279" t="b">
        <f t="shared" si="285"/>
        <v>1</v>
      </c>
      <c r="AE303" s="279" t="b">
        <f t="shared" si="285"/>
        <v>1</v>
      </c>
      <c r="AF303" s="279" t="b">
        <f t="shared" si="285"/>
        <v>1</v>
      </c>
      <c r="AG303" s="279" t="b">
        <f t="shared" si="285"/>
        <v>1</v>
      </c>
      <c r="AH303" s="279" t="b">
        <f t="shared" si="285"/>
        <v>1</v>
      </c>
      <c r="AI303" s="279" t="b">
        <f t="shared" si="285"/>
        <v>1</v>
      </c>
      <c r="AJ303" s="279" t="b">
        <f t="shared" si="285"/>
        <v>1</v>
      </c>
      <c r="AK303" s="279" t="b">
        <f t="shared" si="285"/>
        <v>1</v>
      </c>
      <c r="AL303" s="279" t="b">
        <f t="shared" si="285"/>
        <v>0</v>
      </c>
      <c r="AM303" s="279" t="b">
        <f t="shared" si="285"/>
        <v>0</v>
      </c>
      <c r="AN303" s="279" t="b">
        <f t="shared" si="285"/>
        <v>0</v>
      </c>
      <c r="AO303" s="279" t="b">
        <f t="shared" si="285"/>
        <v>0</v>
      </c>
      <c r="AP303" s="279" t="b">
        <f t="shared" si="285"/>
        <v>0</v>
      </c>
      <c r="AQ303" s="279"/>
      <c r="AR303" s="279" t="b">
        <f t="shared" ref="AR303:BA303" si="307">AND($BG99=FALSE,AND(AR201&lt;&gt;"",AR201=FALSE),AR99="")</f>
        <v>0</v>
      </c>
      <c r="AS303" s="279" t="b">
        <f t="shared" si="307"/>
        <v>0</v>
      </c>
      <c r="AT303" s="279" t="b">
        <f t="shared" si="307"/>
        <v>0</v>
      </c>
      <c r="AU303" s="279" t="b">
        <f t="shared" si="307"/>
        <v>0</v>
      </c>
      <c r="AV303" s="279" t="b">
        <f t="shared" si="307"/>
        <v>0</v>
      </c>
      <c r="AW303" s="279" t="b">
        <f t="shared" si="307"/>
        <v>0</v>
      </c>
      <c r="AX303" s="279" t="b">
        <f t="shared" si="307"/>
        <v>0</v>
      </c>
      <c r="AY303" s="279" t="b">
        <f t="shared" si="307"/>
        <v>0</v>
      </c>
      <c r="AZ303" s="279" t="b">
        <f t="shared" si="307"/>
        <v>0</v>
      </c>
      <c r="BA303" s="279" t="b">
        <f t="shared" si="307"/>
        <v>0</v>
      </c>
    </row>
    <row r="304" spans="1:53" s="275" customFormat="1" hidden="1" x14ac:dyDescent="0.35">
      <c r="A304" s="275" t="s">
        <v>3</v>
      </c>
      <c r="C304" s="275">
        <v>91</v>
      </c>
      <c r="F304" s="279" t="b">
        <f t="shared" ref="F304:L304" si="308">AND($BG100=FALSE,AND(F202&lt;&gt;"",F202=FALSE),F100="")</f>
        <v>1</v>
      </c>
      <c r="G304" s="279" t="b">
        <f t="shared" si="308"/>
        <v>0</v>
      </c>
      <c r="H304" s="279" t="b">
        <f t="shared" si="308"/>
        <v>1</v>
      </c>
      <c r="I304" s="279" t="b">
        <f t="shared" si="308"/>
        <v>0</v>
      </c>
      <c r="J304" s="279" t="b">
        <f t="shared" si="308"/>
        <v>0</v>
      </c>
      <c r="K304" s="279" t="b">
        <f t="shared" si="308"/>
        <v>0</v>
      </c>
      <c r="L304" s="279" t="b">
        <f t="shared" si="308"/>
        <v>0</v>
      </c>
      <c r="M304" s="279"/>
      <c r="N304" s="279" t="b">
        <f t="shared" ref="N304:P304" si="309">AND($BG100=FALSE,AND(N202&lt;&gt;"",N202=FALSE),N100="")</f>
        <v>0</v>
      </c>
      <c r="O304" s="279" t="b">
        <f t="shared" si="309"/>
        <v>0</v>
      </c>
      <c r="P304" s="279" t="b">
        <f t="shared" si="309"/>
        <v>1</v>
      </c>
      <c r="Q304" s="279" t="b">
        <f t="shared" si="285"/>
        <v>1</v>
      </c>
      <c r="AB304" s="279" t="b">
        <f t="shared" si="285"/>
        <v>1</v>
      </c>
      <c r="AC304" s="279" t="b">
        <f t="shared" si="285"/>
        <v>1</v>
      </c>
      <c r="AD304" s="279" t="b">
        <f t="shared" si="285"/>
        <v>1</v>
      </c>
      <c r="AE304" s="279" t="b">
        <f t="shared" si="285"/>
        <v>1</v>
      </c>
      <c r="AF304" s="279" t="b">
        <f t="shared" si="285"/>
        <v>1</v>
      </c>
      <c r="AG304" s="279" t="b">
        <f t="shared" si="285"/>
        <v>1</v>
      </c>
      <c r="AH304" s="279" t="b">
        <f t="shared" si="285"/>
        <v>1</v>
      </c>
      <c r="AI304" s="279" t="b">
        <f t="shared" si="285"/>
        <v>1</v>
      </c>
      <c r="AJ304" s="279" t="b">
        <f t="shared" si="285"/>
        <v>1</v>
      </c>
      <c r="AK304" s="279" t="b">
        <f t="shared" si="285"/>
        <v>1</v>
      </c>
      <c r="AL304" s="279" t="b">
        <f t="shared" si="285"/>
        <v>0</v>
      </c>
      <c r="AM304" s="279" t="b">
        <f t="shared" si="285"/>
        <v>0</v>
      </c>
      <c r="AN304" s="279" t="b">
        <f t="shared" si="285"/>
        <v>0</v>
      </c>
      <c r="AO304" s="279" t="b">
        <f t="shared" si="285"/>
        <v>0</v>
      </c>
      <c r="AP304" s="279" t="b">
        <f t="shared" si="285"/>
        <v>0</v>
      </c>
      <c r="AQ304" s="279"/>
      <c r="AR304" s="279" t="b">
        <f t="shared" ref="AR304:BA304" si="310">AND($BG100=FALSE,AND(AR202&lt;&gt;"",AR202=FALSE),AR100="")</f>
        <v>0</v>
      </c>
      <c r="AS304" s="279" t="b">
        <f t="shared" si="310"/>
        <v>0</v>
      </c>
      <c r="AT304" s="279" t="b">
        <f t="shared" si="310"/>
        <v>0</v>
      </c>
      <c r="AU304" s="279" t="b">
        <f t="shared" si="310"/>
        <v>0</v>
      </c>
      <c r="AV304" s="279" t="b">
        <f t="shared" si="310"/>
        <v>0</v>
      </c>
      <c r="AW304" s="279" t="b">
        <f t="shared" si="310"/>
        <v>0</v>
      </c>
      <c r="AX304" s="279" t="b">
        <f t="shared" si="310"/>
        <v>0</v>
      </c>
      <c r="AY304" s="279" t="b">
        <f t="shared" si="310"/>
        <v>0</v>
      </c>
      <c r="AZ304" s="279" t="b">
        <f t="shared" si="310"/>
        <v>0</v>
      </c>
      <c r="BA304" s="279" t="b">
        <f t="shared" si="310"/>
        <v>0</v>
      </c>
    </row>
    <row r="305" spans="1:53" s="275" customFormat="1" hidden="1" x14ac:dyDescent="0.35">
      <c r="A305" s="275" t="s">
        <v>3</v>
      </c>
      <c r="C305" s="275">
        <v>92</v>
      </c>
      <c r="F305" s="279" t="b">
        <f t="shared" ref="F305:L305" si="311">AND($BG101=FALSE,AND(F203&lt;&gt;"",F203=FALSE),F101="")</f>
        <v>1</v>
      </c>
      <c r="G305" s="279" t="b">
        <f t="shared" si="311"/>
        <v>0</v>
      </c>
      <c r="H305" s="279" t="b">
        <f t="shared" si="311"/>
        <v>1</v>
      </c>
      <c r="I305" s="279" t="b">
        <f t="shared" si="311"/>
        <v>0</v>
      </c>
      <c r="J305" s="279" t="b">
        <f t="shared" si="311"/>
        <v>0</v>
      </c>
      <c r="K305" s="279" t="b">
        <f t="shared" si="311"/>
        <v>0</v>
      </c>
      <c r="L305" s="279" t="b">
        <f t="shared" si="311"/>
        <v>0</v>
      </c>
      <c r="M305" s="279"/>
      <c r="N305" s="279" t="b">
        <f t="shared" ref="N305:P305" si="312">AND($BG101=FALSE,AND(N203&lt;&gt;"",N203=FALSE),N101="")</f>
        <v>0</v>
      </c>
      <c r="O305" s="279" t="b">
        <f t="shared" si="312"/>
        <v>0</v>
      </c>
      <c r="P305" s="279" t="b">
        <f t="shared" si="312"/>
        <v>1</v>
      </c>
      <c r="Q305" s="279" t="b">
        <f t="shared" si="285"/>
        <v>1</v>
      </c>
      <c r="AB305" s="279" t="b">
        <f t="shared" si="285"/>
        <v>1</v>
      </c>
      <c r="AC305" s="279" t="b">
        <f t="shared" si="285"/>
        <v>1</v>
      </c>
      <c r="AD305" s="279" t="b">
        <f t="shared" si="285"/>
        <v>1</v>
      </c>
      <c r="AE305" s="279" t="b">
        <f t="shared" si="285"/>
        <v>1</v>
      </c>
      <c r="AF305" s="279" t="b">
        <f t="shared" si="285"/>
        <v>1</v>
      </c>
      <c r="AG305" s="279" t="b">
        <f t="shared" si="285"/>
        <v>1</v>
      </c>
      <c r="AH305" s="279" t="b">
        <f t="shared" si="285"/>
        <v>1</v>
      </c>
      <c r="AI305" s="279" t="b">
        <f t="shared" ref="AI305:AP305" si="313">AND($BG101=FALSE,AND(AI203&lt;&gt;"",AI203=FALSE),AI101="")</f>
        <v>1</v>
      </c>
      <c r="AJ305" s="279" t="b">
        <f t="shared" si="313"/>
        <v>1</v>
      </c>
      <c r="AK305" s="279" t="b">
        <f t="shared" si="313"/>
        <v>1</v>
      </c>
      <c r="AL305" s="279" t="b">
        <f t="shared" si="313"/>
        <v>0</v>
      </c>
      <c r="AM305" s="279" t="b">
        <f t="shared" si="313"/>
        <v>0</v>
      </c>
      <c r="AN305" s="279" t="b">
        <f t="shared" si="313"/>
        <v>0</v>
      </c>
      <c r="AO305" s="279" t="b">
        <f t="shared" si="313"/>
        <v>0</v>
      </c>
      <c r="AP305" s="279" t="b">
        <f t="shared" si="313"/>
        <v>0</v>
      </c>
      <c r="AQ305" s="279"/>
      <c r="AR305" s="279" t="b">
        <f t="shared" ref="AR305:BA305" si="314">AND($BG101=FALSE,AND(AR203&lt;&gt;"",AR203=FALSE),AR101="")</f>
        <v>0</v>
      </c>
      <c r="AS305" s="279" t="b">
        <f t="shared" si="314"/>
        <v>0</v>
      </c>
      <c r="AT305" s="279" t="b">
        <f t="shared" si="314"/>
        <v>0</v>
      </c>
      <c r="AU305" s="279" t="b">
        <f t="shared" si="314"/>
        <v>0</v>
      </c>
      <c r="AV305" s="279" t="b">
        <f t="shared" si="314"/>
        <v>0</v>
      </c>
      <c r="AW305" s="279" t="b">
        <f t="shared" si="314"/>
        <v>0</v>
      </c>
      <c r="AX305" s="279" t="b">
        <f t="shared" si="314"/>
        <v>0</v>
      </c>
      <c r="AY305" s="279" t="b">
        <f t="shared" si="314"/>
        <v>0</v>
      </c>
      <c r="AZ305" s="279" t="b">
        <f t="shared" si="314"/>
        <v>0</v>
      </c>
      <c r="BA305" s="279" t="b">
        <f t="shared" si="314"/>
        <v>0</v>
      </c>
    </row>
    <row r="306" spans="1:53" s="275" customFormat="1" hidden="1" x14ac:dyDescent="0.35">
      <c r="A306" s="275" t="s">
        <v>3</v>
      </c>
      <c r="C306" s="275">
        <v>93</v>
      </c>
      <c r="F306" s="279" t="b">
        <f t="shared" ref="F306:L306" si="315">AND($BG102=FALSE,AND(F204&lt;&gt;"",F204=FALSE),F102="")</f>
        <v>1</v>
      </c>
      <c r="G306" s="279" t="b">
        <f t="shared" si="315"/>
        <v>0</v>
      </c>
      <c r="H306" s="279" t="b">
        <f t="shared" si="315"/>
        <v>1</v>
      </c>
      <c r="I306" s="279" t="b">
        <f t="shared" si="315"/>
        <v>0</v>
      </c>
      <c r="J306" s="279" t="b">
        <f t="shared" si="315"/>
        <v>0</v>
      </c>
      <c r="K306" s="279" t="b">
        <f t="shared" si="315"/>
        <v>0</v>
      </c>
      <c r="L306" s="279" t="b">
        <f t="shared" si="315"/>
        <v>0</v>
      </c>
      <c r="M306" s="279"/>
      <c r="N306" s="279" t="b">
        <f t="shared" ref="N306:AP313" si="316">AND($BG102=FALSE,AND(N204&lt;&gt;"",N204=FALSE),N102="")</f>
        <v>0</v>
      </c>
      <c r="O306" s="279" t="b">
        <f t="shared" si="316"/>
        <v>0</v>
      </c>
      <c r="P306" s="279" t="b">
        <f t="shared" si="316"/>
        <v>1</v>
      </c>
      <c r="Q306" s="279" t="b">
        <f t="shared" si="316"/>
        <v>1</v>
      </c>
      <c r="AB306" s="279" t="b">
        <f t="shared" si="316"/>
        <v>1</v>
      </c>
      <c r="AC306" s="279" t="b">
        <f t="shared" si="316"/>
        <v>1</v>
      </c>
      <c r="AD306" s="279" t="b">
        <f t="shared" si="316"/>
        <v>1</v>
      </c>
      <c r="AE306" s="279" t="b">
        <f t="shared" si="316"/>
        <v>1</v>
      </c>
      <c r="AF306" s="279" t="b">
        <f t="shared" si="316"/>
        <v>1</v>
      </c>
      <c r="AG306" s="279" t="b">
        <f t="shared" si="316"/>
        <v>1</v>
      </c>
      <c r="AH306" s="279" t="b">
        <f t="shared" si="316"/>
        <v>1</v>
      </c>
      <c r="AI306" s="279" t="b">
        <f t="shared" si="316"/>
        <v>1</v>
      </c>
      <c r="AJ306" s="279" t="b">
        <f t="shared" si="316"/>
        <v>1</v>
      </c>
      <c r="AK306" s="279" t="b">
        <f t="shared" si="316"/>
        <v>1</v>
      </c>
      <c r="AL306" s="279" t="b">
        <f t="shared" si="316"/>
        <v>0</v>
      </c>
      <c r="AM306" s="279" t="b">
        <f t="shared" si="316"/>
        <v>0</v>
      </c>
      <c r="AN306" s="279" t="b">
        <f t="shared" si="316"/>
        <v>0</v>
      </c>
      <c r="AO306" s="279" t="b">
        <f t="shared" si="316"/>
        <v>0</v>
      </c>
      <c r="AP306" s="279" t="b">
        <f t="shared" si="316"/>
        <v>0</v>
      </c>
      <c r="AQ306" s="279"/>
      <c r="AR306" s="279" t="b">
        <f t="shared" ref="AR306:BA306" si="317">AND($BG102=FALSE,AND(AR204&lt;&gt;"",AR204=FALSE),AR102="")</f>
        <v>0</v>
      </c>
      <c r="AS306" s="279" t="b">
        <f t="shared" si="317"/>
        <v>0</v>
      </c>
      <c r="AT306" s="279" t="b">
        <f t="shared" si="317"/>
        <v>0</v>
      </c>
      <c r="AU306" s="279" t="b">
        <f t="shared" si="317"/>
        <v>0</v>
      </c>
      <c r="AV306" s="279" t="b">
        <f t="shared" si="317"/>
        <v>0</v>
      </c>
      <c r="AW306" s="279" t="b">
        <f t="shared" si="317"/>
        <v>0</v>
      </c>
      <c r="AX306" s="279" t="b">
        <f t="shared" si="317"/>
        <v>0</v>
      </c>
      <c r="AY306" s="279" t="b">
        <f t="shared" si="317"/>
        <v>0</v>
      </c>
      <c r="AZ306" s="279" t="b">
        <f t="shared" si="317"/>
        <v>0</v>
      </c>
      <c r="BA306" s="279" t="b">
        <f t="shared" si="317"/>
        <v>0</v>
      </c>
    </row>
    <row r="307" spans="1:53" s="275" customFormat="1" hidden="1" x14ac:dyDescent="0.35">
      <c r="A307" s="275" t="s">
        <v>3</v>
      </c>
      <c r="C307" s="275">
        <v>94</v>
      </c>
      <c r="F307" s="279" t="b">
        <f t="shared" ref="F307:L307" si="318">AND($BG103=FALSE,AND(F205&lt;&gt;"",F205=FALSE),F103="")</f>
        <v>1</v>
      </c>
      <c r="G307" s="279" t="b">
        <f t="shared" si="318"/>
        <v>0</v>
      </c>
      <c r="H307" s="279" t="b">
        <f t="shared" si="318"/>
        <v>1</v>
      </c>
      <c r="I307" s="279" t="b">
        <f t="shared" si="318"/>
        <v>0</v>
      </c>
      <c r="J307" s="279" t="b">
        <f t="shared" si="318"/>
        <v>0</v>
      </c>
      <c r="K307" s="279" t="b">
        <f t="shared" si="318"/>
        <v>0</v>
      </c>
      <c r="L307" s="279" t="b">
        <f t="shared" si="318"/>
        <v>0</v>
      </c>
      <c r="M307" s="279"/>
      <c r="N307" s="279" t="b">
        <f t="shared" ref="N307:P307" si="319">AND($BG103=FALSE,AND(N205&lt;&gt;"",N205=FALSE),N103="")</f>
        <v>0</v>
      </c>
      <c r="O307" s="279" t="b">
        <f t="shared" si="319"/>
        <v>0</v>
      </c>
      <c r="P307" s="279" t="b">
        <f t="shared" si="319"/>
        <v>1</v>
      </c>
      <c r="Q307" s="279" t="b">
        <f t="shared" si="316"/>
        <v>1</v>
      </c>
      <c r="AB307" s="279" t="b">
        <f t="shared" si="316"/>
        <v>1</v>
      </c>
      <c r="AC307" s="279" t="b">
        <f t="shared" si="316"/>
        <v>1</v>
      </c>
      <c r="AD307" s="279" t="b">
        <f t="shared" si="316"/>
        <v>1</v>
      </c>
      <c r="AE307" s="279" t="b">
        <f t="shared" si="316"/>
        <v>1</v>
      </c>
      <c r="AF307" s="279" t="b">
        <f t="shared" si="316"/>
        <v>1</v>
      </c>
      <c r="AG307" s="279" t="b">
        <f t="shared" si="316"/>
        <v>1</v>
      </c>
      <c r="AH307" s="279" t="b">
        <f t="shared" si="316"/>
        <v>1</v>
      </c>
      <c r="AI307" s="279" t="b">
        <f t="shared" si="316"/>
        <v>1</v>
      </c>
      <c r="AJ307" s="279" t="b">
        <f t="shared" si="316"/>
        <v>1</v>
      </c>
      <c r="AK307" s="279" t="b">
        <f t="shared" si="316"/>
        <v>1</v>
      </c>
      <c r="AL307" s="279" t="b">
        <f t="shared" si="316"/>
        <v>0</v>
      </c>
      <c r="AM307" s="279" t="b">
        <f t="shared" si="316"/>
        <v>0</v>
      </c>
      <c r="AN307" s="279" t="b">
        <f t="shared" si="316"/>
        <v>0</v>
      </c>
      <c r="AO307" s="279" t="b">
        <f t="shared" si="316"/>
        <v>0</v>
      </c>
      <c r="AP307" s="279" t="b">
        <f t="shared" si="316"/>
        <v>0</v>
      </c>
      <c r="AQ307" s="279"/>
      <c r="AR307" s="279" t="b">
        <f t="shared" ref="AR307:BA307" si="320">AND($BG103=FALSE,AND(AR205&lt;&gt;"",AR205=FALSE),AR103="")</f>
        <v>0</v>
      </c>
      <c r="AS307" s="279" t="b">
        <f t="shared" si="320"/>
        <v>0</v>
      </c>
      <c r="AT307" s="279" t="b">
        <f t="shared" si="320"/>
        <v>0</v>
      </c>
      <c r="AU307" s="279" t="b">
        <f t="shared" si="320"/>
        <v>0</v>
      </c>
      <c r="AV307" s="279" t="b">
        <f t="shared" si="320"/>
        <v>0</v>
      </c>
      <c r="AW307" s="279" t="b">
        <f t="shared" si="320"/>
        <v>0</v>
      </c>
      <c r="AX307" s="279" t="b">
        <f t="shared" si="320"/>
        <v>0</v>
      </c>
      <c r="AY307" s="279" t="b">
        <f t="shared" si="320"/>
        <v>0</v>
      </c>
      <c r="AZ307" s="279" t="b">
        <f t="shared" si="320"/>
        <v>0</v>
      </c>
      <c r="BA307" s="279" t="b">
        <f t="shared" si="320"/>
        <v>0</v>
      </c>
    </row>
    <row r="308" spans="1:53" s="275" customFormat="1" hidden="1" x14ac:dyDescent="0.35">
      <c r="A308" s="275" t="s">
        <v>3</v>
      </c>
      <c r="C308" s="275">
        <v>95</v>
      </c>
      <c r="F308" s="279" t="b">
        <f t="shared" ref="F308:L308" si="321">AND($BG104=FALSE,AND(F206&lt;&gt;"",F206=FALSE),F104="")</f>
        <v>1</v>
      </c>
      <c r="G308" s="279" t="b">
        <f t="shared" si="321"/>
        <v>0</v>
      </c>
      <c r="H308" s="279" t="b">
        <f t="shared" si="321"/>
        <v>1</v>
      </c>
      <c r="I308" s="279" t="b">
        <f t="shared" si="321"/>
        <v>0</v>
      </c>
      <c r="J308" s="279" t="b">
        <f t="shared" si="321"/>
        <v>0</v>
      </c>
      <c r="K308" s="279" t="b">
        <f t="shared" si="321"/>
        <v>0</v>
      </c>
      <c r="L308" s="279" t="b">
        <f t="shared" si="321"/>
        <v>0</v>
      </c>
      <c r="M308" s="279"/>
      <c r="N308" s="279" t="b">
        <f t="shared" ref="N308:P308" si="322">AND($BG104=FALSE,AND(N206&lt;&gt;"",N206=FALSE),N104="")</f>
        <v>0</v>
      </c>
      <c r="O308" s="279" t="b">
        <f t="shared" si="322"/>
        <v>0</v>
      </c>
      <c r="P308" s="279" t="b">
        <f t="shared" si="322"/>
        <v>1</v>
      </c>
      <c r="Q308" s="279" t="b">
        <f t="shared" si="316"/>
        <v>1</v>
      </c>
      <c r="AB308" s="279" t="b">
        <f t="shared" si="316"/>
        <v>1</v>
      </c>
      <c r="AC308" s="279" t="b">
        <f t="shared" si="316"/>
        <v>1</v>
      </c>
      <c r="AD308" s="279" t="b">
        <f t="shared" si="316"/>
        <v>1</v>
      </c>
      <c r="AE308" s="279" t="b">
        <f t="shared" si="316"/>
        <v>1</v>
      </c>
      <c r="AF308" s="279" t="b">
        <f t="shared" si="316"/>
        <v>1</v>
      </c>
      <c r="AG308" s="279" t="b">
        <f t="shared" si="316"/>
        <v>1</v>
      </c>
      <c r="AH308" s="279" t="b">
        <f t="shared" si="316"/>
        <v>1</v>
      </c>
      <c r="AI308" s="279" t="b">
        <f t="shared" si="316"/>
        <v>1</v>
      </c>
      <c r="AJ308" s="279" t="b">
        <f t="shared" si="316"/>
        <v>1</v>
      </c>
      <c r="AK308" s="279" t="b">
        <f t="shared" si="316"/>
        <v>1</v>
      </c>
      <c r="AL308" s="279" t="b">
        <f t="shared" si="316"/>
        <v>0</v>
      </c>
      <c r="AM308" s="279" t="b">
        <f t="shared" si="316"/>
        <v>0</v>
      </c>
      <c r="AN308" s="279" t="b">
        <f t="shared" si="316"/>
        <v>0</v>
      </c>
      <c r="AO308" s="279" t="b">
        <f t="shared" si="316"/>
        <v>0</v>
      </c>
      <c r="AP308" s="279" t="b">
        <f t="shared" si="316"/>
        <v>0</v>
      </c>
      <c r="AQ308" s="279"/>
      <c r="AR308" s="279" t="b">
        <f t="shared" ref="AR308:BA308" si="323">AND($BG104=FALSE,AND(AR206&lt;&gt;"",AR206=FALSE),AR104="")</f>
        <v>0</v>
      </c>
      <c r="AS308" s="279" t="b">
        <f t="shared" si="323"/>
        <v>0</v>
      </c>
      <c r="AT308" s="279" t="b">
        <f t="shared" si="323"/>
        <v>0</v>
      </c>
      <c r="AU308" s="279" t="b">
        <f t="shared" si="323"/>
        <v>0</v>
      </c>
      <c r="AV308" s="279" t="b">
        <f t="shared" si="323"/>
        <v>0</v>
      </c>
      <c r="AW308" s="279" t="b">
        <f t="shared" si="323"/>
        <v>0</v>
      </c>
      <c r="AX308" s="279" t="b">
        <f t="shared" si="323"/>
        <v>0</v>
      </c>
      <c r="AY308" s="279" t="b">
        <f t="shared" si="323"/>
        <v>0</v>
      </c>
      <c r="AZ308" s="279" t="b">
        <f t="shared" si="323"/>
        <v>0</v>
      </c>
      <c r="BA308" s="279" t="b">
        <f t="shared" si="323"/>
        <v>0</v>
      </c>
    </row>
    <row r="309" spans="1:53" s="275" customFormat="1" hidden="1" x14ac:dyDescent="0.35">
      <c r="A309" s="275" t="s">
        <v>3</v>
      </c>
      <c r="C309" s="275">
        <v>96</v>
      </c>
      <c r="F309" s="279" t="b">
        <f t="shared" ref="F309:L309" si="324">AND($BG105=FALSE,AND(F207&lt;&gt;"",F207=FALSE),F105="")</f>
        <v>1</v>
      </c>
      <c r="G309" s="279" t="b">
        <f t="shared" si="324"/>
        <v>0</v>
      </c>
      <c r="H309" s="279" t="b">
        <f t="shared" si="324"/>
        <v>1</v>
      </c>
      <c r="I309" s="279" t="b">
        <f t="shared" si="324"/>
        <v>0</v>
      </c>
      <c r="J309" s="279" t="b">
        <f t="shared" si="324"/>
        <v>0</v>
      </c>
      <c r="K309" s="279" t="b">
        <f t="shared" si="324"/>
        <v>0</v>
      </c>
      <c r="L309" s="279" t="b">
        <f t="shared" si="324"/>
        <v>0</v>
      </c>
      <c r="M309" s="279"/>
      <c r="N309" s="279" t="b">
        <f t="shared" ref="N309:P309" si="325">AND($BG105=FALSE,AND(N207&lt;&gt;"",N207=FALSE),N105="")</f>
        <v>0</v>
      </c>
      <c r="O309" s="279" t="b">
        <f t="shared" si="325"/>
        <v>0</v>
      </c>
      <c r="P309" s="279" t="b">
        <f t="shared" si="325"/>
        <v>1</v>
      </c>
      <c r="Q309" s="279" t="b">
        <f t="shared" si="316"/>
        <v>1</v>
      </c>
      <c r="AB309" s="279" t="b">
        <f t="shared" si="316"/>
        <v>1</v>
      </c>
      <c r="AC309" s="279" t="b">
        <f t="shared" si="316"/>
        <v>1</v>
      </c>
      <c r="AD309" s="279" t="b">
        <f t="shared" si="316"/>
        <v>1</v>
      </c>
      <c r="AE309" s="279" t="b">
        <f t="shared" si="316"/>
        <v>1</v>
      </c>
      <c r="AF309" s="279" t="b">
        <f t="shared" si="316"/>
        <v>1</v>
      </c>
      <c r="AG309" s="279" t="b">
        <f t="shared" si="316"/>
        <v>1</v>
      </c>
      <c r="AH309" s="279" t="b">
        <f t="shared" si="316"/>
        <v>1</v>
      </c>
      <c r="AI309" s="279" t="b">
        <f t="shared" si="316"/>
        <v>1</v>
      </c>
      <c r="AJ309" s="279" t="b">
        <f t="shared" si="316"/>
        <v>1</v>
      </c>
      <c r="AK309" s="279" t="b">
        <f t="shared" si="316"/>
        <v>1</v>
      </c>
      <c r="AL309" s="279" t="b">
        <f t="shared" si="316"/>
        <v>0</v>
      </c>
      <c r="AM309" s="279" t="b">
        <f t="shared" si="316"/>
        <v>0</v>
      </c>
      <c r="AN309" s="279" t="b">
        <f t="shared" si="316"/>
        <v>0</v>
      </c>
      <c r="AO309" s="279" t="b">
        <f t="shared" si="316"/>
        <v>0</v>
      </c>
      <c r="AP309" s="279" t="b">
        <f t="shared" si="316"/>
        <v>0</v>
      </c>
      <c r="AQ309" s="279"/>
      <c r="AR309" s="279" t="b">
        <f t="shared" ref="AR309:BA309" si="326">AND($BG105=FALSE,AND(AR207&lt;&gt;"",AR207=FALSE),AR105="")</f>
        <v>0</v>
      </c>
      <c r="AS309" s="279" t="b">
        <f t="shared" si="326"/>
        <v>0</v>
      </c>
      <c r="AT309" s="279" t="b">
        <f t="shared" si="326"/>
        <v>0</v>
      </c>
      <c r="AU309" s="279" t="b">
        <f t="shared" si="326"/>
        <v>0</v>
      </c>
      <c r="AV309" s="279" t="b">
        <f t="shared" si="326"/>
        <v>0</v>
      </c>
      <c r="AW309" s="279" t="b">
        <f t="shared" si="326"/>
        <v>0</v>
      </c>
      <c r="AX309" s="279" t="b">
        <f t="shared" si="326"/>
        <v>0</v>
      </c>
      <c r="AY309" s="279" t="b">
        <f t="shared" si="326"/>
        <v>0</v>
      </c>
      <c r="AZ309" s="279" t="b">
        <f t="shared" si="326"/>
        <v>0</v>
      </c>
      <c r="BA309" s="279" t="b">
        <f t="shared" si="326"/>
        <v>0</v>
      </c>
    </row>
    <row r="310" spans="1:53" s="275" customFormat="1" hidden="1" x14ac:dyDescent="0.35">
      <c r="A310" s="275" t="s">
        <v>3</v>
      </c>
      <c r="C310" s="275">
        <v>97</v>
      </c>
      <c r="F310" s="279" t="b">
        <f t="shared" ref="F310:L310" si="327">AND($BG106=FALSE,AND(F208&lt;&gt;"",F208=FALSE),F106="")</f>
        <v>1</v>
      </c>
      <c r="G310" s="279" t="b">
        <f t="shared" si="327"/>
        <v>0</v>
      </c>
      <c r="H310" s="279" t="b">
        <f t="shared" si="327"/>
        <v>1</v>
      </c>
      <c r="I310" s="279" t="b">
        <f t="shared" si="327"/>
        <v>0</v>
      </c>
      <c r="J310" s="279" t="b">
        <f t="shared" si="327"/>
        <v>0</v>
      </c>
      <c r="K310" s="279" t="b">
        <f t="shared" si="327"/>
        <v>0</v>
      </c>
      <c r="L310" s="279" t="b">
        <f t="shared" si="327"/>
        <v>0</v>
      </c>
      <c r="M310" s="279"/>
      <c r="N310" s="279" t="b">
        <f t="shared" ref="N310:P310" si="328">AND($BG106=FALSE,AND(N208&lt;&gt;"",N208=FALSE),N106="")</f>
        <v>0</v>
      </c>
      <c r="O310" s="279" t="b">
        <f t="shared" si="328"/>
        <v>0</v>
      </c>
      <c r="P310" s="279" t="b">
        <f t="shared" si="328"/>
        <v>1</v>
      </c>
      <c r="Q310" s="279" t="b">
        <f t="shared" si="316"/>
        <v>1</v>
      </c>
      <c r="AB310" s="279" t="b">
        <f t="shared" si="316"/>
        <v>1</v>
      </c>
      <c r="AC310" s="279" t="b">
        <f t="shared" si="316"/>
        <v>1</v>
      </c>
      <c r="AD310" s="279" t="b">
        <f t="shared" si="316"/>
        <v>1</v>
      </c>
      <c r="AE310" s="279" t="b">
        <f t="shared" si="316"/>
        <v>1</v>
      </c>
      <c r="AF310" s="279" t="b">
        <f t="shared" si="316"/>
        <v>1</v>
      </c>
      <c r="AG310" s="279" t="b">
        <f t="shared" si="316"/>
        <v>1</v>
      </c>
      <c r="AH310" s="279" t="b">
        <f t="shared" si="316"/>
        <v>1</v>
      </c>
      <c r="AI310" s="279" t="b">
        <f t="shared" si="316"/>
        <v>1</v>
      </c>
      <c r="AJ310" s="279" t="b">
        <f t="shared" si="316"/>
        <v>1</v>
      </c>
      <c r="AK310" s="279" t="b">
        <f t="shared" si="316"/>
        <v>1</v>
      </c>
      <c r="AL310" s="279" t="b">
        <f t="shared" si="316"/>
        <v>0</v>
      </c>
      <c r="AM310" s="279" t="b">
        <f t="shared" si="316"/>
        <v>0</v>
      </c>
      <c r="AN310" s="279" t="b">
        <f t="shared" si="316"/>
        <v>0</v>
      </c>
      <c r="AO310" s="279" t="b">
        <f t="shared" si="316"/>
        <v>0</v>
      </c>
      <c r="AP310" s="279" t="b">
        <f t="shared" si="316"/>
        <v>0</v>
      </c>
      <c r="AQ310" s="279"/>
      <c r="AR310" s="279" t="b">
        <f t="shared" ref="AR310:BA310" si="329">AND($BG106=FALSE,AND(AR208&lt;&gt;"",AR208=FALSE),AR106="")</f>
        <v>0</v>
      </c>
      <c r="AS310" s="279" t="b">
        <f t="shared" si="329"/>
        <v>0</v>
      </c>
      <c r="AT310" s="279" t="b">
        <f t="shared" si="329"/>
        <v>0</v>
      </c>
      <c r="AU310" s="279" t="b">
        <f t="shared" si="329"/>
        <v>0</v>
      </c>
      <c r="AV310" s="279" t="b">
        <f t="shared" si="329"/>
        <v>0</v>
      </c>
      <c r="AW310" s="279" t="b">
        <f t="shared" si="329"/>
        <v>0</v>
      </c>
      <c r="AX310" s="279" t="b">
        <f t="shared" si="329"/>
        <v>0</v>
      </c>
      <c r="AY310" s="279" t="b">
        <f t="shared" si="329"/>
        <v>0</v>
      </c>
      <c r="AZ310" s="279" t="b">
        <f t="shared" si="329"/>
        <v>0</v>
      </c>
      <c r="BA310" s="279" t="b">
        <f t="shared" si="329"/>
        <v>0</v>
      </c>
    </row>
    <row r="311" spans="1:53" s="275" customFormat="1" hidden="1" x14ac:dyDescent="0.35">
      <c r="A311" s="275" t="s">
        <v>3</v>
      </c>
      <c r="C311" s="275">
        <v>98</v>
      </c>
      <c r="F311" s="279" t="b">
        <f t="shared" ref="F311:L311" si="330">AND($BG107=FALSE,AND(F209&lt;&gt;"",F209=FALSE),F107="")</f>
        <v>1</v>
      </c>
      <c r="G311" s="279" t="b">
        <f t="shared" si="330"/>
        <v>0</v>
      </c>
      <c r="H311" s="279" t="b">
        <f t="shared" si="330"/>
        <v>1</v>
      </c>
      <c r="I311" s="279" t="b">
        <f t="shared" si="330"/>
        <v>0</v>
      </c>
      <c r="J311" s="279" t="b">
        <f t="shared" si="330"/>
        <v>0</v>
      </c>
      <c r="K311" s="279" t="b">
        <f t="shared" si="330"/>
        <v>0</v>
      </c>
      <c r="L311" s="279" t="b">
        <f t="shared" si="330"/>
        <v>0</v>
      </c>
      <c r="M311" s="279"/>
      <c r="N311" s="279" t="b">
        <f t="shared" ref="N311:P311" si="331">AND($BG107=FALSE,AND(N209&lt;&gt;"",N209=FALSE),N107="")</f>
        <v>0</v>
      </c>
      <c r="O311" s="279" t="b">
        <f t="shared" si="331"/>
        <v>0</v>
      </c>
      <c r="P311" s="279" t="b">
        <f t="shared" si="331"/>
        <v>1</v>
      </c>
      <c r="Q311" s="279" t="b">
        <f t="shared" si="316"/>
        <v>1</v>
      </c>
      <c r="AB311" s="279" t="b">
        <f t="shared" si="316"/>
        <v>1</v>
      </c>
      <c r="AC311" s="279" t="b">
        <f t="shared" si="316"/>
        <v>1</v>
      </c>
      <c r="AD311" s="279" t="b">
        <f t="shared" si="316"/>
        <v>1</v>
      </c>
      <c r="AE311" s="279" t="b">
        <f t="shared" si="316"/>
        <v>1</v>
      </c>
      <c r="AF311" s="279" t="b">
        <f t="shared" si="316"/>
        <v>1</v>
      </c>
      <c r="AG311" s="279" t="b">
        <f t="shared" si="316"/>
        <v>1</v>
      </c>
      <c r="AH311" s="279" t="b">
        <f t="shared" si="316"/>
        <v>1</v>
      </c>
      <c r="AI311" s="279" t="b">
        <f t="shared" si="316"/>
        <v>1</v>
      </c>
      <c r="AJ311" s="279" t="b">
        <f t="shared" si="316"/>
        <v>1</v>
      </c>
      <c r="AK311" s="279" t="b">
        <f t="shared" si="316"/>
        <v>1</v>
      </c>
      <c r="AL311" s="279" t="b">
        <f t="shared" si="316"/>
        <v>0</v>
      </c>
      <c r="AM311" s="279" t="b">
        <f t="shared" si="316"/>
        <v>0</v>
      </c>
      <c r="AN311" s="279" t="b">
        <f t="shared" si="316"/>
        <v>0</v>
      </c>
      <c r="AO311" s="279" t="b">
        <f t="shared" si="316"/>
        <v>0</v>
      </c>
      <c r="AP311" s="279" t="b">
        <f t="shared" si="316"/>
        <v>0</v>
      </c>
      <c r="AQ311" s="279"/>
      <c r="AR311" s="279" t="b">
        <f t="shared" ref="AR311:BA311" si="332">AND($BG107=FALSE,AND(AR209&lt;&gt;"",AR209=FALSE),AR107="")</f>
        <v>0</v>
      </c>
      <c r="AS311" s="279" t="b">
        <f t="shared" si="332"/>
        <v>0</v>
      </c>
      <c r="AT311" s="279" t="b">
        <f t="shared" si="332"/>
        <v>0</v>
      </c>
      <c r="AU311" s="279" t="b">
        <f t="shared" si="332"/>
        <v>0</v>
      </c>
      <c r="AV311" s="279" t="b">
        <f t="shared" si="332"/>
        <v>0</v>
      </c>
      <c r="AW311" s="279" t="b">
        <f t="shared" si="332"/>
        <v>0</v>
      </c>
      <c r="AX311" s="279" t="b">
        <f t="shared" si="332"/>
        <v>0</v>
      </c>
      <c r="AY311" s="279" t="b">
        <f t="shared" si="332"/>
        <v>0</v>
      </c>
      <c r="AZ311" s="279" t="b">
        <f t="shared" si="332"/>
        <v>0</v>
      </c>
      <c r="BA311" s="279" t="b">
        <f t="shared" si="332"/>
        <v>0</v>
      </c>
    </row>
    <row r="312" spans="1:53" s="275" customFormat="1" hidden="1" x14ac:dyDescent="0.35">
      <c r="A312" s="275" t="s">
        <v>3</v>
      </c>
      <c r="C312" s="275">
        <v>99</v>
      </c>
      <c r="F312" s="279" t="b">
        <f t="shared" ref="F312:L312" si="333">AND($BG108=FALSE,AND(F210&lt;&gt;"",F210=FALSE),F108="")</f>
        <v>1</v>
      </c>
      <c r="G312" s="279" t="b">
        <f t="shared" si="333"/>
        <v>0</v>
      </c>
      <c r="H312" s="279" t="b">
        <f t="shared" si="333"/>
        <v>1</v>
      </c>
      <c r="I312" s="279" t="b">
        <f t="shared" si="333"/>
        <v>0</v>
      </c>
      <c r="J312" s="279" t="b">
        <f t="shared" si="333"/>
        <v>0</v>
      </c>
      <c r="K312" s="279" t="b">
        <f t="shared" si="333"/>
        <v>0</v>
      </c>
      <c r="L312" s="279" t="b">
        <f t="shared" si="333"/>
        <v>0</v>
      </c>
      <c r="M312" s="279"/>
      <c r="N312" s="279" t="b">
        <f t="shared" ref="N312:P312" si="334">AND($BG108=FALSE,AND(N210&lt;&gt;"",N210=FALSE),N108="")</f>
        <v>0</v>
      </c>
      <c r="O312" s="279" t="b">
        <f t="shared" si="334"/>
        <v>0</v>
      </c>
      <c r="P312" s="279" t="b">
        <f t="shared" si="334"/>
        <v>1</v>
      </c>
      <c r="Q312" s="279" t="b">
        <f t="shared" si="316"/>
        <v>1</v>
      </c>
      <c r="AB312" s="279" t="b">
        <f t="shared" si="316"/>
        <v>1</v>
      </c>
      <c r="AC312" s="279" t="b">
        <f t="shared" si="316"/>
        <v>1</v>
      </c>
      <c r="AD312" s="279" t="b">
        <f t="shared" si="316"/>
        <v>1</v>
      </c>
      <c r="AE312" s="279" t="b">
        <f t="shared" si="316"/>
        <v>1</v>
      </c>
      <c r="AF312" s="279" t="b">
        <f t="shared" si="316"/>
        <v>1</v>
      </c>
      <c r="AG312" s="279" t="b">
        <f t="shared" si="316"/>
        <v>1</v>
      </c>
      <c r="AH312" s="279" t="b">
        <f t="shared" si="316"/>
        <v>1</v>
      </c>
      <c r="AI312" s="279" t="b">
        <f t="shared" si="316"/>
        <v>1</v>
      </c>
      <c r="AJ312" s="279" t="b">
        <f t="shared" si="316"/>
        <v>1</v>
      </c>
      <c r="AK312" s="279" t="b">
        <f t="shared" si="316"/>
        <v>1</v>
      </c>
      <c r="AL312" s="279" t="b">
        <f t="shared" si="316"/>
        <v>0</v>
      </c>
      <c r="AM312" s="279" t="b">
        <f t="shared" si="316"/>
        <v>0</v>
      </c>
      <c r="AN312" s="279" t="b">
        <f t="shared" si="316"/>
        <v>0</v>
      </c>
      <c r="AO312" s="279" t="b">
        <f t="shared" si="316"/>
        <v>0</v>
      </c>
      <c r="AP312" s="279" t="b">
        <f t="shared" si="316"/>
        <v>0</v>
      </c>
      <c r="AQ312" s="279"/>
      <c r="AR312" s="279" t="b">
        <f t="shared" ref="AR312:BA312" si="335">AND($BG108=FALSE,AND(AR210&lt;&gt;"",AR210=FALSE),AR108="")</f>
        <v>0</v>
      </c>
      <c r="AS312" s="279" t="b">
        <f t="shared" si="335"/>
        <v>0</v>
      </c>
      <c r="AT312" s="279" t="b">
        <f t="shared" si="335"/>
        <v>0</v>
      </c>
      <c r="AU312" s="279" t="b">
        <f t="shared" si="335"/>
        <v>0</v>
      </c>
      <c r="AV312" s="279" t="b">
        <f t="shared" si="335"/>
        <v>0</v>
      </c>
      <c r="AW312" s="279" t="b">
        <f t="shared" si="335"/>
        <v>0</v>
      </c>
      <c r="AX312" s="279" t="b">
        <f t="shared" si="335"/>
        <v>0</v>
      </c>
      <c r="AY312" s="279" t="b">
        <f t="shared" si="335"/>
        <v>0</v>
      </c>
      <c r="AZ312" s="279" t="b">
        <f t="shared" si="335"/>
        <v>0</v>
      </c>
      <c r="BA312" s="279" t="b">
        <f t="shared" si="335"/>
        <v>0</v>
      </c>
    </row>
    <row r="313" spans="1:53" s="275" customFormat="1" hidden="1" x14ac:dyDescent="0.35">
      <c r="A313" s="275" t="s">
        <v>3</v>
      </c>
      <c r="C313" s="275">
        <v>100</v>
      </c>
      <c r="F313" s="279" t="b">
        <f t="shared" ref="F313:L313" si="336">AND($BG109=FALSE,AND(F211&lt;&gt;"",F211=FALSE),F109="")</f>
        <v>1</v>
      </c>
      <c r="G313" s="279" t="b">
        <f t="shared" si="336"/>
        <v>0</v>
      </c>
      <c r="H313" s="279" t="b">
        <f t="shared" si="336"/>
        <v>1</v>
      </c>
      <c r="I313" s="279" t="b">
        <f t="shared" si="336"/>
        <v>0</v>
      </c>
      <c r="J313" s="279" t="b">
        <f t="shared" si="336"/>
        <v>0</v>
      </c>
      <c r="K313" s="279" t="b">
        <f t="shared" si="336"/>
        <v>0</v>
      </c>
      <c r="L313" s="279" t="b">
        <f t="shared" si="336"/>
        <v>0</v>
      </c>
      <c r="M313" s="279"/>
      <c r="N313" s="279" t="b">
        <f t="shared" ref="N313:P313" si="337">AND($BG109=FALSE,AND(N211&lt;&gt;"",N211=FALSE),N109="")</f>
        <v>0</v>
      </c>
      <c r="O313" s="279" t="b">
        <f t="shared" si="337"/>
        <v>0</v>
      </c>
      <c r="P313" s="279" t="b">
        <f t="shared" si="337"/>
        <v>1</v>
      </c>
      <c r="Q313" s="279" t="b">
        <f t="shared" si="316"/>
        <v>1</v>
      </c>
      <c r="AB313" s="279" t="b">
        <f t="shared" si="316"/>
        <v>1</v>
      </c>
      <c r="AC313" s="279" t="b">
        <f t="shared" si="316"/>
        <v>1</v>
      </c>
      <c r="AD313" s="279" t="b">
        <f t="shared" si="316"/>
        <v>1</v>
      </c>
      <c r="AE313" s="279" t="b">
        <f t="shared" si="316"/>
        <v>1</v>
      </c>
      <c r="AF313" s="279" t="b">
        <f t="shared" si="316"/>
        <v>1</v>
      </c>
      <c r="AG313" s="279" t="b">
        <f t="shared" si="316"/>
        <v>1</v>
      </c>
      <c r="AH313" s="279" t="b">
        <f t="shared" si="316"/>
        <v>1</v>
      </c>
      <c r="AI313" s="279" t="b">
        <f t="shared" si="316"/>
        <v>1</v>
      </c>
      <c r="AJ313" s="279" t="b">
        <f t="shared" si="316"/>
        <v>1</v>
      </c>
      <c r="AK313" s="279" t="b">
        <f t="shared" si="316"/>
        <v>1</v>
      </c>
      <c r="AL313" s="279" t="b">
        <f t="shared" si="316"/>
        <v>0</v>
      </c>
      <c r="AM313" s="279" t="b">
        <f t="shared" si="316"/>
        <v>0</v>
      </c>
      <c r="AN313" s="279" t="b">
        <f t="shared" si="316"/>
        <v>0</v>
      </c>
      <c r="AO313" s="279" t="b">
        <f t="shared" si="316"/>
        <v>0</v>
      </c>
      <c r="AP313" s="279" t="b">
        <f t="shared" si="316"/>
        <v>0</v>
      </c>
      <c r="AQ313" s="279"/>
      <c r="AR313" s="279" t="b">
        <f t="shared" ref="AR313:BA313" si="338">AND($BG109=FALSE,AND(AR211&lt;&gt;"",AR211=FALSE),AR109="")</f>
        <v>0</v>
      </c>
      <c r="AS313" s="279" t="b">
        <f t="shared" si="338"/>
        <v>0</v>
      </c>
      <c r="AT313" s="279" t="b">
        <f t="shared" si="338"/>
        <v>0</v>
      </c>
      <c r="AU313" s="279" t="b">
        <f t="shared" si="338"/>
        <v>0</v>
      </c>
      <c r="AV313" s="279" t="b">
        <f t="shared" si="338"/>
        <v>0</v>
      </c>
      <c r="AW313" s="279" t="b">
        <f t="shared" si="338"/>
        <v>0</v>
      </c>
      <c r="AX313" s="279" t="b">
        <f t="shared" si="338"/>
        <v>0</v>
      </c>
      <c r="AY313" s="279" t="b">
        <f t="shared" si="338"/>
        <v>0</v>
      </c>
      <c r="AZ313" s="279" t="b">
        <f t="shared" si="338"/>
        <v>0</v>
      </c>
      <c r="BA313" s="279" t="b">
        <f t="shared" si="338"/>
        <v>0</v>
      </c>
    </row>
    <row r="314" spans="1:53" s="275" customFormat="1" hidden="1" x14ac:dyDescent="0.35">
      <c r="A314" s="275" t="s">
        <v>3</v>
      </c>
    </row>
  </sheetData>
  <sheetProtection sheet="1" objects="1" scenarios="1" formatCells="0" formatColumns="0" formatRows="0"/>
  <mergeCells count="14">
    <mergeCell ref="D6:G6"/>
    <mergeCell ref="AN8:AO8"/>
    <mergeCell ref="B2:D4"/>
    <mergeCell ref="E3:F3"/>
    <mergeCell ref="E2:F2"/>
    <mergeCell ref="I2:J2"/>
    <mergeCell ref="E4:F4"/>
    <mergeCell ref="I4:J4"/>
    <mergeCell ref="I3:J3"/>
    <mergeCell ref="AP8:AQ8"/>
    <mergeCell ref="AZ8:BA8"/>
    <mergeCell ref="AX8:AY8"/>
    <mergeCell ref="AV8:AW8"/>
    <mergeCell ref="AR8:AS8"/>
  </mergeCells>
  <conditionalFormatting sqref="P10:AK109">
    <cfRule type="expression" dxfId="5" priority="7">
      <formula>P112</formula>
    </cfRule>
  </conditionalFormatting>
  <conditionalFormatting sqref="B10:B109">
    <cfRule type="expression" dxfId="4" priority="5">
      <formula>$BI10=TRUE</formula>
    </cfRule>
    <cfRule type="expression" dxfId="3" priority="6">
      <formula>$BI10=CONST_NA</formula>
    </cfRule>
  </conditionalFormatting>
  <conditionalFormatting sqref="E11:BA109">
    <cfRule type="expression" dxfId="2" priority="3">
      <formula>$BG11</formula>
    </cfRule>
  </conditionalFormatting>
  <dataValidations count="9">
    <dataValidation type="list" allowBlank="1" showInputMessage="1" showErrorMessage="1" sqref="P10:P109" xr:uid="{00000000-0002-0000-0C00-000000000000}">
      <formula1>CONST_ReducingAgent</formula1>
    </dataValidation>
    <dataValidation type="decimal" allowBlank="1" showInputMessage="1" showErrorMessage="1" sqref="AD10:AK109 AA10:AB109 R10:V109 X10:Y109 AM10:AM109 AU10:AU109" xr:uid="{00000000-0002-0000-0C00-000001000000}">
      <formula1>0</formula1>
      <formula2>1</formula2>
    </dataValidation>
    <dataValidation type="list" allowBlank="1" showInputMessage="1" showErrorMessage="1" sqref="D10:D109" xr:uid="{00000000-0002-0000-0C00-000002000000}">
      <formula1>CNTR_List_ExistProdProcNames</formula1>
    </dataValidation>
    <dataValidation type="list" allowBlank="1" showInputMessage="1" showErrorMessage="1" sqref="AL10:AL109" xr:uid="{00000000-0002-0000-0C00-000003000000}">
      <formula1>CONST_CarbonPriceType</formula1>
    </dataValidation>
    <dataValidation type="list" allowBlank="1" showInputMessage="1" showErrorMessage="1" sqref="F10:F109" xr:uid="{00000000-0002-0000-0C00-000004000000}">
      <formula1>INDIRECT($BD10)</formula1>
    </dataValidation>
    <dataValidation type="list" allowBlank="1" showInputMessage="1" showErrorMessage="1" sqref="AT10:AT109" xr:uid="{00000000-0002-0000-0C00-000005000000}">
      <formula1>CONST_RebateType</formula1>
    </dataValidation>
    <dataValidation type="decimal" operator="greaterThanOrEqual" allowBlank="1" showInputMessage="1" showErrorMessage="1" sqref="AR10:AR109 AX10:AX109 W10:W109 Z10:Z109" xr:uid="{00000000-0002-0000-0C00-000006000000}">
      <formula1>0</formula1>
    </dataValidation>
    <dataValidation type="list" allowBlank="1" showInputMessage="1" showErrorMessage="1" sqref="AC10:AC109" xr:uid="{00000000-0002-0000-0C00-000007000000}">
      <formula1>CONST_TrueFalse</formula1>
    </dataValidation>
    <dataValidation type="list" allowBlank="1" showInputMessage="1" showErrorMessage="1" sqref="AP10:AP109" xr:uid="{00000000-0002-0000-0C00-000008000000}">
      <formula1>CNTR_ListCurrenciesCode</formula1>
    </dataValidation>
  </dataValidation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BG128"/>
  <sheetViews>
    <sheetView zoomScaleNormal="100" workbookViewId="0">
      <pane ySplit="2" topLeftCell="A3" activePane="bottomLeft" state="frozen"/>
      <selection activeCell="B2" sqref="B2"/>
      <selection pane="bottomLeft" activeCell="B2" sqref="B2:F2"/>
    </sheetView>
  </sheetViews>
  <sheetFormatPr defaultColWidth="11.453125" defaultRowHeight="11.5" x14ac:dyDescent="0.35"/>
  <cols>
    <col min="1" max="1" width="4.7265625" style="275" hidden="1" customWidth="1"/>
    <col min="2" max="2" width="1.7265625" style="241" customWidth="1"/>
    <col min="3" max="3" width="3.7265625" style="241" customWidth="1"/>
    <col min="4" max="5" width="20.7265625" style="241" customWidth="1"/>
    <col min="6" max="6" width="12.7265625" style="241" customWidth="1"/>
    <col min="7" max="7" width="75.7265625" style="241" customWidth="1"/>
    <col min="8" max="8" width="30.7265625" style="241" customWidth="1"/>
    <col min="9" max="53" width="12.7265625" style="241" customWidth="1"/>
    <col min="54" max="54" width="12.7265625" style="241" hidden="1" customWidth="1"/>
    <col min="55" max="59" width="11.453125" style="275" hidden="1" customWidth="1"/>
    <col min="60" max="16384" width="11.453125" style="241"/>
  </cols>
  <sheetData>
    <row r="1" spans="1:59" ht="12" hidden="1" thickBot="1" x14ac:dyDescent="0.4">
      <c r="A1" s="275" t="s">
        <v>3</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c r="AS1" s="275"/>
      <c r="AT1" s="275"/>
      <c r="AU1" s="275"/>
      <c r="AV1" s="275"/>
      <c r="AW1" s="275"/>
      <c r="AX1" s="275"/>
      <c r="AY1" s="275"/>
      <c r="AZ1" s="275"/>
      <c r="BA1" s="275"/>
      <c r="BB1" s="275" t="s">
        <v>3</v>
      </c>
      <c r="BC1" s="275" t="s">
        <v>3</v>
      </c>
      <c r="BD1" s="275" t="s">
        <v>3</v>
      </c>
      <c r="BE1" s="275" t="s">
        <v>3</v>
      </c>
      <c r="BF1" s="275" t="s">
        <v>3</v>
      </c>
      <c r="BG1" s="275" t="s">
        <v>3</v>
      </c>
    </row>
    <row r="2" spans="1:59" ht="15.75" customHeight="1" thickBot="1" x14ac:dyDescent="0.4">
      <c r="B2" s="1460" t="str">
        <f>Translations!$C$619</f>
        <v>Communication with reporting declarants</v>
      </c>
      <c r="C2" s="1461"/>
      <c r="D2" s="1461"/>
      <c r="E2" s="1461"/>
      <c r="F2" s="1462"/>
      <c r="G2" s="893" t="str">
        <f ca="1">HYPERLINK("#"&amp;ADDRESS(2,3,,,a_Contents!$U$2),a_Contents!$B$2)</f>
        <v>Table of contents</v>
      </c>
      <c r="H2" s="893" t="str">
        <f ca="1">HYPERLINK("#"&amp;ADDRESS(2,3,,,G_FurtherGuidance!$U$2),G_FurtherGuidance!$B$2)</f>
        <v>Further Guidance</v>
      </c>
      <c r="I2" s="1189" t="str">
        <f ca="1">HYPERLINK("#"&amp;ADDRESS(2,3,,,Summary_Processes!$Y$2),Summary_Processes!$Y$2)</f>
        <v>Summary_Processes</v>
      </c>
      <c r="J2" s="1190"/>
      <c r="K2" s="1189" t="str">
        <f ca="1">HYPERLINK("#"&amp;ADDRESS(2,3,,,Summary_Products!$BF$2),Summary_Products!$BF$2)</f>
        <v>Summary_Products</v>
      </c>
      <c r="L2" s="1190"/>
      <c r="BC2" s="91" t="s">
        <v>114</v>
      </c>
      <c r="BD2" s="95" t="str">
        <f>ADDRESS(ROW($B$2),COLUMN($B$2)) &amp; ":" &amp; ADDRESS(MATCH("PRINT",$BC:$BC,0),COLUMN($BA$2))</f>
        <v>$B$2:$BA$127</v>
      </c>
      <c r="BE2" s="91" t="s">
        <v>25</v>
      </c>
      <c r="BF2" s="886" t="str">
        <f ca="1">IF(ISERROR(CELL("filename",BG2)),"Summary_Communication",MID(CELL("filename",BG2),FIND("]",CELL("filename",BG2))+1,1024))</f>
        <v>Summary_Communication</v>
      </c>
    </row>
    <row r="3" spans="1:59" ht="5.15" customHeight="1" x14ac:dyDescent="0.35">
      <c r="J3" s="369"/>
      <c r="M3" s="369"/>
      <c r="N3" s="369"/>
    </row>
    <row r="4" spans="1:59" ht="5.15" customHeight="1" x14ac:dyDescent="0.3">
      <c r="C4" s="364"/>
      <c r="D4" s="1463"/>
      <c r="E4" s="1464"/>
      <c r="F4" s="1464"/>
      <c r="G4" s="1464"/>
      <c r="H4" s="1464"/>
      <c r="I4" s="1464"/>
      <c r="J4" s="1464"/>
      <c r="K4" s="1464"/>
      <c r="L4" s="1464"/>
      <c r="M4" s="1464"/>
      <c r="N4" s="369"/>
    </row>
    <row r="5" spans="1:59" ht="25.9" customHeight="1" x14ac:dyDescent="0.3">
      <c r="C5" s="364"/>
      <c r="D5" s="1469" t="str">
        <f>Translations!$C$620</f>
        <v>This sheet summarises the main information from sheets "Summary_Processes" and "Summary_Products" to be communicated to the reporting declarants importing the goods into the European Union. In contrast to previous sheets, the headers and content of the tables will always be in English language in order to avoid translation problems with reporting declarants.</v>
      </c>
      <c r="E5" s="1191"/>
      <c r="F5" s="1191"/>
      <c r="G5" s="1191"/>
      <c r="H5" s="1191"/>
      <c r="I5" s="1191"/>
      <c r="J5" s="1191"/>
      <c r="K5" s="1191"/>
      <c r="L5" s="1191"/>
      <c r="M5" s="1191"/>
      <c r="N5" s="369"/>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110"/>
      <c r="BD5" s="156"/>
      <c r="BE5" s="276"/>
      <c r="BF5" s="276"/>
      <c r="BG5" s="276"/>
    </row>
    <row r="6" spans="1:59" ht="5.15" customHeight="1" x14ac:dyDescent="0.3">
      <c r="C6" s="364"/>
      <c r="D6" s="364"/>
      <c r="E6" s="364"/>
      <c r="F6" s="364"/>
      <c r="G6" s="364"/>
      <c r="H6" s="364"/>
      <c r="I6" s="364"/>
      <c r="J6" s="364"/>
      <c r="K6" s="364"/>
      <c r="L6" s="364"/>
      <c r="M6" s="364"/>
      <c r="N6" s="369"/>
      <c r="BC6" s="1111"/>
    </row>
    <row r="7" spans="1:59" ht="5.15" customHeight="1" x14ac:dyDescent="0.35">
      <c r="J7" s="369"/>
      <c r="M7" s="369"/>
      <c r="N7" s="369"/>
      <c r="BC7" s="1111"/>
    </row>
    <row r="8" spans="1:59" ht="18" customHeight="1" x14ac:dyDescent="0.25">
      <c r="C8" s="107">
        <v>1</v>
      </c>
      <c r="D8" s="108" t="str">
        <f>Translations!$C$621</f>
        <v>Summary of the installation and production processes</v>
      </c>
      <c r="E8" s="108"/>
      <c r="F8" s="108"/>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2"/>
      <c r="BC8" s="1110" t="s">
        <v>4197</v>
      </c>
      <c r="BD8" s="156"/>
      <c r="BE8" s="276"/>
      <c r="BF8" s="276"/>
      <c r="BG8" s="276"/>
    </row>
    <row r="9" spans="1:59" ht="5.15" customHeight="1" x14ac:dyDescent="0.25">
      <c r="C9" s="93"/>
      <c r="D9" s="93"/>
      <c r="E9" s="93"/>
      <c r="F9" s="93"/>
      <c r="G9" s="93"/>
      <c r="H9" s="93"/>
      <c r="AA9" s="12"/>
      <c r="AB9" s="12"/>
      <c r="AC9" s="12"/>
      <c r="AD9" s="12"/>
      <c r="AE9" s="12"/>
      <c r="AF9" s="12"/>
      <c r="AG9" s="12"/>
      <c r="AH9" s="12"/>
      <c r="AZ9" s="12"/>
      <c r="BA9" s="12"/>
      <c r="BB9" s="12"/>
      <c r="BC9" s="1112"/>
      <c r="BD9" s="156"/>
      <c r="BE9" s="276"/>
      <c r="BF9" s="276"/>
      <c r="BG9" s="276"/>
    </row>
    <row r="10" spans="1:59" ht="12.75" customHeight="1" x14ac:dyDescent="0.25">
      <c r="C10" s="227">
        <v>1</v>
      </c>
      <c r="D10" s="227" t="str">
        <f>Translations!$C$622</f>
        <v>Installation details</v>
      </c>
      <c r="E10" s="93"/>
      <c r="F10" s="227"/>
      <c r="G10" s="227"/>
      <c r="H10" s="227">
        <v>2</v>
      </c>
      <c r="I10" s="227" t="str">
        <f>Translations!$C$623</f>
        <v>Summary of the production processes and production routes, where relevant</v>
      </c>
      <c r="J10" s="93"/>
      <c r="K10" s="227"/>
      <c r="L10" s="227"/>
      <c r="M10" s="227"/>
      <c r="N10" s="227"/>
      <c r="O10" s="227"/>
      <c r="P10" s="227"/>
      <c r="Q10" s="93"/>
      <c r="R10" s="12"/>
      <c r="S10" s="12"/>
      <c r="T10" s="12"/>
      <c r="U10" s="12"/>
      <c r="V10" s="12"/>
      <c r="W10" s="12"/>
      <c r="X10" s="12"/>
      <c r="Y10" s="12"/>
      <c r="Z10" s="227">
        <v>3</v>
      </c>
      <c r="AA10" s="227" t="str">
        <f>Translations!$C$1874</f>
        <v>Summary of emissions by monitoring methodology and data quality</v>
      </c>
      <c r="AB10" s="12"/>
      <c r="AC10" s="12"/>
      <c r="AD10" s="12"/>
      <c r="AE10" s="12"/>
      <c r="AF10" s="12"/>
      <c r="AG10" s="12"/>
      <c r="AH10" s="12"/>
      <c r="AI10" s="93"/>
      <c r="AK10" s="227">
        <v>4</v>
      </c>
      <c r="AL10" s="227" t="str">
        <f>Translations!$C$2117</f>
        <v>Further information</v>
      </c>
      <c r="AZ10" s="12"/>
      <c r="BA10" s="12"/>
      <c r="BB10" s="12"/>
      <c r="BC10" s="1110" t="s">
        <v>4196</v>
      </c>
      <c r="BD10" s="156"/>
      <c r="BE10" s="276"/>
      <c r="BF10" s="276"/>
      <c r="BG10" s="276"/>
    </row>
    <row r="11" spans="1:59" ht="51" customHeight="1" x14ac:dyDescent="0.3">
      <c r="C11" s="93"/>
      <c r="D11" s="1465" t="str">
        <f>Translations!$C$297</f>
        <v>Parameter</v>
      </c>
      <c r="E11" s="1465"/>
      <c r="F11" s="1465"/>
      <c r="G11" s="769" t="str">
        <f>Translations!$C$260</f>
        <v>Value</v>
      </c>
      <c r="H11" s="228" t="s">
        <v>135</v>
      </c>
      <c r="I11" s="426" t="str">
        <f>Translations!$C$551</f>
        <v>Aggregated good produced</v>
      </c>
      <c r="J11" s="310" t="str">
        <f>Translations!$C$109</f>
        <v>Route 1</v>
      </c>
      <c r="K11" s="310" t="str">
        <f>Translations!$C$110</f>
        <v>Route 2</v>
      </c>
      <c r="L11" s="310" t="str">
        <f>Translations!$C$111</f>
        <v>Route 3</v>
      </c>
      <c r="M11" s="310" t="str">
        <f>Translations!$C$112</f>
        <v>Route 4</v>
      </c>
      <c r="N11" s="310" t="str">
        <f>Translations!$C$113</f>
        <v>Route 5</v>
      </c>
      <c r="O11" s="310" t="str">
        <f>Translations!$C$114</f>
        <v>Route 6</v>
      </c>
      <c r="P11" s="1157"/>
      <c r="Q11" s="228" t="s">
        <v>375</v>
      </c>
      <c r="R11" s="426" t="str">
        <f>Translations!$C$120</f>
        <v>Production process</v>
      </c>
      <c r="S11" s="419" t="str">
        <f>Translations!$C$107</f>
        <v>Aggregated goods category</v>
      </c>
      <c r="T11" s="310">
        <v>1</v>
      </c>
      <c r="U11" s="310">
        <v>2</v>
      </c>
      <c r="V11" s="310">
        <v>3</v>
      </c>
      <c r="W11" s="310">
        <v>4</v>
      </c>
      <c r="X11" s="310">
        <v>5</v>
      </c>
      <c r="Y11" s="310">
        <v>6</v>
      </c>
      <c r="Z11" s="93"/>
      <c r="AA11" s="1455" t="str">
        <f>Translations!$C$1853</f>
        <v>Calculation - based (excl. PFC emissions)</v>
      </c>
      <c r="AB11" s="1455"/>
      <c r="AC11" s="1455" t="str">
        <f>Translations!$C$236</f>
        <v>Total PFC emissions</v>
      </c>
      <c r="AD11" s="1455"/>
      <c r="AE11" s="1455" t="str">
        <f>Translations!$C$1854</f>
        <v>Measurement - based</v>
      </c>
      <c r="AF11" s="1455"/>
      <c r="AG11" s="1455" t="str">
        <f>Translations!$C$638</f>
        <v>Other</v>
      </c>
      <c r="AH11" s="1455"/>
      <c r="AI11" s="93"/>
      <c r="AZ11" s="12"/>
      <c r="BA11" s="12"/>
      <c r="BB11" s="12"/>
      <c r="BC11" s="104"/>
      <c r="BD11" s="156"/>
      <c r="BE11" s="276"/>
      <c r="BF11" s="276"/>
      <c r="BG11" s="276"/>
    </row>
    <row r="12" spans="1:59" ht="12.75" customHeight="1" x14ac:dyDescent="0.3">
      <c r="C12" s="93"/>
      <c r="D12" s="133" t="str">
        <f>Translations!$C$74</f>
        <v>Name of the installation (English name):</v>
      </c>
      <c r="E12" s="133"/>
      <c r="F12" s="619"/>
      <c r="G12" s="420" t="str">
        <f>Summary_Processes!G10</f>
        <v/>
      </c>
      <c r="H12" s="770" t="str">
        <f>Summary_Processes!D21</f>
        <v>G1</v>
      </c>
      <c r="I12" s="420" t="str">
        <f>IF(Summary_Processes!E21="","",INDEX(Translations!$C:$C,MATCH(Summary_Processes!E21,Translations!$B:$B,0)))</f>
        <v/>
      </c>
      <c r="J12" s="765" t="str">
        <f>IF(Summary_Processes!G21="","",INDEX(Translations!$C:$C,MATCH(Summary_Processes!G21,Translations!$B:$B,0)))</f>
        <v/>
      </c>
      <c r="K12" s="765" t="str">
        <f>IF(Summary_Processes!H21="","",INDEX(Translations!$C:$C,MATCH(Summary_Processes!H21,Translations!$B:$B,0)))</f>
        <v/>
      </c>
      <c r="L12" s="765" t="str">
        <f>IF(Summary_Processes!I21="","",INDEX(Translations!$C:$C,MATCH(Summary_Processes!I21,Translations!$B:$B,0)))</f>
        <v/>
      </c>
      <c r="M12" s="765" t="str">
        <f>IF(Summary_Processes!J21="","",INDEX(Translations!$C:$C,MATCH(Summary_Processes!J21,Translations!$B:$B,0)))</f>
        <v/>
      </c>
      <c r="N12" s="765" t="str">
        <f>IF(Summary_Processes!K21="","",INDEX(Translations!$C:$C,MATCH(Summary_Processes!K21,Translations!$B:$B,0)))</f>
        <v/>
      </c>
      <c r="O12" s="765" t="str">
        <f>IF(Summary_Processes!L21="","",INDEX(Translations!$C:$C,MATCH(Summary_Processes!L21,Translations!$B:$B,0)))</f>
        <v/>
      </c>
      <c r="P12" s="1157"/>
      <c r="Q12" s="771" t="str">
        <f>Summary_Processes!D33</f>
        <v>P1</v>
      </c>
      <c r="R12" s="420" t="str">
        <f>Summary_Processes!E33</f>
        <v/>
      </c>
      <c r="S12" s="420" t="str">
        <f>IF(Summary_Processes!F33="","",INDEX(Translations!$C:$C,MATCH(Summary_Processes!F33,Translations!$B:$B,0)))</f>
        <v/>
      </c>
      <c r="T12" s="765" t="str">
        <f>IF(Summary_Processes!G33="","",INDEX(Translations!$C:$C,MATCH(Summary_Processes!G33,Translations!$B:$B,0)))</f>
        <v/>
      </c>
      <c r="U12" s="765" t="str">
        <f>IF(Summary_Processes!H33="","",INDEX(Translations!$C:$C,MATCH(Summary_Processes!H33,Translations!$B:$B,0)))</f>
        <v/>
      </c>
      <c r="V12" s="765" t="str">
        <f>IF(Summary_Processes!I33="","",INDEX(Translations!$C:$C,MATCH(Summary_Processes!I33,Translations!$B:$B,0)))</f>
        <v/>
      </c>
      <c r="W12" s="765" t="str">
        <f>IF(Summary_Processes!J33="","",INDEX(Translations!$C:$C,MATCH(Summary_Processes!J33,Translations!$B:$B,0)))</f>
        <v/>
      </c>
      <c r="X12" s="765" t="str">
        <f>IF(Summary_Processes!K33="","",INDEX(Translations!$C:$C,MATCH(Summary_Processes!K33,Translations!$B:$B,0)))</f>
        <v/>
      </c>
      <c r="Y12" s="765" t="str">
        <f>IF(Summary_Processes!L33="","",INDEX(Translations!$C:$C,MATCH(Summary_Processes!L33,Translations!$B:$B,0)))</f>
        <v/>
      </c>
      <c r="Z12" s="93"/>
      <c r="AA12" s="1467" t="str">
        <f>CONST_tCO2eq</f>
        <v>tCO2e</v>
      </c>
      <c r="AB12" s="1467"/>
      <c r="AC12" s="1467" t="str">
        <f>CONST_tCO2eq</f>
        <v>tCO2e</v>
      </c>
      <c r="AD12" s="1467"/>
      <c r="AE12" s="1467" t="str">
        <f>CONST_tCO2eq</f>
        <v>tCO2e</v>
      </c>
      <c r="AF12" s="1467"/>
      <c r="AG12" s="1467" t="str">
        <f>CONST_tCO2eq</f>
        <v>tCO2e</v>
      </c>
      <c r="AH12" s="1467"/>
      <c r="AI12" s="93"/>
      <c r="AL12" s="1143" t="str">
        <f>Translations!$C$2112</f>
        <v>Carbon price instrument:</v>
      </c>
      <c r="AM12" s="1466" t="str">
        <f>IF(Summary_Processes!M13="","",Summary_Processes!M13)</f>
        <v/>
      </c>
      <c r="AN12" s="1466"/>
      <c r="AO12" s="1466"/>
      <c r="AP12" s="1466"/>
      <c r="AQ12" s="1466"/>
      <c r="AR12" s="1466"/>
      <c r="AS12" s="1466"/>
      <c r="AT12" s="1466"/>
      <c r="AU12" s="1466"/>
      <c r="AV12" s="1466"/>
      <c r="AW12" s="1466"/>
      <c r="AX12" s="1466"/>
      <c r="AY12" s="1466"/>
      <c r="AZ12" s="1466"/>
      <c r="BA12" s="1466"/>
      <c r="BB12" s="12"/>
      <c r="BC12" s="104"/>
      <c r="BD12" s="156"/>
      <c r="BE12" s="276"/>
      <c r="BF12" s="276"/>
      <c r="BG12" s="276"/>
    </row>
    <row r="13" spans="1:59" ht="12.75" customHeight="1" x14ac:dyDescent="0.3">
      <c r="C13" s="93"/>
      <c r="D13" s="620" t="str">
        <f>Translations!$C$75</f>
        <v>Street, Number:</v>
      </c>
      <c r="E13" s="620"/>
      <c r="F13" s="621"/>
      <c r="G13" s="421" t="str">
        <f>Summary_Processes!G11</f>
        <v/>
      </c>
      <c r="H13" s="770" t="str">
        <f>Summary_Processes!D22</f>
        <v>G1</v>
      </c>
      <c r="I13" s="421" t="str">
        <f>IF(Summary_Processes!E22="","",INDEX(Translations!$C:$C,MATCH(Summary_Processes!E22,Translations!$B:$B,0)))</f>
        <v/>
      </c>
      <c r="J13" s="766" t="str">
        <f>IF(Summary_Processes!G22="","",INDEX(Translations!$C:$C,MATCH(Summary_Processes!G22,Translations!$B:$B,0)))</f>
        <v/>
      </c>
      <c r="K13" s="766" t="str">
        <f>IF(Summary_Processes!H22="","",INDEX(Translations!$C:$C,MATCH(Summary_Processes!H22,Translations!$B:$B,0)))</f>
        <v/>
      </c>
      <c r="L13" s="766" t="str">
        <f>IF(Summary_Processes!I22="","",INDEX(Translations!$C:$C,MATCH(Summary_Processes!I22,Translations!$B:$B,0)))</f>
        <v/>
      </c>
      <c r="M13" s="766" t="str">
        <f>IF(Summary_Processes!J22="","",INDEX(Translations!$C:$C,MATCH(Summary_Processes!J22,Translations!$B:$B,0)))</f>
        <v/>
      </c>
      <c r="N13" s="766" t="str">
        <f>IF(Summary_Processes!K22="","",INDEX(Translations!$C:$C,MATCH(Summary_Processes!K22,Translations!$B:$B,0)))</f>
        <v/>
      </c>
      <c r="O13" s="766" t="str">
        <f>IF(Summary_Processes!L22="","",INDEX(Translations!$C:$C,MATCH(Summary_Processes!L22,Translations!$B:$B,0)))</f>
        <v/>
      </c>
      <c r="P13" s="1157"/>
      <c r="Q13" s="771" t="str">
        <f>Summary_Processes!D34</f>
        <v>P2</v>
      </c>
      <c r="R13" s="421" t="str">
        <f>Summary_Processes!E34</f>
        <v/>
      </c>
      <c r="S13" s="421" t="str">
        <f>IF(Summary_Processes!F34="","",INDEX(Translations!$C:$C,MATCH(Summary_Processes!F34,Translations!$B:$B,0)))</f>
        <v/>
      </c>
      <c r="T13" s="766" t="str">
        <f>IF(Summary_Processes!G34="","",INDEX(Translations!$C:$C,MATCH(Summary_Processes!G34,Translations!$B:$B,0)))</f>
        <v/>
      </c>
      <c r="U13" s="766" t="str">
        <f>IF(Summary_Processes!H34="","",INDEX(Translations!$C:$C,MATCH(Summary_Processes!H34,Translations!$B:$B,0)))</f>
        <v/>
      </c>
      <c r="V13" s="766" t="str">
        <f>IF(Summary_Processes!I34="","",INDEX(Translations!$C:$C,MATCH(Summary_Processes!I34,Translations!$B:$B,0)))</f>
        <v/>
      </c>
      <c r="W13" s="766" t="str">
        <f>IF(Summary_Processes!J34="","",INDEX(Translations!$C:$C,MATCH(Summary_Processes!J34,Translations!$B:$B,0)))</f>
        <v/>
      </c>
      <c r="X13" s="766" t="str">
        <f>IF(Summary_Processes!K34="","",INDEX(Translations!$C:$C,MATCH(Summary_Processes!K34,Translations!$B:$B,0)))</f>
        <v/>
      </c>
      <c r="Y13" s="766" t="str">
        <f>IF(Summary_Processes!L34="","",INDEX(Translations!$C:$C,MATCH(Summary_Processes!L34,Translations!$B:$B,0)))</f>
        <v/>
      </c>
      <c r="Z13" s="93"/>
      <c r="AA13" s="1468" t="str">
        <f>'C_Emissions&amp;Energy'!H32</f>
        <v/>
      </c>
      <c r="AB13" s="1468"/>
      <c r="AC13" s="1468" t="str">
        <f>'C_Emissions&amp;Energy'!I32</f>
        <v/>
      </c>
      <c r="AD13" s="1468"/>
      <c r="AE13" s="1468" t="str">
        <f>'C_Emissions&amp;Energy'!J32</f>
        <v/>
      </c>
      <c r="AF13" s="1468"/>
      <c r="AG13" s="1468" t="str">
        <f>'C_Emissions&amp;Energy'!K32</f>
        <v/>
      </c>
      <c r="AH13" s="1468"/>
      <c r="AI13" s="93"/>
      <c r="AL13" s="1143" t="str">
        <f>Translations!$C$2114</f>
        <v>Any additional information:</v>
      </c>
      <c r="AM13" s="1466" t="str">
        <f>IF(Summary_Processes!M16="","",Summary_Processes!M16)</f>
        <v/>
      </c>
      <c r="AN13" s="1466"/>
      <c r="AO13" s="1466"/>
      <c r="AP13" s="1466"/>
      <c r="AQ13" s="1466"/>
      <c r="AR13" s="1466"/>
      <c r="AS13" s="1466"/>
      <c r="AT13" s="1466"/>
      <c r="AU13" s="1466"/>
      <c r="AV13" s="1466"/>
      <c r="AW13" s="1466"/>
      <c r="AX13" s="1466"/>
      <c r="AY13" s="1466"/>
      <c r="AZ13" s="1466"/>
      <c r="BA13" s="1466"/>
      <c r="BB13" s="12"/>
      <c r="BC13" s="104"/>
      <c r="BD13" s="156"/>
      <c r="BE13" s="276"/>
      <c r="BF13" s="276"/>
      <c r="BG13" s="276"/>
    </row>
    <row r="14" spans="1:59" ht="12.75" customHeight="1" x14ac:dyDescent="0.3">
      <c r="C14" s="93"/>
      <c r="D14" s="620" t="str">
        <f>Translations!$C$76</f>
        <v>Economic activity:</v>
      </c>
      <c r="E14" s="620"/>
      <c r="F14" s="621"/>
      <c r="G14" s="421" t="str">
        <f>Summary_Processes!G12</f>
        <v/>
      </c>
      <c r="H14" s="770" t="str">
        <f>Summary_Processes!D23</f>
        <v>G3</v>
      </c>
      <c r="I14" s="421" t="str">
        <f>IF(Summary_Processes!E23="","",INDEX(Translations!$C:$C,MATCH(Summary_Processes!E23,Translations!$B:$B,0)))</f>
        <v/>
      </c>
      <c r="J14" s="766" t="str">
        <f>IF(Summary_Processes!G23="","",INDEX(Translations!$C:$C,MATCH(Summary_Processes!G23,Translations!$B:$B,0)))</f>
        <v/>
      </c>
      <c r="K14" s="766" t="str">
        <f>IF(Summary_Processes!H23="","",INDEX(Translations!$C:$C,MATCH(Summary_Processes!H23,Translations!$B:$B,0)))</f>
        <v/>
      </c>
      <c r="L14" s="766" t="str">
        <f>IF(Summary_Processes!I23="","",INDEX(Translations!$C:$C,MATCH(Summary_Processes!I23,Translations!$B:$B,0)))</f>
        <v/>
      </c>
      <c r="M14" s="766" t="str">
        <f>IF(Summary_Processes!J23="","",INDEX(Translations!$C:$C,MATCH(Summary_Processes!J23,Translations!$B:$B,0)))</f>
        <v/>
      </c>
      <c r="N14" s="766" t="str">
        <f>IF(Summary_Processes!K23="","",INDEX(Translations!$C:$C,MATCH(Summary_Processes!K23,Translations!$B:$B,0)))</f>
        <v/>
      </c>
      <c r="O14" s="766" t="str">
        <f>IF(Summary_Processes!L23="","",INDEX(Translations!$C:$C,MATCH(Summary_Processes!L23,Translations!$B:$B,0)))</f>
        <v/>
      </c>
      <c r="P14" s="1157"/>
      <c r="Q14" s="771" t="str">
        <f>Summary_Processes!D35</f>
        <v>P3</v>
      </c>
      <c r="R14" s="421" t="str">
        <f>Summary_Processes!E35</f>
        <v/>
      </c>
      <c r="S14" s="421" t="str">
        <f>IF(Summary_Processes!F35="","",INDEX(Translations!$C:$C,MATCH(Summary_Processes!F35,Translations!$B:$B,0)))</f>
        <v/>
      </c>
      <c r="T14" s="766" t="str">
        <f>IF(Summary_Processes!G35="","",INDEX(Translations!$C:$C,MATCH(Summary_Processes!G35,Translations!$B:$B,0)))</f>
        <v/>
      </c>
      <c r="U14" s="766" t="str">
        <f>IF(Summary_Processes!H35="","",INDEX(Translations!$C:$C,MATCH(Summary_Processes!H35,Translations!$B:$B,0)))</f>
        <v/>
      </c>
      <c r="V14" s="766" t="str">
        <f>IF(Summary_Processes!I35="","",INDEX(Translations!$C:$C,MATCH(Summary_Processes!I35,Translations!$B:$B,0)))</f>
        <v/>
      </c>
      <c r="W14" s="766" t="str">
        <f>IF(Summary_Processes!J35="","",INDEX(Translations!$C:$C,MATCH(Summary_Processes!J35,Translations!$B:$B,0)))</f>
        <v/>
      </c>
      <c r="X14" s="766" t="str">
        <f>IF(Summary_Processes!K35="","",INDEX(Translations!$C:$C,MATCH(Summary_Processes!K35,Translations!$B:$B,0)))</f>
        <v/>
      </c>
      <c r="Y14" s="766" t="str">
        <f>IF(Summary_Processes!L35="","",INDEX(Translations!$C:$C,MATCH(Summary_Processes!L35,Translations!$B:$B,0)))</f>
        <v/>
      </c>
      <c r="Z14" s="93"/>
      <c r="AA14" s="93"/>
      <c r="AB14" s="93"/>
      <c r="AC14" s="93"/>
      <c r="AD14" s="93"/>
      <c r="AE14" s="93"/>
      <c r="AF14" s="93"/>
      <c r="AG14" s="93"/>
      <c r="AH14" s="93"/>
      <c r="AI14" s="93"/>
      <c r="AZ14" s="12"/>
      <c r="BA14" s="12"/>
      <c r="BB14" s="12"/>
      <c r="BC14" s="104"/>
      <c r="BD14" s="156"/>
      <c r="BE14" s="276"/>
      <c r="BF14" s="276"/>
      <c r="BG14" s="276"/>
    </row>
    <row r="15" spans="1:59" ht="12.75" customHeight="1" x14ac:dyDescent="0.3">
      <c r="C15" s="93"/>
      <c r="D15" s="620" t="str">
        <f>Translations!$C$80</f>
        <v>Country:</v>
      </c>
      <c r="E15" s="620"/>
      <c r="F15" s="621"/>
      <c r="G15" s="421" t="str">
        <f>Summary_Processes!G13</f>
        <v/>
      </c>
      <c r="H15" s="770" t="str">
        <f>Summary_Processes!D24</f>
        <v>G4</v>
      </c>
      <c r="I15" s="421" t="str">
        <f>IF(Summary_Processes!E24="","",INDEX(Translations!$C:$C,MATCH(Summary_Processes!E24,Translations!$B:$B,0)))</f>
        <v/>
      </c>
      <c r="J15" s="766" t="str">
        <f>IF(Summary_Processes!G24="","",INDEX(Translations!$C:$C,MATCH(Summary_Processes!G24,Translations!$B:$B,0)))</f>
        <v/>
      </c>
      <c r="K15" s="766" t="str">
        <f>IF(Summary_Processes!H24="","",INDEX(Translations!$C:$C,MATCH(Summary_Processes!H24,Translations!$B:$B,0)))</f>
        <v/>
      </c>
      <c r="L15" s="766" t="str">
        <f>IF(Summary_Processes!I24="","",INDEX(Translations!$C:$C,MATCH(Summary_Processes!I24,Translations!$B:$B,0)))</f>
        <v/>
      </c>
      <c r="M15" s="766" t="str">
        <f>IF(Summary_Processes!J24="","",INDEX(Translations!$C:$C,MATCH(Summary_Processes!J24,Translations!$B:$B,0)))</f>
        <v/>
      </c>
      <c r="N15" s="766" t="str">
        <f>IF(Summary_Processes!K24="","",INDEX(Translations!$C:$C,MATCH(Summary_Processes!K24,Translations!$B:$B,0)))</f>
        <v/>
      </c>
      <c r="O15" s="766" t="str">
        <f>IF(Summary_Processes!L24="","",INDEX(Translations!$C:$C,MATCH(Summary_Processes!L24,Translations!$B:$B,0)))</f>
        <v/>
      </c>
      <c r="P15" s="1157"/>
      <c r="Q15" s="771" t="str">
        <f>Summary_Processes!D36</f>
        <v>P4</v>
      </c>
      <c r="R15" s="421" t="str">
        <f>Summary_Processes!E36</f>
        <v/>
      </c>
      <c r="S15" s="421" t="str">
        <f>IF(Summary_Processes!F36="","",INDEX(Translations!$C:$C,MATCH(Summary_Processes!F36,Translations!$B:$B,0)))</f>
        <v/>
      </c>
      <c r="T15" s="766" t="str">
        <f>IF(Summary_Processes!G36="","",INDEX(Translations!$C:$C,MATCH(Summary_Processes!G36,Translations!$B:$B,0)))</f>
        <v/>
      </c>
      <c r="U15" s="766" t="str">
        <f>IF(Summary_Processes!H36="","",INDEX(Translations!$C:$C,MATCH(Summary_Processes!H36,Translations!$B:$B,0)))</f>
        <v/>
      </c>
      <c r="V15" s="766" t="str">
        <f>IF(Summary_Processes!I36="","",INDEX(Translations!$C:$C,MATCH(Summary_Processes!I36,Translations!$B:$B,0)))</f>
        <v/>
      </c>
      <c r="W15" s="766" t="str">
        <f>IF(Summary_Processes!J36="","",INDEX(Translations!$C:$C,MATCH(Summary_Processes!J36,Translations!$B:$B,0)))</f>
        <v/>
      </c>
      <c r="X15" s="766" t="str">
        <f>IF(Summary_Processes!K36="","",INDEX(Translations!$C:$C,MATCH(Summary_Processes!K36,Translations!$B:$B,0)))</f>
        <v/>
      </c>
      <c r="Y15" s="766" t="str">
        <f>IF(Summary_Processes!L36="","",INDEX(Translations!$C:$C,MATCH(Summary_Processes!L36,Translations!$B:$B,0)))</f>
        <v/>
      </c>
      <c r="Z15" s="93"/>
      <c r="AA15" s="133" t="str">
        <f>Translations!$C$624</f>
        <v>Total direct emissions during reporting period:</v>
      </c>
      <c r="AB15" s="133"/>
      <c r="AC15" s="133"/>
      <c r="AD15" s="133"/>
      <c r="AE15" s="133"/>
      <c r="AF15" s="133"/>
      <c r="AG15" s="133"/>
      <c r="AH15" s="238" t="str">
        <f>CONST_tCO2eq</f>
        <v>tCO2e</v>
      </c>
      <c r="AI15" s="231" t="str">
        <f>'C_Emissions&amp;Energy'!L27</f>
        <v/>
      </c>
      <c r="AZ15" s="12"/>
      <c r="BA15" s="12"/>
      <c r="BB15" s="12"/>
      <c r="BC15" s="104"/>
      <c r="BD15" s="156"/>
      <c r="BE15" s="276"/>
      <c r="BF15" s="276"/>
      <c r="BG15" s="276"/>
    </row>
    <row r="16" spans="1:59" ht="12.75" customHeight="1" x14ac:dyDescent="0.3">
      <c r="C16" s="93"/>
      <c r="D16" s="620" t="str">
        <f>Translations!$C$80</f>
        <v>Country:</v>
      </c>
      <c r="E16" s="620"/>
      <c r="F16" s="621"/>
      <c r="G16" s="421" t="str">
        <f>A_InstData!S26</f>
        <v/>
      </c>
      <c r="H16" s="770" t="str">
        <f>Summary_Processes!D25</f>
        <v>G5</v>
      </c>
      <c r="I16" s="421" t="str">
        <f>IF(Summary_Processes!E25="","",INDEX(Translations!$C:$C,MATCH(Summary_Processes!E25,Translations!$B:$B,0)))</f>
        <v/>
      </c>
      <c r="J16" s="766" t="str">
        <f>IF(Summary_Processes!G25="","",INDEX(Translations!$C:$C,MATCH(Summary_Processes!G25,Translations!$B:$B,0)))</f>
        <v/>
      </c>
      <c r="K16" s="766" t="str">
        <f>IF(Summary_Processes!H25="","",INDEX(Translations!$C:$C,MATCH(Summary_Processes!H25,Translations!$B:$B,0)))</f>
        <v/>
      </c>
      <c r="L16" s="766" t="str">
        <f>IF(Summary_Processes!I25="","",INDEX(Translations!$C:$C,MATCH(Summary_Processes!I25,Translations!$B:$B,0)))</f>
        <v/>
      </c>
      <c r="M16" s="766" t="str">
        <f>IF(Summary_Processes!J25="","",INDEX(Translations!$C:$C,MATCH(Summary_Processes!J25,Translations!$B:$B,0)))</f>
        <v/>
      </c>
      <c r="N16" s="766" t="str">
        <f>IF(Summary_Processes!K25="","",INDEX(Translations!$C:$C,MATCH(Summary_Processes!K25,Translations!$B:$B,0)))</f>
        <v/>
      </c>
      <c r="O16" s="766" t="str">
        <f>IF(Summary_Processes!L25="","",INDEX(Translations!$C:$C,MATCH(Summary_Processes!L25,Translations!$B:$B,0)))</f>
        <v/>
      </c>
      <c r="P16" s="1157"/>
      <c r="Q16" s="771" t="str">
        <f>Summary_Processes!D37</f>
        <v>P5</v>
      </c>
      <c r="R16" s="421" t="str">
        <f>Summary_Processes!E37</f>
        <v/>
      </c>
      <c r="S16" s="421" t="str">
        <f>IF(Summary_Processes!F37="","",INDEX(Translations!$C:$C,MATCH(Summary_Processes!F37,Translations!$B:$B,0)))</f>
        <v/>
      </c>
      <c r="T16" s="766" t="str">
        <f>IF(Summary_Processes!G37="","",INDEX(Translations!$C:$C,MATCH(Summary_Processes!G37,Translations!$B:$B,0)))</f>
        <v/>
      </c>
      <c r="U16" s="766" t="str">
        <f>IF(Summary_Processes!H37="","",INDEX(Translations!$C:$C,MATCH(Summary_Processes!H37,Translations!$B:$B,0)))</f>
        <v/>
      </c>
      <c r="V16" s="766" t="str">
        <f>IF(Summary_Processes!I37="","",INDEX(Translations!$C:$C,MATCH(Summary_Processes!I37,Translations!$B:$B,0)))</f>
        <v/>
      </c>
      <c r="W16" s="766" t="str">
        <f>IF(Summary_Processes!J37="","",INDEX(Translations!$C:$C,MATCH(Summary_Processes!J37,Translations!$B:$B,0)))</f>
        <v/>
      </c>
      <c r="X16" s="766" t="str">
        <f>IF(Summary_Processes!K37="","",INDEX(Translations!$C:$C,MATCH(Summary_Processes!K37,Translations!$B:$B,0)))</f>
        <v/>
      </c>
      <c r="Y16" s="766" t="str">
        <f>IF(Summary_Processes!L37="","",INDEX(Translations!$C:$C,MATCH(Summary_Processes!L37,Translations!$B:$B,0)))</f>
        <v/>
      </c>
      <c r="Z16" s="93"/>
      <c r="AA16" s="620" t="str">
        <f>Translations!$C$625</f>
        <v>Total indirect emissions during reporting period:</v>
      </c>
      <c r="AB16" s="620"/>
      <c r="AC16" s="620"/>
      <c r="AD16" s="620"/>
      <c r="AE16" s="620"/>
      <c r="AF16" s="620"/>
      <c r="AG16" s="620"/>
      <c r="AH16" s="626" t="str">
        <f>CONST_tCO2eq</f>
        <v>tCO2e</v>
      </c>
      <c r="AI16" s="233" t="str">
        <f>'C_Emissions&amp;Energy'!M27</f>
        <v/>
      </c>
      <c r="AZ16" s="12"/>
      <c r="BA16" s="12"/>
      <c r="BB16" s="12"/>
      <c r="BC16" s="104"/>
      <c r="BD16" s="156"/>
      <c r="BE16" s="276"/>
      <c r="BF16" s="276"/>
      <c r="BG16" s="276"/>
    </row>
    <row r="17" spans="1:59" ht="12.75" customHeight="1" x14ac:dyDescent="0.3">
      <c r="C17" s="93"/>
      <c r="D17" s="620" t="str">
        <f>Translations!$C$81</f>
        <v>UNLOCODE:</v>
      </c>
      <c r="E17" s="620"/>
      <c r="F17" s="621"/>
      <c r="G17" s="421" t="str">
        <f>Summary_Processes!G15</f>
        <v/>
      </c>
      <c r="H17" s="770" t="str">
        <f>Summary_Processes!D26</f>
        <v>G6</v>
      </c>
      <c r="I17" s="421" t="str">
        <f>IF(Summary_Processes!E26="","",INDEX(Translations!$C:$C,MATCH(Summary_Processes!E26,Translations!$B:$B,0)))</f>
        <v/>
      </c>
      <c r="J17" s="766" t="str">
        <f>IF(Summary_Processes!G26="","",INDEX(Translations!$C:$C,MATCH(Summary_Processes!G26,Translations!$B:$B,0)))</f>
        <v/>
      </c>
      <c r="K17" s="766" t="str">
        <f>IF(Summary_Processes!H26="","",INDEX(Translations!$C:$C,MATCH(Summary_Processes!H26,Translations!$B:$B,0)))</f>
        <v/>
      </c>
      <c r="L17" s="766" t="str">
        <f>IF(Summary_Processes!I26="","",INDEX(Translations!$C:$C,MATCH(Summary_Processes!I26,Translations!$B:$B,0)))</f>
        <v/>
      </c>
      <c r="M17" s="766" t="str">
        <f>IF(Summary_Processes!J26="","",INDEX(Translations!$C:$C,MATCH(Summary_Processes!J26,Translations!$B:$B,0)))</f>
        <v/>
      </c>
      <c r="N17" s="766" t="str">
        <f>IF(Summary_Processes!K26="","",INDEX(Translations!$C:$C,MATCH(Summary_Processes!K26,Translations!$B:$B,0)))</f>
        <v/>
      </c>
      <c r="O17" s="766" t="str">
        <f>IF(Summary_Processes!L26="","",INDEX(Translations!$C:$C,MATCH(Summary_Processes!L26,Translations!$B:$B,0)))</f>
        <v/>
      </c>
      <c r="P17" s="1157"/>
      <c r="Q17" s="771" t="str">
        <f>Summary_Processes!D38</f>
        <v>P6</v>
      </c>
      <c r="R17" s="421" t="str">
        <f>Summary_Processes!E38</f>
        <v/>
      </c>
      <c r="S17" s="421" t="str">
        <f>IF(Summary_Processes!F38="","",INDEX(Translations!$C:$C,MATCH(Summary_Processes!F38,Translations!$B:$B,0)))</f>
        <v/>
      </c>
      <c r="T17" s="766" t="str">
        <f>IF(Summary_Processes!G38="","",INDEX(Translations!$C:$C,MATCH(Summary_Processes!G38,Translations!$B:$B,0)))</f>
        <v/>
      </c>
      <c r="U17" s="766" t="str">
        <f>IF(Summary_Processes!H38="","",INDEX(Translations!$C:$C,MATCH(Summary_Processes!H38,Translations!$B:$B,0)))</f>
        <v/>
      </c>
      <c r="V17" s="766" t="str">
        <f>IF(Summary_Processes!I38="","",INDEX(Translations!$C:$C,MATCH(Summary_Processes!I38,Translations!$B:$B,0)))</f>
        <v/>
      </c>
      <c r="W17" s="766" t="str">
        <f>IF(Summary_Processes!J38="","",INDEX(Translations!$C:$C,MATCH(Summary_Processes!J38,Translations!$B:$B,0)))</f>
        <v/>
      </c>
      <c r="X17" s="766" t="str">
        <f>IF(Summary_Processes!K38="","",INDEX(Translations!$C:$C,MATCH(Summary_Processes!K38,Translations!$B:$B,0)))</f>
        <v/>
      </c>
      <c r="Y17" s="766" t="str">
        <f>IF(Summary_Processes!L38="","",INDEX(Translations!$C:$C,MATCH(Summary_Processes!L38,Translations!$B:$B,0)))</f>
        <v/>
      </c>
      <c r="Z17" s="93"/>
      <c r="AA17" s="136" t="str">
        <f>Translations!$C$626</f>
        <v>Total emissions during reporting period:</v>
      </c>
      <c r="AB17" s="136"/>
      <c r="AC17" s="136"/>
      <c r="AD17" s="136"/>
      <c r="AE17" s="136"/>
      <c r="AF17" s="136"/>
      <c r="AG17" s="136"/>
      <c r="AH17" s="627" t="str">
        <f>CONST_tCO2eq</f>
        <v>tCO2e</v>
      </c>
      <c r="AI17" s="235" t="str">
        <f>'C_Emissions&amp;Energy'!N27</f>
        <v/>
      </c>
      <c r="AZ17" s="12"/>
      <c r="BA17" s="12"/>
      <c r="BB17" s="12"/>
      <c r="BC17" s="104"/>
      <c r="BD17" s="156"/>
      <c r="BE17" s="276"/>
      <c r="BF17" s="276"/>
      <c r="BG17" s="276"/>
    </row>
    <row r="18" spans="1:59" ht="12.75" customHeight="1" x14ac:dyDescent="0.3">
      <c r="C18" s="93"/>
      <c r="D18" s="620" t="str">
        <f>Translations!$C$82</f>
        <v>Coordinates of the main emission source (latitude):</v>
      </c>
      <c r="E18" s="620"/>
      <c r="F18" s="621"/>
      <c r="G18" s="421" t="str">
        <f>Summary_Processes!G16</f>
        <v/>
      </c>
      <c r="H18" s="770" t="str">
        <f>Summary_Processes!D27</f>
        <v>G7</v>
      </c>
      <c r="I18" s="421" t="str">
        <f>IF(Summary_Processes!E27="","",INDEX(Translations!$C:$C,MATCH(Summary_Processes!E27,Translations!$B:$B,0)))</f>
        <v/>
      </c>
      <c r="J18" s="766" t="str">
        <f>IF(Summary_Processes!G27="","",INDEX(Translations!$C:$C,MATCH(Summary_Processes!G27,Translations!$B:$B,0)))</f>
        <v/>
      </c>
      <c r="K18" s="766" t="str">
        <f>IF(Summary_Processes!H27="","",INDEX(Translations!$C:$C,MATCH(Summary_Processes!H27,Translations!$B:$B,0)))</f>
        <v/>
      </c>
      <c r="L18" s="766" t="str">
        <f>IF(Summary_Processes!I27="","",INDEX(Translations!$C:$C,MATCH(Summary_Processes!I27,Translations!$B:$B,0)))</f>
        <v/>
      </c>
      <c r="M18" s="766" t="str">
        <f>IF(Summary_Processes!J27="","",INDEX(Translations!$C:$C,MATCH(Summary_Processes!J27,Translations!$B:$B,0)))</f>
        <v/>
      </c>
      <c r="N18" s="766" t="str">
        <f>IF(Summary_Processes!K27="","",INDEX(Translations!$C:$C,MATCH(Summary_Processes!K27,Translations!$B:$B,0)))</f>
        <v/>
      </c>
      <c r="O18" s="766" t="str">
        <f>IF(Summary_Processes!L27="","",INDEX(Translations!$C:$C,MATCH(Summary_Processes!L27,Translations!$B:$B,0)))</f>
        <v/>
      </c>
      <c r="P18" s="1157"/>
      <c r="Q18" s="771" t="str">
        <f>Summary_Processes!D39</f>
        <v>P7</v>
      </c>
      <c r="R18" s="421" t="str">
        <f>Summary_Processes!E39</f>
        <v/>
      </c>
      <c r="S18" s="421" t="str">
        <f>IF(Summary_Processes!F39="","",INDEX(Translations!$C:$C,MATCH(Summary_Processes!F39,Translations!$B:$B,0)))</f>
        <v/>
      </c>
      <c r="T18" s="766" t="str">
        <f>IF(Summary_Processes!G39="","",INDEX(Translations!$C:$C,MATCH(Summary_Processes!G39,Translations!$B:$B,0)))</f>
        <v/>
      </c>
      <c r="U18" s="766" t="str">
        <f>IF(Summary_Processes!H39="","",INDEX(Translations!$C:$C,MATCH(Summary_Processes!H39,Translations!$B:$B,0)))</f>
        <v/>
      </c>
      <c r="V18" s="766" t="str">
        <f>IF(Summary_Processes!I39="","",INDEX(Translations!$C:$C,MATCH(Summary_Processes!I39,Translations!$B:$B,0)))</f>
        <v/>
      </c>
      <c r="W18" s="766" t="str">
        <f>IF(Summary_Processes!J39="","",INDEX(Translations!$C:$C,MATCH(Summary_Processes!J39,Translations!$B:$B,0)))</f>
        <v/>
      </c>
      <c r="X18" s="766" t="str">
        <f>IF(Summary_Processes!K39="","",INDEX(Translations!$C:$C,MATCH(Summary_Processes!K39,Translations!$B:$B,0)))</f>
        <v/>
      </c>
      <c r="Y18" s="766" t="str">
        <f>IF(Summary_Processes!L39="","",INDEX(Translations!$C:$C,MATCH(Summary_Processes!L39,Translations!$B:$B,0)))</f>
        <v/>
      </c>
      <c r="Z18" s="93"/>
      <c r="AA18" s="93"/>
      <c r="AB18" s="93"/>
      <c r="AC18" s="93"/>
      <c r="AD18" s="93"/>
      <c r="AE18" s="93"/>
      <c r="AF18" s="93"/>
      <c r="AG18" s="93"/>
      <c r="AH18" s="93"/>
      <c r="AI18" s="93"/>
      <c r="AZ18" s="12"/>
      <c r="BA18" s="12"/>
      <c r="BB18" s="12"/>
      <c r="BC18" s="104"/>
      <c r="BD18" s="156"/>
      <c r="BE18" s="276"/>
      <c r="BF18" s="276"/>
      <c r="BG18" s="276"/>
    </row>
    <row r="19" spans="1:59" ht="12.75" customHeight="1" x14ac:dyDescent="0.3">
      <c r="C19" s="93"/>
      <c r="D19" s="136" t="str">
        <f>Translations!$C$83</f>
        <v>Coordinates of the main emission source (longitude):</v>
      </c>
      <c r="E19" s="136"/>
      <c r="F19" s="622"/>
      <c r="G19" s="422" t="str">
        <f>Summary_Processes!G17</f>
        <v/>
      </c>
      <c r="H19" s="770" t="str">
        <f>Summary_Processes!D28</f>
        <v>G8</v>
      </c>
      <c r="I19" s="421" t="str">
        <f>IF(Summary_Processes!E28="","",INDEX(Translations!$C:$C,MATCH(Summary_Processes!E28,Translations!$B:$B,0)))</f>
        <v/>
      </c>
      <c r="J19" s="766" t="str">
        <f>IF(Summary_Processes!G28="","",INDEX(Translations!$C:$C,MATCH(Summary_Processes!G28,Translations!$B:$B,0)))</f>
        <v/>
      </c>
      <c r="K19" s="766" t="str">
        <f>IF(Summary_Processes!H28="","",INDEX(Translations!$C:$C,MATCH(Summary_Processes!H28,Translations!$B:$B,0)))</f>
        <v/>
      </c>
      <c r="L19" s="766" t="str">
        <f>IF(Summary_Processes!I28="","",INDEX(Translations!$C:$C,MATCH(Summary_Processes!I28,Translations!$B:$B,0)))</f>
        <v/>
      </c>
      <c r="M19" s="766" t="str">
        <f>IF(Summary_Processes!J28="","",INDEX(Translations!$C:$C,MATCH(Summary_Processes!J28,Translations!$B:$B,0)))</f>
        <v/>
      </c>
      <c r="N19" s="766" t="str">
        <f>IF(Summary_Processes!K28="","",INDEX(Translations!$C:$C,MATCH(Summary_Processes!K28,Translations!$B:$B,0)))</f>
        <v/>
      </c>
      <c r="O19" s="766" t="str">
        <f>IF(Summary_Processes!L28="","",INDEX(Translations!$C:$C,MATCH(Summary_Processes!L28,Translations!$B:$B,0)))</f>
        <v/>
      </c>
      <c r="P19" s="1157"/>
      <c r="Q19" s="771" t="str">
        <f>Summary_Processes!D40</f>
        <v>P8</v>
      </c>
      <c r="R19" s="421" t="str">
        <f>Summary_Processes!E40</f>
        <v/>
      </c>
      <c r="S19" s="421" t="str">
        <f>IF(Summary_Processes!F40="","",INDEX(Translations!$C:$C,MATCH(Summary_Processes!F40,Translations!$B:$B,0)))</f>
        <v/>
      </c>
      <c r="T19" s="766" t="str">
        <f>IF(Summary_Processes!G40="","",INDEX(Translations!$C:$C,MATCH(Summary_Processes!G40,Translations!$B:$B,0)))</f>
        <v/>
      </c>
      <c r="U19" s="766" t="str">
        <f>IF(Summary_Processes!H40="","",INDEX(Translations!$C:$C,MATCH(Summary_Processes!H40,Translations!$B:$B,0)))</f>
        <v/>
      </c>
      <c r="V19" s="766" t="str">
        <f>IF(Summary_Processes!I40="","",INDEX(Translations!$C:$C,MATCH(Summary_Processes!I40,Translations!$B:$B,0)))</f>
        <v/>
      </c>
      <c r="W19" s="766" t="str">
        <f>IF(Summary_Processes!J40="","",INDEX(Translations!$C:$C,MATCH(Summary_Processes!J40,Translations!$B:$B,0)))</f>
        <v/>
      </c>
      <c r="X19" s="766" t="str">
        <f>IF(Summary_Processes!K40="","",INDEX(Translations!$C:$C,MATCH(Summary_Processes!K40,Translations!$B:$B,0)))</f>
        <v/>
      </c>
      <c r="Y19" s="766" t="str">
        <f>IF(Summary_Processes!L40="","",INDEX(Translations!$C:$C,MATCH(Summary_Processes!L40,Translations!$B:$B,0)))</f>
        <v/>
      </c>
      <c r="Z19" s="93"/>
      <c r="AA19" s="170" t="str">
        <f>Translations!$C$1856</f>
        <v>General information on data quality:</v>
      </c>
      <c r="AB19" s="772"/>
      <c r="AC19" s="773"/>
      <c r="AD19" s="699" t="str">
        <f>IF('C_Emissions&amp;Energy'!H40="","",INDEX(Translations!$C:$C,MATCH('C_Emissions&amp;Energy'!H40,Translations!$B:$B,0)))</f>
        <v/>
      </c>
      <c r="AE19" s="700"/>
      <c r="AF19" s="700"/>
      <c r="AG19" s="700"/>
      <c r="AH19" s="700"/>
      <c r="AI19" s="701"/>
      <c r="AZ19" s="12"/>
      <c r="BA19" s="12"/>
      <c r="BB19" s="12"/>
      <c r="BC19" s="104"/>
      <c r="BD19" s="156"/>
      <c r="BE19" s="276"/>
      <c r="BF19" s="276"/>
      <c r="BG19" s="276"/>
    </row>
    <row r="20" spans="1:59" ht="12.75" customHeight="1" x14ac:dyDescent="0.3">
      <c r="C20" s="93"/>
      <c r="D20" s="617" t="str">
        <f>Translations!$C$548</f>
        <v>Reporting period start:</v>
      </c>
      <c r="E20" s="133"/>
      <c r="F20" s="619"/>
      <c r="G20" s="710" t="str">
        <f>Summary_Processes!L10</f>
        <v/>
      </c>
      <c r="H20" s="770" t="str">
        <f>Summary_Processes!D29</f>
        <v>G9</v>
      </c>
      <c r="I20" s="421" t="str">
        <f>IF(Summary_Processes!E29="","",INDEX(Translations!$C:$C,MATCH(Summary_Processes!E29,Translations!$B:$B,0)))</f>
        <v/>
      </c>
      <c r="J20" s="766" t="str">
        <f>IF(Summary_Processes!G29="","",INDEX(Translations!$C:$C,MATCH(Summary_Processes!G29,Translations!$B:$B,0)))</f>
        <v/>
      </c>
      <c r="K20" s="766" t="str">
        <f>IF(Summary_Processes!H29="","",INDEX(Translations!$C:$C,MATCH(Summary_Processes!H29,Translations!$B:$B,0)))</f>
        <v/>
      </c>
      <c r="L20" s="766" t="str">
        <f>IF(Summary_Processes!I29="","",INDEX(Translations!$C:$C,MATCH(Summary_Processes!I29,Translations!$B:$B,0)))</f>
        <v/>
      </c>
      <c r="M20" s="766" t="str">
        <f>IF(Summary_Processes!J29="","",INDEX(Translations!$C:$C,MATCH(Summary_Processes!J29,Translations!$B:$B,0)))</f>
        <v/>
      </c>
      <c r="N20" s="766" t="str">
        <f>IF(Summary_Processes!K29="","",INDEX(Translations!$C:$C,MATCH(Summary_Processes!K29,Translations!$B:$B,0)))</f>
        <v/>
      </c>
      <c r="O20" s="766" t="str">
        <f>IF(Summary_Processes!L29="","",INDEX(Translations!$C:$C,MATCH(Summary_Processes!L29,Translations!$B:$B,0)))</f>
        <v/>
      </c>
      <c r="P20" s="1157"/>
      <c r="Q20" s="771" t="str">
        <f>Summary_Processes!D41</f>
        <v>P9</v>
      </c>
      <c r="R20" s="421" t="str">
        <f>Summary_Processes!E41</f>
        <v/>
      </c>
      <c r="S20" s="421" t="str">
        <f>IF(Summary_Processes!F41="","",INDEX(Translations!$C:$C,MATCH(Summary_Processes!F41,Translations!$B:$B,0)))</f>
        <v/>
      </c>
      <c r="T20" s="766" t="str">
        <f>IF(Summary_Processes!G41="","",INDEX(Translations!$C:$C,MATCH(Summary_Processes!G41,Translations!$B:$B,0)))</f>
        <v/>
      </c>
      <c r="U20" s="766" t="str">
        <f>IF(Summary_Processes!H41="","",INDEX(Translations!$C:$C,MATCH(Summary_Processes!H41,Translations!$B:$B,0)))</f>
        <v/>
      </c>
      <c r="V20" s="766" t="str">
        <f>IF(Summary_Processes!I41="","",INDEX(Translations!$C:$C,MATCH(Summary_Processes!I41,Translations!$B:$B,0)))</f>
        <v/>
      </c>
      <c r="W20" s="766" t="str">
        <f>IF(Summary_Processes!J41="","",INDEX(Translations!$C:$C,MATCH(Summary_Processes!J41,Translations!$B:$B,0)))</f>
        <v/>
      </c>
      <c r="X20" s="766" t="str">
        <f>IF(Summary_Processes!K41="","",INDEX(Translations!$C:$C,MATCH(Summary_Processes!K41,Translations!$B:$B,0)))</f>
        <v/>
      </c>
      <c r="Y20" s="766" t="str">
        <f>IF(Summary_Processes!L41="","",INDEX(Translations!$C:$C,MATCH(Summary_Processes!L41,Translations!$B:$B,0)))</f>
        <v/>
      </c>
      <c r="Z20" s="93"/>
      <c r="AA20" s="170" t="str">
        <f>Translations!$C$1858</f>
        <v>Justification for use of default values (if relevant):</v>
      </c>
      <c r="AB20" s="772"/>
      <c r="AC20" s="773"/>
      <c r="AD20" s="699" t="str">
        <f>IF('C_Emissions&amp;Energy'!H41="","",INDEX(Translations!$C:$C,MATCH('C_Emissions&amp;Energy'!H41,Translations!$B:$B,0)))</f>
        <v/>
      </c>
      <c r="AE20" s="700"/>
      <c r="AF20" s="700"/>
      <c r="AG20" s="700"/>
      <c r="AH20" s="700"/>
      <c r="AI20" s="701"/>
      <c r="AZ20" s="12"/>
      <c r="BA20" s="12"/>
      <c r="BB20" s="12"/>
      <c r="BC20" s="104"/>
      <c r="BD20" s="156"/>
      <c r="BE20" s="276"/>
      <c r="BF20" s="276"/>
      <c r="BG20" s="276"/>
    </row>
    <row r="21" spans="1:59" ht="12.75" customHeight="1" x14ac:dyDescent="0.3">
      <c r="C21" s="130"/>
      <c r="D21" s="618" t="str">
        <f>Translations!$C$549</f>
        <v>Reporting period end:</v>
      </c>
      <c r="E21" s="136"/>
      <c r="F21" s="622"/>
      <c r="G21" s="711" t="str">
        <f>Summary_Processes!L11</f>
        <v/>
      </c>
      <c r="H21" s="770" t="str">
        <f>Summary_Processes!D30</f>
        <v>G10</v>
      </c>
      <c r="I21" s="422" t="str">
        <f>IF(Summary_Processes!E30="","",INDEX(Translations!$C:$C,MATCH(Summary_Processes!E30,Translations!$B:$B,0)))</f>
        <v/>
      </c>
      <c r="J21" s="767" t="str">
        <f>IF(Summary_Processes!G30="","",INDEX(Translations!$C:$C,MATCH(Summary_Processes!G30,Translations!$B:$B,0)))</f>
        <v/>
      </c>
      <c r="K21" s="767" t="str">
        <f>IF(Summary_Processes!H30="","",INDEX(Translations!$C:$C,MATCH(Summary_Processes!H30,Translations!$B:$B,0)))</f>
        <v/>
      </c>
      <c r="L21" s="767" t="str">
        <f>IF(Summary_Processes!I30="","",INDEX(Translations!$C:$C,MATCH(Summary_Processes!I30,Translations!$B:$B,0)))</f>
        <v/>
      </c>
      <c r="M21" s="767" t="str">
        <f>IF(Summary_Processes!J30="","",INDEX(Translations!$C:$C,MATCH(Summary_Processes!J30,Translations!$B:$B,0)))</f>
        <v/>
      </c>
      <c r="N21" s="767" t="str">
        <f>IF(Summary_Processes!K30="","",INDEX(Translations!$C:$C,MATCH(Summary_Processes!K30,Translations!$B:$B,0)))</f>
        <v/>
      </c>
      <c r="O21" s="767" t="str">
        <f>IF(Summary_Processes!L30="","",INDEX(Translations!$C:$C,MATCH(Summary_Processes!L30,Translations!$B:$B,0)))</f>
        <v/>
      </c>
      <c r="P21" s="1157"/>
      <c r="Q21" s="771" t="str">
        <f>Summary_Processes!D42</f>
        <v>P10</v>
      </c>
      <c r="R21" s="422" t="str">
        <f>Summary_Processes!E42</f>
        <v/>
      </c>
      <c r="S21" s="422" t="str">
        <f>IF(Summary_Processes!F42="","",INDEX(Translations!$C:$C,MATCH(Summary_Processes!F42,Translations!$B:$B,0)))</f>
        <v/>
      </c>
      <c r="T21" s="767" t="str">
        <f>IF(Summary_Processes!G42="","",INDEX(Translations!$C:$C,MATCH(Summary_Processes!G42,Translations!$B:$B,0)))</f>
        <v/>
      </c>
      <c r="U21" s="767" t="str">
        <f>IF(Summary_Processes!H42="","",INDEX(Translations!$C:$C,MATCH(Summary_Processes!H42,Translations!$B:$B,0)))</f>
        <v/>
      </c>
      <c r="V21" s="767" t="str">
        <f>IF(Summary_Processes!I42="","",INDEX(Translations!$C:$C,MATCH(Summary_Processes!I42,Translations!$B:$B,0)))</f>
        <v/>
      </c>
      <c r="W21" s="767" t="str">
        <f>IF(Summary_Processes!J42="","",INDEX(Translations!$C:$C,MATCH(Summary_Processes!J42,Translations!$B:$B,0)))</f>
        <v/>
      </c>
      <c r="X21" s="767" t="str">
        <f>IF(Summary_Processes!K42="","",INDEX(Translations!$C:$C,MATCH(Summary_Processes!K42,Translations!$B:$B,0)))</f>
        <v/>
      </c>
      <c r="Y21" s="767" t="str">
        <f>IF(Summary_Processes!L42="","",INDEX(Translations!$C:$C,MATCH(Summary_Processes!L42,Translations!$B:$B,0)))</f>
        <v/>
      </c>
      <c r="Z21" s="93"/>
      <c r="AA21" s="170" t="str">
        <f>Translations!$C$1860</f>
        <v>Information on quality assurance:</v>
      </c>
      <c r="AB21" s="772"/>
      <c r="AC21" s="773"/>
      <c r="AD21" s="699" t="str">
        <f>IF('C_Emissions&amp;Energy'!H42="","",INDEX(Translations!$C:$C,MATCH('C_Emissions&amp;Energy'!H42,Translations!$B:$B,0)))</f>
        <v/>
      </c>
      <c r="AE21" s="700"/>
      <c r="AF21" s="700"/>
      <c r="AG21" s="700"/>
      <c r="AH21" s="700"/>
      <c r="AI21" s="701"/>
      <c r="AZ21" s="12"/>
      <c r="BA21" s="12"/>
      <c r="BB21" s="12"/>
      <c r="BC21" s="104"/>
      <c r="BD21" s="156"/>
      <c r="BE21" s="276"/>
      <c r="BF21" s="276"/>
      <c r="BG21" s="276"/>
    </row>
    <row r="22" spans="1:59" ht="5.15" customHeight="1" x14ac:dyDescent="0.25">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04"/>
      <c r="BD22" s="156"/>
      <c r="BE22" s="276"/>
      <c r="BF22" s="276"/>
      <c r="BG22" s="276"/>
    </row>
    <row r="23" spans="1:59" ht="18" customHeight="1" x14ac:dyDescent="0.25">
      <c r="C23" s="107">
        <v>2</v>
      </c>
      <c r="D23" s="108" t="str">
        <f>Translations!$C$465</f>
        <v>Summary of products</v>
      </c>
      <c r="E23" s="108"/>
      <c r="F23" s="108"/>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2"/>
      <c r="BC23" s="104"/>
      <c r="BD23" s="156"/>
      <c r="BE23" s="276"/>
      <c r="BF23" s="276"/>
      <c r="BG23" s="276"/>
    </row>
    <row r="24" spans="1:59" ht="5.15" customHeight="1" x14ac:dyDescent="0.35">
      <c r="BD24" s="156"/>
      <c r="BE24" s="156"/>
      <c r="BF24" s="156"/>
      <c r="BG24" s="156"/>
    </row>
    <row r="25" spans="1:59" s="277" customFormat="1" ht="78" x14ac:dyDescent="0.3">
      <c r="A25" s="276"/>
      <c r="C25" s="130"/>
      <c r="D25" s="774" t="str">
        <f>Translations!$C$472</f>
        <v>Production process from which the products arise</v>
      </c>
      <c r="E25" s="774" t="str">
        <f>Translations!$C$603</f>
        <v>Type of aggregated good or precursor</v>
      </c>
      <c r="F25" s="775" t="str">
        <f>Translations!$C$474</f>
        <v>CN Codes</v>
      </c>
      <c r="G25" s="775" t="str">
        <f>Translations!$C$604</f>
        <v>CN Name</v>
      </c>
      <c r="H25" s="776" t="str">
        <f>Translations!$C$605</f>
        <v>Product name 
(used for communication with reporting declarant, e.g. on invoices)</v>
      </c>
      <c r="I25" s="768" t="str">
        <f>Translations!$C$570</f>
        <v>SEE (direct)</v>
      </c>
      <c r="J25" s="768" t="str">
        <f>Translations!$C$574</f>
        <v>SEE (indirect)</v>
      </c>
      <c r="K25" s="768" t="str">
        <f>Translations!$C$344</f>
        <v>SEE (total)</v>
      </c>
      <c r="L25" s="768" t="str">
        <f>Translations!$C$221</f>
        <v>Unit</v>
      </c>
      <c r="M25" s="768" t="str">
        <f>Translations!$C$1868</f>
        <v>Share of emissions by default value</v>
      </c>
      <c r="N25" s="768" t="str">
        <f>Translations!$C$606</f>
        <v>Source for electricity EF</v>
      </c>
      <c r="O25" s="768" t="str">
        <f>Translations!$C$607</f>
        <v>Embedded electricity (MWh/t)</v>
      </c>
      <c r="P25" s="1149" t="str">
        <f>Translations!$C$2125</f>
        <v>Electricity EF (tCO2/MWh)</v>
      </c>
      <c r="Q25" s="768" t="str">
        <f>Translations!$C$483</f>
        <v>The main reducing agent of the precursor, if known</v>
      </c>
      <c r="R25" s="768" t="str">
        <f>Translations!$C$485</f>
        <v>Steel mill identification number</v>
      </c>
      <c r="S25" s="768" t="str">
        <f>Translations!$C$487</f>
        <v>% Mn</v>
      </c>
      <c r="T25" s="768" t="str">
        <f>Translations!$C$489</f>
        <v>% Cr</v>
      </c>
      <c r="U25" s="768" t="str">
        <f>Translations!$C$491</f>
        <v>% Ni</v>
      </c>
      <c r="V25" s="768" t="str">
        <f>Translations!$C$493</f>
        <v>% other alloys</v>
      </c>
      <c r="W25" s="768" t="str">
        <f>Translations!$C$495</f>
        <v>% carbon</v>
      </c>
      <c r="X25" s="768" t="str">
        <f>Translations!$C$497</f>
        <v>t scrap per t steel</v>
      </c>
      <c r="Y25" s="768" t="str">
        <f>Translations!$C$499</f>
        <v>% other materials</v>
      </c>
      <c r="Z25" s="768" t="str">
        <f>Translations!$C$503</f>
        <v>% pre-consumer scrap</v>
      </c>
      <c r="AA25" s="768" t="str">
        <f>Translations!$C$501</f>
        <v>t scrap per t aluminium</v>
      </c>
      <c r="AB25" s="768" t="str">
        <f>Translations!$C$505</f>
        <v>% non-aluminium elements</v>
      </c>
      <c r="AC25" s="768" t="str">
        <f>Translations!$C$507</f>
        <v>Clinker factor</v>
      </c>
      <c r="AD25" s="768" t="str">
        <f>Translations!$C$509</f>
        <v>Calcined or not</v>
      </c>
      <c r="AE25" s="768" t="str">
        <f>Translations!$C$511</f>
        <v>Concentration, if hydrous solution</v>
      </c>
      <c r="AF25" s="768" t="str">
        <f>Translations!$C$513</f>
        <v>% nitric acid</v>
      </c>
      <c r="AG25" s="768" t="str">
        <f>Translations!$C$515</f>
        <v>% urea</v>
      </c>
      <c r="AH25" s="768" t="str">
        <f>Translations!$C$517</f>
        <v>% N contained</v>
      </c>
      <c r="AI25" s="768" t="str">
        <f>Translations!$C$519</f>
        <v>% N as ammonium (NH4+)</v>
      </c>
      <c r="AJ25" s="768" t="str">
        <f>Translations!$C$521</f>
        <v>% N as nitrate (NO3–)</v>
      </c>
      <c r="AK25" s="768" t="str">
        <f>Translations!$C$523</f>
        <v>% N as Urea</v>
      </c>
      <c r="AL25" s="768" t="str">
        <f>Translations!$C$525</f>
        <v>% N in other (organic) forms</v>
      </c>
      <c r="AM25" s="702" t="str">
        <f>Translations!$C$530</f>
        <v>Type of instrument (carbon pricing)</v>
      </c>
      <c r="AN25" s="768" t="str">
        <f>Translations!$C$532</f>
        <v>Share of total embedded emissions covered by the carbon price</v>
      </c>
      <c r="AO25" s="1453" t="str">
        <f>Translations!$C$608</f>
        <v>Embedded emissions covered by the carbon price</v>
      </c>
      <c r="AP25" s="1454"/>
      <c r="AQ25" s="768" t="str">
        <f>Translations!$C$534</f>
        <v>Currency</v>
      </c>
      <c r="AR25" s="1453" t="str">
        <f>Translations!$C$347</f>
        <v>Carbon price (CP) due (per produced t or MWh)</v>
      </c>
      <c r="AS25" s="1454"/>
      <c r="AT25" s="768" t="str">
        <f>Translations!$C$537</f>
        <v>Type of rebate</v>
      </c>
      <c r="AU25" s="768" t="str">
        <f>Translations!$C$539</f>
        <v>Share of embedded emissions covered by the rebate</v>
      </c>
      <c r="AV25" s="1453" t="str">
        <f>Translations!$C$609</f>
        <v>Embedded emissions covered by rebate</v>
      </c>
      <c r="AW25" s="1454"/>
      <c r="AX25" s="1453" t="str">
        <f>Translations!$C$1872</f>
        <v>Amount of rebate (per produced t or MWh)</v>
      </c>
      <c r="AY25" s="1454"/>
      <c r="AZ25" s="1453" t="str">
        <f>Translations!$C$353</f>
        <v>Result: Effective CP due (per produced t or MWh)</v>
      </c>
      <c r="BA25" s="1454"/>
      <c r="BC25" s="276"/>
      <c r="BD25" s="156"/>
      <c r="BE25" s="156"/>
      <c r="BF25" s="156"/>
      <c r="BG25" s="156"/>
    </row>
    <row r="26" spans="1:59" ht="12.75" customHeight="1" x14ac:dyDescent="0.25">
      <c r="B26" s="277"/>
      <c r="C26" s="777">
        <v>1</v>
      </c>
      <c r="D26" s="765" t="str">
        <f>IF(Summary_Products!D10="","",Summary_Products!D10)</f>
        <v/>
      </c>
      <c r="E26" s="420" t="str">
        <f>IF(Summary_Products!E10="","",INDEX(Translations!$C:$C,MATCH(Summary_Products!E10,Translations!$B:$B,0)))</f>
        <v/>
      </c>
      <c r="F26" s="778" t="str">
        <f>IF(Summary_Products!F10="","",Summary_Products!F10)</f>
        <v/>
      </c>
      <c r="G26" s="765" t="str">
        <f>IF(F26="","",INDEX(Parameters_CNCodes!$H$4:$H$572,MATCH(F26,CNCodes_ListKey,0)))</f>
        <v/>
      </c>
      <c r="H26" s="765" t="str">
        <f>IF(Summary_Products!H10="","",Summary_Products!H10)</f>
        <v/>
      </c>
      <c r="I26" s="779" t="str">
        <f>IF(Summary_Products!I10="","",Summary_Products!I10)</f>
        <v/>
      </c>
      <c r="J26" s="779" t="str">
        <f>IF(Summary_Products!J10="","",Summary_Products!J10)</f>
        <v/>
      </c>
      <c r="K26" s="779" t="str">
        <f>IF(Summary_Products!K10="","",Summary_Products!K10)</f>
        <v/>
      </c>
      <c r="L26" s="779" t="str">
        <f>IF(Summary_Products!L10="","",Summary_Products!L10)</f>
        <v/>
      </c>
      <c r="M26" s="780" t="str">
        <f>IF(Summary_Products!M10="","",Summary_Products!M10)</f>
        <v/>
      </c>
      <c r="N26" s="779" t="str">
        <f>IF(Summary_Products!N10="","",Summary_Products!N10)</f>
        <v/>
      </c>
      <c r="O26" s="779" t="str">
        <f>IF(Summary_Products!O10="","",Summary_Products!O10)</f>
        <v/>
      </c>
      <c r="P26" s="779" t="str">
        <f>IF(O26="","",IF(O26=0,0,J26/O26))</f>
        <v/>
      </c>
      <c r="Q26" s="155" t="str">
        <f>IF(Summary_Products!P10="","",INDEX(Translations!$C:$C,MATCH(Summary_Products!P10,Translations!$B:$B,0)))</f>
        <v/>
      </c>
      <c r="R26" s="155" t="str">
        <f>IF(Summary_Products!Q10="","",Summary_Products!Q10)</f>
        <v/>
      </c>
      <c r="S26" s="614" t="str">
        <f>IF(Summary_Products!R10="","",Summary_Products!R10)</f>
        <v/>
      </c>
      <c r="T26" s="614" t="str">
        <f>IF(Summary_Products!S10="","",Summary_Products!S10)</f>
        <v/>
      </c>
      <c r="U26" s="614" t="str">
        <f>IF(Summary_Products!T10="","",Summary_Products!T10)</f>
        <v/>
      </c>
      <c r="V26" s="614" t="str">
        <f>IF(Summary_Products!U10="","",Summary_Products!U10)</f>
        <v/>
      </c>
      <c r="W26" s="614" t="str">
        <f>IF(Summary_Products!V10="","",Summary_Products!V10)</f>
        <v/>
      </c>
      <c r="X26" s="614" t="str">
        <f>IF(Summary_Products!W10="","",Summary_Products!W10)</f>
        <v/>
      </c>
      <c r="Y26" s="614" t="str">
        <f>IF(Summary_Products!X10="","",Summary_Products!X10)</f>
        <v/>
      </c>
      <c r="Z26" s="614" t="str">
        <f>IF(Summary_Products!Y10="","",Summary_Products!Y10)</f>
        <v/>
      </c>
      <c r="AA26" s="614" t="str">
        <f>IF(Summary_Products!Z10="","",Summary_Products!Z10)</f>
        <v/>
      </c>
      <c r="AB26" s="614" t="str">
        <f>IF(Summary_Products!AA10="","",Summary_Products!AA10)</f>
        <v/>
      </c>
      <c r="AC26" s="614" t="str">
        <f>IF(Summary_Products!AB10="","",Summary_Products!AB10)</f>
        <v/>
      </c>
      <c r="AD26" s="614" t="str">
        <f>IF(Summary_Products!AC10="","",Summary_Products!AC10)</f>
        <v/>
      </c>
      <c r="AE26" s="614" t="str">
        <f>IF(Summary_Products!AD10="","",Summary_Products!AD10)</f>
        <v/>
      </c>
      <c r="AF26" s="614" t="str">
        <f>IF(Summary_Products!AE10="","",Summary_Products!AE10)</f>
        <v/>
      </c>
      <c r="AG26" s="614" t="str">
        <f>IF(Summary_Products!AF10="","",Summary_Products!AF10)</f>
        <v/>
      </c>
      <c r="AH26" s="614" t="str">
        <f>IF(Summary_Products!AG10="","",Summary_Products!AG10)</f>
        <v/>
      </c>
      <c r="AI26" s="614" t="str">
        <f>IF(Summary_Products!AH10="","",Summary_Products!AH10)</f>
        <v/>
      </c>
      <c r="AJ26" s="614" t="str">
        <f>IF(Summary_Products!AI10="","",Summary_Products!AI10)</f>
        <v/>
      </c>
      <c r="AK26" s="614" t="str">
        <f>IF(Summary_Products!AJ10="","",Summary_Products!AJ10)</f>
        <v/>
      </c>
      <c r="AL26" s="614" t="str">
        <f>IF(Summary_Products!AK10="","",Summary_Products!AK10)</f>
        <v/>
      </c>
      <c r="AM26" s="420" t="str">
        <f>IF(Summary_Products!AL10="","",INDEX(Translations!$C:$C,MATCH(Summary_Products!AL10,Translations!$B:$B,0)))</f>
        <v/>
      </c>
      <c r="AN26" s="614" t="str">
        <f>IF(Summary_Products!AM10="","",Summary_Products!AM10)</f>
        <v/>
      </c>
      <c r="AO26" s="459" t="str">
        <f>IF(Summary_Products!AN10="","",Summary_Products!AN10)</f>
        <v/>
      </c>
      <c r="AP26" s="458" t="str">
        <f>IF(Summary_Products!AO10="","",Summary_Products!AO10)</f>
        <v/>
      </c>
      <c r="AQ26" s="155" t="str">
        <f>IF(Summary_Products!AP10="","",Summary_Products!AP10)</f>
        <v/>
      </c>
      <c r="AR26" s="460" t="str">
        <f>IF(Summary_Products!AR10="","",Summary_Products!AR10)</f>
        <v/>
      </c>
      <c r="AS26" s="457" t="str">
        <f>IF(Summary_Products!AS10="","",Summary_Products!AS10)</f>
        <v/>
      </c>
      <c r="AT26" s="420" t="str">
        <f>IF(Summary_Products!AT10="","",INDEX(Translations!$C:$C,MATCH(Summary_Products!AT10,Translations!$B:$B,0)))</f>
        <v/>
      </c>
      <c r="AU26" s="614" t="str">
        <f>IF(Summary_Products!AU10="","",Summary_Products!AU10)</f>
        <v/>
      </c>
      <c r="AV26" s="459" t="str">
        <f>IF(Summary_Products!AV10="","",Summary_Products!AV10)</f>
        <v/>
      </c>
      <c r="AW26" s="458" t="str">
        <f>IF(Summary_Products!AW10="","",Summary_Products!AW10)</f>
        <v/>
      </c>
      <c r="AX26" s="460" t="str">
        <f>IF(Summary_Products!AX10="","",Summary_Products!AX10)</f>
        <v/>
      </c>
      <c r="AY26" s="457" t="str">
        <f>IF(Summary_Products!AY10="","",Summary_Products!AY10)</f>
        <v/>
      </c>
      <c r="AZ26" s="460" t="str">
        <f>IF(Summary_Products!AZ10="","",Summary_Products!AZ10)</f>
        <v/>
      </c>
      <c r="BA26" s="456" t="str">
        <f>IF(Summary_Products!BA10="","",Summary_Products!BA10)</f>
        <v/>
      </c>
      <c r="BD26" s="156"/>
      <c r="BE26" s="156"/>
      <c r="BF26" s="156"/>
      <c r="BG26" s="156"/>
    </row>
    <row r="27" spans="1:59" ht="12.75" customHeight="1" x14ac:dyDescent="0.25">
      <c r="B27" s="277"/>
      <c r="C27" s="777">
        <v>2</v>
      </c>
      <c r="D27" s="766" t="str">
        <f>IF(Summary_Products!D11="","",Summary_Products!D11)</f>
        <v/>
      </c>
      <c r="E27" s="421" t="str">
        <f>IF(Summary_Products!E11="","",INDEX(Translations!$C:$C,MATCH(Summary_Products!E11,Translations!$B:$B,0)))</f>
        <v/>
      </c>
      <c r="F27" s="781" t="str">
        <f>IF(Summary_Products!F11="","",Summary_Products!F11)</f>
        <v/>
      </c>
      <c r="G27" s="766" t="str">
        <f>IF(F27="","",INDEX(Parameters_CNCodes!$H$4:$H$572,MATCH(F27,CNCodes_ListKey,0)))</f>
        <v/>
      </c>
      <c r="H27" s="766" t="str">
        <f>IF(Summary_Products!H11="","",Summary_Products!H11)</f>
        <v/>
      </c>
      <c r="I27" s="782" t="str">
        <f>IF(Summary_Products!I11="","",Summary_Products!I11)</f>
        <v/>
      </c>
      <c r="J27" s="782" t="str">
        <f>IF(Summary_Products!J11="","",Summary_Products!J11)</f>
        <v/>
      </c>
      <c r="K27" s="782" t="str">
        <f>IF(Summary_Products!K11="","",Summary_Products!K11)</f>
        <v/>
      </c>
      <c r="L27" s="782" t="str">
        <f>IF(Summary_Products!L11="","",Summary_Products!L11)</f>
        <v/>
      </c>
      <c r="M27" s="783" t="str">
        <f>IF(Summary_Products!M11="","",Summary_Products!M11)</f>
        <v/>
      </c>
      <c r="N27" s="782" t="str">
        <f>IF(Summary_Products!N11="","",Summary_Products!N11)</f>
        <v/>
      </c>
      <c r="O27" s="782" t="str">
        <f>IF(Summary_Products!O11="","",Summary_Products!O11)</f>
        <v/>
      </c>
      <c r="P27" s="782" t="str">
        <f t="shared" ref="P27:P90" si="0">IF(O27="","",IF(O27=0,0,J27/O27))</f>
        <v/>
      </c>
      <c r="Q27" s="160" t="str">
        <f>IF(Summary_Products!P11="","",INDEX(Translations!$C:$C,MATCH(Summary_Products!P11,Translations!$B:$B,0)))</f>
        <v/>
      </c>
      <c r="R27" s="160" t="str">
        <f>IF(Summary_Products!Q11="","",Summary_Products!Q11)</f>
        <v/>
      </c>
      <c r="S27" s="615" t="str">
        <f>IF(Summary_Products!R11="","",Summary_Products!R11)</f>
        <v/>
      </c>
      <c r="T27" s="615" t="str">
        <f>IF(Summary_Products!S11="","",Summary_Products!S11)</f>
        <v/>
      </c>
      <c r="U27" s="615" t="str">
        <f>IF(Summary_Products!T11="","",Summary_Products!T11)</f>
        <v/>
      </c>
      <c r="V27" s="615" t="str">
        <f>IF(Summary_Products!U11="","",Summary_Products!U11)</f>
        <v/>
      </c>
      <c r="W27" s="615" t="str">
        <f>IF(Summary_Products!V11="","",Summary_Products!V11)</f>
        <v/>
      </c>
      <c r="X27" s="615" t="str">
        <f>IF(Summary_Products!W11="","",Summary_Products!W11)</f>
        <v/>
      </c>
      <c r="Y27" s="615" t="str">
        <f>IF(Summary_Products!X11="","",Summary_Products!X11)</f>
        <v/>
      </c>
      <c r="Z27" s="615" t="str">
        <f>IF(Summary_Products!Y11="","",Summary_Products!Y11)</f>
        <v/>
      </c>
      <c r="AA27" s="615" t="str">
        <f>IF(Summary_Products!Z11="","",Summary_Products!Z11)</f>
        <v/>
      </c>
      <c r="AB27" s="615" t="str">
        <f>IF(Summary_Products!AA11="","",Summary_Products!AA11)</f>
        <v/>
      </c>
      <c r="AC27" s="615" t="str">
        <f>IF(Summary_Products!AB11="","",Summary_Products!AB11)</f>
        <v/>
      </c>
      <c r="AD27" s="615" t="str">
        <f>IF(Summary_Products!AC11="","",Summary_Products!AC11)</f>
        <v/>
      </c>
      <c r="AE27" s="615" t="str">
        <f>IF(Summary_Products!AD11="","",Summary_Products!AD11)</f>
        <v/>
      </c>
      <c r="AF27" s="615" t="str">
        <f>IF(Summary_Products!AE11="","",Summary_Products!AE11)</f>
        <v/>
      </c>
      <c r="AG27" s="615" t="str">
        <f>IF(Summary_Products!AF11="","",Summary_Products!AF11)</f>
        <v/>
      </c>
      <c r="AH27" s="615" t="str">
        <f>IF(Summary_Products!AG11="","",Summary_Products!AG11)</f>
        <v/>
      </c>
      <c r="AI27" s="615" t="str">
        <f>IF(Summary_Products!AH11="","",Summary_Products!AH11)</f>
        <v/>
      </c>
      <c r="AJ27" s="615" t="str">
        <f>IF(Summary_Products!AI11="","",Summary_Products!AI11)</f>
        <v/>
      </c>
      <c r="AK27" s="615" t="str">
        <f>IF(Summary_Products!AJ11="","",Summary_Products!AJ11)</f>
        <v/>
      </c>
      <c r="AL27" s="615" t="str">
        <f>IF(Summary_Products!AK11="","",Summary_Products!AK11)</f>
        <v/>
      </c>
      <c r="AM27" s="421" t="str">
        <f>IF(Summary_Products!AL11="","",INDEX(Translations!$C:$C,MATCH(Summary_Products!AL11,Translations!$B:$B,0)))</f>
        <v/>
      </c>
      <c r="AN27" s="615" t="str">
        <f>IF(Summary_Products!AM11="","",Summary_Products!AM11)</f>
        <v/>
      </c>
      <c r="AO27" s="473" t="str">
        <f>IF(Summary_Products!AN11="","",Summary_Products!AN11)</f>
        <v/>
      </c>
      <c r="AP27" s="474" t="str">
        <f>IF(Summary_Products!AO11="","",Summary_Products!AO11)</f>
        <v/>
      </c>
      <c r="AQ27" s="160" t="str">
        <f>IF(Summary_Products!AP11="","",Summary_Products!AP11)</f>
        <v/>
      </c>
      <c r="AR27" s="477" t="str">
        <f>IF(Summary_Products!AR11="","",Summary_Products!AR11)</f>
        <v/>
      </c>
      <c r="AS27" s="474" t="str">
        <f>IF(Summary_Products!AS11="","",Summary_Products!AS11)</f>
        <v/>
      </c>
      <c r="AT27" s="421" t="str">
        <f>IF(Summary_Products!AT11="","",INDEX(Translations!$C:$C,MATCH(Summary_Products!AT11,Translations!$B:$B,0)))</f>
        <v/>
      </c>
      <c r="AU27" s="615" t="str">
        <f>IF(Summary_Products!AU11="","",Summary_Products!AU11)</f>
        <v/>
      </c>
      <c r="AV27" s="473" t="str">
        <f>IF(Summary_Products!AV11="","",Summary_Products!AV11)</f>
        <v/>
      </c>
      <c r="AW27" s="474" t="str">
        <f>IF(Summary_Products!AW11="","",Summary_Products!AW11)</f>
        <v/>
      </c>
      <c r="AX27" s="477" t="str">
        <f>IF(Summary_Products!AX11="","",Summary_Products!AX11)</f>
        <v/>
      </c>
      <c r="AY27" s="474" t="str">
        <f>IF(Summary_Products!AY11="","",Summary_Products!AY11)</f>
        <v/>
      </c>
      <c r="AZ27" s="477" t="str">
        <f>IF(Summary_Products!AZ11="","",Summary_Products!AZ11)</f>
        <v/>
      </c>
      <c r="BA27" s="478" t="str">
        <f>IF(Summary_Products!BA11="","",Summary_Products!BA11)</f>
        <v/>
      </c>
      <c r="BD27" s="156"/>
      <c r="BE27" s="156"/>
      <c r="BF27" s="156"/>
      <c r="BG27" s="156"/>
    </row>
    <row r="28" spans="1:59" ht="12.75" customHeight="1" x14ac:dyDescent="0.25">
      <c r="B28" s="277"/>
      <c r="C28" s="777">
        <v>3</v>
      </c>
      <c r="D28" s="766" t="str">
        <f>IF(Summary_Products!D12="","",Summary_Products!D12)</f>
        <v/>
      </c>
      <c r="E28" s="421" t="str">
        <f>IF(Summary_Products!E12="","",INDEX(Translations!$C:$C,MATCH(Summary_Products!E12,Translations!$B:$B,0)))</f>
        <v/>
      </c>
      <c r="F28" s="781" t="str">
        <f>IF(Summary_Products!F12="","",Summary_Products!F12)</f>
        <v/>
      </c>
      <c r="G28" s="766" t="str">
        <f>IF(F28="","",INDEX(Parameters_CNCodes!$H$4:$H$572,MATCH(F28,CNCodes_ListKey,0)))</f>
        <v/>
      </c>
      <c r="H28" s="766" t="str">
        <f>IF(Summary_Products!H12="","",Summary_Products!H12)</f>
        <v/>
      </c>
      <c r="I28" s="782" t="str">
        <f>IF(Summary_Products!I12="","",Summary_Products!I12)</f>
        <v/>
      </c>
      <c r="J28" s="782" t="str">
        <f>IF(Summary_Products!J12="","",Summary_Products!J12)</f>
        <v/>
      </c>
      <c r="K28" s="782" t="str">
        <f>IF(Summary_Products!K12="","",Summary_Products!K12)</f>
        <v/>
      </c>
      <c r="L28" s="782" t="str">
        <f>IF(Summary_Products!L12="","",Summary_Products!L12)</f>
        <v/>
      </c>
      <c r="M28" s="783" t="str">
        <f>IF(Summary_Products!M12="","",Summary_Products!M12)</f>
        <v/>
      </c>
      <c r="N28" s="782" t="str">
        <f>IF(Summary_Products!N12="","",Summary_Products!N12)</f>
        <v/>
      </c>
      <c r="O28" s="782" t="str">
        <f>IF(Summary_Products!O12="","",Summary_Products!O12)</f>
        <v/>
      </c>
      <c r="P28" s="782" t="str">
        <f t="shared" si="0"/>
        <v/>
      </c>
      <c r="Q28" s="160" t="str">
        <f>IF(Summary_Products!P12="","",INDEX(Translations!$C:$C,MATCH(Summary_Products!P12,Translations!$B:$B,0)))</f>
        <v/>
      </c>
      <c r="R28" s="160" t="str">
        <f>IF(Summary_Products!Q12="","",Summary_Products!Q12)</f>
        <v/>
      </c>
      <c r="S28" s="615" t="str">
        <f>IF(Summary_Products!R12="","",Summary_Products!R12)</f>
        <v/>
      </c>
      <c r="T28" s="615" t="str">
        <f>IF(Summary_Products!S12="","",Summary_Products!S12)</f>
        <v/>
      </c>
      <c r="U28" s="615" t="str">
        <f>IF(Summary_Products!T12="","",Summary_Products!T12)</f>
        <v/>
      </c>
      <c r="V28" s="615" t="str">
        <f>IF(Summary_Products!U12="","",Summary_Products!U12)</f>
        <v/>
      </c>
      <c r="W28" s="615" t="str">
        <f>IF(Summary_Products!V12="","",Summary_Products!V12)</f>
        <v/>
      </c>
      <c r="X28" s="615" t="str">
        <f>IF(Summary_Products!W12="","",Summary_Products!W12)</f>
        <v/>
      </c>
      <c r="Y28" s="615" t="str">
        <f>IF(Summary_Products!X12="","",Summary_Products!X12)</f>
        <v/>
      </c>
      <c r="Z28" s="615" t="str">
        <f>IF(Summary_Products!Y12="","",Summary_Products!Y12)</f>
        <v/>
      </c>
      <c r="AA28" s="615" t="str">
        <f>IF(Summary_Products!Z12="","",Summary_Products!Z12)</f>
        <v/>
      </c>
      <c r="AB28" s="615" t="str">
        <f>IF(Summary_Products!AA12="","",Summary_Products!AA12)</f>
        <v/>
      </c>
      <c r="AC28" s="615" t="str">
        <f>IF(Summary_Products!AB12="","",Summary_Products!AB12)</f>
        <v/>
      </c>
      <c r="AD28" s="615" t="str">
        <f>IF(Summary_Products!AC12="","",Summary_Products!AC12)</f>
        <v/>
      </c>
      <c r="AE28" s="615" t="str">
        <f>IF(Summary_Products!AD12="","",Summary_Products!AD12)</f>
        <v/>
      </c>
      <c r="AF28" s="615" t="str">
        <f>IF(Summary_Products!AE12="","",Summary_Products!AE12)</f>
        <v/>
      </c>
      <c r="AG28" s="615" t="str">
        <f>IF(Summary_Products!AF12="","",Summary_Products!AF12)</f>
        <v/>
      </c>
      <c r="AH28" s="615" t="str">
        <f>IF(Summary_Products!AG12="","",Summary_Products!AG12)</f>
        <v/>
      </c>
      <c r="AI28" s="615" t="str">
        <f>IF(Summary_Products!AH12="","",Summary_Products!AH12)</f>
        <v/>
      </c>
      <c r="AJ28" s="615" t="str">
        <f>IF(Summary_Products!AI12="","",Summary_Products!AI12)</f>
        <v/>
      </c>
      <c r="AK28" s="615" t="str">
        <f>IF(Summary_Products!AJ12="","",Summary_Products!AJ12)</f>
        <v/>
      </c>
      <c r="AL28" s="615" t="str">
        <f>IF(Summary_Products!AK12="","",Summary_Products!AK12)</f>
        <v/>
      </c>
      <c r="AM28" s="421" t="str">
        <f>IF(Summary_Products!AL12="","",INDEX(Translations!$C:$C,MATCH(Summary_Products!AL12,Translations!$B:$B,0)))</f>
        <v/>
      </c>
      <c r="AN28" s="615" t="str">
        <f>IF(Summary_Products!AM12="","",Summary_Products!AM12)</f>
        <v/>
      </c>
      <c r="AO28" s="473" t="str">
        <f>IF(Summary_Products!AN12="","",Summary_Products!AN12)</f>
        <v/>
      </c>
      <c r="AP28" s="474" t="str">
        <f>IF(Summary_Products!AO12="","",Summary_Products!AO12)</f>
        <v/>
      </c>
      <c r="AQ28" s="160" t="str">
        <f>IF(Summary_Products!AP12="","",Summary_Products!AP12)</f>
        <v/>
      </c>
      <c r="AR28" s="477" t="str">
        <f>IF(Summary_Products!AR12="","",Summary_Products!AR12)</f>
        <v/>
      </c>
      <c r="AS28" s="474" t="str">
        <f>IF(Summary_Products!AS12="","",Summary_Products!AS12)</f>
        <v/>
      </c>
      <c r="AT28" s="421" t="str">
        <f>IF(Summary_Products!AT12="","",INDEX(Translations!$C:$C,MATCH(Summary_Products!AT12,Translations!$B:$B,0)))</f>
        <v/>
      </c>
      <c r="AU28" s="615" t="str">
        <f>IF(Summary_Products!AU12="","",Summary_Products!AU12)</f>
        <v/>
      </c>
      <c r="AV28" s="473" t="str">
        <f>IF(Summary_Products!AV12="","",Summary_Products!AV12)</f>
        <v/>
      </c>
      <c r="AW28" s="474" t="str">
        <f>IF(Summary_Products!AW12="","",Summary_Products!AW12)</f>
        <v/>
      </c>
      <c r="AX28" s="477" t="str">
        <f>IF(Summary_Products!AX12="","",Summary_Products!AX12)</f>
        <v/>
      </c>
      <c r="AY28" s="474" t="str">
        <f>IF(Summary_Products!AY12="","",Summary_Products!AY12)</f>
        <v/>
      </c>
      <c r="AZ28" s="477" t="str">
        <f>IF(Summary_Products!AZ12="","",Summary_Products!AZ12)</f>
        <v/>
      </c>
      <c r="BA28" s="478" t="str">
        <f>IF(Summary_Products!BA12="","",Summary_Products!BA12)</f>
        <v/>
      </c>
      <c r="BD28" s="156"/>
      <c r="BE28" s="156"/>
      <c r="BF28" s="156"/>
      <c r="BG28" s="156"/>
    </row>
    <row r="29" spans="1:59" ht="12.75" customHeight="1" x14ac:dyDescent="0.25">
      <c r="B29" s="277"/>
      <c r="C29" s="777">
        <v>4</v>
      </c>
      <c r="D29" s="766" t="str">
        <f>IF(Summary_Products!D13="","",Summary_Products!D13)</f>
        <v/>
      </c>
      <c r="E29" s="421" t="str">
        <f>IF(Summary_Products!E13="","",INDEX(Translations!$C:$C,MATCH(Summary_Products!E13,Translations!$B:$B,0)))</f>
        <v/>
      </c>
      <c r="F29" s="781" t="str">
        <f>IF(Summary_Products!F13="","",Summary_Products!F13)</f>
        <v/>
      </c>
      <c r="G29" s="766" t="str">
        <f>IF(F29="","",INDEX(Parameters_CNCodes!$H$4:$H$572,MATCH(F29,CNCodes_ListKey,0)))</f>
        <v/>
      </c>
      <c r="H29" s="766" t="str">
        <f>IF(Summary_Products!H13="","",Summary_Products!H13)</f>
        <v/>
      </c>
      <c r="I29" s="782" t="str">
        <f>IF(Summary_Products!I13="","",Summary_Products!I13)</f>
        <v/>
      </c>
      <c r="J29" s="782" t="str">
        <f>IF(Summary_Products!J13="","",Summary_Products!J13)</f>
        <v/>
      </c>
      <c r="K29" s="782" t="str">
        <f>IF(Summary_Products!K13="","",Summary_Products!K13)</f>
        <v/>
      </c>
      <c r="L29" s="782" t="str">
        <f>IF(Summary_Products!L13="","",Summary_Products!L13)</f>
        <v/>
      </c>
      <c r="M29" s="783" t="str">
        <f>IF(Summary_Products!M13="","",Summary_Products!M13)</f>
        <v/>
      </c>
      <c r="N29" s="782" t="str">
        <f>IF(Summary_Products!N13="","",Summary_Products!N13)</f>
        <v/>
      </c>
      <c r="O29" s="782" t="str">
        <f>IF(Summary_Products!O13="","",Summary_Products!O13)</f>
        <v/>
      </c>
      <c r="P29" s="782" t="str">
        <f t="shared" si="0"/>
        <v/>
      </c>
      <c r="Q29" s="160" t="str">
        <f>IF(Summary_Products!P13="","",INDEX(Translations!$C:$C,MATCH(Summary_Products!P13,Translations!$B:$B,0)))</f>
        <v/>
      </c>
      <c r="R29" s="160" t="str">
        <f>IF(Summary_Products!Q13="","",Summary_Products!Q13)</f>
        <v/>
      </c>
      <c r="S29" s="615" t="str">
        <f>IF(Summary_Products!R13="","",Summary_Products!R13)</f>
        <v/>
      </c>
      <c r="T29" s="615" t="str">
        <f>IF(Summary_Products!S13="","",Summary_Products!S13)</f>
        <v/>
      </c>
      <c r="U29" s="615" t="str">
        <f>IF(Summary_Products!T13="","",Summary_Products!T13)</f>
        <v/>
      </c>
      <c r="V29" s="615" t="str">
        <f>IF(Summary_Products!U13="","",Summary_Products!U13)</f>
        <v/>
      </c>
      <c r="W29" s="615" t="str">
        <f>IF(Summary_Products!V13="","",Summary_Products!V13)</f>
        <v/>
      </c>
      <c r="X29" s="615" t="str">
        <f>IF(Summary_Products!W13="","",Summary_Products!W13)</f>
        <v/>
      </c>
      <c r="Y29" s="615" t="str">
        <f>IF(Summary_Products!X13="","",Summary_Products!X13)</f>
        <v/>
      </c>
      <c r="Z29" s="615" t="str">
        <f>IF(Summary_Products!Y13="","",Summary_Products!Y13)</f>
        <v/>
      </c>
      <c r="AA29" s="615" t="str">
        <f>IF(Summary_Products!Z13="","",Summary_Products!Z13)</f>
        <v/>
      </c>
      <c r="AB29" s="615" t="str">
        <f>IF(Summary_Products!AA13="","",Summary_Products!AA13)</f>
        <v/>
      </c>
      <c r="AC29" s="615" t="str">
        <f>IF(Summary_Products!AB13="","",Summary_Products!AB13)</f>
        <v/>
      </c>
      <c r="AD29" s="615" t="str">
        <f>IF(Summary_Products!AC13="","",Summary_Products!AC13)</f>
        <v/>
      </c>
      <c r="AE29" s="615" t="str">
        <f>IF(Summary_Products!AD13="","",Summary_Products!AD13)</f>
        <v/>
      </c>
      <c r="AF29" s="615" t="str">
        <f>IF(Summary_Products!AE13="","",Summary_Products!AE13)</f>
        <v/>
      </c>
      <c r="AG29" s="615" t="str">
        <f>IF(Summary_Products!AF13="","",Summary_Products!AF13)</f>
        <v/>
      </c>
      <c r="AH29" s="615" t="str">
        <f>IF(Summary_Products!AG13="","",Summary_Products!AG13)</f>
        <v/>
      </c>
      <c r="AI29" s="615" t="str">
        <f>IF(Summary_Products!AH13="","",Summary_Products!AH13)</f>
        <v/>
      </c>
      <c r="AJ29" s="615" t="str">
        <f>IF(Summary_Products!AI13="","",Summary_Products!AI13)</f>
        <v/>
      </c>
      <c r="AK29" s="615" t="str">
        <f>IF(Summary_Products!AJ13="","",Summary_Products!AJ13)</f>
        <v/>
      </c>
      <c r="AL29" s="615" t="str">
        <f>IF(Summary_Products!AK13="","",Summary_Products!AK13)</f>
        <v/>
      </c>
      <c r="AM29" s="421" t="str">
        <f>IF(Summary_Products!AL13="","",INDEX(Translations!$C:$C,MATCH(Summary_Products!AL13,Translations!$B:$B,0)))</f>
        <v/>
      </c>
      <c r="AN29" s="615" t="str">
        <f>IF(Summary_Products!AM13="","",Summary_Products!AM13)</f>
        <v/>
      </c>
      <c r="AO29" s="473" t="str">
        <f>IF(Summary_Products!AN13="","",Summary_Products!AN13)</f>
        <v/>
      </c>
      <c r="AP29" s="474" t="str">
        <f>IF(Summary_Products!AO13="","",Summary_Products!AO13)</f>
        <v/>
      </c>
      <c r="AQ29" s="160" t="str">
        <f>IF(Summary_Products!AP13="","",Summary_Products!AP13)</f>
        <v/>
      </c>
      <c r="AR29" s="477" t="str">
        <f>IF(Summary_Products!AR13="","",Summary_Products!AR13)</f>
        <v/>
      </c>
      <c r="AS29" s="474" t="str">
        <f>IF(Summary_Products!AS13="","",Summary_Products!AS13)</f>
        <v/>
      </c>
      <c r="AT29" s="421" t="str">
        <f>IF(Summary_Products!AT13="","",INDEX(Translations!$C:$C,MATCH(Summary_Products!AT13,Translations!$B:$B,0)))</f>
        <v/>
      </c>
      <c r="AU29" s="615" t="str">
        <f>IF(Summary_Products!AU13="","",Summary_Products!AU13)</f>
        <v/>
      </c>
      <c r="AV29" s="473" t="str">
        <f>IF(Summary_Products!AV13="","",Summary_Products!AV13)</f>
        <v/>
      </c>
      <c r="AW29" s="474" t="str">
        <f>IF(Summary_Products!AW13="","",Summary_Products!AW13)</f>
        <v/>
      </c>
      <c r="AX29" s="477" t="str">
        <f>IF(Summary_Products!AX13="","",Summary_Products!AX13)</f>
        <v/>
      </c>
      <c r="AY29" s="474" t="str">
        <f>IF(Summary_Products!AY13="","",Summary_Products!AY13)</f>
        <v/>
      </c>
      <c r="AZ29" s="477" t="str">
        <f>IF(Summary_Products!AZ13="","",Summary_Products!AZ13)</f>
        <v/>
      </c>
      <c r="BA29" s="478" t="str">
        <f>IF(Summary_Products!BA13="","",Summary_Products!BA13)</f>
        <v/>
      </c>
      <c r="BD29" s="156"/>
      <c r="BE29" s="156"/>
      <c r="BF29" s="156"/>
      <c r="BG29" s="156"/>
    </row>
    <row r="30" spans="1:59" ht="12.75" customHeight="1" x14ac:dyDescent="0.25">
      <c r="B30" s="277"/>
      <c r="C30" s="777">
        <v>5</v>
      </c>
      <c r="D30" s="766" t="str">
        <f>IF(Summary_Products!D14="","",Summary_Products!D14)</f>
        <v/>
      </c>
      <c r="E30" s="421" t="str">
        <f>IF(Summary_Products!E14="","",INDEX(Translations!$C:$C,MATCH(Summary_Products!E14,Translations!$B:$B,0)))</f>
        <v/>
      </c>
      <c r="F30" s="781" t="str">
        <f>IF(Summary_Products!F14="","",Summary_Products!F14)</f>
        <v/>
      </c>
      <c r="G30" s="766" t="str">
        <f>IF(F30="","",INDEX(Parameters_CNCodes!$H$4:$H$572,MATCH(F30,CNCodes_ListKey,0)))</f>
        <v/>
      </c>
      <c r="H30" s="766" t="str">
        <f>IF(Summary_Products!H14="","",Summary_Products!H14)</f>
        <v/>
      </c>
      <c r="I30" s="782" t="str">
        <f>IF(Summary_Products!I14="","",Summary_Products!I14)</f>
        <v/>
      </c>
      <c r="J30" s="782" t="str">
        <f>IF(Summary_Products!J14="","",Summary_Products!J14)</f>
        <v/>
      </c>
      <c r="K30" s="782" t="str">
        <f>IF(Summary_Products!K14="","",Summary_Products!K14)</f>
        <v/>
      </c>
      <c r="L30" s="782" t="str">
        <f>IF(Summary_Products!L14="","",Summary_Products!L14)</f>
        <v/>
      </c>
      <c r="M30" s="783" t="str">
        <f>IF(Summary_Products!M14="","",Summary_Products!M14)</f>
        <v/>
      </c>
      <c r="N30" s="782" t="str">
        <f>IF(Summary_Products!N14="","",Summary_Products!N14)</f>
        <v/>
      </c>
      <c r="O30" s="782" t="str">
        <f>IF(Summary_Products!O14="","",Summary_Products!O14)</f>
        <v/>
      </c>
      <c r="P30" s="782" t="str">
        <f t="shared" si="0"/>
        <v/>
      </c>
      <c r="Q30" s="160" t="str">
        <f>IF(Summary_Products!P14="","",INDEX(Translations!$C:$C,MATCH(Summary_Products!P14,Translations!$B:$B,0)))</f>
        <v/>
      </c>
      <c r="R30" s="160" t="str">
        <f>IF(Summary_Products!Q14="","",Summary_Products!Q14)</f>
        <v/>
      </c>
      <c r="S30" s="615" t="str">
        <f>IF(Summary_Products!R14="","",Summary_Products!R14)</f>
        <v/>
      </c>
      <c r="T30" s="615" t="str">
        <f>IF(Summary_Products!S14="","",Summary_Products!S14)</f>
        <v/>
      </c>
      <c r="U30" s="615" t="str">
        <f>IF(Summary_Products!T14="","",Summary_Products!T14)</f>
        <v/>
      </c>
      <c r="V30" s="615" t="str">
        <f>IF(Summary_Products!U14="","",Summary_Products!U14)</f>
        <v/>
      </c>
      <c r="W30" s="615" t="str">
        <f>IF(Summary_Products!V14="","",Summary_Products!V14)</f>
        <v/>
      </c>
      <c r="X30" s="615" t="str">
        <f>IF(Summary_Products!W14="","",Summary_Products!W14)</f>
        <v/>
      </c>
      <c r="Y30" s="615" t="str">
        <f>IF(Summary_Products!X14="","",Summary_Products!X14)</f>
        <v/>
      </c>
      <c r="Z30" s="615" t="str">
        <f>IF(Summary_Products!Y14="","",Summary_Products!Y14)</f>
        <v/>
      </c>
      <c r="AA30" s="615" t="str">
        <f>IF(Summary_Products!Z14="","",Summary_Products!Z14)</f>
        <v/>
      </c>
      <c r="AB30" s="615" t="str">
        <f>IF(Summary_Products!AA14="","",Summary_Products!AA14)</f>
        <v/>
      </c>
      <c r="AC30" s="615" t="str">
        <f>IF(Summary_Products!AB14="","",Summary_Products!AB14)</f>
        <v/>
      </c>
      <c r="AD30" s="615" t="str">
        <f>IF(Summary_Products!AC14="","",Summary_Products!AC14)</f>
        <v/>
      </c>
      <c r="AE30" s="615" t="str">
        <f>IF(Summary_Products!AD14="","",Summary_Products!AD14)</f>
        <v/>
      </c>
      <c r="AF30" s="615" t="str">
        <f>IF(Summary_Products!AE14="","",Summary_Products!AE14)</f>
        <v/>
      </c>
      <c r="AG30" s="615" t="str">
        <f>IF(Summary_Products!AF14="","",Summary_Products!AF14)</f>
        <v/>
      </c>
      <c r="AH30" s="615" t="str">
        <f>IF(Summary_Products!AG14="","",Summary_Products!AG14)</f>
        <v/>
      </c>
      <c r="AI30" s="615" t="str">
        <f>IF(Summary_Products!AH14="","",Summary_Products!AH14)</f>
        <v/>
      </c>
      <c r="AJ30" s="615" t="str">
        <f>IF(Summary_Products!AI14="","",Summary_Products!AI14)</f>
        <v/>
      </c>
      <c r="AK30" s="615" t="str">
        <f>IF(Summary_Products!AJ14="","",Summary_Products!AJ14)</f>
        <v/>
      </c>
      <c r="AL30" s="615" t="str">
        <f>IF(Summary_Products!AK14="","",Summary_Products!AK14)</f>
        <v/>
      </c>
      <c r="AM30" s="421" t="str">
        <f>IF(Summary_Products!AL14="","",INDEX(Translations!$C:$C,MATCH(Summary_Products!AL14,Translations!$B:$B,0)))</f>
        <v/>
      </c>
      <c r="AN30" s="615" t="str">
        <f>IF(Summary_Products!AM14="","",Summary_Products!AM14)</f>
        <v/>
      </c>
      <c r="AO30" s="473" t="str">
        <f>IF(Summary_Products!AN14="","",Summary_Products!AN14)</f>
        <v/>
      </c>
      <c r="AP30" s="474" t="str">
        <f>IF(Summary_Products!AO14="","",Summary_Products!AO14)</f>
        <v/>
      </c>
      <c r="AQ30" s="160" t="str">
        <f>IF(Summary_Products!AP14="","",Summary_Products!AP14)</f>
        <v/>
      </c>
      <c r="AR30" s="477" t="str">
        <f>IF(Summary_Products!AR14="","",Summary_Products!AR14)</f>
        <v/>
      </c>
      <c r="AS30" s="474" t="str">
        <f>IF(Summary_Products!AS14="","",Summary_Products!AS14)</f>
        <v/>
      </c>
      <c r="AT30" s="421" t="str">
        <f>IF(Summary_Products!AT14="","",INDEX(Translations!$C:$C,MATCH(Summary_Products!AT14,Translations!$B:$B,0)))</f>
        <v/>
      </c>
      <c r="AU30" s="615" t="str">
        <f>IF(Summary_Products!AU14="","",Summary_Products!AU14)</f>
        <v/>
      </c>
      <c r="AV30" s="473" t="str">
        <f>IF(Summary_Products!AV14="","",Summary_Products!AV14)</f>
        <v/>
      </c>
      <c r="AW30" s="474" t="str">
        <f>IF(Summary_Products!AW14="","",Summary_Products!AW14)</f>
        <v/>
      </c>
      <c r="AX30" s="477" t="str">
        <f>IF(Summary_Products!AX14="","",Summary_Products!AX14)</f>
        <v/>
      </c>
      <c r="AY30" s="474" t="str">
        <f>IF(Summary_Products!AY14="","",Summary_Products!AY14)</f>
        <v/>
      </c>
      <c r="AZ30" s="477" t="str">
        <f>IF(Summary_Products!AZ14="","",Summary_Products!AZ14)</f>
        <v/>
      </c>
      <c r="BA30" s="478" t="str">
        <f>IF(Summary_Products!BA14="","",Summary_Products!BA14)</f>
        <v/>
      </c>
      <c r="BD30" s="156"/>
      <c r="BE30" s="156"/>
      <c r="BF30" s="156"/>
      <c r="BG30" s="156"/>
    </row>
    <row r="31" spans="1:59" ht="12.75" customHeight="1" x14ac:dyDescent="0.25">
      <c r="B31" s="277"/>
      <c r="C31" s="777">
        <v>6</v>
      </c>
      <c r="D31" s="766" t="str">
        <f>IF(Summary_Products!D15="","",Summary_Products!D15)</f>
        <v/>
      </c>
      <c r="E31" s="421" t="str">
        <f>IF(Summary_Products!E15="","",INDEX(Translations!$C:$C,MATCH(Summary_Products!E15,Translations!$B:$B,0)))</f>
        <v/>
      </c>
      <c r="F31" s="781" t="str">
        <f>IF(Summary_Products!F15="","",Summary_Products!F15)</f>
        <v/>
      </c>
      <c r="G31" s="766" t="str">
        <f>IF(F31="","",INDEX(Parameters_CNCodes!$H$4:$H$572,MATCH(F31,CNCodes_ListKey,0)))</f>
        <v/>
      </c>
      <c r="H31" s="766" t="str">
        <f>IF(Summary_Products!H15="","",Summary_Products!H15)</f>
        <v/>
      </c>
      <c r="I31" s="782" t="str">
        <f>IF(Summary_Products!I15="","",Summary_Products!I15)</f>
        <v/>
      </c>
      <c r="J31" s="782" t="str">
        <f>IF(Summary_Products!J15="","",Summary_Products!J15)</f>
        <v/>
      </c>
      <c r="K31" s="782" t="str">
        <f>IF(Summary_Products!K15="","",Summary_Products!K15)</f>
        <v/>
      </c>
      <c r="L31" s="782" t="str">
        <f>IF(Summary_Products!L15="","",Summary_Products!L15)</f>
        <v/>
      </c>
      <c r="M31" s="783" t="str">
        <f>IF(Summary_Products!M15="","",Summary_Products!M15)</f>
        <v/>
      </c>
      <c r="N31" s="782" t="str">
        <f>IF(Summary_Products!N15="","",Summary_Products!N15)</f>
        <v/>
      </c>
      <c r="O31" s="782" t="str">
        <f>IF(Summary_Products!O15="","",Summary_Products!O15)</f>
        <v/>
      </c>
      <c r="P31" s="782" t="str">
        <f t="shared" si="0"/>
        <v/>
      </c>
      <c r="Q31" s="160" t="str">
        <f>IF(Summary_Products!P15="","",INDEX(Translations!$C:$C,MATCH(Summary_Products!P15,Translations!$B:$B,0)))</f>
        <v/>
      </c>
      <c r="R31" s="160" t="str">
        <f>IF(Summary_Products!Q15="","",Summary_Products!Q15)</f>
        <v/>
      </c>
      <c r="S31" s="615" t="str">
        <f>IF(Summary_Products!R15="","",Summary_Products!R15)</f>
        <v/>
      </c>
      <c r="T31" s="615" t="str">
        <f>IF(Summary_Products!S15="","",Summary_Products!S15)</f>
        <v/>
      </c>
      <c r="U31" s="615" t="str">
        <f>IF(Summary_Products!T15="","",Summary_Products!T15)</f>
        <v/>
      </c>
      <c r="V31" s="615" t="str">
        <f>IF(Summary_Products!U15="","",Summary_Products!U15)</f>
        <v/>
      </c>
      <c r="W31" s="615" t="str">
        <f>IF(Summary_Products!V15="","",Summary_Products!V15)</f>
        <v/>
      </c>
      <c r="X31" s="615" t="str">
        <f>IF(Summary_Products!W15="","",Summary_Products!W15)</f>
        <v/>
      </c>
      <c r="Y31" s="615" t="str">
        <f>IF(Summary_Products!X15="","",Summary_Products!X15)</f>
        <v/>
      </c>
      <c r="Z31" s="615" t="str">
        <f>IF(Summary_Products!Y15="","",Summary_Products!Y15)</f>
        <v/>
      </c>
      <c r="AA31" s="615" t="str">
        <f>IF(Summary_Products!Z15="","",Summary_Products!Z15)</f>
        <v/>
      </c>
      <c r="AB31" s="615" t="str">
        <f>IF(Summary_Products!AA15="","",Summary_Products!AA15)</f>
        <v/>
      </c>
      <c r="AC31" s="615" t="str">
        <f>IF(Summary_Products!AB15="","",Summary_Products!AB15)</f>
        <v/>
      </c>
      <c r="AD31" s="615" t="str">
        <f>IF(Summary_Products!AC15="","",Summary_Products!AC15)</f>
        <v/>
      </c>
      <c r="AE31" s="615" t="str">
        <f>IF(Summary_Products!AD15="","",Summary_Products!AD15)</f>
        <v/>
      </c>
      <c r="AF31" s="615" t="str">
        <f>IF(Summary_Products!AE15="","",Summary_Products!AE15)</f>
        <v/>
      </c>
      <c r="AG31" s="615" t="str">
        <f>IF(Summary_Products!AF15="","",Summary_Products!AF15)</f>
        <v/>
      </c>
      <c r="AH31" s="615" t="str">
        <f>IF(Summary_Products!AG15="","",Summary_Products!AG15)</f>
        <v/>
      </c>
      <c r="AI31" s="615" t="str">
        <f>IF(Summary_Products!AH15="","",Summary_Products!AH15)</f>
        <v/>
      </c>
      <c r="AJ31" s="615" t="str">
        <f>IF(Summary_Products!AI15="","",Summary_Products!AI15)</f>
        <v/>
      </c>
      <c r="AK31" s="615" t="str">
        <f>IF(Summary_Products!AJ15="","",Summary_Products!AJ15)</f>
        <v/>
      </c>
      <c r="AL31" s="615" t="str">
        <f>IF(Summary_Products!AK15="","",Summary_Products!AK15)</f>
        <v/>
      </c>
      <c r="AM31" s="421" t="str">
        <f>IF(Summary_Products!AL15="","",INDEX(Translations!$C:$C,MATCH(Summary_Products!AL15,Translations!$B:$B,0)))</f>
        <v/>
      </c>
      <c r="AN31" s="615" t="str">
        <f>IF(Summary_Products!AM15="","",Summary_Products!AM15)</f>
        <v/>
      </c>
      <c r="AO31" s="473" t="str">
        <f>IF(Summary_Products!AN15="","",Summary_Products!AN15)</f>
        <v/>
      </c>
      <c r="AP31" s="474" t="str">
        <f>IF(Summary_Products!AO15="","",Summary_Products!AO15)</f>
        <v/>
      </c>
      <c r="AQ31" s="160" t="str">
        <f>IF(Summary_Products!AP15="","",Summary_Products!AP15)</f>
        <v/>
      </c>
      <c r="AR31" s="477" t="str">
        <f>IF(Summary_Products!AR15="","",Summary_Products!AR15)</f>
        <v/>
      </c>
      <c r="AS31" s="474" t="str">
        <f>IF(Summary_Products!AS15="","",Summary_Products!AS15)</f>
        <v/>
      </c>
      <c r="AT31" s="421" t="str">
        <f>IF(Summary_Products!AT15="","",INDEX(Translations!$C:$C,MATCH(Summary_Products!AT15,Translations!$B:$B,0)))</f>
        <v/>
      </c>
      <c r="AU31" s="615" t="str">
        <f>IF(Summary_Products!AU15="","",Summary_Products!AU15)</f>
        <v/>
      </c>
      <c r="AV31" s="473" t="str">
        <f>IF(Summary_Products!AV15="","",Summary_Products!AV15)</f>
        <v/>
      </c>
      <c r="AW31" s="474" t="str">
        <f>IF(Summary_Products!AW15="","",Summary_Products!AW15)</f>
        <v/>
      </c>
      <c r="AX31" s="477" t="str">
        <f>IF(Summary_Products!AX15="","",Summary_Products!AX15)</f>
        <v/>
      </c>
      <c r="AY31" s="474" t="str">
        <f>IF(Summary_Products!AY15="","",Summary_Products!AY15)</f>
        <v/>
      </c>
      <c r="AZ31" s="477" t="str">
        <f>IF(Summary_Products!AZ15="","",Summary_Products!AZ15)</f>
        <v/>
      </c>
      <c r="BA31" s="478" t="str">
        <f>IF(Summary_Products!BA15="","",Summary_Products!BA15)</f>
        <v/>
      </c>
      <c r="BD31" s="156"/>
      <c r="BE31" s="156"/>
      <c r="BF31" s="156"/>
      <c r="BG31" s="156"/>
    </row>
    <row r="32" spans="1:59" ht="12.75" customHeight="1" x14ac:dyDescent="0.25">
      <c r="B32" s="277"/>
      <c r="C32" s="777">
        <v>7</v>
      </c>
      <c r="D32" s="766" t="str">
        <f>IF(Summary_Products!D16="","",Summary_Products!D16)</f>
        <v/>
      </c>
      <c r="E32" s="421" t="str">
        <f>IF(Summary_Products!E16="","",INDEX(Translations!$C:$C,MATCH(Summary_Products!E16,Translations!$B:$B,0)))</f>
        <v/>
      </c>
      <c r="F32" s="781" t="str">
        <f>IF(Summary_Products!F16="","",Summary_Products!F16)</f>
        <v/>
      </c>
      <c r="G32" s="766" t="str">
        <f>IF(F32="","",INDEX(Parameters_CNCodes!$H$4:$H$572,MATCH(F32,CNCodes_ListKey,0)))</f>
        <v/>
      </c>
      <c r="H32" s="766" t="str">
        <f>IF(Summary_Products!H16="","",Summary_Products!H16)</f>
        <v/>
      </c>
      <c r="I32" s="782" t="str">
        <f>IF(Summary_Products!I16="","",Summary_Products!I16)</f>
        <v/>
      </c>
      <c r="J32" s="782" t="str">
        <f>IF(Summary_Products!J16="","",Summary_Products!J16)</f>
        <v/>
      </c>
      <c r="K32" s="782" t="str">
        <f>IF(Summary_Products!K16="","",Summary_Products!K16)</f>
        <v/>
      </c>
      <c r="L32" s="782" t="str">
        <f>IF(Summary_Products!L16="","",Summary_Products!L16)</f>
        <v/>
      </c>
      <c r="M32" s="783" t="str">
        <f>IF(Summary_Products!M16="","",Summary_Products!M16)</f>
        <v/>
      </c>
      <c r="N32" s="782" t="str">
        <f>IF(Summary_Products!N16="","",Summary_Products!N16)</f>
        <v/>
      </c>
      <c r="O32" s="782" t="str">
        <f>IF(Summary_Products!O16="","",Summary_Products!O16)</f>
        <v/>
      </c>
      <c r="P32" s="782" t="str">
        <f t="shared" si="0"/>
        <v/>
      </c>
      <c r="Q32" s="160" t="str">
        <f>IF(Summary_Products!P16="","",INDEX(Translations!$C:$C,MATCH(Summary_Products!P16,Translations!$B:$B,0)))</f>
        <v/>
      </c>
      <c r="R32" s="160" t="str">
        <f>IF(Summary_Products!Q16="","",Summary_Products!Q16)</f>
        <v/>
      </c>
      <c r="S32" s="615" t="str">
        <f>IF(Summary_Products!R16="","",Summary_Products!R16)</f>
        <v/>
      </c>
      <c r="T32" s="615" t="str">
        <f>IF(Summary_Products!S16="","",Summary_Products!S16)</f>
        <v/>
      </c>
      <c r="U32" s="615" t="str">
        <f>IF(Summary_Products!T16="","",Summary_Products!T16)</f>
        <v/>
      </c>
      <c r="V32" s="615" t="str">
        <f>IF(Summary_Products!U16="","",Summary_Products!U16)</f>
        <v/>
      </c>
      <c r="W32" s="615" t="str">
        <f>IF(Summary_Products!V16="","",Summary_Products!V16)</f>
        <v/>
      </c>
      <c r="X32" s="615" t="str">
        <f>IF(Summary_Products!W16="","",Summary_Products!W16)</f>
        <v/>
      </c>
      <c r="Y32" s="615" t="str">
        <f>IF(Summary_Products!X16="","",Summary_Products!X16)</f>
        <v/>
      </c>
      <c r="Z32" s="615" t="str">
        <f>IF(Summary_Products!Y16="","",Summary_Products!Y16)</f>
        <v/>
      </c>
      <c r="AA32" s="615" t="str">
        <f>IF(Summary_Products!Z16="","",Summary_Products!Z16)</f>
        <v/>
      </c>
      <c r="AB32" s="615" t="str">
        <f>IF(Summary_Products!AA16="","",Summary_Products!AA16)</f>
        <v/>
      </c>
      <c r="AC32" s="615" t="str">
        <f>IF(Summary_Products!AB16="","",Summary_Products!AB16)</f>
        <v/>
      </c>
      <c r="AD32" s="615" t="str">
        <f>IF(Summary_Products!AC16="","",Summary_Products!AC16)</f>
        <v/>
      </c>
      <c r="AE32" s="615" t="str">
        <f>IF(Summary_Products!AD16="","",Summary_Products!AD16)</f>
        <v/>
      </c>
      <c r="AF32" s="615" t="str">
        <f>IF(Summary_Products!AE16="","",Summary_Products!AE16)</f>
        <v/>
      </c>
      <c r="AG32" s="615" t="str">
        <f>IF(Summary_Products!AF16="","",Summary_Products!AF16)</f>
        <v/>
      </c>
      <c r="AH32" s="615" t="str">
        <f>IF(Summary_Products!AG16="","",Summary_Products!AG16)</f>
        <v/>
      </c>
      <c r="AI32" s="615" t="str">
        <f>IF(Summary_Products!AH16="","",Summary_Products!AH16)</f>
        <v/>
      </c>
      <c r="AJ32" s="615" t="str">
        <f>IF(Summary_Products!AI16="","",Summary_Products!AI16)</f>
        <v/>
      </c>
      <c r="AK32" s="615" t="str">
        <f>IF(Summary_Products!AJ16="","",Summary_Products!AJ16)</f>
        <v/>
      </c>
      <c r="AL32" s="615" t="str">
        <f>IF(Summary_Products!AK16="","",Summary_Products!AK16)</f>
        <v/>
      </c>
      <c r="AM32" s="421" t="str">
        <f>IF(Summary_Products!AL16="","",INDEX(Translations!$C:$C,MATCH(Summary_Products!AL16,Translations!$B:$B,0)))</f>
        <v/>
      </c>
      <c r="AN32" s="615" t="str">
        <f>IF(Summary_Products!AM16="","",Summary_Products!AM16)</f>
        <v/>
      </c>
      <c r="AO32" s="473" t="str">
        <f>IF(Summary_Products!AN16="","",Summary_Products!AN16)</f>
        <v/>
      </c>
      <c r="AP32" s="474" t="str">
        <f>IF(Summary_Products!AO16="","",Summary_Products!AO16)</f>
        <v/>
      </c>
      <c r="AQ32" s="160" t="str">
        <f>IF(Summary_Products!AP16="","",Summary_Products!AP16)</f>
        <v/>
      </c>
      <c r="AR32" s="477" t="str">
        <f>IF(Summary_Products!AR16="","",Summary_Products!AR16)</f>
        <v/>
      </c>
      <c r="AS32" s="474" t="str">
        <f>IF(Summary_Products!AS16="","",Summary_Products!AS16)</f>
        <v/>
      </c>
      <c r="AT32" s="421" t="str">
        <f>IF(Summary_Products!AT16="","",INDEX(Translations!$C:$C,MATCH(Summary_Products!AT16,Translations!$B:$B,0)))</f>
        <v/>
      </c>
      <c r="AU32" s="615" t="str">
        <f>IF(Summary_Products!AU16="","",Summary_Products!AU16)</f>
        <v/>
      </c>
      <c r="AV32" s="473" t="str">
        <f>IF(Summary_Products!AV16="","",Summary_Products!AV16)</f>
        <v/>
      </c>
      <c r="AW32" s="474" t="str">
        <f>IF(Summary_Products!AW16="","",Summary_Products!AW16)</f>
        <v/>
      </c>
      <c r="AX32" s="477" t="str">
        <f>IF(Summary_Products!AX16="","",Summary_Products!AX16)</f>
        <v/>
      </c>
      <c r="AY32" s="474" t="str">
        <f>IF(Summary_Products!AY16="","",Summary_Products!AY16)</f>
        <v/>
      </c>
      <c r="AZ32" s="477" t="str">
        <f>IF(Summary_Products!AZ16="","",Summary_Products!AZ16)</f>
        <v/>
      </c>
      <c r="BA32" s="478" t="str">
        <f>IF(Summary_Products!BA16="","",Summary_Products!BA16)</f>
        <v/>
      </c>
      <c r="BD32" s="156"/>
      <c r="BE32" s="156"/>
      <c r="BF32" s="156"/>
      <c r="BG32" s="156"/>
    </row>
    <row r="33" spans="2:59" ht="12.75" customHeight="1" x14ac:dyDescent="0.25">
      <c r="B33" s="277"/>
      <c r="C33" s="777">
        <v>8</v>
      </c>
      <c r="D33" s="766" t="str">
        <f>IF(Summary_Products!D17="","",Summary_Products!D17)</f>
        <v/>
      </c>
      <c r="E33" s="421" t="str">
        <f>IF(Summary_Products!E17="","",INDEX(Translations!$C:$C,MATCH(Summary_Products!E17,Translations!$B:$B,0)))</f>
        <v/>
      </c>
      <c r="F33" s="781" t="str">
        <f>IF(Summary_Products!F17="","",Summary_Products!F17)</f>
        <v/>
      </c>
      <c r="G33" s="766" t="str">
        <f>IF(F33="","",INDEX(Parameters_CNCodes!$H$4:$H$572,MATCH(F33,CNCodes_ListKey,0)))</f>
        <v/>
      </c>
      <c r="H33" s="766" t="str">
        <f>IF(Summary_Products!H17="","",Summary_Products!H17)</f>
        <v/>
      </c>
      <c r="I33" s="782" t="str">
        <f>IF(Summary_Products!I17="","",Summary_Products!I17)</f>
        <v/>
      </c>
      <c r="J33" s="782" t="str">
        <f>IF(Summary_Products!J17="","",Summary_Products!J17)</f>
        <v/>
      </c>
      <c r="K33" s="782" t="str">
        <f>IF(Summary_Products!K17="","",Summary_Products!K17)</f>
        <v/>
      </c>
      <c r="L33" s="782" t="str">
        <f>IF(Summary_Products!L17="","",Summary_Products!L17)</f>
        <v/>
      </c>
      <c r="M33" s="783" t="str">
        <f>IF(Summary_Products!M17="","",Summary_Products!M17)</f>
        <v/>
      </c>
      <c r="N33" s="782" t="str">
        <f>IF(Summary_Products!N17="","",Summary_Products!N17)</f>
        <v/>
      </c>
      <c r="O33" s="782" t="str">
        <f>IF(Summary_Products!O17="","",Summary_Products!O17)</f>
        <v/>
      </c>
      <c r="P33" s="782" t="str">
        <f t="shared" si="0"/>
        <v/>
      </c>
      <c r="Q33" s="160" t="str">
        <f>IF(Summary_Products!P17="","",INDEX(Translations!$C:$C,MATCH(Summary_Products!P17,Translations!$B:$B,0)))</f>
        <v/>
      </c>
      <c r="R33" s="160" t="str">
        <f>IF(Summary_Products!Q17="","",Summary_Products!Q17)</f>
        <v/>
      </c>
      <c r="S33" s="615" t="str">
        <f>IF(Summary_Products!R17="","",Summary_Products!R17)</f>
        <v/>
      </c>
      <c r="T33" s="615" t="str">
        <f>IF(Summary_Products!S17="","",Summary_Products!S17)</f>
        <v/>
      </c>
      <c r="U33" s="615" t="str">
        <f>IF(Summary_Products!T17="","",Summary_Products!T17)</f>
        <v/>
      </c>
      <c r="V33" s="615" t="str">
        <f>IF(Summary_Products!U17="","",Summary_Products!U17)</f>
        <v/>
      </c>
      <c r="W33" s="615" t="str">
        <f>IF(Summary_Products!V17="","",Summary_Products!V17)</f>
        <v/>
      </c>
      <c r="X33" s="615" t="str">
        <f>IF(Summary_Products!W17="","",Summary_Products!W17)</f>
        <v/>
      </c>
      <c r="Y33" s="615" t="str">
        <f>IF(Summary_Products!X17="","",Summary_Products!X17)</f>
        <v/>
      </c>
      <c r="Z33" s="615" t="str">
        <f>IF(Summary_Products!Y17="","",Summary_Products!Y17)</f>
        <v/>
      </c>
      <c r="AA33" s="615" t="str">
        <f>IF(Summary_Products!Z17="","",Summary_Products!Z17)</f>
        <v/>
      </c>
      <c r="AB33" s="615" t="str">
        <f>IF(Summary_Products!AA17="","",Summary_Products!AA17)</f>
        <v/>
      </c>
      <c r="AC33" s="615" t="str">
        <f>IF(Summary_Products!AB17="","",Summary_Products!AB17)</f>
        <v/>
      </c>
      <c r="AD33" s="615" t="str">
        <f>IF(Summary_Products!AC17="","",Summary_Products!AC17)</f>
        <v/>
      </c>
      <c r="AE33" s="615" t="str">
        <f>IF(Summary_Products!AD17="","",Summary_Products!AD17)</f>
        <v/>
      </c>
      <c r="AF33" s="615" t="str">
        <f>IF(Summary_Products!AE17="","",Summary_Products!AE17)</f>
        <v/>
      </c>
      <c r="AG33" s="615" t="str">
        <f>IF(Summary_Products!AF17="","",Summary_Products!AF17)</f>
        <v/>
      </c>
      <c r="AH33" s="615" t="str">
        <f>IF(Summary_Products!AG17="","",Summary_Products!AG17)</f>
        <v/>
      </c>
      <c r="AI33" s="615" t="str">
        <f>IF(Summary_Products!AH17="","",Summary_Products!AH17)</f>
        <v/>
      </c>
      <c r="AJ33" s="615" t="str">
        <f>IF(Summary_Products!AI17="","",Summary_Products!AI17)</f>
        <v/>
      </c>
      <c r="AK33" s="615" t="str">
        <f>IF(Summary_Products!AJ17="","",Summary_Products!AJ17)</f>
        <v/>
      </c>
      <c r="AL33" s="615" t="str">
        <f>IF(Summary_Products!AK17="","",Summary_Products!AK17)</f>
        <v/>
      </c>
      <c r="AM33" s="421" t="str">
        <f>IF(Summary_Products!AL17="","",INDEX(Translations!$C:$C,MATCH(Summary_Products!AL17,Translations!$B:$B,0)))</f>
        <v/>
      </c>
      <c r="AN33" s="615" t="str">
        <f>IF(Summary_Products!AM17="","",Summary_Products!AM17)</f>
        <v/>
      </c>
      <c r="AO33" s="473" t="str">
        <f>IF(Summary_Products!AN17="","",Summary_Products!AN17)</f>
        <v/>
      </c>
      <c r="AP33" s="474" t="str">
        <f>IF(Summary_Products!AO17="","",Summary_Products!AO17)</f>
        <v/>
      </c>
      <c r="AQ33" s="160" t="str">
        <f>IF(Summary_Products!AP17="","",Summary_Products!AP17)</f>
        <v/>
      </c>
      <c r="AR33" s="477" t="str">
        <f>IF(Summary_Products!AR17="","",Summary_Products!AR17)</f>
        <v/>
      </c>
      <c r="AS33" s="474" t="str">
        <f>IF(Summary_Products!AS17="","",Summary_Products!AS17)</f>
        <v/>
      </c>
      <c r="AT33" s="421" t="str">
        <f>IF(Summary_Products!AT17="","",INDEX(Translations!$C:$C,MATCH(Summary_Products!AT17,Translations!$B:$B,0)))</f>
        <v/>
      </c>
      <c r="AU33" s="615" t="str">
        <f>IF(Summary_Products!AU17="","",Summary_Products!AU17)</f>
        <v/>
      </c>
      <c r="AV33" s="473" t="str">
        <f>IF(Summary_Products!AV17="","",Summary_Products!AV17)</f>
        <v/>
      </c>
      <c r="AW33" s="474" t="str">
        <f>IF(Summary_Products!AW17="","",Summary_Products!AW17)</f>
        <v/>
      </c>
      <c r="AX33" s="477" t="str">
        <f>IF(Summary_Products!AX17="","",Summary_Products!AX17)</f>
        <v/>
      </c>
      <c r="AY33" s="474" t="str">
        <f>IF(Summary_Products!AY17="","",Summary_Products!AY17)</f>
        <v/>
      </c>
      <c r="AZ33" s="477" t="str">
        <f>IF(Summary_Products!AZ17="","",Summary_Products!AZ17)</f>
        <v/>
      </c>
      <c r="BA33" s="478" t="str">
        <f>IF(Summary_Products!BA17="","",Summary_Products!BA17)</f>
        <v/>
      </c>
      <c r="BD33" s="156"/>
      <c r="BE33" s="156"/>
      <c r="BF33" s="156"/>
      <c r="BG33" s="156"/>
    </row>
    <row r="34" spans="2:59" ht="12.75" customHeight="1" x14ac:dyDescent="0.25">
      <c r="B34" s="277"/>
      <c r="C34" s="777">
        <v>9</v>
      </c>
      <c r="D34" s="766" t="str">
        <f>IF(Summary_Products!D18="","",Summary_Products!D18)</f>
        <v/>
      </c>
      <c r="E34" s="421" t="str">
        <f>IF(Summary_Products!E18="","",INDEX(Translations!$C:$C,MATCH(Summary_Products!E18,Translations!$B:$B,0)))</f>
        <v/>
      </c>
      <c r="F34" s="781" t="str">
        <f>IF(Summary_Products!F18="","",Summary_Products!F18)</f>
        <v/>
      </c>
      <c r="G34" s="766" t="str">
        <f>IF(F34="","",INDEX(Parameters_CNCodes!$H$4:$H$572,MATCH(F34,CNCodes_ListKey,0)))</f>
        <v/>
      </c>
      <c r="H34" s="766" t="str">
        <f>IF(Summary_Products!H18="","",Summary_Products!H18)</f>
        <v/>
      </c>
      <c r="I34" s="782" t="str">
        <f>IF(Summary_Products!I18="","",Summary_Products!I18)</f>
        <v/>
      </c>
      <c r="J34" s="782" t="str">
        <f>IF(Summary_Products!J18="","",Summary_Products!J18)</f>
        <v/>
      </c>
      <c r="K34" s="782" t="str">
        <f>IF(Summary_Products!K18="","",Summary_Products!K18)</f>
        <v/>
      </c>
      <c r="L34" s="782" t="str">
        <f>IF(Summary_Products!L18="","",Summary_Products!L18)</f>
        <v/>
      </c>
      <c r="M34" s="783" t="str">
        <f>IF(Summary_Products!M18="","",Summary_Products!M18)</f>
        <v/>
      </c>
      <c r="N34" s="782" t="str">
        <f>IF(Summary_Products!N18="","",Summary_Products!N18)</f>
        <v/>
      </c>
      <c r="O34" s="782" t="str">
        <f>IF(Summary_Products!O18="","",Summary_Products!O18)</f>
        <v/>
      </c>
      <c r="P34" s="782" t="str">
        <f t="shared" si="0"/>
        <v/>
      </c>
      <c r="Q34" s="160" t="str">
        <f>IF(Summary_Products!P18="","",INDEX(Translations!$C:$C,MATCH(Summary_Products!P18,Translations!$B:$B,0)))</f>
        <v/>
      </c>
      <c r="R34" s="160" t="str">
        <f>IF(Summary_Products!Q18="","",Summary_Products!Q18)</f>
        <v/>
      </c>
      <c r="S34" s="615" t="str">
        <f>IF(Summary_Products!R18="","",Summary_Products!R18)</f>
        <v/>
      </c>
      <c r="T34" s="615" t="str">
        <f>IF(Summary_Products!S18="","",Summary_Products!S18)</f>
        <v/>
      </c>
      <c r="U34" s="615" t="str">
        <f>IF(Summary_Products!T18="","",Summary_Products!T18)</f>
        <v/>
      </c>
      <c r="V34" s="615" t="str">
        <f>IF(Summary_Products!U18="","",Summary_Products!U18)</f>
        <v/>
      </c>
      <c r="W34" s="615" t="str">
        <f>IF(Summary_Products!V18="","",Summary_Products!V18)</f>
        <v/>
      </c>
      <c r="X34" s="615" t="str">
        <f>IF(Summary_Products!W18="","",Summary_Products!W18)</f>
        <v/>
      </c>
      <c r="Y34" s="615" t="str">
        <f>IF(Summary_Products!X18="","",Summary_Products!X18)</f>
        <v/>
      </c>
      <c r="Z34" s="615" t="str">
        <f>IF(Summary_Products!Y18="","",Summary_Products!Y18)</f>
        <v/>
      </c>
      <c r="AA34" s="615" t="str">
        <f>IF(Summary_Products!Z18="","",Summary_Products!Z18)</f>
        <v/>
      </c>
      <c r="AB34" s="615" t="str">
        <f>IF(Summary_Products!AA18="","",Summary_Products!AA18)</f>
        <v/>
      </c>
      <c r="AC34" s="615" t="str">
        <f>IF(Summary_Products!AB18="","",Summary_Products!AB18)</f>
        <v/>
      </c>
      <c r="AD34" s="615" t="str">
        <f>IF(Summary_Products!AC18="","",Summary_Products!AC18)</f>
        <v/>
      </c>
      <c r="AE34" s="615" t="str">
        <f>IF(Summary_Products!AD18="","",Summary_Products!AD18)</f>
        <v/>
      </c>
      <c r="AF34" s="615" t="str">
        <f>IF(Summary_Products!AE18="","",Summary_Products!AE18)</f>
        <v/>
      </c>
      <c r="AG34" s="615" t="str">
        <f>IF(Summary_Products!AF18="","",Summary_Products!AF18)</f>
        <v/>
      </c>
      <c r="AH34" s="615" t="str">
        <f>IF(Summary_Products!AG18="","",Summary_Products!AG18)</f>
        <v/>
      </c>
      <c r="AI34" s="615" t="str">
        <f>IF(Summary_Products!AH18="","",Summary_Products!AH18)</f>
        <v/>
      </c>
      <c r="AJ34" s="615" t="str">
        <f>IF(Summary_Products!AI18="","",Summary_Products!AI18)</f>
        <v/>
      </c>
      <c r="AK34" s="615" t="str">
        <f>IF(Summary_Products!AJ18="","",Summary_Products!AJ18)</f>
        <v/>
      </c>
      <c r="AL34" s="615" t="str">
        <f>IF(Summary_Products!AK18="","",Summary_Products!AK18)</f>
        <v/>
      </c>
      <c r="AM34" s="421" t="str">
        <f>IF(Summary_Products!AL18="","",INDEX(Translations!$C:$C,MATCH(Summary_Products!AL18,Translations!$B:$B,0)))</f>
        <v/>
      </c>
      <c r="AN34" s="615" t="str">
        <f>IF(Summary_Products!AM18="","",Summary_Products!AM18)</f>
        <v/>
      </c>
      <c r="AO34" s="473" t="str">
        <f>IF(Summary_Products!AN18="","",Summary_Products!AN18)</f>
        <v/>
      </c>
      <c r="AP34" s="474" t="str">
        <f>IF(Summary_Products!AO18="","",Summary_Products!AO18)</f>
        <v/>
      </c>
      <c r="AQ34" s="160" t="str">
        <f>IF(Summary_Products!AP18="","",Summary_Products!AP18)</f>
        <v/>
      </c>
      <c r="AR34" s="477" t="str">
        <f>IF(Summary_Products!AR18="","",Summary_Products!AR18)</f>
        <v/>
      </c>
      <c r="AS34" s="474" t="str">
        <f>IF(Summary_Products!AS18="","",Summary_Products!AS18)</f>
        <v/>
      </c>
      <c r="AT34" s="421" t="str">
        <f>IF(Summary_Products!AT18="","",INDEX(Translations!$C:$C,MATCH(Summary_Products!AT18,Translations!$B:$B,0)))</f>
        <v/>
      </c>
      <c r="AU34" s="615" t="str">
        <f>IF(Summary_Products!AU18="","",Summary_Products!AU18)</f>
        <v/>
      </c>
      <c r="AV34" s="473" t="str">
        <f>IF(Summary_Products!AV18="","",Summary_Products!AV18)</f>
        <v/>
      </c>
      <c r="AW34" s="474" t="str">
        <f>IF(Summary_Products!AW18="","",Summary_Products!AW18)</f>
        <v/>
      </c>
      <c r="AX34" s="477" t="str">
        <f>IF(Summary_Products!AX18="","",Summary_Products!AX18)</f>
        <v/>
      </c>
      <c r="AY34" s="474" t="str">
        <f>IF(Summary_Products!AY18="","",Summary_Products!AY18)</f>
        <v/>
      </c>
      <c r="AZ34" s="477" t="str">
        <f>IF(Summary_Products!AZ18="","",Summary_Products!AZ18)</f>
        <v/>
      </c>
      <c r="BA34" s="478" t="str">
        <f>IF(Summary_Products!BA18="","",Summary_Products!BA18)</f>
        <v/>
      </c>
      <c r="BD34" s="156"/>
      <c r="BE34" s="156"/>
      <c r="BF34" s="156"/>
      <c r="BG34" s="156"/>
    </row>
    <row r="35" spans="2:59" ht="12.75" customHeight="1" x14ac:dyDescent="0.25">
      <c r="B35" s="277"/>
      <c r="C35" s="777">
        <v>10</v>
      </c>
      <c r="D35" s="766" t="str">
        <f>IF(Summary_Products!D19="","",Summary_Products!D19)</f>
        <v/>
      </c>
      <c r="E35" s="421" t="str">
        <f>IF(Summary_Products!E19="","",INDEX(Translations!$C:$C,MATCH(Summary_Products!E19,Translations!$B:$B,0)))</f>
        <v/>
      </c>
      <c r="F35" s="781" t="str">
        <f>IF(Summary_Products!F19="","",Summary_Products!F19)</f>
        <v/>
      </c>
      <c r="G35" s="766" t="str">
        <f>IF(F35="","",INDEX(Parameters_CNCodes!$H$4:$H$572,MATCH(F35,CNCodes_ListKey,0)))</f>
        <v/>
      </c>
      <c r="H35" s="766" t="str">
        <f>IF(Summary_Products!H19="","",Summary_Products!H19)</f>
        <v/>
      </c>
      <c r="I35" s="782" t="str">
        <f>IF(Summary_Products!I19="","",Summary_Products!I19)</f>
        <v/>
      </c>
      <c r="J35" s="782" t="str">
        <f>IF(Summary_Products!J19="","",Summary_Products!J19)</f>
        <v/>
      </c>
      <c r="K35" s="782" t="str">
        <f>IF(Summary_Products!K19="","",Summary_Products!K19)</f>
        <v/>
      </c>
      <c r="L35" s="782" t="str">
        <f>IF(Summary_Products!L19="","",Summary_Products!L19)</f>
        <v/>
      </c>
      <c r="M35" s="783" t="str">
        <f>IF(Summary_Products!M19="","",Summary_Products!M19)</f>
        <v/>
      </c>
      <c r="N35" s="782" t="str">
        <f>IF(Summary_Products!N19="","",Summary_Products!N19)</f>
        <v/>
      </c>
      <c r="O35" s="782" t="str">
        <f>IF(Summary_Products!O19="","",Summary_Products!O19)</f>
        <v/>
      </c>
      <c r="P35" s="782" t="str">
        <f t="shared" si="0"/>
        <v/>
      </c>
      <c r="Q35" s="160" t="str">
        <f>IF(Summary_Products!P19="","",INDEX(Translations!$C:$C,MATCH(Summary_Products!P19,Translations!$B:$B,0)))</f>
        <v/>
      </c>
      <c r="R35" s="160" t="str">
        <f>IF(Summary_Products!Q19="","",Summary_Products!Q19)</f>
        <v/>
      </c>
      <c r="S35" s="615" t="str">
        <f>IF(Summary_Products!R19="","",Summary_Products!R19)</f>
        <v/>
      </c>
      <c r="T35" s="615" t="str">
        <f>IF(Summary_Products!S19="","",Summary_Products!S19)</f>
        <v/>
      </c>
      <c r="U35" s="615" t="str">
        <f>IF(Summary_Products!T19="","",Summary_Products!T19)</f>
        <v/>
      </c>
      <c r="V35" s="615" t="str">
        <f>IF(Summary_Products!U19="","",Summary_Products!U19)</f>
        <v/>
      </c>
      <c r="W35" s="615" t="str">
        <f>IF(Summary_Products!V19="","",Summary_Products!V19)</f>
        <v/>
      </c>
      <c r="X35" s="615" t="str">
        <f>IF(Summary_Products!W19="","",Summary_Products!W19)</f>
        <v/>
      </c>
      <c r="Y35" s="615" t="str">
        <f>IF(Summary_Products!X19="","",Summary_Products!X19)</f>
        <v/>
      </c>
      <c r="Z35" s="615" t="str">
        <f>IF(Summary_Products!Y19="","",Summary_Products!Y19)</f>
        <v/>
      </c>
      <c r="AA35" s="615" t="str">
        <f>IF(Summary_Products!Z19="","",Summary_Products!Z19)</f>
        <v/>
      </c>
      <c r="AB35" s="615" t="str">
        <f>IF(Summary_Products!AA19="","",Summary_Products!AA19)</f>
        <v/>
      </c>
      <c r="AC35" s="615" t="str">
        <f>IF(Summary_Products!AB19="","",Summary_Products!AB19)</f>
        <v/>
      </c>
      <c r="AD35" s="615" t="str">
        <f>IF(Summary_Products!AC19="","",Summary_Products!AC19)</f>
        <v/>
      </c>
      <c r="AE35" s="615" t="str">
        <f>IF(Summary_Products!AD19="","",Summary_Products!AD19)</f>
        <v/>
      </c>
      <c r="AF35" s="615" t="str">
        <f>IF(Summary_Products!AE19="","",Summary_Products!AE19)</f>
        <v/>
      </c>
      <c r="AG35" s="615" t="str">
        <f>IF(Summary_Products!AF19="","",Summary_Products!AF19)</f>
        <v/>
      </c>
      <c r="AH35" s="615" t="str">
        <f>IF(Summary_Products!AG19="","",Summary_Products!AG19)</f>
        <v/>
      </c>
      <c r="AI35" s="615" t="str">
        <f>IF(Summary_Products!AH19="","",Summary_Products!AH19)</f>
        <v/>
      </c>
      <c r="AJ35" s="615" t="str">
        <f>IF(Summary_Products!AI19="","",Summary_Products!AI19)</f>
        <v/>
      </c>
      <c r="AK35" s="615" t="str">
        <f>IF(Summary_Products!AJ19="","",Summary_Products!AJ19)</f>
        <v/>
      </c>
      <c r="AL35" s="615" t="str">
        <f>IF(Summary_Products!AK19="","",Summary_Products!AK19)</f>
        <v/>
      </c>
      <c r="AM35" s="421" t="str">
        <f>IF(Summary_Products!AL19="","",INDEX(Translations!$C:$C,MATCH(Summary_Products!AL19,Translations!$B:$B,0)))</f>
        <v/>
      </c>
      <c r="AN35" s="615" t="str">
        <f>IF(Summary_Products!AM19="","",Summary_Products!AM19)</f>
        <v/>
      </c>
      <c r="AO35" s="473" t="str">
        <f>IF(Summary_Products!AN19="","",Summary_Products!AN19)</f>
        <v/>
      </c>
      <c r="AP35" s="474" t="str">
        <f>IF(Summary_Products!AO19="","",Summary_Products!AO19)</f>
        <v/>
      </c>
      <c r="AQ35" s="160" t="str">
        <f>IF(Summary_Products!AP19="","",Summary_Products!AP19)</f>
        <v/>
      </c>
      <c r="AR35" s="477" t="str">
        <f>IF(Summary_Products!AR19="","",Summary_Products!AR19)</f>
        <v/>
      </c>
      <c r="AS35" s="474" t="str">
        <f>IF(Summary_Products!AS19="","",Summary_Products!AS19)</f>
        <v/>
      </c>
      <c r="AT35" s="421" t="str">
        <f>IF(Summary_Products!AT19="","",INDEX(Translations!$C:$C,MATCH(Summary_Products!AT19,Translations!$B:$B,0)))</f>
        <v/>
      </c>
      <c r="AU35" s="615" t="str">
        <f>IF(Summary_Products!AU19="","",Summary_Products!AU19)</f>
        <v/>
      </c>
      <c r="AV35" s="473" t="str">
        <f>IF(Summary_Products!AV19="","",Summary_Products!AV19)</f>
        <v/>
      </c>
      <c r="AW35" s="474" t="str">
        <f>IF(Summary_Products!AW19="","",Summary_Products!AW19)</f>
        <v/>
      </c>
      <c r="AX35" s="477" t="str">
        <f>IF(Summary_Products!AX19="","",Summary_Products!AX19)</f>
        <v/>
      </c>
      <c r="AY35" s="474" t="str">
        <f>IF(Summary_Products!AY19="","",Summary_Products!AY19)</f>
        <v/>
      </c>
      <c r="AZ35" s="477" t="str">
        <f>IF(Summary_Products!AZ19="","",Summary_Products!AZ19)</f>
        <v/>
      </c>
      <c r="BA35" s="478" t="str">
        <f>IF(Summary_Products!BA19="","",Summary_Products!BA19)</f>
        <v/>
      </c>
      <c r="BD35" s="156"/>
      <c r="BE35" s="156"/>
      <c r="BF35" s="156"/>
      <c r="BG35" s="156"/>
    </row>
    <row r="36" spans="2:59" ht="12.75" customHeight="1" x14ac:dyDescent="0.25">
      <c r="B36" s="277"/>
      <c r="C36" s="777">
        <v>11</v>
      </c>
      <c r="D36" s="766" t="str">
        <f>IF(Summary_Products!D20="","",Summary_Products!D20)</f>
        <v/>
      </c>
      <c r="E36" s="421" t="str">
        <f>IF(Summary_Products!E20="","",INDEX(Translations!$C:$C,MATCH(Summary_Products!E20,Translations!$B:$B,0)))</f>
        <v/>
      </c>
      <c r="F36" s="781" t="str">
        <f>IF(Summary_Products!F20="","",Summary_Products!F20)</f>
        <v/>
      </c>
      <c r="G36" s="766" t="str">
        <f>IF(F36="","",INDEX(Parameters_CNCodes!$H$4:$H$572,MATCH(F36,CNCodes_ListKey,0)))</f>
        <v/>
      </c>
      <c r="H36" s="766" t="str">
        <f>IF(Summary_Products!H20="","",Summary_Products!H20)</f>
        <v/>
      </c>
      <c r="I36" s="782" t="str">
        <f>IF(Summary_Products!I20="","",Summary_Products!I20)</f>
        <v/>
      </c>
      <c r="J36" s="782" t="str">
        <f>IF(Summary_Products!J20="","",Summary_Products!J20)</f>
        <v/>
      </c>
      <c r="K36" s="782" t="str">
        <f>IF(Summary_Products!K20="","",Summary_Products!K20)</f>
        <v/>
      </c>
      <c r="L36" s="782" t="str">
        <f>IF(Summary_Products!L20="","",Summary_Products!L20)</f>
        <v/>
      </c>
      <c r="M36" s="783" t="str">
        <f>IF(Summary_Products!M20="","",Summary_Products!M20)</f>
        <v/>
      </c>
      <c r="N36" s="782" t="str">
        <f>IF(Summary_Products!N20="","",Summary_Products!N20)</f>
        <v/>
      </c>
      <c r="O36" s="782" t="str">
        <f>IF(Summary_Products!O20="","",Summary_Products!O20)</f>
        <v/>
      </c>
      <c r="P36" s="782" t="str">
        <f t="shared" si="0"/>
        <v/>
      </c>
      <c r="Q36" s="160" t="str">
        <f>IF(Summary_Products!P20="","",INDEX(Translations!$C:$C,MATCH(Summary_Products!P20,Translations!$B:$B,0)))</f>
        <v/>
      </c>
      <c r="R36" s="160" t="str">
        <f>IF(Summary_Products!Q20="","",Summary_Products!Q20)</f>
        <v/>
      </c>
      <c r="S36" s="615" t="str">
        <f>IF(Summary_Products!R20="","",Summary_Products!R20)</f>
        <v/>
      </c>
      <c r="T36" s="615" t="str">
        <f>IF(Summary_Products!S20="","",Summary_Products!S20)</f>
        <v/>
      </c>
      <c r="U36" s="615" t="str">
        <f>IF(Summary_Products!T20="","",Summary_Products!T20)</f>
        <v/>
      </c>
      <c r="V36" s="615" t="str">
        <f>IF(Summary_Products!U20="","",Summary_Products!U20)</f>
        <v/>
      </c>
      <c r="W36" s="615" t="str">
        <f>IF(Summary_Products!V20="","",Summary_Products!V20)</f>
        <v/>
      </c>
      <c r="X36" s="615" t="str">
        <f>IF(Summary_Products!W20="","",Summary_Products!W20)</f>
        <v/>
      </c>
      <c r="Y36" s="615" t="str">
        <f>IF(Summary_Products!X20="","",Summary_Products!X20)</f>
        <v/>
      </c>
      <c r="Z36" s="615" t="str">
        <f>IF(Summary_Products!Y20="","",Summary_Products!Y20)</f>
        <v/>
      </c>
      <c r="AA36" s="615" t="str">
        <f>IF(Summary_Products!Z20="","",Summary_Products!Z20)</f>
        <v/>
      </c>
      <c r="AB36" s="615" t="str">
        <f>IF(Summary_Products!AA20="","",Summary_Products!AA20)</f>
        <v/>
      </c>
      <c r="AC36" s="615" t="str">
        <f>IF(Summary_Products!AB20="","",Summary_Products!AB20)</f>
        <v/>
      </c>
      <c r="AD36" s="615" t="str">
        <f>IF(Summary_Products!AC20="","",Summary_Products!AC20)</f>
        <v/>
      </c>
      <c r="AE36" s="615" t="str">
        <f>IF(Summary_Products!AD20="","",Summary_Products!AD20)</f>
        <v/>
      </c>
      <c r="AF36" s="615" t="str">
        <f>IF(Summary_Products!AE20="","",Summary_Products!AE20)</f>
        <v/>
      </c>
      <c r="AG36" s="615" t="str">
        <f>IF(Summary_Products!AF20="","",Summary_Products!AF20)</f>
        <v/>
      </c>
      <c r="AH36" s="615" t="str">
        <f>IF(Summary_Products!AG20="","",Summary_Products!AG20)</f>
        <v/>
      </c>
      <c r="AI36" s="615" t="str">
        <f>IF(Summary_Products!AH20="","",Summary_Products!AH20)</f>
        <v/>
      </c>
      <c r="AJ36" s="615" t="str">
        <f>IF(Summary_Products!AI20="","",Summary_Products!AI20)</f>
        <v/>
      </c>
      <c r="AK36" s="615" t="str">
        <f>IF(Summary_Products!AJ20="","",Summary_Products!AJ20)</f>
        <v/>
      </c>
      <c r="AL36" s="615" t="str">
        <f>IF(Summary_Products!AK20="","",Summary_Products!AK20)</f>
        <v/>
      </c>
      <c r="AM36" s="421" t="str">
        <f>IF(Summary_Products!AL20="","",INDEX(Translations!$C:$C,MATCH(Summary_Products!AL20,Translations!$B:$B,0)))</f>
        <v/>
      </c>
      <c r="AN36" s="615" t="str">
        <f>IF(Summary_Products!AM20="","",Summary_Products!AM20)</f>
        <v/>
      </c>
      <c r="AO36" s="473" t="str">
        <f>IF(Summary_Products!AN20="","",Summary_Products!AN20)</f>
        <v/>
      </c>
      <c r="AP36" s="474" t="str">
        <f>IF(Summary_Products!AO20="","",Summary_Products!AO20)</f>
        <v/>
      </c>
      <c r="AQ36" s="160" t="str">
        <f>IF(Summary_Products!AP20="","",Summary_Products!AP20)</f>
        <v/>
      </c>
      <c r="AR36" s="477" t="str">
        <f>IF(Summary_Products!AR20="","",Summary_Products!AR20)</f>
        <v/>
      </c>
      <c r="AS36" s="474" t="str">
        <f>IF(Summary_Products!AS20="","",Summary_Products!AS20)</f>
        <v/>
      </c>
      <c r="AT36" s="421" t="str">
        <f>IF(Summary_Products!AT20="","",INDEX(Translations!$C:$C,MATCH(Summary_Products!AT20,Translations!$B:$B,0)))</f>
        <v/>
      </c>
      <c r="AU36" s="615" t="str">
        <f>IF(Summary_Products!AU20="","",Summary_Products!AU20)</f>
        <v/>
      </c>
      <c r="AV36" s="473" t="str">
        <f>IF(Summary_Products!AV20="","",Summary_Products!AV20)</f>
        <v/>
      </c>
      <c r="AW36" s="474" t="str">
        <f>IF(Summary_Products!AW20="","",Summary_Products!AW20)</f>
        <v/>
      </c>
      <c r="AX36" s="477" t="str">
        <f>IF(Summary_Products!AX20="","",Summary_Products!AX20)</f>
        <v/>
      </c>
      <c r="AY36" s="474" t="str">
        <f>IF(Summary_Products!AY20="","",Summary_Products!AY20)</f>
        <v/>
      </c>
      <c r="AZ36" s="477" t="str">
        <f>IF(Summary_Products!AZ20="","",Summary_Products!AZ20)</f>
        <v/>
      </c>
      <c r="BA36" s="478" t="str">
        <f>IF(Summary_Products!BA20="","",Summary_Products!BA20)</f>
        <v/>
      </c>
      <c r="BD36" s="156"/>
      <c r="BE36" s="156"/>
      <c r="BF36" s="156"/>
      <c r="BG36" s="156"/>
    </row>
    <row r="37" spans="2:59" ht="12.75" customHeight="1" x14ac:dyDescent="0.25">
      <c r="B37" s="277"/>
      <c r="C37" s="777">
        <v>12</v>
      </c>
      <c r="D37" s="766" t="str">
        <f>IF(Summary_Products!D21="","",Summary_Products!D21)</f>
        <v/>
      </c>
      <c r="E37" s="421" t="str">
        <f>IF(Summary_Products!E21="","",INDEX(Translations!$C:$C,MATCH(Summary_Products!E21,Translations!$B:$B,0)))</f>
        <v/>
      </c>
      <c r="F37" s="781" t="str">
        <f>IF(Summary_Products!F21="","",Summary_Products!F21)</f>
        <v/>
      </c>
      <c r="G37" s="766" t="str">
        <f>IF(F37="","",INDEX(Parameters_CNCodes!$H$4:$H$572,MATCH(F37,CNCodes_ListKey,0)))</f>
        <v/>
      </c>
      <c r="H37" s="766" t="str">
        <f>IF(Summary_Products!H21="","",Summary_Products!H21)</f>
        <v/>
      </c>
      <c r="I37" s="782" t="str">
        <f>IF(Summary_Products!I21="","",Summary_Products!I21)</f>
        <v/>
      </c>
      <c r="J37" s="782" t="str">
        <f>IF(Summary_Products!J21="","",Summary_Products!J21)</f>
        <v/>
      </c>
      <c r="K37" s="782" t="str">
        <f>IF(Summary_Products!K21="","",Summary_Products!K21)</f>
        <v/>
      </c>
      <c r="L37" s="782" t="str">
        <f>IF(Summary_Products!L21="","",Summary_Products!L21)</f>
        <v/>
      </c>
      <c r="M37" s="783" t="str">
        <f>IF(Summary_Products!M21="","",Summary_Products!M21)</f>
        <v/>
      </c>
      <c r="N37" s="782" t="str">
        <f>IF(Summary_Products!N21="","",Summary_Products!N21)</f>
        <v/>
      </c>
      <c r="O37" s="782" t="str">
        <f>IF(Summary_Products!O21="","",Summary_Products!O21)</f>
        <v/>
      </c>
      <c r="P37" s="782" t="str">
        <f t="shared" si="0"/>
        <v/>
      </c>
      <c r="Q37" s="160" t="str">
        <f>IF(Summary_Products!P21="","",INDEX(Translations!$C:$C,MATCH(Summary_Products!P21,Translations!$B:$B,0)))</f>
        <v/>
      </c>
      <c r="R37" s="160" t="str">
        <f>IF(Summary_Products!Q21="","",Summary_Products!Q21)</f>
        <v/>
      </c>
      <c r="S37" s="615" t="str">
        <f>IF(Summary_Products!R21="","",Summary_Products!R21)</f>
        <v/>
      </c>
      <c r="T37" s="615" t="str">
        <f>IF(Summary_Products!S21="","",Summary_Products!S21)</f>
        <v/>
      </c>
      <c r="U37" s="615" t="str">
        <f>IF(Summary_Products!T21="","",Summary_Products!T21)</f>
        <v/>
      </c>
      <c r="V37" s="615" t="str">
        <f>IF(Summary_Products!U21="","",Summary_Products!U21)</f>
        <v/>
      </c>
      <c r="W37" s="615" t="str">
        <f>IF(Summary_Products!V21="","",Summary_Products!V21)</f>
        <v/>
      </c>
      <c r="X37" s="615" t="str">
        <f>IF(Summary_Products!W21="","",Summary_Products!W21)</f>
        <v/>
      </c>
      <c r="Y37" s="615" t="str">
        <f>IF(Summary_Products!X21="","",Summary_Products!X21)</f>
        <v/>
      </c>
      <c r="Z37" s="615" t="str">
        <f>IF(Summary_Products!Y21="","",Summary_Products!Y21)</f>
        <v/>
      </c>
      <c r="AA37" s="615" t="str">
        <f>IF(Summary_Products!Z21="","",Summary_Products!Z21)</f>
        <v/>
      </c>
      <c r="AB37" s="615" t="str">
        <f>IF(Summary_Products!AA21="","",Summary_Products!AA21)</f>
        <v/>
      </c>
      <c r="AC37" s="615" t="str">
        <f>IF(Summary_Products!AB21="","",Summary_Products!AB21)</f>
        <v/>
      </c>
      <c r="AD37" s="615" t="str">
        <f>IF(Summary_Products!AC21="","",Summary_Products!AC21)</f>
        <v/>
      </c>
      <c r="AE37" s="615" t="str">
        <f>IF(Summary_Products!AD21="","",Summary_Products!AD21)</f>
        <v/>
      </c>
      <c r="AF37" s="615" t="str">
        <f>IF(Summary_Products!AE21="","",Summary_Products!AE21)</f>
        <v/>
      </c>
      <c r="AG37" s="615" t="str">
        <f>IF(Summary_Products!AF21="","",Summary_Products!AF21)</f>
        <v/>
      </c>
      <c r="AH37" s="615" t="str">
        <f>IF(Summary_Products!AG21="","",Summary_Products!AG21)</f>
        <v/>
      </c>
      <c r="AI37" s="615" t="str">
        <f>IF(Summary_Products!AH21="","",Summary_Products!AH21)</f>
        <v/>
      </c>
      <c r="AJ37" s="615" t="str">
        <f>IF(Summary_Products!AI21="","",Summary_Products!AI21)</f>
        <v/>
      </c>
      <c r="AK37" s="615" t="str">
        <f>IF(Summary_Products!AJ21="","",Summary_Products!AJ21)</f>
        <v/>
      </c>
      <c r="AL37" s="615" t="str">
        <f>IF(Summary_Products!AK21="","",Summary_Products!AK21)</f>
        <v/>
      </c>
      <c r="AM37" s="421" t="str">
        <f>IF(Summary_Products!AL21="","",INDEX(Translations!$C:$C,MATCH(Summary_Products!AL21,Translations!$B:$B,0)))</f>
        <v/>
      </c>
      <c r="AN37" s="615" t="str">
        <f>IF(Summary_Products!AM21="","",Summary_Products!AM21)</f>
        <v/>
      </c>
      <c r="AO37" s="473" t="str">
        <f>IF(Summary_Products!AN21="","",Summary_Products!AN21)</f>
        <v/>
      </c>
      <c r="AP37" s="474" t="str">
        <f>IF(Summary_Products!AO21="","",Summary_Products!AO21)</f>
        <v/>
      </c>
      <c r="AQ37" s="160" t="str">
        <f>IF(Summary_Products!AP21="","",Summary_Products!AP21)</f>
        <v/>
      </c>
      <c r="AR37" s="477" t="str">
        <f>IF(Summary_Products!AR21="","",Summary_Products!AR21)</f>
        <v/>
      </c>
      <c r="AS37" s="474" t="str">
        <f>IF(Summary_Products!AS21="","",Summary_Products!AS21)</f>
        <v/>
      </c>
      <c r="AT37" s="421" t="str">
        <f>IF(Summary_Products!AT21="","",INDEX(Translations!$C:$C,MATCH(Summary_Products!AT21,Translations!$B:$B,0)))</f>
        <v/>
      </c>
      <c r="AU37" s="615" t="str">
        <f>IF(Summary_Products!AU21="","",Summary_Products!AU21)</f>
        <v/>
      </c>
      <c r="AV37" s="473" t="str">
        <f>IF(Summary_Products!AV21="","",Summary_Products!AV21)</f>
        <v/>
      </c>
      <c r="AW37" s="474" t="str">
        <f>IF(Summary_Products!AW21="","",Summary_Products!AW21)</f>
        <v/>
      </c>
      <c r="AX37" s="477" t="str">
        <f>IF(Summary_Products!AX21="","",Summary_Products!AX21)</f>
        <v/>
      </c>
      <c r="AY37" s="474" t="str">
        <f>IF(Summary_Products!AY21="","",Summary_Products!AY21)</f>
        <v/>
      </c>
      <c r="AZ37" s="477" t="str">
        <f>IF(Summary_Products!AZ21="","",Summary_Products!AZ21)</f>
        <v/>
      </c>
      <c r="BA37" s="478" t="str">
        <f>IF(Summary_Products!BA21="","",Summary_Products!BA21)</f>
        <v/>
      </c>
      <c r="BD37" s="156"/>
      <c r="BE37" s="156"/>
      <c r="BF37" s="156"/>
      <c r="BG37" s="156"/>
    </row>
    <row r="38" spans="2:59" ht="12.75" customHeight="1" x14ac:dyDescent="0.25">
      <c r="B38" s="277"/>
      <c r="C38" s="777">
        <v>13</v>
      </c>
      <c r="D38" s="766" t="str">
        <f>IF(Summary_Products!D22="","",Summary_Products!D22)</f>
        <v/>
      </c>
      <c r="E38" s="421" t="str">
        <f>IF(Summary_Products!E22="","",INDEX(Translations!$C:$C,MATCH(Summary_Products!E22,Translations!$B:$B,0)))</f>
        <v/>
      </c>
      <c r="F38" s="781" t="str">
        <f>IF(Summary_Products!F22="","",Summary_Products!F22)</f>
        <v/>
      </c>
      <c r="G38" s="766" t="str">
        <f>IF(F38="","",INDEX(Parameters_CNCodes!$H$4:$H$572,MATCH(F38,CNCodes_ListKey,0)))</f>
        <v/>
      </c>
      <c r="H38" s="766" t="str">
        <f>IF(Summary_Products!H22="","",Summary_Products!H22)</f>
        <v/>
      </c>
      <c r="I38" s="782" t="str">
        <f>IF(Summary_Products!I22="","",Summary_Products!I22)</f>
        <v/>
      </c>
      <c r="J38" s="782" t="str">
        <f>IF(Summary_Products!J22="","",Summary_Products!J22)</f>
        <v/>
      </c>
      <c r="K38" s="782" t="str">
        <f>IF(Summary_Products!K22="","",Summary_Products!K22)</f>
        <v/>
      </c>
      <c r="L38" s="782" t="str">
        <f>IF(Summary_Products!L22="","",Summary_Products!L22)</f>
        <v/>
      </c>
      <c r="M38" s="783" t="str">
        <f>IF(Summary_Products!M22="","",Summary_Products!M22)</f>
        <v/>
      </c>
      <c r="N38" s="782" t="str">
        <f>IF(Summary_Products!N22="","",Summary_Products!N22)</f>
        <v/>
      </c>
      <c r="O38" s="782" t="str">
        <f>IF(Summary_Products!O22="","",Summary_Products!O22)</f>
        <v/>
      </c>
      <c r="P38" s="782" t="str">
        <f t="shared" si="0"/>
        <v/>
      </c>
      <c r="Q38" s="160" t="str">
        <f>IF(Summary_Products!P22="","",INDEX(Translations!$C:$C,MATCH(Summary_Products!P22,Translations!$B:$B,0)))</f>
        <v/>
      </c>
      <c r="R38" s="160" t="str">
        <f>IF(Summary_Products!Q22="","",Summary_Products!Q22)</f>
        <v/>
      </c>
      <c r="S38" s="615" t="str">
        <f>IF(Summary_Products!R22="","",Summary_Products!R22)</f>
        <v/>
      </c>
      <c r="T38" s="615" t="str">
        <f>IF(Summary_Products!S22="","",Summary_Products!S22)</f>
        <v/>
      </c>
      <c r="U38" s="615" t="str">
        <f>IF(Summary_Products!T22="","",Summary_Products!T22)</f>
        <v/>
      </c>
      <c r="V38" s="615" t="str">
        <f>IF(Summary_Products!U22="","",Summary_Products!U22)</f>
        <v/>
      </c>
      <c r="W38" s="615" t="str">
        <f>IF(Summary_Products!V22="","",Summary_Products!V22)</f>
        <v/>
      </c>
      <c r="X38" s="615" t="str">
        <f>IF(Summary_Products!W22="","",Summary_Products!W22)</f>
        <v/>
      </c>
      <c r="Y38" s="615" t="str">
        <f>IF(Summary_Products!X22="","",Summary_Products!X22)</f>
        <v/>
      </c>
      <c r="Z38" s="615" t="str">
        <f>IF(Summary_Products!Y22="","",Summary_Products!Y22)</f>
        <v/>
      </c>
      <c r="AA38" s="615" t="str">
        <f>IF(Summary_Products!Z22="","",Summary_Products!Z22)</f>
        <v/>
      </c>
      <c r="AB38" s="615" t="str">
        <f>IF(Summary_Products!AA22="","",Summary_Products!AA22)</f>
        <v/>
      </c>
      <c r="AC38" s="615" t="str">
        <f>IF(Summary_Products!AB22="","",Summary_Products!AB22)</f>
        <v/>
      </c>
      <c r="AD38" s="615" t="str">
        <f>IF(Summary_Products!AC22="","",Summary_Products!AC22)</f>
        <v/>
      </c>
      <c r="AE38" s="615" t="str">
        <f>IF(Summary_Products!AD22="","",Summary_Products!AD22)</f>
        <v/>
      </c>
      <c r="AF38" s="615" t="str">
        <f>IF(Summary_Products!AE22="","",Summary_Products!AE22)</f>
        <v/>
      </c>
      <c r="AG38" s="615" t="str">
        <f>IF(Summary_Products!AF22="","",Summary_Products!AF22)</f>
        <v/>
      </c>
      <c r="AH38" s="615" t="str">
        <f>IF(Summary_Products!AG22="","",Summary_Products!AG22)</f>
        <v/>
      </c>
      <c r="AI38" s="615" t="str">
        <f>IF(Summary_Products!AH22="","",Summary_Products!AH22)</f>
        <v/>
      </c>
      <c r="AJ38" s="615" t="str">
        <f>IF(Summary_Products!AI22="","",Summary_Products!AI22)</f>
        <v/>
      </c>
      <c r="AK38" s="615" t="str">
        <f>IF(Summary_Products!AJ22="","",Summary_Products!AJ22)</f>
        <v/>
      </c>
      <c r="AL38" s="615" t="str">
        <f>IF(Summary_Products!AK22="","",Summary_Products!AK22)</f>
        <v/>
      </c>
      <c r="AM38" s="421" t="str">
        <f>IF(Summary_Products!AL22="","",INDEX(Translations!$C:$C,MATCH(Summary_Products!AL22,Translations!$B:$B,0)))</f>
        <v/>
      </c>
      <c r="AN38" s="615" t="str">
        <f>IF(Summary_Products!AM22="","",Summary_Products!AM22)</f>
        <v/>
      </c>
      <c r="AO38" s="473" t="str">
        <f>IF(Summary_Products!AN22="","",Summary_Products!AN22)</f>
        <v/>
      </c>
      <c r="AP38" s="474" t="str">
        <f>IF(Summary_Products!AO22="","",Summary_Products!AO22)</f>
        <v/>
      </c>
      <c r="AQ38" s="160" t="str">
        <f>IF(Summary_Products!AP22="","",Summary_Products!AP22)</f>
        <v/>
      </c>
      <c r="AR38" s="477" t="str">
        <f>IF(Summary_Products!AR22="","",Summary_Products!AR22)</f>
        <v/>
      </c>
      <c r="AS38" s="474" t="str">
        <f>IF(Summary_Products!AS22="","",Summary_Products!AS22)</f>
        <v/>
      </c>
      <c r="AT38" s="421" t="str">
        <f>IF(Summary_Products!AT22="","",INDEX(Translations!$C:$C,MATCH(Summary_Products!AT22,Translations!$B:$B,0)))</f>
        <v/>
      </c>
      <c r="AU38" s="615" t="str">
        <f>IF(Summary_Products!AU22="","",Summary_Products!AU22)</f>
        <v/>
      </c>
      <c r="AV38" s="473" t="str">
        <f>IF(Summary_Products!AV22="","",Summary_Products!AV22)</f>
        <v/>
      </c>
      <c r="AW38" s="474" t="str">
        <f>IF(Summary_Products!AW22="","",Summary_Products!AW22)</f>
        <v/>
      </c>
      <c r="AX38" s="477" t="str">
        <f>IF(Summary_Products!AX22="","",Summary_Products!AX22)</f>
        <v/>
      </c>
      <c r="AY38" s="474" t="str">
        <f>IF(Summary_Products!AY22="","",Summary_Products!AY22)</f>
        <v/>
      </c>
      <c r="AZ38" s="477" t="str">
        <f>IF(Summary_Products!AZ22="","",Summary_Products!AZ22)</f>
        <v/>
      </c>
      <c r="BA38" s="478" t="str">
        <f>IF(Summary_Products!BA22="","",Summary_Products!BA22)</f>
        <v/>
      </c>
      <c r="BD38" s="156"/>
      <c r="BE38" s="156"/>
      <c r="BF38" s="156"/>
      <c r="BG38" s="156"/>
    </row>
    <row r="39" spans="2:59" ht="12.75" customHeight="1" x14ac:dyDescent="0.25">
      <c r="B39" s="277"/>
      <c r="C39" s="777">
        <v>14</v>
      </c>
      <c r="D39" s="766" t="str">
        <f>IF(Summary_Products!D23="","",Summary_Products!D23)</f>
        <v/>
      </c>
      <c r="E39" s="421" t="str">
        <f>IF(Summary_Products!E23="","",INDEX(Translations!$C:$C,MATCH(Summary_Products!E23,Translations!$B:$B,0)))</f>
        <v/>
      </c>
      <c r="F39" s="781" t="str">
        <f>IF(Summary_Products!F23="","",Summary_Products!F23)</f>
        <v/>
      </c>
      <c r="G39" s="766" t="str">
        <f>IF(F39="","",INDEX(Parameters_CNCodes!$H$4:$H$572,MATCH(F39,CNCodes_ListKey,0)))</f>
        <v/>
      </c>
      <c r="H39" s="766" t="str">
        <f>IF(Summary_Products!H23="","",Summary_Products!H23)</f>
        <v/>
      </c>
      <c r="I39" s="782" t="str">
        <f>IF(Summary_Products!I23="","",Summary_Products!I23)</f>
        <v/>
      </c>
      <c r="J39" s="782" t="str">
        <f>IF(Summary_Products!J23="","",Summary_Products!J23)</f>
        <v/>
      </c>
      <c r="K39" s="782" t="str">
        <f>IF(Summary_Products!K23="","",Summary_Products!K23)</f>
        <v/>
      </c>
      <c r="L39" s="782" t="str">
        <f>IF(Summary_Products!L23="","",Summary_Products!L23)</f>
        <v/>
      </c>
      <c r="M39" s="783" t="str">
        <f>IF(Summary_Products!M23="","",Summary_Products!M23)</f>
        <v/>
      </c>
      <c r="N39" s="782" t="str">
        <f>IF(Summary_Products!N23="","",Summary_Products!N23)</f>
        <v/>
      </c>
      <c r="O39" s="782" t="str">
        <f>IF(Summary_Products!O23="","",Summary_Products!O23)</f>
        <v/>
      </c>
      <c r="P39" s="782" t="str">
        <f t="shared" si="0"/>
        <v/>
      </c>
      <c r="Q39" s="160" t="str">
        <f>IF(Summary_Products!P23="","",INDEX(Translations!$C:$C,MATCH(Summary_Products!P23,Translations!$B:$B,0)))</f>
        <v/>
      </c>
      <c r="R39" s="160" t="str">
        <f>IF(Summary_Products!Q23="","",Summary_Products!Q23)</f>
        <v/>
      </c>
      <c r="S39" s="615" t="str">
        <f>IF(Summary_Products!R23="","",Summary_Products!R23)</f>
        <v/>
      </c>
      <c r="T39" s="615" t="str">
        <f>IF(Summary_Products!S23="","",Summary_Products!S23)</f>
        <v/>
      </c>
      <c r="U39" s="615" t="str">
        <f>IF(Summary_Products!T23="","",Summary_Products!T23)</f>
        <v/>
      </c>
      <c r="V39" s="615" t="str">
        <f>IF(Summary_Products!U23="","",Summary_Products!U23)</f>
        <v/>
      </c>
      <c r="W39" s="615" t="str">
        <f>IF(Summary_Products!V23="","",Summary_Products!V23)</f>
        <v/>
      </c>
      <c r="X39" s="615" t="str">
        <f>IF(Summary_Products!W23="","",Summary_Products!W23)</f>
        <v/>
      </c>
      <c r="Y39" s="615" t="str">
        <f>IF(Summary_Products!X23="","",Summary_Products!X23)</f>
        <v/>
      </c>
      <c r="Z39" s="615" t="str">
        <f>IF(Summary_Products!Y23="","",Summary_Products!Y23)</f>
        <v/>
      </c>
      <c r="AA39" s="615" t="str">
        <f>IF(Summary_Products!Z23="","",Summary_Products!Z23)</f>
        <v/>
      </c>
      <c r="AB39" s="615" t="str">
        <f>IF(Summary_Products!AA23="","",Summary_Products!AA23)</f>
        <v/>
      </c>
      <c r="AC39" s="615" t="str">
        <f>IF(Summary_Products!AB23="","",Summary_Products!AB23)</f>
        <v/>
      </c>
      <c r="AD39" s="615" t="str">
        <f>IF(Summary_Products!AC23="","",Summary_Products!AC23)</f>
        <v/>
      </c>
      <c r="AE39" s="615" t="str">
        <f>IF(Summary_Products!AD23="","",Summary_Products!AD23)</f>
        <v/>
      </c>
      <c r="AF39" s="615" t="str">
        <f>IF(Summary_Products!AE23="","",Summary_Products!AE23)</f>
        <v/>
      </c>
      <c r="AG39" s="615" t="str">
        <f>IF(Summary_Products!AF23="","",Summary_Products!AF23)</f>
        <v/>
      </c>
      <c r="AH39" s="615" t="str">
        <f>IF(Summary_Products!AG23="","",Summary_Products!AG23)</f>
        <v/>
      </c>
      <c r="AI39" s="615" t="str">
        <f>IF(Summary_Products!AH23="","",Summary_Products!AH23)</f>
        <v/>
      </c>
      <c r="AJ39" s="615" t="str">
        <f>IF(Summary_Products!AI23="","",Summary_Products!AI23)</f>
        <v/>
      </c>
      <c r="AK39" s="615" t="str">
        <f>IF(Summary_Products!AJ23="","",Summary_Products!AJ23)</f>
        <v/>
      </c>
      <c r="AL39" s="615" t="str">
        <f>IF(Summary_Products!AK23="","",Summary_Products!AK23)</f>
        <v/>
      </c>
      <c r="AM39" s="421" t="str">
        <f>IF(Summary_Products!AL23="","",INDEX(Translations!$C:$C,MATCH(Summary_Products!AL23,Translations!$B:$B,0)))</f>
        <v/>
      </c>
      <c r="AN39" s="615" t="str">
        <f>IF(Summary_Products!AM23="","",Summary_Products!AM23)</f>
        <v/>
      </c>
      <c r="AO39" s="473" t="str">
        <f>IF(Summary_Products!AN23="","",Summary_Products!AN23)</f>
        <v/>
      </c>
      <c r="AP39" s="474" t="str">
        <f>IF(Summary_Products!AO23="","",Summary_Products!AO23)</f>
        <v/>
      </c>
      <c r="AQ39" s="160" t="str">
        <f>IF(Summary_Products!AP23="","",Summary_Products!AP23)</f>
        <v/>
      </c>
      <c r="AR39" s="477" t="str">
        <f>IF(Summary_Products!AR23="","",Summary_Products!AR23)</f>
        <v/>
      </c>
      <c r="AS39" s="474" t="str">
        <f>IF(Summary_Products!AS23="","",Summary_Products!AS23)</f>
        <v/>
      </c>
      <c r="AT39" s="421" t="str">
        <f>IF(Summary_Products!AT23="","",INDEX(Translations!$C:$C,MATCH(Summary_Products!AT23,Translations!$B:$B,0)))</f>
        <v/>
      </c>
      <c r="AU39" s="615" t="str">
        <f>IF(Summary_Products!AU23="","",Summary_Products!AU23)</f>
        <v/>
      </c>
      <c r="AV39" s="473" t="str">
        <f>IF(Summary_Products!AV23="","",Summary_Products!AV23)</f>
        <v/>
      </c>
      <c r="AW39" s="474" t="str">
        <f>IF(Summary_Products!AW23="","",Summary_Products!AW23)</f>
        <v/>
      </c>
      <c r="AX39" s="477" t="str">
        <f>IF(Summary_Products!AX23="","",Summary_Products!AX23)</f>
        <v/>
      </c>
      <c r="AY39" s="474" t="str">
        <f>IF(Summary_Products!AY23="","",Summary_Products!AY23)</f>
        <v/>
      </c>
      <c r="AZ39" s="477" t="str">
        <f>IF(Summary_Products!AZ23="","",Summary_Products!AZ23)</f>
        <v/>
      </c>
      <c r="BA39" s="478" t="str">
        <f>IF(Summary_Products!BA23="","",Summary_Products!BA23)</f>
        <v/>
      </c>
      <c r="BD39" s="156"/>
      <c r="BE39" s="156"/>
      <c r="BF39" s="156"/>
      <c r="BG39" s="156"/>
    </row>
    <row r="40" spans="2:59" ht="12.75" customHeight="1" x14ac:dyDescent="0.25">
      <c r="B40" s="277"/>
      <c r="C40" s="777">
        <v>15</v>
      </c>
      <c r="D40" s="766" t="str">
        <f>IF(Summary_Products!D24="","",Summary_Products!D24)</f>
        <v/>
      </c>
      <c r="E40" s="421" t="str">
        <f>IF(Summary_Products!E24="","",INDEX(Translations!$C:$C,MATCH(Summary_Products!E24,Translations!$B:$B,0)))</f>
        <v/>
      </c>
      <c r="F40" s="781" t="str">
        <f>IF(Summary_Products!F24="","",Summary_Products!F24)</f>
        <v/>
      </c>
      <c r="G40" s="766" t="str">
        <f>IF(F40="","",INDEX(Parameters_CNCodes!$H$4:$H$572,MATCH(F40,CNCodes_ListKey,0)))</f>
        <v/>
      </c>
      <c r="H40" s="766" t="str">
        <f>IF(Summary_Products!H24="","",Summary_Products!H24)</f>
        <v/>
      </c>
      <c r="I40" s="782" t="str">
        <f>IF(Summary_Products!I24="","",Summary_Products!I24)</f>
        <v/>
      </c>
      <c r="J40" s="782" t="str">
        <f>IF(Summary_Products!J24="","",Summary_Products!J24)</f>
        <v/>
      </c>
      <c r="K40" s="782" t="str">
        <f>IF(Summary_Products!K24="","",Summary_Products!K24)</f>
        <v/>
      </c>
      <c r="L40" s="782" t="str">
        <f>IF(Summary_Products!L24="","",Summary_Products!L24)</f>
        <v/>
      </c>
      <c r="M40" s="783" t="str">
        <f>IF(Summary_Products!M24="","",Summary_Products!M24)</f>
        <v/>
      </c>
      <c r="N40" s="782" t="str">
        <f>IF(Summary_Products!N24="","",Summary_Products!N24)</f>
        <v/>
      </c>
      <c r="O40" s="782" t="str">
        <f>IF(Summary_Products!O24="","",Summary_Products!O24)</f>
        <v/>
      </c>
      <c r="P40" s="782" t="str">
        <f t="shared" si="0"/>
        <v/>
      </c>
      <c r="Q40" s="160" t="str">
        <f>IF(Summary_Products!P24="","",INDEX(Translations!$C:$C,MATCH(Summary_Products!P24,Translations!$B:$B,0)))</f>
        <v/>
      </c>
      <c r="R40" s="160" t="str">
        <f>IF(Summary_Products!Q24="","",Summary_Products!Q24)</f>
        <v/>
      </c>
      <c r="S40" s="615" t="str">
        <f>IF(Summary_Products!R24="","",Summary_Products!R24)</f>
        <v/>
      </c>
      <c r="T40" s="615" t="str">
        <f>IF(Summary_Products!S24="","",Summary_Products!S24)</f>
        <v/>
      </c>
      <c r="U40" s="615" t="str">
        <f>IF(Summary_Products!T24="","",Summary_Products!T24)</f>
        <v/>
      </c>
      <c r="V40" s="615" t="str">
        <f>IF(Summary_Products!U24="","",Summary_Products!U24)</f>
        <v/>
      </c>
      <c r="W40" s="615" t="str">
        <f>IF(Summary_Products!V24="","",Summary_Products!V24)</f>
        <v/>
      </c>
      <c r="X40" s="615" t="str">
        <f>IF(Summary_Products!W24="","",Summary_Products!W24)</f>
        <v/>
      </c>
      <c r="Y40" s="615" t="str">
        <f>IF(Summary_Products!X24="","",Summary_Products!X24)</f>
        <v/>
      </c>
      <c r="Z40" s="615" t="str">
        <f>IF(Summary_Products!Y24="","",Summary_Products!Y24)</f>
        <v/>
      </c>
      <c r="AA40" s="615" t="str">
        <f>IF(Summary_Products!Z24="","",Summary_Products!Z24)</f>
        <v/>
      </c>
      <c r="AB40" s="615" t="str">
        <f>IF(Summary_Products!AA24="","",Summary_Products!AA24)</f>
        <v/>
      </c>
      <c r="AC40" s="615" t="str">
        <f>IF(Summary_Products!AB24="","",Summary_Products!AB24)</f>
        <v/>
      </c>
      <c r="AD40" s="615" t="str">
        <f>IF(Summary_Products!AC24="","",Summary_Products!AC24)</f>
        <v/>
      </c>
      <c r="AE40" s="615" t="str">
        <f>IF(Summary_Products!AD24="","",Summary_Products!AD24)</f>
        <v/>
      </c>
      <c r="AF40" s="615" t="str">
        <f>IF(Summary_Products!AE24="","",Summary_Products!AE24)</f>
        <v/>
      </c>
      <c r="AG40" s="615" t="str">
        <f>IF(Summary_Products!AF24="","",Summary_Products!AF24)</f>
        <v/>
      </c>
      <c r="AH40" s="615" t="str">
        <f>IF(Summary_Products!AG24="","",Summary_Products!AG24)</f>
        <v/>
      </c>
      <c r="AI40" s="615" t="str">
        <f>IF(Summary_Products!AH24="","",Summary_Products!AH24)</f>
        <v/>
      </c>
      <c r="AJ40" s="615" t="str">
        <f>IF(Summary_Products!AI24="","",Summary_Products!AI24)</f>
        <v/>
      </c>
      <c r="AK40" s="615" t="str">
        <f>IF(Summary_Products!AJ24="","",Summary_Products!AJ24)</f>
        <v/>
      </c>
      <c r="AL40" s="615" t="str">
        <f>IF(Summary_Products!AK24="","",Summary_Products!AK24)</f>
        <v/>
      </c>
      <c r="AM40" s="421" t="str">
        <f>IF(Summary_Products!AL24="","",INDEX(Translations!$C:$C,MATCH(Summary_Products!AL24,Translations!$B:$B,0)))</f>
        <v/>
      </c>
      <c r="AN40" s="615" t="str">
        <f>IF(Summary_Products!AM24="","",Summary_Products!AM24)</f>
        <v/>
      </c>
      <c r="AO40" s="473" t="str">
        <f>IF(Summary_Products!AN24="","",Summary_Products!AN24)</f>
        <v/>
      </c>
      <c r="AP40" s="474" t="str">
        <f>IF(Summary_Products!AO24="","",Summary_Products!AO24)</f>
        <v/>
      </c>
      <c r="AQ40" s="160" t="str">
        <f>IF(Summary_Products!AP24="","",Summary_Products!AP24)</f>
        <v/>
      </c>
      <c r="AR40" s="477" t="str">
        <f>IF(Summary_Products!AR24="","",Summary_Products!AR24)</f>
        <v/>
      </c>
      <c r="AS40" s="474" t="str">
        <f>IF(Summary_Products!AS24="","",Summary_Products!AS24)</f>
        <v/>
      </c>
      <c r="AT40" s="421" t="str">
        <f>IF(Summary_Products!AT24="","",INDEX(Translations!$C:$C,MATCH(Summary_Products!AT24,Translations!$B:$B,0)))</f>
        <v/>
      </c>
      <c r="AU40" s="615" t="str">
        <f>IF(Summary_Products!AU24="","",Summary_Products!AU24)</f>
        <v/>
      </c>
      <c r="AV40" s="473" t="str">
        <f>IF(Summary_Products!AV24="","",Summary_Products!AV24)</f>
        <v/>
      </c>
      <c r="AW40" s="474" t="str">
        <f>IF(Summary_Products!AW24="","",Summary_Products!AW24)</f>
        <v/>
      </c>
      <c r="AX40" s="477" t="str">
        <f>IF(Summary_Products!AX24="","",Summary_Products!AX24)</f>
        <v/>
      </c>
      <c r="AY40" s="474" t="str">
        <f>IF(Summary_Products!AY24="","",Summary_Products!AY24)</f>
        <v/>
      </c>
      <c r="AZ40" s="477" t="str">
        <f>IF(Summary_Products!AZ24="","",Summary_Products!AZ24)</f>
        <v/>
      </c>
      <c r="BA40" s="478" t="str">
        <f>IF(Summary_Products!BA24="","",Summary_Products!BA24)</f>
        <v/>
      </c>
      <c r="BD40" s="156"/>
      <c r="BE40" s="156"/>
      <c r="BF40" s="156"/>
      <c r="BG40" s="156"/>
    </row>
    <row r="41" spans="2:59" ht="12.75" customHeight="1" x14ac:dyDescent="0.25">
      <c r="B41" s="277"/>
      <c r="C41" s="777">
        <v>16</v>
      </c>
      <c r="D41" s="766" t="str">
        <f>IF(Summary_Products!D25="","",Summary_Products!D25)</f>
        <v/>
      </c>
      <c r="E41" s="421" t="str">
        <f>IF(Summary_Products!E25="","",INDEX(Translations!$C:$C,MATCH(Summary_Products!E25,Translations!$B:$B,0)))</f>
        <v/>
      </c>
      <c r="F41" s="781" t="str">
        <f>IF(Summary_Products!F25="","",Summary_Products!F25)</f>
        <v/>
      </c>
      <c r="G41" s="766" t="str">
        <f>IF(F41="","",INDEX(Parameters_CNCodes!$H$4:$H$572,MATCH(F41,CNCodes_ListKey,0)))</f>
        <v/>
      </c>
      <c r="H41" s="766" t="str">
        <f>IF(Summary_Products!H25="","",Summary_Products!H25)</f>
        <v/>
      </c>
      <c r="I41" s="782" t="str">
        <f>IF(Summary_Products!I25="","",Summary_Products!I25)</f>
        <v/>
      </c>
      <c r="J41" s="782" t="str">
        <f>IF(Summary_Products!J25="","",Summary_Products!J25)</f>
        <v/>
      </c>
      <c r="K41" s="782" t="str">
        <f>IF(Summary_Products!K25="","",Summary_Products!K25)</f>
        <v/>
      </c>
      <c r="L41" s="782" t="str">
        <f>IF(Summary_Products!L25="","",Summary_Products!L25)</f>
        <v/>
      </c>
      <c r="M41" s="783" t="str">
        <f>IF(Summary_Products!M25="","",Summary_Products!M25)</f>
        <v/>
      </c>
      <c r="N41" s="782" t="str">
        <f>IF(Summary_Products!N25="","",Summary_Products!N25)</f>
        <v/>
      </c>
      <c r="O41" s="782" t="str">
        <f>IF(Summary_Products!O25="","",Summary_Products!O25)</f>
        <v/>
      </c>
      <c r="P41" s="782" t="str">
        <f t="shared" si="0"/>
        <v/>
      </c>
      <c r="Q41" s="160" t="str">
        <f>IF(Summary_Products!P25="","",INDEX(Translations!$C:$C,MATCH(Summary_Products!P25,Translations!$B:$B,0)))</f>
        <v/>
      </c>
      <c r="R41" s="160" t="str">
        <f>IF(Summary_Products!Q25="","",Summary_Products!Q25)</f>
        <v/>
      </c>
      <c r="S41" s="615" t="str">
        <f>IF(Summary_Products!R25="","",Summary_Products!R25)</f>
        <v/>
      </c>
      <c r="T41" s="615" t="str">
        <f>IF(Summary_Products!S25="","",Summary_Products!S25)</f>
        <v/>
      </c>
      <c r="U41" s="615" t="str">
        <f>IF(Summary_Products!T25="","",Summary_Products!T25)</f>
        <v/>
      </c>
      <c r="V41" s="615" t="str">
        <f>IF(Summary_Products!U25="","",Summary_Products!U25)</f>
        <v/>
      </c>
      <c r="W41" s="615" t="str">
        <f>IF(Summary_Products!V25="","",Summary_Products!V25)</f>
        <v/>
      </c>
      <c r="X41" s="615" t="str">
        <f>IF(Summary_Products!W25="","",Summary_Products!W25)</f>
        <v/>
      </c>
      <c r="Y41" s="615" t="str">
        <f>IF(Summary_Products!X25="","",Summary_Products!X25)</f>
        <v/>
      </c>
      <c r="Z41" s="615" t="str">
        <f>IF(Summary_Products!Y25="","",Summary_Products!Y25)</f>
        <v/>
      </c>
      <c r="AA41" s="615" t="str">
        <f>IF(Summary_Products!Z25="","",Summary_Products!Z25)</f>
        <v/>
      </c>
      <c r="AB41" s="615" t="str">
        <f>IF(Summary_Products!AA25="","",Summary_Products!AA25)</f>
        <v/>
      </c>
      <c r="AC41" s="615" t="str">
        <f>IF(Summary_Products!AB25="","",Summary_Products!AB25)</f>
        <v/>
      </c>
      <c r="AD41" s="615" t="str">
        <f>IF(Summary_Products!AC25="","",Summary_Products!AC25)</f>
        <v/>
      </c>
      <c r="AE41" s="615" t="str">
        <f>IF(Summary_Products!AD25="","",Summary_Products!AD25)</f>
        <v/>
      </c>
      <c r="AF41" s="615" t="str">
        <f>IF(Summary_Products!AE25="","",Summary_Products!AE25)</f>
        <v/>
      </c>
      <c r="AG41" s="615" t="str">
        <f>IF(Summary_Products!AF25="","",Summary_Products!AF25)</f>
        <v/>
      </c>
      <c r="AH41" s="615" t="str">
        <f>IF(Summary_Products!AG25="","",Summary_Products!AG25)</f>
        <v/>
      </c>
      <c r="AI41" s="615" t="str">
        <f>IF(Summary_Products!AH25="","",Summary_Products!AH25)</f>
        <v/>
      </c>
      <c r="AJ41" s="615" t="str">
        <f>IF(Summary_Products!AI25="","",Summary_Products!AI25)</f>
        <v/>
      </c>
      <c r="AK41" s="615" t="str">
        <f>IF(Summary_Products!AJ25="","",Summary_Products!AJ25)</f>
        <v/>
      </c>
      <c r="AL41" s="615" t="str">
        <f>IF(Summary_Products!AK25="","",Summary_Products!AK25)</f>
        <v/>
      </c>
      <c r="AM41" s="421" t="str">
        <f>IF(Summary_Products!AL25="","",INDEX(Translations!$C:$C,MATCH(Summary_Products!AL25,Translations!$B:$B,0)))</f>
        <v/>
      </c>
      <c r="AN41" s="615" t="str">
        <f>IF(Summary_Products!AM25="","",Summary_Products!AM25)</f>
        <v/>
      </c>
      <c r="AO41" s="473" t="str">
        <f>IF(Summary_Products!AN25="","",Summary_Products!AN25)</f>
        <v/>
      </c>
      <c r="AP41" s="474" t="str">
        <f>IF(Summary_Products!AO25="","",Summary_Products!AO25)</f>
        <v/>
      </c>
      <c r="AQ41" s="160" t="str">
        <f>IF(Summary_Products!AP25="","",Summary_Products!AP25)</f>
        <v/>
      </c>
      <c r="AR41" s="477" t="str">
        <f>IF(Summary_Products!AR25="","",Summary_Products!AR25)</f>
        <v/>
      </c>
      <c r="AS41" s="474" t="str">
        <f>IF(Summary_Products!AS25="","",Summary_Products!AS25)</f>
        <v/>
      </c>
      <c r="AT41" s="421" t="str">
        <f>IF(Summary_Products!AT25="","",INDEX(Translations!$C:$C,MATCH(Summary_Products!AT25,Translations!$B:$B,0)))</f>
        <v/>
      </c>
      <c r="AU41" s="615" t="str">
        <f>IF(Summary_Products!AU25="","",Summary_Products!AU25)</f>
        <v/>
      </c>
      <c r="AV41" s="473" t="str">
        <f>IF(Summary_Products!AV25="","",Summary_Products!AV25)</f>
        <v/>
      </c>
      <c r="AW41" s="474" t="str">
        <f>IF(Summary_Products!AW25="","",Summary_Products!AW25)</f>
        <v/>
      </c>
      <c r="AX41" s="477" t="str">
        <f>IF(Summary_Products!AX25="","",Summary_Products!AX25)</f>
        <v/>
      </c>
      <c r="AY41" s="474" t="str">
        <f>IF(Summary_Products!AY25="","",Summary_Products!AY25)</f>
        <v/>
      </c>
      <c r="AZ41" s="477" t="str">
        <f>IF(Summary_Products!AZ25="","",Summary_Products!AZ25)</f>
        <v/>
      </c>
      <c r="BA41" s="478" t="str">
        <f>IF(Summary_Products!BA25="","",Summary_Products!BA25)</f>
        <v/>
      </c>
      <c r="BD41" s="156"/>
      <c r="BE41" s="156"/>
      <c r="BF41" s="156"/>
      <c r="BG41" s="156"/>
    </row>
    <row r="42" spans="2:59" ht="12.75" customHeight="1" x14ac:dyDescent="0.25">
      <c r="B42" s="277"/>
      <c r="C42" s="777">
        <v>17</v>
      </c>
      <c r="D42" s="766" t="str">
        <f>IF(Summary_Products!D26="","",Summary_Products!D26)</f>
        <v/>
      </c>
      <c r="E42" s="421" t="str">
        <f>IF(Summary_Products!E26="","",INDEX(Translations!$C:$C,MATCH(Summary_Products!E26,Translations!$B:$B,0)))</f>
        <v/>
      </c>
      <c r="F42" s="781" t="str">
        <f>IF(Summary_Products!F26="","",Summary_Products!F26)</f>
        <v/>
      </c>
      <c r="G42" s="766" t="str">
        <f>IF(F42="","",INDEX(Parameters_CNCodes!$H$4:$H$572,MATCH(F42,CNCodes_ListKey,0)))</f>
        <v/>
      </c>
      <c r="H42" s="766" t="str">
        <f>IF(Summary_Products!H26="","",Summary_Products!H26)</f>
        <v/>
      </c>
      <c r="I42" s="782" t="str">
        <f>IF(Summary_Products!I26="","",Summary_Products!I26)</f>
        <v/>
      </c>
      <c r="J42" s="782" t="str">
        <f>IF(Summary_Products!J26="","",Summary_Products!J26)</f>
        <v/>
      </c>
      <c r="K42" s="782" t="str">
        <f>IF(Summary_Products!K26="","",Summary_Products!K26)</f>
        <v/>
      </c>
      <c r="L42" s="782" t="str">
        <f>IF(Summary_Products!L26="","",Summary_Products!L26)</f>
        <v/>
      </c>
      <c r="M42" s="783" t="str">
        <f>IF(Summary_Products!M26="","",Summary_Products!M26)</f>
        <v/>
      </c>
      <c r="N42" s="782" t="str">
        <f>IF(Summary_Products!N26="","",Summary_Products!N26)</f>
        <v/>
      </c>
      <c r="O42" s="782" t="str">
        <f>IF(Summary_Products!O26="","",Summary_Products!O26)</f>
        <v/>
      </c>
      <c r="P42" s="782" t="str">
        <f t="shared" si="0"/>
        <v/>
      </c>
      <c r="Q42" s="160" t="str">
        <f>IF(Summary_Products!P26="","",INDEX(Translations!$C:$C,MATCH(Summary_Products!P26,Translations!$B:$B,0)))</f>
        <v/>
      </c>
      <c r="R42" s="160" t="str">
        <f>IF(Summary_Products!Q26="","",Summary_Products!Q26)</f>
        <v/>
      </c>
      <c r="S42" s="615" t="str">
        <f>IF(Summary_Products!R26="","",Summary_Products!R26)</f>
        <v/>
      </c>
      <c r="T42" s="615" t="str">
        <f>IF(Summary_Products!S26="","",Summary_Products!S26)</f>
        <v/>
      </c>
      <c r="U42" s="615" t="str">
        <f>IF(Summary_Products!T26="","",Summary_Products!T26)</f>
        <v/>
      </c>
      <c r="V42" s="615" t="str">
        <f>IF(Summary_Products!U26="","",Summary_Products!U26)</f>
        <v/>
      </c>
      <c r="W42" s="615" t="str">
        <f>IF(Summary_Products!V26="","",Summary_Products!V26)</f>
        <v/>
      </c>
      <c r="X42" s="615" t="str">
        <f>IF(Summary_Products!W26="","",Summary_Products!W26)</f>
        <v/>
      </c>
      <c r="Y42" s="615" t="str">
        <f>IF(Summary_Products!X26="","",Summary_Products!X26)</f>
        <v/>
      </c>
      <c r="Z42" s="615" t="str">
        <f>IF(Summary_Products!Y26="","",Summary_Products!Y26)</f>
        <v/>
      </c>
      <c r="AA42" s="615" t="str">
        <f>IF(Summary_Products!Z26="","",Summary_Products!Z26)</f>
        <v/>
      </c>
      <c r="AB42" s="615" t="str">
        <f>IF(Summary_Products!AA26="","",Summary_Products!AA26)</f>
        <v/>
      </c>
      <c r="AC42" s="615" t="str">
        <f>IF(Summary_Products!AB26="","",Summary_Products!AB26)</f>
        <v/>
      </c>
      <c r="AD42" s="615" t="str">
        <f>IF(Summary_Products!AC26="","",Summary_Products!AC26)</f>
        <v/>
      </c>
      <c r="AE42" s="615" t="str">
        <f>IF(Summary_Products!AD26="","",Summary_Products!AD26)</f>
        <v/>
      </c>
      <c r="AF42" s="615" t="str">
        <f>IF(Summary_Products!AE26="","",Summary_Products!AE26)</f>
        <v/>
      </c>
      <c r="AG42" s="615" t="str">
        <f>IF(Summary_Products!AF26="","",Summary_Products!AF26)</f>
        <v/>
      </c>
      <c r="AH42" s="615" t="str">
        <f>IF(Summary_Products!AG26="","",Summary_Products!AG26)</f>
        <v/>
      </c>
      <c r="AI42" s="615" t="str">
        <f>IF(Summary_Products!AH26="","",Summary_Products!AH26)</f>
        <v/>
      </c>
      <c r="AJ42" s="615" t="str">
        <f>IF(Summary_Products!AI26="","",Summary_Products!AI26)</f>
        <v/>
      </c>
      <c r="AK42" s="615" t="str">
        <f>IF(Summary_Products!AJ26="","",Summary_Products!AJ26)</f>
        <v/>
      </c>
      <c r="AL42" s="615" t="str">
        <f>IF(Summary_Products!AK26="","",Summary_Products!AK26)</f>
        <v/>
      </c>
      <c r="AM42" s="421" t="str">
        <f>IF(Summary_Products!AL26="","",INDEX(Translations!$C:$C,MATCH(Summary_Products!AL26,Translations!$B:$B,0)))</f>
        <v/>
      </c>
      <c r="AN42" s="615" t="str">
        <f>IF(Summary_Products!AM26="","",Summary_Products!AM26)</f>
        <v/>
      </c>
      <c r="AO42" s="473" t="str">
        <f>IF(Summary_Products!AN26="","",Summary_Products!AN26)</f>
        <v/>
      </c>
      <c r="AP42" s="474" t="str">
        <f>IF(Summary_Products!AO26="","",Summary_Products!AO26)</f>
        <v/>
      </c>
      <c r="AQ42" s="160" t="str">
        <f>IF(Summary_Products!AP26="","",Summary_Products!AP26)</f>
        <v/>
      </c>
      <c r="AR42" s="477" t="str">
        <f>IF(Summary_Products!AR26="","",Summary_Products!AR26)</f>
        <v/>
      </c>
      <c r="AS42" s="474" t="str">
        <f>IF(Summary_Products!AS26="","",Summary_Products!AS26)</f>
        <v/>
      </c>
      <c r="AT42" s="421" t="str">
        <f>IF(Summary_Products!AT26="","",INDEX(Translations!$C:$C,MATCH(Summary_Products!AT26,Translations!$B:$B,0)))</f>
        <v/>
      </c>
      <c r="AU42" s="615" t="str">
        <f>IF(Summary_Products!AU26="","",Summary_Products!AU26)</f>
        <v/>
      </c>
      <c r="AV42" s="473" t="str">
        <f>IF(Summary_Products!AV26="","",Summary_Products!AV26)</f>
        <v/>
      </c>
      <c r="AW42" s="474" t="str">
        <f>IF(Summary_Products!AW26="","",Summary_Products!AW26)</f>
        <v/>
      </c>
      <c r="AX42" s="477" t="str">
        <f>IF(Summary_Products!AX26="","",Summary_Products!AX26)</f>
        <v/>
      </c>
      <c r="AY42" s="474" t="str">
        <f>IF(Summary_Products!AY26="","",Summary_Products!AY26)</f>
        <v/>
      </c>
      <c r="AZ42" s="477" t="str">
        <f>IF(Summary_Products!AZ26="","",Summary_Products!AZ26)</f>
        <v/>
      </c>
      <c r="BA42" s="478" t="str">
        <f>IF(Summary_Products!BA26="","",Summary_Products!BA26)</f>
        <v/>
      </c>
      <c r="BD42" s="156"/>
      <c r="BE42" s="156"/>
      <c r="BF42" s="156"/>
      <c r="BG42" s="156"/>
    </row>
    <row r="43" spans="2:59" ht="12.75" customHeight="1" x14ac:dyDescent="0.25">
      <c r="B43" s="277"/>
      <c r="C43" s="777">
        <v>18</v>
      </c>
      <c r="D43" s="766" t="str">
        <f>IF(Summary_Products!D27="","",Summary_Products!D27)</f>
        <v/>
      </c>
      <c r="E43" s="421" t="str">
        <f>IF(Summary_Products!E27="","",INDEX(Translations!$C:$C,MATCH(Summary_Products!E27,Translations!$B:$B,0)))</f>
        <v/>
      </c>
      <c r="F43" s="781" t="str">
        <f>IF(Summary_Products!F27="","",Summary_Products!F27)</f>
        <v/>
      </c>
      <c r="G43" s="766" t="str">
        <f>IF(F43="","",INDEX(Parameters_CNCodes!$H$4:$H$572,MATCH(F43,CNCodes_ListKey,0)))</f>
        <v/>
      </c>
      <c r="H43" s="766" t="str">
        <f>IF(Summary_Products!H27="","",Summary_Products!H27)</f>
        <v/>
      </c>
      <c r="I43" s="782" t="str">
        <f>IF(Summary_Products!I27="","",Summary_Products!I27)</f>
        <v/>
      </c>
      <c r="J43" s="782" t="str">
        <f>IF(Summary_Products!J27="","",Summary_Products!J27)</f>
        <v/>
      </c>
      <c r="K43" s="782" t="str">
        <f>IF(Summary_Products!K27="","",Summary_Products!K27)</f>
        <v/>
      </c>
      <c r="L43" s="782" t="str">
        <f>IF(Summary_Products!L27="","",Summary_Products!L27)</f>
        <v/>
      </c>
      <c r="M43" s="783" t="str">
        <f>IF(Summary_Products!M27="","",Summary_Products!M27)</f>
        <v/>
      </c>
      <c r="N43" s="782" t="str">
        <f>IF(Summary_Products!N27="","",Summary_Products!N27)</f>
        <v/>
      </c>
      <c r="O43" s="782" t="str">
        <f>IF(Summary_Products!O27="","",Summary_Products!O27)</f>
        <v/>
      </c>
      <c r="P43" s="782" t="str">
        <f t="shared" si="0"/>
        <v/>
      </c>
      <c r="Q43" s="160" t="str">
        <f>IF(Summary_Products!P27="","",INDEX(Translations!$C:$C,MATCH(Summary_Products!P27,Translations!$B:$B,0)))</f>
        <v/>
      </c>
      <c r="R43" s="160" t="str">
        <f>IF(Summary_Products!Q27="","",Summary_Products!Q27)</f>
        <v/>
      </c>
      <c r="S43" s="615" t="str">
        <f>IF(Summary_Products!R27="","",Summary_Products!R27)</f>
        <v/>
      </c>
      <c r="T43" s="615" t="str">
        <f>IF(Summary_Products!S27="","",Summary_Products!S27)</f>
        <v/>
      </c>
      <c r="U43" s="615" t="str">
        <f>IF(Summary_Products!T27="","",Summary_Products!T27)</f>
        <v/>
      </c>
      <c r="V43" s="615" t="str">
        <f>IF(Summary_Products!U27="","",Summary_Products!U27)</f>
        <v/>
      </c>
      <c r="W43" s="615" t="str">
        <f>IF(Summary_Products!V27="","",Summary_Products!V27)</f>
        <v/>
      </c>
      <c r="X43" s="615" t="str">
        <f>IF(Summary_Products!W27="","",Summary_Products!W27)</f>
        <v/>
      </c>
      <c r="Y43" s="615" t="str">
        <f>IF(Summary_Products!X27="","",Summary_Products!X27)</f>
        <v/>
      </c>
      <c r="Z43" s="615" t="str">
        <f>IF(Summary_Products!Y27="","",Summary_Products!Y27)</f>
        <v/>
      </c>
      <c r="AA43" s="615" t="str">
        <f>IF(Summary_Products!Z27="","",Summary_Products!Z27)</f>
        <v/>
      </c>
      <c r="AB43" s="615" t="str">
        <f>IF(Summary_Products!AA27="","",Summary_Products!AA27)</f>
        <v/>
      </c>
      <c r="AC43" s="615" t="str">
        <f>IF(Summary_Products!AB27="","",Summary_Products!AB27)</f>
        <v/>
      </c>
      <c r="AD43" s="615" t="str">
        <f>IF(Summary_Products!AC27="","",Summary_Products!AC27)</f>
        <v/>
      </c>
      <c r="AE43" s="615" t="str">
        <f>IF(Summary_Products!AD27="","",Summary_Products!AD27)</f>
        <v/>
      </c>
      <c r="AF43" s="615" t="str">
        <f>IF(Summary_Products!AE27="","",Summary_Products!AE27)</f>
        <v/>
      </c>
      <c r="AG43" s="615" t="str">
        <f>IF(Summary_Products!AF27="","",Summary_Products!AF27)</f>
        <v/>
      </c>
      <c r="AH43" s="615" t="str">
        <f>IF(Summary_Products!AG27="","",Summary_Products!AG27)</f>
        <v/>
      </c>
      <c r="AI43" s="615" t="str">
        <f>IF(Summary_Products!AH27="","",Summary_Products!AH27)</f>
        <v/>
      </c>
      <c r="AJ43" s="615" t="str">
        <f>IF(Summary_Products!AI27="","",Summary_Products!AI27)</f>
        <v/>
      </c>
      <c r="AK43" s="615" t="str">
        <f>IF(Summary_Products!AJ27="","",Summary_Products!AJ27)</f>
        <v/>
      </c>
      <c r="AL43" s="615" t="str">
        <f>IF(Summary_Products!AK27="","",Summary_Products!AK27)</f>
        <v/>
      </c>
      <c r="AM43" s="421" t="str">
        <f>IF(Summary_Products!AL27="","",INDEX(Translations!$C:$C,MATCH(Summary_Products!AL27,Translations!$B:$B,0)))</f>
        <v/>
      </c>
      <c r="AN43" s="615" t="str">
        <f>IF(Summary_Products!AM27="","",Summary_Products!AM27)</f>
        <v/>
      </c>
      <c r="AO43" s="473" t="str">
        <f>IF(Summary_Products!AN27="","",Summary_Products!AN27)</f>
        <v/>
      </c>
      <c r="AP43" s="474" t="str">
        <f>IF(Summary_Products!AO27="","",Summary_Products!AO27)</f>
        <v/>
      </c>
      <c r="AQ43" s="160" t="str">
        <f>IF(Summary_Products!AP27="","",Summary_Products!AP27)</f>
        <v/>
      </c>
      <c r="AR43" s="477" t="str">
        <f>IF(Summary_Products!AR27="","",Summary_Products!AR27)</f>
        <v/>
      </c>
      <c r="AS43" s="474" t="str">
        <f>IF(Summary_Products!AS27="","",Summary_Products!AS27)</f>
        <v/>
      </c>
      <c r="AT43" s="421" t="str">
        <f>IF(Summary_Products!AT27="","",INDEX(Translations!$C:$C,MATCH(Summary_Products!AT27,Translations!$B:$B,0)))</f>
        <v/>
      </c>
      <c r="AU43" s="615" t="str">
        <f>IF(Summary_Products!AU27="","",Summary_Products!AU27)</f>
        <v/>
      </c>
      <c r="AV43" s="473" t="str">
        <f>IF(Summary_Products!AV27="","",Summary_Products!AV27)</f>
        <v/>
      </c>
      <c r="AW43" s="474" t="str">
        <f>IF(Summary_Products!AW27="","",Summary_Products!AW27)</f>
        <v/>
      </c>
      <c r="AX43" s="477" t="str">
        <f>IF(Summary_Products!AX27="","",Summary_Products!AX27)</f>
        <v/>
      </c>
      <c r="AY43" s="474" t="str">
        <f>IF(Summary_Products!AY27="","",Summary_Products!AY27)</f>
        <v/>
      </c>
      <c r="AZ43" s="477" t="str">
        <f>IF(Summary_Products!AZ27="","",Summary_Products!AZ27)</f>
        <v/>
      </c>
      <c r="BA43" s="478" t="str">
        <f>IF(Summary_Products!BA27="","",Summary_Products!BA27)</f>
        <v/>
      </c>
      <c r="BD43" s="156"/>
      <c r="BE43" s="156"/>
      <c r="BF43" s="156"/>
      <c r="BG43" s="156"/>
    </row>
    <row r="44" spans="2:59" ht="12.75" customHeight="1" x14ac:dyDescent="0.25">
      <c r="B44" s="277"/>
      <c r="C44" s="777">
        <v>19</v>
      </c>
      <c r="D44" s="766" t="str">
        <f>IF(Summary_Products!D28="","",Summary_Products!D28)</f>
        <v/>
      </c>
      <c r="E44" s="421" t="str">
        <f>IF(Summary_Products!E28="","",INDEX(Translations!$C:$C,MATCH(Summary_Products!E28,Translations!$B:$B,0)))</f>
        <v/>
      </c>
      <c r="F44" s="781" t="str">
        <f>IF(Summary_Products!F28="","",Summary_Products!F28)</f>
        <v/>
      </c>
      <c r="G44" s="766" t="str">
        <f>IF(F44="","",INDEX(Parameters_CNCodes!$H$4:$H$572,MATCH(F44,CNCodes_ListKey,0)))</f>
        <v/>
      </c>
      <c r="H44" s="766" t="str">
        <f>IF(Summary_Products!H28="","",Summary_Products!H28)</f>
        <v/>
      </c>
      <c r="I44" s="782" t="str">
        <f>IF(Summary_Products!I28="","",Summary_Products!I28)</f>
        <v/>
      </c>
      <c r="J44" s="782" t="str">
        <f>IF(Summary_Products!J28="","",Summary_Products!J28)</f>
        <v/>
      </c>
      <c r="K44" s="782" t="str">
        <f>IF(Summary_Products!K28="","",Summary_Products!K28)</f>
        <v/>
      </c>
      <c r="L44" s="782" t="str">
        <f>IF(Summary_Products!L28="","",Summary_Products!L28)</f>
        <v/>
      </c>
      <c r="M44" s="783" t="str">
        <f>IF(Summary_Products!M28="","",Summary_Products!M28)</f>
        <v/>
      </c>
      <c r="N44" s="782" t="str">
        <f>IF(Summary_Products!N28="","",Summary_Products!N28)</f>
        <v/>
      </c>
      <c r="O44" s="782" t="str">
        <f>IF(Summary_Products!O28="","",Summary_Products!O28)</f>
        <v/>
      </c>
      <c r="P44" s="782" t="str">
        <f t="shared" si="0"/>
        <v/>
      </c>
      <c r="Q44" s="160" t="str">
        <f>IF(Summary_Products!P28="","",INDEX(Translations!$C:$C,MATCH(Summary_Products!P28,Translations!$B:$B,0)))</f>
        <v/>
      </c>
      <c r="R44" s="160" t="str">
        <f>IF(Summary_Products!Q28="","",Summary_Products!Q28)</f>
        <v/>
      </c>
      <c r="S44" s="615" t="str">
        <f>IF(Summary_Products!R28="","",Summary_Products!R28)</f>
        <v/>
      </c>
      <c r="T44" s="615" t="str">
        <f>IF(Summary_Products!S28="","",Summary_Products!S28)</f>
        <v/>
      </c>
      <c r="U44" s="615" t="str">
        <f>IF(Summary_Products!T28="","",Summary_Products!T28)</f>
        <v/>
      </c>
      <c r="V44" s="615" t="str">
        <f>IF(Summary_Products!U28="","",Summary_Products!U28)</f>
        <v/>
      </c>
      <c r="W44" s="615" t="str">
        <f>IF(Summary_Products!V28="","",Summary_Products!V28)</f>
        <v/>
      </c>
      <c r="X44" s="615" t="str">
        <f>IF(Summary_Products!W28="","",Summary_Products!W28)</f>
        <v/>
      </c>
      <c r="Y44" s="615" t="str">
        <f>IF(Summary_Products!X28="","",Summary_Products!X28)</f>
        <v/>
      </c>
      <c r="Z44" s="615" t="str">
        <f>IF(Summary_Products!Y28="","",Summary_Products!Y28)</f>
        <v/>
      </c>
      <c r="AA44" s="615" t="str">
        <f>IF(Summary_Products!Z28="","",Summary_Products!Z28)</f>
        <v/>
      </c>
      <c r="AB44" s="615" t="str">
        <f>IF(Summary_Products!AA28="","",Summary_Products!AA28)</f>
        <v/>
      </c>
      <c r="AC44" s="615" t="str">
        <f>IF(Summary_Products!AB28="","",Summary_Products!AB28)</f>
        <v/>
      </c>
      <c r="AD44" s="615" t="str">
        <f>IF(Summary_Products!AC28="","",Summary_Products!AC28)</f>
        <v/>
      </c>
      <c r="AE44" s="615" t="str">
        <f>IF(Summary_Products!AD28="","",Summary_Products!AD28)</f>
        <v/>
      </c>
      <c r="AF44" s="615" t="str">
        <f>IF(Summary_Products!AE28="","",Summary_Products!AE28)</f>
        <v/>
      </c>
      <c r="AG44" s="615" t="str">
        <f>IF(Summary_Products!AF28="","",Summary_Products!AF28)</f>
        <v/>
      </c>
      <c r="AH44" s="615" t="str">
        <f>IF(Summary_Products!AG28="","",Summary_Products!AG28)</f>
        <v/>
      </c>
      <c r="AI44" s="615" t="str">
        <f>IF(Summary_Products!AH28="","",Summary_Products!AH28)</f>
        <v/>
      </c>
      <c r="AJ44" s="615" t="str">
        <f>IF(Summary_Products!AI28="","",Summary_Products!AI28)</f>
        <v/>
      </c>
      <c r="AK44" s="615" t="str">
        <f>IF(Summary_Products!AJ28="","",Summary_Products!AJ28)</f>
        <v/>
      </c>
      <c r="AL44" s="615" t="str">
        <f>IF(Summary_Products!AK28="","",Summary_Products!AK28)</f>
        <v/>
      </c>
      <c r="AM44" s="421" t="str">
        <f>IF(Summary_Products!AL28="","",INDEX(Translations!$C:$C,MATCH(Summary_Products!AL28,Translations!$B:$B,0)))</f>
        <v/>
      </c>
      <c r="AN44" s="615" t="str">
        <f>IF(Summary_Products!AM28="","",Summary_Products!AM28)</f>
        <v/>
      </c>
      <c r="AO44" s="473" t="str">
        <f>IF(Summary_Products!AN28="","",Summary_Products!AN28)</f>
        <v/>
      </c>
      <c r="AP44" s="474" t="str">
        <f>IF(Summary_Products!AO28="","",Summary_Products!AO28)</f>
        <v/>
      </c>
      <c r="AQ44" s="160" t="str">
        <f>IF(Summary_Products!AP28="","",Summary_Products!AP28)</f>
        <v/>
      </c>
      <c r="AR44" s="477" t="str">
        <f>IF(Summary_Products!AR28="","",Summary_Products!AR28)</f>
        <v/>
      </c>
      <c r="AS44" s="474" t="str">
        <f>IF(Summary_Products!AS28="","",Summary_Products!AS28)</f>
        <v/>
      </c>
      <c r="AT44" s="421" t="str">
        <f>IF(Summary_Products!AT28="","",INDEX(Translations!$C:$C,MATCH(Summary_Products!AT28,Translations!$B:$B,0)))</f>
        <v/>
      </c>
      <c r="AU44" s="615" t="str">
        <f>IF(Summary_Products!AU28="","",Summary_Products!AU28)</f>
        <v/>
      </c>
      <c r="AV44" s="473" t="str">
        <f>IF(Summary_Products!AV28="","",Summary_Products!AV28)</f>
        <v/>
      </c>
      <c r="AW44" s="474" t="str">
        <f>IF(Summary_Products!AW28="","",Summary_Products!AW28)</f>
        <v/>
      </c>
      <c r="AX44" s="477" t="str">
        <f>IF(Summary_Products!AX28="","",Summary_Products!AX28)</f>
        <v/>
      </c>
      <c r="AY44" s="474" t="str">
        <f>IF(Summary_Products!AY28="","",Summary_Products!AY28)</f>
        <v/>
      </c>
      <c r="AZ44" s="477" t="str">
        <f>IF(Summary_Products!AZ28="","",Summary_Products!AZ28)</f>
        <v/>
      </c>
      <c r="BA44" s="478" t="str">
        <f>IF(Summary_Products!BA28="","",Summary_Products!BA28)</f>
        <v/>
      </c>
      <c r="BD44" s="156"/>
      <c r="BE44" s="156"/>
      <c r="BF44" s="156"/>
      <c r="BG44" s="156"/>
    </row>
    <row r="45" spans="2:59" ht="12.75" customHeight="1" x14ac:dyDescent="0.25">
      <c r="B45" s="277"/>
      <c r="C45" s="777">
        <v>20</v>
      </c>
      <c r="D45" s="766" t="str">
        <f>IF(Summary_Products!D29="","",Summary_Products!D29)</f>
        <v/>
      </c>
      <c r="E45" s="421" t="str">
        <f>IF(Summary_Products!E29="","",INDEX(Translations!$C:$C,MATCH(Summary_Products!E29,Translations!$B:$B,0)))</f>
        <v/>
      </c>
      <c r="F45" s="781" t="str">
        <f>IF(Summary_Products!F29="","",Summary_Products!F29)</f>
        <v/>
      </c>
      <c r="G45" s="766" t="str">
        <f>IF(F45="","",INDEX(Parameters_CNCodes!$H$4:$H$572,MATCH(F45,CNCodes_ListKey,0)))</f>
        <v/>
      </c>
      <c r="H45" s="766" t="str">
        <f>IF(Summary_Products!H29="","",Summary_Products!H29)</f>
        <v/>
      </c>
      <c r="I45" s="782" t="str">
        <f>IF(Summary_Products!I29="","",Summary_Products!I29)</f>
        <v/>
      </c>
      <c r="J45" s="782" t="str">
        <f>IF(Summary_Products!J29="","",Summary_Products!J29)</f>
        <v/>
      </c>
      <c r="K45" s="782" t="str">
        <f>IF(Summary_Products!K29="","",Summary_Products!K29)</f>
        <v/>
      </c>
      <c r="L45" s="782" t="str">
        <f>IF(Summary_Products!L29="","",Summary_Products!L29)</f>
        <v/>
      </c>
      <c r="M45" s="783" t="str">
        <f>IF(Summary_Products!M29="","",Summary_Products!M29)</f>
        <v/>
      </c>
      <c r="N45" s="782" t="str">
        <f>IF(Summary_Products!N29="","",Summary_Products!N29)</f>
        <v/>
      </c>
      <c r="O45" s="782" t="str">
        <f>IF(Summary_Products!O29="","",Summary_Products!O29)</f>
        <v/>
      </c>
      <c r="P45" s="782" t="str">
        <f t="shared" si="0"/>
        <v/>
      </c>
      <c r="Q45" s="160" t="str">
        <f>IF(Summary_Products!P29="","",INDEX(Translations!$C:$C,MATCH(Summary_Products!P29,Translations!$B:$B,0)))</f>
        <v/>
      </c>
      <c r="R45" s="160" t="str">
        <f>IF(Summary_Products!Q29="","",Summary_Products!Q29)</f>
        <v/>
      </c>
      <c r="S45" s="615" t="str">
        <f>IF(Summary_Products!R29="","",Summary_Products!R29)</f>
        <v/>
      </c>
      <c r="T45" s="615" t="str">
        <f>IF(Summary_Products!S29="","",Summary_Products!S29)</f>
        <v/>
      </c>
      <c r="U45" s="615" t="str">
        <f>IF(Summary_Products!T29="","",Summary_Products!T29)</f>
        <v/>
      </c>
      <c r="V45" s="615" t="str">
        <f>IF(Summary_Products!U29="","",Summary_Products!U29)</f>
        <v/>
      </c>
      <c r="W45" s="615" t="str">
        <f>IF(Summary_Products!V29="","",Summary_Products!V29)</f>
        <v/>
      </c>
      <c r="X45" s="615" t="str">
        <f>IF(Summary_Products!W29="","",Summary_Products!W29)</f>
        <v/>
      </c>
      <c r="Y45" s="615" t="str">
        <f>IF(Summary_Products!X29="","",Summary_Products!X29)</f>
        <v/>
      </c>
      <c r="Z45" s="615" t="str">
        <f>IF(Summary_Products!Y29="","",Summary_Products!Y29)</f>
        <v/>
      </c>
      <c r="AA45" s="615" t="str">
        <f>IF(Summary_Products!Z29="","",Summary_Products!Z29)</f>
        <v/>
      </c>
      <c r="AB45" s="615" t="str">
        <f>IF(Summary_Products!AA29="","",Summary_Products!AA29)</f>
        <v/>
      </c>
      <c r="AC45" s="615" t="str">
        <f>IF(Summary_Products!AB29="","",Summary_Products!AB29)</f>
        <v/>
      </c>
      <c r="AD45" s="615" t="str">
        <f>IF(Summary_Products!AC29="","",Summary_Products!AC29)</f>
        <v/>
      </c>
      <c r="AE45" s="615" t="str">
        <f>IF(Summary_Products!AD29="","",Summary_Products!AD29)</f>
        <v/>
      </c>
      <c r="AF45" s="615" t="str">
        <f>IF(Summary_Products!AE29="","",Summary_Products!AE29)</f>
        <v/>
      </c>
      <c r="AG45" s="615" t="str">
        <f>IF(Summary_Products!AF29="","",Summary_Products!AF29)</f>
        <v/>
      </c>
      <c r="AH45" s="615" t="str">
        <f>IF(Summary_Products!AG29="","",Summary_Products!AG29)</f>
        <v/>
      </c>
      <c r="AI45" s="615" t="str">
        <f>IF(Summary_Products!AH29="","",Summary_Products!AH29)</f>
        <v/>
      </c>
      <c r="AJ45" s="615" t="str">
        <f>IF(Summary_Products!AI29="","",Summary_Products!AI29)</f>
        <v/>
      </c>
      <c r="AK45" s="615" t="str">
        <f>IF(Summary_Products!AJ29="","",Summary_Products!AJ29)</f>
        <v/>
      </c>
      <c r="AL45" s="615" t="str">
        <f>IF(Summary_Products!AK29="","",Summary_Products!AK29)</f>
        <v/>
      </c>
      <c r="AM45" s="421" t="str">
        <f>IF(Summary_Products!AL29="","",INDEX(Translations!$C:$C,MATCH(Summary_Products!AL29,Translations!$B:$B,0)))</f>
        <v/>
      </c>
      <c r="AN45" s="615" t="str">
        <f>IF(Summary_Products!AM29="","",Summary_Products!AM29)</f>
        <v/>
      </c>
      <c r="AO45" s="473" t="str">
        <f>IF(Summary_Products!AN29="","",Summary_Products!AN29)</f>
        <v/>
      </c>
      <c r="AP45" s="474" t="str">
        <f>IF(Summary_Products!AO29="","",Summary_Products!AO29)</f>
        <v/>
      </c>
      <c r="AQ45" s="160" t="str">
        <f>IF(Summary_Products!AP29="","",Summary_Products!AP29)</f>
        <v/>
      </c>
      <c r="AR45" s="477" t="str">
        <f>IF(Summary_Products!AR29="","",Summary_Products!AR29)</f>
        <v/>
      </c>
      <c r="AS45" s="474" t="str">
        <f>IF(Summary_Products!AS29="","",Summary_Products!AS29)</f>
        <v/>
      </c>
      <c r="AT45" s="421" t="str">
        <f>IF(Summary_Products!AT29="","",INDEX(Translations!$C:$C,MATCH(Summary_Products!AT29,Translations!$B:$B,0)))</f>
        <v/>
      </c>
      <c r="AU45" s="615" t="str">
        <f>IF(Summary_Products!AU29="","",Summary_Products!AU29)</f>
        <v/>
      </c>
      <c r="AV45" s="473" t="str">
        <f>IF(Summary_Products!AV29="","",Summary_Products!AV29)</f>
        <v/>
      </c>
      <c r="AW45" s="474" t="str">
        <f>IF(Summary_Products!AW29="","",Summary_Products!AW29)</f>
        <v/>
      </c>
      <c r="AX45" s="477" t="str">
        <f>IF(Summary_Products!AX29="","",Summary_Products!AX29)</f>
        <v/>
      </c>
      <c r="AY45" s="474" t="str">
        <f>IF(Summary_Products!AY29="","",Summary_Products!AY29)</f>
        <v/>
      </c>
      <c r="AZ45" s="477" t="str">
        <f>IF(Summary_Products!AZ29="","",Summary_Products!AZ29)</f>
        <v/>
      </c>
      <c r="BA45" s="478" t="str">
        <f>IF(Summary_Products!BA29="","",Summary_Products!BA29)</f>
        <v/>
      </c>
      <c r="BD45" s="156"/>
      <c r="BE45" s="156"/>
      <c r="BF45" s="156"/>
      <c r="BG45" s="156"/>
    </row>
    <row r="46" spans="2:59" ht="12.75" customHeight="1" x14ac:dyDescent="0.25">
      <c r="B46" s="277"/>
      <c r="C46" s="777">
        <v>21</v>
      </c>
      <c r="D46" s="766" t="str">
        <f>IF(Summary_Products!D30="","",Summary_Products!D30)</f>
        <v/>
      </c>
      <c r="E46" s="421" t="str">
        <f>IF(Summary_Products!E30="","",INDEX(Translations!$C:$C,MATCH(Summary_Products!E30,Translations!$B:$B,0)))</f>
        <v/>
      </c>
      <c r="F46" s="781" t="str">
        <f>IF(Summary_Products!F30="","",Summary_Products!F30)</f>
        <v/>
      </c>
      <c r="G46" s="766" t="str">
        <f>IF(F46="","",INDEX(Parameters_CNCodes!$H$4:$H$572,MATCH(F46,CNCodes_ListKey,0)))</f>
        <v/>
      </c>
      <c r="H46" s="766" t="str">
        <f>IF(Summary_Products!H30="","",Summary_Products!H30)</f>
        <v/>
      </c>
      <c r="I46" s="782" t="str">
        <f>IF(Summary_Products!I30="","",Summary_Products!I30)</f>
        <v/>
      </c>
      <c r="J46" s="782" t="str">
        <f>IF(Summary_Products!J30="","",Summary_Products!J30)</f>
        <v/>
      </c>
      <c r="K46" s="782" t="str">
        <f>IF(Summary_Products!K30="","",Summary_Products!K30)</f>
        <v/>
      </c>
      <c r="L46" s="782" t="str">
        <f>IF(Summary_Products!L30="","",Summary_Products!L30)</f>
        <v/>
      </c>
      <c r="M46" s="783" t="str">
        <f>IF(Summary_Products!M30="","",Summary_Products!M30)</f>
        <v/>
      </c>
      <c r="N46" s="782" t="str">
        <f>IF(Summary_Products!N30="","",Summary_Products!N30)</f>
        <v/>
      </c>
      <c r="O46" s="782" t="str">
        <f>IF(Summary_Products!O30="","",Summary_Products!O30)</f>
        <v/>
      </c>
      <c r="P46" s="782" t="str">
        <f t="shared" si="0"/>
        <v/>
      </c>
      <c r="Q46" s="160" t="str">
        <f>IF(Summary_Products!P30="","",INDEX(Translations!$C:$C,MATCH(Summary_Products!P30,Translations!$B:$B,0)))</f>
        <v/>
      </c>
      <c r="R46" s="160" t="str">
        <f>IF(Summary_Products!Q30="","",Summary_Products!Q30)</f>
        <v/>
      </c>
      <c r="S46" s="615" t="str">
        <f>IF(Summary_Products!R30="","",Summary_Products!R30)</f>
        <v/>
      </c>
      <c r="T46" s="615" t="str">
        <f>IF(Summary_Products!S30="","",Summary_Products!S30)</f>
        <v/>
      </c>
      <c r="U46" s="615" t="str">
        <f>IF(Summary_Products!T30="","",Summary_Products!T30)</f>
        <v/>
      </c>
      <c r="V46" s="615" t="str">
        <f>IF(Summary_Products!U30="","",Summary_Products!U30)</f>
        <v/>
      </c>
      <c r="W46" s="615" t="str">
        <f>IF(Summary_Products!V30="","",Summary_Products!V30)</f>
        <v/>
      </c>
      <c r="X46" s="615" t="str">
        <f>IF(Summary_Products!W30="","",Summary_Products!W30)</f>
        <v/>
      </c>
      <c r="Y46" s="615" t="str">
        <f>IF(Summary_Products!X30="","",Summary_Products!X30)</f>
        <v/>
      </c>
      <c r="Z46" s="615" t="str">
        <f>IF(Summary_Products!Y30="","",Summary_Products!Y30)</f>
        <v/>
      </c>
      <c r="AA46" s="615" t="str">
        <f>IF(Summary_Products!Z30="","",Summary_Products!Z30)</f>
        <v/>
      </c>
      <c r="AB46" s="615" t="str">
        <f>IF(Summary_Products!AA30="","",Summary_Products!AA30)</f>
        <v/>
      </c>
      <c r="AC46" s="615" t="str">
        <f>IF(Summary_Products!AB30="","",Summary_Products!AB30)</f>
        <v/>
      </c>
      <c r="AD46" s="615" t="str">
        <f>IF(Summary_Products!AC30="","",Summary_Products!AC30)</f>
        <v/>
      </c>
      <c r="AE46" s="615" t="str">
        <f>IF(Summary_Products!AD30="","",Summary_Products!AD30)</f>
        <v/>
      </c>
      <c r="AF46" s="615" t="str">
        <f>IF(Summary_Products!AE30="","",Summary_Products!AE30)</f>
        <v/>
      </c>
      <c r="AG46" s="615" t="str">
        <f>IF(Summary_Products!AF30="","",Summary_Products!AF30)</f>
        <v/>
      </c>
      <c r="AH46" s="615" t="str">
        <f>IF(Summary_Products!AG30="","",Summary_Products!AG30)</f>
        <v/>
      </c>
      <c r="AI46" s="615" t="str">
        <f>IF(Summary_Products!AH30="","",Summary_Products!AH30)</f>
        <v/>
      </c>
      <c r="AJ46" s="615" t="str">
        <f>IF(Summary_Products!AI30="","",Summary_Products!AI30)</f>
        <v/>
      </c>
      <c r="AK46" s="615" t="str">
        <f>IF(Summary_Products!AJ30="","",Summary_Products!AJ30)</f>
        <v/>
      </c>
      <c r="AL46" s="615" t="str">
        <f>IF(Summary_Products!AK30="","",Summary_Products!AK30)</f>
        <v/>
      </c>
      <c r="AM46" s="421" t="str">
        <f>IF(Summary_Products!AL30="","",INDEX(Translations!$C:$C,MATCH(Summary_Products!AL30,Translations!$B:$B,0)))</f>
        <v/>
      </c>
      <c r="AN46" s="615" t="str">
        <f>IF(Summary_Products!AM30="","",Summary_Products!AM30)</f>
        <v/>
      </c>
      <c r="AO46" s="473" t="str">
        <f>IF(Summary_Products!AN30="","",Summary_Products!AN30)</f>
        <v/>
      </c>
      <c r="AP46" s="474" t="str">
        <f>IF(Summary_Products!AO30="","",Summary_Products!AO30)</f>
        <v/>
      </c>
      <c r="AQ46" s="160" t="str">
        <f>IF(Summary_Products!AP30="","",Summary_Products!AP30)</f>
        <v/>
      </c>
      <c r="AR46" s="477" t="str">
        <f>IF(Summary_Products!AR30="","",Summary_Products!AR30)</f>
        <v/>
      </c>
      <c r="AS46" s="474" t="str">
        <f>IF(Summary_Products!AS30="","",Summary_Products!AS30)</f>
        <v/>
      </c>
      <c r="AT46" s="421" t="str">
        <f>IF(Summary_Products!AT30="","",INDEX(Translations!$C:$C,MATCH(Summary_Products!AT30,Translations!$B:$B,0)))</f>
        <v/>
      </c>
      <c r="AU46" s="615" t="str">
        <f>IF(Summary_Products!AU30="","",Summary_Products!AU30)</f>
        <v/>
      </c>
      <c r="AV46" s="473" t="str">
        <f>IF(Summary_Products!AV30="","",Summary_Products!AV30)</f>
        <v/>
      </c>
      <c r="AW46" s="474" t="str">
        <f>IF(Summary_Products!AW30="","",Summary_Products!AW30)</f>
        <v/>
      </c>
      <c r="AX46" s="477" t="str">
        <f>IF(Summary_Products!AX30="","",Summary_Products!AX30)</f>
        <v/>
      </c>
      <c r="AY46" s="474" t="str">
        <f>IF(Summary_Products!AY30="","",Summary_Products!AY30)</f>
        <v/>
      </c>
      <c r="AZ46" s="477" t="str">
        <f>IF(Summary_Products!AZ30="","",Summary_Products!AZ30)</f>
        <v/>
      </c>
      <c r="BA46" s="478" t="str">
        <f>IF(Summary_Products!BA30="","",Summary_Products!BA30)</f>
        <v/>
      </c>
      <c r="BD46" s="156"/>
      <c r="BE46" s="156"/>
      <c r="BF46" s="156"/>
      <c r="BG46" s="156"/>
    </row>
    <row r="47" spans="2:59" ht="12.75" customHeight="1" x14ac:dyDescent="0.25">
      <c r="B47" s="277"/>
      <c r="C47" s="777">
        <v>22</v>
      </c>
      <c r="D47" s="766" t="str">
        <f>IF(Summary_Products!D31="","",Summary_Products!D31)</f>
        <v/>
      </c>
      <c r="E47" s="421" t="str">
        <f>IF(Summary_Products!E31="","",INDEX(Translations!$C:$C,MATCH(Summary_Products!E31,Translations!$B:$B,0)))</f>
        <v/>
      </c>
      <c r="F47" s="781" t="str">
        <f>IF(Summary_Products!F31="","",Summary_Products!F31)</f>
        <v/>
      </c>
      <c r="G47" s="766" t="str">
        <f>IF(F47="","",INDEX(Parameters_CNCodes!$H$4:$H$572,MATCH(F47,CNCodes_ListKey,0)))</f>
        <v/>
      </c>
      <c r="H47" s="766" t="str">
        <f>IF(Summary_Products!H31="","",Summary_Products!H31)</f>
        <v/>
      </c>
      <c r="I47" s="782" t="str">
        <f>IF(Summary_Products!I31="","",Summary_Products!I31)</f>
        <v/>
      </c>
      <c r="J47" s="782" t="str">
        <f>IF(Summary_Products!J31="","",Summary_Products!J31)</f>
        <v/>
      </c>
      <c r="K47" s="782" t="str">
        <f>IF(Summary_Products!K31="","",Summary_Products!K31)</f>
        <v/>
      </c>
      <c r="L47" s="782" t="str">
        <f>IF(Summary_Products!L31="","",Summary_Products!L31)</f>
        <v/>
      </c>
      <c r="M47" s="783" t="str">
        <f>IF(Summary_Products!M31="","",Summary_Products!M31)</f>
        <v/>
      </c>
      <c r="N47" s="782" t="str">
        <f>IF(Summary_Products!N31="","",Summary_Products!N31)</f>
        <v/>
      </c>
      <c r="O47" s="782" t="str">
        <f>IF(Summary_Products!O31="","",Summary_Products!O31)</f>
        <v/>
      </c>
      <c r="P47" s="782" t="str">
        <f t="shared" si="0"/>
        <v/>
      </c>
      <c r="Q47" s="160" t="str">
        <f>IF(Summary_Products!P31="","",INDEX(Translations!$C:$C,MATCH(Summary_Products!P31,Translations!$B:$B,0)))</f>
        <v/>
      </c>
      <c r="R47" s="160" t="str">
        <f>IF(Summary_Products!Q31="","",Summary_Products!Q31)</f>
        <v/>
      </c>
      <c r="S47" s="615" t="str">
        <f>IF(Summary_Products!R31="","",Summary_Products!R31)</f>
        <v/>
      </c>
      <c r="T47" s="615" t="str">
        <f>IF(Summary_Products!S31="","",Summary_Products!S31)</f>
        <v/>
      </c>
      <c r="U47" s="615" t="str">
        <f>IF(Summary_Products!T31="","",Summary_Products!T31)</f>
        <v/>
      </c>
      <c r="V47" s="615" t="str">
        <f>IF(Summary_Products!U31="","",Summary_Products!U31)</f>
        <v/>
      </c>
      <c r="W47" s="615" t="str">
        <f>IF(Summary_Products!V31="","",Summary_Products!V31)</f>
        <v/>
      </c>
      <c r="X47" s="615" t="str">
        <f>IF(Summary_Products!W31="","",Summary_Products!W31)</f>
        <v/>
      </c>
      <c r="Y47" s="615" t="str">
        <f>IF(Summary_Products!X31="","",Summary_Products!X31)</f>
        <v/>
      </c>
      <c r="Z47" s="615" t="str">
        <f>IF(Summary_Products!Y31="","",Summary_Products!Y31)</f>
        <v/>
      </c>
      <c r="AA47" s="615" t="str">
        <f>IF(Summary_Products!Z31="","",Summary_Products!Z31)</f>
        <v/>
      </c>
      <c r="AB47" s="615" t="str">
        <f>IF(Summary_Products!AA31="","",Summary_Products!AA31)</f>
        <v/>
      </c>
      <c r="AC47" s="615" t="str">
        <f>IF(Summary_Products!AB31="","",Summary_Products!AB31)</f>
        <v/>
      </c>
      <c r="AD47" s="615" t="str">
        <f>IF(Summary_Products!AC31="","",Summary_Products!AC31)</f>
        <v/>
      </c>
      <c r="AE47" s="615" t="str">
        <f>IF(Summary_Products!AD31="","",Summary_Products!AD31)</f>
        <v/>
      </c>
      <c r="AF47" s="615" t="str">
        <f>IF(Summary_Products!AE31="","",Summary_Products!AE31)</f>
        <v/>
      </c>
      <c r="AG47" s="615" t="str">
        <f>IF(Summary_Products!AF31="","",Summary_Products!AF31)</f>
        <v/>
      </c>
      <c r="AH47" s="615" t="str">
        <f>IF(Summary_Products!AG31="","",Summary_Products!AG31)</f>
        <v/>
      </c>
      <c r="AI47" s="615" t="str">
        <f>IF(Summary_Products!AH31="","",Summary_Products!AH31)</f>
        <v/>
      </c>
      <c r="AJ47" s="615" t="str">
        <f>IF(Summary_Products!AI31="","",Summary_Products!AI31)</f>
        <v/>
      </c>
      <c r="AK47" s="615" t="str">
        <f>IF(Summary_Products!AJ31="","",Summary_Products!AJ31)</f>
        <v/>
      </c>
      <c r="AL47" s="615" t="str">
        <f>IF(Summary_Products!AK31="","",Summary_Products!AK31)</f>
        <v/>
      </c>
      <c r="AM47" s="421" t="str">
        <f>IF(Summary_Products!AL31="","",INDEX(Translations!$C:$C,MATCH(Summary_Products!AL31,Translations!$B:$B,0)))</f>
        <v/>
      </c>
      <c r="AN47" s="615" t="str">
        <f>IF(Summary_Products!AM31="","",Summary_Products!AM31)</f>
        <v/>
      </c>
      <c r="AO47" s="473" t="str">
        <f>IF(Summary_Products!AN31="","",Summary_Products!AN31)</f>
        <v/>
      </c>
      <c r="AP47" s="474" t="str">
        <f>IF(Summary_Products!AO31="","",Summary_Products!AO31)</f>
        <v/>
      </c>
      <c r="AQ47" s="160" t="str">
        <f>IF(Summary_Products!AP31="","",Summary_Products!AP31)</f>
        <v/>
      </c>
      <c r="AR47" s="477" t="str">
        <f>IF(Summary_Products!AR31="","",Summary_Products!AR31)</f>
        <v/>
      </c>
      <c r="AS47" s="474" t="str">
        <f>IF(Summary_Products!AS31="","",Summary_Products!AS31)</f>
        <v/>
      </c>
      <c r="AT47" s="421" t="str">
        <f>IF(Summary_Products!AT31="","",INDEX(Translations!$C:$C,MATCH(Summary_Products!AT31,Translations!$B:$B,0)))</f>
        <v/>
      </c>
      <c r="AU47" s="615" t="str">
        <f>IF(Summary_Products!AU31="","",Summary_Products!AU31)</f>
        <v/>
      </c>
      <c r="AV47" s="473" t="str">
        <f>IF(Summary_Products!AV31="","",Summary_Products!AV31)</f>
        <v/>
      </c>
      <c r="AW47" s="474" t="str">
        <f>IF(Summary_Products!AW31="","",Summary_Products!AW31)</f>
        <v/>
      </c>
      <c r="AX47" s="477" t="str">
        <f>IF(Summary_Products!AX31="","",Summary_Products!AX31)</f>
        <v/>
      </c>
      <c r="AY47" s="474" t="str">
        <f>IF(Summary_Products!AY31="","",Summary_Products!AY31)</f>
        <v/>
      </c>
      <c r="AZ47" s="477" t="str">
        <f>IF(Summary_Products!AZ31="","",Summary_Products!AZ31)</f>
        <v/>
      </c>
      <c r="BA47" s="478" t="str">
        <f>IF(Summary_Products!BA31="","",Summary_Products!BA31)</f>
        <v/>
      </c>
      <c r="BD47" s="156"/>
      <c r="BE47" s="156"/>
      <c r="BF47" s="156"/>
      <c r="BG47" s="156"/>
    </row>
    <row r="48" spans="2:59" ht="12.75" customHeight="1" x14ac:dyDescent="0.25">
      <c r="B48" s="277"/>
      <c r="C48" s="777">
        <v>23</v>
      </c>
      <c r="D48" s="766" t="str">
        <f>IF(Summary_Products!D32="","",Summary_Products!D32)</f>
        <v/>
      </c>
      <c r="E48" s="421" t="str">
        <f>IF(Summary_Products!E32="","",INDEX(Translations!$C:$C,MATCH(Summary_Products!E32,Translations!$B:$B,0)))</f>
        <v/>
      </c>
      <c r="F48" s="781" t="str">
        <f>IF(Summary_Products!F32="","",Summary_Products!F32)</f>
        <v/>
      </c>
      <c r="G48" s="766" t="str">
        <f>IF(F48="","",INDEX(Parameters_CNCodes!$H$4:$H$572,MATCH(F48,CNCodes_ListKey,0)))</f>
        <v/>
      </c>
      <c r="H48" s="766" t="str">
        <f>IF(Summary_Products!H32="","",Summary_Products!H32)</f>
        <v/>
      </c>
      <c r="I48" s="782" t="str">
        <f>IF(Summary_Products!I32="","",Summary_Products!I32)</f>
        <v/>
      </c>
      <c r="J48" s="782" t="str">
        <f>IF(Summary_Products!J32="","",Summary_Products!J32)</f>
        <v/>
      </c>
      <c r="K48" s="782" t="str">
        <f>IF(Summary_Products!K32="","",Summary_Products!K32)</f>
        <v/>
      </c>
      <c r="L48" s="782" t="str">
        <f>IF(Summary_Products!L32="","",Summary_Products!L32)</f>
        <v/>
      </c>
      <c r="M48" s="783" t="str">
        <f>IF(Summary_Products!M32="","",Summary_Products!M32)</f>
        <v/>
      </c>
      <c r="N48" s="782" t="str">
        <f>IF(Summary_Products!N32="","",Summary_Products!N32)</f>
        <v/>
      </c>
      <c r="O48" s="782" t="str">
        <f>IF(Summary_Products!O32="","",Summary_Products!O32)</f>
        <v/>
      </c>
      <c r="P48" s="782" t="str">
        <f t="shared" si="0"/>
        <v/>
      </c>
      <c r="Q48" s="160" t="str">
        <f>IF(Summary_Products!P32="","",INDEX(Translations!$C:$C,MATCH(Summary_Products!P32,Translations!$B:$B,0)))</f>
        <v/>
      </c>
      <c r="R48" s="160" t="str">
        <f>IF(Summary_Products!Q32="","",Summary_Products!Q32)</f>
        <v/>
      </c>
      <c r="S48" s="615" t="str">
        <f>IF(Summary_Products!R32="","",Summary_Products!R32)</f>
        <v/>
      </c>
      <c r="T48" s="615" t="str">
        <f>IF(Summary_Products!S32="","",Summary_Products!S32)</f>
        <v/>
      </c>
      <c r="U48" s="615" t="str">
        <f>IF(Summary_Products!T32="","",Summary_Products!T32)</f>
        <v/>
      </c>
      <c r="V48" s="615" t="str">
        <f>IF(Summary_Products!U32="","",Summary_Products!U32)</f>
        <v/>
      </c>
      <c r="W48" s="615" t="str">
        <f>IF(Summary_Products!V32="","",Summary_Products!V32)</f>
        <v/>
      </c>
      <c r="X48" s="615" t="str">
        <f>IF(Summary_Products!W32="","",Summary_Products!W32)</f>
        <v/>
      </c>
      <c r="Y48" s="615" t="str">
        <f>IF(Summary_Products!X32="","",Summary_Products!X32)</f>
        <v/>
      </c>
      <c r="Z48" s="615" t="str">
        <f>IF(Summary_Products!Y32="","",Summary_Products!Y32)</f>
        <v/>
      </c>
      <c r="AA48" s="615" t="str">
        <f>IF(Summary_Products!Z32="","",Summary_Products!Z32)</f>
        <v/>
      </c>
      <c r="AB48" s="615" t="str">
        <f>IF(Summary_Products!AA32="","",Summary_Products!AA32)</f>
        <v/>
      </c>
      <c r="AC48" s="615" t="str">
        <f>IF(Summary_Products!AB32="","",Summary_Products!AB32)</f>
        <v/>
      </c>
      <c r="AD48" s="615" t="str">
        <f>IF(Summary_Products!AC32="","",Summary_Products!AC32)</f>
        <v/>
      </c>
      <c r="AE48" s="615" t="str">
        <f>IF(Summary_Products!AD32="","",Summary_Products!AD32)</f>
        <v/>
      </c>
      <c r="AF48" s="615" t="str">
        <f>IF(Summary_Products!AE32="","",Summary_Products!AE32)</f>
        <v/>
      </c>
      <c r="AG48" s="615" t="str">
        <f>IF(Summary_Products!AF32="","",Summary_Products!AF32)</f>
        <v/>
      </c>
      <c r="AH48" s="615" t="str">
        <f>IF(Summary_Products!AG32="","",Summary_Products!AG32)</f>
        <v/>
      </c>
      <c r="AI48" s="615" t="str">
        <f>IF(Summary_Products!AH32="","",Summary_Products!AH32)</f>
        <v/>
      </c>
      <c r="AJ48" s="615" t="str">
        <f>IF(Summary_Products!AI32="","",Summary_Products!AI32)</f>
        <v/>
      </c>
      <c r="AK48" s="615" t="str">
        <f>IF(Summary_Products!AJ32="","",Summary_Products!AJ32)</f>
        <v/>
      </c>
      <c r="AL48" s="615" t="str">
        <f>IF(Summary_Products!AK32="","",Summary_Products!AK32)</f>
        <v/>
      </c>
      <c r="AM48" s="421" t="str">
        <f>IF(Summary_Products!AL32="","",INDEX(Translations!$C:$C,MATCH(Summary_Products!AL32,Translations!$B:$B,0)))</f>
        <v/>
      </c>
      <c r="AN48" s="615" t="str">
        <f>IF(Summary_Products!AM32="","",Summary_Products!AM32)</f>
        <v/>
      </c>
      <c r="AO48" s="473" t="str">
        <f>IF(Summary_Products!AN32="","",Summary_Products!AN32)</f>
        <v/>
      </c>
      <c r="AP48" s="474" t="str">
        <f>IF(Summary_Products!AO32="","",Summary_Products!AO32)</f>
        <v/>
      </c>
      <c r="AQ48" s="160" t="str">
        <f>IF(Summary_Products!AP32="","",Summary_Products!AP32)</f>
        <v/>
      </c>
      <c r="AR48" s="477" t="str">
        <f>IF(Summary_Products!AR32="","",Summary_Products!AR32)</f>
        <v/>
      </c>
      <c r="AS48" s="474" t="str">
        <f>IF(Summary_Products!AS32="","",Summary_Products!AS32)</f>
        <v/>
      </c>
      <c r="AT48" s="421" t="str">
        <f>IF(Summary_Products!AT32="","",INDEX(Translations!$C:$C,MATCH(Summary_Products!AT32,Translations!$B:$B,0)))</f>
        <v/>
      </c>
      <c r="AU48" s="615" t="str">
        <f>IF(Summary_Products!AU32="","",Summary_Products!AU32)</f>
        <v/>
      </c>
      <c r="AV48" s="473" t="str">
        <f>IF(Summary_Products!AV32="","",Summary_Products!AV32)</f>
        <v/>
      </c>
      <c r="AW48" s="474" t="str">
        <f>IF(Summary_Products!AW32="","",Summary_Products!AW32)</f>
        <v/>
      </c>
      <c r="AX48" s="477" t="str">
        <f>IF(Summary_Products!AX32="","",Summary_Products!AX32)</f>
        <v/>
      </c>
      <c r="AY48" s="474" t="str">
        <f>IF(Summary_Products!AY32="","",Summary_Products!AY32)</f>
        <v/>
      </c>
      <c r="AZ48" s="477" t="str">
        <f>IF(Summary_Products!AZ32="","",Summary_Products!AZ32)</f>
        <v/>
      </c>
      <c r="BA48" s="478" t="str">
        <f>IF(Summary_Products!BA32="","",Summary_Products!BA32)</f>
        <v/>
      </c>
      <c r="BD48" s="156"/>
      <c r="BE48" s="156"/>
      <c r="BF48" s="156"/>
      <c r="BG48" s="156"/>
    </row>
    <row r="49" spans="2:59" ht="12.75" customHeight="1" x14ac:dyDescent="0.25">
      <c r="B49" s="277"/>
      <c r="C49" s="777">
        <v>24</v>
      </c>
      <c r="D49" s="766" t="str">
        <f>IF(Summary_Products!D33="","",Summary_Products!D33)</f>
        <v/>
      </c>
      <c r="E49" s="421" t="str">
        <f>IF(Summary_Products!E33="","",INDEX(Translations!$C:$C,MATCH(Summary_Products!E33,Translations!$B:$B,0)))</f>
        <v/>
      </c>
      <c r="F49" s="781" t="str">
        <f>IF(Summary_Products!F33="","",Summary_Products!F33)</f>
        <v/>
      </c>
      <c r="G49" s="766" t="str">
        <f>IF(F49="","",INDEX(Parameters_CNCodes!$H$4:$H$572,MATCH(F49,CNCodes_ListKey,0)))</f>
        <v/>
      </c>
      <c r="H49" s="766" t="str">
        <f>IF(Summary_Products!H33="","",Summary_Products!H33)</f>
        <v/>
      </c>
      <c r="I49" s="782" t="str">
        <f>IF(Summary_Products!I33="","",Summary_Products!I33)</f>
        <v/>
      </c>
      <c r="J49" s="782" t="str">
        <f>IF(Summary_Products!J33="","",Summary_Products!J33)</f>
        <v/>
      </c>
      <c r="K49" s="782" t="str">
        <f>IF(Summary_Products!K33="","",Summary_Products!K33)</f>
        <v/>
      </c>
      <c r="L49" s="782" t="str">
        <f>IF(Summary_Products!L33="","",Summary_Products!L33)</f>
        <v/>
      </c>
      <c r="M49" s="783" t="str">
        <f>IF(Summary_Products!M33="","",Summary_Products!M33)</f>
        <v/>
      </c>
      <c r="N49" s="782" t="str">
        <f>IF(Summary_Products!N33="","",Summary_Products!N33)</f>
        <v/>
      </c>
      <c r="O49" s="782" t="str">
        <f>IF(Summary_Products!O33="","",Summary_Products!O33)</f>
        <v/>
      </c>
      <c r="P49" s="782" t="str">
        <f t="shared" si="0"/>
        <v/>
      </c>
      <c r="Q49" s="160" t="str">
        <f>IF(Summary_Products!P33="","",INDEX(Translations!$C:$C,MATCH(Summary_Products!P33,Translations!$B:$B,0)))</f>
        <v/>
      </c>
      <c r="R49" s="160" t="str">
        <f>IF(Summary_Products!Q33="","",Summary_Products!Q33)</f>
        <v/>
      </c>
      <c r="S49" s="615" t="str">
        <f>IF(Summary_Products!R33="","",Summary_Products!R33)</f>
        <v/>
      </c>
      <c r="T49" s="615" t="str">
        <f>IF(Summary_Products!S33="","",Summary_Products!S33)</f>
        <v/>
      </c>
      <c r="U49" s="615" t="str">
        <f>IF(Summary_Products!T33="","",Summary_Products!T33)</f>
        <v/>
      </c>
      <c r="V49" s="615" t="str">
        <f>IF(Summary_Products!U33="","",Summary_Products!U33)</f>
        <v/>
      </c>
      <c r="W49" s="615" t="str">
        <f>IF(Summary_Products!V33="","",Summary_Products!V33)</f>
        <v/>
      </c>
      <c r="X49" s="615" t="str">
        <f>IF(Summary_Products!W33="","",Summary_Products!W33)</f>
        <v/>
      </c>
      <c r="Y49" s="615" t="str">
        <f>IF(Summary_Products!X33="","",Summary_Products!X33)</f>
        <v/>
      </c>
      <c r="Z49" s="615" t="str">
        <f>IF(Summary_Products!Y33="","",Summary_Products!Y33)</f>
        <v/>
      </c>
      <c r="AA49" s="615" t="str">
        <f>IF(Summary_Products!Z33="","",Summary_Products!Z33)</f>
        <v/>
      </c>
      <c r="AB49" s="615" t="str">
        <f>IF(Summary_Products!AA33="","",Summary_Products!AA33)</f>
        <v/>
      </c>
      <c r="AC49" s="615" t="str">
        <f>IF(Summary_Products!AB33="","",Summary_Products!AB33)</f>
        <v/>
      </c>
      <c r="AD49" s="615" t="str">
        <f>IF(Summary_Products!AC33="","",Summary_Products!AC33)</f>
        <v/>
      </c>
      <c r="AE49" s="615" t="str">
        <f>IF(Summary_Products!AD33="","",Summary_Products!AD33)</f>
        <v/>
      </c>
      <c r="AF49" s="615" t="str">
        <f>IF(Summary_Products!AE33="","",Summary_Products!AE33)</f>
        <v/>
      </c>
      <c r="AG49" s="615" t="str">
        <f>IF(Summary_Products!AF33="","",Summary_Products!AF33)</f>
        <v/>
      </c>
      <c r="AH49" s="615" t="str">
        <f>IF(Summary_Products!AG33="","",Summary_Products!AG33)</f>
        <v/>
      </c>
      <c r="AI49" s="615" t="str">
        <f>IF(Summary_Products!AH33="","",Summary_Products!AH33)</f>
        <v/>
      </c>
      <c r="AJ49" s="615" t="str">
        <f>IF(Summary_Products!AI33="","",Summary_Products!AI33)</f>
        <v/>
      </c>
      <c r="AK49" s="615" t="str">
        <f>IF(Summary_Products!AJ33="","",Summary_Products!AJ33)</f>
        <v/>
      </c>
      <c r="AL49" s="615" t="str">
        <f>IF(Summary_Products!AK33="","",Summary_Products!AK33)</f>
        <v/>
      </c>
      <c r="AM49" s="421" t="str">
        <f>IF(Summary_Products!AL33="","",INDEX(Translations!$C:$C,MATCH(Summary_Products!AL33,Translations!$B:$B,0)))</f>
        <v/>
      </c>
      <c r="AN49" s="615" t="str">
        <f>IF(Summary_Products!AM33="","",Summary_Products!AM33)</f>
        <v/>
      </c>
      <c r="AO49" s="473" t="str">
        <f>IF(Summary_Products!AN33="","",Summary_Products!AN33)</f>
        <v/>
      </c>
      <c r="AP49" s="474" t="str">
        <f>IF(Summary_Products!AO33="","",Summary_Products!AO33)</f>
        <v/>
      </c>
      <c r="AQ49" s="160" t="str">
        <f>IF(Summary_Products!AP33="","",Summary_Products!AP33)</f>
        <v/>
      </c>
      <c r="AR49" s="477" t="str">
        <f>IF(Summary_Products!AR33="","",Summary_Products!AR33)</f>
        <v/>
      </c>
      <c r="AS49" s="474" t="str">
        <f>IF(Summary_Products!AS33="","",Summary_Products!AS33)</f>
        <v/>
      </c>
      <c r="AT49" s="421" t="str">
        <f>IF(Summary_Products!AT33="","",INDEX(Translations!$C:$C,MATCH(Summary_Products!AT33,Translations!$B:$B,0)))</f>
        <v/>
      </c>
      <c r="AU49" s="615" t="str">
        <f>IF(Summary_Products!AU33="","",Summary_Products!AU33)</f>
        <v/>
      </c>
      <c r="AV49" s="473" t="str">
        <f>IF(Summary_Products!AV33="","",Summary_Products!AV33)</f>
        <v/>
      </c>
      <c r="AW49" s="474" t="str">
        <f>IF(Summary_Products!AW33="","",Summary_Products!AW33)</f>
        <v/>
      </c>
      <c r="AX49" s="477" t="str">
        <f>IF(Summary_Products!AX33="","",Summary_Products!AX33)</f>
        <v/>
      </c>
      <c r="AY49" s="474" t="str">
        <f>IF(Summary_Products!AY33="","",Summary_Products!AY33)</f>
        <v/>
      </c>
      <c r="AZ49" s="477" t="str">
        <f>IF(Summary_Products!AZ33="","",Summary_Products!AZ33)</f>
        <v/>
      </c>
      <c r="BA49" s="478" t="str">
        <f>IF(Summary_Products!BA33="","",Summary_Products!BA33)</f>
        <v/>
      </c>
      <c r="BD49" s="156"/>
      <c r="BE49" s="156"/>
      <c r="BF49" s="156"/>
      <c r="BG49" s="156"/>
    </row>
    <row r="50" spans="2:59" ht="12.75" customHeight="1" x14ac:dyDescent="0.25">
      <c r="B50" s="277"/>
      <c r="C50" s="777">
        <v>25</v>
      </c>
      <c r="D50" s="766" t="str">
        <f>IF(Summary_Products!D34="","",Summary_Products!D34)</f>
        <v/>
      </c>
      <c r="E50" s="421" t="str">
        <f>IF(Summary_Products!E34="","",INDEX(Translations!$C:$C,MATCH(Summary_Products!E34,Translations!$B:$B,0)))</f>
        <v/>
      </c>
      <c r="F50" s="781" t="str">
        <f>IF(Summary_Products!F34="","",Summary_Products!F34)</f>
        <v/>
      </c>
      <c r="G50" s="766" t="str">
        <f>IF(F50="","",INDEX(Parameters_CNCodes!$H$4:$H$572,MATCH(F50,CNCodes_ListKey,0)))</f>
        <v/>
      </c>
      <c r="H50" s="766" t="str">
        <f>IF(Summary_Products!H34="","",Summary_Products!H34)</f>
        <v/>
      </c>
      <c r="I50" s="782" t="str">
        <f>IF(Summary_Products!I34="","",Summary_Products!I34)</f>
        <v/>
      </c>
      <c r="J50" s="782" t="str">
        <f>IF(Summary_Products!J34="","",Summary_Products!J34)</f>
        <v/>
      </c>
      <c r="K50" s="782" t="str">
        <f>IF(Summary_Products!K34="","",Summary_Products!K34)</f>
        <v/>
      </c>
      <c r="L50" s="782" t="str">
        <f>IF(Summary_Products!L34="","",Summary_Products!L34)</f>
        <v/>
      </c>
      <c r="M50" s="783" t="str">
        <f>IF(Summary_Products!M34="","",Summary_Products!M34)</f>
        <v/>
      </c>
      <c r="N50" s="782" t="str">
        <f>IF(Summary_Products!N34="","",Summary_Products!N34)</f>
        <v/>
      </c>
      <c r="O50" s="782" t="str">
        <f>IF(Summary_Products!O34="","",Summary_Products!O34)</f>
        <v/>
      </c>
      <c r="P50" s="782" t="str">
        <f t="shared" si="0"/>
        <v/>
      </c>
      <c r="Q50" s="160" t="str">
        <f>IF(Summary_Products!P34="","",INDEX(Translations!$C:$C,MATCH(Summary_Products!P34,Translations!$B:$B,0)))</f>
        <v/>
      </c>
      <c r="R50" s="160" t="str">
        <f>IF(Summary_Products!Q34="","",Summary_Products!Q34)</f>
        <v/>
      </c>
      <c r="S50" s="615" t="str">
        <f>IF(Summary_Products!R34="","",Summary_Products!R34)</f>
        <v/>
      </c>
      <c r="T50" s="615" t="str">
        <f>IF(Summary_Products!S34="","",Summary_Products!S34)</f>
        <v/>
      </c>
      <c r="U50" s="615" t="str">
        <f>IF(Summary_Products!T34="","",Summary_Products!T34)</f>
        <v/>
      </c>
      <c r="V50" s="615" t="str">
        <f>IF(Summary_Products!U34="","",Summary_Products!U34)</f>
        <v/>
      </c>
      <c r="W50" s="615" t="str">
        <f>IF(Summary_Products!V34="","",Summary_Products!V34)</f>
        <v/>
      </c>
      <c r="X50" s="615" t="str">
        <f>IF(Summary_Products!W34="","",Summary_Products!W34)</f>
        <v/>
      </c>
      <c r="Y50" s="615" t="str">
        <f>IF(Summary_Products!X34="","",Summary_Products!X34)</f>
        <v/>
      </c>
      <c r="Z50" s="615" t="str">
        <f>IF(Summary_Products!Y34="","",Summary_Products!Y34)</f>
        <v/>
      </c>
      <c r="AA50" s="615" t="str">
        <f>IF(Summary_Products!Z34="","",Summary_Products!Z34)</f>
        <v/>
      </c>
      <c r="AB50" s="615" t="str">
        <f>IF(Summary_Products!AA34="","",Summary_Products!AA34)</f>
        <v/>
      </c>
      <c r="AC50" s="615" t="str">
        <f>IF(Summary_Products!AB34="","",Summary_Products!AB34)</f>
        <v/>
      </c>
      <c r="AD50" s="615" t="str">
        <f>IF(Summary_Products!AC34="","",Summary_Products!AC34)</f>
        <v/>
      </c>
      <c r="AE50" s="615" t="str">
        <f>IF(Summary_Products!AD34="","",Summary_Products!AD34)</f>
        <v/>
      </c>
      <c r="AF50" s="615" t="str">
        <f>IF(Summary_Products!AE34="","",Summary_Products!AE34)</f>
        <v/>
      </c>
      <c r="AG50" s="615" t="str">
        <f>IF(Summary_Products!AF34="","",Summary_Products!AF34)</f>
        <v/>
      </c>
      <c r="AH50" s="615" t="str">
        <f>IF(Summary_Products!AG34="","",Summary_Products!AG34)</f>
        <v/>
      </c>
      <c r="AI50" s="615" t="str">
        <f>IF(Summary_Products!AH34="","",Summary_Products!AH34)</f>
        <v/>
      </c>
      <c r="AJ50" s="615" t="str">
        <f>IF(Summary_Products!AI34="","",Summary_Products!AI34)</f>
        <v/>
      </c>
      <c r="AK50" s="615" t="str">
        <f>IF(Summary_Products!AJ34="","",Summary_Products!AJ34)</f>
        <v/>
      </c>
      <c r="AL50" s="615" t="str">
        <f>IF(Summary_Products!AK34="","",Summary_Products!AK34)</f>
        <v/>
      </c>
      <c r="AM50" s="421" t="str">
        <f>IF(Summary_Products!AL34="","",INDEX(Translations!$C:$C,MATCH(Summary_Products!AL34,Translations!$B:$B,0)))</f>
        <v/>
      </c>
      <c r="AN50" s="615" t="str">
        <f>IF(Summary_Products!AM34="","",Summary_Products!AM34)</f>
        <v/>
      </c>
      <c r="AO50" s="473" t="str">
        <f>IF(Summary_Products!AN34="","",Summary_Products!AN34)</f>
        <v/>
      </c>
      <c r="AP50" s="474" t="str">
        <f>IF(Summary_Products!AO34="","",Summary_Products!AO34)</f>
        <v/>
      </c>
      <c r="AQ50" s="160" t="str">
        <f>IF(Summary_Products!AP34="","",Summary_Products!AP34)</f>
        <v/>
      </c>
      <c r="AR50" s="477" t="str">
        <f>IF(Summary_Products!AR34="","",Summary_Products!AR34)</f>
        <v/>
      </c>
      <c r="AS50" s="474" t="str">
        <f>IF(Summary_Products!AS34="","",Summary_Products!AS34)</f>
        <v/>
      </c>
      <c r="AT50" s="421" t="str">
        <f>IF(Summary_Products!AT34="","",INDEX(Translations!$C:$C,MATCH(Summary_Products!AT34,Translations!$B:$B,0)))</f>
        <v/>
      </c>
      <c r="AU50" s="615" t="str">
        <f>IF(Summary_Products!AU34="","",Summary_Products!AU34)</f>
        <v/>
      </c>
      <c r="AV50" s="473" t="str">
        <f>IF(Summary_Products!AV34="","",Summary_Products!AV34)</f>
        <v/>
      </c>
      <c r="AW50" s="474" t="str">
        <f>IF(Summary_Products!AW34="","",Summary_Products!AW34)</f>
        <v/>
      </c>
      <c r="AX50" s="477" t="str">
        <f>IF(Summary_Products!AX34="","",Summary_Products!AX34)</f>
        <v/>
      </c>
      <c r="AY50" s="474" t="str">
        <f>IF(Summary_Products!AY34="","",Summary_Products!AY34)</f>
        <v/>
      </c>
      <c r="AZ50" s="477" t="str">
        <f>IF(Summary_Products!AZ34="","",Summary_Products!AZ34)</f>
        <v/>
      </c>
      <c r="BA50" s="478" t="str">
        <f>IF(Summary_Products!BA34="","",Summary_Products!BA34)</f>
        <v/>
      </c>
      <c r="BD50" s="156"/>
      <c r="BE50" s="156"/>
      <c r="BF50" s="156"/>
      <c r="BG50" s="156"/>
    </row>
    <row r="51" spans="2:59" ht="12.75" customHeight="1" x14ac:dyDescent="0.25">
      <c r="B51" s="277"/>
      <c r="C51" s="777">
        <v>26</v>
      </c>
      <c r="D51" s="766" t="str">
        <f>IF(Summary_Products!D35="","",Summary_Products!D35)</f>
        <v/>
      </c>
      <c r="E51" s="421" t="str">
        <f>IF(Summary_Products!E35="","",INDEX(Translations!$C:$C,MATCH(Summary_Products!E35,Translations!$B:$B,0)))</f>
        <v/>
      </c>
      <c r="F51" s="781" t="str">
        <f>IF(Summary_Products!F35="","",Summary_Products!F35)</f>
        <v/>
      </c>
      <c r="G51" s="766" t="str">
        <f>IF(F51="","",INDEX(Parameters_CNCodes!$H$4:$H$572,MATCH(F51,CNCodes_ListKey,0)))</f>
        <v/>
      </c>
      <c r="H51" s="766" t="str">
        <f>IF(Summary_Products!H35="","",Summary_Products!H35)</f>
        <v/>
      </c>
      <c r="I51" s="782" t="str">
        <f>IF(Summary_Products!I35="","",Summary_Products!I35)</f>
        <v/>
      </c>
      <c r="J51" s="782" t="str">
        <f>IF(Summary_Products!J35="","",Summary_Products!J35)</f>
        <v/>
      </c>
      <c r="K51" s="782" t="str">
        <f>IF(Summary_Products!K35="","",Summary_Products!K35)</f>
        <v/>
      </c>
      <c r="L51" s="782" t="str">
        <f>IF(Summary_Products!L35="","",Summary_Products!L35)</f>
        <v/>
      </c>
      <c r="M51" s="783" t="str">
        <f>IF(Summary_Products!M35="","",Summary_Products!M35)</f>
        <v/>
      </c>
      <c r="N51" s="782" t="str">
        <f>IF(Summary_Products!N35="","",Summary_Products!N35)</f>
        <v/>
      </c>
      <c r="O51" s="782" t="str">
        <f>IF(Summary_Products!O35="","",Summary_Products!O35)</f>
        <v/>
      </c>
      <c r="P51" s="782" t="str">
        <f t="shared" si="0"/>
        <v/>
      </c>
      <c r="Q51" s="160" t="str">
        <f>IF(Summary_Products!P35="","",INDEX(Translations!$C:$C,MATCH(Summary_Products!P35,Translations!$B:$B,0)))</f>
        <v/>
      </c>
      <c r="R51" s="160" t="str">
        <f>IF(Summary_Products!Q35="","",Summary_Products!Q35)</f>
        <v/>
      </c>
      <c r="S51" s="615" t="str">
        <f>IF(Summary_Products!R35="","",Summary_Products!R35)</f>
        <v/>
      </c>
      <c r="T51" s="615" t="str">
        <f>IF(Summary_Products!S35="","",Summary_Products!S35)</f>
        <v/>
      </c>
      <c r="U51" s="615" t="str">
        <f>IF(Summary_Products!T35="","",Summary_Products!T35)</f>
        <v/>
      </c>
      <c r="V51" s="615" t="str">
        <f>IF(Summary_Products!U35="","",Summary_Products!U35)</f>
        <v/>
      </c>
      <c r="W51" s="615" t="str">
        <f>IF(Summary_Products!V35="","",Summary_Products!V35)</f>
        <v/>
      </c>
      <c r="X51" s="615" t="str">
        <f>IF(Summary_Products!W35="","",Summary_Products!W35)</f>
        <v/>
      </c>
      <c r="Y51" s="615" t="str">
        <f>IF(Summary_Products!X35="","",Summary_Products!X35)</f>
        <v/>
      </c>
      <c r="Z51" s="615" t="str">
        <f>IF(Summary_Products!Y35="","",Summary_Products!Y35)</f>
        <v/>
      </c>
      <c r="AA51" s="615" t="str">
        <f>IF(Summary_Products!Z35="","",Summary_Products!Z35)</f>
        <v/>
      </c>
      <c r="AB51" s="615" t="str">
        <f>IF(Summary_Products!AA35="","",Summary_Products!AA35)</f>
        <v/>
      </c>
      <c r="AC51" s="615" t="str">
        <f>IF(Summary_Products!AB35="","",Summary_Products!AB35)</f>
        <v/>
      </c>
      <c r="AD51" s="615" t="str">
        <f>IF(Summary_Products!AC35="","",Summary_Products!AC35)</f>
        <v/>
      </c>
      <c r="AE51" s="615" t="str">
        <f>IF(Summary_Products!AD35="","",Summary_Products!AD35)</f>
        <v/>
      </c>
      <c r="AF51" s="615" t="str">
        <f>IF(Summary_Products!AE35="","",Summary_Products!AE35)</f>
        <v/>
      </c>
      <c r="AG51" s="615" t="str">
        <f>IF(Summary_Products!AF35="","",Summary_Products!AF35)</f>
        <v/>
      </c>
      <c r="AH51" s="615" t="str">
        <f>IF(Summary_Products!AG35="","",Summary_Products!AG35)</f>
        <v/>
      </c>
      <c r="AI51" s="615" t="str">
        <f>IF(Summary_Products!AH35="","",Summary_Products!AH35)</f>
        <v/>
      </c>
      <c r="AJ51" s="615" t="str">
        <f>IF(Summary_Products!AI35="","",Summary_Products!AI35)</f>
        <v/>
      </c>
      <c r="AK51" s="615" t="str">
        <f>IF(Summary_Products!AJ35="","",Summary_Products!AJ35)</f>
        <v/>
      </c>
      <c r="AL51" s="615" t="str">
        <f>IF(Summary_Products!AK35="","",Summary_Products!AK35)</f>
        <v/>
      </c>
      <c r="AM51" s="421" t="str">
        <f>IF(Summary_Products!AL35="","",INDEX(Translations!$C:$C,MATCH(Summary_Products!AL35,Translations!$B:$B,0)))</f>
        <v/>
      </c>
      <c r="AN51" s="615" t="str">
        <f>IF(Summary_Products!AM35="","",Summary_Products!AM35)</f>
        <v/>
      </c>
      <c r="AO51" s="473" t="str">
        <f>IF(Summary_Products!AN35="","",Summary_Products!AN35)</f>
        <v/>
      </c>
      <c r="AP51" s="474" t="str">
        <f>IF(Summary_Products!AO35="","",Summary_Products!AO35)</f>
        <v/>
      </c>
      <c r="AQ51" s="160" t="str">
        <f>IF(Summary_Products!AP35="","",Summary_Products!AP35)</f>
        <v/>
      </c>
      <c r="AR51" s="477" t="str">
        <f>IF(Summary_Products!AR35="","",Summary_Products!AR35)</f>
        <v/>
      </c>
      <c r="AS51" s="474" t="str">
        <f>IF(Summary_Products!AS35="","",Summary_Products!AS35)</f>
        <v/>
      </c>
      <c r="AT51" s="421" t="str">
        <f>IF(Summary_Products!AT35="","",INDEX(Translations!$C:$C,MATCH(Summary_Products!AT35,Translations!$B:$B,0)))</f>
        <v/>
      </c>
      <c r="AU51" s="615" t="str">
        <f>IF(Summary_Products!AU35="","",Summary_Products!AU35)</f>
        <v/>
      </c>
      <c r="AV51" s="473" t="str">
        <f>IF(Summary_Products!AV35="","",Summary_Products!AV35)</f>
        <v/>
      </c>
      <c r="AW51" s="474" t="str">
        <f>IF(Summary_Products!AW35="","",Summary_Products!AW35)</f>
        <v/>
      </c>
      <c r="AX51" s="477" t="str">
        <f>IF(Summary_Products!AX35="","",Summary_Products!AX35)</f>
        <v/>
      </c>
      <c r="AY51" s="474" t="str">
        <f>IF(Summary_Products!AY35="","",Summary_Products!AY35)</f>
        <v/>
      </c>
      <c r="AZ51" s="477" t="str">
        <f>IF(Summary_Products!AZ35="","",Summary_Products!AZ35)</f>
        <v/>
      </c>
      <c r="BA51" s="478" t="str">
        <f>IF(Summary_Products!BA35="","",Summary_Products!BA35)</f>
        <v/>
      </c>
      <c r="BD51" s="156"/>
      <c r="BE51" s="156"/>
      <c r="BF51" s="156"/>
      <c r="BG51" s="156"/>
    </row>
    <row r="52" spans="2:59" ht="12.75" customHeight="1" x14ac:dyDescent="0.25">
      <c r="B52" s="277"/>
      <c r="C52" s="777">
        <v>27</v>
      </c>
      <c r="D52" s="766" t="str">
        <f>IF(Summary_Products!D36="","",Summary_Products!D36)</f>
        <v/>
      </c>
      <c r="E52" s="421" t="str">
        <f>IF(Summary_Products!E36="","",INDEX(Translations!$C:$C,MATCH(Summary_Products!E36,Translations!$B:$B,0)))</f>
        <v/>
      </c>
      <c r="F52" s="781" t="str">
        <f>IF(Summary_Products!F36="","",Summary_Products!F36)</f>
        <v/>
      </c>
      <c r="G52" s="766" t="str">
        <f>IF(F52="","",INDEX(Parameters_CNCodes!$H$4:$H$572,MATCH(F52,CNCodes_ListKey,0)))</f>
        <v/>
      </c>
      <c r="H52" s="766" t="str">
        <f>IF(Summary_Products!H36="","",Summary_Products!H36)</f>
        <v/>
      </c>
      <c r="I52" s="782" t="str">
        <f>IF(Summary_Products!I36="","",Summary_Products!I36)</f>
        <v/>
      </c>
      <c r="J52" s="782" t="str">
        <f>IF(Summary_Products!J36="","",Summary_Products!J36)</f>
        <v/>
      </c>
      <c r="K52" s="782" t="str">
        <f>IF(Summary_Products!K36="","",Summary_Products!K36)</f>
        <v/>
      </c>
      <c r="L52" s="782" t="str">
        <f>IF(Summary_Products!L36="","",Summary_Products!L36)</f>
        <v/>
      </c>
      <c r="M52" s="783" t="str">
        <f>IF(Summary_Products!M36="","",Summary_Products!M36)</f>
        <v/>
      </c>
      <c r="N52" s="782" t="str">
        <f>IF(Summary_Products!N36="","",Summary_Products!N36)</f>
        <v/>
      </c>
      <c r="O52" s="782" t="str">
        <f>IF(Summary_Products!O36="","",Summary_Products!O36)</f>
        <v/>
      </c>
      <c r="P52" s="782" t="str">
        <f t="shared" si="0"/>
        <v/>
      </c>
      <c r="Q52" s="160" t="str">
        <f>IF(Summary_Products!P36="","",INDEX(Translations!$C:$C,MATCH(Summary_Products!P36,Translations!$B:$B,0)))</f>
        <v/>
      </c>
      <c r="R52" s="160" t="str">
        <f>IF(Summary_Products!Q36="","",Summary_Products!Q36)</f>
        <v/>
      </c>
      <c r="S52" s="615" t="str">
        <f>IF(Summary_Products!R36="","",Summary_Products!R36)</f>
        <v/>
      </c>
      <c r="T52" s="615" t="str">
        <f>IF(Summary_Products!S36="","",Summary_Products!S36)</f>
        <v/>
      </c>
      <c r="U52" s="615" t="str">
        <f>IF(Summary_Products!T36="","",Summary_Products!T36)</f>
        <v/>
      </c>
      <c r="V52" s="615" t="str">
        <f>IF(Summary_Products!U36="","",Summary_Products!U36)</f>
        <v/>
      </c>
      <c r="W52" s="615" t="str">
        <f>IF(Summary_Products!V36="","",Summary_Products!V36)</f>
        <v/>
      </c>
      <c r="X52" s="615" t="str">
        <f>IF(Summary_Products!W36="","",Summary_Products!W36)</f>
        <v/>
      </c>
      <c r="Y52" s="615" t="str">
        <f>IF(Summary_Products!X36="","",Summary_Products!X36)</f>
        <v/>
      </c>
      <c r="Z52" s="615" t="str">
        <f>IF(Summary_Products!Y36="","",Summary_Products!Y36)</f>
        <v/>
      </c>
      <c r="AA52" s="615" t="str">
        <f>IF(Summary_Products!Z36="","",Summary_Products!Z36)</f>
        <v/>
      </c>
      <c r="AB52" s="615" t="str">
        <f>IF(Summary_Products!AA36="","",Summary_Products!AA36)</f>
        <v/>
      </c>
      <c r="AC52" s="615" t="str">
        <f>IF(Summary_Products!AB36="","",Summary_Products!AB36)</f>
        <v/>
      </c>
      <c r="AD52" s="615" t="str">
        <f>IF(Summary_Products!AC36="","",Summary_Products!AC36)</f>
        <v/>
      </c>
      <c r="AE52" s="615" t="str">
        <f>IF(Summary_Products!AD36="","",Summary_Products!AD36)</f>
        <v/>
      </c>
      <c r="AF52" s="615" t="str">
        <f>IF(Summary_Products!AE36="","",Summary_Products!AE36)</f>
        <v/>
      </c>
      <c r="AG52" s="615" t="str">
        <f>IF(Summary_Products!AF36="","",Summary_Products!AF36)</f>
        <v/>
      </c>
      <c r="AH52" s="615" t="str">
        <f>IF(Summary_Products!AG36="","",Summary_Products!AG36)</f>
        <v/>
      </c>
      <c r="AI52" s="615" t="str">
        <f>IF(Summary_Products!AH36="","",Summary_Products!AH36)</f>
        <v/>
      </c>
      <c r="AJ52" s="615" t="str">
        <f>IF(Summary_Products!AI36="","",Summary_Products!AI36)</f>
        <v/>
      </c>
      <c r="AK52" s="615" t="str">
        <f>IF(Summary_Products!AJ36="","",Summary_Products!AJ36)</f>
        <v/>
      </c>
      <c r="AL52" s="615" t="str">
        <f>IF(Summary_Products!AK36="","",Summary_Products!AK36)</f>
        <v/>
      </c>
      <c r="AM52" s="421" t="str">
        <f>IF(Summary_Products!AL36="","",INDEX(Translations!$C:$C,MATCH(Summary_Products!AL36,Translations!$B:$B,0)))</f>
        <v/>
      </c>
      <c r="AN52" s="615" t="str">
        <f>IF(Summary_Products!AM36="","",Summary_Products!AM36)</f>
        <v/>
      </c>
      <c r="AO52" s="473" t="str">
        <f>IF(Summary_Products!AN36="","",Summary_Products!AN36)</f>
        <v/>
      </c>
      <c r="AP52" s="474" t="str">
        <f>IF(Summary_Products!AO36="","",Summary_Products!AO36)</f>
        <v/>
      </c>
      <c r="AQ52" s="160" t="str">
        <f>IF(Summary_Products!AP36="","",Summary_Products!AP36)</f>
        <v/>
      </c>
      <c r="AR52" s="477" t="str">
        <f>IF(Summary_Products!AR36="","",Summary_Products!AR36)</f>
        <v/>
      </c>
      <c r="AS52" s="474" t="str">
        <f>IF(Summary_Products!AS36="","",Summary_Products!AS36)</f>
        <v/>
      </c>
      <c r="AT52" s="421" t="str">
        <f>IF(Summary_Products!AT36="","",INDEX(Translations!$C:$C,MATCH(Summary_Products!AT36,Translations!$B:$B,0)))</f>
        <v/>
      </c>
      <c r="AU52" s="615" t="str">
        <f>IF(Summary_Products!AU36="","",Summary_Products!AU36)</f>
        <v/>
      </c>
      <c r="AV52" s="473" t="str">
        <f>IF(Summary_Products!AV36="","",Summary_Products!AV36)</f>
        <v/>
      </c>
      <c r="AW52" s="474" t="str">
        <f>IF(Summary_Products!AW36="","",Summary_Products!AW36)</f>
        <v/>
      </c>
      <c r="AX52" s="477" t="str">
        <f>IF(Summary_Products!AX36="","",Summary_Products!AX36)</f>
        <v/>
      </c>
      <c r="AY52" s="474" t="str">
        <f>IF(Summary_Products!AY36="","",Summary_Products!AY36)</f>
        <v/>
      </c>
      <c r="AZ52" s="477" t="str">
        <f>IF(Summary_Products!AZ36="","",Summary_Products!AZ36)</f>
        <v/>
      </c>
      <c r="BA52" s="478" t="str">
        <f>IF(Summary_Products!BA36="","",Summary_Products!BA36)</f>
        <v/>
      </c>
      <c r="BD52" s="156"/>
      <c r="BE52" s="156"/>
      <c r="BF52" s="156"/>
      <c r="BG52" s="156"/>
    </row>
    <row r="53" spans="2:59" ht="12.75" customHeight="1" x14ac:dyDescent="0.25">
      <c r="B53" s="277"/>
      <c r="C53" s="777">
        <v>28</v>
      </c>
      <c r="D53" s="766" t="str">
        <f>IF(Summary_Products!D37="","",Summary_Products!D37)</f>
        <v/>
      </c>
      <c r="E53" s="421" t="str">
        <f>IF(Summary_Products!E37="","",INDEX(Translations!$C:$C,MATCH(Summary_Products!E37,Translations!$B:$B,0)))</f>
        <v/>
      </c>
      <c r="F53" s="781" t="str">
        <f>IF(Summary_Products!F37="","",Summary_Products!F37)</f>
        <v/>
      </c>
      <c r="G53" s="766" t="str">
        <f>IF(F53="","",INDEX(Parameters_CNCodes!$H$4:$H$572,MATCH(F53,CNCodes_ListKey,0)))</f>
        <v/>
      </c>
      <c r="H53" s="766" t="str">
        <f>IF(Summary_Products!H37="","",Summary_Products!H37)</f>
        <v/>
      </c>
      <c r="I53" s="782" t="str">
        <f>IF(Summary_Products!I37="","",Summary_Products!I37)</f>
        <v/>
      </c>
      <c r="J53" s="782" t="str">
        <f>IF(Summary_Products!J37="","",Summary_Products!J37)</f>
        <v/>
      </c>
      <c r="K53" s="782" t="str">
        <f>IF(Summary_Products!K37="","",Summary_Products!K37)</f>
        <v/>
      </c>
      <c r="L53" s="782" t="str">
        <f>IF(Summary_Products!L37="","",Summary_Products!L37)</f>
        <v/>
      </c>
      <c r="M53" s="783" t="str">
        <f>IF(Summary_Products!M37="","",Summary_Products!M37)</f>
        <v/>
      </c>
      <c r="N53" s="782" t="str">
        <f>IF(Summary_Products!N37="","",Summary_Products!N37)</f>
        <v/>
      </c>
      <c r="O53" s="782" t="str">
        <f>IF(Summary_Products!O37="","",Summary_Products!O37)</f>
        <v/>
      </c>
      <c r="P53" s="782" t="str">
        <f t="shared" si="0"/>
        <v/>
      </c>
      <c r="Q53" s="160" t="str">
        <f>IF(Summary_Products!P37="","",INDEX(Translations!$C:$C,MATCH(Summary_Products!P37,Translations!$B:$B,0)))</f>
        <v/>
      </c>
      <c r="R53" s="160" t="str">
        <f>IF(Summary_Products!Q37="","",Summary_Products!Q37)</f>
        <v/>
      </c>
      <c r="S53" s="615" t="str">
        <f>IF(Summary_Products!R37="","",Summary_Products!R37)</f>
        <v/>
      </c>
      <c r="T53" s="615" t="str">
        <f>IF(Summary_Products!S37="","",Summary_Products!S37)</f>
        <v/>
      </c>
      <c r="U53" s="615" t="str">
        <f>IF(Summary_Products!T37="","",Summary_Products!T37)</f>
        <v/>
      </c>
      <c r="V53" s="615" t="str">
        <f>IF(Summary_Products!U37="","",Summary_Products!U37)</f>
        <v/>
      </c>
      <c r="W53" s="615" t="str">
        <f>IF(Summary_Products!V37="","",Summary_Products!V37)</f>
        <v/>
      </c>
      <c r="X53" s="615" t="str">
        <f>IF(Summary_Products!W37="","",Summary_Products!W37)</f>
        <v/>
      </c>
      <c r="Y53" s="615" t="str">
        <f>IF(Summary_Products!X37="","",Summary_Products!X37)</f>
        <v/>
      </c>
      <c r="Z53" s="615" t="str">
        <f>IF(Summary_Products!Y37="","",Summary_Products!Y37)</f>
        <v/>
      </c>
      <c r="AA53" s="615" t="str">
        <f>IF(Summary_Products!Z37="","",Summary_Products!Z37)</f>
        <v/>
      </c>
      <c r="AB53" s="615" t="str">
        <f>IF(Summary_Products!AA37="","",Summary_Products!AA37)</f>
        <v/>
      </c>
      <c r="AC53" s="615" t="str">
        <f>IF(Summary_Products!AB37="","",Summary_Products!AB37)</f>
        <v/>
      </c>
      <c r="AD53" s="615" t="str">
        <f>IF(Summary_Products!AC37="","",Summary_Products!AC37)</f>
        <v/>
      </c>
      <c r="AE53" s="615" t="str">
        <f>IF(Summary_Products!AD37="","",Summary_Products!AD37)</f>
        <v/>
      </c>
      <c r="AF53" s="615" t="str">
        <f>IF(Summary_Products!AE37="","",Summary_Products!AE37)</f>
        <v/>
      </c>
      <c r="AG53" s="615" t="str">
        <f>IF(Summary_Products!AF37="","",Summary_Products!AF37)</f>
        <v/>
      </c>
      <c r="AH53" s="615" t="str">
        <f>IF(Summary_Products!AG37="","",Summary_Products!AG37)</f>
        <v/>
      </c>
      <c r="AI53" s="615" t="str">
        <f>IF(Summary_Products!AH37="","",Summary_Products!AH37)</f>
        <v/>
      </c>
      <c r="AJ53" s="615" t="str">
        <f>IF(Summary_Products!AI37="","",Summary_Products!AI37)</f>
        <v/>
      </c>
      <c r="AK53" s="615" t="str">
        <f>IF(Summary_Products!AJ37="","",Summary_Products!AJ37)</f>
        <v/>
      </c>
      <c r="AL53" s="615" t="str">
        <f>IF(Summary_Products!AK37="","",Summary_Products!AK37)</f>
        <v/>
      </c>
      <c r="AM53" s="421" t="str">
        <f>IF(Summary_Products!AL37="","",INDEX(Translations!$C:$C,MATCH(Summary_Products!AL37,Translations!$B:$B,0)))</f>
        <v/>
      </c>
      <c r="AN53" s="615" t="str">
        <f>IF(Summary_Products!AM37="","",Summary_Products!AM37)</f>
        <v/>
      </c>
      <c r="AO53" s="473" t="str">
        <f>IF(Summary_Products!AN37="","",Summary_Products!AN37)</f>
        <v/>
      </c>
      <c r="AP53" s="474" t="str">
        <f>IF(Summary_Products!AO37="","",Summary_Products!AO37)</f>
        <v/>
      </c>
      <c r="AQ53" s="160" t="str">
        <f>IF(Summary_Products!AP37="","",Summary_Products!AP37)</f>
        <v/>
      </c>
      <c r="AR53" s="477" t="str">
        <f>IF(Summary_Products!AR37="","",Summary_Products!AR37)</f>
        <v/>
      </c>
      <c r="AS53" s="474" t="str">
        <f>IF(Summary_Products!AS37="","",Summary_Products!AS37)</f>
        <v/>
      </c>
      <c r="AT53" s="421" t="str">
        <f>IF(Summary_Products!AT37="","",INDEX(Translations!$C:$C,MATCH(Summary_Products!AT37,Translations!$B:$B,0)))</f>
        <v/>
      </c>
      <c r="AU53" s="615" t="str">
        <f>IF(Summary_Products!AU37="","",Summary_Products!AU37)</f>
        <v/>
      </c>
      <c r="AV53" s="473" t="str">
        <f>IF(Summary_Products!AV37="","",Summary_Products!AV37)</f>
        <v/>
      </c>
      <c r="AW53" s="474" t="str">
        <f>IF(Summary_Products!AW37="","",Summary_Products!AW37)</f>
        <v/>
      </c>
      <c r="AX53" s="477" t="str">
        <f>IF(Summary_Products!AX37="","",Summary_Products!AX37)</f>
        <v/>
      </c>
      <c r="AY53" s="474" t="str">
        <f>IF(Summary_Products!AY37="","",Summary_Products!AY37)</f>
        <v/>
      </c>
      <c r="AZ53" s="477" t="str">
        <f>IF(Summary_Products!AZ37="","",Summary_Products!AZ37)</f>
        <v/>
      </c>
      <c r="BA53" s="478" t="str">
        <f>IF(Summary_Products!BA37="","",Summary_Products!BA37)</f>
        <v/>
      </c>
      <c r="BD53" s="156"/>
      <c r="BE53" s="156"/>
      <c r="BF53" s="156"/>
      <c r="BG53" s="156"/>
    </row>
    <row r="54" spans="2:59" ht="12.75" customHeight="1" x14ac:dyDescent="0.25">
      <c r="B54" s="277"/>
      <c r="C54" s="777">
        <v>29</v>
      </c>
      <c r="D54" s="766" t="str">
        <f>IF(Summary_Products!D38="","",Summary_Products!D38)</f>
        <v/>
      </c>
      <c r="E54" s="421" t="str">
        <f>IF(Summary_Products!E38="","",INDEX(Translations!$C:$C,MATCH(Summary_Products!E38,Translations!$B:$B,0)))</f>
        <v/>
      </c>
      <c r="F54" s="781" t="str">
        <f>IF(Summary_Products!F38="","",Summary_Products!F38)</f>
        <v/>
      </c>
      <c r="G54" s="766" t="str">
        <f>IF(F54="","",INDEX(Parameters_CNCodes!$H$4:$H$572,MATCH(F54,CNCodes_ListKey,0)))</f>
        <v/>
      </c>
      <c r="H54" s="766" t="str">
        <f>IF(Summary_Products!H38="","",Summary_Products!H38)</f>
        <v/>
      </c>
      <c r="I54" s="782" t="str">
        <f>IF(Summary_Products!I38="","",Summary_Products!I38)</f>
        <v/>
      </c>
      <c r="J54" s="782" t="str">
        <f>IF(Summary_Products!J38="","",Summary_Products!J38)</f>
        <v/>
      </c>
      <c r="K54" s="782" t="str">
        <f>IF(Summary_Products!K38="","",Summary_Products!K38)</f>
        <v/>
      </c>
      <c r="L54" s="782" t="str">
        <f>IF(Summary_Products!L38="","",Summary_Products!L38)</f>
        <v/>
      </c>
      <c r="M54" s="783" t="str">
        <f>IF(Summary_Products!M38="","",Summary_Products!M38)</f>
        <v/>
      </c>
      <c r="N54" s="782" t="str">
        <f>IF(Summary_Products!N38="","",Summary_Products!N38)</f>
        <v/>
      </c>
      <c r="O54" s="782" t="str">
        <f>IF(Summary_Products!O38="","",Summary_Products!O38)</f>
        <v/>
      </c>
      <c r="P54" s="782" t="str">
        <f t="shared" si="0"/>
        <v/>
      </c>
      <c r="Q54" s="160" t="str">
        <f>IF(Summary_Products!P38="","",INDEX(Translations!$C:$C,MATCH(Summary_Products!P38,Translations!$B:$B,0)))</f>
        <v/>
      </c>
      <c r="R54" s="160" t="str">
        <f>IF(Summary_Products!Q38="","",Summary_Products!Q38)</f>
        <v/>
      </c>
      <c r="S54" s="615" t="str">
        <f>IF(Summary_Products!R38="","",Summary_Products!R38)</f>
        <v/>
      </c>
      <c r="T54" s="615" t="str">
        <f>IF(Summary_Products!S38="","",Summary_Products!S38)</f>
        <v/>
      </c>
      <c r="U54" s="615" t="str">
        <f>IF(Summary_Products!T38="","",Summary_Products!T38)</f>
        <v/>
      </c>
      <c r="V54" s="615" t="str">
        <f>IF(Summary_Products!U38="","",Summary_Products!U38)</f>
        <v/>
      </c>
      <c r="W54" s="615" t="str">
        <f>IF(Summary_Products!V38="","",Summary_Products!V38)</f>
        <v/>
      </c>
      <c r="X54" s="615" t="str">
        <f>IF(Summary_Products!W38="","",Summary_Products!W38)</f>
        <v/>
      </c>
      <c r="Y54" s="615" t="str">
        <f>IF(Summary_Products!X38="","",Summary_Products!X38)</f>
        <v/>
      </c>
      <c r="Z54" s="615" t="str">
        <f>IF(Summary_Products!Y38="","",Summary_Products!Y38)</f>
        <v/>
      </c>
      <c r="AA54" s="615" t="str">
        <f>IF(Summary_Products!Z38="","",Summary_Products!Z38)</f>
        <v/>
      </c>
      <c r="AB54" s="615" t="str">
        <f>IF(Summary_Products!AA38="","",Summary_Products!AA38)</f>
        <v/>
      </c>
      <c r="AC54" s="615" t="str">
        <f>IF(Summary_Products!AB38="","",Summary_Products!AB38)</f>
        <v/>
      </c>
      <c r="AD54" s="615" t="str">
        <f>IF(Summary_Products!AC38="","",Summary_Products!AC38)</f>
        <v/>
      </c>
      <c r="AE54" s="615" t="str">
        <f>IF(Summary_Products!AD38="","",Summary_Products!AD38)</f>
        <v/>
      </c>
      <c r="AF54" s="615" t="str">
        <f>IF(Summary_Products!AE38="","",Summary_Products!AE38)</f>
        <v/>
      </c>
      <c r="AG54" s="615" t="str">
        <f>IF(Summary_Products!AF38="","",Summary_Products!AF38)</f>
        <v/>
      </c>
      <c r="AH54" s="615" t="str">
        <f>IF(Summary_Products!AG38="","",Summary_Products!AG38)</f>
        <v/>
      </c>
      <c r="AI54" s="615" t="str">
        <f>IF(Summary_Products!AH38="","",Summary_Products!AH38)</f>
        <v/>
      </c>
      <c r="AJ54" s="615" t="str">
        <f>IF(Summary_Products!AI38="","",Summary_Products!AI38)</f>
        <v/>
      </c>
      <c r="AK54" s="615" t="str">
        <f>IF(Summary_Products!AJ38="","",Summary_Products!AJ38)</f>
        <v/>
      </c>
      <c r="AL54" s="615" t="str">
        <f>IF(Summary_Products!AK38="","",Summary_Products!AK38)</f>
        <v/>
      </c>
      <c r="AM54" s="421" t="str">
        <f>IF(Summary_Products!AL38="","",INDEX(Translations!$C:$C,MATCH(Summary_Products!AL38,Translations!$B:$B,0)))</f>
        <v/>
      </c>
      <c r="AN54" s="615" t="str">
        <f>IF(Summary_Products!AM38="","",Summary_Products!AM38)</f>
        <v/>
      </c>
      <c r="AO54" s="473" t="str">
        <f>IF(Summary_Products!AN38="","",Summary_Products!AN38)</f>
        <v/>
      </c>
      <c r="AP54" s="474" t="str">
        <f>IF(Summary_Products!AO38="","",Summary_Products!AO38)</f>
        <v/>
      </c>
      <c r="AQ54" s="160" t="str">
        <f>IF(Summary_Products!AP38="","",Summary_Products!AP38)</f>
        <v/>
      </c>
      <c r="AR54" s="477" t="str">
        <f>IF(Summary_Products!AR38="","",Summary_Products!AR38)</f>
        <v/>
      </c>
      <c r="AS54" s="474" t="str">
        <f>IF(Summary_Products!AS38="","",Summary_Products!AS38)</f>
        <v/>
      </c>
      <c r="AT54" s="421" t="str">
        <f>IF(Summary_Products!AT38="","",INDEX(Translations!$C:$C,MATCH(Summary_Products!AT38,Translations!$B:$B,0)))</f>
        <v/>
      </c>
      <c r="AU54" s="615" t="str">
        <f>IF(Summary_Products!AU38="","",Summary_Products!AU38)</f>
        <v/>
      </c>
      <c r="AV54" s="473" t="str">
        <f>IF(Summary_Products!AV38="","",Summary_Products!AV38)</f>
        <v/>
      </c>
      <c r="AW54" s="474" t="str">
        <f>IF(Summary_Products!AW38="","",Summary_Products!AW38)</f>
        <v/>
      </c>
      <c r="AX54" s="477" t="str">
        <f>IF(Summary_Products!AX38="","",Summary_Products!AX38)</f>
        <v/>
      </c>
      <c r="AY54" s="474" t="str">
        <f>IF(Summary_Products!AY38="","",Summary_Products!AY38)</f>
        <v/>
      </c>
      <c r="AZ54" s="477" t="str">
        <f>IF(Summary_Products!AZ38="","",Summary_Products!AZ38)</f>
        <v/>
      </c>
      <c r="BA54" s="478" t="str">
        <f>IF(Summary_Products!BA38="","",Summary_Products!BA38)</f>
        <v/>
      </c>
      <c r="BD54" s="156"/>
      <c r="BE54" s="156"/>
      <c r="BF54" s="156"/>
      <c r="BG54" s="156"/>
    </row>
    <row r="55" spans="2:59" ht="12.75" customHeight="1" x14ac:dyDescent="0.25">
      <c r="B55" s="277"/>
      <c r="C55" s="777">
        <v>30</v>
      </c>
      <c r="D55" s="766" t="str">
        <f>IF(Summary_Products!D39="","",Summary_Products!D39)</f>
        <v/>
      </c>
      <c r="E55" s="421" t="str">
        <f>IF(Summary_Products!E39="","",INDEX(Translations!$C:$C,MATCH(Summary_Products!E39,Translations!$B:$B,0)))</f>
        <v/>
      </c>
      <c r="F55" s="781" t="str">
        <f>IF(Summary_Products!F39="","",Summary_Products!F39)</f>
        <v/>
      </c>
      <c r="G55" s="766" t="str">
        <f>IF(F55="","",INDEX(Parameters_CNCodes!$H$4:$H$572,MATCH(F55,CNCodes_ListKey,0)))</f>
        <v/>
      </c>
      <c r="H55" s="766" t="str">
        <f>IF(Summary_Products!H39="","",Summary_Products!H39)</f>
        <v/>
      </c>
      <c r="I55" s="782" t="str">
        <f>IF(Summary_Products!I39="","",Summary_Products!I39)</f>
        <v/>
      </c>
      <c r="J55" s="782" t="str">
        <f>IF(Summary_Products!J39="","",Summary_Products!J39)</f>
        <v/>
      </c>
      <c r="K55" s="782" t="str">
        <f>IF(Summary_Products!K39="","",Summary_Products!K39)</f>
        <v/>
      </c>
      <c r="L55" s="782" t="str">
        <f>IF(Summary_Products!L39="","",Summary_Products!L39)</f>
        <v/>
      </c>
      <c r="M55" s="783" t="str">
        <f>IF(Summary_Products!M39="","",Summary_Products!M39)</f>
        <v/>
      </c>
      <c r="N55" s="782" t="str">
        <f>IF(Summary_Products!N39="","",Summary_Products!N39)</f>
        <v/>
      </c>
      <c r="O55" s="782" t="str">
        <f>IF(Summary_Products!O39="","",Summary_Products!O39)</f>
        <v/>
      </c>
      <c r="P55" s="782" t="str">
        <f t="shared" si="0"/>
        <v/>
      </c>
      <c r="Q55" s="160" t="str">
        <f>IF(Summary_Products!P39="","",INDEX(Translations!$C:$C,MATCH(Summary_Products!P39,Translations!$B:$B,0)))</f>
        <v/>
      </c>
      <c r="R55" s="160" t="str">
        <f>IF(Summary_Products!Q39="","",Summary_Products!Q39)</f>
        <v/>
      </c>
      <c r="S55" s="615" t="str">
        <f>IF(Summary_Products!R39="","",Summary_Products!R39)</f>
        <v/>
      </c>
      <c r="T55" s="615" t="str">
        <f>IF(Summary_Products!S39="","",Summary_Products!S39)</f>
        <v/>
      </c>
      <c r="U55" s="615" t="str">
        <f>IF(Summary_Products!T39="","",Summary_Products!T39)</f>
        <v/>
      </c>
      <c r="V55" s="615" t="str">
        <f>IF(Summary_Products!U39="","",Summary_Products!U39)</f>
        <v/>
      </c>
      <c r="W55" s="615" t="str">
        <f>IF(Summary_Products!V39="","",Summary_Products!V39)</f>
        <v/>
      </c>
      <c r="X55" s="615" t="str">
        <f>IF(Summary_Products!W39="","",Summary_Products!W39)</f>
        <v/>
      </c>
      <c r="Y55" s="615" t="str">
        <f>IF(Summary_Products!X39="","",Summary_Products!X39)</f>
        <v/>
      </c>
      <c r="Z55" s="615" t="str">
        <f>IF(Summary_Products!Y39="","",Summary_Products!Y39)</f>
        <v/>
      </c>
      <c r="AA55" s="615" t="str">
        <f>IF(Summary_Products!Z39="","",Summary_Products!Z39)</f>
        <v/>
      </c>
      <c r="AB55" s="615" t="str">
        <f>IF(Summary_Products!AA39="","",Summary_Products!AA39)</f>
        <v/>
      </c>
      <c r="AC55" s="615" t="str">
        <f>IF(Summary_Products!AB39="","",Summary_Products!AB39)</f>
        <v/>
      </c>
      <c r="AD55" s="615" t="str">
        <f>IF(Summary_Products!AC39="","",Summary_Products!AC39)</f>
        <v/>
      </c>
      <c r="AE55" s="615" t="str">
        <f>IF(Summary_Products!AD39="","",Summary_Products!AD39)</f>
        <v/>
      </c>
      <c r="AF55" s="615" t="str">
        <f>IF(Summary_Products!AE39="","",Summary_Products!AE39)</f>
        <v/>
      </c>
      <c r="AG55" s="615" t="str">
        <f>IF(Summary_Products!AF39="","",Summary_Products!AF39)</f>
        <v/>
      </c>
      <c r="AH55" s="615" t="str">
        <f>IF(Summary_Products!AG39="","",Summary_Products!AG39)</f>
        <v/>
      </c>
      <c r="AI55" s="615" t="str">
        <f>IF(Summary_Products!AH39="","",Summary_Products!AH39)</f>
        <v/>
      </c>
      <c r="AJ55" s="615" t="str">
        <f>IF(Summary_Products!AI39="","",Summary_Products!AI39)</f>
        <v/>
      </c>
      <c r="AK55" s="615" t="str">
        <f>IF(Summary_Products!AJ39="","",Summary_Products!AJ39)</f>
        <v/>
      </c>
      <c r="AL55" s="615" t="str">
        <f>IF(Summary_Products!AK39="","",Summary_Products!AK39)</f>
        <v/>
      </c>
      <c r="AM55" s="421" t="str">
        <f>IF(Summary_Products!AL39="","",INDEX(Translations!$C:$C,MATCH(Summary_Products!AL39,Translations!$B:$B,0)))</f>
        <v/>
      </c>
      <c r="AN55" s="615" t="str">
        <f>IF(Summary_Products!AM39="","",Summary_Products!AM39)</f>
        <v/>
      </c>
      <c r="AO55" s="473" t="str">
        <f>IF(Summary_Products!AN39="","",Summary_Products!AN39)</f>
        <v/>
      </c>
      <c r="AP55" s="474" t="str">
        <f>IF(Summary_Products!AO39="","",Summary_Products!AO39)</f>
        <v/>
      </c>
      <c r="AQ55" s="160" t="str">
        <f>IF(Summary_Products!AP39="","",Summary_Products!AP39)</f>
        <v/>
      </c>
      <c r="AR55" s="477" t="str">
        <f>IF(Summary_Products!AR39="","",Summary_Products!AR39)</f>
        <v/>
      </c>
      <c r="AS55" s="474" t="str">
        <f>IF(Summary_Products!AS39="","",Summary_Products!AS39)</f>
        <v/>
      </c>
      <c r="AT55" s="421" t="str">
        <f>IF(Summary_Products!AT39="","",INDEX(Translations!$C:$C,MATCH(Summary_Products!AT39,Translations!$B:$B,0)))</f>
        <v/>
      </c>
      <c r="AU55" s="615" t="str">
        <f>IF(Summary_Products!AU39="","",Summary_Products!AU39)</f>
        <v/>
      </c>
      <c r="AV55" s="473" t="str">
        <f>IF(Summary_Products!AV39="","",Summary_Products!AV39)</f>
        <v/>
      </c>
      <c r="AW55" s="474" t="str">
        <f>IF(Summary_Products!AW39="","",Summary_Products!AW39)</f>
        <v/>
      </c>
      <c r="AX55" s="477" t="str">
        <f>IF(Summary_Products!AX39="","",Summary_Products!AX39)</f>
        <v/>
      </c>
      <c r="AY55" s="474" t="str">
        <f>IF(Summary_Products!AY39="","",Summary_Products!AY39)</f>
        <v/>
      </c>
      <c r="AZ55" s="477" t="str">
        <f>IF(Summary_Products!AZ39="","",Summary_Products!AZ39)</f>
        <v/>
      </c>
      <c r="BA55" s="478" t="str">
        <f>IF(Summary_Products!BA39="","",Summary_Products!BA39)</f>
        <v/>
      </c>
      <c r="BD55" s="156"/>
      <c r="BE55" s="156"/>
      <c r="BF55" s="156"/>
      <c r="BG55" s="156"/>
    </row>
    <row r="56" spans="2:59" ht="12.5" x14ac:dyDescent="0.25">
      <c r="B56" s="277"/>
      <c r="C56" s="777">
        <v>31</v>
      </c>
      <c r="D56" s="766" t="str">
        <f>IF(Summary_Products!D40="","",Summary_Products!D40)</f>
        <v/>
      </c>
      <c r="E56" s="421" t="str">
        <f>IF(Summary_Products!E40="","",INDEX(Translations!$C:$C,MATCH(Summary_Products!E40,Translations!$B:$B,0)))</f>
        <v/>
      </c>
      <c r="F56" s="781" t="str">
        <f>IF(Summary_Products!F40="","",Summary_Products!F40)</f>
        <v/>
      </c>
      <c r="G56" s="766" t="str">
        <f>IF(F56="","",INDEX(Parameters_CNCodes!$H$4:$H$572,MATCH(F56,CNCodes_ListKey,0)))</f>
        <v/>
      </c>
      <c r="H56" s="766" t="str">
        <f>IF(Summary_Products!H40="","",Summary_Products!H40)</f>
        <v/>
      </c>
      <c r="I56" s="782" t="str">
        <f>IF(Summary_Products!I40="","",Summary_Products!I40)</f>
        <v/>
      </c>
      <c r="J56" s="782" t="str">
        <f>IF(Summary_Products!J40="","",Summary_Products!J40)</f>
        <v/>
      </c>
      <c r="K56" s="782" t="str">
        <f>IF(Summary_Products!K40="","",Summary_Products!K40)</f>
        <v/>
      </c>
      <c r="L56" s="782" t="str">
        <f>IF(Summary_Products!L40="","",Summary_Products!L40)</f>
        <v/>
      </c>
      <c r="M56" s="783" t="str">
        <f>IF(Summary_Products!M40="","",Summary_Products!M40)</f>
        <v/>
      </c>
      <c r="N56" s="782" t="str">
        <f>IF(Summary_Products!N40="","",Summary_Products!N40)</f>
        <v/>
      </c>
      <c r="O56" s="782" t="str">
        <f>IF(Summary_Products!O40="","",Summary_Products!O40)</f>
        <v/>
      </c>
      <c r="P56" s="782" t="str">
        <f t="shared" si="0"/>
        <v/>
      </c>
      <c r="Q56" s="160" t="str">
        <f>IF(Summary_Products!P40="","",INDEX(Translations!$C:$C,MATCH(Summary_Products!P40,Translations!$B:$B,0)))</f>
        <v/>
      </c>
      <c r="R56" s="160" t="str">
        <f>IF(Summary_Products!Q40="","",Summary_Products!Q40)</f>
        <v/>
      </c>
      <c r="S56" s="615" t="str">
        <f>IF(Summary_Products!R40="","",Summary_Products!R40)</f>
        <v/>
      </c>
      <c r="T56" s="615" t="str">
        <f>IF(Summary_Products!S40="","",Summary_Products!S40)</f>
        <v/>
      </c>
      <c r="U56" s="615" t="str">
        <f>IF(Summary_Products!T40="","",Summary_Products!T40)</f>
        <v/>
      </c>
      <c r="V56" s="615" t="str">
        <f>IF(Summary_Products!U40="","",Summary_Products!U40)</f>
        <v/>
      </c>
      <c r="W56" s="615" t="str">
        <f>IF(Summary_Products!V40="","",Summary_Products!V40)</f>
        <v/>
      </c>
      <c r="X56" s="615" t="str">
        <f>IF(Summary_Products!W40="","",Summary_Products!W40)</f>
        <v/>
      </c>
      <c r="Y56" s="615" t="str">
        <f>IF(Summary_Products!X40="","",Summary_Products!X40)</f>
        <v/>
      </c>
      <c r="Z56" s="615" t="str">
        <f>IF(Summary_Products!Y40="","",Summary_Products!Y40)</f>
        <v/>
      </c>
      <c r="AA56" s="615" t="str">
        <f>IF(Summary_Products!Z40="","",Summary_Products!Z40)</f>
        <v/>
      </c>
      <c r="AB56" s="615" t="str">
        <f>IF(Summary_Products!AA40="","",Summary_Products!AA40)</f>
        <v/>
      </c>
      <c r="AC56" s="615" t="str">
        <f>IF(Summary_Products!AB40="","",Summary_Products!AB40)</f>
        <v/>
      </c>
      <c r="AD56" s="615" t="str">
        <f>IF(Summary_Products!AC40="","",Summary_Products!AC40)</f>
        <v/>
      </c>
      <c r="AE56" s="615" t="str">
        <f>IF(Summary_Products!AD40="","",Summary_Products!AD40)</f>
        <v/>
      </c>
      <c r="AF56" s="615" t="str">
        <f>IF(Summary_Products!AE40="","",Summary_Products!AE40)</f>
        <v/>
      </c>
      <c r="AG56" s="615" t="str">
        <f>IF(Summary_Products!AF40="","",Summary_Products!AF40)</f>
        <v/>
      </c>
      <c r="AH56" s="615" t="str">
        <f>IF(Summary_Products!AG40="","",Summary_Products!AG40)</f>
        <v/>
      </c>
      <c r="AI56" s="615" t="str">
        <f>IF(Summary_Products!AH40="","",Summary_Products!AH40)</f>
        <v/>
      </c>
      <c r="AJ56" s="615" t="str">
        <f>IF(Summary_Products!AI40="","",Summary_Products!AI40)</f>
        <v/>
      </c>
      <c r="AK56" s="615" t="str">
        <f>IF(Summary_Products!AJ40="","",Summary_Products!AJ40)</f>
        <v/>
      </c>
      <c r="AL56" s="615" t="str">
        <f>IF(Summary_Products!AK40="","",Summary_Products!AK40)</f>
        <v/>
      </c>
      <c r="AM56" s="421" t="str">
        <f>IF(Summary_Products!AL40="","",INDEX(Translations!$C:$C,MATCH(Summary_Products!AL40,Translations!$B:$B,0)))</f>
        <v/>
      </c>
      <c r="AN56" s="615" t="str">
        <f>IF(Summary_Products!AM40="","",Summary_Products!AM40)</f>
        <v/>
      </c>
      <c r="AO56" s="473" t="str">
        <f>IF(Summary_Products!AN40="","",Summary_Products!AN40)</f>
        <v/>
      </c>
      <c r="AP56" s="474" t="str">
        <f>IF(Summary_Products!AO40="","",Summary_Products!AO40)</f>
        <v/>
      </c>
      <c r="AQ56" s="160" t="str">
        <f>IF(Summary_Products!AP40="","",Summary_Products!AP40)</f>
        <v/>
      </c>
      <c r="AR56" s="477" t="str">
        <f>IF(Summary_Products!AR40="","",Summary_Products!AR40)</f>
        <v/>
      </c>
      <c r="AS56" s="474" t="str">
        <f>IF(Summary_Products!AS40="","",Summary_Products!AS40)</f>
        <v/>
      </c>
      <c r="AT56" s="421" t="str">
        <f>IF(Summary_Products!AT40="","",INDEX(Translations!$C:$C,MATCH(Summary_Products!AT40,Translations!$B:$B,0)))</f>
        <v/>
      </c>
      <c r="AU56" s="615" t="str">
        <f>IF(Summary_Products!AU40="","",Summary_Products!AU40)</f>
        <v/>
      </c>
      <c r="AV56" s="473" t="str">
        <f>IF(Summary_Products!AV40="","",Summary_Products!AV40)</f>
        <v/>
      </c>
      <c r="AW56" s="474" t="str">
        <f>IF(Summary_Products!AW40="","",Summary_Products!AW40)</f>
        <v/>
      </c>
      <c r="AX56" s="477" t="str">
        <f>IF(Summary_Products!AX40="","",Summary_Products!AX40)</f>
        <v/>
      </c>
      <c r="AY56" s="474" t="str">
        <f>IF(Summary_Products!AY40="","",Summary_Products!AY40)</f>
        <v/>
      </c>
      <c r="AZ56" s="477" t="str">
        <f>IF(Summary_Products!AZ40="","",Summary_Products!AZ40)</f>
        <v/>
      </c>
      <c r="BA56" s="478" t="str">
        <f>IF(Summary_Products!BA40="","",Summary_Products!BA40)</f>
        <v/>
      </c>
      <c r="BD56" s="156"/>
      <c r="BE56" s="156"/>
      <c r="BF56" s="156"/>
      <c r="BG56" s="156"/>
    </row>
    <row r="57" spans="2:59" ht="12.5" x14ac:dyDescent="0.25">
      <c r="B57" s="277"/>
      <c r="C57" s="777">
        <v>32</v>
      </c>
      <c r="D57" s="766" t="str">
        <f>IF(Summary_Products!D41="","",Summary_Products!D41)</f>
        <v/>
      </c>
      <c r="E57" s="421" t="str">
        <f>IF(Summary_Products!E41="","",INDEX(Translations!$C:$C,MATCH(Summary_Products!E41,Translations!$B:$B,0)))</f>
        <v/>
      </c>
      <c r="F57" s="781" t="str">
        <f>IF(Summary_Products!F41="","",Summary_Products!F41)</f>
        <v/>
      </c>
      <c r="G57" s="766" t="str">
        <f>IF(F57="","",INDEX(Parameters_CNCodes!$H$4:$H$572,MATCH(F57,CNCodes_ListKey,0)))</f>
        <v/>
      </c>
      <c r="H57" s="766" t="str">
        <f>IF(Summary_Products!H41="","",Summary_Products!H41)</f>
        <v/>
      </c>
      <c r="I57" s="782" t="str">
        <f>IF(Summary_Products!I41="","",Summary_Products!I41)</f>
        <v/>
      </c>
      <c r="J57" s="782" t="str">
        <f>IF(Summary_Products!J41="","",Summary_Products!J41)</f>
        <v/>
      </c>
      <c r="K57" s="782" t="str">
        <f>IF(Summary_Products!K41="","",Summary_Products!K41)</f>
        <v/>
      </c>
      <c r="L57" s="782" t="str">
        <f>IF(Summary_Products!L41="","",Summary_Products!L41)</f>
        <v/>
      </c>
      <c r="M57" s="783" t="str">
        <f>IF(Summary_Products!M41="","",Summary_Products!M41)</f>
        <v/>
      </c>
      <c r="N57" s="782" t="str">
        <f>IF(Summary_Products!N41="","",Summary_Products!N41)</f>
        <v/>
      </c>
      <c r="O57" s="782" t="str">
        <f>IF(Summary_Products!O41="","",Summary_Products!O41)</f>
        <v/>
      </c>
      <c r="P57" s="782" t="str">
        <f t="shared" si="0"/>
        <v/>
      </c>
      <c r="Q57" s="160" t="str">
        <f>IF(Summary_Products!P41="","",INDEX(Translations!$C:$C,MATCH(Summary_Products!P41,Translations!$B:$B,0)))</f>
        <v/>
      </c>
      <c r="R57" s="160" t="str">
        <f>IF(Summary_Products!Q41="","",Summary_Products!Q41)</f>
        <v/>
      </c>
      <c r="S57" s="615" t="str">
        <f>IF(Summary_Products!R41="","",Summary_Products!R41)</f>
        <v/>
      </c>
      <c r="T57" s="615" t="str">
        <f>IF(Summary_Products!S41="","",Summary_Products!S41)</f>
        <v/>
      </c>
      <c r="U57" s="615" t="str">
        <f>IF(Summary_Products!T41="","",Summary_Products!T41)</f>
        <v/>
      </c>
      <c r="V57" s="615" t="str">
        <f>IF(Summary_Products!U41="","",Summary_Products!U41)</f>
        <v/>
      </c>
      <c r="W57" s="615" t="str">
        <f>IF(Summary_Products!V41="","",Summary_Products!V41)</f>
        <v/>
      </c>
      <c r="X57" s="615" t="str">
        <f>IF(Summary_Products!W41="","",Summary_Products!W41)</f>
        <v/>
      </c>
      <c r="Y57" s="615" t="str">
        <f>IF(Summary_Products!X41="","",Summary_Products!X41)</f>
        <v/>
      </c>
      <c r="Z57" s="615" t="str">
        <f>IF(Summary_Products!Y41="","",Summary_Products!Y41)</f>
        <v/>
      </c>
      <c r="AA57" s="615" t="str">
        <f>IF(Summary_Products!Z41="","",Summary_Products!Z41)</f>
        <v/>
      </c>
      <c r="AB57" s="615" t="str">
        <f>IF(Summary_Products!AA41="","",Summary_Products!AA41)</f>
        <v/>
      </c>
      <c r="AC57" s="615" t="str">
        <f>IF(Summary_Products!AB41="","",Summary_Products!AB41)</f>
        <v/>
      </c>
      <c r="AD57" s="615" t="str">
        <f>IF(Summary_Products!AC41="","",Summary_Products!AC41)</f>
        <v/>
      </c>
      <c r="AE57" s="615" t="str">
        <f>IF(Summary_Products!AD41="","",Summary_Products!AD41)</f>
        <v/>
      </c>
      <c r="AF57" s="615" t="str">
        <f>IF(Summary_Products!AE41="","",Summary_Products!AE41)</f>
        <v/>
      </c>
      <c r="AG57" s="615" t="str">
        <f>IF(Summary_Products!AF41="","",Summary_Products!AF41)</f>
        <v/>
      </c>
      <c r="AH57" s="615" t="str">
        <f>IF(Summary_Products!AG41="","",Summary_Products!AG41)</f>
        <v/>
      </c>
      <c r="AI57" s="615" t="str">
        <f>IF(Summary_Products!AH41="","",Summary_Products!AH41)</f>
        <v/>
      </c>
      <c r="AJ57" s="615" t="str">
        <f>IF(Summary_Products!AI41="","",Summary_Products!AI41)</f>
        <v/>
      </c>
      <c r="AK57" s="615" t="str">
        <f>IF(Summary_Products!AJ41="","",Summary_Products!AJ41)</f>
        <v/>
      </c>
      <c r="AL57" s="615" t="str">
        <f>IF(Summary_Products!AK41="","",Summary_Products!AK41)</f>
        <v/>
      </c>
      <c r="AM57" s="421" t="str">
        <f>IF(Summary_Products!AL41="","",INDEX(Translations!$C:$C,MATCH(Summary_Products!AL41,Translations!$B:$B,0)))</f>
        <v/>
      </c>
      <c r="AN57" s="615" t="str">
        <f>IF(Summary_Products!AM41="","",Summary_Products!AM41)</f>
        <v/>
      </c>
      <c r="AO57" s="473" t="str">
        <f>IF(Summary_Products!AN41="","",Summary_Products!AN41)</f>
        <v/>
      </c>
      <c r="AP57" s="474" t="str">
        <f>IF(Summary_Products!AO41="","",Summary_Products!AO41)</f>
        <v/>
      </c>
      <c r="AQ57" s="160" t="str">
        <f>IF(Summary_Products!AP41="","",Summary_Products!AP41)</f>
        <v/>
      </c>
      <c r="AR57" s="477" t="str">
        <f>IF(Summary_Products!AR41="","",Summary_Products!AR41)</f>
        <v/>
      </c>
      <c r="AS57" s="474" t="str">
        <f>IF(Summary_Products!AS41="","",Summary_Products!AS41)</f>
        <v/>
      </c>
      <c r="AT57" s="421" t="str">
        <f>IF(Summary_Products!AT41="","",INDEX(Translations!$C:$C,MATCH(Summary_Products!AT41,Translations!$B:$B,0)))</f>
        <v/>
      </c>
      <c r="AU57" s="615" t="str">
        <f>IF(Summary_Products!AU41="","",Summary_Products!AU41)</f>
        <v/>
      </c>
      <c r="AV57" s="473" t="str">
        <f>IF(Summary_Products!AV41="","",Summary_Products!AV41)</f>
        <v/>
      </c>
      <c r="AW57" s="474" t="str">
        <f>IF(Summary_Products!AW41="","",Summary_Products!AW41)</f>
        <v/>
      </c>
      <c r="AX57" s="477" t="str">
        <f>IF(Summary_Products!AX41="","",Summary_Products!AX41)</f>
        <v/>
      </c>
      <c r="AY57" s="474" t="str">
        <f>IF(Summary_Products!AY41="","",Summary_Products!AY41)</f>
        <v/>
      </c>
      <c r="AZ57" s="477" t="str">
        <f>IF(Summary_Products!AZ41="","",Summary_Products!AZ41)</f>
        <v/>
      </c>
      <c r="BA57" s="478" t="str">
        <f>IF(Summary_Products!BA41="","",Summary_Products!BA41)</f>
        <v/>
      </c>
      <c r="BD57" s="156"/>
      <c r="BE57" s="156"/>
      <c r="BF57" s="156"/>
      <c r="BG57" s="156"/>
    </row>
    <row r="58" spans="2:59" ht="12.5" x14ac:dyDescent="0.25">
      <c r="B58" s="277"/>
      <c r="C58" s="777">
        <v>33</v>
      </c>
      <c r="D58" s="766" t="str">
        <f>IF(Summary_Products!D42="","",Summary_Products!D42)</f>
        <v/>
      </c>
      <c r="E58" s="421" t="str">
        <f>IF(Summary_Products!E42="","",INDEX(Translations!$C:$C,MATCH(Summary_Products!E42,Translations!$B:$B,0)))</f>
        <v/>
      </c>
      <c r="F58" s="781" t="str">
        <f>IF(Summary_Products!F42="","",Summary_Products!F42)</f>
        <v/>
      </c>
      <c r="G58" s="766" t="str">
        <f>IF(F58="","",INDEX(Parameters_CNCodes!$H$4:$H$572,MATCH(F58,CNCodes_ListKey,0)))</f>
        <v/>
      </c>
      <c r="H58" s="766" t="str">
        <f>IF(Summary_Products!H42="","",Summary_Products!H42)</f>
        <v/>
      </c>
      <c r="I58" s="782" t="str">
        <f>IF(Summary_Products!I42="","",Summary_Products!I42)</f>
        <v/>
      </c>
      <c r="J58" s="782" t="str">
        <f>IF(Summary_Products!J42="","",Summary_Products!J42)</f>
        <v/>
      </c>
      <c r="K58" s="782" t="str">
        <f>IF(Summary_Products!K42="","",Summary_Products!K42)</f>
        <v/>
      </c>
      <c r="L58" s="782" t="str">
        <f>IF(Summary_Products!L42="","",Summary_Products!L42)</f>
        <v/>
      </c>
      <c r="M58" s="783" t="str">
        <f>IF(Summary_Products!M42="","",Summary_Products!M42)</f>
        <v/>
      </c>
      <c r="N58" s="782" t="str">
        <f>IF(Summary_Products!N42="","",Summary_Products!N42)</f>
        <v/>
      </c>
      <c r="O58" s="782" t="str">
        <f>IF(Summary_Products!O42="","",Summary_Products!O42)</f>
        <v/>
      </c>
      <c r="P58" s="782" t="str">
        <f t="shared" si="0"/>
        <v/>
      </c>
      <c r="Q58" s="160" t="str">
        <f>IF(Summary_Products!P42="","",INDEX(Translations!$C:$C,MATCH(Summary_Products!P42,Translations!$B:$B,0)))</f>
        <v/>
      </c>
      <c r="R58" s="160" t="str">
        <f>IF(Summary_Products!Q42="","",Summary_Products!Q42)</f>
        <v/>
      </c>
      <c r="S58" s="615" t="str">
        <f>IF(Summary_Products!R42="","",Summary_Products!R42)</f>
        <v/>
      </c>
      <c r="T58" s="615" t="str">
        <f>IF(Summary_Products!S42="","",Summary_Products!S42)</f>
        <v/>
      </c>
      <c r="U58" s="615" t="str">
        <f>IF(Summary_Products!T42="","",Summary_Products!T42)</f>
        <v/>
      </c>
      <c r="V58" s="615" t="str">
        <f>IF(Summary_Products!U42="","",Summary_Products!U42)</f>
        <v/>
      </c>
      <c r="W58" s="615" t="str">
        <f>IF(Summary_Products!V42="","",Summary_Products!V42)</f>
        <v/>
      </c>
      <c r="X58" s="615" t="str">
        <f>IF(Summary_Products!W42="","",Summary_Products!W42)</f>
        <v/>
      </c>
      <c r="Y58" s="615" t="str">
        <f>IF(Summary_Products!X42="","",Summary_Products!X42)</f>
        <v/>
      </c>
      <c r="Z58" s="615" t="str">
        <f>IF(Summary_Products!Y42="","",Summary_Products!Y42)</f>
        <v/>
      </c>
      <c r="AA58" s="615" t="str">
        <f>IF(Summary_Products!Z42="","",Summary_Products!Z42)</f>
        <v/>
      </c>
      <c r="AB58" s="615" t="str">
        <f>IF(Summary_Products!AA42="","",Summary_Products!AA42)</f>
        <v/>
      </c>
      <c r="AC58" s="615" t="str">
        <f>IF(Summary_Products!AB42="","",Summary_Products!AB42)</f>
        <v/>
      </c>
      <c r="AD58" s="615" t="str">
        <f>IF(Summary_Products!AC42="","",Summary_Products!AC42)</f>
        <v/>
      </c>
      <c r="AE58" s="615" t="str">
        <f>IF(Summary_Products!AD42="","",Summary_Products!AD42)</f>
        <v/>
      </c>
      <c r="AF58" s="615" t="str">
        <f>IF(Summary_Products!AE42="","",Summary_Products!AE42)</f>
        <v/>
      </c>
      <c r="AG58" s="615" t="str">
        <f>IF(Summary_Products!AF42="","",Summary_Products!AF42)</f>
        <v/>
      </c>
      <c r="AH58" s="615" t="str">
        <f>IF(Summary_Products!AG42="","",Summary_Products!AG42)</f>
        <v/>
      </c>
      <c r="AI58" s="615" t="str">
        <f>IF(Summary_Products!AH42="","",Summary_Products!AH42)</f>
        <v/>
      </c>
      <c r="AJ58" s="615" t="str">
        <f>IF(Summary_Products!AI42="","",Summary_Products!AI42)</f>
        <v/>
      </c>
      <c r="AK58" s="615" t="str">
        <f>IF(Summary_Products!AJ42="","",Summary_Products!AJ42)</f>
        <v/>
      </c>
      <c r="AL58" s="615" t="str">
        <f>IF(Summary_Products!AK42="","",Summary_Products!AK42)</f>
        <v/>
      </c>
      <c r="AM58" s="421" t="str">
        <f>IF(Summary_Products!AL42="","",INDEX(Translations!$C:$C,MATCH(Summary_Products!AL42,Translations!$B:$B,0)))</f>
        <v/>
      </c>
      <c r="AN58" s="615" t="str">
        <f>IF(Summary_Products!AM42="","",Summary_Products!AM42)</f>
        <v/>
      </c>
      <c r="AO58" s="473" t="str">
        <f>IF(Summary_Products!AN42="","",Summary_Products!AN42)</f>
        <v/>
      </c>
      <c r="AP58" s="474" t="str">
        <f>IF(Summary_Products!AO42="","",Summary_Products!AO42)</f>
        <v/>
      </c>
      <c r="AQ58" s="160" t="str">
        <f>IF(Summary_Products!AP42="","",Summary_Products!AP42)</f>
        <v/>
      </c>
      <c r="AR58" s="477" t="str">
        <f>IF(Summary_Products!AR42="","",Summary_Products!AR42)</f>
        <v/>
      </c>
      <c r="AS58" s="474" t="str">
        <f>IF(Summary_Products!AS42="","",Summary_Products!AS42)</f>
        <v/>
      </c>
      <c r="AT58" s="421" t="str">
        <f>IF(Summary_Products!AT42="","",INDEX(Translations!$C:$C,MATCH(Summary_Products!AT42,Translations!$B:$B,0)))</f>
        <v/>
      </c>
      <c r="AU58" s="615" t="str">
        <f>IF(Summary_Products!AU42="","",Summary_Products!AU42)</f>
        <v/>
      </c>
      <c r="AV58" s="473" t="str">
        <f>IF(Summary_Products!AV42="","",Summary_Products!AV42)</f>
        <v/>
      </c>
      <c r="AW58" s="474" t="str">
        <f>IF(Summary_Products!AW42="","",Summary_Products!AW42)</f>
        <v/>
      </c>
      <c r="AX58" s="477" t="str">
        <f>IF(Summary_Products!AX42="","",Summary_Products!AX42)</f>
        <v/>
      </c>
      <c r="AY58" s="474" t="str">
        <f>IF(Summary_Products!AY42="","",Summary_Products!AY42)</f>
        <v/>
      </c>
      <c r="AZ58" s="477" t="str">
        <f>IF(Summary_Products!AZ42="","",Summary_Products!AZ42)</f>
        <v/>
      </c>
      <c r="BA58" s="478" t="str">
        <f>IF(Summary_Products!BA42="","",Summary_Products!BA42)</f>
        <v/>
      </c>
      <c r="BD58" s="156"/>
      <c r="BE58" s="156"/>
      <c r="BF58" s="156"/>
      <c r="BG58" s="156"/>
    </row>
    <row r="59" spans="2:59" ht="12.5" x14ac:dyDescent="0.25">
      <c r="B59" s="277"/>
      <c r="C59" s="777">
        <v>34</v>
      </c>
      <c r="D59" s="766" t="str">
        <f>IF(Summary_Products!D43="","",Summary_Products!D43)</f>
        <v/>
      </c>
      <c r="E59" s="421" t="str">
        <f>IF(Summary_Products!E43="","",INDEX(Translations!$C:$C,MATCH(Summary_Products!E43,Translations!$B:$B,0)))</f>
        <v/>
      </c>
      <c r="F59" s="781" t="str">
        <f>IF(Summary_Products!F43="","",Summary_Products!F43)</f>
        <v/>
      </c>
      <c r="G59" s="766" t="str">
        <f>IF(F59="","",INDEX(Parameters_CNCodes!$H$4:$H$572,MATCH(F59,CNCodes_ListKey,0)))</f>
        <v/>
      </c>
      <c r="H59" s="766" t="str">
        <f>IF(Summary_Products!H43="","",Summary_Products!H43)</f>
        <v/>
      </c>
      <c r="I59" s="782" t="str">
        <f>IF(Summary_Products!I43="","",Summary_Products!I43)</f>
        <v/>
      </c>
      <c r="J59" s="782" t="str">
        <f>IF(Summary_Products!J43="","",Summary_Products!J43)</f>
        <v/>
      </c>
      <c r="K59" s="782" t="str">
        <f>IF(Summary_Products!K43="","",Summary_Products!K43)</f>
        <v/>
      </c>
      <c r="L59" s="782" t="str">
        <f>IF(Summary_Products!L43="","",Summary_Products!L43)</f>
        <v/>
      </c>
      <c r="M59" s="783" t="str">
        <f>IF(Summary_Products!M43="","",Summary_Products!M43)</f>
        <v/>
      </c>
      <c r="N59" s="782" t="str">
        <f>IF(Summary_Products!N43="","",Summary_Products!N43)</f>
        <v/>
      </c>
      <c r="O59" s="782" t="str">
        <f>IF(Summary_Products!O43="","",Summary_Products!O43)</f>
        <v/>
      </c>
      <c r="P59" s="782" t="str">
        <f t="shared" si="0"/>
        <v/>
      </c>
      <c r="Q59" s="160" t="str">
        <f>IF(Summary_Products!P43="","",INDEX(Translations!$C:$C,MATCH(Summary_Products!P43,Translations!$B:$B,0)))</f>
        <v/>
      </c>
      <c r="R59" s="160" t="str">
        <f>IF(Summary_Products!Q43="","",Summary_Products!Q43)</f>
        <v/>
      </c>
      <c r="S59" s="615" t="str">
        <f>IF(Summary_Products!R43="","",Summary_Products!R43)</f>
        <v/>
      </c>
      <c r="T59" s="615" t="str">
        <f>IF(Summary_Products!S43="","",Summary_Products!S43)</f>
        <v/>
      </c>
      <c r="U59" s="615" t="str">
        <f>IF(Summary_Products!T43="","",Summary_Products!T43)</f>
        <v/>
      </c>
      <c r="V59" s="615" t="str">
        <f>IF(Summary_Products!U43="","",Summary_Products!U43)</f>
        <v/>
      </c>
      <c r="W59" s="615" t="str">
        <f>IF(Summary_Products!V43="","",Summary_Products!V43)</f>
        <v/>
      </c>
      <c r="X59" s="615" t="str">
        <f>IF(Summary_Products!W43="","",Summary_Products!W43)</f>
        <v/>
      </c>
      <c r="Y59" s="615" t="str">
        <f>IF(Summary_Products!X43="","",Summary_Products!X43)</f>
        <v/>
      </c>
      <c r="Z59" s="615" t="str">
        <f>IF(Summary_Products!Y43="","",Summary_Products!Y43)</f>
        <v/>
      </c>
      <c r="AA59" s="615" t="str">
        <f>IF(Summary_Products!Z43="","",Summary_Products!Z43)</f>
        <v/>
      </c>
      <c r="AB59" s="615" t="str">
        <f>IF(Summary_Products!AA43="","",Summary_Products!AA43)</f>
        <v/>
      </c>
      <c r="AC59" s="615" t="str">
        <f>IF(Summary_Products!AB43="","",Summary_Products!AB43)</f>
        <v/>
      </c>
      <c r="AD59" s="615" t="str">
        <f>IF(Summary_Products!AC43="","",Summary_Products!AC43)</f>
        <v/>
      </c>
      <c r="AE59" s="615" t="str">
        <f>IF(Summary_Products!AD43="","",Summary_Products!AD43)</f>
        <v/>
      </c>
      <c r="AF59" s="615" t="str">
        <f>IF(Summary_Products!AE43="","",Summary_Products!AE43)</f>
        <v/>
      </c>
      <c r="AG59" s="615" t="str">
        <f>IF(Summary_Products!AF43="","",Summary_Products!AF43)</f>
        <v/>
      </c>
      <c r="AH59" s="615" t="str">
        <f>IF(Summary_Products!AG43="","",Summary_Products!AG43)</f>
        <v/>
      </c>
      <c r="AI59" s="615" t="str">
        <f>IF(Summary_Products!AH43="","",Summary_Products!AH43)</f>
        <v/>
      </c>
      <c r="AJ59" s="615" t="str">
        <f>IF(Summary_Products!AI43="","",Summary_Products!AI43)</f>
        <v/>
      </c>
      <c r="AK59" s="615" t="str">
        <f>IF(Summary_Products!AJ43="","",Summary_Products!AJ43)</f>
        <v/>
      </c>
      <c r="AL59" s="615" t="str">
        <f>IF(Summary_Products!AK43="","",Summary_Products!AK43)</f>
        <v/>
      </c>
      <c r="AM59" s="421" t="str">
        <f>IF(Summary_Products!AL43="","",INDEX(Translations!$C:$C,MATCH(Summary_Products!AL43,Translations!$B:$B,0)))</f>
        <v/>
      </c>
      <c r="AN59" s="615" t="str">
        <f>IF(Summary_Products!AM43="","",Summary_Products!AM43)</f>
        <v/>
      </c>
      <c r="AO59" s="473" t="str">
        <f>IF(Summary_Products!AN43="","",Summary_Products!AN43)</f>
        <v/>
      </c>
      <c r="AP59" s="474" t="str">
        <f>IF(Summary_Products!AO43="","",Summary_Products!AO43)</f>
        <v/>
      </c>
      <c r="AQ59" s="160" t="str">
        <f>IF(Summary_Products!AP43="","",Summary_Products!AP43)</f>
        <v/>
      </c>
      <c r="AR59" s="477" t="str">
        <f>IF(Summary_Products!AR43="","",Summary_Products!AR43)</f>
        <v/>
      </c>
      <c r="AS59" s="474" t="str">
        <f>IF(Summary_Products!AS43="","",Summary_Products!AS43)</f>
        <v/>
      </c>
      <c r="AT59" s="421" t="str">
        <f>IF(Summary_Products!AT43="","",INDEX(Translations!$C:$C,MATCH(Summary_Products!AT43,Translations!$B:$B,0)))</f>
        <v/>
      </c>
      <c r="AU59" s="615" t="str">
        <f>IF(Summary_Products!AU43="","",Summary_Products!AU43)</f>
        <v/>
      </c>
      <c r="AV59" s="473" t="str">
        <f>IF(Summary_Products!AV43="","",Summary_Products!AV43)</f>
        <v/>
      </c>
      <c r="AW59" s="474" t="str">
        <f>IF(Summary_Products!AW43="","",Summary_Products!AW43)</f>
        <v/>
      </c>
      <c r="AX59" s="477" t="str">
        <f>IF(Summary_Products!AX43="","",Summary_Products!AX43)</f>
        <v/>
      </c>
      <c r="AY59" s="474" t="str">
        <f>IF(Summary_Products!AY43="","",Summary_Products!AY43)</f>
        <v/>
      </c>
      <c r="AZ59" s="477" t="str">
        <f>IF(Summary_Products!AZ43="","",Summary_Products!AZ43)</f>
        <v/>
      </c>
      <c r="BA59" s="478" t="str">
        <f>IF(Summary_Products!BA43="","",Summary_Products!BA43)</f>
        <v/>
      </c>
      <c r="BD59" s="156"/>
      <c r="BE59" s="156"/>
      <c r="BF59" s="156"/>
      <c r="BG59" s="156"/>
    </row>
    <row r="60" spans="2:59" ht="12.5" x14ac:dyDescent="0.25">
      <c r="B60" s="277"/>
      <c r="C60" s="777">
        <v>35</v>
      </c>
      <c r="D60" s="766" t="str">
        <f>IF(Summary_Products!D44="","",Summary_Products!D44)</f>
        <v/>
      </c>
      <c r="E60" s="421" t="str">
        <f>IF(Summary_Products!E44="","",INDEX(Translations!$C:$C,MATCH(Summary_Products!E44,Translations!$B:$B,0)))</f>
        <v/>
      </c>
      <c r="F60" s="781" t="str">
        <f>IF(Summary_Products!F44="","",Summary_Products!F44)</f>
        <v/>
      </c>
      <c r="G60" s="766" t="str">
        <f>IF(F60="","",INDEX(Parameters_CNCodes!$H$4:$H$572,MATCH(F60,CNCodes_ListKey,0)))</f>
        <v/>
      </c>
      <c r="H60" s="766" t="str">
        <f>IF(Summary_Products!H44="","",Summary_Products!H44)</f>
        <v/>
      </c>
      <c r="I60" s="782" t="str">
        <f>IF(Summary_Products!I44="","",Summary_Products!I44)</f>
        <v/>
      </c>
      <c r="J60" s="782" t="str">
        <f>IF(Summary_Products!J44="","",Summary_Products!J44)</f>
        <v/>
      </c>
      <c r="K60" s="782" t="str">
        <f>IF(Summary_Products!K44="","",Summary_Products!K44)</f>
        <v/>
      </c>
      <c r="L60" s="782" t="str">
        <f>IF(Summary_Products!L44="","",Summary_Products!L44)</f>
        <v/>
      </c>
      <c r="M60" s="783" t="str">
        <f>IF(Summary_Products!M44="","",Summary_Products!M44)</f>
        <v/>
      </c>
      <c r="N60" s="782" t="str">
        <f>IF(Summary_Products!N44="","",Summary_Products!N44)</f>
        <v/>
      </c>
      <c r="O60" s="782" t="str">
        <f>IF(Summary_Products!O44="","",Summary_Products!O44)</f>
        <v/>
      </c>
      <c r="P60" s="782" t="str">
        <f t="shared" si="0"/>
        <v/>
      </c>
      <c r="Q60" s="160" t="str">
        <f>IF(Summary_Products!P44="","",INDEX(Translations!$C:$C,MATCH(Summary_Products!P44,Translations!$B:$B,0)))</f>
        <v/>
      </c>
      <c r="R60" s="160" t="str">
        <f>IF(Summary_Products!Q44="","",Summary_Products!Q44)</f>
        <v/>
      </c>
      <c r="S60" s="615" t="str">
        <f>IF(Summary_Products!R44="","",Summary_Products!R44)</f>
        <v/>
      </c>
      <c r="T60" s="615" t="str">
        <f>IF(Summary_Products!S44="","",Summary_Products!S44)</f>
        <v/>
      </c>
      <c r="U60" s="615" t="str">
        <f>IF(Summary_Products!T44="","",Summary_Products!T44)</f>
        <v/>
      </c>
      <c r="V60" s="615" t="str">
        <f>IF(Summary_Products!U44="","",Summary_Products!U44)</f>
        <v/>
      </c>
      <c r="W60" s="615" t="str">
        <f>IF(Summary_Products!V44="","",Summary_Products!V44)</f>
        <v/>
      </c>
      <c r="X60" s="615" t="str">
        <f>IF(Summary_Products!W44="","",Summary_Products!W44)</f>
        <v/>
      </c>
      <c r="Y60" s="615" t="str">
        <f>IF(Summary_Products!X44="","",Summary_Products!X44)</f>
        <v/>
      </c>
      <c r="Z60" s="615" t="str">
        <f>IF(Summary_Products!Y44="","",Summary_Products!Y44)</f>
        <v/>
      </c>
      <c r="AA60" s="615" t="str">
        <f>IF(Summary_Products!Z44="","",Summary_Products!Z44)</f>
        <v/>
      </c>
      <c r="AB60" s="615" t="str">
        <f>IF(Summary_Products!AA44="","",Summary_Products!AA44)</f>
        <v/>
      </c>
      <c r="AC60" s="615" t="str">
        <f>IF(Summary_Products!AB44="","",Summary_Products!AB44)</f>
        <v/>
      </c>
      <c r="AD60" s="615" t="str">
        <f>IF(Summary_Products!AC44="","",Summary_Products!AC44)</f>
        <v/>
      </c>
      <c r="AE60" s="615" t="str">
        <f>IF(Summary_Products!AD44="","",Summary_Products!AD44)</f>
        <v/>
      </c>
      <c r="AF60" s="615" t="str">
        <f>IF(Summary_Products!AE44="","",Summary_Products!AE44)</f>
        <v/>
      </c>
      <c r="AG60" s="615" t="str">
        <f>IF(Summary_Products!AF44="","",Summary_Products!AF44)</f>
        <v/>
      </c>
      <c r="AH60" s="615" t="str">
        <f>IF(Summary_Products!AG44="","",Summary_Products!AG44)</f>
        <v/>
      </c>
      <c r="AI60" s="615" t="str">
        <f>IF(Summary_Products!AH44="","",Summary_Products!AH44)</f>
        <v/>
      </c>
      <c r="AJ60" s="615" t="str">
        <f>IF(Summary_Products!AI44="","",Summary_Products!AI44)</f>
        <v/>
      </c>
      <c r="AK60" s="615" t="str">
        <f>IF(Summary_Products!AJ44="","",Summary_Products!AJ44)</f>
        <v/>
      </c>
      <c r="AL60" s="615" t="str">
        <f>IF(Summary_Products!AK44="","",Summary_Products!AK44)</f>
        <v/>
      </c>
      <c r="AM60" s="421" t="str">
        <f>IF(Summary_Products!AL44="","",INDEX(Translations!$C:$C,MATCH(Summary_Products!AL44,Translations!$B:$B,0)))</f>
        <v/>
      </c>
      <c r="AN60" s="615" t="str">
        <f>IF(Summary_Products!AM44="","",Summary_Products!AM44)</f>
        <v/>
      </c>
      <c r="AO60" s="473" t="str">
        <f>IF(Summary_Products!AN44="","",Summary_Products!AN44)</f>
        <v/>
      </c>
      <c r="AP60" s="474" t="str">
        <f>IF(Summary_Products!AO44="","",Summary_Products!AO44)</f>
        <v/>
      </c>
      <c r="AQ60" s="160" t="str">
        <f>IF(Summary_Products!AP44="","",Summary_Products!AP44)</f>
        <v/>
      </c>
      <c r="AR60" s="477" t="str">
        <f>IF(Summary_Products!AR44="","",Summary_Products!AR44)</f>
        <v/>
      </c>
      <c r="AS60" s="474" t="str">
        <f>IF(Summary_Products!AS44="","",Summary_Products!AS44)</f>
        <v/>
      </c>
      <c r="AT60" s="421" t="str">
        <f>IF(Summary_Products!AT44="","",INDEX(Translations!$C:$C,MATCH(Summary_Products!AT44,Translations!$B:$B,0)))</f>
        <v/>
      </c>
      <c r="AU60" s="615" t="str">
        <f>IF(Summary_Products!AU44="","",Summary_Products!AU44)</f>
        <v/>
      </c>
      <c r="AV60" s="473" t="str">
        <f>IF(Summary_Products!AV44="","",Summary_Products!AV44)</f>
        <v/>
      </c>
      <c r="AW60" s="474" t="str">
        <f>IF(Summary_Products!AW44="","",Summary_Products!AW44)</f>
        <v/>
      </c>
      <c r="AX60" s="477" t="str">
        <f>IF(Summary_Products!AX44="","",Summary_Products!AX44)</f>
        <v/>
      </c>
      <c r="AY60" s="474" t="str">
        <f>IF(Summary_Products!AY44="","",Summary_Products!AY44)</f>
        <v/>
      </c>
      <c r="AZ60" s="477" t="str">
        <f>IF(Summary_Products!AZ44="","",Summary_Products!AZ44)</f>
        <v/>
      </c>
      <c r="BA60" s="478" t="str">
        <f>IF(Summary_Products!BA44="","",Summary_Products!BA44)</f>
        <v/>
      </c>
      <c r="BD60" s="156"/>
      <c r="BE60" s="156"/>
      <c r="BF60" s="156"/>
      <c r="BG60" s="156"/>
    </row>
    <row r="61" spans="2:59" ht="12.5" x14ac:dyDescent="0.25">
      <c r="B61" s="277"/>
      <c r="C61" s="777">
        <v>36</v>
      </c>
      <c r="D61" s="766" t="str">
        <f>IF(Summary_Products!D45="","",Summary_Products!D45)</f>
        <v/>
      </c>
      <c r="E61" s="421" t="str">
        <f>IF(Summary_Products!E45="","",INDEX(Translations!$C:$C,MATCH(Summary_Products!E45,Translations!$B:$B,0)))</f>
        <v/>
      </c>
      <c r="F61" s="781" t="str">
        <f>IF(Summary_Products!F45="","",Summary_Products!F45)</f>
        <v/>
      </c>
      <c r="G61" s="766" t="str">
        <f>IF(F61="","",INDEX(Parameters_CNCodes!$H$4:$H$572,MATCH(F61,CNCodes_ListKey,0)))</f>
        <v/>
      </c>
      <c r="H61" s="766" t="str">
        <f>IF(Summary_Products!H45="","",Summary_Products!H45)</f>
        <v/>
      </c>
      <c r="I61" s="782" t="str">
        <f>IF(Summary_Products!I45="","",Summary_Products!I45)</f>
        <v/>
      </c>
      <c r="J61" s="782" t="str">
        <f>IF(Summary_Products!J45="","",Summary_Products!J45)</f>
        <v/>
      </c>
      <c r="K61" s="782" t="str">
        <f>IF(Summary_Products!K45="","",Summary_Products!K45)</f>
        <v/>
      </c>
      <c r="L61" s="782" t="str">
        <f>IF(Summary_Products!L45="","",Summary_Products!L45)</f>
        <v/>
      </c>
      <c r="M61" s="783" t="str">
        <f>IF(Summary_Products!M45="","",Summary_Products!M45)</f>
        <v/>
      </c>
      <c r="N61" s="782" t="str">
        <f>IF(Summary_Products!N45="","",Summary_Products!N45)</f>
        <v/>
      </c>
      <c r="O61" s="782" t="str">
        <f>IF(Summary_Products!O45="","",Summary_Products!O45)</f>
        <v/>
      </c>
      <c r="P61" s="782" t="str">
        <f t="shared" si="0"/>
        <v/>
      </c>
      <c r="Q61" s="160" t="str">
        <f>IF(Summary_Products!P45="","",INDEX(Translations!$C:$C,MATCH(Summary_Products!P45,Translations!$B:$B,0)))</f>
        <v/>
      </c>
      <c r="R61" s="160" t="str">
        <f>IF(Summary_Products!Q45="","",Summary_Products!Q45)</f>
        <v/>
      </c>
      <c r="S61" s="615" t="str">
        <f>IF(Summary_Products!R45="","",Summary_Products!R45)</f>
        <v/>
      </c>
      <c r="T61" s="615" t="str">
        <f>IF(Summary_Products!S45="","",Summary_Products!S45)</f>
        <v/>
      </c>
      <c r="U61" s="615" t="str">
        <f>IF(Summary_Products!T45="","",Summary_Products!T45)</f>
        <v/>
      </c>
      <c r="V61" s="615" t="str">
        <f>IF(Summary_Products!U45="","",Summary_Products!U45)</f>
        <v/>
      </c>
      <c r="W61" s="615" t="str">
        <f>IF(Summary_Products!V45="","",Summary_Products!V45)</f>
        <v/>
      </c>
      <c r="X61" s="615" t="str">
        <f>IF(Summary_Products!W45="","",Summary_Products!W45)</f>
        <v/>
      </c>
      <c r="Y61" s="615" t="str">
        <f>IF(Summary_Products!X45="","",Summary_Products!X45)</f>
        <v/>
      </c>
      <c r="Z61" s="615" t="str">
        <f>IF(Summary_Products!Y45="","",Summary_Products!Y45)</f>
        <v/>
      </c>
      <c r="AA61" s="615" t="str">
        <f>IF(Summary_Products!Z45="","",Summary_Products!Z45)</f>
        <v/>
      </c>
      <c r="AB61" s="615" t="str">
        <f>IF(Summary_Products!AA45="","",Summary_Products!AA45)</f>
        <v/>
      </c>
      <c r="AC61" s="615" t="str">
        <f>IF(Summary_Products!AB45="","",Summary_Products!AB45)</f>
        <v/>
      </c>
      <c r="AD61" s="615" t="str">
        <f>IF(Summary_Products!AC45="","",Summary_Products!AC45)</f>
        <v/>
      </c>
      <c r="AE61" s="615" t="str">
        <f>IF(Summary_Products!AD45="","",Summary_Products!AD45)</f>
        <v/>
      </c>
      <c r="AF61" s="615" t="str">
        <f>IF(Summary_Products!AE45="","",Summary_Products!AE45)</f>
        <v/>
      </c>
      <c r="AG61" s="615" t="str">
        <f>IF(Summary_Products!AF45="","",Summary_Products!AF45)</f>
        <v/>
      </c>
      <c r="AH61" s="615" t="str">
        <f>IF(Summary_Products!AG45="","",Summary_Products!AG45)</f>
        <v/>
      </c>
      <c r="AI61" s="615" t="str">
        <f>IF(Summary_Products!AH45="","",Summary_Products!AH45)</f>
        <v/>
      </c>
      <c r="AJ61" s="615" t="str">
        <f>IF(Summary_Products!AI45="","",Summary_Products!AI45)</f>
        <v/>
      </c>
      <c r="AK61" s="615" t="str">
        <f>IF(Summary_Products!AJ45="","",Summary_Products!AJ45)</f>
        <v/>
      </c>
      <c r="AL61" s="615" t="str">
        <f>IF(Summary_Products!AK45="","",Summary_Products!AK45)</f>
        <v/>
      </c>
      <c r="AM61" s="421" t="str">
        <f>IF(Summary_Products!AL45="","",INDEX(Translations!$C:$C,MATCH(Summary_Products!AL45,Translations!$B:$B,0)))</f>
        <v/>
      </c>
      <c r="AN61" s="615" t="str">
        <f>IF(Summary_Products!AM45="","",Summary_Products!AM45)</f>
        <v/>
      </c>
      <c r="AO61" s="473" t="str">
        <f>IF(Summary_Products!AN45="","",Summary_Products!AN45)</f>
        <v/>
      </c>
      <c r="AP61" s="474" t="str">
        <f>IF(Summary_Products!AO45="","",Summary_Products!AO45)</f>
        <v/>
      </c>
      <c r="AQ61" s="160" t="str">
        <f>IF(Summary_Products!AP45="","",Summary_Products!AP45)</f>
        <v/>
      </c>
      <c r="AR61" s="477" t="str">
        <f>IF(Summary_Products!AR45="","",Summary_Products!AR45)</f>
        <v/>
      </c>
      <c r="AS61" s="474" t="str">
        <f>IF(Summary_Products!AS45="","",Summary_Products!AS45)</f>
        <v/>
      </c>
      <c r="AT61" s="421" t="str">
        <f>IF(Summary_Products!AT45="","",INDEX(Translations!$C:$C,MATCH(Summary_Products!AT45,Translations!$B:$B,0)))</f>
        <v/>
      </c>
      <c r="AU61" s="615" t="str">
        <f>IF(Summary_Products!AU45="","",Summary_Products!AU45)</f>
        <v/>
      </c>
      <c r="AV61" s="473" t="str">
        <f>IF(Summary_Products!AV45="","",Summary_Products!AV45)</f>
        <v/>
      </c>
      <c r="AW61" s="474" t="str">
        <f>IF(Summary_Products!AW45="","",Summary_Products!AW45)</f>
        <v/>
      </c>
      <c r="AX61" s="477" t="str">
        <f>IF(Summary_Products!AX45="","",Summary_Products!AX45)</f>
        <v/>
      </c>
      <c r="AY61" s="474" t="str">
        <f>IF(Summary_Products!AY45="","",Summary_Products!AY45)</f>
        <v/>
      </c>
      <c r="AZ61" s="477" t="str">
        <f>IF(Summary_Products!AZ45="","",Summary_Products!AZ45)</f>
        <v/>
      </c>
      <c r="BA61" s="478" t="str">
        <f>IF(Summary_Products!BA45="","",Summary_Products!BA45)</f>
        <v/>
      </c>
      <c r="BD61" s="156"/>
      <c r="BE61" s="156"/>
      <c r="BF61" s="156"/>
      <c r="BG61" s="156"/>
    </row>
    <row r="62" spans="2:59" ht="12.5" x14ac:dyDescent="0.25">
      <c r="B62" s="277"/>
      <c r="C62" s="777">
        <v>37</v>
      </c>
      <c r="D62" s="766" t="str">
        <f>IF(Summary_Products!D46="","",Summary_Products!D46)</f>
        <v/>
      </c>
      <c r="E62" s="421" t="str">
        <f>IF(Summary_Products!E46="","",INDEX(Translations!$C:$C,MATCH(Summary_Products!E46,Translations!$B:$B,0)))</f>
        <v/>
      </c>
      <c r="F62" s="781" t="str">
        <f>IF(Summary_Products!F46="","",Summary_Products!F46)</f>
        <v/>
      </c>
      <c r="G62" s="766" t="str">
        <f>IF(F62="","",INDEX(Parameters_CNCodes!$H$4:$H$572,MATCH(F62,CNCodes_ListKey,0)))</f>
        <v/>
      </c>
      <c r="H62" s="766" t="str">
        <f>IF(Summary_Products!H46="","",Summary_Products!H46)</f>
        <v/>
      </c>
      <c r="I62" s="782" t="str">
        <f>IF(Summary_Products!I46="","",Summary_Products!I46)</f>
        <v/>
      </c>
      <c r="J62" s="782" t="str">
        <f>IF(Summary_Products!J46="","",Summary_Products!J46)</f>
        <v/>
      </c>
      <c r="K62" s="782" t="str">
        <f>IF(Summary_Products!K46="","",Summary_Products!K46)</f>
        <v/>
      </c>
      <c r="L62" s="782" t="str">
        <f>IF(Summary_Products!L46="","",Summary_Products!L46)</f>
        <v/>
      </c>
      <c r="M62" s="783" t="str">
        <f>IF(Summary_Products!M46="","",Summary_Products!M46)</f>
        <v/>
      </c>
      <c r="N62" s="782" t="str">
        <f>IF(Summary_Products!N46="","",Summary_Products!N46)</f>
        <v/>
      </c>
      <c r="O62" s="782" t="str">
        <f>IF(Summary_Products!O46="","",Summary_Products!O46)</f>
        <v/>
      </c>
      <c r="P62" s="782" t="str">
        <f t="shared" si="0"/>
        <v/>
      </c>
      <c r="Q62" s="160" t="str">
        <f>IF(Summary_Products!P46="","",INDEX(Translations!$C:$C,MATCH(Summary_Products!P46,Translations!$B:$B,0)))</f>
        <v/>
      </c>
      <c r="R62" s="160" t="str">
        <f>IF(Summary_Products!Q46="","",Summary_Products!Q46)</f>
        <v/>
      </c>
      <c r="S62" s="615" t="str">
        <f>IF(Summary_Products!R46="","",Summary_Products!R46)</f>
        <v/>
      </c>
      <c r="T62" s="615" t="str">
        <f>IF(Summary_Products!S46="","",Summary_Products!S46)</f>
        <v/>
      </c>
      <c r="U62" s="615" t="str">
        <f>IF(Summary_Products!T46="","",Summary_Products!T46)</f>
        <v/>
      </c>
      <c r="V62" s="615" t="str">
        <f>IF(Summary_Products!U46="","",Summary_Products!U46)</f>
        <v/>
      </c>
      <c r="W62" s="615" t="str">
        <f>IF(Summary_Products!V46="","",Summary_Products!V46)</f>
        <v/>
      </c>
      <c r="X62" s="615" t="str">
        <f>IF(Summary_Products!W46="","",Summary_Products!W46)</f>
        <v/>
      </c>
      <c r="Y62" s="615" t="str">
        <f>IF(Summary_Products!X46="","",Summary_Products!X46)</f>
        <v/>
      </c>
      <c r="Z62" s="615" t="str">
        <f>IF(Summary_Products!Y46="","",Summary_Products!Y46)</f>
        <v/>
      </c>
      <c r="AA62" s="615" t="str">
        <f>IF(Summary_Products!Z46="","",Summary_Products!Z46)</f>
        <v/>
      </c>
      <c r="AB62" s="615" t="str">
        <f>IF(Summary_Products!AA46="","",Summary_Products!AA46)</f>
        <v/>
      </c>
      <c r="AC62" s="615" t="str">
        <f>IF(Summary_Products!AB46="","",Summary_Products!AB46)</f>
        <v/>
      </c>
      <c r="AD62" s="615" t="str">
        <f>IF(Summary_Products!AC46="","",Summary_Products!AC46)</f>
        <v/>
      </c>
      <c r="AE62" s="615" t="str">
        <f>IF(Summary_Products!AD46="","",Summary_Products!AD46)</f>
        <v/>
      </c>
      <c r="AF62" s="615" t="str">
        <f>IF(Summary_Products!AE46="","",Summary_Products!AE46)</f>
        <v/>
      </c>
      <c r="AG62" s="615" t="str">
        <f>IF(Summary_Products!AF46="","",Summary_Products!AF46)</f>
        <v/>
      </c>
      <c r="AH62" s="615" t="str">
        <f>IF(Summary_Products!AG46="","",Summary_Products!AG46)</f>
        <v/>
      </c>
      <c r="AI62" s="615" t="str">
        <f>IF(Summary_Products!AH46="","",Summary_Products!AH46)</f>
        <v/>
      </c>
      <c r="AJ62" s="615" t="str">
        <f>IF(Summary_Products!AI46="","",Summary_Products!AI46)</f>
        <v/>
      </c>
      <c r="AK62" s="615" t="str">
        <f>IF(Summary_Products!AJ46="","",Summary_Products!AJ46)</f>
        <v/>
      </c>
      <c r="AL62" s="615" t="str">
        <f>IF(Summary_Products!AK46="","",Summary_Products!AK46)</f>
        <v/>
      </c>
      <c r="AM62" s="421" t="str">
        <f>IF(Summary_Products!AL46="","",INDEX(Translations!$C:$C,MATCH(Summary_Products!AL46,Translations!$B:$B,0)))</f>
        <v/>
      </c>
      <c r="AN62" s="615" t="str">
        <f>IF(Summary_Products!AM46="","",Summary_Products!AM46)</f>
        <v/>
      </c>
      <c r="AO62" s="473" t="str">
        <f>IF(Summary_Products!AN46="","",Summary_Products!AN46)</f>
        <v/>
      </c>
      <c r="AP62" s="474" t="str">
        <f>IF(Summary_Products!AO46="","",Summary_Products!AO46)</f>
        <v/>
      </c>
      <c r="AQ62" s="160" t="str">
        <f>IF(Summary_Products!AP46="","",Summary_Products!AP46)</f>
        <v/>
      </c>
      <c r="AR62" s="477" t="str">
        <f>IF(Summary_Products!AR46="","",Summary_Products!AR46)</f>
        <v/>
      </c>
      <c r="AS62" s="474" t="str">
        <f>IF(Summary_Products!AS46="","",Summary_Products!AS46)</f>
        <v/>
      </c>
      <c r="AT62" s="421" t="str">
        <f>IF(Summary_Products!AT46="","",INDEX(Translations!$C:$C,MATCH(Summary_Products!AT46,Translations!$B:$B,0)))</f>
        <v/>
      </c>
      <c r="AU62" s="615" t="str">
        <f>IF(Summary_Products!AU46="","",Summary_Products!AU46)</f>
        <v/>
      </c>
      <c r="AV62" s="473" t="str">
        <f>IF(Summary_Products!AV46="","",Summary_Products!AV46)</f>
        <v/>
      </c>
      <c r="AW62" s="474" t="str">
        <f>IF(Summary_Products!AW46="","",Summary_Products!AW46)</f>
        <v/>
      </c>
      <c r="AX62" s="477" t="str">
        <f>IF(Summary_Products!AX46="","",Summary_Products!AX46)</f>
        <v/>
      </c>
      <c r="AY62" s="474" t="str">
        <f>IF(Summary_Products!AY46="","",Summary_Products!AY46)</f>
        <v/>
      </c>
      <c r="AZ62" s="477" t="str">
        <f>IF(Summary_Products!AZ46="","",Summary_Products!AZ46)</f>
        <v/>
      </c>
      <c r="BA62" s="478" t="str">
        <f>IF(Summary_Products!BA46="","",Summary_Products!BA46)</f>
        <v/>
      </c>
      <c r="BD62" s="156"/>
      <c r="BE62" s="156"/>
      <c r="BF62" s="156"/>
      <c r="BG62" s="156"/>
    </row>
    <row r="63" spans="2:59" ht="12.5" x14ac:dyDescent="0.25">
      <c r="B63" s="277"/>
      <c r="C63" s="777">
        <v>38</v>
      </c>
      <c r="D63" s="766" t="str">
        <f>IF(Summary_Products!D47="","",Summary_Products!D47)</f>
        <v/>
      </c>
      <c r="E63" s="421" t="str">
        <f>IF(Summary_Products!E47="","",INDEX(Translations!$C:$C,MATCH(Summary_Products!E47,Translations!$B:$B,0)))</f>
        <v/>
      </c>
      <c r="F63" s="781" t="str">
        <f>IF(Summary_Products!F47="","",Summary_Products!F47)</f>
        <v/>
      </c>
      <c r="G63" s="766" t="str">
        <f>IF(F63="","",INDEX(Parameters_CNCodes!$H$4:$H$572,MATCH(F63,CNCodes_ListKey,0)))</f>
        <v/>
      </c>
      <c r="H63" s="766" t="str">
        <f>IF(Summary_Products!H47="","",Summary_Products!H47)</f>
        <v/>
      </c>
      <c r="I63" s="782" t="str">
        <f>IF(Summary_Products!I47="","",Summary_Products!I47)</f>
        <v/>
      </c>
      <c r="J63" s="782" t="str">
        <f>IF(Summary_Products!J47="","",Summary_Products!J47)</f>
        <v/>
      </c>
      <c r="K63" s="782" t="str">
        <f>IF(Summary_Products!K47="","",Summary_Products!K47)</f>
        <v/>
      </c>
      <c r="L63" s="782" t="str">
        <f>IF(Summary_Products!L47="","",Summary_Products!L47)</f>
        <v/>
      </c>
      <c r="M63" s="783" t="str">
        <f>IF(Summary_Products!M47="","",Summary_Products!M47)</f>
        <v/>
      </c>
      <c r="N63" s="782" t="str">
        <f>IF(Summary_Products!N47="","",Summary_Products!N47)</f>
        <v/>
      </c>
      <c r="O63" s="782" t="str">
        <f>IF(Summary_Products!O47="","",Summary_Products!O47)</f>
        <v/>
      </c>
      <c r="P63" s="782" t="str">
        <f t="shared" si="0"/>
        <v/>
      </c>
      <c r="Q63" s="160" t="str">
        <f>IF(Summary_Products!P47="","",INDEX(Translations!$C:$C,MATCH(Summary_Products!P47,Translations!$B:$B,0)))</f>
        <v/>
      </c>
      <c r="R63" s="160" t="str">
        <f>IF(Summary_Products!Q47="","",Summary_Products!Q47)</f>
        <v/>
      </c>
      <c r="S63" s="615" t="str">
        <f>IF(Summary_Products!R47="","",Summary_Products!R47)</f>
        <v/>
      </c>
      <c r="T63" s="615" t="str">
        <f>IF(Summary_Products!S47="","",Summary_Products!S47)</f>
        <v/>
      </c>
      <c r="U63" s="615" t="str">
        <f>IF(Summary_Products!T47="","",Summary_Products!T47)</f>
        <v/>
      </c>
      <c r="V63" s="615" t="str">
        <f>IF(Summary_Products!U47="","",Summary_Products!U47)</f>
        <v/>
      </c>
      <c r="W63" s="615" t="str">
        <f>IF(Summary_Products!V47="","",Summary_Products!V47)</f>
        <v/>
      </c>
      <c r="X63" s="615" t="str">
        <f>IF(Summary_Products!W47="","",Summary_Products!W47)</f>
        <v/>
      </c>
      <c r="Y63" s="615" t="str">
        <f>IF(Summary_Products!X47="","",Summary_Products!X47)</f>
        <v/>
      </c>
      <c r="Z63" s="615" t="str">
        <f>IF(Summary_Products!Y47="","",Summary_Products!Y47)</f>
        <v/>
      </c>
      <c r="AA63" s="615" t="str">
        <f>IF(Summary_Products!Z47="","",Summary_Products!Z47)</f>
        <v/>
      </c>
      <c r="AB63" s="615" t="str">
        <f>IF(Summary_Products!AA47="","",Summary_Products!AA47)</f>
        <v/>
      </c>
      <c r="AC63" s="615" t="str">
        <f>IF(Summary_Products!AB47="","",Summary_Products!AB47)</f>
        <v/>
      </c>
      <c r="AD63" s="615" t="str">
        <f>IF(Summary_Products!AC47="","",Summary_Products!AC47)</f>
        <v/>
      </c>
      <c r="AE63" s="615" t="str">
        <f>IF(Summary_Products!AD47="","",Summary_Products!AD47)</f>
        <v/>
      </c>
      <c r="AF63" s="615" t="str">
        <f>IF(Summary_Products!AE47="","",Summary_Products!AE47)</f>
        <v/>
      </c>
      <c r="AG63" s="615" t="str">
        <f>IF(Summary_Products!AF47="","",Summary_Products!AF47)</f>
        <v/>
      </c>
      <c r="AH63" s="615" t="str">
        <f>IF(Summary_Products!AG47="","",Summary_Products!AG47)</f>
        <v/>
      </c>
      <c r="AI63" s="615" t="str">
        <f>IF(Summary_Products!AH47="","",Summary_Products!AH47)</f>
        <v/>
      </c>
      <c r="AJ63" s="615" t="str">
        <f>IF(Summary_Products!AI47="","",Summary_Products!AI47)</f>
        <v/>
      </c>
      <c r="AK63" s="615" t="str">
        <f>IF(Summary_Products!AJ47="","",Summary_Products!AJ47)</f>
        <v/>
      </c>
      <c r="AL63" s="615" t="str">
        <f>IF(Summary_Products!AK47="","",Summary_Products!AK47)</f>
        <v/>
      </c>
      <c r="AM63" s="421" t="str">
        <f>IF(Summary_Products!AL47="","",INDEX(Translations!$C:$C,MATCH(Summary_Products!AL47,Translations!$B:$B,0)))</f>
        <v/>
      </c>
      <c r="AN63" s="615" t="str">
        <f>IF(Summary_Products!AM47="","",Summary_Products!AM47)</f>
        <v/>
      </c>
      <c r="AO63" s="473" t="str">
        <f>IF(Summary_Products!AN47="","",Summary_Products!AN47)</f>
        <v/>
      </c>
      <c r="AP63" s="474" t="str">
        <f>IF(Summary_Products!AO47="","",Summary_Products!AO47)</f>
        <v/>
      </c>
      <c r="AQ63" s="160" t="str">
        <f>IF(Summary_Products!AP47="","",Summary_Products!AP47)</f>
        <v/>
      </c>
      <c r="AR63" s="477" t="str">
        <f>IF(Summary_Products!AR47="","",Summary_Products!AR47)</f>
        <v/>
      </c>
      <c r="AS63" s="474" t="str">
        <f>IF(Summary_Products!AS47="","",Summary_Products!AS47)</f>
        <v/>
      </c>
      <c r="AT63" s="421" t="str">
        <f>IF(Summary_Products!AT47="","",INDEX(Translations!$C:$C,MATCH(Summary_Products!AT47,Translations!$B:$B,0)))</f>
        <v/>
      </c>
      <c r="AU63" s="615" t="str">
        <f>IF(Summary_Products!AU47="","",Summary_Products!AU47)</f>
        <v/>
      </c>
      <c r="AV63" s="473" t="str">
        <f>IF(Summary_Products!AV47="","",Summary_Products!AV47)</f>
        <v/>
      </c>
      <c r="AW63" s="474" t="str">
        <f>IF(Summary_Products!AW47="","",Summary_Products!AW47)</f>
        <v/>
      </c>
      <c r="AX63" s="477" t="str">
        <f>IF(Summary_Products!AX47="","",Summary_Products!AX47)</f>
        <v/>
      </c>
      <c r="AY63" s="474" t="str">
        <f>IF(Summary_Products!AY47="","",Summary_Products!AY47)</f>
        <v/>
      </c>
      <c r="AZ63" s="477" t="str">
        <f>IF(Summary_Products!AZ47="","",Summary_Products!AZ47)</f>
        <v/>
      </c>
      <c r="BA63" s="478" t="str">
        <f>IF(Summary_Products!BA47="","",Summary_Products!BA47)</f>
        <v/>
      </c>
      <c r="BD63" s="156"/>
      <c r="BE63" s="156"/>
      <c r="BF63" s="156"/>
      <c r="BG63" s="156"/>
    </row>
    <row r="64" spans="2:59" ht="12.5" x14ac:dyDescent="0.25">
      <c r="B64" s="277"/>
      <c r="C64" s="777">
        <v>39</v>
      </c>
      <c r="D64" s="766" t="str">
        <f>IF(Summary_Products!D48="","",Summary_Products!D48)</f>
        <v/>
      </c>
      <c r="E64" s="421" t="str">
        <f>IF(Summary_Products!E48="","",INDEX(Translations!$C:$C,MATCH(Summary_Products!E48,Translations!$B:$B,0)))</f>
        <v/>
      </c>
      <c r="F64" s="781" t="str">
        <f>IF(Summary_Products!F48="","",Summary_Products!F48)</f>
        <v/>
      </c>
      <c r="G64" s="766" t="str">
        <f>IF(F64="","",INDEX(Parameters_CNCodes!$H$4:$H$572,MATCH(F64,CNCodes_ListKey,0)))</f>
        <v/>
      </c>
      <c r="H64" s="766" t="str">
        <f>IF(Summary_Products!H48="","",Summary_Products!H48)</f>
        <v/>
      </c>
      <c r="I64" s="782" t="str">
        <f>IF(Summary_Products!I48="","",Summary_Products!I48)</f>
        <v/>
      </c>
      <c r="J64" s="782" t="str">
        <f>IF(Summary_Products!J48="","",Summary_Products!J48)</f>
        <v/>
      </c>
      <c r="K64" s="782" t="str">
        <f>IF(Summary_Products!K48="","",Summary_Products!K48)</f>
        <v/>
      </c>
      <c r="L64" s="782" t="str">
        <f>IF(Summary_Products!L48="","",Summary_Products!L48)</f>
        <v/>
      </c>
      <c r="M64" s="783" t="str">
        <f>IF(Summary_Products!M48="","",Summary_Products!M48)</f>
        <v/>
      </c>
      <c r="N64" s="782" t="str">
        <f>IF(Summary_Products!N48="","",Summary_Products!N48)</f>
        <v/>
      </c>
      <c r="O64" s="782" t="str">
        <f>IF(Summary_Products!O48="","",Summary_Products!O48)</f>
        <v/>
      </c>
      <c r="P64" s="782" t="str">
        <f t="shared" si="0"/>
        <v/>
      </c>
      <c r="Q64" s="160" t="str">
        <f>IF(Summary_Products!P48="","",INDEX(Translations!$C:$C,MATCH(Summary_Products!P48,Translations!$B:$B,0)))</f>
        <v/>
      </c>
      <c r="R64" s="160" t="str">
        <f>IF(Summary_Products!Q48="","",Summary_Products!Q48)</f>
        <v/>
      </c>
      <c r="S64" s="615" t="str">
        <f>IF(Summary_Products!R48="","",Summary_Products!R48)</f>
        <v/>
      </c>
      <c r="T64" s="615" t="str">
        <f>IF(Summary_Products!S48="","",Summary_Products!S48)</f>
        <v/>
      </c>
      <c r="U64" s="615" t="str">
        <f>IF(Summary_Products!T48="","",Summary_Products!T48)</f>
        <v/>
      </c>
      <c r="V64" s="615" t="str">
        <f>IF(Summary_Products!U48="","",Summary_Products!U48)</f>
        <v/>
      </c>
      <c r="W64" s="615" t="str">
        <f>IF(Summary_Products!V48="","",Summary_Products!V48)</f>
        <v/>
      </c>
      <c r="X64" s="615" t="str">
        <f>IF(Summary_Products!W48="","",Summary_Products!W48)</f>
        <v/>
      </c>
      <c r="Y64" s="615" t="str">
        <f>IF(Summary_Products!X48="","",Summary_Products!X48)</f>
        <v/>
      </c>
      <c r="Z64" s="615" t="str">
        <f>IF(Summary_Products!Y48="","",Summary_Products!Y48)</f>
        <v/>
      </c>
      <c r="AA64" s="615" t="str">
        <f>IF(Summary_Products!Z48="","",Summary_Products!Z48)</f>
        <v/>
      </c>
      <c r="AB64" s="615" t="str">
        <f>IF(Summary_Products!AA48="","",Summary_Products!AA48)</f>
        <v/>
      </c>
      <c r="AC64" s="615" t="str">
        <f>IF(Summary_Products!AB48="","",Summary_Products!AB48)</f>
        <v/>
      </c>
      <c r="AD64" s="615" t="str">
        <f>IF(Summary_Products!AC48="","",Summary_Products!AC48)</f>
        <v/>
      </c>
      <c r="AE64" s="615" t="str">
        <f>IF(Summary_Products!AD48="","",Summary_Products!AD48)</f>
        <v/>
      </c>
      <c r="AF64" s="615" t="str">
        <f>IF(Summary_Products!AE48="","",Summary_Products!AE48)</f>
        <v/>
      </c>
      <c r="AG64" s="615" t="str">
        <f>IF(Summary_Products!AF48="","",Summary_Products!AF48)</f>
        <v/>
      </c>
      <c r="AH64" s="615" t="str">
        <f>IF(Summary_Products!AG48="","",Summary_Products!AG48)</f>
        <v/>
      </c>
      <c r="AI64" s="615" t="str">
        <f>IF(Summary_Products!AH48="","",Summary_Products!AH48)</f>
        <v/>
      </c>
      <c r="AJ64" s="615" t="str">
        <f>IF(Summary_Products!AI48="","",Summary_Products!AI48)</f>
        <v/>
      </c>
      <c r="AK64" s="615" t="str">
        <f>IF(Summary_Products!AJ48="","",Summary_Products!AJ48)</f>
        <v/>
      </c>
      <c r="AL64" s="615" t="str">
        <f>IF(Summary_Products!AK48="","",Summary_Products!AK48)</f>
        <v/>
      </c>
      <c r="AM64" s="421" t="str">
        <f>IF(Summary_Products!AL48="","",INDEX(Translations!$C:$C,MATCH(Summary_Products!AL48,Translations!$B:$B,0)))</f>
        <v/>
      </c>
      <c r="AN64" s="615" t="str">
        <f>IF(Summary_Products!AM48="","",Summary_Products!AM48)</f>
        <v/>
      </c>
      <c r="AO64" s="473" t="str">
        <f>IF(Summary_Products!AN48="","",Summary_Products!AN48)</f>
        <v/>
      </c>
      <c r="AP64" s="474" t="str">
        <f>IF(Summary_Products!AO48="","",Summary_Products!AO48)</f>
        <v/>
      </c>
      <c r="AQ64" s="160" t="str">
        <f>IF(Summary_Products!AP48="","",Summary_Products!AP48)</f>
        <v/>
      </c>
      <c r="AR64" s="477" t="str">
        <f>IF(Summary_Products!AR48="","",Summary_Products!AR48)</f>
        <v/>
      </c>
      <c r="AS64" s="474" t="str">
        <f>IF(Summary_Products!AS48="","",Summary_Products!AS48)</f>
        <v/>
      </c>
      <c r="AT64" s="421" t="str">
        <f>IF(Summary_Products!AT48="","",INDEX(Translations!$C:$C,MATCH(Summary_Products!AT48,Translations!$B:$B,0)))</f>
        <v/>
      </c>
      <c r="AU64" s="615" t="str">
        <f>IF(Summary_Products!AU48="","",Summary_Products!AU48)</f>
        <v/>
      </c>
      <c r="AV64" s="473" t="str">
        <f>IF(Summary_Products!AV48="","",Summary_Products!AV48)</f>
        <v/>
      </c>
      <c r="AW64" s="474" t="str">
        <f>IF(Summary_Products!AW48="","",Summary_Products!AW48)</f>
        <v/>
      </c>
      <c r="AX64" s="477" t="str">
        <f>IF(Summary_Products!AX48="","",Summary_Products!AX48)</f>
        <v/>
      </c>
      <c r="AY64" s="474" t="str">
        <f>IF(Summary_Products!AY48="","",Summary_Products!AY48)</f>
        <v/>
      </c>
      <c r="AZ64" s="477" t="str">
        <f>IF(Summary_Products!AZ48="","",Summary_Products!AZ48)</f>
        <v/>
      </c>
      <c r="BA64" s="478" t="str">
        <f>IF(Summary_Products!BA48="","",Summary_Products!BA48)</f>
        <v/>
      </c>
      <c r="BD64" s="156"/>
      <c r="BE64" s="156"/>
      <c r="BF64" s="156"/>
      <c r="BG64" s="156"/>
    </row>
    <row r="65" spans="2:59" ht="12.5" x14ac:dyDescent="0.25">
      <c r="B65" s="277"/>
      <c r="C65" s="777">
        <v>40</v>
      </c>
      <c r="D65" s="766" t="str">
        <f>IF(Summary_Products!D49="","",Summary_Products!D49)</f>
        <v/>
      </c>
      <c r="E65" s="421" t="str">
        <f>IF(Summary_Products!E49="","",INDEX(Translations!$C:$C,MATCH(Summary_Products!E49,Translations!$B:$B,0)))</f>
        <v/>
      </c>
      <c r="F65" s="781" t="str">
        <f>IF(Summary_Products!F49="","",Summary_Products!F49)</f>
        <v/>
      </c>
      <c r="G65" s="766" t="str">
        <f>IF(F65="","",INDEX(Parameters_CNCodes!$H$4:$H$572,MATCH(F65,CNCodes_ListKey,0)))</f>
        <v/>
      </c>
      <c r="H65" s="766" t="str">
        <f>IF(Summary_Products!H49="","",Summary_Products!H49)</f>
        <v/>
      </c>
      <c r="I65" s="782" t="str">
        <f>IF(Summary_Products!I49="","",Summary_Products!I49)</f>
        <v/>
      </c>
      <c r="J65" s="782" t="str">
        <f>IF(Summary_Products!J49="","",Summary_Products!J49)</f>
        <v/>
      </c>
      <c r="K65" s="782" t="str">
        <f>IF(Summary_Products!K49="","",Summary_Products!K49)</f>
        <v/>
      </c>
      <c r="L65" s="782" t="str">
        <f>IF(Summary_Products!L49="","",Summary_Products!L49)</f>
        <v/>
      </c>
      <c r="M65" s="783" t="str">
        <f>IF(Summary_Products!M49="","",Summary_Products!M49)</f>
        <v/>
      </c>
      <c r="N65" s="782" t="str">
        <f>IF(Summary_Products!N49="","",Summary_Products!N49)</f>
        <v/>
      </c>
      <c r="O65" s="782" t="str">
        <f>IF(Summary_Products!O49="","",Summary_Products!O49)</f>
        <v/>
      </c>
      <c r="P65" s="782" t="str">
        <f t="shared" si="0"/>
        <v/>
      </c>
      <c r="Q65" s="160" t="str">
        <f>IF(Summary_Products!P49="","",INDEX(Translations!$C:$C,MATCH(Summary_Products!P49,Translations!$B:$B,0)))</f>
        <v/>
      </c>
      <c r="R65" s="160" t="str">
        <f>IF(Summary_Products!Q49="","",Summary_Products!Q49)</f>
        <v/>
      </c>
      <c r="S65" s="615" t="str">
        <f>IF(Summary_Products!R49="","",Summary_Products!R49)</f>
        <v/>
      </c>
      <c r="T65" s="615" t="str">
        <f>IF(Summary_Products!S49="","",Summary_Products!S49)</f>
        <v/>
      </c>
      <c r="U65" s="615" t="str">
        <f>IF(Summary_Products!T49="","",Summary_Products!T49)</f>
        <v/>
      </c>
      <c r="V65" s="615" t="str">
        <f>IF(Summary_Products!U49="","",Summary_Products!U49)</f>
        <v/>
      </c>
      <c r="W65" s="615" t="str">
        <f>IF(Summary_Products!V49="","",Summary_Products!V49)</f>
        <v/>
      </c>
      <c r="X65" s="615" t="str">
        <f>IF(Summary_Products!W49="","",Summary_Products!W49)</f>
        <v/>
      </c>
      <c r="Y65" s="615" t="str">
        <f>IF(Summary_Products!X49="","",Summary_Products!X49)</f>
        <v/>
      </c>
      <c r="Z65" s="615" t="str">
        <f>IF(Summary_Products!Y49="","",Summary_Products!Y49)</f>
        <v/>
      </c>
      <c r="AA65" s="615" t="str">
        <f>IF(Summary_Products!Z49="","",Summary_Products!Z49)</f>
        <v/>
      </c>
      <c r="AB65" s="615" t="str">
        <f>IF(Summary_Products!AA49="","",Summary_Products!AA49)</f>
        <v/>
      </c>
      <c r="AC65" s="615" t="str">
        <f>IF(Summary_Products!AB49="","",Summary_Products!AB49)</f>
        <v/>
      </c>
      <c r="AD65" s="615" t="str">
        <f>IF(Summary_Products!AC49="","",Summary_Products!AC49)</f>
        <v/>
      </c>
      <c r="AE65" s="615" t="str">
        <f>IF(Summary_Products!AD49="","",Summary_Products!AD49)</f>
        <v/>
      </c>
      <c r="AF65" s="615" t="str">
        <f>IF(Summary_Products!AE49="","",Summary_Products!AE49)</f>
        <v/>
      </c>
      <c r="AG65" s="615" t="str">
        <f>IF(Summary_Products!AF49="","",Summary_Products!AF49)</f>
        <v/>
      </c>
      <c r="AH65" s="615" t="str">
        <f>IF(Summary_Products!AG49="","",Summary_Products!AG49)</f>
        <v/>
      </c>
      <c r="AI65" s="615" t="str">
        <f>IF(Summary_Products!AH49="","",Summary_Products!AH49)</f>
        <v/>
      </c>
      <c r="AJ65" s="615" t="str">
        <f>IF(Summary_Products!AI49="","",Summary_Products!AI49)</f>
        <v/>
      </c>
      <c r="AK65" s="615" t="str">
        <f>IF(Summary_Products!AJ49="","",Summary_Products!AJ49)</f>
        <v/>
      </c>
      <c r="AL65" s="615" t="str">
        <f>IF(Summary_Products!AK49="","",Summary_Products!AK49)</f>
        <v/>
      </c>
      <c r="AM65" s="421" t="str">
        <f>IF(Summary_Products!AL49="","",INDEX(Translations!$C:$C,MATCH(Summary_Products!AL49,Translations!$B:$B,0)))</f>
        <v/>
      </c>
      <c r="AN65" s="615" t="str">
        <f>IF(Summary_Products!AM49="","",Summary_Products!AM49)</f>
        <v/>
      </c>
      <c r="AO65" s="473" t="str">
        <f>IF(Summary_Products!AN49="","",Summary_Products!AN49)</f>
        <v/>
      </c>
      <c r="AP65" s="474" t="str">
        <f>IF(Summary_Products!AO49="","",Summary_Products!AO49)</f>
        <v/>
      </c>
      <c r="AQ65" s="160" t="str">
        <f>IF(Summary_Products!AP49="","",Summary_Products!AP49)</f>
        <v/>
      </c>
      <c r="AR65" s="477" t="str">
        <f>IF(Summary_Products!AR49="","",Summary_Products!AR49)</f>
        <v/>
      </c>
      <c r="AS65" s="474" t="str">
        <f>IF(Summary_Products!AS49="","",Summary_Products!AS49)</f>
        <v/>
      </c>
      <c r="AT65" s="421" t="str">
        <f>IF(Summary_Products!AT49="","",INDEX(Translations!$C:$C,MATCH(Summary_Products!AT49,Translations!$B:$B,0)))</f>
        <v/>
      </c>
      <c r="AU65" s="615" t="str">
        <f>IF(Summary_Products!AU49="","",Summary_Products!AU49)</f>
        <v/>
      </c>
      <c r="AV65" s="473" t="str">
        <f>IF(Summary_Products!AV49="","",Summary_Products!AV49)</f>
        <v/>
      </c>
      <c r="AW65" s="474" t="str">
        <f>IF(Summary_Products!AW49="","",Summary_Products!AW49)</f>
        <v/>
      </c>
      <c r="AX65" s="477" t="str">
        <f>IF(Summary_Products!AX49="","",Summary_Products!AX49)</f>
        <v/>
      </c>
      <c r="AY65" s="474" t="str">
        <f>IF(Summary_Products!AY49="","",Summary_Products!AY49)</f>
        <v/>
      </c>
      <c r="AZ65" s="477" t="str">
        <f>IF(Summary_Products!AZ49="","",Summary_Products!AZ49)</f>
        <v/>
      </c>
      <c r="BA65" s="478" t="str">
        <f>IF(Summary_Products!BA49="","",Summary_Products!BA49)</f>
        <v/>
      </c>
      <c r="BD65" s="156"/>
      <c r="BE65" s="156"/>
      <c r="BF65" s="156"/>
      <c r="BG65" s="156"/>
    </row>
    <row r="66" spans="2:59" ht="12.5" x14ac:dyDescent="0.25">
      <c r="B66" s="277"/>
      <c r="C66" s="777">
        <v>41</v>
      </c>
      <c r="D66" s="766" t="str">
        <f>IF(Summary_Products!D50="","",Summary_Products!D50)</f>
        <v/>
      </c>
      <c r="E66" s="421" t="str">
        <f>IF(Summary_Products!E50="","",INDEX(Translations!$C:$C,MATCH(Summary_Products!E50,Translations!$B:$B,0)))</f>
        <v/>
      </c>
      <c r="F66" s="781" t="str">
        <f>IF(Summary_Products!F50="","",Summary_Products!F50)</f>
        <v/>
      </c>
      <c r="G66" s="766" t="str">
        <f>IF(F66="","",INDEX(Parameters_CNCodes!$H$4:$H$572,MATCH(F66,CNCodes_ListKey,0)))</f>
        <v/>
      </c>
      <c r="H66" s="766" t="str">
        <f>IF(Summary_Products!H50="","",Summary_Products!H50)</f>
        <v/>
      </c>
      <c r="I66" s="782" t="str">
        <f>IF(Summary_Products!I50="","",Summary_Products!I50)</f>
        <v/>
      </c>
      <c r="J66" s="782" t="str">
        <f>IF(Summary_Products!J50="","",Summary_Products!J50)</f>
        <v/>
      </c>
      <c r="K66" s="782" t="str">
        <f>IF(Summary_Products!K50="","",Summary_Products!K50)</f>
        <v/>
      </c>
      <c r="L66" s="782" t="str">
        <f>IF(Summary_Products!L50="","",Summary_Products!L50)</f>
        <v/>
      </c>
      <c r="M66" s="783" t="str">
        <f>IF(Summary_Products!M50="","",Summary_Products!M50)</f>
        <v/>
      </c>
      <c r="N66" s="782" t="str">
        <f>IF(Summary_Products!N50="","",Summary_Products!N50)</f>
        <v/>
      </c>
      <c r="O66" s="782" t="str">
        <f>IF(Summary_Products!O50="","",Summary_Products!O50)</f>
        <v/>
      </c>
      <c r="P66" s="782" t="str">
        <f t="shared" si="0"/>
        <v/>
      </c>
      <c r="Q66" s="160" t="str">
        <f>IF(Summary_Products!P50="","",INDEX(Translations!$C:$C,MATCH(Summary_Products!P50,Translations!$B:$B,0)))</f>
        <v/>
      </c>
      <c r="R66" s="160" t="str">
        <f>IF(Summary_Products!Q50="","",Summary_Products!Q50)</f>
        <v/>
      </c>
      <c r="S66" s="615" t="str">
        <f>IF(Summary_Products!R50="","",Summary_Products!R50)</f>
        <v/>
      </c>
      <c r="T66" s="615" t="str">
        <f>IF(Summary_Products!S50="","",Summary_Products!S50)</f>
        <v/>
      </c>
      <c r="U66" s="615" t="str">
        <f>IF(Summary_Products!T50="","",Summary_Products!T50)</f>
        <v/>
      </c>
      <c r="V66" s="615" t="str">
        <f>IF(Summary_Products!U50="","",Summary_Products!U50)</f>
        <v/>
      </c>
      <c r="W66" s="615" t="str">
        <f>IF(Summary_Products!V50="","",Summary_Products!V50)</f>
        <v/>
      </c>
      <c r="X66" s="615" t="str">
        <f>IF(Summary_Products!W50="","",Summary_Products!W50)</f>
        <v/>
      </c>
      <c r="Y66" s="615" t="str">
        <f>IF(Summary_Products!X50="","",Summary_Products!X50)</f>
        <v/>
      </c>
      <c r="Z66" s="615" t="str">
        <f>IF(Summary_Products!Y50="","",Summary_Products!Y50)</f>
        <v/>
      </c>
      <c r="AA66" s="615" t="str">
        <f>IF(Summary_Products!Z50="","",Summary_Products!Z50)</f>
        <v/>
      </c>
      <c r="AB66" s="615" t="str">
        <f>IF(Summary_Products!AA50="","",Summary_Products!AA50)</f>
        <v/>
      </c>
      <c r="AC66" s="615" t="str">
        <f>IF(Summary_Products!AB50="","",Summary_Products!AB50)</f>
        <v/>
      </c>
      <c r="AD66" s="615" t="str">
        <f>IF(Summary_Products!AC50="","",Summary_Products!AC50)</f>
        <v/>
      </c>
      <c r="AE66" s="615" t="str">
        <f>IF(Summary_Products!AD50="","",Summary_Products!AD50)</f>
        <v/>
      </c>
      <c r="AF66" s="615" t="str">
        <f>IF(Summary_Products!AE50="","",Summary_Products!AE50)</f>
        <v/>
      </c>
      <c r="AG66" s="615" t="str">
        <f>IF(Summary_Products!AF50="","",Summary_Products!AF50)</f>
        <v/>
      </c>
      <c r="AH66" s="615" t="str">
        <f>IF(Summary_Products!AG50="","",Summary_Products!AG50)</f>
        <v/>
      </c>
      <c r="AI66" s="615" t="str">
        <f>IF(Summary_Products!AH50="","",Summary_Products!AH50)</f>
        <v/>
      </c>
      <c r="AJ66" s="615" t="str">
        <f>IF(Summary_Products!AI50="","",Summary_Products!AI50)</f>
        <v/>
      </c>
      <c r="AK66" s="615" t="str">
        <f>IF(Summary_Products!AJ50="","",Summary_Products!AJ50)</f>
        <v/>
      </c>
      <c r="AL66" s="615" t="str">
        <f>IF(Summary_Products!AK50="","",Summary_Products!AK50)</f>
        <v/>
      </c>
      <c r="AM66" s="421" t="str">
        <f>IF(Summary_Products!AL50="","",INDEX(Translations!$C:$C,MATCH(Summary_Products!AL50,Translations!$B:$B,0)))</f>
        <v/>
      </c>
      <c r="AN66" s="615" t="str">
        <f>IF(Summary_Products!AM50="","",Summary_Products!AM50)</f>
        <v/>
      </c>
      <c r="AO66" s="473" t="str">
        <f>IF(Summary_Products!AN50="","",Summary_Products!AN50)</f>
        <v/>
      </c>
      <c r="AP66" s="474" t="str">
        <f>IF(Summary_Products!AO50="","",Summary_Products!AO50)</f>
        <v/>
      </c>
      <c r="AQ66" s="160" t="str">
        <f>IF(Summary_Products!AP50="","",Summary_Products!AP50)</f>
        <v/>
      </c>
      <c r="AR66" s="477" t="str">
        <f>IF(Summary_Products!AR50="","",Summary_Products!AR50)</f>
        <v/>
      </c>
      <c r="AS66" s="474" t="str">
        <f>IF(Summary_Products!AS50="","",Summary_Products!AS50)</f>
        <v/>
      </c>
      <c r="AT66" s="421" t="str">
        <f>IF(Summary_Products!AT50="","",INDEX(Translations!$C:$C,MATCH(Summary_Products!AT50,Translations!$B:$B,0)))</f>
        <v/>
      </c>
      <c r="AU66" s="615" t="str">
        <f>IF(Summary_Products!AU50="","",Summary_Products!AU50)</f>
        <v/>
      </c>
      <c r="AV66" s="473" t="str">
        <f>IF(Summary_Products!AV50="","",Summary_Products!AV50)</f>
        <v/>
      </c>
      <c r="AW66" s="474" t="str">
        <f>IF(Summary_Products!AW50="","",Summary_Products!AW50)</f>
        <v/>
      </c>
      <c r="AX66" s="477" t="str">
        <f>IF(Summary_Products!AX50="","",Summary_Products!AX50)</f>
        <v/>
      </c>
      <c r="AY66" s="474" t="str">
        <f>IF(Summary_Products!AY50="","",Summary_Products!AY50)</f>
        <v/>
      </c>
      <c r="AZ66" s="477" t="str">
        <f>IF(Summary_Products!AZ50="","",Summary_Products!AZ50)</f>
        <v/>
      </c>
      <c r="BA66" s="478" t="str">
        <f>IF(Summary_Products!BA50="","",Summary_Products!BA50)</f>
        <v/>
      </c>
      <c r="BD66" s="156"/>
      <c r="BE66" s="156"/>
      <c r="BF66" s="156"/>
      <c r="BG66" s="156"/>
    </row>
    <row r="67" spans="2:59" ht="12.5" x14ac:dyDescent="0.25">
      <c r="B67" s="277"/>
      <c r="C67" s="777">
        <v>42</v>
      </c>
      <c r="D67" s="766" t="str">
        <f>IF(Summary_Products!D51="","",Summary_Products!D51)</f>
        <v/>
      </c>
      <c r="E67" s="421" t="str">
        <f>IF(Summary_Products!E51="","",INDEX(Translations!$C:$C,MATCH(Summary_Products!E51,Translations!$B:$B,0)))</f>
        <v/>
      </c>
      <c r="F67" s="781" t="str">
        <f>IF(Summary_Products!F51="","",Summary_Products!F51)</f>
        <v/>
      </c>
      <c r="G67" s="766" t="str">
        <f>IF(F67="","",INDEX(Parameters_CNCodes!$H$4:$H$572,MATCH(F67,CNCodes_ListKey,0)))</f>
        <v/>
      </c>
      <c r="H67" s="766" t="str">
        <f>IF(Summary_Products!H51="","",Summary_Products!H51)</f>
        <v/>
      </c>
      <c r="I67" s="782" t="str">
        <f>IF(Summary_Products!I51="","",Summary_Products!I51)</f>
        <v/>
      </c>
      <c r="J67" s="782" t="str">
        <f>IF(Summary_Products!J51="","",Summary_Products!J51)</f>
        <v/>
      </c>
      <c r="K67" s="782" t="str">
        <f>IF(Summary_Products!K51="","",Summary_Products!K51)</f>
        <v/>
      </c>
      <c r="L67" s="782" t="str">
        <f>IF(Summary_Products!L51="","",Summary_Products!L51)</f>
        <v/>
      </c>
      <c r="M67" s="783" t="str">
        <f>IF(Summary_Products!M51="","",Summary_Products!M51)</f>
        <v/>
      </c>
      <c r="N67" s="782" t="str">
        <f>IF(Summary_Products!N51="","",Summary_Products!N51)</f>
        <v/>
      </c>
      <c r="O67" s="782" t="str">
        <f>IF(Summary_Products!O51="","",Summary_Products!O51)</f>
        <v/>
      </c>
      <c r="P67" s="782" t="str">
        <f t="shared" si="0"/>
        <v/>
      </c>
      <c r="Q67" s="160" t="str">
        <f>IF(Summary_Products!P51="","",INDEX(Translations!$C:$C,MATCH(Summary_Products!P51,Translations!$B:$B,0)))</f>
        <v/>
      </c>
      <c r="R67" s="160" t="str">
        <f>IF(Summary_Products!Q51="","",Summary_Products!Q51)</f>
        <v/>
      </c>
      <c r="S67" s="615" t="str">
        <f>IF(Summary_Products!R51="","",Summary_Products!R51)</f>
        <v/>
      </c>
      <c r="T67" s="615" t="str">
        <f>IF(Summary_Products!S51="","",Summary_Products!S51)</f>
        <v/>
      </c>
      <c r="U67" s="615" t="str">
        <f>IF(Summary_Products!T51="","",Summary_Products!T51)</f>
        <v/>
      </c>
      <c r="V67" s="615" t="str">
        <f>IF(Summary_Products!U51="","",Summary_Products!U51)</f>
        <v/>
      </c>
      <c r="W67" s="615" t="str">
        <f>IF(Summary_Products!V51="","",Summary_Products!V51)</f>
        <v/>
      </c>
      <c r="X67" s="615" t="str">
        <f>IF(Summary_Products!W51="","",Summary_Products!W51)</f>
        <v/>
      </c>
      <c r="Y67" s="615" t="str">
        <f>IF(Summary_Products!X51="","",Summary_Products!X51)</f>
        <v/>
      </c>
      <c r="Z67" s="615" t="str">
        <f>IF(Summary_Products!Y51="","",Summary_Products!Y51)</f>
        <v/>
      </c>
      <c r="AA67" s="615" t="str">
        <f>IF(Summary_Products!Z51="","",Summary_Products!Z51)</f>
        <v/>
      </c>
      <c r="AB67" s="615" t="str">
        <f>IF(Summary_Products!AA51="","",Summary_Products!AA51)</f>
        <v/>
      </c>
      <c r="AC67" s="615" t="str">
        <f>IF(Summary_Products!AB51="","",Summary_Products!AB51)</f>
        <v/>
      </c>
      <c r="AD67" s="615" t="str">
        <f>IF(Summary_Products!AC51="","",Summary_Products!AC51)</f>
        <v/>
      </c>
      <c r="AE67" s="615" t="str">
        <f>IF(Summary_Products!AD51="","",Summary_Products!AD51)</f>
        <v/>
      </c>
      <c r="AF67" s="615" t="str">
        <f>IF(Summary_Products!AE51="","",Summary_Products!AE51)</f>
        <v/>
      </c>
      <c r="AG67" s="615" t="str">
        <f>IF(Summary_Products!AF51="","",Summary_Products!AF51)</f>
        <v/>
      </c>
      <c r="AH67" s="615" t="str">
        <f>IF(Summary_Products!AG51="","",Summary_Products!AG51)</f>
        <v/>
      </c>
      <c r="AI67" s="615" t="str">
        <f>IF(Summary_Products!AH51="","",Summary_Products!AH51)</f>
        <v/>
      </c>
      <c r="AJ67" s="615" t="str">
        <f>IF(Summary_Products!AI51="","",Summary_Products!AI51)</f>
        <v/>
      </c>
      <c r="AK67" s="615" t="str">
        <f>IF(Summary_Products!AJ51="","",Summary_Products!AJ51)</f>
        <v/>
      </c>
      <c r="AL67" s="615" t="str">
        <f>IF(Summary_Products!AK51="","",Summary_Products!AK51)</f>
        <v/>
      </c>
      <c r="AM67" s="421" t="str">
        <f>IF(Summary_Products!AL51="","",INDEX(Translations!$C:$C,MATCH(Summary_Products!AL51,Translations!$B:$B,0)))</f>
        <v/>
      </c>
      <c r="AN67" s="615" t="str">
        <f>IF(Summary_Products!AM51="","",Summary_Products!AM51)</f>
        <v/>
      </c>
      <c r="AO67" s="473" t="str">
        <f>IF(Summary_Products!AN51="","",Summary_Products!AN51)</f>
        <v/>
      </c>
      <c r="AP67" s="474" t="str">
        <f>IF(Summary_Products!AO51="","",Summary_Products!AO51)</f>
        <v/>
      </c>
      <c r="AQ67" s="160" t="str">
        <f>IF(Summary_Products!AP51="","",Summary_Products!AP51)</f>
        <v/>
      </c>
      <c r="AR67" s="477" t="str">
        <f>IF(Summary_Products!AR51="","",Summary_Products!AR51)</f>
        <v/>
      </c>
      <c r="AS67" s="474" t="str">
        <f>IF(Summary_Products!AS51="","",Summary_Products!AS51)</f>
        <v/>
      </c>
      <c r="AT67" s="421" t="str">
        <f>IF(Summary_Products!AT51="","",INDEX(Translations!$C:$C,MATCH(Summary_Products!AT51,Translations!$B:$B,0)))</f>
        <v/>
      </c>
      <c r="AU67" s="615" t="str">
        <f>IF(Summary_Products!AU51="","",Summary_Products!AU51)</f>
        <v/>
      </c>
      <c r="AV67" s="473" t="str">
        <f>IF(Summary_Products!AV51="","",Summary_Products!AV51)</f>
        <v/>
      </c>
      <c r="AW67" s="474" t="str">
        <f>IF(Summary_Products!AW51="","",Summary_Products!AW51)</f>
        <v/>
      </c>
      <c r="AX67" s="477" t="str">
        <f>IF(Summary_Products!AX51="","",Summary_Products!AX51)</f>
        <v/>
      </c>
      <c r="AY67" s="474" t="str">
        <f>IF(Summary_Products!AY51="","",Summary_Products!AY51)</f>
        <v/>
      </c>
      <c r="AZ67" s="477" t="str">
        <f>IF(Summary_Products!AZ51="","",Summary_Products!AZ51)</f>
        <v/>
      </c>
      <c r="BA67" s="478" t="str">
        <f>IF(Summary_Products!BA51="","",Summary_Products!BA51)</f>
        <v/>
      </c>
      <c r="BD67" s="156"/>
      <c r="BE67" s="156"/>
      <c r="BF67" s="156"/>
      <c r="BG67" s="156"/>
    </row>
    <row r="68" spans="2:59" ht="12.5" x14ac:dyDescent="0.25">
      <c r="B68" s="277"/>
      <c r="C68" s="777">
        <v>43</v>
      </c>
      <c r="D68" s="766" t="str">
        <f>IF(Summary_Products!D52="","",Summary_Products!D52)</f>
        <v/>
      </c>
      <c r="E68" s="421" t="str">
        <f>IF(Summary_Products!E52="","",INDEX(Translations!$C:$C,MATCH(Summary_Products!E52,Translations!$B:$B,0)))</f>
        <v/>
      </c>
      <c r="F68" s="781" t="str">
        <f>IF(Summary_Products!F52="","",Summary_Products!F52)</f>
        <v/>
      </c>
      <c r="G68" s="766" t="str">
        <f>IF(F68="","",INDEX(Parameters_CNCodes!$H$4:$H$572,MATCH(F68,CNCodes_ListKey,0)))</f>
        <v/>
      </c>
      <c r="H68" s="766" t="str">
        <f>IF(Summary_Products!H52="","",Summary_Products!H52)</f>
        <v/>
      </c>
      <c r="I68" s="782" t="str">
        <f>IF(Summary_Products!I52="","",Summary_Products!I52)</f>
        <v/>
      </c>
      <c r="J68" s="782" t="str">
        <f>IF(Summary_Products!J52="","",Summary_Products!J52)</f>
        <v/>
      </c>
      <c r="K68" s="782" t="str">
        <f>IF(Summary_Products!K52="","",Summary_Products!K52)</f>
        <v/>
      </c>
      <c r="L68" s="782" t="str">
        <f>IF(Summary_Products!L52="","",Summary_Products!L52)</f>
        <v/>
      </c>
      <c r="M68" s="783" t="str">
        <f>IF(Summary_Products!M52="","",Summary_Products!M52)</f>
        <v/>
      </c>
      <c r="N68" s="782" t="str">
        <f>IF(Summary_Products!N52="","",Summary_Products!N52)</f>
        <v/>
      </c>
      <c r="O68" s="782" t="str">
        <f>IF(Summary_Products!O52="","",Summary_Products!O52)</f>
        <v/>
      </c>
      <c r="P68" s="782" t="str">
        <f t="shared" si="0"/>
        <v/>
      </c>
      <c r="Q68" s="160" t="str">
        <f>IF(Summary_Products!P52="","",INDEX(Translations!$C:$C,MATCH(Summary_Products!P52,Translations!$B:$B,0)))</f>
        <v/>
      </c>
      <c r="R68" s="160" t="str">
        <f>IF(Summary_Products!Q52="","",Summary_Products!Q52)</f>
        <v/>
      </c>
      <c r="S68" s="615" t="str">
        <f>IF(Summary_Products!R52="","",Summary_Products!R52)</f>
        <v/>
      </c>
      <c r="T68" s="615" t="str">
        <f>IF(Summary_Products!S52="","",Summary_Products!S52)</f>
        <v/>
      </c>
      <c r="U68" s="615" t="str">
        <f>IF(Summary_Products!T52="","",Summary_Products!T52)</f>
        <v/>
      </c>
      <c r="V68" s="615" t="str">
        <f>IF(Summary_Products!U52="","",Summary_Products!U52)</f>
        <v/>
      </c>
      <c r="W68" s="615" t="str">
        <f>IF(Summary_Products!V52="","",Summary_Products!V52)</f>
        <v/>
      </c>
      <c r="X68" s="615" t="str">
        <f>IF(Summary_Products!W52="","",Summary_Products!W52)</f>
        <v/>
      </c>
      <c r="Y68" s="615" t="str">
        <f>IF(Summary_Products!X52="","",Summary_Products!X52)</f>
        <v/>
      </c>
      <c r="Z68" s="615" t="str">
        <f>IF(Summary_Products!Y52="","",Summary_Products!Y52)</f>
        <v/>
      </c>
      <c r="AA68" s="615" t="str">
        <f>IF(Summary_Products!Z52="","",Summary_Products!Z52)</f>
        <v/>
      </c>
      <c r="AB68" s="615" t="str">
        <f>IF(Summary_Products!AA52="","",Summary_Products!AA52)</f>
        <v/>
      </c>
      <c r="AC68" s="615" t="str">
        <f>IF(Summary_Products!AB52="","",Summary_Products!AB52)</f>
        <v/>
      </c>
      <c r="AD68" s="615" t="str">
        <f>IF(Summary_Products!AC52="","",Summary_Products!AC52)</f>
        <v/>
      </c>
      <c r="AE68" s="615" t="str">
        <f>IF(Summary_Products!AD52="","",Summary_Products!AD52)</f>
        <v/>
      </c>
      <c r="AF68" s="615" t="str">
        <f>IF(Summary_Products!AE52="","",Summary_Products!AE52)</f>
        <v/>
      </c>
      <c r="AG68" s="615" t="str">
        <f>IF(Summary_Products!AF52="","",Summary_Products!AF52)</f>
        <v/>
      </c>
      <c r="AH68" s="615" t="str">
        <f>IF(Summary_Products!AG52="","",Summary_Products!AG52)</f>
        <v/>
      </c>
      <c r="AI68" s="615" t="str">
        <f>IF(Summary_Products!AH52="","",Summary_Products!AH52)</f>
        <v/>
      </c>
      <c r="AJ68" s="615" t="str">
        <f>IF(Summary_Products!AI52="","",Summary_Products!AI52)</f>
        <v/>
      </c>
      <c r="AK68" s="615" t="str">
        <f>IF(Summary_Products!AJ52="","",Summary_Products!AJ52)</f>
        <v/>
      </c>
      <c r="AL68" s="615" t="str">
        <f>IF(Summary_Products!AK52="","",Summary_Products!AK52)</f>
        <v/>
      </c>
      <c r="AM68" s="421" t="str">
        <f>IF(Summary_Products!AL52="","",INDEX(Translations!$C:$C,MATCH(Summary_Products!AL52,Translations!$B:$B,0)))</f>
        <v/>
      </c>
      <c r="AN68" s="615" t="str">
        <f>IF(Summary_Products!AM52="","",Summary_Products!AM52)</f>
        <v/>
      </c>
      <c r="AO68" s="473" t="str">
        <f>IF(Summary_Products!AN52="","",Summary_Products!AN52)</f>
        <v/>
      </c>
      <c r="AP68" s="474" t="str">
        <f>IF(Summary_Products!AO52="","",Summary_Products!AO52)</f>
        <v/>
      </c>
      <c r="AQ68" s="160" t="str">
        <f>IF(Summary_Products!AP52="","",Summary_Products!AP52)</f>
        <v/>
      </c>
      <c r="AR68" s="477" t="str">
        <f>IF(Summary_Products!AR52="","",Summary_Products!AR52)</f>
        <v/>
      </c>
      <c r="AS68" s="474" t="str">
        <f>IF(Summary_Products!AS52="","",Summary_Products!AS52)</f>
        <v/>
      </c>
      <c r="AT68" s="421" t="str">
        <f>IF(Summary_Products!AT52="","",INDEX(Translations!$C:$C,MATCH(Summary_Products!AT52,Translations!$B:$B,0)))</f>
        <v/>
      </c>
      <c r="AU68" s="615" t="str">
        <f>IF(Summary_Products!AU52="","",Summary_Products!AU52)</f>
        <v/>
      </c>
      <c r="AV68" s="473" t="str">
        <f>IF(Summary_Products!AV52="","",Summary_Products!AV52)</f>
        <v/>
      </c>
      <c r="AW68" s="474" t="str">
        <f>IF(Summary_Products!AW52="","",Summary_Products!AW52)</f>
        <v/>
      </c>
      <c r="AX68" s="477" t="str">
        <f>IF(Summary_Products!AX52="","",Summary_Products!AX52)</f>
        <v/>
      </c>
      <c r="AY68" s="474" t="str">
        <f>IF(Summary_Products!AY52="","",Summary_Products!AY52)</f>
        <v/>
      </c>
      <c r="AZ68" s="477" t="str">
        <f>IF(Summary_Products!AZ52="","",Summary_Products!AZ52)</f>
        <v/>
      </c>
      <c r="BA68" s="478" t="str">
        <f>IF(Summary_Products!BA52="","",Summary_Products!BA52)</f>
        <v/>
      </c>
      <c r="BD68" s="156"/>
      <c r="BE68" s="156"/>
      <c r="BF68" s="156"/>
      <c r="BG68" s="156"/>
    </row>
    <row r="69" spans="2:59" ht="12.5" x14ac:dyDescent="0.25">
      <c r="B69" s="277"/>
      <c r="C69" s="777">
        <v>44</v>
      </c>
      <c r="D69" s="766" t="str">
        <f>IF(Summary_Products!D53="","",Summary_Products!D53)</f>
        <v/>
      </c>
      <c r="E69" s="421" t="str">
        <f>IF(Summary_Products!E53="","",INDEX(Translations!$C:$C,MATCH(Summary_Products!E53,Translations!$B:$B,0)))</f>
        <v/>
      </c>
      <c r="F69" s="781" t="str">
        <f>IF(Summary_Products!F53="","",Summary_Products!F53)</f>
        <v/>
      </c>
      <c r="G69" s="766" t="str">
        <f>IF(F69="","",INDEX(Parameters_CNCodes!$H$4:$H$572,MATCH(F69,CNCodes_ListKey,0)))</f>
        <v/>
      </c>
      <c r="H69" s="766" t="str">
        <f>IF(Summary_Products!H53="","",Summary_Products!H53)</f>
        <v/>
      </c>
      <c r="I69" s="782" t="str">
        <f>IF(Summary_Products!I53="","",Summary_Products!I53)</f>
        <v/>
      </c>
      <c r="J69" s="782" t="str">
        <f>IF(Summary_Products!J53="","",Summary_Products!J53)</f>
        <v/>
      </c>
      <c r="K69" s="782" t="str">
        <f>IF(Summary_Products!K53="","",Summary_Products!K53)</f>
        <v/>
      </c>
      <c r="L69" s="782" t="str">
        <f>IF(Summary_Products!L53="","",Summary_Products!L53)</f>
        <v/>
      </c>
      <c r="M69" s="783" t="str">
        <f>IF(Summary_Products!M53="","",Summary_Products!M53)</f>
        <v/>
      </c>
      <c r="N69" s="782" t="str">
        <f>IF(Summary_Products!N53="","",Summary_Products!N53)</f>
        <v/>
      </c>
      <c r="O69" s="782" t="str">
        <f>IF(Summary_Products!O53="","",Summary_Products!O53)</f>
        <v/>
      </c>
      <c r="P69" s="782" t="str">
        <f t="shared" si="0"/>
        <v/>
      </c>
      <c r="Q69" s="160" t="str">
        <f>IF(Summary_Products!P53="","",INDEX(Translations!$C:$C,MATCH(Summary_Products!P53,Translations!$B:$B,0)))</f>
        <v/>
      </c>
      <c r="R69" s="160" t="str">
        <f>IF(Summary_Products!Q53="","",Summary_Products!Q53)</f>
        <v/>
      </c>
      <c r="S69" s="615" t="str">
        <f>IF(Summary_Products!R53="","",Summary_Products!R53)</f>
        <v/>
      </c>
      <c r="T69" s="615" t="str">
        <f>IF(Summary_Products!S53="","",Summary_Products!S53)</f>
        <v/>
      </c>
      <c r="U69" s="615" t="str">
        <f>IF(Summary_Products!T53="","",Summary_Products!T53)</f>
        <v/>
      </c>
      <c r="V69" s="615" t="str">
        <f>IF(Summary_Products!U53="","",Summary_Products!U53)</f>
        <v/>
      </c>
      <c r="W69" s="615" t="str">
        <f>IF(Summary_Products!V53="","",Summary_Products!V53)</f>
        <v/>
      </c>
      <c r="X69" s="615" t="str">
        <f>IF(Summary_Products!W53="","",Summary_Products!W53)</f>
        <v/>
      </c>
      <c r="Y69" s="615" t="str">
        <f>IF(Summary_Products!X53="","",Summary_Products!X53)</f>
        <v/>
      </c>
      <c r="Z69" s="615" t="str">
        <f>IF(Summary_Products!Y53="","",Summary_Products!Y53)</f>
        <v/>
      </c>
      <c r="AA69" s="615" t="str">
        <f>IF(Summary_Products!Z53="","",Summary_Products!Z53)</f>
        <v/>
      </c>
      <c r="AB69" s="615" t="str">
        <f>IF(Summary_Products!AA53="","",Summary_Products!AA53)</f>
        <v/>
      </c>
      <c r="AC69" s="615" t="str">
        <f>IF(Summary_Products!AB53="","",Summary_Products!AB53)</f>
        <v/>
      </c>
      <c r="AD69" s="615" t="str">
        <f>IF(Summary_Products!AC53="","",Summary_Products!AC53)</f>
        <v/>
      </c>
      <c r="AE69" s="615" t="str">
        <f>IF(Summary_Products!AD53="","",Summary_Products!AD53)</f>
        <v/>
      </c>
      <c r="AF69" s="615" t="str">
        <f>IF(Summary_Products!AE53="","",Summary_Products!AE53)</f>
        <v/>
      </c>
      <c r="AG69" s="615" t="str">
        <f>IF(Summary_Products!AF53="","",Summary_Products!AF53)</f>
        <v/>
      </c>
      <c r="AH69" s="615" t="str">
        <f>IF(Summary_Products!AG53="","",Summary_Products!AG53)</f>
        <v/>
      </c>
      <c r="AI69" s="615" t="str">
        <f>IF(Summary_Products!AH53="","",Summary_Products!AH53)</f>
        <v/>
      </c>
      <c r="AJ69" s="615" t="str">
        <f>IF(Summary_Products!AI53="","",Summary_Products!AI53)</f>
        <v/>
      </c>
      <c r="AK69" s="615" t="str">
        <f>IF(Summary_Products!AJ53="","",Summary_Products!AJ53)</f>
        <v/>
      </c>
      <c r="AL69" s="615" t="str">
        <f>IF(Summary_Products!AK53="","",Summary_Products!AK53)</f>
        <v/>
      </c>
      <c r="AM69" s="421" t="str">
        <f>IF(Summary_Products!AL53="","",INDEX(Translations!$C:$C,MATCH(Summary_Products!AL53,Translations!$B:$B,0)))</f>
        <v/>
      </c>
      <c r="AN69" s="615" t="str">
        <f>IF(Summary_Products!AM53="","",Summary_Products!AM53)</f>
        <v/>
      </c>
      <c r="AO69" s="473" t="str">
        <f>IF(Summary_Products!AN53="","",Summary_Products!AN53)</f>
        <v/>
      </c>
      <c r="AP69" s="474" t="str">
        <f>IF(Summary_Products!AO53="","",Summary_Products!AO53)</f>
        <v/>
      </c>
      <c r="AQ69" s="160" t="str">
        <f>IF(Summary_Products!AP53="","",Summary_Products!AP53)</f>
        <v/>
      </c>
      <c r="AR69" s="477" t="str">
        <f>IF(Summary_Products!AR53="","",Summary_Products!AR53)</f>
        <v/>
      </c>
      <c r="AS69" s="474" t="str">
        <f>IF(Summary_Products!AS53="","",Summary_Products!AS53)</f>
        <v/>
      </c>
      <c r="AT69" s="421" t="str">
        <f>IF(Summary_Products!AT53="","",INDEX(Translations!$C:$C,MATCH(Summary_Products!AT53,Translations!$B:$B,0)))</f>
        <v/>
      </c>
      <c r="AU69" s="615" t="str">
        <f>IF(Summary_Products!AU53="","",Summary_Products!AU53)</f>
        <v/>
      </c>
      <c r="AV69" s="473" t="str">
        <f>IF(Summary_Products!AV53="","",Summary_Products!AV53)</f>
        <v/>
      </c>
      <c r="AW69" s="474" t="str">
        <f>IF(Summary_Products!AW53="","",Summary_Products!AW53)</f>
        <v/>
      </c>
      <c r="AX69" s="477" t="str">
        <f>IF(Summary_Products!AX53="","",Summary_Products!AX53)</f>
        <v/>
      </c>
      <c r="AY69" s="474" t="str">
        <f>IF(Summary_Products!AY53="","",Summary_Products!AY53)</f>
        <v/>
      </c>
      <c r="AZ69" s="477" t="str">
        <f>IF(Summary_Products!AZ53="","",Summary_Products!AZ53)</f>
        <v/>
      </c>
      <c r="BA69" s="478" t="str">
        <f>IF(Summary_Products!BA53="","",Summary_Products!BA53)</f>
        <v/>
      </c>
      <c r="BD69" s="156"/>
      <c r="BE69" s="156"/>
      <c r="BF69" s="156"/>
      <c r="BG69" s="156"/>
    </row>
    <row r="70" spans="2:59" ht="12.5" x14ac:dyDescent="0.25">
      <c r="B70" s="277"/>
      <c r="C70" s="777">
        <v>45</v>
      </c>
      <c r="D70" s="766" t="str">
        <f>IF(Summary_Products!D54="","",Summary_Products!D54)</f>
        <v/>
      </c>
      <c r="E70" s="421" t="str">
        <f>IF(Summary_Products!E54="","",INDEX(Translations!$C:$C,MATCH(Summary_Products!E54,Translations!$B:$B,0)))</f>
        <v/>
      </c>
      <c r="F70" s="781" t="str">
        <f>IF(Summary_Products!F54="","",Summary_Products!F54)</f>
        <v/>
      </c>
      <c r="G70" s="766" t="str">
        <f>IF(F70="","",INDEX(Parameters_CNCodes!$H$4:$H$572,MATCH(F70,CNCodes_ListKey,0)))</f>
        <v/>
      </c>
      <c r="H70" s="766" t="str">
        <f>IF(Summary_Products!H54="","",Summary_Products!H54)</f>
        <v/>
      </c>
      <c r="I70" s="782" t="str">
        <f>IF(Summary_Products!I54="","",Summary_Products!I54)</f>
        <v/>
      </c>
      <c r="J70" s="782" t="str">
        <f>IF(Summary_Products!J54="","",Summary_Products!J54)</f>
        <v/>
      </c>
      <c r="K70" s="782" t="str">
        <f>IF(Summary_Products!K54="","",Summary_Products!K54)</f>
        <v/>
      </c>
      <c r="L70" s="782" t="str">
        <f>IF(Summary_Products!L54="","",Summary_Products!L54)</f>
        <v/>
      </c>
      <c r="M70" s="783" t="str">
        <f>IF(Summary_Products!M54="","",Summary_Products!M54)</f>
        <v/>
      </c>
      <c r="N70" s="782" t="str">
        <f>IF(Summary_Products!N54="","",Summary_Products!N54)</f>
        <v/>
      </c>
      <c r="O70" s="782" t="str">
        <f>IF(Summary_Products!O54="","",Summary_Products!O54)</f>
        <v/>
      </c>
      <c r="P70" s="782" t="str">
        <f t="shared" si="0"/>
        <v/>
      </c>
      <c r="Q70" s="160" t="str">
        <f>IF(Summary_Products!P54="","",INDEX(Translations!$C:$C,MATCH(Summary_Products!P54,Translations!$B:$B,0)))</f>
        <v/>
      </c>
      <c r="R70" s="160" t="str">
        <f>IF(Summary_Products!Q54="","",Summary_Products!Q54)</f>
        <v/>
      </c>
      <c r="S70" s="615" t="str">
        <f>IF(Summary_Products!R54="","",Summary_Products!R54)</f>
        <v/>
      </c>
      <c r="T70" s="615" t="str">
        <f>IF(Summary_Products!S54="","",Summary_Products!S54)</f>
        <v/>
      </c>
      <c r="U70" s="615" t="str">
        <f>IF(Summary_Products!T54="","",Summary_Products!T54)</f>
        <v/>
      </c>
      <c r="V70" s="615" t="str">
        <f>IF(Summary_Products!U54="","",Summary_Products!U54)</f>
        <v/>
      </c>
      <c r="W70" s="615" t="str">
        <f>IF(Summary_Products!V54="","",Summary_Products!V54)</f>
        <v/>
      </c>
      <c r="X70" s="615" t="str">
        <f>IF(Summary_Products!W54="","",Summary_Products!W54)</f>
        <v/>
      </c>
      <c r="Y70" s="615" t="str">
        <f>IF(Summary_Products!X54="","",Summary_Products!X54)</f>
        <v/>
      </c>
      <c r="Z70" s="615" t="str">
        <f>IF(Summary_Products!Y54="","",Summary_Products!Y54)</f>
        <v/>
      </c>
      <c r="AA70" s="615" t="str">
        <f>IF(Summary_Products!Z54="","",Summary_Products!Z54)</f>
        <v/>
      </c>
      <c r="AB70" s="615" t="str">
        <f>IF(Summary_Products!AA54="","",Summary_Products!AA54)</f>
        <v/>
      </c>
      <c r="AC70" s="615" t="str">
        <f>IF(Summary_Products!AB54="","",Summary_Products!AB54)</f>
        <v/>
      </c>
      <c r="AD70" s="615" t="str">
        <f>IF(Summary_Products!AC54="","",Summary_Products!AC54)</f>
        <v/>
      </c>
      <c r="AE70" s="615" t="str">
        <f>IF(Summary_Products!AD54="","",Summary_Products!AD54)</f>
        <v/>
      </c>
      <c r="AF70" s="615" t="str">
        <f>IF(Summary_Products!AE54="","",Summary_Products!AE54)</f>
        <v/>
      </c>
      <c r="AG70" s="615" t="str">
        <f>IF(Summary_Products!AF54="","",Summary_Products!AF54)</f>
        <v/>
      </c>
      <c r="AH70" s="615" t="str">
        <f>IF(Summary_Products!AG54="","",Summary_Products!AG54)</f>
        <v/>
      </c>
      <c r="AI70" s="615" t="str">
        <f>IF(Summary_Products!AH54="","",Summary_Products!AH54)</f>
        <v/>
      </c>
      <c r="AJ70" s="615" t="str">
        <f>IF(Summary_Products!AI54="","",Summary_Products!AI54)</f>
        <v/>
      </c>
      <c r="AK70" s="615" t="str">
        <f>IF(Summary_Products!AJ54="","",Summary_Products!AJ54)</f>
        <v/>
      </c>
      <c r="AL70" s="615" t="str">
        <f>IF(Summary_Products!AK54="","",Summary_Products!AK54)</f>
        <v/>
      </c>
      <c r="AM70" s="421" t="str">
        <f>IF(Summary_Products!AL54="","",INDEX(Translations!$C:$C,MATCH(Summary_Products!AL54,Translations!$B:$B,0)))</f>
        <v/>
      </c>
      <c r="AN70" s="615" t="str">
        <f>IF(Summary_Products!AM54="","",Summary_Products!AM54)</f>
        <v/>
      </c>
      <c r="AO70" s="473" t="str">
        <f>IF(Summary_Products!AN54="","",Summary_Products!AN54)</f>
        <v/>
      </c>
      <c r="AP70" s="474" t="str">
        <f>IF(Summary_Products!AO54="","",Summary_Products!AO54)</f>
        <v/>
      </c>
      <c r="AQ70" s="160" t="str">
        <f>IF(Summary_Products!AP54="","",Summary_Products!AP54)</f>
        <v/>
      </c>
      <c r="AR70" s="477" t="str">
        <f>IF(Summary_Products!AR54="","",Summary_Products!AR54)</f>
        <v/>
      </c>
      <c r="AS70" s="474" t="str">
        <f>IF(Summary_Products!AS54="","",Summary_Products!AS54)</f>
        <v/>
      </c>
      <c r="AT70" s="421" t="str">
        <f>IF(Summary_Products!AT54="","",INDEX(Translations!$C:$C,MATCH(Summary_Products!AT54,Translations!$B:$B,0)))</f>
        <v/>
      </c>
      <c r="AU70" s="615" t="str">
        <f>IF(Summary_Products!AU54="","",Summary_Products!AU54)</f>
        <v/>
      </c>
      <c r="AV70" s="473" t="str">
        <f>IF(Summary_Products!AV54="","",Summary_Products!AV54)</f>
        <v/>
      </c>
      <c r="AW70" s="474" t="str">
        <f>IF(Summary_Products!AW54="","",Summary_Products!AW54)</f>
        <v/>
      </c>
      <c r="AX70" s="477" t="str">
        <f>IF(Summary_Products!AX54="","",Summary_Products!AX54)</f>
        <v/>
      </c>
      <c r="AY70" s="474" t="str">
        <f>IF(Summary_Products!AY54="","",Summary_Products!AY54)</f>
        <v/>
      </c>
      <c r="AZ70" s="477" t="str">
        <f>IF(Summary_Products!AZ54="","",Summary_Products!AZ54)</f>
        <v/>
      </c>
      <c r="BA70" s="478" t="str">
        <f>IF(Summary_Products!BA54="","",Summary_Products!BA54)</f>
        <v/>
      </c>
      <c r="BD70" s="156"/>
      <c r="BE70" s="156"/>
      <c r="BF70" s="156"/>
      <c r="BG70" s="156"/>
    </row>
    <row r="71" spans="2:59" ht="12.5" x14ac:dyDescent="0.25">
      <c r="B71" s="277"/>
      <c r="C71" s="777">
        <v>46</v>
      </c>
      <c r="D71" s="766" t="str">
        <f>IF(Summary_Products!D55="","",Summary_Products!D55)</f>
        <v/>
      </c>
      <c r="E71" s="421" t="str">
        <f>IF(Summary_Products!E55="","",INDEX(Translations!$C:$C,MATCH(Summary_Products!E55,Translations!$B:$B,0)))</f>
        <v/>
      </c>
      <c r="F71" s="781" t="str">
        <f>IF(Summary_Products!F55="","",Summary_Products!F55)</f>
        <v/>
      </c>
      <c r="G71" s="766" t="str">
        <f>IF(F71="","",INDEX(Parameters_CNCodes!$H$4:$H$572,MATCH(F71,CNCodes_ListKey,0)))</f>
        <v/>
      </c>
      <c r="H71" s="766" t="str">
        <f>IF(Summary_Products!H55="","",Summary_Products!H55)</f>
        <v/>
      </c>
      <c r="I71" s="782" t="str">
        <f>IF(Summary_Products!I55="","",Summary_Products!I55)</f>
        <v/>
      </c>
      <c r="J71" s="782" t="str">
        <f>IF(Summary_Products!J55="","",Summary_Products!J55)</f>
        <v/>
      </c>
      <c r="K71" s="782" t="str">
        <f>IF(Summary_Products!K55="","",Summary_Products!K55)</f>
        <v/>
      </c>
      <c r="L71" s="782" t="str">
        <f>IF(Summary_Products!L55="","",Summary_Products!L55)</f>
        <v/>
      </c>
      <c r="M71" s="783" t="str">
        <f>IF(Summary_Products!M55="","",Summary_Products!M55)</f>
        <v/>
      </c>
      <c r="N71" s="782" t="str">
        <f>IF(Summary_Products!N55="","",Summary_Products!N55)</f>
        <v/>
      </c>
      <c r="O71" s="782" t="str">
        <f>IF(Summary_Products!O55="","",Summary_Products!O55)</f>
        <v/>
      </c>
      <c r="P71" s="782" t="str">
        <f t="shared" si="0"/>
        <v/>
      </c>
      <c r="Q71" s="160" t="str">
        <f>IF(Summary_Products!P55="","",INDEX(Translations!$C:$C,MATCH(Summary_Products!P55,Translations!$B:$B,0)))</f>
        <v/>
      </c>
      <c r="R71" s="160" t="str">
        <f>IF(Summary_Products!Q55="","",Summary_Products!Q55)</f>
        <v/>
      </c>
      <c r="S71" s="615" t="str">
        <f>IF(Summary_Products!R55="","",Summary_Products!R55)</f>
        <v/>
      </c>
      <c r="T71" s="615" t="str">
        <f>IF(Summary_Products!S55="","",Summary_Products!S55)</f>
        <v/>
      </c>
      <c r="U71" s="615" t="str">
        <f>IF(Summary_Products!T55="","",Summary_Products!T55)</f>
        <v/>
      </c>
      <c r="V71" s="615" t="str">
        <f>IF(Summary_Products!U55="","",Summary_Products!U55)</f>
        <v/>
      </c>
      <c r="W71" s="615" t="str">
        <f>IF(Summary_Products!V55="","",Summary_Products!V55)</f>
        <v/>
      </c>
      <c r="X71" s="615" t="str">
        <f>IF(Summary_Products!W55="","",Summary_Products!W55)</f>
        <v/>
      </c>
      <c r="Y71" s="615" t="str">
        <f>IF(Summary_Products!X55="","",Summary_Products!X55)</f>
        <v/>
      </c>
      <c r="Z71" s="615" t="str">
        <f>IF(Summary_Products!Y55="","",Summary_Products!Y55)</f>
        <v/>
      </c>
      <c r="AA71" s="615" t="str">
        <f>IF(Summary_Products!Z55="","",Summary_Products!Z55)</f>
        <v/>
      </c>
      <c r="AB71" s="615" t="str">
        <f>IF(Summary_Products!AA55="","",Summary_Products!AA55)</f>
        <v/>
      </c>
      <c r="AC71" s="615" t="str">
        <f>IF(Summary_Products!AB55="","",Summary_Products!AB55)</f>
        <v/>
      </c>
      <c r="AD71" s="615" t="str">
        <f>IF(Summary_Products!AC55="","",Summary_Products!AC55)</f>
        <v/>
      </c>
      <c r="AE71" s="615" t="str">
        <f>IF(Summary_Products!AD55="","",Summary_Products!AD55)</f>
        <v/>
      </c>
      <c r="AF71" s="615" t="str">
        <f>IF(Summary_Products!AE55="","",Summary_Products!AE55)</f>
        <v/>
      </c>
      <c r="AG71" s="615" t="str">
        <f>IF(Summary_Products!AF55="","",Summary_Products!AF55)</f>
        <v/>
      </c>
      <c r="AH71" s="615" t="str">
        <f>IF(Summary_Products!AG55="","",Summary_Products!AG55)</f>
        <v/>
      </c>
      <c r="AI71" s="615" t="str">
        <f>IF(Summary_Products!AH55="","",Summary_Products!AH55)</f>
        <v/>
      </c>
      <c r="AJ71" s="615" t="str">
        <f>IF(Summary_Products!AI55="","",Summary_Products!AI55)</f>
        <v/>
      </c>
      <c r="AK71" s="615" t="str">
        <f>IF(Summary_Products!AJ55="","",Summary_Products!AJ55)</f>
        <v/>
      </c>
      <c r="AL71" s="615" t="str">
        <f>IF(Summary_Products!AK55="","",Summary_Products!AK55)</f>
        <v/>
      </c>
      <c r="AM71" s="421" t="str">
        <f>IF(Summary_Products!AL55="","",INDEX(Translations!$C:$C,MATCH(Summary_Products!AL55,Translations!$B:$B,0)))</f>
        <v/>
      </c>
      <c r="AN71" s="615" t="str">
        <f>IF(Summary_Products!AM55="","",Summary_Products!AM55)</f>
        <v/>
      </c>
      <c r="AO71" s="473" t="str">
        <f>IF(Summary_Products!AN55="","",Summary_Products!AN55)</f>
        <v/>
      </c>
      <c r="AP71" s="474" t="str">
        <f>IF(Summary_Products!AO55="","",Summary_Products!AO55)</f>
        <v/>
      </c>
      <c r="AQ71" s="160" t="str">
        <f>IF(Summary_Products!AP55="","",Summary_Products!AP55)</f>
        <v/>
      </c>
      <c r="AR71" s="477" t="str">
        <f>IF(Summary_Products!AR55="","",Summary_Products!AR55)</f>
        <v/>
      </c>
      <c r="AS71" s="474" t="str">
        <f>IF(Summary_Products!AS55="","",Summary_Products!AS55)</f>
        <v/>
      </c>
      <c r="AT71" s="421" t="str">
        <f>IF(Summary_Products!AT55="","",INDEX(Translations!$C:$C,MATCH(Summary_Products!AT55,Translations!$B:$B,0)))</f>
        <v/>
      </c>
      <c r="AU71" s="615" t="str">
        <f>IF(Summary_Products!AU55="","",Summary_Products!AU55)</f>
        <v/>
      </c>
      <c r="AV71" s="473" t="str">
        <f>IF(Summary_Products!AV55="","",Summary_Products!AV55)</f>
        <v/>
      </c>
      <c r="AW71" s="474" t="str">
        <f>IF(Summary_Products!AW55="","",Summary_Products!AW55)</f>
        <v/>
      </c>
      <c r="AX71" s="477" t="str">
        <f>IF(Summary_Products!AX55="","",Summary_Products!AX55)</f>
        <v/>
      </c>
      <c r="AY71" s="474" t="str">
        <f>IF(Summary_Products!AY55="","",Summary_Products!AY55)</f>
        <v/>
      </c>
      <c r="AZ71" s="477" t="str">
        <f>IF(Summary_Products!AZ55="","",Summary_Products!AZ55)</f>
        <v/>
      </c>
      <c r="BA71" s="478" t="str">
        <f>IF(Summary_Products!BA55="","",Summary_Products!BA55)</f>
        <v/>
      </c>
      <c r="BD71" s="156"/>
      <c r="BE71" s="156"/>
      <c r="BF71" s="156"/>
      <c r="BG71" s="156"/>
    </row>
    <row r="72" spans="2:59" ht="12.5" x14ac:dyDescent="0.25">
      <c r="B72" s="277"/>
      <c r="C72" s="777">
        <v>47</v>
      </c>
      <c r="D72" s="766" t="str">
        <f>IF(Summary_Products!D56="","",Summary_Products!D56)</f>
        <v/>
      </c>
      <c r="E72" s="421" t="str">
        <f>IF(Summary_Products!E56="","",INDEX(Translations!$C:$C,MATCH(Summary_Products!E56,Translations!$B:$B,0)))</f>
        <v/>
      </c>
      <c r="F72" s="781" t="str">
        <f>IF(Summary_Products!F56="","",Summary_Products!F56)</f>
        <v/>
      </c>
      <c r="G72" s="766" t="str">
        <f>IF(F72="","",INDEX(Parameters_CNCodes!$H$4:$H$572,MATCH(F72,CNCodes_ListKey,0)))</f>
        <v/>
      </c>
      <c r="H72" s="766" t="str">
        <f>IF(Summary_Products!H56="","",Summary_Products!H56)</f>
        <v/>
      </c>
      <c r="I72" s="782" t="str">
        <f>IF(Summary_Products!I56="","",Summary_Products!I56)</f>
        <v/>
      </c>
      <c r="J72" s="782" t="str">
        <f>IF(Summary_Products!J56="","",Summary_Products!J56)</f>
        <v/>
      </c>
      <c r="K72" s="782" t="str">
        <f>IF(Summary_Products!K56="","",Summary_Products!K56)</f>
        <v/>
      </c>
      <c r="L72" s="782" t="str">
        <f>IF(Summary_Products!L56="","",Summary_Products!L56)</f>
        <v/>
      </c>
      <c r="M72" s="783" t="str">
        <f>IF(Summary_Products!M56="","",Summary_Products!M56)</f>
        <v/>
      </c>
      <c r="N72" s="782" t="str">
        <f>IF(Summary_Products!N56="","",Summary_Products!N56)</f>
        <v/>
      </c>
      <c r="O72" s="782" t="str">
        <f>IF(Summary_Products!O56="","",Summary_Products!O56)</f>
        <v/>
      </c>
      <c r="P72" s="782" t="str">
        <f t="shared" si="0"/>
        <v/>
      </c>
      <c r="Q72" s="160" t="str">
        <f>IF(Summary_Products!P56="","",INDEX(Translations!$C:$C,MATCH(Summary_Products!P56,Translations!$B:$B,0)))</f>
        <v/>
      </c>
      <c r="R72" s="160" t="str">
        <f>IF(Summary_Products!Q56="","",Summary_Products!Q56)</f>
        <v/>
      </c>
      <c r="S72" s="615" t="str">
        <f>IF(Summary_Products!R56="","",Summary_Products!R56)</f>
        <v/>
      </c>
      <c r="T72" s="615" t="str">
        <f>IF(Summary_Products!S56="","",Summary_Products!S56)</f>
        <v/>
      </c>
      <c r="U72" s="615" t="str">
        <f>IF(Summary_Products!T56="","",Summary_Products!T56)</f>
        <v/>
      </c>
      <c r="V72" s="615" t="str">
        <f>IF(Summary_Products!U56="","",Summary_Products!U56)</f>
        <v/>
      </c>
      <c r="W72" s="615" t="str">
        <f>IF(Summary_Products!V56="","",Summary_Products!V56)</f>
        <v/>
      </c>
      <c r="X72" s="615" t="str">
        <f>IF(Summary_Products!W56="","",Summary_Products!W56)</f>
        <v/>
      </c>
      <c r="Y72" s="615" t="str">
        <f>IF(Summary_Products!X56="","",Summary_Products!X56)</f>
        <v/>
      </c>
      <c r="Z72" s="615" t="str">
        <f>IF(Summary_Products!Y56="","",Summary_Products!Y56)</f>
        <v/>
      </c>
      <c r="AA72" s="615" t="str">
        <f>IF(Summary_Products!Z56="","",Summary_Products!Z56)</f>
        <v/>
      </c>
      <c r="AB72" s="615" t="str">
        <f>IF(Summary_Products!AA56="","",Summary_Products!AA56)</f>
        <v/>
      </c>
      <c r="AC72" s="615" t="str">
        <f>IF(Summary_Products!AB56="","",Summary_Products!AB56)</f>
        <v/>
      </c>
      <c r="AD72" s="615" t="str">
        <f>IF(Summary_Products!AC56="","",Summary_Products!AC56)</f>
        <v/>
      </c>
      <c r="AE72" s="615" t="str">
        <f>IF(Summary_Products!AD56="","",Summary_Products!AD56)</f>
        <v/>
      </c>
      <c r="AF72" s="615" t="str">
        <f>IF(Summary_Products!AE56="","",Summary_Products!AE56)</f>
        <v/>
      </c>
      <c r="AG72" s="615" t="str">
        <f>IF(Summary_Products!AF56="","",Summary_Products!AF56)</f>
        <v/>
      </c>
      <c r="AH72" s="615" t="str">
        <f>IF(Summary_Products!AG56="","",Summary_Products!AG56)</f>
        <v/>
      </c>
      <c r="AI72" s="615" t="str">
        <f>IF(Summary_Products!AH56="","",Summary_Products!AH56)</f>
        <v/>
      </c>
      <c r="AJ72" s="615" t="str">
        <f>IF(Summary_Products!AI56="","",Summary_Products!AI56)</f>
        <v/>
      </c>
      <c r="AK72" s="615" t="str">
        <f>IF(Summary_Products!AJ56="","",Summary_Products!AJ56)</f>
        <v/>
      </c>
      <c r="AL72" s="615" t="str">
        <f>IF(Summary_Products!AK56="","",Summary_Products!AK56)</f>
        <v/>
      </c>
      <c r="AM72" s="421" t="str">
        <f>IF(Summary_Products!AL56="","",INDEX(Translations!$C:$C,MATCH(Summary_Products!AL56,Translations!$B:$B,0)))</f>
        <v/>
      </c>
      <c r="AN72" s="615" t="str">
        <f>IF(Summary_Products!AM56="","",Summary_Products!AM56)</f>
        <v/>
      </c>
      <c r="AO72" s="473" t="str">
        <f>IF(Summary_Products!AN56="","",Summary_Products!AN56)</f>
        <v/>
      </c>
      <c r="AP72" s="474" t="str">
        <f>IF(Summary_Products!AO56="","",Summary_Products!AO56)</f>
        <v/>
      </c>
      <c r="AQ72" s="160" t="str">
        <f>IF(Summary_Products!AP56="","",Summary_Products!AP56)</f>
        <v/>
      </c>
      <c r="AR72" s="477" t="str">
        <f>IF(Summary_Products!AR56="","",Summary_Products!AR56)</f>
        <v/>
      </c>
      <c r="AS72" s="474" t="str">
        <f>IF(Summary_Products!AS56="","",Summary_Products!AS56)</f>
        <v/>
      </c>
      <c r="AT72" s="421" t="str">
        <f>IF(Summary_Products!AT56="","",INDEX(Translations!$C:$C,MATCH(Summary_Products!AT56,Translations!$B:$B,0)))</f>
        <v/>
      </c>
      <c r="AU72" s="615" t="str">
        <f>IF(Summary_Products!AU56="","",Summary_Products!AU56)</f>
        <v/>
      </c>
      <c r="AV72" s="473" t="str">
        <f>IF(Summary_Products!AV56="","",Summary_Products!AV56)</f>
        <v/>
      </c>
      <c r="AW72" s="474" t="str">
        <f>IF(Summary_Products!AW56="","",Summary_Products!AW56)</f>
        <v/>
      </c>
      <c r="AX72" s="477" t="str">
        <f>IF(Summary_Products!AX56="","",Summary_Products!AX56)</f>
        <v/>
      </c>
      <c r="AY72" s="474" t="str">
        <f>IF(Summary_Products!AY56="","",Summary_Products!AY56)</f>
        <v/>
      </c>
      <c r="AZ72" s="477" t="str">
        <f>IF(Summary_Products!AZ56="","",Summary_Products!AZ56)</f>
        <v/>
      </c>
      <c r="BA72" s="478" t="str">
        <f>IF(Summary_Products!BA56="","",Summary_Products!BA56)</f>
        <v/>
      </c>
      <c r="BD72" s="156"/>
      <c r="BE72" s="156"/>
      <c r="BF72" s="156"/>
      <c r="BG72" s="156"/>
    </row>
    <row r="73" spans="2:59" ht="12.5" x14ac:dyDescent="0.25">
      <c r="B73" s="277"/>
      <c r="C73" s="777">
        <v>48</v>
      </c>
      <c r="D73" s="766" t="str">
        <f>IF(Summary_Products!D57="","",Summary_Products!D57)</f>
        <v/>
      </c>
      <c r="E73" s="421" t="str">
        <f>IF(Summary_Products!E57="","",INDEX(Translations!$C:$C,MATCH(Summary_Products!E57,Translations!$B:$B,0)))</f>
        <v/>
      </c>
      <c r="F73" s="781" t="str">
        <f>IF(Summary_Products!F57="","",Summary_Products!F57)</f>
        <v/>
      </c>
      <c r="G73" s="766" t="str">
        <f>IF(F73="","",INDEX(Parameters_CNCodes!$H$4:$H$572,MATCH(F73,CNCodes_ListKey,0)))</f>
        <v/>
      </c>
      <c r="H73" s="766" t="str">
        <f>IF(Summary_Products!H57="","",Summary_Products!H57)</f>
        <v/>
      </c>
      <c r="I73" s="782" t="str">
        <f>IF(Summary_Products!I57="","",Summary_Products!I57)</f>
        <v/>
      </c>
      <c r="J73" s="782" t="str">
        <f>IF(Summary_Products!J57="","",Summary_Products!J57)</f>
        <v/>
      </c>
      <c r="K73" s="782" t="str">
        <f>IF(Summary_Products!K57="","",Summary_Products!K57)</f>
        <v/>
      </c>
      <c r="L73" s="782" t="str">
        <f>IF(Summary_Products!L57="","",Summary_Products!L57)</f>
        <v/>
      </c>
      <c r="M73" s="783" t="str">
        <f>IF(Summary_Products!M57="","",Summary_Products!M57)</f>
        <v/>
      </c>
      <c r="N73" s="782" t="str">
        <f>IF(Summary_Products!N57="","",Summary_Products!N57)</f>
        <v/>
      </c>
      <c r="O73" s="782" t="str">
        <f>IF(Summary_Products!O57="","",Summary_Products!O57)</f>
        <v/>
      </c>
      <c r="P73" s="782" t="str">
        <f t="shared" si="0"/>
        <v/>
      </c>
      <c r="Q73" s="160" t="str">
        <f>IF(Summary_Products!P57="","",INDEX(Translations!$C:$C,MATCH(Summary_Products!P57,Translations!$B:$B,0)))</f>
        <v/>
      </c>
      <c r="R73" s="160" t="str">
        <f>IF(Summary_Products!Q57="","",Summary_Products!Q57)</f>
        <v/>
      </c>
      <c r="S73" s="615" t="str">
        <f>IF(Summary_Products!R57="","",Summary_Products!R57)</f>
        <v/>
      </c>
      <c r="T73" s="615" t="str">
        <f>IF(Summary_Products!S57="","",Summary_Products!S57)</f>
        <v/>
      </c>
      <c r="U73" s="615" t="str">
        <f>IF(Summary_Products!T57="","",Summary_Products!T57)</f>
        <v/>
      </c>
      <c r="V73" s="615" t="str">
        <f>IF(Summary_Products!U57="","",Summary_Products!U57)</f>
        <v/>
      </c>
      <c r="W73" s="615" t="str">
        <f>IF(Summary_Products!V57="","",Summary_Products!V57)</f>
        <v/>
      </c>
      <c r="X73" s="615" t="str">
        <f>IF(Summary_Products!W57="","",Summary_Products!W57)</f>
        <v/>
      </c>
      <c r="Y73" s="615" t="str">
        <f>IF(Summary_Products!X57="","",Summary_Products!X57)</f>
        <v/>
      </c>
      <c r="Z73" s="615" t="str">
        <f>IF(Summary_Products!Y57="","",Summary_Products!Y57)</f>
        <v/>
      </c>
      <c r="AA73" s="615" t="str">
        <f>IF(Summary_Products!Z57="","",Summary_Products!Z57)</f>
        <v/>
      </c>
      <c r="AB73" s="615" t="str">
        <f>IF(Summary_Products!AA57="","",Summary_Products!AA57)</f>
        <v/>
      </c>
      <c r="AC73" s="615" t="str">
        <f>IF(Summary_Products!AB57="","",Summary_Products!AB57)</f>
        <v/>
      </c>
      <c r="AD73" s="615" t="str">
        <f>IF(Summary_Products!AC57="","",Summary_Products!AC57)</f>
        <v/>
      </c>
      <c r="AE73" s="615" t="str">
        <f>IF(Summary_Products!AD57="","",Summary_Products!AD57)</f>
        <v/>
      </c>
      <c r="AF73" s="615" t="str">
        <f>IF(Summary_Products!AE57="","",Summary_Products!AE57)</f>
        <v/>
      </c>
      <c r="AG73" s="615" t="str">
        <f>IF(Summary_Products!AF57="","",Summary_Products!AF57)</f>
        <v/>
      </c>
      <c r="AH73" s="615" t="str">
        <f>IF(Summary_Products!AG57="","",Summary_Products!AG57)</f>
        <v/>
      </c>
      <c r="AI73" s="615" t="str">
        <f>IF(Summary_Products!AH57="","",Summary_Products!AH57)</f>
        <v/>
      </c>
      <c r="AJ73" s="615" t="str">
        <f>IF(Summary_Products!AI57="","",Summary_Products!AI57)</f>
        <v/>
      </c>
      <c r="AK73" s="615" t="str">
        <f>IF(Summary_Products!AJ57="","",Summary_Products!AJ57)</f>
        <v/>
      </c>
      <c r="AL73" s="615" t="str">
        <f>IF(Summary_Products!AK57="","",Summary_Products!AK57)</f>
        <v/>
      </c>
      <c r="AM73" s="421" t="str">
        <f>IF(Summary_Products!AL57="","",INDEX(Translations!$C:$C,MATCH(Summary_Products!AL57,Translations!$B:$B,0)))</f>
        <v/>
      </c>
      <c r="AN73" s="615" t="str">
        <f>IF(Summary_Products!AM57="","",Summary_Products!AM57)</f>
        <v/>
      </c>
      <c r="AO73" s="473" t="str">
        <f>IF(Summary_Products!AN57="","",Summary_Products!AN57)</f>
        <v/>
      </c>
      <c r="AP73" s="474" t="str">
        <f>IF(Summary_Products!AO57="","",Summary_Products!AO57)</f>
        <v/>
      </c>
      <c r="AQ73" s="160" t="str">
        <f>IF(Summary_Products!AP57="","",Summary_Products!AP57)</f>
        <v/>
      </c>
      <c r="AR73" s="477" t="str">
        <f>IF(Summary_Products!AR57="","",Summary_Products!AR57)</f>
        <v/>
      </c>
      <c r="AS73" s="474" t="str">
        <f>IF(Summary_Products!AS57="","",Summary_Products!AS57)</f>
        <v/>
      </c>
      <c r="AT73" s="421" t="str">
        <f>IF(Summary_Products!AT57="","",INDEX(Translations!$C:$C,MATCH(Summary_Products!AT57,Translations!$B:$B,0)))</f>
        <v/>
      </c>
      <c r="AU73" s="615" t="str">
        <f>IF(Summary_Products!AU57="","",Summary_Products!AU57)</f>
        <v/>
      </c>
      <c r="AV73" s="473" t="str">
        <f>IF(Summary_Products!AV57="","",Summary_Products!AV57)</f>
        <v/>
      </c>
      <c r="AW73" s="474" t="str">
        <f>IF(Summary_Products!AW57="","",Summary_Products!AW57)</f>
        <v/>
      </c>
      <c r="AX73" s="477" t="str">
        <f>IF(Summary_Products!AX57="","",Summary_Products!AX57)</f>
        <v/>
      </c>
      <c r="AY73" s="474" t="str">
        <f>IF(Summary_Products!AY57="","",Summary_Products!AY57)</f>
        <v/>
      </c>
      <c r="AZ73" s="477" t="str">
        <f>IF(Summary_Products!AZ57="","",Summary_Products!AZ57)</f>
        <v/>
      </c>
      <c r="BA73" s="478" t="str">
        <f>IF(Summary_Products!BA57="","",Summary_Products!BA57)</f>
        <v/>
      </c>
      <c r="BD73" s="156"/>
      <c r="BE73" s="156"/>
      <c r="BF73" s="156"/>
      <c r="BG73" s="156"/>
    </row>
    <row r="74" spans="2:59" ht="12.5" x14ac:dyDescent="0.25">
      <c r="B74" s="277"/>
      <c r="C74" s="777">
        <v>49</v>
      </c>
      <c r="D74" s="766" t="str">
        <f>IF(Summary_Products!D58="","",Summary_Products!D58)</f>
        <v/>
      </c>
      <c r="E74" s="421" t="str">
        <f>IF(Summary_Products!E58="","",INDEX(Translations!$C:$C,MATCH(Summary_Products!E58,Translations!$B:$B,0)))</f>
        <v/>
      </c>
      <c r="F74" s="781" t="str">
        <f>IF(Summary_Products!F58="","",Summary_Products!F58)</f>
        <v/>
      </c>
      <c r="G74" s="766" t="str">
        <f>IF(F74="","",INDEX(Parameters_CNCodes!$H$4:$H$572,MATCH(F74,CNCodes_ListKey,0)))</f>
        <v/>
      </c>
      <c r="H74" s="766" t="str">
        <f>IF(Summary_Products!H58="","",Summary_Products!H58)</f>
        <v/>
      </c>
      <c r="I74" s="782" t="str">
        <f>IF(Summary_Products!I58="","",Summary_Products!I58)</f>
        <v/>
      </c>
      <c r="J74" s="782" t="str">
        <f>IF(Summary_Products!J58="","",Summary_Products!J58)</f>
        <v/>
      </c>
      <c r="K74" s="782" t="str">
        <f>IF(Summary_Products!K58="","",Summary_Products!K58)</f>
        <v/>
      </c>
      <c r="L74" s="782" t="str">
        <f>IF(Summary_Products!L58="","",Summary_Products!L58)</f>
        <v/>
      </c>
      <c r="M74" s="783" t="str">
        <f>IF(Summary_Products!M58="","",Summary_Products!M58)</f>
        <v/>
      </c>
      <c r="N74" s="782" t="str">
        <f>IF(Summary_Products!N58="","",Summary_Products!N58)</f>
        <v/>
      </c>
      <c r="O74" s="782" t="str">
        <f>IF(Summary_Products!O58="","",Summary_Products!O58)</f>
        <v/>
      </c>
      <c r="P74" s="782" t="str">
        <f t="shared" si="0"/>
        <v/>
      </c>
      <c r="Q74" s="160" t="str">
        <f>IF(Summary_Products!P58="","",INDEX(Translations!$C:$C,MATCH(Summary_Products!P58,Translations!$B:$B,0)))</f>
        <v/>
      </c>
      <c r="R74" s="160" t="str">
        <f>IF(Summary_Products!Q58="","",Summary_Products!Q58)</f>
        <v/>
      </c>
      <c r="S74" s="615" t="str">
        <f>IF(Summary_Products!R58="","",Summary_Products!R58)</f>
        <v/>
      </c>
      <c r="T74" s="615" t="str">
        <f>IF(Summary_Products!S58="","",Summary_Products!S58)</f>
        <v/>
      </c>
      <c r="U74" s="615" t="str">
        <f>IF(Summary_Products!T58="","",Summary_Products!T58)</f>
        <v/>
      </c>
      <c r="V74" s="615" t="str">
        <f>IF(Summary_Products!U58="","",Summary_Products!U58)</f>
        <v/>
      </c>
      <c r="W74" s="615" t="str">
        <f>IF(Summary_Products!V58="","",Summary_Products!V58)</f>
        <v/>
      </c>
      <c r="X74" s="615" t="str">
        <f>IF(Summary_Products!W58="","",Summary_Products!W58)</f>
        <v/>
      </c>
      <c r="Y74" s="615" t="str">
        <f>IF(Summary_Products!X58="","",Summary_Products!X58)</f>
        <v/>
      </c>
      <c r="Z74" s="615" t="str">
        <f>IF(Summary_Products!Y58="","",Summary_Products!Y58)</f>
        <v/>
      </c>
      <c r="AA74" s="615" t="str">
        <f>IF(Summary_Products!Z58="","",Summary_Products!Z58)</f>
        <v/>
      </c>
      <c r="AB74" s="615" t="str">
        <f>IF(Summary_Products!AA58="","",Summary_Products!AA58)</f>
        <v/>
      </c>
      <c r="AC74" s="615" t="str">
        <f>IF(Summary_Products!AB58="","",Summary_Products!AB58)</f>
        <v/>
      </c>
      <c r="AD74" s="615" t="str">
        <f>IF(Summary_Products!AC58="","",Summary_Products!AC58)</f>
        <v/>
      </c>
      <c r="AE74" s="615" t="str">
        <f>IF(Summary_Products!AD58="","",Summary_Products!AD58)</f>
        <v/>
      </c>
      <c r="AF74" s="615" t="str">
        <f>IF(Summary_Products!AE58="","",Summary_Products!AE58)</f>
        <v/>
      </c>
      <c r="AG74" s="615" t="str">
        <f>IF(Summary_Products!AF58="","",Summary_Products!AF58)</f>
        <v/>
      </c>
      <c r="AH74" s="615" t="str">
        <f>IF(Summary_Products!AG58="","",Summary_Products!AG58)</f>
        <v/>
      </c>
      <c r="AI74" s="615" t="str">
        <f>IF(Summary_Products!AH58="","",Summary_Products!AH58)</f>
        <v/>
      </c>
      <c r="AJ74" s="615" t="str">
        <f>IF(Summary_Products!AI58="","",Summary_Products!AI58)</f>
        <v/>
      </c>
      <c r="AK74" s="615" t="str">
        <f>IF(Summary_Products!AJ58="","",Summary_Products!AJ58)</f>
        <v/>
      </c>
      <c r="AL74" s="615" t="str">
        <f>IF(Summary_Products!AK58="","",Summary_Products!AK58)</f>
        <v/>
      </c>
      <c r="AM74" s="421" t="str">
        <f>IF(Summary_Products!AL58="","",INDEX(Translations!$C:$C,MATCH(Summary_Products!AL58,Translations!$B:$B,0)))</f>
        <v/>
      </c>
      <c r="AN74" s="615" t="str">
        <f>IF(Summary_Products!AM58="","",Summary_Products!AM58)</f>
        <v/>
      </c>
      <c r="AO74" s="473" t="str">
        <f>IF(Summary_Products!AN58="","",Summary_Products!AN58)</f>
        <v/>
      </c>
      <c r="AP74" s="474" t="str">
        <f>IF(Summary_Products!AO58="","",Summary_Products!AO58)</f>
        <v/>
      </c>
      <c r="AQ74" s="160" t="str">
        <f>IF(Summary_Products!AP58="","",Summary_Products!AP58)</f>
        <v/>
      </c>
      <c r="AR74" s="477" t="str">
        <f>IF(Summary_Products!AR58="","",Summary_Products!AR58)</f>
        <v/>
      </c>
      <c r="AS74" s="474" t="str">
        <f>IF(Summary_Products!AS58="","",Summary_Products!AS58)</f>
        <v/>
      </c>
      <c r="AT74" s="421" t="str">
        <f>IF(Summary_Products!AT58="","",INDEX(Translations!$C:$C,MATCH(Summary_Products!AT58,Translations!$B:$B,0)))</f>
        <v/>
      </c>
      <c r="AU74" s="615" t="str">
        <f>IF(Summary_Products!AU58="","",Summary_Products!AU58)</f>
        <v/>
      </c>
      <c r="AV74" s="473" t="str">
        <f>IF(Summary_Products!AV58="","",Summary_Products!AV58)</f>
        <v/>
      </c>
      <c r="AW74" s="474" t="str">
        <f>IF(Summary_Products!AW58="","",Summary_Products!AW58)</f>
        <v/>
      </c>
      <c r="AX74" s="477" t="str">
        <f>IF(Summary_Products!AX58="","",Summary_Products!AX58)</f>
        <v/>
      </c>
      <c r="AY74" s="474" t="str">
        <f>IF(Summary_Products!AY58="","",Summary_Products!AY58)</f>
        <v/>
      </c>
      <c r="AZ74" s="477" t="str">
        <f>IF(Summary_Products!AZ58="","",Summary_Products!AZ58)</f>
        <v/>
      </c>
      <c r="BA74" s="478" t="str">
        <f>IF(Summary_Products!BA58="","",Summary_Products!BA58)</f>
        <v/>
      </c>
      <c r="BD74" s="156"/>
      <c r="BE74" s="156"/>
      <c r="BF74" s="156"/>
      <c r="BG74" s="156"/>
    </row>
    <row r="75" spans="2:59" ht="12.5" x14ac:dyDescent="0.25">
      <c r="B75" s="277"/>
      <c r="C75" s="777">
        <v>50</v>
      </c>
      <c r="D75" s="766" t="str">
        <f>IF(Summary_Products!D59="","",Summary_Products!D59)</f>
        <v/>
      </c>
      <c r="E75" s="421" t="str">
        <f>IF(Summary_Products!E59="","",INDEX(Translations!$C:$C,MATCH(Summary_Products!E59,Translations!$B:$B,0)))</f>
        <v/>
      </c>
      <c r="F75" s="781" t="str">
        <f>IF(Summary_Products!F59="","",Summary_Products!F59)</f>
        <v/>
      </c>
      <c r="G75" s="766" t="str">
        <f>IF(F75="","",INDEX(Parameters_CNCodes!$H$4:$H$572,MATCH(F75,CNCodes_ListKey,0)))</f>
        <v/>
      </c>
      <c r="H75" s="766" t="str">
        <f>IF(Summary_Products!H59="","",Summary_Products!H59)</f>
        <v/>
      </c>
      <c r="I75" s="782" t="str">
        <f>IF(Summary_Products!I59="","",Summary_Products!I59)</f>
        <v/>
      </c>
      <c r="J75" s="782" t="str">
        <f>IF(Summary_Products!J59="","",Summary_Products!J59)</f>
        <v/>
      </c>
      <c r="K75" s="782" t="str">
        <f>IF(Summary_Products!K59="","",Summary_Products!K59)</f>
        <v/>
      </c>
      <c r="L75" s="782" t="str">
        <f>IF(Summary_Products!L59="","",Summary_Products!L59)</f>
        <v/>
      </c>
      <c r="M75" s="783" t="str">
        <f>IF(Summary_Products!M59="","",Summary_Products!M59)</f>
        <v/>
      </c>
      <c r="N75" s="782" t="str">
        <f>IF(Summary_Products!N59="","",Summary_Products!N59)</f>
        <v/>
      </c>
      <c r="O75" s="782" t="str">
        <f>IF(Summary_Products!O59="","",Summary_Products!O59)</f>
        <v/>
      </c>
      <c r="P75" s="782" t="str">
        <f t="shared" si="0"/>
        <v/>
      </c>
      <c r="Q75" s="160" t="str">
        <f>IF(Summary_Products!P59="","",INDEX(Translations!$C:$C,MATCH(Summary_Products!P59,Translations!$B:$B,0)))</f>
        <v/>
      </c>
      <c r="R75" s="160" t="str">
        <f>IF(Summary_Products!Q59="","",Summary_Products!Q59)</f>
        <v/>
      </c>
      <c r="S75" s="615" t="str">
        <f>IF(Summary_Products!R59="","",Summary_Products!R59)</f>
        <v/>
      </c>
      <c r="T75" s="615" t="str">
        <f>IF(Summary_Products!S59="","",Summary_Products!S59)</f>
        <v/>
      </c>
      <c r="U75" s="615" t="str">
        <f>IF(Summary_Products!T59="","",Summary_Products!T59)</f>
        <v/>
      </c>
      <c r="V75" s="615" t="str">
        <f>IF(Summary_Products!U59="","",Summary_Products!U59)</f>
        <v/>
      </c>
      <c r="W75" s="615" t="str">
        <f>IF(Summary_Products!V59="","",Summary_Products!V59)</f>
        <v/>
      </c>
      <c r="X75" s="615" t="str">
        <f>IF(Summary_Products!W59="","",Summary_Products!W59)</f>
        <v/>
      </c>
      <c r="Y75" s="615" t="str">
        <f>IF(Summary_Products!X59="","",Summary_Products!X59)</f>
        <v/>
      </c>
      <c r="Z75" s="615" t="str">
        <f>IF(Summary_Products!Y59="","",Summary_Products!Y59)</f>
        <v/>
      </c>
      <c r="AA75" s="615" t="str">
        <f>IF(Summary_Products!Z59="","",Summary_Products!Z59)</f>
        <v/>
      </c>
      <c r="AB75" s="615" t="str">
        <f>IF(Summary_Products!AA59="","",Summary_Products!AA59)</f>
        <v/>
      </c>
      <c r="AC75" s="615" t="str">
        <f>IF(Summary_Products!AB59="","",Summary_Products!AB59)</f>
        <v/>
      </c>
      <c r="AD75" s="615" t="str">
        <f>IF(Summary_Products!AC59="","",Summary_Products!AC59)</f>
        <v/>
      </c>
      <c r="AE75" s="615" t="str">
        <f>IF(Summary_Products!AD59="","",Summary_Products!AD59)</f>
        <v/>
      </c>
      <c r="AF75" s="615" t="str">
        <f>IF(Summary_Products!AE59="","",Summary_Products!AE59)</f>
        <v/>
      </c>
      <c r="AG75" s="615" t="str">
        <f>IF(Summary_Products!AF59="","",Summary_Products!AF59)</f>
        <v/>
      </c>
      <c r="AH75" s="615" t="str">
        <f>IF(Summary_Products!AG59="","",Summary_Products!AG59)</f>
        <v/>
      </c>
      <c r="AI75" s="615" t="str">
        <f>IF(Summary_Products!AH59="","",Summary_Products!AH59)</f>
        <v/>
      </c>
      <c r="AJ75" s="615" t="str">
        <f>IF(Summary_Products!AI59="","",Summary_Products!AI59)</f>
        <v/>
      </c>
      <c r="AK75" s="615" t="str">
        <f>IF(Summary_Products!AJ59="","",Summary_Products!AJ59)</f>
        <v/>
      </c>
      <c r="AL75" s="615" t="str">
        <f>IF(Summary_Products!AK59="","",Summary_Products!AK59)</f>
        <v/>
      </c>
      <c r="AM75" s="421" t="str">
        <f>IF(Summary_Products!AL59="","",INDEX(Translations!$C:$C,MATCH(Summary_Products!AL59,Translations!$B:$B,0)))</f>
        <v/>
      </c>
      <c r="AN75" s="615" t="str">
        <f>IF(Summary_Products!AM59="","",Summary_Products!AM59)</f>
        <v/>
      </c>
      <c r="AO75" s="473" t="str">
        <f>IF(Summary_Products!AN59="","",Summary_Products!AN59)</f>
        <v/>
      </c>
      <c r="AP75" s="474" t="str">
        <f>IF(Summary_Products!AO59="","",Summary_Products!AO59)</f>
        <v/>
      </c>
      <c r="AQ75" s="160" t="str">
        <f>IF(Summary_Products!AP59="","",Summary_Products!AP59)</f>
        <v/>
      </c>
      <c r="AR75" s="477" t="str">
        <f>IF(Summary_Products!AR59="","",Summary_Products!AR59)</f>
        <v/>
      </c>
      <c r="AS75" s="474" t="str">
        <f>IF(Summary_Products!AS59="","",Summary_Products!AS59)</f>
        <v/>
      </c>
      <c r="AT75" s="421" t="str">
        <f>IF(Summary_Products!AT59="","",INDEX(Translations!$C:$C,MATCH(Summary_Products!AT59,Translations!$B:$B,0)))</f>
        <v/>
      </c>
      <c r="AU75" s="615" t="str">
        <f>IF(Summary_Products!AU59="","",Summary_Products!AU59)</f>
        <v/>
      </c>
      <c r="AV75" s="473" t="str">
        <f>IF(Summary_Products!AV59="","",Summary_Products!AV59)</f>
        <v/>
      </c>
      <c r="AW75" s="474" t="str">
        <f>IF(Summary_Products!AW59="","",Summary_Products!AW59)</f>
        <v/>
      </c>
      <c r="AX75" s="477" t="str">
        <f>IF(Summary_Products!AX59="","",Summary_Products!AX59)</f>
        <v/>
      </c>
      <c r="AY75" s="474" t="str">
        <f>IF(Summary_Products!AY59="","",Summary_Products!AY59)</f>
        <v/>
      </c>
      <c r="AZ75" s="477" t="str">
        <f>IF(Summary_Products!AZ59="","",Summary_Products!AZ59)</f>
        <v/>
      </c>
      <c r="BA75" s="478" t="str">
        <f>IF(Summary_Products!BA59="","",Summary_Products!BA59)</f>
        <v/>
      </c>
      <c r="BD75" s="156"/>
      <c r="BE75" s="156"/>
      <c r="BF75" s="156"/>
      <c r="BG75" s="156"/>
    </row>
    <row r="76" spans="2:59" ht="12.5" x14ac:dyDescent="0.25">
      <c r="B76" s="277"/>
      <c r="C76" s="777">
        <v>51</v>
      </c>
      <c r="D76" s="766" t="str">
        <f>IF(Summary_Products!D60="","",Summary_Products!D60)</f>
        <v/>
      </c>
      <c r="E76" s="421" t="str">
        <f>IF(Summary_Products!E60="","",INDEX(Translations!$C:$C,MATCH(Summary_Products!E60,Translations!$B:$B,0)))</f>
        <v/>
      </c>
      <c r="F76" s="781" t="str">
        <f>IF(Summary_Products!F60="","",Summary_Products!F60)</f>
        <v/>
      </c>
      <c r="G76" s="766" t="str">
        <f>IF(F76="","",INDEX(Parameters_CNCodes!$H$4:$H$572,MATCH(F76,CNCodes_ListKey,0)))</f>
        <v/>
      </c>
      <c r="H76" s="766" t="str">
        <f>IF(Summary_Products!H60="","",Summary_Products!H60)</f>
        <v/>
      </c>
      <c r="I76" s="782" t="str">
        <f>IF(Summary_Products!I60="","",Summary_Products!I60)</f>
        <v/>
      </c>
      <c r="J76" s="782" t="str">
        <f>IF(Summary_Products!J60="","",Summary_Products!J60)</f>
        <v/>
      </c>
      <c r="K76" s="782" t="str">
        <f>IF(Summary_Products!K60="","",Summary_Products!K60)</f>
        <v/>
      </c>
      <c r="L76" s="782" t="str">
        <f>IF(Summary_Products!L60="","",Summary_Products!L60)</f>
        <v/>
      </c>
      <c r="M76" s="783" t="str">
        <f>IF(Summary_Products!M60="","",Summary_Products!M60)</f>
        <v/>
      </c>
      <c r="N76" s="782" t="str">
        <f>IF(Summary_Products!N60="","",Summary_Products!N60)</f>
        <v/>
      </c>
      <c r="O76" s="782" t="str">
        <f>IF(Summary_Products!O60="","",Summary_Products!O60)</f>
        <v/>
      </c>
      <c r="P76" s="782" t="str">
        <f t="shared" si="0"/>
        <v/>
      </c>
      <c r="Q76" s="160" t="str">
        <f>IF(Summary_Products!P60="","",INDEX(Translations!$C:$C,MATCH(Summary_Products!P60,Translations!$B:$B,0)))</f>
        <v/>
      </c>
      <c r="R76" s="160" t="str">
        <f>IF(Summary_Products!Q60="","",Summary_Products!Q60)</f>
        <v/>
      </c>
      <c r="S76" s="615" t="str">
        <f>IF(Summary_Products!R60="","",Summary_Products!R60)</f>
        <v/>
      </c>
      <c r="T76" s="615" t="str">
        <f>IF(Summary_Products!S60="","",Summary_Products!S60)</f>
        <v/>
      </c>
      <c r="U76" s="615" t="str">
        <f>IF(Summary_Products!T60="","",Summary_Products!T60)</f>
        <v/>
      </c>
      <c r="V76" s="615" t="str">
        <f>IF(Summary_Products!U60="","",Summary_Products!U60)</f>
        <v/>
      </c>
      <c r="W76" s="615" t="str">
        <f>IF(Summary_Products!V60="","",Summary_Products!V60)</f>
        <v/>
      </c>
      <c r="X76" s="615" t="str">
        <f>IF(Summary_Products!W60="","",Summary_Products!W60)</f>
        <v/>
      </c>
      <c r="Y76" s="615" t="str">
        <f>IF(Summary_Products!X60="","",Summary_Products!X60)</f>
        <v/>
      </c>
      <c r="Z76" s="615" t="str">
        <f>IF(Summary_Products!Y60="","",Summary_Products!Y60)</f>
        <v/>
      </c>
      <c r="AA76" s="615" t="str">
        <f>IF(Summary_Products!Z60="","",Summary_Products!Z60)</f>
        <v/>
      </c>
      <c r="AB76" s="615" t="str">
        <f>IF(Summary_Products!AA60="","",Summary_Products!AA60)</f>
        <v/>
      </c>
      <c r="AC76" s="615" t="str">
        <f>IF(Summary_Products!AB60="","",Summary_Products!AB60)</f>
        <v/>
      </c>
      <c r="AD76" s="615" t="str">
        <f>IF(Summary_Products!AC60="","",Summary_Products!AC60)</f>
        <v/>
      </c>
      <c r="AE76" s="615" t="str">
        <f>IF(Summary_Products!AD60="","",Summary_Products!AD60)</f>
        <v/>
      </c>
      <c r="AF76" s="615" t="str">
        <f>IF(Summary_Products!AE60="","",Summary_Products!AE60)</f>
        <v/>
      </c>
      <c r="AG76" s="615" t="str">
        <f>IF(Summary_Products!AF60="","",Summary_Products!AF60)</f>
        <v/>
      </c>
      <c r="AH76" s="615" t="str">
        <f>IF(Summary_Products!AG60="","",Summary_Products!AG60)</f>
        <v/>
      </c>
      <c r="AI76" s="615" t="str">
        <f>IF(Summary_Products!AH60="","",Summary_Products!AH60)</f>
        <v/>
      </c>
      <c r="AJ76" s="615" t="str">
        <f>IF(Summary_Products!AI60="","",Summary_Products!AI60)</f>
        <v/>
      </c>
      <c r="AK76" s="615" t="str">
        <f>IF(Summary_Products!AJ60="","",Summary_Products!AJ60)</f>
        <v/>
      </c>
      <c r="AL76" s="615" t="str">
        <f>IF(Summary_Products!AK60="","",Summary_Products!AK60)</f>
        <v/>
      </c>
      <c r="AM76" s="421" t="str">
        <f>IF(Summary_Products!AL60="","",INDEX(Translations!$C:$C,MATCH(Summary_Products!AL60,Translations!$B:$B,0)))</f>
        <v/>
      </c>
      <c r="AN76" s="615" t="str">
        <f>IF(Summary_Products!AM60="","",Summary_Products!AM60)</f>
        <v/>
      </c>
      <c r="AO76" s="473" t="str">
        <f>IF(Summary_Products!AN60="","",Summary_Products!AN60)</f>
        <v/>
      </c>
      <c r="AP76" s="474" t="str">
        <f>IF(Summary_Products!AO60="","",Summary_Products!AO60)</f>
        <v/>
      </c>
      <c r="AQ76" s="160" t="str">
        <f>IF(Summary_Products!AP60="","",Summary_Products!AP60)</f>
        <v/>
      </c>
      <c r="AR76" s="477" t="str">
        <f>IF(Summary_Products!AR60="","",Summary_Products!AR60)</f>
        <v/>
      </c>
      <c r="AS76" s="474" t="str">
        <f>IF(Summary_Products!AS60="","",Summary_Products!AS60)</f>
        <v/>
      </c>
      <c r="AT76" s="421" t="str">
        <f>IF(Summary_Products!AT60="","",INDEX(Translations!$C:$C,MATCH(Summary_Products!AT60,Translations!$B:$B,0)))</f>
        <v/>
      </c>
      <c r="AU76" s="615" t="str">
        <f>IF(Summary_Products!AU60="","",Summary_Products!AU60)</f>
        <v/>
      </c>
      <c r="AV76" s="473" t="str">
        <f>IF(Summary_Products!AV60="","",Summary_Products!AV60)</f>
        <v/>
      </c>
      <c r="AW76" s="474" t="str">
        <f>IF(Summary_Products!AW60="","",Summary_Products!AW60)</f>
        <v/>
      </c>
      <c r="AX76" s="477" t="str">
        <f>IF(Summary_Products!AX60="","",Summary_Products!AX60)</f>
        <v/>
      </c>
      <c r="AY76" s="474" t="str">
        <f>IF(Summary_Products!AY60="","",Summary_Products!AY60)</f>
        <v/>
      </c>
      <c r="AZ76" s="477" t="str">
        <f>IF(Summary_Products!AZ60="","",Summary_Products!AZ60)</f>
        <v/>
      </c>
      <c r="BA76" s="478" t="str">
        <f>IF(Summary_Products!BA60="","",Summary_Products!BA60)</f>
        <v/>
      </c>
      <c r="BD76" s="156"/>
      <c r="BE76" s="156"/>
      <c r="BF76" s="156"/>
      <c r="BG76" s="156"/>
    </row>
    <row r="77" spans="2:59" ht="12.5" x14ac:dyDescent="0.25">
      <c r="B77" s="277"/>
      <c r="C77" s="777">
        <v>52</v>
      </c>
      <c r="D77" s="766" t="str">
        <f>IF(Summary_Products!D61="","",Summary_Products!D61)</f>
        <v/>
      </c>
      <c r="E77" s="421" t="str">
        <f>IF(Summary_Products!E61="","",INDEX(Translations!$C:$C,MATCH(Summary_Products!E61,Translations!$B:$B,0)))</f>
        <v/>
      </c>
      <c r="F77" s="781" t="str">
        <f>IF(Summary_Products!F61="","",Summary_Products!F61)</f>
        <v/>
      </c>
      <c r="G77" s="766" t="str">
        <f>IF(F77="","",INDEX(Parameters_CNCodes!$H$4:$H$572,MATCH(F77,CNCodes_ListKey,0)))</f>
        <v/>
      </c>
      <c r="H77" s="766" t="str">
        <f>IF(Summary_Products!H61="","",Summary_Products!H61)</f>
        <v/>
      </c>
      <c r="I77" s="782" t="str">
        <f>IF(Summary_Products!I61="","",Summary_Products!I61)</f>
        <v/>
      </c>
      <c r="J77" s="782" t="str">
        <f>IF(Summary_Products!J61="","",Summary_Products!J61)</f>
        <v/>
      </c>
      <c r="K77" s="782" t="str">
        <f>IF(Summary_Products!K61="","",Summary_Products!K61)</f>
        <v/>
      </c>
      <c r="L77" s="782" t="str">
        <f>IF(Summary_Products!L61="","",Summary_Products!L61)</f>
        <v/>
      </c>
      <c r="M77" s="783" t="str">
        <f>IF(Summary_Products!M61="","",Summary_Products!M61)</f>
        <v/>
      </c>
      <c r="N77" s="782" t="str">
        <f>IF(Summary_Products!N61="","",Summary_Products!N61)</f>
        <v/>
      </c>
      <c r="O77" s="782" t="str">
        <f>IF(Summary_Products!O61="","",Summary_Products!O61)</f>
        <v/>
      </c>
      <c r="P77" s="782" t="str">
        <f t="shared" si="0"/>
        <v/>
      </c>
      <c r="Q77" s="160" t="str">
        <f>IF(Summary_Products!P61="","",INDEX(Translations!$C:$C,MATCH(Summary_Products!P61,Translations!$B:$B,0)))</f>
        <v/>
      </c>
      <c r="R77" s="160" t="str">
        <f>IF(Summary_Products!Q61="","",Summary_Products!Q61)</f>
        <v/>
      </c>
      <c r="S77" s="615" t="str">
        <f>IF(Summary_Products!R61="","",Summary_Products!R61)</f>
        <v/>
      </c>
      <c r="T77" s="615" t="str">
        <f>IF(Summary_Products!S61="","",Summary_Products!S61)</f>
        <v/>
      </c>
      <c r="U77" s="615" t="str">
        <f>IF(Summary_Products!T61="","",Summary_Products!T61)</f>
        <v/>
      </c>
      <c r="V77" s="615" t="str">
        <f>IF(Summary_Products!U61="","",Summary_Products!U61)</f>
        <v/>
      </c>
      <c r="W77" s="615" t="str">
        <f>IF(Summary_Products!V61="","",Summary_Products!V61)</f>
        <v/>
      </c>
      <c r="X77" s="615" t="str">
        <f>IF(Summary_Products!W61="","",Summary_Products!W61)</f>
        <v/>
      </c>
      <c r="Y77" s="615" t="str">
        <f>IF(Summary_Products!X61="","",Summary_Products!X61)</f>
        <v/>
      </c>
      <c r="Z77" s="615" t="str">
        <f>IF(Summary_Products!Y61="","",Summary_Products!Y61)</f>
        <v/>
      </c>
      <c r="AA77" s="615" t="str">
        <f>IF(Summary_Products!Z61="","",Summary_Products!Z61)</f>
        <v/>
      </c>
      <c r="AB77" s="615" t="str">
        <f>IF(Summary_Products!AA61="","",Summary_Products!AA61)</f>
        <v/>
      </c>
      <c r="AC77" s="615" t="str">
        <f>IF(Summary_Products!AB61="","",Summary_Products!AB61)</f>
        <v/>
      </c>
      <c r="AD77" s="615" t="str">
        <f>IF(Summary_Products!AC61="","",Summary_Products!AC61)</f>
        <v/>
      </c>
      <c r="AE77" s="615" t="str">
        <f>IF(Summary_Products!AD61="","",Summary_Products!AD61)</f>
        <v/>
      </c>
      <c r="AF77" s="615" t="str">
        <f>IF(Summary_Products!AE61="","",Summary_Products!AE61)</f>
        <v/>
      </c>
      <c r="AG77" s="615" t="str">
        <f>IF(Summary_Products!AF61="","",Summary_Products!AF61)</f>
        <v/>
      </c>
      <c r="AH77" s="615" t="str">
        <f>IF(Summary_Products!AG61="","",Summary_Products!AG61)</f>
        <v/>
      </c>
      <c r="AI77" s="615" t="str">
        <f>IF(Summary_Products!AH61="","",Summary_Products!AH61)</f>
        <v/>
      </c>
      <c r="AJ77" s="615" t="str">
        <f>IF(Summary_Products!AI61="","",Summary_Products!AI61)</f>
        <v/>
      </c>
      <c r="AK77" s="615" t="str">
        <f>IF(Summary_Products!AJ61="","",Summary_Products!AJ61)</f>
        <v/>
      </c>
      <c r="AL77" s="615" t="str">
        <f>IF(Summary_Products!AK61="","",Summary_Products!AK61)</f>
        <v/>
      </c>
      <c r="AM77" s="421" t="str">
        <f>IF(Summary_Products!AL61="","",INDEX(Translations!$C:$C,MATCH(Summary_Products!AL61,Translations!$B:$B,0)))</f>
        <v/>
      </c>
      <c r="AN77" s="615" t="str">
        <f>IF(Summary_Products!AM61="","",Summary_Products!AM61)</f>
        <v/>
      </c>
      <c r="AO77" s="473" t="str">
        <f>IF(Summary_Products!AN61="","",Summary_Products!AN61)</f>
        <v/>
      </c>
      <c r="AP77" s="474" t="str">
        <f>IF(Summary_Products!AO61="","",Summary_Products!AO61)</f>
        <v/>
      </c>
      <c r="AQ77" s="160" t="str">
        <f>IF(Summary_Products!AP61="","",Summary_Products!AP61)</f>
        <v/>
      </c>
      <c r="AR77" s="477" t="str">
        <f>IF(Summary_Products!AR61="","",Summary_Products!AR61)</f>
        <v/>
      </c>
      <c r="AS77" s="474" t="str">
        <f>IF(Summary_Products!AS61="","",Summary_Products!AS61)</f>
        <v/>
      </c>
      <c r="AT77" s="421" t="str">
        <f>IF(Summary_Products!AT61="","",INDEX(Translations!$C:$C,MATCH(Summary_Products!AT61,Translations!$B:$B,0)))</f>
        <v/>
      </c>
      <c r="AU77" s="615" t="str">
        <f>IF(Summary_Products!AU61="","",Summary_Products!AU61)</f>
        <v/>
      </c>
      <c r="AV77" s="473" t="str">
        <f>IF(Summary_Products!AV61="","",Summary_Products!AV61)</f>
        <v/>
      </c>
      <c r="AW77" s="474" t="str">
        <f>IF(Summary_Products!AW61="","",Summary_Products!AW61)</f>
        <v/>
      </c>
      <c r="AX77" s="477" t="str">
        <f>IF(Summary_Products!AX61="","",Summary_Products!AX61)</f>
        <v/>
      </c>
      <c r="AY77" s="474" t="str">
        <f>IF(Summary_Products!AY61="","",Summary_Products!AY61)</f>
        <v/>
      </c>
      <c r="AZ77" s="477" t="str">
        <f>IF(Summary_Products!AZ61="","",Summary_Products!AZ61)</f>
        <v/>
      </c>
      <c r="BA77" s="478" t="str">
        <f>IF(Summary_Products!BA61="","",Summary_Products!BA61)</f>
        <v/>
      </c>
      <c r="BD77" s="156"/>
      <c r="BE77" s="156"/>
      <c r="BF77" s="156"/>
      <c r="BG77" s="156"/>
    </row>
    <row r="78" spans="2:59" ht="12.5" x14ac:dyDescent="0.25">
      <c r="B78" s="277"/>
      <c r="C78" s="777">
        <v>53</v>
      </c>
      <c r="D78" s="766" t="str">
        <f>IF(Summary_Products!D62="","",Summary_Products!D62)</f>
        <v/>
      </c>
      <c r="E78" s="421" t="str">
        <f>IF(Summary_Products!E62="","",INDEX(Translations!$C:$C,MATCH(Summary_Products!E62,Translations!$B:$B,0)))</f>
        <v/>
      </c>
      <c r="F78" s="781" t="str">
        <f>IF(Summary_Products!F62="","",Summary_Products!F62)</f>
        <v/>
      </c>
      <c r="G78" s="766" t="str">
        <f>IF(F78="","",INDEX(Parameters_CNCodes!$H$4:$H$572,MATCH(F78,CNCodes_ListKey,0)))</f>
        <v/>
      </c>
      <c r="H78" s="766" t="str">
        <f>IF(Summary_Products!H62="","",Summary_Products!H62)</f>
        <v/>
      </c>
      <c r="I78" s="782" t="str">
        <f>IF(Summary_Products!I62="","",Summary_Products!I62)</f>
        <v/>
      </c>
      <c r="J78" s="782" t="str">
        <f>IF(Summary_Products!J62="","",Summary_Products!J62)</f>
        <v/>
      </c>
      <c r="K78" s="782" t="str">
        <f>IF(Summary_Products!K62="","",Summary_Products!K62)</f>
        <v/>
      </c>
      <c r="L78" s="782" t="str">
        <f>IF(Summary_Products!L62="","",Summary_Products!L62)</f>
        <v/>
      </c>
      <c r="M78" s="783" t="str">
        <f>IF(Summary_Products!M62="","",Summary_Products!M62)</f>
        <v/>
      </c>
      <c r="N78" s="782" t="str">
        <f>IF(Summary_Products!N62="","",Summary_Products!N62)</f>
        <v/>
      </c>
      <c r="O78" s="782" t="str">
        <f>IF(Summary_Products!O62="","",Summary_Products!O62)</f>
        <v/>
      </c>
      <c r="P78" s="782" t="str">
        <f t="shared" si="0"/>
        <v/>
      </c>
      <c r="Q78" s="160" t="str">
        <f>IF(Summary_Products!P62="","",INDEX(Translations!$C:$C,MATCH(Summary_Products!P62,Translations!$B:$B,0)))</f>
        <v/>
      </c>
      <c r="R78" s="160" t="str">
        <f>IF(Summary_Products!Q62="","",Summary_Products!Q62)</f>
        <v/>
      </c>
      <c r="S78" s="615" t="str">
        <f>IF(Summary_Products!R62="","",Summary_Products!R62)</f>
        <v/>
      </c>
      <c r="T78" s="615" t="str">
        <f>IF(Summary_Products!S62="","",Summary_Products!S62)</f>
        <v/>
      </c>
      <c r="U78" s="615" t="str">
        <f>IF(Summary_Products!T62="","",Summary_Products!T62)</f>
        <v/>
      </c>
      <c r="V78" s="615" t="str">
        <f>IF(Summary_Products!U62="","",Summary_Products!U62)</f>
        <v/>
      </c>
      <c r="W78" s="615" t="str">
        <f>IF(Summary_Products!V62="","",Summary_Products!V62)</f>
        <v/>
      </c>
      <c r="X78" s="615" t="str">
        <f>IF(Summary_Products!W62="","",Summary_Products!W62)</f>
        <v/>
      </c>
      <c r="Y78" s="615" t="str">
        <f>IF(Summary_Products!X62="","",Summary_Products!X62)</f>
        <v/>
      </c>
      <c r="Z78" s="615" t="str">
        <f>IF(Summary_Products!Y62="","",Summary_Products!Y62)</f>
        <v/>
      </c>
      <c r="AA78" s="615" t="str">
        <f>IF(Summary_Products!Z62="","",Summary_Products!Z62)</f>
        <v/>
      </c>
      <c r="AB78" s="615" t="str">
        <f>IF(Summary_Products!AA62="","",Summary_Products!AA62)</f>
        <v/>
      </c>
      <c r="AC78" s="615" t="str">
        <f>IF(Summary_Products!AB62="","",Summary_Products!AB62)</f>
        <v/>
      </c>
      <c r="AD78" s="615" t="str">
        <f>IF(Summary_Products!AC62="","",Summary_Products!AC62)</f>
        <v/>
      </c>
      <c r="AE78" s="615" t="str">
        <f>IF(Summary_Products!AD62="","",Summary_Products!AD62)</f>
        <v/>
      </c>
      <c r="AF78" s="615" t="str">
        <f>IF(Summary_Products!AE62="","",Summary_Products!AE62)</f>
        <v/>
      </c>
      <c r="AG78" s="615" t="str">
        <f>IF(Summary_Products!AF62="","",Summary_Products!AF62)</f>
        <v/>
      </c>
      <c r="AH78" s="615" t="str">
        <f>IF(Summary_Products!AG62="","",Summary_Products!AG62)</f>
        <v/>
      </c>
      <c r="AI78" s="615" t="str">
        <f>IF(Summary_Products!AH62="","",Summary_Products!AH62)</f>
        <v/>
      </c>
      <c r="AJ78" s="615" t="str">
        <f>IF(Summary_Products!AI62="","",Summary_Products!AI62)</f>
        <v/>
      </c>
      <c r="AK78" s="615" t="str">
        <f>IF(Summary_Products!AJ62="","",Summary_Products!AJ62)</f>
        <v/>
      </c>
      <c r="AL78" s="615" t="str">
        <f>IF(Summary_Products!AK62="","",Summary_Products!AK62)</f>
        <v/>
      </c>
      <c r="AM78" s="421" t="str">
        <f>IF(Summary_Products!AL62="","",INDEX(Translations!$C:$C,MATCH(Summary_Products!AL62,Translations!$B:$B,0)))</f>
        <v/>
      </c>
      <c r="AN78" s="615" t="str">
        <f>IF(Summary_Products!AM62="","",Summary_Products!AM62)</f>
        <v/>
      </c>
      <c r="AO78" s="473" t="str">
        <f>IF(Summary_Products!AN62="","",Summary_Products!AN62)</f>
        <v/>
      </c>
      <c r="AP78" s="474" t="str">
        <f>IF(Summary_Products!AO62="","",Summary_Products!AO62)</f>
        <v/>
      </c>
      <c r="AQ78" s="160" t="str">
        <f>IF(Summary_Products!AP62="","",Summary_Products!AP62)</f>
        <v/>
      </c>
      <c r="AR78" s="477" t="str">
        <f>IF(Summary_Products!AR62="","",Summary_Products!AR62)</f>
        <v/>
      </c>
      <c r="AS78" s="474" t="str">
        <f>IF(Summary_Products!AS62="","",Summary_Products!AS62)</f>
        <v/>
      </c>
      <c r="AT78" s="421" t="str">
        <f>IF(Summary_Products!AT62="","",INDEX(Translations!$C:$C,MATCH(Summary_Products!AT62,Translations!$B:$B,0)))</f>
        <v/>
      </c>
      <c r="AU78" s="615" t="str">
        <f>IF(Summary_Products!AU62="","",Summary_Products!AU62)</f>
        <v/>
      </c>
      <c r="AV78" s="473" t="str">
        <f>IF(Summary_Products!AV62="","",Summary_Products!AV62)</f>
        <v/>
      </c>
      <c r="AW78" s="474" t="str">
        <f>IF(Summary_Products!AW62="","",Summary_Products!AW62)</f>
        <v/>
      </c>
      <c r="AX78" s="477" t="str">
        <f>IF(Summary_Products!AX62="","",Summary_Products!AX62)</f>
        <v/>
      </c>
      <c r="AY78" s="474" t="str">
        <f>IF(Summary_Products!AY62="","",Summary_Products!AY62)</f>
        <v/>
      </c>
      <c r="AZ78" s="477" t="str">
        <f>IF(Summary_Products!AZ62="","",Summary_Products!AZ62)</f>
        <v/>
      </c>
      <c r="BA78" s="478" t="str">
        <f>IF(Summary_Products!BA62="","",Summary_Products!BA62)</f>
        <v/>
      </c>
      <c r="BD78" s="156"/>
      <c r="BE78" s="156"/>
      <c r="BF78" s="156"/>
      <c r="BG78" s="156"/>
    </row>
    <row r="79" spans="2:59" ht="12.5" x14ac:dyDescent="0.25">
      <c r="B79" s="277"/>
      <c r="C79" s="777">
        <v>54</v>
      </c>
      <c r="D79" s="766" t="str">
        <f>IF(Summary_Products!D63="","",Summary_Products!D63)</f>
        <v/>
      </c>
      <c r="E79" s="421" t="str">
        <f>IF(Summary_Products!E63="","",INDEX(Translations!$C:$C,MATCH(Summary_Products!E63,Translations!$B:$B,0)))</f>
        <v/>
      </c>
      <c r="F79" s="781" t="str">
        <f>IF(Summary_Products!F63="","",Summary_Products!F63)</f>
        <v/>
      </c>
      <c r="G79" s="766" t="str">
        <f>IF(F79="","",INDEX(Parameters_CNCodes!$H$4:$H$572,MATCH(F79,CNCodes_ListKey,0)))</f>
        <v/>
      </c>
      <c r="H79" s="766" t="str">
        <f>IF(Summary_Products!H63="","",Summary_Products!H63)</f>
        <v/>
      </c>
      <c r="I79" s="782" t="str">
        <f>IF(Summary_Products!I63="","",Summary_Products!I63)</f>
        <v/>
      </c>
      <c r="J79" s="782" t="str">
        <f>IF(Summary_Products!J63="","",Summary_Products!J63)</f>
        <v/>
      </c>
      <c r="K79" s="782" t="str">
        <f>IF(Summary_Products!K63="","",Summary_Products!K63)</f>
        <v/>
      </c>
      <c r="L79" s="782" t="str">
        <f>IF(Summary_Products!L63="","",Summary_Products!L63)</f>
        <v/>
      </c>
      <c r="M79" s="783" t="str">
        <f>IF(Summary_Products!M63="","",Summary_Products!M63)</f>
        <v/>
      </c>
      <c r="N79" s="782" t="str">
        <f>IF(Summary_Products!N63="","",Summary_Products!N63)</f>
        <v/>
      </c>
      <c r="O79" s="782" t="str">
        <f>IF(Summary_Products!O63="","",Summary_Products!O63)</f>
        <v/>
      </c>
      <c r="P79" s="782" t="str">
        <f t="shared" si="0"/>
        <v/>
      </c>
      <c r="Q79" s="160" t="str">
        <f>IF(Summary_Products!P63="","",INDEX(Translations!$C:$C,MATCH(Summary_Products!P63,Translations!$B:$B,0)))</f>
        <v/>
      </c>
      <c r="R79" s="160" t="str">
        <f>IF(Summary_Products!Q63="","",Summary_Products!Q63)</f>
        <v/>
      </c>
      <c r="S79" s="615" t="str">
        <f>IF(Summary_Products!R63="","",Summary_Products!R63)</f>
        <v/>
      </c>
      <c r="T79" s="615" t="str">
        <f>IF(Summary_Products!S63="","",Summary_Products!S63)</f>
        <v/>
      </c>
      <c r="U79" s="615" t="str">
        <f>IF(Summary_Products!T63="","",Summary_Products!T63)</f>
        <v/>
      </c>
      <c r="V79" s="615" t="str">
        <f>IF(Summary_Products!U63="","",Summary_Products!U63)</f>
        <v/>
      </c>
      <c r="W79" s="615" t="str">
        <f>IF(Summary_Products!V63="","",Summary_Products!V63)</f>
        <v/>
      </c>
      <c r="X79" s="615" t="str">
        <f>IF(Summary_Products!W63="","",Summary_Products!W63)</f>
        <v/>
      </c>
      <c r="Y79" s="615" t="str">
        <f>IF(Summary_Products!X63="","",Summary_Products!X63)</f>
        <v/>
      </c>
      <c r="Z79" s="615" t="str">
        <f>IF(Summary_Products!Y63="","",Summary_Products!Y63)</f>
        <v/>
      </c>
      <c r="AA79" s="615" t="str">
        <f>IF(Summary_Products!Z63="","",Summary_Products!Z63)</f>
        <v/>
      </c>
      <c r="AB79" s="615" t="str">
        <f>IF(Summary_Products!AA63="","",Summary_Products!AA63)</f>
        <v/>
      </c>
      <c r="AC79" s="615" t="str">
        <f>IF(Summary_Products!AB63="","",Summary_Products!AB63)</f>
        <v/>
      </c>
      <c r="AD79" s="615" t="str">
        <f>IF(Summary_Products!AC63="","",Summary_Products!AC63)</f>
        <v/>
      </c>
      <c r="AE79" s="615" t="str">
        <f>IF(Summary_Products!AD63="","",Summary_Products!AD63)</f>
        <v/>
      </c>
      <c r="AF79" s="615" t="str">
        <f>IF(Summary_Products!AE63="","",Summary_Products!AE63)</f>
        <v/>
      </c>
      <c r="AG79" s="615" t="str">
        <f>IF(Summary_Products!AF63="","",Summary_Products!AF63)</f>
        <v/>
      </c>
      <c r="AH79" s="615" t="str">
        <f>IF(Summary_Products!AG63="","",Summary_Products!AG63)</f>
        <v/>
      </c>
      <c r="AI79" s="615" t="str">
        <f>IF(Summary_Products!AH63="","",Summary_Products!AH63)</f>
        <v/>
      </c>
      <c r="AJ79" s="615" t="str">
        <f>IF(Summary_Products!AI63="","",Summary_Products!AI63)</f>
        <v/>
      </c>
      <c r="AK79" s="615" t="str">
        <f>IF(Summary_Products!AJ63="","",Summary_Products!AJ63)</f>
        <v/>
      </c>
      <c r="AL79" s="615" t="str">
        <f>IF(Summary_Products!AK63="","",Summary_Products!AK63)</f>
        <v/>
      </c>
      <c r="AM79" s="421" t="str">
        <f>IF(Summary_Products!AL63="","",INDEX(Translations!$C:$C,MATCH(Summary_Products!AL63,Translations!$B:$B,0)))</f>
        <v/>
      </c>
      <c r="AN79" s="615" t="str">
        <f>IF(Summary_Products!AM63="","",Summary_Products!AM63)</f>
        <v/>
      </c>
      <c r="AO79" s="473" t="str">
        <f>IF(Summary_Products!AN63="","",Summary_Products!AN63)</f>
        <v/>
      </c>
      <c r="AP79" s="474" t="str">
        <f>IF(Summary_Products!AO63="","",Summary_Products!AO63)</f>
        <v/>
      </c>
      <c r="AQ79" s="160" t="str">
        <f>IF(Summary_Products!AP63="","",Summary_Products!AP63)</f>
        <v/>
      </c>
      <c r="AR79" s="477" t="str">
        <f>IF(Summary_Products!AR63="","",Summary_Products!AR63)</f>
        <v/>
      </c>
      <c r="AS79" s="474" t="str">
        <f>IF(Summary_Products!AS63="","",Summary_Products!AS63)</f>
        <v/>
      </c>
      <c r="AT79" s="421" t="str">
        <f>IF(Summary_Products!AT63="","",INDEX(Translations!$C:$C,MATCH(Summary_Products!AT63,Translations!$B:$B,0)))</f>
        <v/>
      </c>
      <c r="AU79" s="615" t="str">
        <f>IF(Summary_Products!AU63="","",Summary_Products!AU63)</f>
        <v/>
      </c>
      <c r="AV79" s="473" t="str">
        <f>IF(Summary_Products!AV63="","",Summary_Products!AV63)</f>
        <v/>
      </c>
      <c r="AW79" s="474" t="str">
        <f>IF(Summary_Products!AW63="","",Summary_Products!AW63)</f>
        <v/>
      </c>
      <c r="AX79" s="477" t="str">
        <f>IF(Summary_Products!AX63="","",Summary_Products!AX63)</f>
        <v/>
      </c>
      <c r="AY79" s="474" t="str">
        <f>IF(Summary_Products!AY63="","",Summary_Products!AY63)</f>
        <v/>
      </c>
      <c r="AZ79" s="477" t="str">
        <f>IF(Summary_Products!AZ63="","",Summary_Products!AZ63)</f>
        <v/>
      </c>
      <c r="BA79" s="478" t="str">
        <f>IF(Summary_Products!BA63="","",Summary_Products!BA63)</f>
        <v/>
      </c>
      <c r="BD79" s="156"/>
      <c r="BE79" s="156"/>
      <c r="BF79" s="156"/>
      <c r="BG79" s="156"/>
    </row>
    <row r="80" spans="2:59" ht="12.5" x14ac:dyDescent="0.25">
      <c r="B80" s="277"/>
      <c r="C80" s="777">
        <v>55</v>
      </c>
      <c r="D80" s="766" t="str">
        <f>IF(Summary_Products!D64="","",Summary_Products!D64)</f>
        <v/>
      </c>
      <c r="E80" s="421" t="str">
        <f>IF(Summary_Products!E64="","",INDEX(Translations!$C:$C,MATCH(Summary_Products!E64,Translations!$B:$B,0)))</f>
        <v/>
      </c>
      <c r="F80" s="781" t="str">
        <f>IF(Summary_Products!F64="","",Summary_Products!F64)</f>
        <v/>
      </c>
      <c r="G80" s="766" t="str">
        <f>IF(F80="","",INDEX(Parameters_CNCodes!$H$4:$H$572,MATCH(F80,CNCodes_ListKey,0)))</f>
        <v/>
      </c>
      <c r="H80" s="766" t="str">
        <f>IF(Summary_Products!H64="","",Summary_Products!H64)</f>
        <v/>
      </c>
      <c r="I80" s="782" t="str">
        <f>IF(Summary_Products!I64="","",Summary_Products!I64)</f>
        <v/>
      </c>
      <c r="J80" s="782" t="str">
        <f>IF(Summary_Products!J64="","",Summary_Products!J64)</f>
        <v/>
      </c>
      <c r="K80" s="782" t="str">
        <f>IF(Summary_Products!K64="","",Summary_Products!K64)</f>
        <v/>
      </c>
      <c r="L80" s="782" t="str">
        <f>IF(Summary_Products!L64="","",Summary_Products!L64)</f>
        <v/>
      </c>
      <c r="M80" s="783" t="str">
        <f>IF(Summary_Products!M64="","",Summary_Products!M64)</f>
        <v/>
      </c>
      <c r="N80" s="782" t="str">
        <f>IF(Summary_Products!N64="","",Summary_Products!N64)</f>
        <v/>
      </c>
      <c r="O80" s="782" t="str">
        <f>IF(Summary_Products!O64="","",Summary_Products!O64)</f>
        <v/>
      </c>
      <c r="P80" s="782" t="str">
        <f t="shared" si="0"/>
        <v/>
      </c>
      <c r="Q80" s="160" t="str">
        <f>IF(Summary_Products!P64="","",INDEX(Translations!$C:$C,MATCH(Summary_Products!P64,Translations!$B:$B,0)))</f>
        <v/>
      </c>
      <c r="R80" s="160" t="str">
        <f>IF(Summary_Products!Q64="","",Summary_Products!Q64)</f>
        <v/>
      </c>
      <c r="S80" s="615" t="str">
        <f>IF(Summary_Products!R64="","",Summary_Products!R64)</f>
        <v/>
      </c>
      <c r="T80" s="615" t="str">
        <f>IF(Summary_Products!S64="","",Summary_Products!S64)</f>
        <v/>
      </c>
      <c r="U80" s="615" t="str">
        <f>IF(Summary_Products!T64="","",Summary_Products!T64)</f>
        <v/>
      </c>
      <c r="V80" s="615" t="str">
        <f>IF(Summary_Products!U64="","",Summary_Products!U64)</f>
        <v/>
      </c>
      <c r="W80" s="615" t="str">
        <f>IF(Summary_Products!V64="","",Summary_Products!V64)</f>
        <v/>
      </c>
      <c r="X80" s="615" t="str">
        <f>IF(Summary_Products!W64="","",Summary_Products!W64)</f>
        <v/>
      </c>
      <c r="Y80" s="615" t="str">
        <f>IF(Summary_Products!X64="","",Summary_Products!X64)</f>
        <v/>
      </c>
      <c r="Z80" s="615" t="str">
        <f>IF(Summary_Products!Y64="","",Summary_Products!Y64)</f>
        <v/>
      </c>
      <c r="AA80" s="615" t="str">
        <f>IF(Summary_Products!Z64="","",Summary_Products!Z64)</f>
        <v/>
      </c>
      <c r="AB80" s="615" t="str">
        <f>IF(Summary_Products!AA64="","",Summary_Products!AA64)</f>
        <v/>
      </c>
      <c r="AC80" s="615" t="str">
        <f>IF(Summary_Products!AB64="","",Summary_Products!AB64)</f>
        <v/>
      </c>
      <c r="AD80" s="615" t="str">
        <f>IF(Summary_Products!AC64="","",Summary_Products!AC64)</f>
        <v/>
      </c>
      <c r="AE80" s="615" t="str">
        <f>IF(Summary_Products!AD64="","",Summary_Products!AD64)</f>
        <v/>
      </c>
      <c r="AF80" s="615" t="str">
        <f>IF(Summary_Products!AE64="","",Summary_Products!AE64)</f>
        <v/>
      </c>
      <c r="AG80" s="615" t="str">
        <f>IF(Summary_Products!AF64="","",Summary_Products!AF64)</f>
        <v/>
      </c>
      <c r="AH80" s="615" t="str">
        <f>IF(Summary_Products!AG64="","",Summary_Products!AG64)</f>
        <v/>
      </c>
      <c r="AI80" s="615" t="str">
        <f>IF(Summary_Products!AH64="","",Summary_Products!AH64)</f>
        <v/>
      </c>
      <c r="AJ80" s="615" t="str">
        <f>IF(Summary_Products!AI64="","",Summary_Products!AI64)</f>
        <v/>
      </c>
      <c r="AK80" s="615" t="str">
        <f>IF(Summary_Products!AJ64="","",Summary_Products!AJ64)</f>
        <v/>
      </c>
      <c r="AL80" s="615" t="str">
        <f>IF(Summary_Products!AK64="","",Summary_Products!AK64)</f>
        <v/>
      </c>
      <c r="AM80" s="421" t="str">
        <f>IF(Summary_Products!AL64="","",INDEX(Translations!$C:$C,MATCH(Summary_Products!AL64,Translations!$B:$B,0)))</f>
        <v/>
      </c>
      <c r="AN80" s="615" t="str">
        <f>IF(Summary_Products!AM64="","",Summary_Products!AM64)</f>
        <v/>
      </c>
      <c r="AO80" s="473" t="str">
        <f>IF(Summary_Products!AN64="","",Summary_Products!AN64)</f>
        <v/>
      </c>
      <c r="AP80" s="474" t="str">
        <f>IF(Summary_Products!AO64="","",Summary_Products!AO64)</f>
        <v/>
      </c>
      <c r="AQ80" s="160" t="str">
        <f>IF(Summary_Products!AP64="","",Summary_Products!AP64)</f>
        <v/>
      </c>
      <c r="AR80" s="477" t="str">
        <f>IF(Summary_Products!AR64="","",Summary_Products!AR64)</f>
        <v/>
      </c>
      <c r="AS80" s="474" t="str">
        <f>IF(Summary_Products!AS64="","",Summary_Products!AS64)</f>
        <v/>
      </c>
      <c r="AT80" s="421" t="str">
        <f>IF(Summary_Products!AT64="","",INDEX(Translations!$C:$C,MATCH(Summary_Products!AT64,Translations!$B:$B,0)))</f>
        <v/>
      </c>
      <c r="AU80" s="615" t="str">
        <f>IF(Summary_Products!AU64="","",Summary_Products!AU64)</f>
        <v/>
      </c>
      <c r="AV80" s="473" t="str">
        <f>IF(Summary_Products!AV64="","",Summary_Products!AV64)</f>
        <v/>
      </c>
      <c r="AW80" s="474" t="str">
        <f>IF(Summary_Products!AW64="","",Summary_Products!AW64)</f>
        <v/>
      </c>
      <c r="AX80" s="477" t="str">
        <f>IF(Summary_Products!AX64="","",Summary_Products!AX64)</f>
        <v/>
      </c>
      <c r="AY80" s="474" t="str">
        <f>IF(Summary_Products!AY64="","",Summary_Products!AY64)</f>
        <v/>
      </c>
      <c r="AZ80" s="477" t="str">
        <f>IF(Summary_Products!AZ64="","",Summary_Products!AZ64)</f>
        <v/>
      </c>
      <c r="BA80" s="478" t="str">
        <f>IF(Summary_Products!BA64="","",Summary_Products!BA64)</f>
        <v/>
      </c>
      <c r="BD80" s="156"/>
      <c r="BE80" s="156"/>
      <c r="BF80" s="156"/>
      <c r="BG80" s="156"/>
    </row>
    <row r="81" spans="2:59" ht="12.5" x14ac:dyDescent="0.25">
      <c r="B81" s="277"/>
      <c r="C81" s="777">
        <v>56</v>
      </c>
      <c r="D81" s="766" t="str">
        <f>IF(Summary_Products!D65="","",Summary_Products!D65)</f>
        <v/>
      </c>
      <c r="E81" s="421" t="str">
        <f>IF(Summary_Products!E65="","",INDEX(Translations!$C:$C,MATCH(Summary_Products!E65,Translations!$B:$B,0)))</f>
        <v/>
      </c>
      <c r="F81" s="781" t="str">
        <f>IF(Summary_Products!F65="","",Summary_Products!F65)</f>
        <v/>
      </c>
      <c r="G81" s="766" t="str">
        <f>IF(F81="","",INDEX(Parameters_CNCodes!$H$4:$H$572,MATCH(F81,CNCodes_ListKey,0)))</f>
        <v/>
      </c>
      <c r="H81" s="766" t="str">
        <f>IF(Summary_Products!H65="","",Summary_Products!H65)</f>
        <v/>
      </c>
      <c r="I81" s="782" t="str">
        <f>IF(Summary_Products!I65="","",Summary_Products!I65)</f>
        <v/>
      </c>
      <c r="J81" s="782" t="str">
        <f>IF(Summary_Products!J65="","",Summary_Products!J65)</f>
        <v/>
      </c>
      <c r="K81" s="782" t="str">
        <f>IF(Summary_Products!K65="","",Summary_Products!K65)</f>
        <v/>
      </c>
      <c r="L81" s="782" t="str">
        <f>IF(Summary_Products!L65="","",Summary_Products!L65)</f>
        <v/>
      </c>
      <c r="M81" s="783" t="str">
        <f>IF(Summary_Products!M65="","",Summary_Products!M65)</f>
        <v/>
      </c>
      <c r="N81" s="782" t="str">
        <f>IF(Summary_Products!N65="","",Summary_Products!N65)</f>
        <v/>
      </c>
      <c r="O81" s="782" t="str">
        <f>IF(Summary_Products!O65="","",Summary_Products!O65)</f>
        <v/>
      </c>
      <c r="P81" s="782" t="str">
        <f t="shared" si="0"/>
        <v/>
      </c>
      <c r="Q81" s="160" t="str">
        <f>IF(Summary_Products!P65="","",INDEX(Translations!$C:$C,MATCH(Summary_Products!P65,Translations!$B:$B,0)))</f>
        <v/>
      </c>
      <c r="R81" s="160" t="str">
        <f>IF(Summary_Products!Q65="","",Summary_Products!Q65)</f>
        <v/>
      </c>
      <c r="S81" s="615" t="str">
        <f>IF(Summary_Products!R65="","",Summary_Products!R65)</f>
        <v/>
      </c>
      <c r="T81" s="615" t="str">
        <f>IF(Summary_Products!S65="","",Summary_Products!S65)</f>
        <v/>
      </c>
      <c r="U81" s="615" t="str">
        <f>IF(Summary_Products!T65="","",Summary_Products!T65)</f>
        <v/>
      </c>
      <c r="V81" s="615" t="str">
        <f>IF(Summary_Products!U65="","",Summary_Products!U65)</f>
        <v/>
      </c>
      <c r="W81" s="615" t="str">
        <f>IF(Summary_Products!V65="","",Summary_Products!V65)</f>
        <v/>
      </c>
      <c r="X81" s="615" t="str">
        <f>IF(Summary_Products!W65="","",Summary_Products!W65)</f>
        <v/>
      </c>
      <c r="Y81" s="615" t="str">
        <f>IF(Summary_Products!X65="","",Summary_Products!X65)</f>
        <v/>
      </c>
      <c r="Z81" s="615" t="str">
        <f>IF(Summary_Products!Y65="","",Summary_Products!Y65)</f>
        <v/>
      </c>
      <c r="AA81" s="615" t="str">
        <f>IF(Summary_Products!Z65="","",Summary_Products!Z65)</f>
        <v/>
      </c>
      <c r="AB81" s="615" t="str">
        <f>IF(Summary_Products!AA65="","",Summary_Products!AA65)</f>
        <v/>
      </c>
      <c r="AC81" s="615" t="str">
        <f>IF(Summary_Products!AB65="","",Summary_Products!AB65)</f>
        <v/>
      </c>
      <c r="AD81" s="615" t="str">
        <f>IF(Summary_Products!AC65="","",Summary_Products!AC65)</f>
        <v/>
      </c>
      <c r="AE81" s="615" t="str">
        <f>IF(Summary_Products!AD65="","",Summary_Products!AD65)</f>
        <v/>
      </c>
      <c r="AF81" s="615" t="str">
        <f>IF(Summary_Products!AE65="","",Summary_Products!AE65)</f>
        <v/>
      </c>
      <c r="AG81" s="615" t="str">
        <f>IF(Summary_Products!AF65="","",Summary_Products!AF65)</f>
        <v/>
      </c>
      <c r="AH81" s="615" t="str">
        <f>IF(Summary_Products!AG65="","",Summary_Products!AG65)</f>
        <v/>
      </c>
      <c r="AI81" s="615" t="str">
        <f>IF(Summary_Products!AH65="","",Summary_Products!AH65)</f>
        <v/>
      </c>
      <c r="AJ81" s="615" t="str">
        <f>IF(Summary_Products!AI65="","",Summary_Products!AI65)</f>
        <v/>
      </c>
      <c r="AK81" s="615" t="str">
        <f>IF(Summary_Products!AJ65="","",Summary_Products!AJ65)</f>
        <v/>
      </c>
      <c r="AL81" s="615" t="str">
        <f>IF(Summary_Products!AK65="","",Summary_Products!AK65)</f>
        <v/>
      </c>
      <c r="AM81" s="421" t="str">
        <f>IF(Summary_Products!AL65="","",INDEX(Translations!$C:$C,MATCH(Summary_Products!AL65,Translations!$B:$B,0)))</f>
        <v/>
      </c>
      <c r="AN81" s="615" t="str">
        <f>IF(Summary_Products!AM65="","",Summary_Products!AM65)</f>
        <v/>
      </c>
      <c r="AO81" s="473" t="str">
        <f>IF(Summary_Products!AN65="","",Summary_Products!AN65)</f>
        <v/>
      </c>
      <c r="AP81" s="474" t="str">
        <f>IF(Summary_Products!AO65="","",Summary_Products!AO65)</f>
        <v/>
      </c>
      <c r="AQ81" s="160" t="str">
        <f>IF(Summary_Products!AP65="","",Summary_Products!AP65)</f>
        <v/>
      </c>
      <c r="AR81" s="477" t="str">
        <f>IF(Summary_Products!AR65="","",Summary_Products!AR65)</f>
        <v/>
      </c>
      <c r="AS81" s="474" t="str">
        <f>IF(Summary_Products!AS65="","",Summary_Products!AS65)</f>
        <v/>
      </c>
      <c r="AT81" s="421" t="str">
        <f>IF(Summary_Products!AT65="","",INDEX(Translations!$C:$C,MATCH(Summary_Products!AT65,Translations!$B:$B,0)))</f>
        <v/>
      </c>
      <c r="AU81" s="615" t="str">
        <f>IF(Summary_Products!AU65="","",Summary_Products!AU65)</f>
        <v/>
      </c>
      <c r="AV81" s="473" t="str">
        <f>IF(Summary_Products!AV65="","",Summary_Products!AV65)</f>
        <v/>
      </c>
      <c r="AW81" s="474" t="str">
        <f>IF(Summary_Products!AW65="","",Summary_Products!AW65)</f>
        <v/>
      </c>
      <c r="AX81" s="477" t="str">
        <f>IF(Summary_Products!AX65="","",Summary_Products!AX65)</f>
        <v/>
      </c>
      <c r="AY81" s="474" t="str">
        <f>IF(Summary_Products!AY65="","",Summary_Products!AY65)</f>
        <v/>
      </c>
      <c r="AZ81" s="477" t="str">
        <f>IF(Summary_Products!AZ65="","",Summary_Products!AZ65)</f>
        <v/>
      </c>
      <c r="BA81" s="478" t="str">
        <f>IF(Summary_Products!BA65="","",Summary_Products!BA65)</f>
        <v/>
      </c>
      <c r="BD81" s="156"/>
      <c r="BE81" s="156"/>
      <c r="BF81" s="156"/>
      <c r="BG81" s="156"/>
    </row>
    <row r="82" spans="2:59" ht="12.5" x14ac:dyDescent="0.25">
      <c r="B82" s="277"/>
      <c r="C82" s="777">
        <v>57</v>
      </c>
      <c r="D82" s="766" t="str">
        <f>IF(Summary_Products!D66="","",Summary_Products!D66)</f>
        <v/>
      </c>
      <c r="E82" s="421" t="str">
        <f>IF(Summary_Products!E66="","",INDEX(Translations!$C:$C,MATCH(Summary_Products!E66,Translations!$B:$B,0)))</f>
        <v/>
      </c>
      <c r="F82" s="781" t="str">
        <f>IF(Summary_Products!F66="","",Summary_Products!F66)</f>
        <v/>
      </c>
      <c r="G82" s="766" t="str">
        <f>IF(F82="","",INDEX(Parameters_CNCodes!$H$4:$H$572,MATCH(F82,CNCodes_ListKey,0)))</f>
        <v/>
      </c>
      <c r="H82" s="766" t="str">
        <f>IF(Summary_Products!H66="","",Summary_Products!H66)</f>
        <v/>
      </c>
      <c r="I82" s="782" t="str">
        <f>IF(Summary_Products!I66="","",Summary_Products!I66)</f>
        <v/>
      </c>
      <c r="J82" s="782" t="str">
        <f>IF(Summary_Products!J66="","",Summary_Products!J66)</f>
        <v/>
      </c>
      <c r="K82" s="782" t="str">
        <f>IF(Summary_Products!K66="","",Summary_Products!K66)</f>
        <v/>
      </c>
      <c r="L82" s="782" t="str">
        <f>IF(Summary_Products!L66="","",Summary_Products!L66)</f>
        <v/>
      </c>
      <c r="M82" s="783" t="str">
        <f>IF(Summary_Products!M66="","",Summary_Products!M66)</f>
        <v/>
      </c>
      <c r="N82" s="782" t="str">
        <f>IF(Summary_Products!N66="","",Summary_Products!N66)</f>
        <v/>
      </c>
      <c r="O82" s="782" t="str">
        <f>IF(Summary_Products!O66="","",Summary_Products!O66)</f>
        <v/>
      </c>
      <c r="P82" s="782" t="str">
        <f t="shared" si="0"/>
        <v/>
      </c>
      <c r="Q82" s="160" t="str">
        <f>IF(Summary_Products!P66="","",INDEX(Translations!$C:$C,MATCH(Summary_Products!P66,Translations!$B:$B,0)))</f>
        <v/>
      </c>
      <c r="R82" s="160" t="str">
        <f>IF(Summary_Products!Q66="","",Summary_Products!Q66)</f>
        <v/>
      </c>
      <c r="S82" s="615" t="str">
        <f>IF(Summary_Products!R66="","",Summary_Products!R66)</f>
        <v/>
      </c>
      <c r="T82" s="615" t="str">
        <f>IF(Summary_Products!S66="","",Summary_Products!S66)</f>
        <v/>
      </c>
      <c r="U82" s="615" t="str">
        <f>IF(Summary_Products!T66="","",Summary_Products!T66)</f>
        <v/>
      </c>
      <c r="V82" s="615" t="str">
        <f>IF(Summary_Products!U66="","",Summary_Products!U66)</f>
        <v/>
      </c>
      <c r="W82" s="615" t="str">
        <f>IF(Summary_Products!V66="","",Summary_Products!V66)</f>
        <v/>
      </c>
      <c r="X82" s="615" t="str">
        <f>IF(Summary_Products!W66="","",Summary_Products!W66)</f>
        <v/>
      </c>
      <c r="Y82" s="615" t="str">
        <f>IF(Summary_Products!X66="","",Summary_Products!X66)</f>
        <v/>
      </c>
      <c r="Z82" s="615" t="str">
        <f>IF(Summary_Products!Y66="","",Summary_Products!Y66)</f>
        <v/>
      </c>
      <c r="AA82" s="615" t="str">
        <f>IF(Summary_Products!Z66="","",Summary_Products!Z66)</f>
        <v/>
      </c>
      <c r="AB82" s="615" t="str">
        <f>IF(Summary_Products!AA66="","",Summary_Products!AA66)</f>
        <v/>
      </c>
      <c r="AC82" s="615" t="str">
        <f>IF(Summary_Products!AB66="","",Summary_Products!AB66)</f>
        <v/>
      </c>
      <c r="AD82" s="615" t="str">
        <f>IF(Summary_Products!AC66="","",Summary_Products!AC66)</f>
        <v/>
      </c>
      <c r="AE82" s="615" t="str">
        <f>IF(Summary_Products!AD66="","",Summary_Products!AD66)</f>
        <v/>
      </c>
      <c r="AF82" s="615" t="str">
        <f>IF(Summary_Products!AE66="","",Summary_Products!AE66)</f>
        <v/>
      </c>
      <c r="AG82" s="615" t="str">
        <f>IF(Summary_Products!AF66="","",Summary_Products!AF66)</f>
        <v/>
      </c>
      <c r="AH82" s="615" t="str">
        <f>IF(Summary_Products!AG66="","",Summary_Products!AG66)</f>
        <v/>
      </c>
      <c r="AI82" s="615" t="str">
        <f>IF(Summary_Products!AH66="","",Summary_Products!AH66)</f>
        <v/>
      </c>
      <c r="AJ82" s="615" t="str">
        <f>IF(Summary_Products!AI66="","",Summary_Products!AI66)</f>
        <v/>
      </c>
      <c r="AK82" s="615" t="str">
        <f>IF(Summary_Products!AJ66="","",Summary_Products!AJ66)</f>
        <v/>
      </c>
      <c r="AL82" s="615" t="str">
        <f>IF(Summary_Products!AK66="","",Summary_Products!AK66)</f>
        <v/>
      </c>
      <c r="AM82" s="421" t="str">
        <f>IF(Summary_Products!AL66="","",INDEX(Translations!$C:$C,MATCH(Summary_Products!AL66,Translations!$B:$B,0)))</f>
        <v/>
      </c>
      <c r="AN82" s="615" t="str">
        <f>IF(Summary_Products!AM66="","",Summary_Products!AM66)</f>
        <v/>
      </c>
      <c r="AO82" s="473" t="str">
        <f>IF(Summary_Products!AN66="","",Summary_Products!AN66)</f>
        <v/>
      </c>
      <c r="AP82" s="474" t="str">
        <f>IF(Summary_Products!AO66="","",Summary_Products!AO66)</f>
        <v/>
      </c>
      <c r="AQ82" s="160" t="str">
        <f>IF(Summary_Products!AP66="","",Summary_Products!AP66)</f>
        <v/>
      </c>
      <c r="AR82" s="477" t="str">
        <f>IF(Summary_Products!AR66="","",Summary_Products!AR66)</f>
        <v/>
      </c>
      <c r="AS82" s="474" t="str">
        <f>IF(Summary_Products!AS66="","",Summary_Products!AS66)</f>
        <v/>
      </c>
      <c r="AT82" s="421" t="str">
        <f>IF(Summary_Products!AT66="","",INDEX(Translations!$C:$C,MATCH(Summary_Products!AT66,Translations!$B:$B,0)))</f>
        <v/>
      </c>
      <c r="AU82" s="615" t="str">
        <f>IF(Summary_Products!AU66="","",Summary_Products!AU66)</f>
        <v/>
      </c>
      <c r="AV82" s="473" t="str">
        <f>IF(Summary_Products!AV66="","",Summary_Products!AV66)</f>
        <v/>
      </c>
      <c r="AW82" s="474" t="str">
        <f>IF(Summary_Products!AW66="","",Summary_Products!AW66)</f>
        <v/>
      </c>
      <c r="AX82" s="477" t="str">
        <f>IF(Summary_Products!AX66="","",Summary_Products!AX66)</f>
        <v/>
      </c>
      <c r="AY82" s="474" t="str">
        <f>IF(Summary_Products!AY66="","",Summary_Products!AY66)</f>
        <v/>
      </c>
      <c r="AZ82" s="477" t="str">
        <f>IF(Summary_Products!AZ66="","",Summary_Products!AZ66)</f>
        <v/>
      </c>
      <c r="BA82" s="478" t="str">
        <f>IF(Summary_Products!BA66="","",Summary_Products!BA66)</f>
        <v/>
      </c>
      <c r="BD82" s="156"/>
      <c r="BE82" s="156"/>
      <c r="BF82" s="156"/>
      <c r="BG82" s="156"/>
    </row>
    <row r="83" spans="2:59" ht="12.5" x14ac:dyDescent="0.25">
      <c r="B83" s="277"/>
      <c r="C83" s="777">
        <v>58</v>
      </c>
      <c r="D83" s="766" t="str">
        <f>IF(Summary_Products!D67="","",Summary_Products!D67)</f>
        <v/>
      </c>
      <c r="E83" s="421" t="str">
        <f>IF(Summary_Products!E67="","",INDEX(Translations!$C:$C,MATCH(Summary_Products!E67,Translations!$B:$B,0)))</f>
        <v/>
      </c>
      <c r="F83" s="781" t="str">
        <f>IF(Summary_Products!F67="","",Summary_Products!F67)</f>
        <v/>
      </c>
      <c r="G83" s="766" t="str">
        <f>IF(F83="","",INDEX(Parameters_CNCodes!$H$4:$H$572,MATCH(F83,CNCodes_ListKey,0)))</f>
        <v/>
      </c>
      <c r="H83" s="766" t="str">
        <f>IF(Summary_Products!H67="","",Summary_Products!H67)</f>
        <v/>
      </c>
      <c r="I83" s="782" t="str">
        <f>IF(Summary_Products!I67="","",Summary_Products!I67)</f>
        <v/>
      </c>
      <c r="J83" s="782" t="str">
        <f>IF(Summary_Products!J67="","",Summary_Products!J67)</f>
        <v/>
      </c>
      <c r="K83" s="782" t="str">
        <f>IF(Summary_Products!K67="","",Summary_Products!K67)</f>
        <v/>
      </c>
      <c r="L83" s="782" t="str">
        <f>IF(Summary_Products!L67="","",Summary_Products!L67)</f>
        <v/>
      </c>
      <c r="M83" s="783" t="str">
        <f>IF(Summary_Products!M67="","",Summary_Products!M67)</f>
        <v/>
      </c>
      <c r="N83" s="782" t="str">
        <f>IF(Summary_Products!N67="","",Summary_Products!N67)</f>
        <v/>
      </c>
      <c r="O83" s="782" t="str">
        <f>IF(Summary_Products!O67="","",Summary_Products!O67)</f>
        <v/>
      </c>
      <c r="P83" s="782" t="str">
        <f t="shared" si="0"/>
        <v/>
      </c>
      <c r="Q83" s="160" t="str">
        <f>IF(Summary_Products!P67="","",INDEX(Translations!$C:$C,MATCH(Summary_Products!P67,Translations!$B:$B,0)))</f>
        <v/>
      </c>
      <c r="R83" s="160" t="str">
        <f>IF(Summary_Products!Q67="","",Summary_Products!Q67)</f>
        <v/>
      </c>
      <c r="S83" s="615" t="str">
        <f>IF(Summary_Products!R67="","",Summary_Products!R67)</f>
        <v/>
      </c>
      <c r="T83" s="615" t="str">
        <f>IF(Summary_Products!S67="","",Summary_Products!S67)</f>
        <v/>
      </c>
      <c r="U83" s="615" t="str">
        <f>IF(Summary_Products!T67="","",Summary_Products!T67)</f>
        <v/>
      </c>
      <c r="V83" s="615" t="str">
        <f>IF(Summary_Products!U67="","",Summary_Products!U67)</f>
        <v/>
      </c>
      <c r="W83" s="615" t="str">
        <f>IF(Summary_Products!V67="","",Summary_Products!V67)</f>
        <v/>
      </c>
      <c r="X83" s="615" t="str">
        <f>IF(Summary_Products!W67="","",Summary_Products!W67)</f>
        <v/>
      </c>
      <c r="Y83" s="615" t="str">
        <f>IF(Summary_Products!X67="","",Summary_Products!X67)</f>
        <v/>
      </c>
      <c r="Z83" s="615" t="str">
        <f>IF(Summary_Products!Y67="","",Summary_Products!Y67)</f>
        <v/>
      </c>
      <c r="AA83" s="615" t="str">
        <f>IF(Summary_Products!Z67="","",Summary_Products!Z67)</f>
        <v/>
      </c>
      <c r="AB83" s="615" t="str">
        <f>IF(Summary_Products!AA67="","",Summary_Products!AA67)</f>
        <v/>
      </c>
      <c r="AC83" s="615" t="str">
        <f>IF(Summary_Products!AB67="","",Summary_Products!AB67)</f>
        <v/>
      </c>
      <c r="AD83" s="615" t="str">
        <f>IF(Summary_Products!AC67="","",Summary_Products!AC67)</f>
        <v/>
      </c>
      <c r="AE83" s="615" t="str">
        <f>IF(Summary_Products!AD67="","",Summary_Products!AD67)</f>
        <v/>
      </c>
      <c r="AF83" s="615" t="str">
        <f>IF(Summary_Products!AE67="","",Summary_Products!AE67)</f>
        <v/>
      </c>
      <c r="AG83" s="615" t="str">
        <f>IF(Summary_Products!AF67="","",Summary_Products!AF67)</f>
        <v/>
      </c>
      <c r="AH83" s="615" t="str">
        <f>IF(Summary_Products!AG67="","",Summary_Products!AG67)</f>
        <v/>
      </c>
      <c r="AI83" s="615" t="str">
        <f>IF(Summary_Products!AH67="","",Summary_Products!AH67)</f>
        <v/>
      </c>
      <c r="AJ83" s="615" t="str">
        <f>IF(Summary_Products!AI67="","",Summary_Products!AI67)</f>
        <v/>
      </c>
      <c r="AK83" s="615" t="str">
        <f>IF(Summary_Products!AJ67="","",Summary_Products!AJ67)</f>
        <v/>
      </c>
      <c r="AL83" s="615" t="str">
        <f>IF(Summary_Products!AK67="","",Summary_Products!AK67)</f>
        <v/>
      </c>
      <c r="AM83" s="421" t="str">
        <f>IF(Summary_Products!AL67="","",INDEX(Translations!$C:$C,MATCH(Summary_Products!AL67,Translations!$B:$B,0)))</f>
        <v/>
      </c>
      <c r="AN83" s="615" t="str">
        <f>IF(Summary_Products!AM67="","",Summary_Products!AM67)</f>
        <v/>
      </c>
      <c r="AO83" s="473" t="str">
        <f>IF(Summary_Products!AN67="","",Summary_Products!AN67)</f>
        <v/>
      </c>
      <c r="AP83" s="474" t="str">
        <f>IF(Summary_Products!AO67="","",Summary_Products!AO67)</f>
        <v/>
      </c>
      <c r="AQ83" s="160" t="str">
        <f>IF(Summary_Products!AP67="","",Summary_Products!AP67)</f>
        <v/>
      </c>
      <c r="AR83" s="477" t="str">
        <f>IF(Summary_Products!AR67="","",Summary_Products!AR67)</f>
        <v/>
      </c>
      <c r="AS83" s="474" t="str">
        <f>IF(Summary_Products!AS67="","",Summary_Products!AS67)</f>
        <v/>
      </c>
      <c r="AT83" s="421" t="str">
        <f>IF(Summary_Products!AT67="","",INDEX(Translations!$C:$C,MATCH(Summary_Products!AT67,Translations!$B:$B,0)))</f>
        <v/>
      </c>
      <c r="AU83" s="615" t="str">
        <f>IF(Summary_Products!AU67="","",Summary_Products!AU67)</f>
        <v/>
      </c>
      <c r="AV83" s="473" t="str">
        <f>IF(Summary_Products!AV67="","",Summary_Products!AV67)</f>
        <v/>
      </c>
      <c r="AW83" s="474" t="str">
        <f>IF(Summary_Products!AW67="","",Summary_Products!AW67)</f>
        <v/>
      </c>
      <c r="AX83" s="477" t="str">
        <f>IF(Summary_Products!AX67="","",Summary_Products!AX67)</f>
        <v/>
      </c>
      <c r="AY83" s="474" t="str">
        <f>IF(Summary_Products!AY67="","",Summary_Products!AY67)</f>
        <v/>
      </c>
      <c r="AZ83" s="477" t="str">
        <f>IF(Summary_Products!AZ67="","",Summary_Products!AZ67)</f>
        <v/>
      </c>
      <c r="BA83" s="478" t="str">
        <f>IF(Summary_Products!BA67="","",Summary_Products!BA67)</f>
        <v/>
      </c>
      <c r="BD83" s="156"/>
      <c r="BE83" s="156"/>
      <c r="BF83" s="156"/>
      <c r="BG83" s="156"/>
    </row>
    <row r="84" spans="2:59" ht="12.5" x14ac:dyDescent="0.25">
      <c r="B84" s="277"/>
      <c r="C84" s="777">
        <v>59</v>
      </c>
      <c r="D84" s="766" t="str">
        <f>IF(Summary_Products!D68="","",Summary_Products!D68)</f>
        <v/>
      </c>
      <c r="E84" s="421" t="str">
        <f>IF(Summary_Products!E68="","",INDEX(Translations!$C:$C,MATCH(Summary_Products!E68,Translations!$B:$B,0)))</f>
        <v/>
      </c>
      <c r="F84" s="781" t="str">
        <f>IF(Summary_Products!F68="","",Summary_Products!F68)</f>
        <v/>
      </c>
      <c r="G84" s="766" t="str">
        <f>IF(F84="","",INDEX(Parameters_CNCodes!$H$4:$H$572,MATCH(F84,CNCodes_ListKey,0)))</f>
        <v/>
      </c>
      <c r="H84" s="766" t="str">
        <f>IF(Summary_Products!H68="","",Summary_Products!H68)</f>
        <v/>
      </c>
      <c r="I84" s="782" t="str">
        <f>IF(Summary_Products!I68="","",Summary_Products!I68)</f>
        <v/>
      </c>
      <c r="J84" s="782" t="str">
        <f>IF(Summary_Products!J68="","",Summary_Products!J68)</f>
        <v/>
      </c>
      <c r="K84" s="782" t="str">
        <f>IF(Summary_Products!K68="","",Summary_Products!K68)</f>
        <v/>
      </c>
      <c r="L84" s="782" t="str">
        <f>IF(Summary_Products!L68="","",Summary_Products!L68)</f>
        <v/>
      </c>
      <c r="M84" s="783" t="str">
        <f>IF(Summary_Products!M68="","",Summary_Products!M68)</f>
        <v/>
      </c>
      <c r="N84" s="782" t="str">
        <f>IF(Summary_Products!N68="","",Summary_Products!N68)</f>
        <v/>
      </c>
      <c r="O84" s="782" t="str">
        <f>IF(Summary_Products!O68="","",Summary_Products!O68)</f>
        <v/>
      </c>
      <c r="P84" s="782" t="str">
        <f t="shared" si="0"/>
        <v/>
      </c>
      <c r="Q84" s="160" t="str">
        <f>IF(Summary_Products!P68="","",INDEX(Translations!$C:$C,MATCH(Summary_Products!P68,Translations!$B:$B,0)))</f>
        <v/>
      </c>
      <c r="R84" s="160" t="str">
        <f>IF(Summary_Products!Q68="","",Summary_Products!Q68)</f>
        <v/>
      </c>
      <c r="S84" s="615" t="str">
        <f>IF(Summary_Products!R68="","",Summary_Products!R68)</f>
        <v/>
      </c>
      <c r="T84" s="615" t="str">
        <f>IF(Summary_Products!S68="","",Summary_Products!S68)</f>
        <v/>
      </c>
      <c r="U84" s="615" t="str">
        <f>IF(Summary_Products!T68="","",Summary_Products!T68)</f>
        <v/>
      </c>
      <c r="V84" s="615" t="str">
        <f>IF(Summary_Products!U68="","",Summary_Products!U68)</f>
        <v/>
      </c>
      <c r="W84" s="615" t="str">
        <f>IF(Summary_Products!V68="","",Summary_Products!V68)</f>
        <v/>
      </c>
      <c r="X84" s="615" t="str">
        <f>IF(Summary_Products!W68="","",Summary_Products!W68)</f>
        <v/>
      </c>
      <c r="Y84" s="615" t="str">
        <f>IF(Summary_Products!X68="","",Summary_Products!X68)</f>
        <v/>
      </c>
      <c r="Z84" s="615" t="str">
        <f>IF(Summary_Products!Y68="","",Summary_Products!Y68)</f>
        <v/>
      </c>
      <c r="AA84" s="615" t="str">
        <f>IF(Summary_Products!Z68="","",Summary_Products!Z68)</f>
        <v/>
      </c>
      <c r="AB84" s="615" t="str">
        <f>IF(Summary_Products!AA68="","",Summary_Products!AA68)</f>
        <v/>
      </c>
      <c r="AC84" s="615" t="str">
        <f>IF(Summary_Products!AB68="","",Summary_Products!AB68)</f>
        <v/>
      </c>
      <c r="AD84" s="615" t="str">
        <f>IF(Summary_Products!AC68="","",Summary_Products!AC68)</f>
        <v/>
      </c>
      <c r="AE84" s="615" t="str">
        <f>IF(Summary_Products!AD68="","",Summary_Products!AD68)</f>
        <v/>
      </c>
      <c r="AF84" s="615" t="str">
        <f>IF(Summary_Products!AE68="","",Summary_Products!AE68)</f>
        <v/>
      </c>
      <c r="AG84" s="615" t="str">
        <f>IF(Summary_Products!AF68="","",Summary_Products!AF68)</f>
        <v/>
      </c>
      <c r="AH84" s="615" t="str">
        <f>IF(Summary_Products!AG68="","",Summary_Products!AG68)</f>
        <v/>
      </c>
      <c r="AI84" s="615" t="str">
        <f>IF(Summary_Products!AH68="","",Summary_Products!AH68)</f>
        <v/>
      </c>
      <c r="AJ84" s="615" t="str">
        <f>IF(Summary_Products!AI68="","",Summary_Products!AI68)</f>
        <v/>
      </c>
      <c r="AK84" s="615" t="str">
        <f>IF(Summary_Products!AJ68="","",Summary_Products!AJ68)</f>
        <v/>
      </c>
      <c r="AL84" s="615" t="str">
        <f>IF(Summary_Products!AK68="","",Summary_Products!AK68)</f>
        <v/>
      </c>
      <c r="AM84" s="421" t="str">
        <f>IF(Summary_Products!AL68="","",INDEX(Translations!$C:$C,MATCH(Summary_Products!AL68,Translations!$B:$B,0)))</f>
        <v/>
      </c>
      <c r="AN84" s="615" t="str">
        <f>IF(Summary_Products!AM68="","",Summary_Products!AM68)</f>
        <v/>
      </c>
      <c r="AO84" s="473" t="str">
        <f>IF(Summary_Products!AN68="","",Summary_Products!AN68)</f>
        <v/>
      </c>
      <c r="AP84" s="474" t="str">
        <f>IF(Summary_Products!AO68="","",Summary_Products!AO68)</f>
        <v/>
      </c>
      <c r="AQ84" s="160" t="str">
        <f>IF(Summary_Products!AP68="","",Summary_Products!AP68)</f>
        <v/>
      </c>
      <c r="AR84" s="477" t="str">
        <f>IF(Summary_Products!AR68="","",Summary_Products!AR68)</f>
        <v/>
      </c>
      <c r="AS84" s="474" t="str">
        <f>IF(Summary_Products!AS68="","",Summary_Products!AS68)</f>
        <v/>
      </c>
      <c r="AT84" s="421" t="str">
        <f>IF(Summary_Products!AT68="","",INDEX(Translations!$C:$C,MATCH(Summary_Products!AT68,Translations!$B:$B,0)))</f>
        <v/>
      </c>
      <c r="AU84" s="615" t="str">
        <f>IF(Summary_Products!AU68="","",Summary_Products!AU68)</f>
        <v/>
      </c>
      <c r="AV84" s="473" t="str">
        <f>IF(Summary_Products!AV68="","",Summary_Products!AV68)</f>
        <v/>
      </c>
      <c r="AW84" s="474" t="str">
        <f>IF(Summary_Products!AW68="","",Summary_Products!AW68)</f>
        <v/>
      </c>
      <c r="AX84" s="477" t="str">
        <f>IF(Summary_Products!AX68="","",Summary_Products!AX68)</f>
        <v/>
      </c>
      <c r="AY84" s="474" t="str">
        <f>IF(Summary_Products!AY68="","",Summary_Products!AY68)</f>
        <v/>
      </c>
      <c r="AZ84" s="477" t="str">
        <f>IF(Summary_Products!AZ68="","",Summary_Products!AZ68)</f>
        <v/>
      </c>
      <c r="BA84" s="478" t="str">
        <f>IF(Summary_Products!BA68="","",Summary_Products!BA68)</f>
        <v/>
      </c>
      <c r="BD84" s="156"/>
      <c r="BE84" s="156"/>
      <c r="BF84" s="156"/>
      <c r="BG84" s="156"/>
    </row>
    <row r="85" spans="2:59" ht="12.5" x14ac:dyDescent="0.25">
      <c r="B85" s="277"/>
      <c r="C85" s="777">
        <v>60</v>
      </c>
      <c r="D85" s="766" t="str">
        <f>IF(Summary_Products!D69="","",Summary_Products!D69)</f>
        <v/>
      </c>
      <c r="E85" s="421" t="str">
        <f>IF(Summary_Products!E69="","",INDEX(Translations!$C:$C,MATCH(Summary_Products!E69,Translations!$B:$B,0)))</f>
        <v/>
      </c>
      <c r="F85" s="781" t="str">
        <f>IF(Summary_Products!F69="","",Summary_Products!F69)</f>
        <v/>
      </c>
      <c r="G85" s="766" t="str">
        <f>IF(F85="","",INDEX(Parameters_CNCodes!$H$4:$H$572,MATCH(F85,CNCodes_ListKey,0)))</f>
        <v/>
      </c>
      <c r="H85" s="766" t="str">
        <f>IF(Summary_Products!H69="","",Summary_Products!H69)</f>
        <v/>
      </c>
      <c r="I85" s="782" t="str">
        <f>IF(Summary_Products!I69="","",Summary_Products!I69)</f>
        <v/>
      </c>
      <c r="J85" s="782" t="str">
        <f>IF(Summary_Products!J69="","",Summary_Products!J69)</f>
        <v/>
      </c>
      <c r="K85" s="782" t="str">
        <f>IF(Summary_Products!K69="","",Summary_Products!K69)</f>
        <v/>
      </c>
      <c r="L85" s="782" t="str">
        <f>IF(Summary_Products!L69="","",Summary_Products!L69)</f>
        <v/>
      </c>
      <c r="M85" s="783" t="str">
        <f>IF(Summary_Products!M69="","",Summary_Products!M69)</f>
        <v/>
      </c>
      <c r="N85" s="782" t="str">
        <f>IF(Summary_Products!N69="","",Summary_Products!N69)</f>
        <v/>
      </c>
      <c r="O85" s="782" t="str">
        <f>IF(Summary_Products!O69="","",Summary_Products!O69)</f>
        <v/>
      </c>
      <c r="P85" s="782" t="str">
        <f t="shared" si="0"/>
        <v/>
      </c>
      <c r="Q85" s="160" t="str">
        <f>IF(Summary_Products!P69="","",INDEX(Translations!$C:$C,MATCH(Summary_Products!P69,Translations!$B:$B,0)))</f>
        <v/>
      </c>
      <c r="R85" s="160" t="str">
        <f>IF(Summary_Products!Q69="","",Summary_Products!Q69)</f>
        <v/>
      </c>
      <c r="S85" s="615" t="str">
        <f>IF(Summary_Products!R69="","",Summary_Products!R69)</f>
        <v/>
      </c>
      <c r="T85" s="615" t="str">
        <f>IF(Summary_Products!S69="","",Summary_Products!S69)</f>
        <v/>
      </c>
      <c r="U85" s="615" t="str">
        <f>IF(Summary_Products!T69="","",Summary_Products!T69)</f>
        <v/>
      </c>
      <c r="V85" s="615" t="str">
        <f>IF(Summary_Products!U69="","",Summary_Products!U69)</f>
        <v/>
      </c>
      <c r="W85" s="615" t="str">
        <f>IF(Summary_Products!V69="","",Summary_Products!V69)</f>
        <v/>
      </c>
      <c r="X85" s="615" t="str">
        <f>IF(Summary_Products!W69="","",Summary_Products!W69)</f>
        <v/>
      </c>
      <c r="Y85" s="615" t="str">
        <f>IF(Summary_Products!X69="","",Summary_Products!X69)</f>
        <v/>
      </c>
      <c r="Z85" s="615" t="str">
        <f>IF(Summary_Products!Y69="","",Summary_Products!Y69)</f>
        <v/>
      </c>
      <c r="AA85" s="615" t="str">
        <f>IF(Summary_Products!Z69="","",Summary_Products!Z69)</f>
        <v/>
      </c>
      <c r="AB85" s="615" t="str">
        <f>IF(Summary_Products!AA69="","",Summary_Products!AA69)</f>
        <v/>
      </c>
      <c r="AC85" s="615" t="str">
        <f>IF(Summary_Products!AB69="","",Summary_Products!AB69)</f>
        <v/>
      </c>
      <c r="AD85" s="615" t="str">
        <f>IF(Summary_Products!AC69="","",Summary_Products!AC69)</f>
        <v/>
      </c>
      <c r="AE85" s="615" t="str">
        <f>IF(Summary_Products!AD69="","",Summary_Products!AD69)</f>
        <v/>
      </c>
      <c r="AF85" s="615" t="str">
        <f>IF(Summary_Products!AE69="","",Summary_Products!AE69)</f>
        <v/>
      </c>
      <c r="AG85" s="615" t="str">
        <f>IF(Summary_Products!AF69="","",Summary_Products!AF69)</f>
        <v/>
      </c>
      <c r="AH85" s="615" t="str">
        <f>IF(Summary_Products!AG69="","",Summary_Products!AG69)</f>
        <v/>
      </c>
      <c r="AI85" s="615" t="str">
        <f>IF(Summary_Products!AH69="","",Summary_Products!AH69)</f>
        <v/>
      </c>
      <c r="AJ85" s="615" t="str">
        <f>IF(Summary_Products!AI69="","",Summary_Products!AI69)</f>
        <v/>
      </c>
      <c r="AK85" s="615" t="str">
        <f>IF(Summary_Products!AJ69="","",Summary_Products!AJ69)</f>
        <v/>
      </c>
      <c r="AL85" s="615" t="str">
        <f>IF(Summary_Products!AK69="","",Summary_Products!AK69)</f>
        <v/>
      </c>
      <c r="AM85" s="421" t="str">
        <f>IF(Summary_Products!AL69="","",INDEX(Translations!$C:$C,MATCH(Summary_Products!AL69,Translations!$B:$B,0)))</f>
        <v/>
      </c>
      <c r="AN85" s="615" t="str">
        <f>IF(Summary_Products!AM69="","",Summary_Products!AM69)</f>
        <v/>
      </c>
      <c r="AO85" s="473" t="str">
        <f>IF(Summary_Products!AN69="","",Summary_Products!AN69)</f>
        <v/>
      </c>
      <c r="AP85" s="474" t="str">
        <f>IF(Summary_Products!AO69="","",Summary_Products!AO69)</f>
        <v/>
      </c>
      <c r="AQ85" s="160" t="str">
        <f>IF(Summary_Products!AP69="","",Summary_Products!AP69)</f>
        <v/>
      </c>
      <c r="AR85" s="477" t="str">
        <f>IF(Summary_Products!AR69="","",Summary_Products!AR69)</f>
        <v/>
      </c>
      <c r="AS85" s="474" t="str">
        <f>IF(Summary_Products!AS69="","",Summary_Products!AS69)</f>
        <v/>
      </c>
      <c r="AT85" s="421" t="str">
        <f>IF(Summary_Products!AT69="","",INDEX(Translations!$C:$C,MATCH(Summary_Products!AT69,Translations!$B:$B,0)))</f>
        <v/>
      </c>
      <c r="AU85" s="615" t="str">
        <f>IF(Summary_Products!AU69="","",Summary_Products!AU69)</f>
        <v/>
      </c>
      <c r="AV85" s="473" t="str">
        <f>IF(Summary_Products!AV69="","",Summary_Products!AV69)</f>
        <v/>
      </c>
      <c r="AW85" s="474" t="str">
        <f>IF(Summary_Products!AW69="","",Summary_Products!AW69)</f>
        <v/>
      </c>
      <c r="AX85" s="477" t="str">
        <f>IF(Summary_Products!AX69="","",Summary_Products!AX69)</f>
        <v/>
      </c>
      <c r="AY85" s="474" t="str">
        <f>IF(Summary_Products!AY69="","",Summary_Products!AY69)</f>
        <v/>
      </c>
      <c r="AZ85" s="477" t="str">
        <f>IF(Summary_Products!AZ69="","",Summary_Products!AZ69)</f>
        <v/>
      </c>
      <c r="BA85" s="478" t="str">
        <f>IF(Summary_Products!BA69="","",Summary_Products!BA69)</f>
        <v/>
      </c>
      <c r="BD85" s="156"/>
      <c r="BE85" s="156"/>
      <c r="BF85" s="156"/>
      <c r="BG85" s="156"/>
    </row>
    <row r="86" spans="2:59" ht="12.5" x14ac:dyDescent="0.25">
      <c r="B86" s="277"/>
      <c r="C86" s="777">
        <v>61</v>
      </c>
      <c r="D86" s="766" t="str">
        <f>IF(Summary_Products!D70="","",Summary_Products!D70)</f>
        <v/>
      </c>
      <c r="E86" s="421" t="str">
        <f>IF(Summary_Products!E70="","",INDEX(Translations!$C:$C,MATCH(Summary_Products!E70,Translations!$B:$B,0)))</f>
        <v/>
      </c>
      <c r="F86" s="781" t="str">
        <f>IF(Summary_Products!F70="","",Summary_Products!F70)</f>
        <v/>
      </c>
      <c r="G86" s="766" t="str">
        <f>IF(F86="","",INDEX(Parameters_CNCodes!$H$4:$H$572,MATCH(F86,CNCodes_ListKey,0)))</f>
        <v/>
      </c>
      <c r="H86" s="766" t="str">
        <f>IF(Summary_Products!H70="","",Summary_Products!H70)</f>
        <v/>
      </c>
      <c r="I86" s="782" t="str">
        <f>IF(Summary_Products!I70="","",Summary_Products!I70)</f>
        <v/>
      </c>
      <c r="J86" s="782" t="str">
        <f>IF(Summary_Products!J70="","",Summary_Products!J70)</f>
        <v/>
      </c>
      <c r="K86" s="782" t="str">
        <f>IF(Summary_Products!K70="","",Summary_Products!K70)</f>
        <v/>
      </c>
      <c r="L86" s="782" t="str">
        <f>IF(Summary_Products!L70="","",Summary_Products!L70)</f>
        <v/>
      </c>
      <c r="M86" s="783" t="str">
        <f>IF(Summary_Products!M70="","",Summary_Products!M70)</f>
        <v/>
      </c>
      <c r="N86" s="782" t="str">
        <f>IF(Summary_Products!N70="","",Summary_Products!N70)</f>
        <v/>
      </c>
      <c r="O86" s="782" t="str">
        <f>IF(Summary_Products!O70="","",Summary_Products!O70)</f>
        <v/>
      </c>
      <c r="P86" s="782" t="str">
        <f t="shared" si="0"/>
        <v/>
      </c>
      <c r="Q86" s="160" t="str">
        <f>IF(Summary_Products!P70="","",INDEX(Translations!$C:$C,MATCH(Summary_Products!P70,Translations!$B:$B,0)))</f>
        <v/>
      </c>
      <c r="R86" s="160" t="str">
        <f>IF(Summary_Products!Q70="","",Summary_Products!Q70)</f>
        <v/>
      </c>
      <c r="S86" s="615" t="str">
        <f>IF(Summary_Products!R70="","",Summary_Products!R70)</f>
        <v/>
      </c>
      <c r="T86" s="615" t="str">
        <f>IF(Summary_Products!S70="","",Summary_Products!S70)</f>
        <v/>
      </c>
      <c r="U86" s="615" t="str">
        <f>IF(Summary_Products!T70="","",Summary_Products!T70)</f>
        <v/>
      </c>
      <c r="V86" s="615" t="str">
        <f>IF(Summary_Products!U70="","",Summary_Products!U70)</f>
        <v/>
      </c>
      <c r="W86" s="615" t="str">
        <f>IF(Summary_Products!V70="","",Summary_Products!V70)</f>
        <v/>
      </c>
      <c r="X86" s="615" t="str">
        <f>IF(Summary_Products!W70="","",Summary_Products!W70)</f>
        <v/>
      </c>
      <c r="Y86" s="615" t="str">
        <f>IF(Summary_Products!X70="","",Summary_Products!X70)</f>
        <v/>
      </c>
      <c r="Z86" s="615" t="str">
        <f>IF(Summary_Products!Y70="","",Summary_Products!Y70)</f>
        <v/>
      </c>
      <c r="AA86" s="615" t="str">
        <f>IF(Summary_Products!Z70="","",Summary_Products!Z70)</f>
        <v/>
      </c>
      <c r="AB86" s="615" t="str">
        <f>IF(Summary_Products!AA70="","",Summary_Products!AA70)</f>
        <v/>
      </c>
      <c r="AC86" s="615" t="str">
        <f>IF(Summary_Products!AB70="","",Summary_Products!AB70)</f>
        <v/>
      </c>
      <c r="AD86" s="615" t="str">
        <f>IF(Summary_Products!AC70="","",Summary_Products!AC70)</f>
        <v/>
      </c>
      <c r="AE86" s="615" t="str">
        <f>IF(Summary_Products!AD70="","",Summary_Products!AD70)</f>
        <v/>
      </c>
      <c r="AF86" s="615" t="str">
        <f>IF(Summary_Products!AE70="","",Summary_Products!AE70)</f>
        <v/>
      </c>
      <c r="AG86" s="615" t="str">
        <f>IF(Summary_Products!AF70="","",Summary_Products!AF70)</f>
        <v/>
      </c>
      <c r="AH86" s="615" t="str">
        <f>IF(Summary_Products!AG70="","",Summary_Products!AG70)</f>
        <v/>
      </c>
      <c r="AI86" s="615" t="str">
        <f>IF(Summary_Products!AH70="","",Summary_Products!AH70)</f>
        <v/>
      </c>
      <c r="AJ86" s="615" t="str">
        <f>IF(Summary_Products!AI70="","",Summary_Products!AI70)</f>
        <v/>
      </c>
      <c r="AK86" s="615" t="str">
        <f>IF(Summary_Products!AJ70="","",Summary_Products!AJ70)</f>
        <v/>
      </c>
      <c r="AL86" s="615" t="str">
        <f>IF(Summary_Products!AK70="","",Summary_Products!AK70)</f>
        <v/>
      </c>
      <c r="AM86" s="421" t="str">
        <f>IF(Summary_Products!AL70="","",INDEX(Translations!$C:$C,MATCH(Summary_Products!AL70,Translations!$B:$B,0)))</f>
        <v/>
      </c>
      <c r="AN86" s="615" t="str">
        <f>IF(Summary_Products!AM70="","",Summary_Products!AM70)</f>
        <v/>
      </c>
      <c r="AO86" s="473" t="str">
        <f>IF(Summary_Products!AN70="","",Summary_Products!AN70)</f>
        <v/>
      </c>
      <c r="AP86" s="474" t="str">
        <f>IF(Summary_Products!AO70="","",Summary_Products!AO70)</f>
        <v/>
      </c>
      <c r="AQ86" s="160" t="str">
        <f>IF(Summary_Products!AP70="","",Summary_Products!AP70)</f>
        <v/>
      </c>
      <c r="AR86" s="477" t="str">
        <f>IF(Summary_Products!AR70="","",Summary_Products!AR70)</f>
        <v/>
      </c>
      <c r="AS86" s="474" t="str">
        <f>IF(Summary_Products!AS70="","",Summary_Products!AS70)</f>
        <v/>
      </c>
      <c r="AT86" s="421" t="str">
        <f>IF(Summary_Products!AT70="","",INDEX(Translations!$C:$C,MATCH(Summary_Products!AT70,Translations!$B:$B,0)))</f>
        <v/>
      </c>
      <c r="AU86" s="615" t="str">
        <f>IF(Summary_Products!AU70="","",Summary_Products!AU70)</f>
        <v/>
      </c>
      <c r="AV86" s="473" t="str">
        <f>IF(Summary_Products!AV70="","",Summary_Products!AV70)</f>
        <v/>
      </c>
      <c r="AW86" s="474" t="str">
        <f>IF(Summary_Products!AW70="","",Summary_Products!AW70)</f>
        <v/>
      </c>
      <c r="AX86" s="477" t="str">
        <f>IF(Summary_Products!AX70="","",Summary_Products!AX70)</f>
        <v/>
      </c>
      <c r="AY86" s="474" t="str">
        <f>IF(Summary_Products!AY70="","",Summary_Products!AY70)</f>
        <v/>
      </c>
      <c r="AZ86" s="477" t="str">
        <f>IF(Summary_Products!AZ70="","",Summary_Products!AZ70)</f>
        <v/>
      </c>
      <c r="BA86" s="478" t="str">
        <f>IF(Summary_Products!BA70="","",Summary_Products!BA70)</f>
        <v/>
      </c>
      <c r="BD86" s="156"/>
      <c r="BE86" s="156"/>
      <c r="BF86" s="156"/>
      <c r="BG86" s="156"/>
    </row>
    <row r="87" spans="2:59" ht="12.5" x14ac:dyDescent="0.25">
      <c r="B87" s="277"/>
      <c r="C87" s="777">
        <v>62</v>
      </c>
      <c r="D87" s="766" t="str">
        <f>IF(Summary_Products!D71="","",Summary_Products!D71)</f>
        <v/>
      </c>
      <c r="E87" s="421" t="str">
        <f>IF(Summary_Products!E71="","",INDEX(Translations!$C:$C,MATCH(Summary_Products!E71,Translations!$B:$B,0)))</f>
        <v/>
      </c>
      <c r="F87" s="781" t="str">
        <f>IF(Summary_Products!F71="","",Summary_Products!F71)</f>
        <v/>
      </c>
      <c r="G87" s="766" t="str">
        <f>IF(F87="","",INDEX(Parameters_CNCodes!$H$4:$H$572,MATCH(F87,CNCodes_ListKey,0)))</f>
        <v/>
      </c>
      <c r="H87" s="766" t="str">
        <f>IF(Summary_Products!H71="","",Summary_Products!H71)</f>
        <v/>
      </c>
      <c r="I87" s="782" t="str">
        <f>IF(Summary_Products!I71="","",Summary_Products!I71)</f>
        <v/>
      </c>
      <c r="J87" s="782" t="str">
        <f>IF(Summary_Products!J71="","",Summary_Products!J71)</f>
        <v/>
      </c>
      <c r="K87" s="782" t="str">
        <f>IF(Summary_Products!K71="","",Summary_Products!K71)</f>
        <v/>
      </c>
      <c r="L87" s="782" t="str">
        <f>IF(Summary_Products!L71="","",Summary_Products!L71)</f>
        <v/>
      </c>
      <c r="M87" s="783" t="str">
        <f>IF(Summary_Products!M71="","",Summary_Products!M71)</f>
        <v/>
      </c>
      <c r="N87" s="782" t="str">
        <f>IF(Summary_Products!N71="","",Summary_Products!N71)</f>
        <v/>
      </c>
      <c r="O87" s="782" t="str">
        <f>IF(Summary_Products!O71="","",Summary_Products!O71)</f>
        <v/>
      </c>
      <c r="P87" s="782" t="str">
        <f t="shared" si="0"/>
        <v/>
      </c>
      <c r="Q87" s="160" t="str">
        <f>IF(Summary_Products!P71="","",INDEX(Translations!$C:$C,MATCH(Summary_Products!P71,Translations!$B:$B,0)))</f>
        <v/>
      </c>
      <c r="R87" s="160" t="str">
        <f>IF(Summary_Products!Q71="","",Summary_Products!Q71)</f>
        <v/>
      </c>
      <c r="S87" s="615" t="str">
        <f>IF(Summary_Products!R71="","",Summary_Products!R71)</f>
        <v/>
      </c>
      <c r="T87" s="615" t="str">
        <f>IF(Summary_Products!S71="","",Summary_Products!S71)</f>
        <v/>
      </c>
      <c r="U87" s="615" t="str">
        <f>IF(Summary_Products!T71="","",Summary_Products!T71)</f>
        <v/>
      </c>
      <c r="V87" s="615" t="str">
        <f>IF(Summary_Products!U71="","",Summary_Products!U71)</f>
        <v/>
      </c>
      <c r="W87" s="615" t="str">
        <f>IF(Summary_Products!V71="","",Summary_Products!V71)</f>
        <v/>
      </c>
      <c r="X87" s="615" t="str">
        <f>IF(Summary_Products!W71="","",Summary_Products!W71)</f>
        <v/>
      </c>
      <c r="Y87" s="615" t="str">
        <f>IF(Summary_Products!X71="","",Summary_Products!X71)</f>
        <v/>
      </c>
      <c r="Z87" s="615" t="str">
        <f>IF(Summary_Products!Y71="","",Summary_Products!Y71)</f>
        <v/>
      </c>
      <c r="AA87" s="615" t="str">
        <f>IF(Summary_Products!Z71="","",Summary_Products!Z71)</f>
        <v/>
      </c>
      <c r="AB87" s="615" t="str">
        <f>IF(Summary_Products!AA71="","",Summary_Products!AA71)</f>
        <v/>
      </c>
      <c r="AC87" s="615" t="str">
        <f>IF(Summary_Products!AB71="","",Summary_Products!AB71)</f>
        <v/>
      </c>
      <c r="AD87" s="615" t="str">
        <f>IF(Summary_Products!AC71="","",Summary_Products!AC71)</f>
        <v/>
      </c>
      <c r="AE87" s="615" t="str">
        <f>IF(Summary_Products!AD71="","",Summary_Products!AD71)</f>
        <v/>
      </c>
      <c r="AF87" s="615" t="str">
        <f>IF(Summary_Products!AE71="","",Summary_Products!AE71)</f>
        <v/>
      </c>
      <c r="AG87" s="615" t="str">
        <f>IF(Summary_Products!AF71="","",Summary_Products!AF71)</f>
        <v/>
      </c>
      <c r="AH87" s="615" t="str">
        <f>IF(Summary_Products!AG71="","",Summary_Products!AG71)</f>
        <v/>
      </c>
      <c r="AI87" s="615" t="str">
        <f>IF(Summary_Products!AH71="","",Summary_Products!AH71)</f>
        <v/>
      </c>
      <c r="AJ87" s="615" t="str">
        <f>IF(Summary_Products!AI71="","",Summary_Products!AI71)</f>
        <v/>
      </c>
      <c r="AK87" s="615" t="str">
        <f>IF(Summary_Products!AJ71="","",Summary_Products!AJ71)</f>
        <v/>
      </c>
      <c r="AL87" s="615" t="str">
        <f>IF(Summary_Products!AK71="","",Summary_Products!AK71)</f>
        <v/>
      </c>
      <c r="AM87" s="421" t="str">
        <f>IF(Summary_Products!AL71="","",INDEX(Translations!$C:$C,MATCH(Summary_Products!AL71,Translations!$B:$B,0)))</f>
        <v/>
      </c>
      <c r="AN87" s="615" t="str">
        <f>IF(Summary_Products!AM71="","",Summary_Products!AM71)</f>
        <v/>
      </c>
      <c r="AO87" s="473" t="str">
        <f>IF(Summary_Products!AN71="","",Summary_Products!AN71)</f>
        <v/>
      </c>
      <c r="AP87" s="474" t="str">
        <f>IF(Summary_Products!AO71="","",Summary_Products!AO71)</f>
        <v/>
      </c>
      <c r="AQ87" s="160" t="str">
        <f>IF(Summary_Products!AP71="","",Summary_Products!AP71)</f>
        <v/>
      </c>
      <c r="AR87" s="477" t="str">
        <f>IF(Summary_Products!AR71="","",Summary_Products!AR71)</f>
        <v/>
      </c>
      <c r="AS87" s="474" t="str">
        <f>IF(Summary_Products!AS71="","",Summary_Products!AS71)</f>
        <v/>
      </c>
      <c r="AT87" s="421" t="str">
        <f>IF(Summary_Products!AT71="","",INDEX(Translations!$C:$C,MATCH(Summary_Products!AT71,Translations!$B:$B,0)))</f>
        <v/>
      </c>
      <c r="AU87" s="615" t="str">
        <f>IF(Summary_Products!AU71="","",Summary_Products!AU71)</f>
        <v/>
      </c>
      <c r="AV87" s="473" t="str">
        <f>IF(Summary_Products!AV71="","",Summary_Products!AV71)</f>
        <v/>
      </c>
      <c r="AW87" s="474" t="str">
        <f>IF(Summary_Products!AW71="","",Summary_Products!AW71)</f>
        <v/>
      </c>
      <c r="AX87" s="477" t="str">
        <f>IF(Summary_Products!AX71="","",Summary_Products!AX71)</f>
        <v/>
      </c>
      <c r="AY87" s="474" t="str">
        <f>IF(Summary_Products!AY71="","",Summary_Products!AY71)</f>
        <v/>
      </c>
      <c r="AZ87" s="477" t="str">
        <f>IF(Summary_Products!AZ71="","",Summary_Products!AZ71)</f>
        <v/>
      </c>
      <c r="BA87" s="478" t="str">
        <f>IF(Summary_Products!BA71="","",Summary_Products!BA71)</f>
        <v/>
      </c>
      <c r="BD87" s="156"/>
      <c r="BE87" s="156"/>
      <c r="BF87" s="156"/>
      <c r="BG87" s="156"/>
    </row>
    <row r="88" spans="2:59" ht="12.5" x14ac:dyDescent="0.25">
      <c r="B88" s="277"/>
      <c r="C88" s="777">
        <v>63</v>
      </c>
      <c r="D88" s="766" t="str">
        <f>IF(Summary_Products!D72="","",Summary_Products!D72)</f>
        <v/>
      </c>
      <c r="E88" s="421" t="str">
        <f>IF(Summary_Products!E72="","",INDEX(Translations!$C:$C,MATCH(Summary_Products!E72,Translations!$B:$B,0)))</f>
        <v/>
      </c>
      <c r="F88" s="781" t="str">
        <f>IF(Summary_Products!F72="","",Summary_Products!F72)</f>
        <v/>
      </c>
      <c r="G88" s="766" t="str">
        <f>IF(F88="","",INDEX(Parameters_CNCodes!$H$4:$H$572,MATCH(F88,CNCodes_ListKey,0)))</f>
        <v/>
      </c>
      <c r="H88" s="766" t="str">
        <f>IF(Summary_Products!H72="","",Summary_Products!H72)</f>
        <v/>
      </c>
      <c r="I88" s="782" t="str">
        <f>IF(Summary_Products!I72="","",Summary_Products!I72)</f>
        <v/>
      </c>
      <c r="J88" s="782" t="str">
        <f>IF(Summary_Products!J72="","",Summary_Products!J72)</f>
        <v/>
      </c>
      <c r="K88" s="782" t="str">
        <f>IF(Summary_Products!K72="","",Summary_Products!K72)</f>
        <v/>
      </c>
      <c r="L88" s="782" t="str">
        <f>IF(Summary_Products!L72="","",Summary_Products!L72)</f>
        <v/>
      </c>
      <c r="M88" s="783" t="str">
        <f>IF(Summary_Products!M72="","",Summary_Products!M72)</f>
        <v/>
      </c>
      <c r="N88" s="782" t="str">
        <f>IF(Summary_Products!N72="","",Summary_Products!N72)</f>
        <v/>
      </c>
      <c r="O88" s="782" t="str">
        <f>IF(Summary_Products!O72="","",Summary_Products!O72)</f>
        <v/>
      </c>
      <c r="P88" s="782" t="str">
        <f t="shared" si="0"/>
        <v/>
      </c>
      <c r="Q88" s="160" t="str">
        <f>IF(Summary_Products!P72="","",INDEX(Translations!$C:$C,MATCH(Summary_Products!P72,Translations!$B:$B,0)))</f>
        <v/>
      </c>
      <c r="R88" s="160" t="str">
        <f>IF(Summary_Products!Q72="","",Summary_Products!Q72)</f>
        <v/>
      </c>
      <c r="S88" s="615" t="str">
        <f>IF(Summary_Products!R72="","",Summary_Products!R72)</f>
        <v/>
      </c>
      <c r="T88" s="615" t="str">
        <f>IF(Summary_Products!S72="","",Summary_Products!S72)</f>
        <v/>
      </c>
      <c r="U88" s="615" t="str">
        <f>IF(Summary_Products!T72="","",Summary_Products!T72)</f>
        <v/>
      </c>
      <c r="V88" s="615" t="str">
        <f>IF(Summary_Products!U72="","",Summary_Products!U72)</f>
        <v/>
      </c>
      <c r="W88" s="615" t="str">
        <f>IF(Summary_Products!V72="","",Summary_Products!V72)</f>
        <v/>
      </c>
      <c r="X88" s="615" t="str">
        <f>IF(Summary_Products!W72="","",Summary_Products!W72)</f>
        <v/>
      </c>
      <c r="Y88" s="615" t="str">
        <f>IF(Summary_Products!X72="","",Summary_Products!X72)</f>
        <v/>
      </c>
      <c r="Z88" s="615" t="str">
        <f>IF(Summary_Products!Y72="","",Summary_Products!Y72)</f>
        <v/>
      </c>
      <c r="AA88" s="615" t="str">
        <f>IF(Summary_Products!Z72="","",Summary_Products!Z72)</f>
        <v/>
      </c>
      <c r="AB88" s="615" t="str">
        <f>IF(Summary_Products!AA72="","",Summary_Products!AA72)</f>
        <v/>
      </c>
      <c r="AC88" s="615" t="str">
        <f>IF(Summary_Products!AB72="","",Summary_Products!AB72)</f>
        <v/>
      </c>
      <c r="AD88" s="615" t="str">
        <f>IF(Summary_Products!AC72="","",Summary_Products!AC72)</f>
        <v/>
      </c>
      <c r="AE88" s="615" t="str">
        <f>IF(Summary_Products!AD72="","",Summary_Products!AD72)</f>
        <v/>
      </c>
      <c r="AF88" s="615" t="str">
        <f>IF(Summary_Products!AE72="","",Summary_Products!AE72)</f>
        <v/>
      </c>
      <c r="AG88" s="615" t="str">
        <f>IF(Summary_Products!AF72="","",Summary_Products!AF72)</f>
        <v/>
      </c>
      <c r="AH88" s="615" t="str">
        <f>IF(Summary_Products!AG72="","",Summary_Products!AG72)</f>
        <v/>
      </c>
      <c r="AI88" s="615" t="str">
        <f>IF(Summary_Products!AH72="","",Summary_Products!AH72)</f>
        <v/>
      </c>
      <c r="AJ88" s="615" t="str">
        <f>IF(Summary_Products!AI72="","",Summary_Products!AI72)</f>
        <v/>
      </c>
      <c r="AK88" s="615" t="str">
        <f>IF(Summary_Products!AJ72="","",Summary_Products!AJ72)</f>
        <v/>
      </c>
      <c r="AL88" s="615" t="str">
        <f>IF(Summary_Products!AK72="","",Summary_Products!AK72)</f>
        <v/>
      </c>
      <c r="AM88" s="421" t="str">
        <f>IF(Summary_Products!AL72="","",INDEX(Translations!$C:$C,MATCH(Summary_Products!AL72,Translations!$B:$B,0)))</f>
        <v/>
      </c>
      <c r="AN88" s="615" t="str">
        <f>IF(Summary_Products!AM72="","",Summary_Products!AM72)</f>
        <v/>
      </c>
      <c r="AO88" s="473" t="str">
        <f>IF(Summary_Products!AN72="","",Summary_Products!AN72)</f>
        <v/>
      </c>
      <c r="AP88" s="474" t="str">
        <f>IF(Summary_Products!AO72="","",Summary_Products!AO72)</f>
        <v/>
      </c>
      <c r="AQ88" s="160" t="str">
        <f>IF(Summary_Products!AP72="","",Summary_Products!AP72)</f>
        <v/>
      </c>
      <c r="AR88" s="477" t="str">
        <f>IF(Summary_Products!AR72="","",Summary_Products!AR72)</f>
        <v/>
      </c>
      <c r="AS88" s="474" t="str">
        <f>IF(Summary_Products!AS72="","",Summary_Products!AS72)</f>
        <v/>
      </c>
      <c r="AT88" s="421" t="str">
        <f>IF(Summary_Products!AT72="","",INDEX(Translations!$C:$C,MATCH(Summary_Products!AT72,Translations!$B:$B,0)))</f>
        <v/>
      </c>
      <c r="AU88" s="615" t="str">
        <f>IF(Summary_Products!AU72="","",Summary_Products!AU72)</f>
        <v/>
      </c>
      <c r="AV88" s="473" t="str">
        <f>IF(Summary_Products!AV72="","",Summary_Products!AV72)</f>
        <v/>
      </c>
      <c r="AW88" s="474" t="str">
        <f>IF(Summary_Products!AW72="","",Summary_Products!AW72)</f>
        <v/>
      </c>
      <c r="AX88" s="477" t="str">
        <f>IF(Summary_Products!AX72="","",Summary_Products!AX72)</f>
        <v/>
      </c>
      <c r="AY88" s="474" t="str">
        <f>IF(Summary_Products!AY72="","",Summary_Products!AY72)</f>
        <v/>
      </c>
      <c r="AZ88" s="477" t="str">
        <f>IF(Summary_Products!AZ72="","",Summary_Products!AZ72)</f>
        <v/>
      </c>
      <c r="BA88" s="478" t="str">
        <f>IF(Summary_Products!BA72="","",Summary_Products!BA72)</f>
        <v/>
      </c>
      <c r="BD88" s="156"/>
      <c r="BE88" s="156"/>
      <c r="BF88" s="156"/>
      <c r="BG88" s="156"/>
    </row>
    <row r="89" spans="2:59" ht="12.5" x14ac:dyDescent="0.25">
      <c r="B89" s="277"/>
      <c r="C89" s="777">
        <v>64</v>
      </c>
      <c r="D89" s="766" t="str">
        <f>IF(Summary_Products!D73="","",Summary_Products!D73)</f>
        <v/>
      </c>
      <c r="E89" s="421" t="str">
        <f>IF(Summary_Products!E73="","",INDEX(Translations!$C:$C,MATCH(Summary_Products!E73,Translations!$B:$B,0)))</f>
        <v/>
      </c>
      <c r="F89" s="781" t="str">
        <f>IF(Summary_Products!F73="","",Summary_Products!F73)</f>
        <v/>
      </c>
      <c r="G89" s="766" t="str">
        <f>IF(F89="","",INDEX(Parameters_CNCodes!$H$4:$H$572,MATCH(F89,CNCodes_ListKey,0)))</f>
        <v/>
      </c>
      <c r="H89" s="766" t="str">
        <f>IF(Summary_Products!H73="","",Summary_Products!H73)</f>
        <v/>
      </c>
      <c r="I89" s="782" t="str">
        <f>IF(Summary_Products!I73="","",Summary_Products!I73)</f>
        <v/>
      </c>
      <c r="J89" s="782" t="str">
        <f>IF(Summary_Products!J73="","",Summary_Products!J73)</f>
        <v/>
      </c>
      <c r="K89" s="782" t="str">
        <f>IF(Summary_Products!K73="","",Summary_Products!K73)</f>
        <v/>
      </c>
      <c r="L89" s="782" t="str">
        <f>IF(Summary_Products!L73="","",Summary_Products!L73)</f>
        <v/>
      </c>
      <c r="M89" s="783" t="str">
        <f>IF(Summary_Products!M73="","",Summary_Products!M73)</f>
        <v/>
      </c>
      <c r="N89" s="782" t="str">
        <f>IF(Summary_Products!N73="","",Summary_Products!N73)</f>
        <v/>
      </c>
      <c r="O89" s="782" t="str">
        <f>IF(Summary_Products!O73="","",Summary_Products!O73)</f>
        <v/>
      </c>
      <c r="P89" s="782" t="str">
        <f t="shared" si="0"/>
        <v/>
      </c>
      <c r="Q89" s="160" t="str">
        <f>IF(Summary_Products!P73="","",INDEX(Translations!$C:$C,MATCH(Summary_Products!P73,Translations!$B:$B,0)))</f>
        <v/>
      </c>
      <c r="R89" s="160" t="str">
        <f>IF(Summary_Products!Q73="","",Summary_Products!Q73)</f>
        <v/>
      </c>
      <c r="S89" s="615" t="str">
        <f>IF(Summary_Products!R73="","",Summary_Products!R73)</f>
        <v/>
      </c>
      <c r="T89" s="615" t="str">
        <f>IF(Summary_Products!S73="","",Summary_Products!S73)</f>
        <v/>
      </c>
      <c r="U89" s="615" t="str">
        <f>IF(Summary_Products!T73="","",Summary_Products!T73)</f>
        <v/>
      </c>
      <c r="V89" s="615" t="str">
        <f>IF(Summary_Products!U73="","",Summary_Products!U73)</f>
        <v/>
      </c>
      <c r="W89" s="615" t="str">
        <f>IF(Summary_Products!V73="","",Summary_Products!V73)</f>
        <v/>
      </c>
      <c r="X89" s="615" t="str">
        <f>IF(Summary_Products!W73="","",Summary_Products!W73)</f>
        <v/>
      </c>
      <c r="Y89" s="615" t="str">
        <f>IF(Summary_Products!X73="","",Summary_Products!X73)</f>
        <v/>
      </c>
      <c r="Z89" s="615" t="str">
        <f>IF(Summary_Products!Y73="","",Summary_Products!Y73)</f>
        <v/>
      </c>
      <c r="AA89" s="615" t="str">
        <f>IF(Summary_Products!Z73="","",Summary_Products!Z73)</f>
        <v/>
      </c>
      <c r="AB89" s="615" t="str">
        <f>IF(Summary_Products!AA73="","",Summary_Products!AA73)</f>
        <v/>
      </c>
      <c r="AC89" s="615" t="str">
        <f>IF(Summary_Products!AB73="","",Summary_Products!AB73)</f>
        <v/>
      </c>
      <c r="AD89" s="615" t="str">
        <f>IF(Summary_Products!AC73="","",Summary_Products!AC73)</f>
        <v/>
      </c>
      <c r="AE89" s="615" t="str">
        <f>IF(Summary_Products!AD73="","",Summary_Products!AD73)</f>
        <v/>
      </c>
      <c r="AF89" s="615" t="str">
        <f>IF(Summary_Products!AE73="","",Summary_Products!AE73)</f>
        <v/>
      </c>
      <c r="AG89" s="615" t="str">
        <f>IF(Summary_Products!AF73="","",Summary_Products!AF73)</f>
        <v/>
      </c>
      <c r="AH89" s="615" t="str">
        <f>IF(Summary_Products!AG73="","",Summary_Products!AG73)</f>
        <v/>
      </c>
      <c r="AI89" s="615" t="str">
        <f>IF(Summary_Products!AH73="","",Summary_Products!AH73)</f>
        <v/>
      </c>
      <c r="AJ89" s="615" t="str">
        <f>IF(Summary_Products!AI73="","",Summary_Products!AI73)</f>
        <v/>
      </c>
      <c r="AK89" s="615" t="str">
        <f>IF(Summary_Products!AJ73="","",Summary_Products!AJ73)</f>
        <v/>
      </c>
      <c r="AL89" s="615" t="str">
        <f>IF(Summary_Products!AK73="","",Summary_Products!AK73)</f>
        <v/>
      </c>
      <c r="AM89" s="421" t="str">
        <f>IF(Summary_Products!AL73="","",INDEX(Translations!$C:$C,MATCH(Summary_Products!AL73,Translations!$B:$B,0)))</f>
        <v/>
      </c>
      <c r="AN89" s="615" t="str">
        <f>IF(Summary_Products!AM73="","",Summary_Products!AM73)</f>
        <v/>
      </c>
      <c r="AO89" s="473" t="str">
        <f>IF(Summary_Products!AN73="","",Summary_Products!AN73)</f>
        <v/>
      </c>
      <c r="AP89" s="474" t="str">
        <f>IF(Summary_Products!AO73="","",Summary_Products!AO73)</f>
        <v/>
      </c>
      <c r="AQ89" s="160" t="str">
        <f>IF(Summary_Products!AP73="","",Summary_Products!AP73)</f>
        <v/>
      </c>
      <c r="AR89" s="477" t="str">
        <f>IF(Summary_Products!AR73="","",Summary_Products!AR73)</f>
        <v/>
      </c>
      <c r="AS89" s="474" t="str">
        <f>IF(Summary_Products!AS73="","",Summary_Products!AS73)</f>
        <v/>
      </c>
      <c r="AT89" s="421" t="str">
        <f>IF(Summary_Products!AT73="","",INDEX(Translations!$C:$C,MATCH(Summary_Products!AT73,Translations!$B:$B,0)))</f>
        <v/>
      </c>
      <c r="AU89" s="615" t="str">
        <f>IF(Summary_Products!AU73="","",Summary_Products!AU73)</f>
        <v/>
      </c>
      <c r="AV89" s="473" t="str">
        <f>IF(Summary_Products!AV73="","",Summary_Products!AV73)</f>
        <v/>
      </c>
      <c r="AW89" s="474" t="str">
        <f>IF(Summary_Products!AW73="","",Summary_Products!AW73)</f>
        <v/>
      </c>
      <c r="AX89" s="477" t="str">
        <f>IF(Summary_Products!AX73="","",Summary_Products!AX73)</f>
        <v/>
      </c>
      <c r="AY89" s="474" t="str">
        <f>IF(Summary_Products!AY73="","",Summary_Products!AY73)</f>
        <v/>
      </c>
      <c r="AZ89" s="477" t="str">
        <f>IF(Summary_Products!AZ73="","",Summary_Products!AZ73)</f>
        <v/>
      </c>
      <c r="BA89" s="478" t="str">
        <f>IF(Summary_Products!BA73="","",Summary_Products!BA73)</f>
        <v/>
      </c>
      <c r="BD89" s="156"/>
      <c r="BE89" s="156"/>
      <c r="BF89" s="156"/>
      <c r="BG89" s="156"/>
    </row>
    <row r="90" spans="2:59" ht="12.5" x14ac:dyDescent="0.25">
      <c r="B90" s="277"/>
      <c r="C90" s="777">
        <v>65</v>
      </c>
      <c r="D90" s="766" t="str">
        <f>IF(Summary_Products!D74="","",Summary_Products!D74)</f>
        <v/>
      </c>
      <c r="E90" s="421" t="str">
        <f>IF(Summary_Products!E74="","",INDEX(Translations!$C:$C,MATCH(Summary_Products!E74,Translations!$B:$B,0)))</f>
        <v/>
      </c>
      <c r="F90" s="781" t="str">
        <f>IF(Summary_Products!F74="","",Summary_Products!F74)</f>
        <v/>
      </c>
      <c r="G90" s="766" t="str">
        <f>IF(F90="","",INDEX(Parameters_CNCodes!$H$4:$H$572,MATCH(F90,CNCodes_ListKey,0)))</f>
        <v/>
      </c>
      <c r="H90" s="766" t="str">
        <f>IF(Summary_Products!H74="","",Summary_Products!H74)</f>
        <v/>
      </c>
      <c r="I90" s="782" t="str">
        <f>IF(Summary_Products!I74="","",Summary_Products!I74)</f>
        <v/>
      </c>
      <c r="J90" s="782" t="str">
        <f>IF(Summary_Products!J74="","",Summary_Products!J74)</f>
        <v/>
      </c>
      <c r="K90" s="782" t="str">
        <f>IF(Summary_Products!K74="","",Summary_Products!K74)</f>
        <v/>
      </c>
      <c r="L90" s="782" t="str">
        <f>IF(Summary_Products!L74="","",Summary_Products!L74)</f>
        <v/>
      </c>
      <c r="M90" s="783" t="str">
        <f>IF(Summary_Products!M74="","",Summary_Products!M74)</f>
        <v/>
      </c>
      <c r="N90" s="782" t="str">
        <f>IF(Summary_Products!N74="","",Summary_Products!N74)</f>
        <v/>
      </c>
      <c r="O90" s="782" t="str">
        <f>IF(Summary_Products!O74="","",Summary_Products!O74)</f>
        <v/>
      </c>
      <c r="P90" s="782" t="str">
        <f t="shared" si="0"/>
        <v/>
      </c>
      <c r="Q90" s="160" t="str">
        <f>IF(Summary_Products!P74="","",INDEX(Translations!$C:$C,MATCH(Summary_Products!P74,Translations!$B:$B,0)))</f>
        <v/>
      </c>
      <c r="R90" s="160" t="str">
        <f>IF(Summary_Products!Q74="","",Summary_Products!Q74)</f>
        <v/>
      </c>
      <c r="S90" s="615" t="str">
        <f>IF(Summary_Products!R74="","",Summary_Products!R74)</f>
        <v/>
      </c>
      <c r="T90" s="615" t="str">
        <f>IF(Summary_Products!S74="","",Summary_Products!S74)</f>
        <v/>
      </c>
      <c r="U90" s="615" t="str">
        <f>IF(Summary_Products!T74="","",Summary_Products!T74)</f>
        <v/>
      </c>
      <c r="V90" s="615" t="str">
        <f>IF(Summary_Products!U74="","",Summary_Products!U74)</f>
        <v/>
      </c>
      <c r="W90" s="615" t="str">
        <f>IF(Summary_Products!V74="","",Summary_Products!V74)</f>
        <v/>
      </c>
      <c r="X90" s="615" t="str">
        <f>IF(Summary_Products!W74="","",Summary_Products!W74)</f>
        <v/>
      </c>
      <c r="Y90" s="615" t="str">
        <f>IF(Summary_Products!X74="","",Summary_Products!X74)</f>
        <v/>
      </c>
      <c r="Z90" s="615" t="str">
        <f>IF(Summary_Products!Y74="","",Summary_Products!Y74)</f>
        <v/>
      </c>
      <c r="AA90" s="615" t="str">
        <f>IF(Summary_Products!Z74="","",Summary_Products!Z74)</f>
        <v/>
      </c>
      <c r="AB90" s="615" t="str">
        <f>IF(Summary_Products!AA74="","",Summary_Products!AA74)</f>
        <v/>
      </c>
      <c r="AC90" s="615" t="str">
        <f>IF(Summary_Products!AB74="","",Summary_Products!AB74)</f>
        <v/>
      </c>
      <c r="AD90" s="615" t="str">
        <f>IF(Summary_Products!AC74="","",Summary_Products!AC74)</f>
        <v/>
      </c>
      <c r="AE90" s="615" t="str">
        <f>IF(Summary_Products!AD74="","",Summary_Products!AD74)</f>
        <v/>
      </c>
      <c r="AF90" s="615" t="str">
        <f>IF(Summary_Products!AE74="","",Summary_Products!AE74)</f>
        <v/>
      </c>
      <c r="AG90" s="615" t="str">
        <f>IF(Summary_Products!AF74="","",Summary_Products!AF74)</f>
        <v/>
      </c>
      <c r="AH90" s="615" t="str">
        <f>IF(Summary_Products!AG74="","",Summary_Products!AG74)</f>
        <v/>
      </c>
      <c r="AI90" s="615" t="str">
        <f>IF(Summary_Products!AH74="","",Summary_Products!AH74)</f>
        <v/>
      </c>
      <c r="AJ90" s="615" t="str">
        <f>IF(Summary_Products!AI74="","",Summary_Products!AI74)</f>
        <v/>
      </c>
      <c r="AK90" s="615" t="str">
        <f>IF(Summary_Products!AJ74="","",Summary_Products!AJ74)</f>
        <v/>
      </c>
      <c r="AL90" s="615" t="str">
        <f>IF(Summary_Products!AK74="","",Summary_Products!AK74)</f>
        <v/>
      </c>
      <c r="AM90" s="421" t="str">
        <f>IF(Summary_Products!AL74="","",INDEX(Translations!$C:$C,MATCH(Summary_Products!AL74,Translations!$B:$B,0)))</f>
        <v/>
      </c>
      <c r="AN90" s="615" t="str">
        <f>IF(Summary_Products!AM74="","",Summary_Products!AM74)</f>
        <v/>
      </c>
      <c r="AO90" s="473" t="str">
        <f>IF(Summary_Products!AN74="","",Summary_Products!AN74)</f>
        <v/>
      </c>
      <c r="AP90" s="474" t="str">
        <f>IF(Summary_Products!AO74="","",Summary_Products!AO74)</f>
        <v/>
      </c>
      <c r="AQ90" s="160" t="str">
        <f>IF(Summary_Products!AP74="","",Summary_Products!AP74)</f>
        <v/>
      </c>
      <c r="AR90" s="477" t="str">
        <f>IF(Summary_Products!AR74="","",Summary_Products!AR74)</f>
        <v/>
      </c>
      <c r="AS90" s="474" t="str">
        <f>IF(Summary_Products!AS74="","",Summary_Products!AS74)</f>
        <v/>
      </c>
      <c r="AT90" s="421" t="str">
        <f>IF(Summary_Products!AT74="","",INDEX(Translations!$C:$C,MATCH(Summary_Products!AT74,Translations!$B:$B,0)))</f>
        <v/>
      </c>
      <c r="AU90" s="615" t="str">
        <f>IF(Summary_Products!AU74="","",Summary_Products!AU74)</f>
        <v/>
      </c>
      <c r="AV90" s="473" t="str">
        <f>IF(Summary_Products!AV74="","",Summary_Products!AV74)</f>
        <v/>
      </c>
      <c r="AW90" s="474" t="str">
        <f>IF(Summary_Products!AW74="","",Summary_Products!AW74)</f>
        <v/>
      </c>
      <c r="AX90" s="477" t="str">
        <f>IF(Summary_Products!AX74="","",Summary_Products!AX74)</f>
        <v/>
      </c>
      <c r="AY90" s="474" t="str">
        <f>IF(Summary_Products!AY74="","",Summary_Products!AY74)</f>
        <v/>
      </c>
      <c r="AZ90" s="477" t="str">
        <f>IF(Summary_Products!AZ74="","",Summary_Products!AZ74)</f>
        <v/>
      </c>
      <c r="BA90" s="478" t="str">
        <f>IF(Summary_Products!BA74="","",Summary_Products!BA74)</f>
        <v/>
      </c>
      <c r="BD90" s="156"/>
      <c r="BE90" s="156"/>
      <c r="BF90" s="156"/>
      <c r="BG90" s="156"/>
    </row>
    <row r="91" spans="2:59" ht="12.5" x14ac:dyDescent="0.25">
      <c r="B91" s="277"/>
      <c r="C91" s="777">
        <v>66</v>
      </c>
      <c r="D91" s="766" t="str">
        <f>IF(Summary_Products!D75="","",Summary_Products!D75)</f>
        <v/>
      </c>
      <c r="E91" s="421" t="str">
        <f>IF(Summary_Products!E75="","",INDEX(Translations!$C:$C,MATCH(Summary_Products!E75,Translations!$B:$B,0)))</f>
        <v/>
      </c>
      <c r="F91" s="781" t="str">
        <f>IF(Summary_Products!F75="","",Summary_Products!F75)</f>
        <v/>
      </c>
      <c r="G91" s="766" t="str">
        <f>IF(F91="","",INDEX(Parameters_CNCodes!$H$4:$H$572,MATCH(F91,CNCodes_ListKey,0)))</f>
        <v/>
      </c>
      <c r="H91" s="766" t="str">
        <f>IF(Summary_Products!H75="","",Summary_Products!H75)</f>
        <v/>
      </c>
      <c r="I91" s="782" t="str">
        <f>IF(Summary_Products!I75="","",Summary_Products!I75)</f>
        <v/>
      </c>
      <c r="J91" s="782" t="str">
        <f>IF(Summary_Products!J75="","",Summary_Products!J75)</f>
        <v/>
      </c>
      <c r="K91" s="782" t="str">
        <f>IF(Summary_Products!K75="","",Summary_Products!K75)</f>
        <v/>
      </c>
      <c r="L91" s="782" t="str">
        <f>IF(Summary_Products!L75="","",Summary_Products!L75)</f>
        <v/>
      </c>
      <c r="M91" s="783" t="str">
        <f>IF(Summary_Products!M75="","",Summary_Products!M75)</f>
        <v/>
      </c>
      <c r="N91" s="782" t="str">
        <f>IF(Summary_Products!N75="","",Summary_Products!N75)</f>
        <v/>
      </c>
      <c r="O91" s="782" t="str">
        <f>IF(Summary_Products!O75="","",Summary_Products!O75)</f>
        <v/>
      </c>
      <c r="P91" s="782" t="str">
        <f t="shared" ref="P91:P125" si="1">IF(O91="","",IF(O91=0,0,J91/O91))</f>
        <v/>
      </c>
      <c r="Q91" s="160" t="str">
        <f>IF(Summary_Products!P75="","",INDEX(Translations!$C:$C,MATCH(Summary_Products!P75,Translations!$B:$B,0)))</f>
        <v/>
      </c>
      <c r="R91" s="160" t="str">
        <f>IF(Summary_Products!Q75="","",Summary_Products!Q75)</f>
        <v/>
      </c>
      <c r="S91" s="615" t="str">
        <f>IF(Summary_Products!R75="","",Summary_Products!R75)</f>
        <v/>
      </c>
      <c r="T91" s="615" t="str">
        <f>IF(Summary_Products!S75="","",Summary_Products!S75)</f>
        <v/>
      </c>
      <c r="U91" s="615" t="str">
        <f>IF(Summary_Products!T75="","",Summary_Products!T75)</f>
        <v/>
      </c>
      <c r="V91" s="615" t="str">
        <f>IF(Summary_Products!U75="","",Summary_Products!U75)</f>
        <v/>
      </c>
      <c r="W91" s="615" t="str">
        <f>IF(Summary_Products!V75="","",Summary_Products!V75)</f>
        <v/>
      </c>
      <c r="X91" s="615" t="str">
        <f>IF(Summary_Products!W75="","",Summary_Products!W75)</f>
        <v/>
      </c>
      <c r="Y91" s="615" t="str">
        <f>IF(Summary_Products!X75="","",Summary_Products!X75)</f>
        <v/>
      </c>
      <c r="Z91" s="615" t="str">
        <f>IF(Summary_Products!Y75="","",Summary_Products!Y75)</f>
        <v/>
      </c>
      <c r="AA91" s="615" t="str">
        <f>IF(Summary_Products!Z75="","",Summary_Products!Z75)</f>
        <v/>
      </c>
      <c r="AB91" s="615" t="str">
        <f>IF(Summary_Products!AA75="","",Summary_Products!AA75)</f>
        <v/>
      </c>
      <c r="AC91" s="615" t="str">
        <f>IF(Summary_Products!AB75="","",Summary_Products!AB75)</f>
        <v/>
      </c>
      <c r="AD91" s="615" t="str">
        <f>IF(Summary_Products!AC75="","",Summary_Products!AC75)</f>
        <v/>
      </c>
      <c r="AE91" s="615" t="str">
        <f>IF(Summary_Products!AD75="","",Summary_Products!AD75)</f>
        <v/>
      </c>
      <c r="AF91" s="615" t="str">
        <f>IF(Summary_Products!AE75="","",Summary_Products!AE75)</f>
        <v/>
      </c>
      <c r="AG91" s="615" t="str">
        <f>IF(Summary_Products!AF75="","",Summary_Products!AF75)</f>
        <v/>
      </c>
      <c r="AH91" s="615" t="str">
        <f>IF(Summary_Products!AG75="","",Summary_Products!AG75)</f>
        <v/>
      </c>
      <c r="AI91" s="615" t="str">
        <f>IF(Summary_Products!AH75="","",Summary_Products!AH75)</f>
        <v/>
      </c>
      <c r="AJ91" s="615" t="str">
        <f>IF(Summary_Products!AI75="","",Summary_Products!AI75)</f>
        <v/>
      </c>
      <c r="AK91" s="615" t="str">
        <f>IF(Summary_Products!AJ75="","",Summary_Products!AJ75)</f>
        <v/>
      </c>
      <c r="AL91" s="615" t="str">
        <f>IF(Summary_Products!AK75="","",Summary_Products!AK75)</f>
        <v/>
      </c>
      <c r="AM91" s="421" t="str">
        <f>IF(Summary_Products!AL75="","",INDEX(Translations!$C:$C,MATCH(Summary_Products!AL75,Translations!$B:$B,0)))</f>
        <v/>
      </c>
      <c r="AN91" s="615" t="str">
        <f>IF(Summary_Products!AM75="","",Summary_Products!AM75)</f>
        <v/>
      </c>
      <c r="AO91" s="473" t="str">
        <f>IF(Summary_Products!AN75="","",Summary_Products!AN75)</f>
        <v/>
      </c>
      <c r="AP91" s="474" t="str">
        <f>IF(Summary_Products!AO75="","",Summary_Products!AO75)</f>
        <v/>
      </c>
      <c r="AQ91" s="160" t="str">
        <f>IF(Summary_Products!AP75="","",Summary_Products!AP75)</f>
        <v/>
      </c>
      <c r="AR91" s="477" t="str">
        <f>IF(Summary_Products!AR75="","",Summary_Products!AR75)</f>
        <v/>
      </c>
      <c r="AS91" s="474" t="str">
        <f>IF(Summary_Products!AS75="","",Summary_Products!AS75)</f>
        <v/>
      </c>
      <c r="AT91" s="421" t="str">
        <f>IF(Summary_Products!AT75="","",INDEX(Translations!$C:$C,MATCH(Summary_Products!AT75,Translations!$B:$B,0)))</f>
        <v/>
      </c>
      <c r="AU91" s="615" t="str">
        <f>IF(Summary_Products!AU75="","",Summary_Products!AU75)</f>
        <v/>
      </c>
      <c r="AV91" s="473" t="str">
        <f>IF(Summary_Products!AV75="","",Summary_Products!AV75)</f>
        <v/>
      </c>
      <c r="AW91" s="474" t="str">
        <f>IF(Summary_Products!AW75="","",Summary_Products!AW75)</f>
        <v/>
      </c>
      <c r="AX91" s="477" t="str">
        <f>IF(Summary_Products!AX75="","",Summary_Products!AX75)</f>
        <v/>
      </c>
      <c r="AY91" s="474" t="str">
        <f>IF(Summary_Products!AY75="","",Summary_Products!AY75)</f>
        <v/>
      </c>
      <c r="AZ91" s="477" t="str">
        <f>IF(Summary_Products!AZ75="","",Summary_Products!AZ75)</f>
        <v/>
      </c>
      <c r="BA91" s="478" t="str">
        <f>IF(Summary_Products!BA75="","",Summary_Products!BA75)</f>
        <v/>
      </c>
      <c r="BD91" s="156"/>
      <c r="BE91" s="156"/>
      <c r="BF91" s="156"/>
      <c r="BG91" s="156"/>
    </row>
    <row r="92" spans="2:59" ht="12.5" x14ac:dyDescent="0.25">
      <c r="B92" s="277"/>
      <c r="C92" s="777">
        <v>67</v>
      </c>
      <c r="D92" s="766" t="str">
        <f>IF(Summary_Products!D76="","",Summary_Products!D76)</f>
        <v/>
      </c>
      <c r="E92" s="421" t="str">
        <f>IF(Summary_Products!E76="","",INDEX(Translations!$C:$C,MATCH(Summary_Products!E76,Translations!$B:$B,0)))</f>
        <v/>
      </c>
      <c r="F92" s="781" t="str">
        <f>IF(Summary_Products!F76="","",Summary_Products!F76)</f>
        <v/>
      </c>
      <c r="G92" s="766" t="str">
        <f>IF(F92="","",INDEX(Parameters_CNCodes!$H$4:$H$572,MATCH(F92,CNCodes_ListKey,0)))</f>
        <v/>
      </c>
      <c r="H92" s="766" t="str">
        <f>IF(Summary_Products!H76="","",Summary_Products!H76)</f>
        <v/>
      </c>
      <c r="I92" s="782" t="str">
        <f>IF(Summary_Products!I76="","",Summary_Products!I76)</f>
        <v/>
      </c>
      <c r="J92" s="782" t="str">
        <f>IF(Summary_Products!J76="","",Summary_Products!J76)</f>
        <v/>
      </c>
      <c r="K92" s="782" t="str">
        <f>IF(Summary_Products!K76="","",Summary_Products!K76)</f>
        <v/>
      </c>
      <c r="L92" s="782" t="str">
        <f>IF(Summary_Products!L76="","",Summary_Products!L76)</f>
        <v/>
      </c>
      <c r="M92" s="783" t="str">
        <f>IF(Summary_Products!M76="","",Summary_Products!M76)</f>
        <v/>
      </c>
      <c r="N92" s="782" t="str">
        <f>IF(Summary_Products!N76="","",Summary_Products!N76)</f>
        <v/>
      </c>
      <c r="O92" s="782" t="str">
        <f>IF(Summary_Products!O76="","",Summary_Products!O76)</f>
        <v/>
      </c>
      <c r="P92" s="782" t="str">
        <f t="shared" si="1"/>
        <v/>
      </c>
      <c r="Q92" s="160" t="str">
        <f>IF(Summary_Products!P76="","",INDEX(Translations!$C:$C,MATCH(Summary_Products!P76,Translations!$B:$B,0)))</f>
        <v/>
      </c>
      <c r="R92" s="160" t="str">
        <f>IF(Summary_Products!Q76="","",Summary_Products!Q76)</f>
        <v/>
      </c>
      <c r="S92" s="615" t="str">
        <f>IF(Summary_Products!R76="","",Summary_Products!R76)</f>
        <v/>
      </c>
      <c r="T92" s="615" t="str">
        <f>IF(Summary_Products!S76="","",Summary_Products!S76)</f>
        <v/>
      </c>
      <c r="U92" s="615" t="str">
        <f>IF(Summary_Products!T76="","",Summary_Products!T76)</f>
        <v/>
      </c>
      <c r="V92" s="615" t="str">
        <f>IF(Summary_Products!U76="","",Summary_Products!U76)</f>
        <v/>
      </c>
      <c r="W92" s="615" t="str">
        <f>IF(Summary_Products!V76="","",Summary_Products!V76)</f>
        <v/>
      </c>
      <c r="X92" s="615" t="str">
        <f>IF(Summary_Products!W76="","",Summary_Products!W76)</f>
        <v/>
      </c>
      <c r="Y92" s="615" t="str">
        <f>IF(Summary_Products!X76="","",Summary_Products!X76)</f>
        <v/>
      </c>
      <c r="Z92" s="615" t="str">
        <f>IF(Summary_Products!Y76="","",Summary_Products!Y76)</f>
        <v/>
      </c>
      <c r="AA92" s="615" t="str">
        <f>IF(Summary_Products!Z76="","",Summary_Products!Z76)</f>
        <v/>
      </c>
      <c r="AB92" s="615" t="str">
        <f>IF(Summary_Products!AA76="","",Summary_Products!AA76)</f>
        <v/>
      </c>
      <c r="AC92" s="615" t="str">
        <f>IF(Summary_Products!AB76="","",Summary_Products!AB76)</f>
        <v/>
      </c>
      <c r="AD92" s="615" t="str">
        <f>IF(Summary_Products!AC76="","",Summary_Products!AC76)</f>
        <v/>
      </c>
      <c r="AE92" s="615" t="str">
        <f>IF(Summary_Products!AD76="","",Summary_Products!AD76)</f>
        <v/>
      </c>
      <c r="AF92" s="615" t="str">
        <f>IF(Summary_Products!AE76="","",Summary_Products!AE76)</f>
        <v/>
      </c>
      <c r="AG92" s="615" t="str">
        <f>IF(Summary_Products!AF76="","",Summary_Products!AF76)</f>
        <v/>
      </c>
      <c r="AH92" s="615" t="str">
        <f>IF(Summary_Products!AG76="","",Summary_Products!AG76)</f>
        <v/>
      </c>
      <c r="AI92" s="615" t="str">
        <f>IF(Summary_Products!AH76="","",Summary_Products!AH76)</f>
        <v/>
      </c>
      <c r="AJ92" s="615" t="str">
        <f>IF(Summary_Products!AI76="","",Summary_Products!AI76)</f>
        <v/>
      </c>
      <c r="AK92" s="615" t="str">
        <f>IF(Summary_Products!AJ76="","",Summary_Products!AJ76)</f>
        <v/>
      </c>
      <c r="AL92" s="615" t="str">
        <f>IF(Summary_Products!AK76="","",Summary_Products!AK76)</f>
        <v/>
      </c>
      <c r="AM92" s="421" t="str">
        <f>IF(Summary_Products!AL76="","",INDEX(Translations!$C:$C,MATCH(Summary_Products!AL76,Translations!$B:$B,0)))</f>
        <v/>
      </c>
      <c r="AN92" s="615" t="str">
        <f>IF(Summary_Products!AM76="","",Summary_Products!AM76)</f>
        <v/>
      </c>
      <c r="AO92" s="473" t="str">
        <f>IF(Summary_Products!AN76="","",Summary_Products!AN76)</f>
        <v/>
      </c>
      <c r="AP92" s="474" t="str">
        <f>IF(Summary_Products!AO76="","",Summary_Products!AO76)</f>
        <v/>
      </c>
      <c r="AQ92" s="160" t="str">
        <f>IF(Summary_Products!AP76="","",Summary_Products!AP76)</f>
        <v/>
      </c>
      <c r="AR92" s="477" t="str">
        <f>IF(Summary_Products!AR76="","",Summary_Products!AR76)</f>
        <v/>
      </c>
      <c r="AS92" s="474" t="str">
        <f>IF(Summary_Products!AS76="","",Summary_Products!AS76)</f>
        <v/>
      </c>
      <c r="AT92" s="421" t="str">
        <f>IF(Summary_Products!AT76="","",INDEX(Translations!$C:$C,MATCH(Summary_Products!AT76,Translations!$B:$B,0)))</f>
        <v/>
      </c>
      <c r="AU92" s="615" t="str">
        <f>IF(Summary_Products!AU76="","",Summary_Products!AU76)</f>
        <v/>
      </c>
      <c r="AV92" s="473" t="str">
        <f>IF(Summary_Products!AV76="","",Summary_Products!AV76)</f>
        <v/>
      </c>
      <c r="AW92" s="474" t="str">
        <f>IF(Summary_Products!AW76="","",Summary_Products!AW76)</f>
        <v/>
      </c>
      <c r="AX92" s="477" t="str">
        <f>IF(Summary_Products!AX76="","",Summary_Products!AX76)</f>
        <v/>
      </c>
      <c r="AY92" s="474" t="str">
        <f>IF(Summary_Products!AY76="","",Summary_Products!AY76)</f>
        <v/>
      </c>
      <c r="AZ92" s="477" t="str">
        <f>IF(Summary_Products!AZ76="","",Summary_Products!AZ76)</f>
        <v/>
      </c>
      <c r="BA92" s="478" t="str">
        <f>IF(Summary_Products!BA76="","",Summary_Products!BA76)</f>
        <v/>
      </c>
      <c r="BD92" s="156"/>
      <c r="BE92" s="156"/>
      <c r="BF92" s="156"/>
      <c r="BG92" s="156"/>
    </row>
    <row r="93" spans="2:59" ht="12.5" x14ac:dyDescent="0.25">
      <c r="B93" s="277"/>
      <c r="C93" s="777">
        <v>68</v>
      </c>
      <c r="D93" s="766" t="str">
        <f>IF(Summary_Products!D77="","",Summary_Products!D77)</f>
        <v/>
      </c>
      <c r="E93" s="421" t="str">
        <f>IF(Summary_Products!E77="","",INDEX(Translations!$C:$C,MATCH(Summary_Products!E77,Translations!$B:$B,0)))</f>
        <v/>
      </c>
      <c r="F93" s="781" t="str">
        <f>IF(Summary_Products!F77="","",Summary_Products!F77)</f>
        <v/>
      </c>
      <c r="G93" s="766" t="str">
        <f>IF(F93="","",INDEX(Parameters_CNCodes!$H$4:$H$572,MATCH(F93,CNCodes_ListKey,0)))</f>
        <v/>
      </c>
      <c r="H93" s="766" t="str">
        <f>IF(Summary_Products!H77="","",Summary_Products!H77)</f>
        <v/>
      </c>
      <c r="I93" s="782" t="str">
        <f>IF(Summary_Products!I77="","",Summary_Products!I77)</f>
        <v/>
      </c>
      <c r="J93" s="782" t="str">
        <f>IF(Summary_Products!J77="","",Summary_Products!J77)</f>
        <v/>
      </c>
      <c r="K93" s="782" t="str">
        <f>IF(Summary_Products!K77="","",Summary_Products!K77)</f>
        <v/>
      </c>
      <c r="L93" s="782" t="str">
        <f>IF(Summary_Products!L77="","",Summary_Products!L77)</f>
        <v/>
      </c>
      <c r="M93" s="783" t="str">
        <f>IF(Summary_Products!M77="","",Summary_Products!M77)</f>
        <v/>
      </c>
      <c r="N93" s="782" t="str">
        <f>IF(Summary_Products!N77="","",Summary_Products!N77)</f>
        <v/>
      </c>
      <c r="O93" s="782" t="str">
        <f>IF(Summary_Products!O77="","",Summary_Products!O77)</f>
        <v/>
      </c>
      <c r="P93" s="782" t="str">
        <f t="shared" si="1"/>
        <v/>
      </c>
      <c r="Q93" s="160" t="str">
        <f>IF(Summary_Products!P77="","",INDEX(Translations!$C:$C,MATCH(Summary_Products!P77,Translations!$B:$B,0)))</f>
        <v/>
      </c>
      <c r="R93" s="160" t="str">
        <f>IF(Summary_Products!Q77="","",Summary_Products!Q77)</f>
        <v/>
      </c>
      <c r="S93" s="615" t="str">
        <f>IF(Summary_Products!R77="","",Summary_Products!R77)</f>
        <v/>
      </c>
      <c r="T93" s="615" t="str">
        <f>IF(Summary_Products!S77="","",Summary_Products!S77)</f>
        <v/>
      </c>
      <c r="U93" s="615" t="str">
        <f>IF(Summary_Products!T77="","",Summary_Products!T77)</f>
        <v/>
      </c>
      <c r="V93" s="615" t="str">
        <f>IF(Summary_Products!U77="","",Summary_Products!U77)</f>
        <v/>
      </c>
      <c r="W93" s="615" t="str">
        <f>IF(Summary_Products!V77="","",Summary_Products!V77)</f>
        <v/>
      </c>
      <c r="X93" s="615" t="str">
        <f>IF(Summary_Products!W77="","",Summary_Products!W77)</f>
        <v/>
      </c>
      <c r="Y93" s="615" t="str">
        <f>IF(Summary_Products!X77="","",Summary_Products!X77)</f>
        <v/>
      </c>
      <c r="Z93" s="615" t="str">
        <f>IF(Summary_Products!Y77="","",Summary_Products!Y77)</f>
        <v/>
      </c>
      <c r="AA93" s="615" t="str">
        <f>IF(Summary_Products!Z77="","",Summary_Products!Z77)</f>
        <v/>
      </c>
      <c r="AB93" s="615" t="str">
        <f>IF(Summary_Products!AA77="","",Summary_Products!AA77)</f>
        <v/>
      </c>
      <c r="AC93" s="615" t="str">
        <f>IF(Summary_Products!AB77="","",Summary_Products!AB77)</f>
        <v/>
      </c>
      <c r="AD93" s="615" t="str">
        <f>IF(Summary_Products!AC77="","",Summary_Products!AC77)</f>
        <v/>
      </c>
      <c r="AE93" s="615" t="str">
        <f>IF(Summary_Products!AD77="","",Summary_Products!AD77)</f>
        <v/>
      </c>
      <c r="AF93" s="615" t="str">
        <f>IF(Summary_Products!AE77="","",Summary_Products!AE77)</f>
        <v/>
      </c>
      <c r="AG93" s="615" t="str">
        <f>IF(Summary_Products!AF77="","",Summary_Products!AF77)</f>
        <v/>
      </c>
      <c r="AH93" s="615" t="str">
        <f>IF(Summary_Products!AG77="","",Summary_Products!AG77)</f>
        <v/>
      </c>
      <c r="AI93" s="615" t="str">
        <f>IF(Summary_Products!AH77="","",Summary_Products!AH77)</f>
        <v/>
      </c>
      <c r="AJ93" s="615" t="str">
        <f>IF(Summary_Products!AI77="","",Summary_Products!AI77)</f>
        <v/>
      </c>
      <c r="AK93" s="615" t="str">
        <f>IF(Summary_Products!AJ77="","",Summary_Products!AJ77)</f>
        <v/>
      </c>
      <c r="AL93" s="615" t="str">
        <f>IF(Summary_Products!AK77="","",Summary_Products!AK77)</f>
        <v/>
      </c>
      <c r="AM93" s="421" t="str">
        <f>IF(Summary_Products!AL77="","",INDEX(Translations!$C:$C,MATCH(Summary_Products!AL77,Translations!$B:$B,0)))</f>
        <v/>
      </c>
      <c r="AN93" s="615" t="str">
        <f>IF(Summary_Products!AM77="","",Summary_Products!AM77)</f>
        <v/>
      </c>
      <c r="AO93" s="473" t="str">
        <f>IF(Summary_Products!AN77="","",Summary_Products!AN77)</f>
        <v/>
      </c>
      <c r="AP93" s="474" t="str">
        <f>IF(Summary_Products!AO77="","",Summary_Products!AO77)</f>
        <v/>
      </c>
      <c r="AQ93" s="160" t="str">
        <f>IF(Summary_Products!AP77="","",Summary_Products!AP77)</f>
        <v/>
      </c>
      <c r="AR93" s="477" t="str">
        <f>IF(Summary_Products!AR77="","",Summary_Products!AR77)</f>
        <v/>
      </c>
      <c r="AS93" s="474" t="str">
        <f>IF(Summary_Products!AS77="","",Summary_Products!AS77)</f>
        <v/>
      </c>
      <c r="AT93" s="421" t="str">
        <f>IF(Summary_Products!AT77="","",INDEX(Translations!$C:$C,MATCH(Summary_Products!AT77,Translations!$B:$B,0)))</f>
        <v/>
      </c>
      <c r="AU93" s="615" t="str">
        <f>IF(Summary_Products!AU77="","",Summary_Products!AU77)</f>
        <v/>
      </c>
      <c r="AV93" s="473" t="str">
        <f>IF(Summary_Products!AV77="","",Summary_Products!AV77)</f>
        <v/>
      </c>
      <c r="AW93" s="474" t="str">
        <f>IF(Summary_Products!AW77="","",Summary_Products!AW77)</f>
        <v/>
      </c>
      <c r="AX93" s="477" t="str">
        <f>IF(Summary_Products!AX77="","",Summary_Products!AX77)</f>
        <v/>
      </c>
      <c r="AY93" s="474" t="str">
        <f>IF(Summary_Products!AY77="","",Summary_Products!AY77)</f>
        <v/>
      </c>
      <c r="AZ93" s="477" t="str">
        <f>IF(Summary_Products!AZ77="","",Summary_Products!AZ77)</f>
        <v/>
      </c>
      <c r="BA93" s="478" t="str">
        <f>IF(Summary_Products!BA77="","",Summary_Products!BA77)</f>
        <v/>
      </c>
      <c r="BD93" s="156"/>
      <c r="BE93" s="156"/>
      <c r="BF93" s="156"/>
      <c r="BG93" s="156"/>
    </row>
    <row r="94" spans="2:59" ht="12.5" x14ac:dyDescent="0.25">
      <c r="B94" s="277"/>
      <c r="C94" s="777">
        <v>69</v>
      </c>
      <c r="D94" s="766" t="str">
        <f>IF(Summary_Products!D78="","",Summary_Products!D78)</f>
        <v/>
      </c>
      <c r="E94" s="421" t="str">
        <f>IF(Summary_Products!E78="","",INDEX(Translations!$C:$C,MATCH(Summary_Products!E78,Translations!$B:$B,0)))</f>
        <v/>
      </c>
      <c r="F94" s="781" t="str">
        <f>IF(Summary_Products!F78="","",Summary_Products!F78)</f>
        <v/>
      </c>
      <c r="G94" s="766" t="str">
        <f>IF(F94="","",INDEX(Parameters_CNCodes!$H$4:$H$572,MATCH(F94,CNCodes_ListKey,0)))</f>
        <v/>
      </c>
      <c r="H94" s="766" t="str">
        <f>IF(Summary_Products!H78="","",Summary_Products!H78)</f>
        <v/>
      </c>
      <c r="I94" s="782" t="str">
        <f>IF(Summary_Products!I78="","",Summary_Products!I78)</f>
        <v/>
      </c>
      <c r="J94" s="782" t="str">
        <f>IF(Summary_Products!J78="","",Summary_Products!J78)</f>
        <v/>
      </c>
      <c r="K94" s="782" t="str">
        <f>IF(Summary_Products!K78="","",Summary_Products!K78)</f>
        <v/>
      </c>
      <c r="L94" s="782" t="str">
        <f>IF(Summary_Products!L78="","",Summary_Products!L78)</f>
        <v/>
      </c>
      <c r="M94" s="783" t="str">
        <f>IF(Summary_Products!M78="","",Summary_Products!M78)</f>
        <v/>
      </c>
      <c r="N94" s="782" t="str">
        <f>IF(Summary_Products!N78="","",Summary_Products!N78)</f>
        <v/>
      </c>
      <c r="O94" s="782" t="str">
        <f>IF(Summary_Products!O78="","",Summary_Products!O78)</f>
        <v/>
      </c>
      <c r="P94" s="782" t="str">
        <f t="shared" si="1"/>
        <v/>
      </c>
      <c r="Q94" s="160" t="str">
        <f>IF(Summary_Products!P78="","",INDEX(Translations!$C:$C,MATCH(Summary_Products!P78,Translations!$B:$B,0)))</f>
        <v/>
      </c>
      <c r="R94" s="160" t="str">
        <f>IF(Summary_Products!Q78="","",Summary_Products!Q78)</f>
        <v/>
      </c>
      <c r="S94" s="615" t="str">
        <f>IF(Summary_Products!R78="","",Summary_Products!R78)</f>
        <v/>
      </c>
      <c r="T94" s="615" t="str">
        <f>IF(Summary_Products!S78="","",Summary_Products!S78)</f>
        <v/>
      </c>
      <c r="U94" s="615" t="str">
        <f>IF(Summary_Products!T78="","",Summary_Products!T78)</f>
        <v/>
      </c>
      <c r="V94" s="615" t="str">
        <f>IF(Summary_Products!U78="","",Summary_Products!U78)</f>
        <v/>
      </c>
      <c r="W94" s="615" t="str">
        <f>IF(Summary_Products!V78="","",Summary_Products!V78)</f>
        <v/>
      </c>
      <c r="X94" s="615" t="str">
        <f>IF(Summary_Products!W78="","",Summary_Products!W78)</f>
        <v/>
      </c>
      <c r="Y94" s="615" t="str">
        <f>IF(Summary_Products!X78="","",Summary_Products!X78)</f>
        <v/>
      </c>
      <c r="Z94" s="615" t="str">
        <f>IF(Summary_Products!Y78="","",Summary_Products!Y78)</f>
        <v/>
      </c>
      <c r="AA94" s="615" t="str">
        <f>IF(Summary_Products!Z78="","",Summary_Products!Z78)</f>
        <v/>
      </c>
      <c r="AB94" s="615" t="str">
        <f>IF(Summary_Products!AA78="","",Summary_Products!AA78)</f>
        <v/>
      </c>
      <c r="AC94" s="615" t="str">
        <f>IF(Summary_Products!AB78="","",Summary_Products!AB78)</f>
        <v/>
      </c>
      <c r="AD94" s="615" t="str">
        <f>IF(Summary_Products!AC78="","",Summary_Products!AC78)</f>
        <v/>
      </c>
      <c r="AE94" s="615" t="str">
        <f>IF(Summary_Products!AD78="","",Summary_Products!AD78)</f>
        <v/>
      </c>
      <c r="AF94" s="615" t="str">
        <f>IF(Summary_Products!AE78="","",Summary_Products!AE78)</f>
        <v/>
      </c>
      <c r="AG94" s="615" t="str">
        <f>IF(Summary_Products!AF78="","",Summary_Products!AF78)</f>
        <v/>
      </c>
      <c r="AH94" s="615" t="str">
        <f>IF(Summary_Products!AG78="","",Summary_Products!AG78)</f>
        <v/>
      </c>
      <c r="AI94" s="615" t="str">
        <f>IF(Summary_Products!AH78="","",Summary_Products!AH78)</f>
        <v/>
      </c>
      <c r="AJ94" s="615" t="str">
        <f>IF(Summary_Products!AI78="","",Summary_Products!AI78)</f>
        <v/>
      </c>
      <c r="AK94" s="615" t="str">
        <f>IF(Summary_Products!AJ78="","",Summary_Products!AJ78)</f>
        <v/>
      </c>
      <c r="AL94" s="615" t="str">
        <f>IF(Summary_Products!AK78="","",Summary_Products!AK78)</f>
        <v/>
      </c>
      <c r="AM94" s="421" t="str">
        <f>IF(Summary_Products!AL78="","",INDEX(Translations!$C:$C,MATCH(Summary_Products!AL78,Translations!$B:$B,0)))</f>
        <v/>
      </c>
      <c r="AN94" s="615" t="str">
        <f>IF(Summary_Products!AM78="","",Summary_Products!AM78)</f>
        <v/>
      </c>
      <c r="AO94" s="473" t="str">
        <f>IF(Summary_Products!AN78="","",Summary_Products!AN78)</f>
        <v/>
      </c>
      <c r="AP94" s="474" t="str">
        <f>IF(Summary_Products!AO78="","",Summary_Products!AO78)</f>
        <v/>
      </c>
      <c r="AQ94" s="160" t="str">
        <f>IF(Summary_Products!AP78="","",Summary_Products!AP78)</f>
        <v/>
      </c>
      <c r="AR94" s="477" t="str">
        <f>IF(Summary_Products!AR78="","",Summary_Products!AR78)</f>
        <v/>
      </c>
      <c r="AS94" s="474" t="str">
        <f>IF(Summary_Products!AS78="","",Summary_Products!AS78)</f>
        <v/>
      </c>
      <c r="AT94" s="421" t="str">
        <f>IF(Summary_Products!AT78="","",INDEX(Translations!$C:$C,MATCH(Summary_Products!AT78,Translations!$B:$B,0)))</f>
        <v/>
      </c>
      <c r="AU94" s="615" t="str">
        <f>IF(Summary_Products!AU78="","",Summary_Products!AU78)</f>
        <v/>
      </c>
      <c r="AV94" s="473" t="str">
        <f>IF(Summary_Products!AV78="","",Summary_Products!AV78)</f>
        <v/>
      </c>
      <c r="AW94" s="474" t="str">
        <f>IF(Summary_Products!AW78="","",Summary_Products!AW78)</f>
        <v/>
      </c>
      <c r="AX94" s="477" t="str">
        <f>IF(Summary_Products!AX78="","",Summary_Products!AX78)</f>
        <v/>
      </c>
      <c r="AY94" s="474" t="str">
        <f>IF(Summary_Products!AY78="","",Summary_Products!AY78)</f>
        <v/>
      </c>
      <c r="AZ94" s="477" t="str">
        <f>IF(Summary_Products!AZ78="","",Summary_Products!AZ78)</f>
        <v/>
      </c>
      <c r="BA94" s="478" t="str">
        <f>IF(Summary_Products!BA78="","",Summary_Products!BA78)</f>
        <v/>
      </c>
      <c r="BD94" s="156"/>
      <c r="BE94" s="156"/>
      <c r="BF94" s="156"/>
      <c r="BG94" s="156"/>
    </row>
    <row r="95" spans="2:59" ht="12.5" x14ac:dyDescent="0.25">
      <c r="B95" s="277"/>
      <c r="C95" s="777">
        <v>70</v>
      </c>
      <c r="D95" s="766" t="str">
        <f>IF(Summary_Products!D79="","",Summary_Products!D79)</f>
        <v/>
      </c>
      <c r="E95" s="421" t="str">
        <f>IF(Summary_Products!E79="","",INDEX(Translations!$C:$C,MATCH(Summary_Products!E79,Translations!$B:$B,0)))</f>
        <v/>
      </c>
      <c r="F95" s="781" t="str">
        <f>IF(Summary_Products!F79="","",Summary_Products!F79)</f>
        <v/>
      </c>
      <c r="G95" s="766" t="str">
        <f>IF(F95="","",INDEX(Parameters_CNCodes!$H$4:$H$572,MATCH(F95,CNCodes_ListKey,0)))</f>
        <v/>
      </c>
      <c r="H95" s="766" t="str">
        <f>IF(Summary_Products!H79="","",Summary_Products!H79)</f>
        <v/>
      </c>
      <c r="I95" s="782" t="str">
        <f>IF(Summary_Products!I79="","",Summary_Products!I79)</f>
        <v/>
      </c>
      <c r="J95" s="782" t="str">
        <f>IF(Summary_Products!J79="","",Summary_Products!J79)</f>
        <v/>
      </c>
      <c r="K95" s="782" t="str">
        <f>IF(Summary_Products!K79="","",Summary_Products!K79)</f>
        <v/>
      </c>
      <c r="L95" s="782" t="str">
        <f>IF(Summary_Products!L79="","",Summary_Products!L79)</f>
        <v/>
      </c>
      <c r="M95" s="783" t="str">
        <f>IF(Summary_Products!M79="","",Summary_Products!M79)</f>
        <v/>
      </c>
      <c r="N95" s="782" t="str">
        <f>IF(Summary_Products!N79="","",Summary_Products!N79)</f>
        <v/>
      </c>
      <c r="O95" s="782" t="str">
        <f>IF(Summary_Products!O79="","",Summary_Products!O79)</f>
        <v/>
      </c>
      <c r="P95" s="782" t="str">
        <f t="shared" si="1"/>
        <v/>
      </c>
      <c r="Q95" s="160" t="str">
        <f>IF(Summary_Products!P79="","",INDEX(Translations!$C:$C,MATCH(Summary_Products!P79,Translations!$B:$B,0)))</f>
        <v/>
      </c>
      <c r="R95" s="160" t="str">
        <f>IF(Summary_Products!Q79="","",Summary_Products!Q79)</f>
        <v/>
      </c>
      <c r="S95" s="615" t="str">
        <f>IF(Summary_Products!R79="","",Summary_Products!R79)</f>
        <v/>
      </c>
      <c r="T95" s="615" t="str">
        <f>IF(Summary_Products!S79="","",Summary_Products!S79)</f>
        <v/>
      </c>
      <c r="U95" s="615" t="str">
        <f>IF(Summary_Products!T79="","",Summary_Products!T79)</f>
        <v/>
      </c>
      <c r="V95" s="615" t="str">
        <f>IF(Summary_Products!U79="","",Summary_Products!U79)</f>
        <v/>
      </c>
      <c r="W95" s="615" t="str">
        <f>IF(Summary_Products!V79="","",Summary_Products!V79)</f>
        <v/>
      </c>
      <c r="X95" s="615" t="str">
        <f>IF(Summary_Products!W79="","",Summary_Products!W79)</f>
        <v/>
      </c>
      <c r="Y95" s="615" t="str">
        <f>IF(Summary_Products!X79="","",Summary_Products!X79)</f>
        <v/>
      </c>
      <c r="Z95" s="615" t="str">
        <f>IF(Summary_Products!Y79="","",Summary_Products!Y79)</f>
        <v/>
      </c>
      <c r="AA95" s="615" t="str">
        <f>IF(Summary_Products!Z79="","",Summary_Products!Z79)</f>
        <v/>
      </c>
      <c r="AB95" s="615" t="str">
        <f>IF(Summary_Products!AA79="","",Summary_Products!AA79)</f>
        <v/>
      </c>
      <c r="AC95" s="615" t="str">
        <f>IF(Summary_Products!AB79="","",Summary_Products!AB79)</f>
        <v/>
      </c>
      <c r="AD95" s="615" t="str">
        <f>IF(Summary_Products!AC79="","",Summary_Products!AC79)</f>
        <v/>
      </c>
      <c r="AE95" s="615" t="str">
        <f>IF(Summary_Products!AD79="","",Summary_Products!AD79)</f>
        <v/>
      </c>
      <c r="AF95" s="615" t="str">
        <f>IF(Summary_Products!AE79="","",Summary_Products!AE79)</f>
        <v/>
      </c>
      <c r="AG95" s="615" t="str">
        <f>IF(Summary_Products!AF79="","",Summary_Products!AF79)</f>
        <v/>
      </c>
      <c r="AH95" s="615" t="str">
        <f>IF(Summary_Products!AG79="","",Summary_Products!AG79)</f>
        <v/>
      </c>
      <c r="AI95" s="615" t="str">
        <f>IF(Summary_Products!AH79="","",Summary_Products!AH79)</f>
        <v/>
      </c>
      <c r="AJ95" s="615" t="str">
        <f>IF(Summary_Products!AI79="","",Summary_Products!AI79)</f>
        <v/>
      </c>
      <c r="AK95" s="615" t="str">
        <f>IF(Summary_Products!AJ79="","",Summary_Products!AJ79)</f>
        <v/>
      </c>
      <c r="AL95" s="615" t="str">
        <f>IF(Summary_Products!AK79="","",Summary_Products!AK79)</f>
        <v/>
      </c>
      <c r="AM95" s="421" t="str">
        <f>IF(Summary_Products!AL79="","",INDEX(Translations!$C:$C,MATCH(Summary_Products!AL79,Translations!$B:$B,0)))</f>
        <v/>
      </c>
      <c r="AN95" s="615" t="str">
        <f>IF(Summary_Products!AM79="","",Summary_Products!AM79)</f>
        <v/>
      </c>
      <c r="AO95" s="473" t="str">
        <f>IF(Summary_Products!AN79="","",Summary_Products!AN79)</f>
        <v/>
      </c>
      <c r="AP95" s="474" t="str">
        <f>IF(Summary_Products!AO79="","",Summary_Products!AO79)</f>
        <v/>
      </c>
      <c r="AQ95" s="160" t="str">
        <f>IF(Summary_Products!AP79="","",Summary_Products!AP79)</f>
        <v/>
      </c>
      <c r="AR95" s="477" t="str">
        <f>IF(Summary_Products!AR79="","",Summary_Products!AR79)</f>
        <v/>
      </c>
      <c r="AS95" s="474" t="str">
        <f>IF(Summary_Products!AS79="","",Summary_Products!AS79)</f>
        <v/>
      </c>
      <c r="AT95" s="421" t="str">
        <f>IF(Summary_Products!AT79="","",INDEX(Translations!$C:$C,MATCH(Summary_Products!AT79,Translations!$B:$B,0)))</f>
        <v/>
      </c>
      <c r="AU95" s="615" t="str">
        <f>IF(Summary_Products!AU79="","",Summary_Products!AU79)</f>
        <v/>
      </c>
      <c r="AV95" s="473" t="str">
        <f>IF(Summary_Products!AV79="","",Summary_Products!AV79)</f>
        <v/>
      </c>
      <c r="AW95" s="474" t="str">
        <f>IF(Summary_Products!AW79="","",Summary_Products!AW79)</f>
        <v/>
      </c>
      <c r="AX95" s="477" t="str">
        <f>IF(Summary_Products!AX79="","",Summary_Products!AX79)</f>
        <v/>
      </c>
      <c r="AY95" s="474" t="str">
        <f>IF(Summary_Products!AY79="","",Summary_Products!AY79)</f>
        <v/>
      </c>
      <c r="AZ95" s="477" t="str">
        <f>IF(Summary_Products!AZ79="","",Summary_Products!AZ79)</f>
        <v/>
      </c>
      <c r="BA95" s="478" t="str">
        <f>IF(Summary_Products!BA79="","",Summary_Products!BA79)</f>
        <v/>
      </c>
      <c r="BD95" s="156"/>
      <c r="BE95" s="156"/>
      <c r="BF95" s="156"/>
      <c r="BG95" s="156"/>
    </row>
    <row r="96" spans="2:59" ht="12.5" x14ac:dyDescent="0.25">
      <c r="B96" s="277"/>
      <c r="C96" s="777">
        <v>71</v>
      </c>
      <c r="D96" s="766" t="str">
        <f>IF(Summary_Products!D80="","",Summary_Products!D80)</f>
        <v/>
      </c>
      <c r="E96" s="421" t="str">
        <f>IF(Summary_Products!E80="","",INDEX(Translations!$C:$C,MATCH(Summary_Products!E80,Translations!$B:$B,0)))</f>
        <v/>
      </c>
      <c r="F96" s="781" t="str">
        <f>IF(Summary_Products!F80="","",Summary_Products!F80)</f>
        <v/>
      </c>
      <c r="G96" s="766" t="str">
        <f>IF(F96="","",INDEX(Parameters_CNCodes!$H$4:$H$572,MATCH(F96,CNCodes_ListKey,0)))</f>
        <v/>
      </c>
      <c r="H96" s="766" t="str">
        <f>IF(Summary_Products!H80="","",Summary_Products!H80)</f>
        <v/>
      </c>
      <c r="I96" s="782" t="str">
        <f>IF(Summary_Products!I80="","",Summary_Products!I80)</f>
        <v/>
      </c>
      <c r="J96" s="782" t="str">
        <f>IF(Summary_Products!J80="","",Summary_Products!J80)</f>
        <v/>
      </c>
      <c r="K96" s="782" t="str">
        <f>IF(Summary_Products!K80="","",Summary_Products!K80)</f>
        <v/>
      </c>
      <c r="L96" s="782" t="str">
        <f>IF(Summary_Products!L80="","",Summary_Products!L80)</f>
        <v/>
      </c>
      <c r="M96" s="783" t="str">
        <f>IF(Summary_Products!M80="","",Summary_Products!M80)</f>
        <v/>
      </c>
      <c r="N96" s="782" t="str">
        <f>IF(Summary_Products!N80="","",Summary_Products!N80)</f>
        <v/>
      </c>
      <c r="O96" s="782" t="str">
        <f>IF(Summary_Products!O80="","",Summary_Products!O80)</f>
        <v/>
      </c>
      <c r="P96" s="782" t="str">
        <f t="shared" si="1"/>
        <v/>
      </c>
      <c r="Q96" s="160" t="str">
        <f>IF(Summary_Products!P80="","",INDEX(Translations!$C:$C,MATCH(Summary_Products!P80,Translations!$B:$B,0)))</f>
        <v/>
      </c>
      <c r="R96" s="160" t="str">
        <f>IF(Summary_Products!Q80="","",Summary_Products!Q80)</f>
        <v/>
      </c>
      <c r="S96" s="615" t="str">
        <f>IF(Summary_Products!R80="","",Summary_Products!R80)</f>
        <v/>
      </c>
      <c r="T96" s="615" t="str">
        <f>IF(Summary_Products!S80="","",Summary_Products!S80)</f>
        <v/>
      </c>
      <c r="U96" s="615" t="str">
        <f>IF(Summary_Products!T80="","",Summary_Products!T80)</f>
        <v/>
      </c>
      <c r="V96" s="615" t="str">
        <f>IF(Summary_Products!U80="","",Summary_Products!U80)</f>
        <v/>
      </c>
      <c r="W96" s="615" t="str">
        <f>IF(Summary_Products!V80="","",Summary_Products!V80)</f>
        <v/>
      </c>
      <c r="X96" s="615" t="str">
        <f>IF(Summary_Products!W80="","",Summary_Products!W80)</f>
        <v/>
      </c>
      <c r="Y96" s="615" t="str">
        <f>IF(Summary_Products!X80="","",Summary_Products!X80)</f>
        <v/>
      </c>
      <c r="Z96" s="615" t="str">
        <f>IF(Summary_Products!Y80="","",Summary_Products!Y80)</f>
        <v/>
      </c>
      <c r="AA96" s="615" t="str">
        <f>IF(Summary_Products!Z80="","",Summary_Products!Z80)</f>
        <v/>
      </c>
      <c r="AB96" s="615" t="str">
        <f>IF(Summary_Products!AA80="","",Summary_Products!AA80)</f>
        <v/>
      </c>
      <c r="AC96" s="615" t="str">
        <f>IF(Summary_Products!AB80="","",Summary_Products!AB80)</f>
        <v/>
      </c>
      <c r="AD96" s="615" t="str">
        <f>IF(Summary_Products!AC80="","",Summary_Products!AC80)</f>
        <v/>
      </c>
      <c r="AE96" s="615" t="str">
        <f>IF(Summary_Products!AD80="","",Summary_Products!AD80)</f>
        <v/>
      </c>
      <c r="AF96" s="615" t="str">
        <f>IF(Summary_Products!AE80="","",Summary_Products!AE80)</f>
        <v/>
      </c>
      <c r="AG96" s="615" t="str">
        <f>IF(Summary_Products!AF80="","",Summary_Products!AF80)</f>
        <v/>
      </c>
      <c r="AH96" s="615" t="str">
        <f>IF(Summary_Products!AG80="","",Summary_Products!AG80)</f>
        <v/>
      </c>
      <c r="AI96" s="615" t="str">
        <f>IF(Summary_Products!AH80="","",Summary_Products!AH80)</f>
        <v/>
      </c>
      <c r="AJ96" s="615" t="str">
        <f>IF(Summary_Products!AI80="","",Summary_Products!AI80)</f>
        <v/>
      </c>
      <c r="AK96" s="615" t="str">
        <f>IF(Summary_Products!AJ80="","",Summary_Products!AJ80)</f>
        <v/>
      </c>
      <c r="AL96" s="615" t="str">
        <f>IF(Summary_Products!AK80="","",Summary_Products!AK80)</f>
        <v/>
      </c>
      <c r="AM96" s="421" t="str">
        <f>IF(Summary_Products!AL80="","",INDEX(Translations!$C:$C,MATCH(Summary_Products!AL80,Translations!$B:$B,0)))</f>
        <v/>
      </c>
      <c r="AN96" s="615" t="str">
        <f>IF(Summary_Products!AM80="","",Summary_Products!AM80)</f>
        <v/>
      </c>
      <c r="AO96" s="473" t="str">
        <f>IF(Summary_Products!AN80="","",Summary_Products!AN80)</f>
        <v/>
      </c>
      <c r="AP96" s="474" t="str">
        <f>IF(Summary_Products!AO80="","",Summary_Products!AO80)</f>
        <v/>
      </c>
      <c r="AQ96" s="160" t="str">
        <f>IF(Summary_Products!AP80="","",Summary_Products!AP80)</f>
        <v/>
      </c>
      <c r="AR96" s="477" t="str">
        <f>IF(Summary_Products!AR80="","",Summary_Products!AR80)</f>
        <v/>
      </c>
      <c r="AS96" s="474" t="str">
        <f>IF(Summary_Products!AS80="","",Summary_Products!AS80)</f>
        <v/>
      </c>
      <c r="AT96" s="421" t="str">
        <f>IF(Summary_Products!AT80="","",INDEX(Translations!$C:$C,MATCH(Summary_Products!AT80,Translations!$B:$B,0)))</f>
        <v/>
      </c>
      <c r="AU96" s="615" t="str">
        <f>IF(Summary_Products!AU80="","",Summary_Products!AU80)</f>
        <v/>
      </c>
      <c r="AV96" s="473" t="str">
        <f>IF(Summary_Products!AV80="","",Summary_Products!AV80)</f>
        <v/>
      </c>
      <c r="AW96" s="474" t="str">
        <f>IF(Summary_Products!AW80="","",Summary_Products!AW80)</f>
        <v/>
      </c>
      <c r="AX96" s="477" t="str">
        <f>IF(Summary_Products!AX80="","",Summary_Products!AX80)</f>
        <v/>
      </c>
      <c r="AY96" s="474" t="str">
        <f>IF(Summary_Products!AY80="","",Summary_Products!AY80)</f>
        <v/>
      </c>
      <c r="AZ96" s="477" t="str">
        <f>IF(Summary_Products!AZ80="","",Summary_Products!AZ80)</f>
        <v/>
      </c>
      <c r="BA96" s="478" t="str">
        <f>IF(Summary_Products!BA80="","",Summary_Products!BA80)</f>
        <v/>
      </c>
      <c r="BD96" s="156"/>
      <c r="BE96" s="156"/>
      <c r="BF96" s="156"/>
      <c r="BG96" s="156"/>
    </row>
    <row r="97" spans="2:59" ht="12.5" x14ac:dyDescent="0.25">
      <c r="B97" s="277"/>
      <c r="C97" s="777">
        <v>72</v>
      </c>
      <c r="D97" s="766" t="str">
        <f>IF(Summary_Products!D81="","",Summary_Products!D81)</f>
        <v/>
      </c>
      <c r="E97" s="421" t="str">
        <f>IF(Summary_Products!E81="","",INDEX(Translations!$C:$C,MATCH(Summary_Products!E81,Translations!$B:$B,0)))</f>
        <v/>
      </c>
      <c r="F97" s="781" t="str">
        <f>IF(Summary_Products!F81="","",Summary_Products!F81)</f>
        <v/>
      </c>
      <c r="G97" s="766" t="str">
        <f>IF(F97="","",INDEX(Parameters_CNCodes!$H$4:$H$572,MATCH(F97,CNCodes_ListKey,0)))</f>
        <v/>
      </c>
      <c r="H97" s="766" t="str">
        <f>IF(Summary_Products!H81="","",Summary_Products!H81)</f>
        <v/>
      </c>
      <c r="I97" s="782" t="str">
        <f>IF(Summary_Products!I81="","",Summary_Products!I81)</f>
        <v/>
      </c>
      <c r="J97" s="782" t="str">
        <f>IF(Summary_Products!J81="","",Summary_Products!J81)</f>
        <v/>
      </c>
      <c r="K97" s="782" t="str">
        <f>IF(Summary_Products!K81="","",Summary_Products!K81)</f>
        <v/>
      </c>
      <c r="L97" s="782" t="str">
        <f>IF(Summary_Products!L81="","",Summary_Products!L81)</f>
        <v/>
      </c>
      <c r="M97" s="783" t="str">
        <f>IF(Summary_Products!M81="","",Summary_Products!M81)</f>
        <v/>
      </c>
      <c r="N97" s="782" t="str">
        <f>IF(Summary_Products!N81="","",Summary_Products!N81)</f>
        <v/>
      </c>
      <c r="O97" s="782" t="str">
        <f>IF(Summary_Products!O81="","",Summary_Products!O81)</f>
        <v/>
      </c>
      <c r="P97" s="782" t="str">
        <f t="shared" si="1"/>
        <v/>
      </c>
      <c r="Q97" s="160" t="str">
        <f>IF(Summary_Products!P81="","",INDEX(Translations!$C:$C,MATCH(Summary_Products!P81,Translations!$B:$B,0)))</f>
        <v/>
      </c>
      <c r="R97" s="160" t="str">
        <f>IF(Summary_Products!Q81="","",Summary_Products!Q81)</f>
        <v/>
      </c>
      <c r="S97" s="615" t="str">
        <f>IF(Summary_Products!R81="","",Summary_Products!R81)</f>
        <v/>
      </c>
      <c r="T97" s="615" t="str">
        <f>IF(Summary_Products!S81="","",Summary_Products!S81)</f>
        <v/>
      </c>
      <c r="U97" s="615" t="str">
        <f>IF(Summary_Products!T81="","",Summary_Products!T81)</f>
        <v/>
      </c>
      <c r="V97" s="615" t="str">
        <f>IF(Summary_Products!U81="","",Summary_Products!U81)</f>
        <v/>
      </c>
      <c r="W97" s="615" t="str">
        <f>IF(Summary_Products!V81="","",Summary_Products!V81)</f>
        <v/>
      </c>
      <c r="X97" s="615" t="str">
        <f>IF(Summary_Products!W81="","",Summary_Products!W81)</f>
        <v/>
      </c>
      <c r="Y97" s="615" t="str">
        <f>IF(Summary_Products!X81="","",Summary_Products!X81)</f>
        <v/>
      </c>
      <c r="Z97" s="615" t="str">
        <f>IF(Summary_Products!Y81="","",Summary_Products!Y81)</f>
        <v/>
      </c>
      <c r="AA97" s="615" t="str">
        <f>IF(Summary_Products!Z81="","",Summary_Products!Z81)</f>
        <v/>
      </c>
      <c r="AB97" s="615" t="str">
        <f>IF(Summary_Products!AA81="","",Summary_Products!AA81)</f>
        <v/>
      </c>
      <c r="AC97" s="615" t="str">
        <f>IF(Summary_Products!AB81="","",Summary_Products!AB81)</f>
        <v/>
      </c>
      <c r="AD97" s="615" t="str">
        <f>IF(Summary_Products!AC81="","",Summary_Products!AC81)</f>
        <v/>
      </c>
      <c r="AE97" s="615" t="str">
        <f>IF(Summary_Products!AD81="","",Summary_Products!AD81)</f>
        <v/>
      </c>
      <c r="AF97" s="615" t="str">
        <f>IF(Summary_Products!AE81="","",Summary_Products!AE81)</f>
        <v/>
      </c>
      <c r="AG97" s="615" t="str">
        <f>IF(Summary_Products!AF81="","",Summary_Products!AF81)</f>
        <v/>
      </c>
      <c r="AH97" s="615" t="str">
        <f>IF(Summary_Products!AG81="","",Summary_Products!AG81)</f>
        <v/>
      </c>
      <c r="AI97" s="615" t="str">
        <f>IF(Summary_Products!AH81="","",Summary_Products!AH81)</f>
        <v/>
      </c>
      <c r="AJ97" s="615" t="str">
        <f>IF(Summary_Products!AI81="","",Summary_Products!AI81)</f>
        <v/>
      </c>
      <c r="AK97" s="615" t="str">
        <f>IF(Summary_Products!AJ81="","",Summary_Products!AJ81)</f>
        <v/>
      </c>
      <c r="AL97" s="615" t="str">
        <f>IF(Summary_Products!AK81="","",Summary_Products!AK81)</f>
        <v/>
      </c>
      <c r="AM97" s="421" t="str">
        <f>IF(Summary_Products!AL81="","",INDEX(Translations!$C:$C,MATCH(Summary_Products!AL81,Translations!$B:$B,0)))</f>
        <v/>
      </c>
      <c r="AN97" s="615" t="str">
        <f>IF(Summary_Products!AM81="","",Summary_Products!AM81)</f>
        <v/>
      </c>
      <c r="AO97" s="473" t="str">
        <f>IF(Summary_Products!AN81="","",Summary_Products!AN81)</f>
        <v/>
      </c>
      <c r="AP97" s="474" t="str">
        <f>IF(Summary_Products!AO81="","",Summary_Products!AO81)</f>
        <v/>
      </c>
      <c r="AQ97" s="160" t="str">
        <f>IF(Summary_Products!AP81="","",Summary_Products!AP81)</f>
        <v/>
      </c>
      <c r="AR97" s="477" t="str">
        <f>IF(Summary_Products!AR81="","",Summary_Products!AR81)</f>
        <v/>
      </c>
      <c r="AS97" s="474" t="str">
        <f>IF(Summary_Products!AS81="","",Summary_Products!AS81)</f>
        <v/>
      </c>
      <c r="AT97" s="421" t="str">
        <f>IF(Summary_Products!AT81="","",INDEX(Translations!$C:$C,MATCH(Summary_Products!AT81,Translations!$B:$B,0)))</f>
        <v/>
      </c>
      <c r="AU97" s="615" t="str">
        <f>IF(Summary_Products!AU81="","",Summary_Products!AU81)</f>
        <v/>
      </c>
      <c r="AV97" s="473" t="str">
        <f>IF(Summary_Products!AV81="","",Summary_Products!AV81)</f>
        <v/>
      </c>
      <c r="AW97" s="474" t="str">
        <f>IF(Summary_Products!AW81="","",Summary_Products!AW81)</f>
        <v/>
      </c>
      <c r="AX97" s="477" t="str">
        <f>IF(Summary_Products!AX81="","",Summary_Products!AX81)</f>
        <v/>
      </c>
      <c r="AY97" s="474" t="str">
        <f>IF(Summary_Products!AY81="","",Summary_Products!AY81)</f>
        <v/>
      </c>
      <c r="AZ97" s="477" t="str">
        <f>IF(Summary_Products!AZ81="","",Summary_Products!AZ81)</f>
        <v/>
      </c>
      <c r="BA97" s="478" t="str">
        <f>IF(Summary_Products!BA81="","",Summary_Products!BA81)</f>
        <v/>
      </c>
      <c r="BD97" s="156"/>
      <c r="BE97" s="156"/>
      <c r="BF97" s="156"/>
      <c r="BG97" s="156"/>
    </row>
    <row r="98" spans="2:59" ht="12.5" x14ac:dyDescent="0.25">
      <c r="B98" s="277"/>
      <c r="C98" s="777">
        <v>73</v>
      </c>
      <c r="D98" s="766" t="str">
        <f>IF(Summary_Products!D82="","",Summary_Products!D82)</f>
        <v/>
      </c>
      <c r="E98" s="421" t="str">
        <f>IF(Summary_Products!E82="","",INDEX(Translations!$C:$C,MATCH(Summary_Products!E82,Translations!$B:$B,0)))</f>
        <v/>
      </c>
      <c r="F98" s="781" t="str">
        <f>IF(Summary_Products!F82="","",Summary_Products!F82)</f>
        <v/>
      </c>
      <c r="G98" s="766" t="str">
        <f>IF(F98="","",INDEX(Parameters_CNCodes!$H$4:$H$572,MATCH(F98,CNCodes_ListKey,0)))</f>
        <v/>
      </c>
      <c r="H98" s="766" t="str">
        <f>IF(Summary_Products!H82="","",Summary_Products!H82)</f>
        <v/>
      </c>
      <c r="I98" s="782" t="str">
        <f>IF(Summary_Products!I82="","",Summary_Products!I82)</f>
        <v/>
      </c>
      <c r="J98" s="782" t="str">
        <f>IF(Summary_Products!J82="","",Summary_Products!J82)</f>
        <v/>
      </c>
      <c r="K98" s="782" t="str">
        <f>IF(Summary_Products!K82="","",Summary_Products!K82)</f>
        <v/>
      </c>
      <c r="L98" s="782" t="str">
        <f>IF(Summary_Products!L82="","",Summary_Products!L82)</f>
        <v/>
      </c>
      <c r="M98" s="783" t="str">
        <f>IF(Summary_Products!M82="","",Summary_Products!M82)</f>
        <v/>
      </c>
      <c r="N98" s="782" t="str">
        <f>IF(Summary_Products!N82="","",Summary_Products!N82)</f>
        <v/>
      </c>
      <c r="O98" s="782" t="str">
        <f>IF(Summary_Products!O82="","",Summary_Products!O82)</f>
        <v/>
      </c>
      <c r="P98" s="782" t="str">
        <f t="shared" si="1"/>
        <v/>
      </c>
      <c r="Q98" s="160" t="str">
        <f>IF(Summary_Products!P82="","",INDEX(Translations!$C:$C,MATCH(Summary_Products!P82,Translations!$B:$B,0)))</f>
        <v/>
      </c>
      <c r="R98" s="160" t="str">
        <f>IF(Summary_Products!Q82="","",Summary_Products!Q82)</f>
        <v/>
      </c>
      <c r="S98" s="615" t="str">
        <f>IF(Summary_Products!R82="","",Summary_Products!R82)</f>
        <v/>
      </c>
      <c r="T98" s="615" t="str">
        <f>IF(Summary_Products!S82="","",Summary_Products!S82)</f>
        <v/>
      </c>
      <c r="U98" s="615" t="str">
        <f>IF(Summary_Products!T82="","",Summary_Products!T82)</f>
        <v/>
      </c>
      <c r="V98" s="615" t="str">
        <f>IF(Summary_Products!U82="","",Summary_Products!U82)</f>
        <v/>
      </c>
      <c r="W98" s="615" t="str">
        <f>IF(Summary_Products!V82="","",Summary_Products!V82)</f>
        <v/>
      </c>
      <c r="X98" s="615" t="str">
        <f>IF(Summary_Products!W82="","",Summary_Products!W82)</f>
        <v/>
      </c>
      <c r="Y98" s="615" t="str">
        <f>IF(Summary_Products!X82="","",Summary_Products!X82)</f>
        <v/>
      </c>
      <c r="Z98" s="615" t="str">
        <f>IF(Summary_Products!Y82="","",Summary_Products!Y82)</f>
        <v/>
      </c>
      <c r="AA98" s="615" t="str">
        <f>IF(Summary_Products!Z82="","",Summary_Products!Z82)</f>
        <v/>
      </c>
      <c r="AB98" s="615" t="str">
        <f>IF(Summary_Products!AA82="","",Summary_Products!AA82)</f>
        <v/>
      </c>
      <c r="AC98" s="615" t="str">
        <f>IF(Summary_Products!AB82="","",Summary_Products!AB82)</f>
        <v/>
      </c>
      <c r="AD98" s="615" t="str">
        <f>IF(Summary_Products!AC82="","",Summary_Products!AC82)</f>
        <v/>
      </c>
      <c r="AE98" s="615" t="str">
        <f>IF(Summary_Products!AD82="","",Summary_Products!AD82)</f>
        <v/>
      </c>
      <c r="AF98" s="615" t="str">
        <f>IF(Summary_Products!AE82="","",Summary_Products!AE82)</f>
        <v/>
      </c>
      <c r="AG98" s="615" t="str">
        <f>IF(Summary_Products!AF82="","",Summary_Products!AF82)</f>
        <v/>
      </c>
      <c r="AH98" s="615" t="str">
        <f>IF(Summary_Products!AG82="","",Summary_Products!AG82)</f>
        <v/>
      </c>
      <c r="AI98" s="615" t="str">
        <f>IF(Summary_Products!AH82="","",Summary_Products!AH82)</f>
        <v/>
      </c>
      <c r="AJ98" s="615" t="str">
        <f>IF(Summary_Products!AI82="","",Summary_Products!AI82)</f>
        <v/>
      </c>
      <c r="AK98" s="615" t="str">
        <f>IF(Summary_Products!AJ82="","",Summary_Products!AJ82)</f>
        <v/>
      </c>
      <c r="AL98" s="615" t="str">
        <f>IF(Summary_Products!AK82="","",Summary_Products!AK82)</f>
        <v/>
      </c>
      <c r="AM98" s="421" t="str">
        <f>IF(Summary_Products!AL82="","",INDEX(Translations!$C:$C,MATCH(Summary_Products!AL82,Translations!$B:$B,0)))</f>
        <v/>
      </c>
      <c r="AN98" s="615" t="str">
        <f>IF(Summary_Products!AM82="","",Summary_Products!AM82)</f>
        <v/>
      </c>
      <c r="AO98" s="473" t="str">
        <f>IF(Summary_Products!AN82="","",Summary_Products!AN82)</f>
        <v/>
      </c>
      <c r="AP98" s="474" t="str">
        <f>IF(Summary_Products!AO82="","",Summary_Products!AO82)</f>
        <v/>
      </c>
      <c r="AQ98" s="160" t="str">
        <f>IF(Summary_Products!AP82="","",Summary_Products!AP82)</f>
        <v/>
      </c>
      <c r="AR98" s="477" t="str">
        <f>IF(Summary_Products!AR82="","",Summary_Products!AR82)</f>
        <v/>
      </c>
      <c r="AS98" s="474" t="str">
        <f>IF(Summary_Products!AS82="","",Summary_Products!AS82)</f>
        <v/>
      </c>
      <c r="AT98" s="421" t="str">
        <f>IF(Summary_Products!AT82="","",INDEX(Translations!$C:$C,MATCH(Summary_Products!AT82,Translations!$B:$B,0)))</f>
        <v/>
      </c>
      <c r="AU98" s="615" t="str">
        <f>IF(Summary_Products!AU82="","",Summary_Products!AU82)</f>
        <v/>
      </c>
      <c r="AV98" s="473" t="str">
        <f>IF(Summary_Products!AV82="","",Summary_Products!AV82)</f>
        <v/>
      </c>
      <c r="AW98" s="474" t="str">
        <f>IF(Summary_Products!AW82="","",Summary_Products!AW82)</f>
        <v/>
      </c>
      <c r="AX98" s="477" t="str">
        <f>IF(Summary_Products!AX82="","",Summary_Products!AX82)</f>
        <v/>
      </c>
      <c r="AY98" s="474" t="str">
        <f>IF(Summary_Products!AY82="","",Summary_Products!AY82)</f>
        <v/>
      </c>
      <c r="AZ98" s="477" t="str">
        <f>IF(Summary_Products!AZ82="","",Summary_Products!AZ82)</f>
        <v/>
      </c>
      <c r="BA98" s="478" t="str">
        <f>IF(Summary_Products!BA82="","",Summary_Products!BA82)</f>
        <v/>
      </c>
      <c r="BD98" s="156"/>
      <c r="BE98" s="156"/>
      <c r="BF98" s="156"/>
      <c r="BG98" s="156"/>
    </row>
    <row r="99" spans="2:59" ht="12.5" x14ac:dyDescent="0.25">
      <c r="B99" s="277"/>
      <c r="C99" s="777">
        <v>74</v>
      </c>
      <c r="D99" s="766" t="str">
        <f>IF(Summary_Products!D83="","",Summary_Products!D83)</f>
        <v/>
      </c>
      <c r="E99" s="421" t="str">
        <f>IF(Summary_Products!E83="","",INDEX(Translations!$C:$C,MATCH(Summary_Products!E83,Translations!$B:$B,0)))</f>
        <v/>
      </c>
      <c r="F99" s="781" t="str">
        <f>IF(Summary_Products!F83="","",Summary_Products!F83)</f>
        <v/>
      </c>
      <c r="G99" s="766" t="str">
        <f>IF(F99="","",INDEX(Parameters_CNCodes!$H$4:$H$572,MATCH(F99,CNCodes_ListKey,0)))</f>
        <v/>
      </c>
      <c r="H99" s="766" t="str">
        <f>IF(Summary_Products!H83="","",Summary_Products!H83)</f>
        <v/>
      </c>
      <c r="I99" s="782" t="str">
        <f>IF(Summary_Products!I83="","",Summary_Products!I83)</f>
        <v/>
      </c>
      <c r="J99" s="782" t="str">
        <f>IF(Summary_Products!J83="","",Summary_Products!J83)</f>
        <v/>
      </c>
      <c r="K99" s="782" t="str">
        <f>IF(Summary_Products!K83="","",Summary_Products!K83)</f>
        <v/>
      </c>
      <c r="L99" s="782" t="str">
        <f>IF(Summary_Products!L83="","",Summary_Products!L83)</f>
        <v/>
      </c>
      <c r="M99" s="783" t="str">
        <f>IF(Summary_Products!M83="","",Summary_Products!M83)</f>
        <v/>
      </c>
      <c r="N99" s="782" t="str">
        <f>IF(Summary_Products!N83="","",Summary_Products!N83)</f>
        <v/>
      </c>
      <c r="O99" s="782" t="str">
        <f>IF(Summary_Products!O83="","",Summary_Products!O83)</f>
        <v/>
      </c>
      <c r="P99" s="782" t="str">
        <f t="shared" si="1"/>
        <v/>
      </c>
      <c r="Q99" s="160" t="str">
        <f>IF(Summary_Products!P83="","",INDEX(Translations!$C:$C,MATCH(Summary_Products!P83,Translations!$B:$B,0)))</f>
        <v/>
      </c>
      <c r="R99" s="160" t="str">
        <f>IF(Summary_Products!Q83="","",Summary_Products!Q83)</f>
        <v/>
      </c>
      <c r="S99" s="615" t="str">
        <f>IF(Summary_Products!R83="","",Summary_Products!R83)</f>
        <v/>
      </c>
      <c r="T99" s="615" t="str">
        <f>IF(Summary_Products!S83="","",Summary_Products!S83)</f>
        <v/>
      </c>
      <c r="U99" s="615" t="str">
        <f>IF(Summary_Products!T83="","",Summary_Products!T83)</f>
        <v/>
      </c>
      <c r="V99" s="615" t="str">
        <f>IF(Summary_Products!U83="","",Summary_Products!U83)</f>
        <v/>
      </c>
      <c r="W99" s="615" t="str">
        <f>IF(Summary_Products!V83="","",Summary_Products!V83)</f>
        <v/>
      </c>
      <c r="X99" s="615" t="str">
        <f>IF(Summary_Products!W83="","",Summary_Products!W83)</f>
        <v/>
      </c>
      <c r="Y99" s="615" t="str">
        <f>IF(Summary_Products!X83="","",Summary_Products!X83)</f>
        <v/>
      </c>
      <c r="Z99" s="615" t="str">
        <f>IF(Summary_Products!Y83="","",Summary_Products!Y83)</f>
        <v/>
      </c>
      <c r="AA99" s="615" t="str">
        <f>IF(Summary_Products!Z83="","",Summary_Products!Z83)</f>
        <v/>
      </c>
      <c r="AB99" s="615" t="str">
        <f>IF(Summary_Products!AA83="","",Summary_Products!AA83)</f>
        <v/>
      </c>
      <c r="AC99" s="615" t="str">
        <f>IF(Summary_Products!AB83="","",Summary_Products!AB83)</f>
        <v/>
      </c>
      <c r="AD99" s="615" t="str">
        <f>IF(Summary_Products!AC83="","",Summary_Products!AC83)</f>
        <v/>
      </c>
      <c r="AE99" s="615" t="str">
        <f>IF(Summary_Products!AD83="","",Summary_Products!AD83)</f>
        <v/>
      </c>
      <c r="AF99" s="615" t="str">
        <f>IF(Summary_Products!AE83="","",Summary_Products!AE83)</f>
        <v/>
      </c>
      <c r="AG99" s="615" t="str">
        <f>IF(Summary_Products!AF83="","",Summary_Products!AF83)</f>
        <v/>
      </c>
      <c r="AH99" s="615" t="str">
        <f>IF(Summary_Products!AG83="","",Summary_Products!AG83)</f>
        <v/>
      </c>
      <c r="AI99" s="615" t="str">
        <f>IF(Summary_Products!AH83="","",Summary_Products!AH83)</f>
        <v/>
      </c>
      <c r="AJ99" s="615" t="str">
        <f>IF(Summary_Products!AI83="","",Summary_Products!AI83)</f>
        <v/>
      </c>
      <c r="AK99" s="615" t="str">
        <f>IF(Summary_Products!AJ83="","",Summary_Products!AJ83)</f>
        <v/>
      </c>
      <c r="AL99" s="615" t="str">
        <f>IF(Summary_Products!AK83="","",Summary_Products!AK83)</f>
        <v/>
      </c>
      <c r="AM99" s="421" t="str">
        <f>IF(Summary_Products!AL83="","",INDEX(Translations!$C:$C,MATCH(Summary_Products!AL83,Translations!$B:$B,0)))</f>
        <v/>
      </c>
      <c r="AN99" s="615" t="str">
        <f>IF(Summary_Products!AM83="","",Summary_Products!AM83)</f>
        <v/>
      </c>
      <c r="AO99" s="473" t="str">
        <f>IF(Summary_Products!AN83="","",Summary_Products!AN83)</f>
        <v/>
      </c>
      <c r="AP99" s="474" t="str">
        <f>IF(Summary_Products!AO83="","",Summary_Products!AO83)</f>
        <v/>
      </c>
      <c r="AQ99" s="160" t="str">
        <f>IF(Summary_Products!AP83="","",Summary_Products!AP83)</f>
        <v/>
      </c>
      <c r="AR99" s="477" t="str">
        <f>IF(Summary_Products!AR83="","",Summary_Products!AR83)</f>
        <v/>
      </c>
      <c r="AS99" s="474" t="str">
        <f>IF(Summary_Products!AS83="","",Summary_Products!AS83)</f>
        <v/>
      </c>
      <c r="AT99" s="421" t="str">
        <f>IF(Summary_Products!AT83="","",INDEX(Translations!$C:$C,MATCH(Summary_Products!AT83,Translations!$B:$B,0)))</f>
        <v/>
      </c>
      <c r="AU99" s="615" t="str">
        <f>IF(Summary_Products!AU83="","",Summary_Products!AU83)</f>
        <v/>
      </c>
      <c r="AV99" s="473" t="str">
        <f>IF(Summary_Products!AV83="","",Summary_Products!AV83)</f>
        <v/>
      </c>
      <c r="AW99" s="474" t="str">
        <f>IF(Summary_Products!AW83="","",Summary_Products!AW83)</f>
        <v/>
      </c>
      <c r="AX99" s="477" t="str">
        <f>IF(Summary_Products!AX83="","",Summary_Products!AX83)</f>
        <v/>
      </c>
      <c r="AY99" s="474" t="str">
        <f>IF(Summary_Products!AY83="","",Summary_Products!AY83)</f>
        <v/>
      </c>
      <c r="AZ99" s="477" t="str">
        <f>IF(Summary_Products!AZ83="","",Summary_Products!AZ83)</f>
        <v/>
      </c>
      <c r="BA99" s="478" t="str">
        <f>IF(Summary_Products!BA83="","",Summary_Products!BA83)</f>
        <v/>
      </c>
      <c r="BD99" s="156"/>
      <c r="BE99" s="156"/>
      <c r="BF99" s="156"/>
      <c r="BG99" s="156"/>
    </row>
    <row r="100" spans="2:59" ht="12.5" x14ac:dyDescent="0.25">
      <c r="B100" s="277"/>
      <c r="C100" s="777">
        <v>75</v>
      </c>
      <c r="D100" s="766" t="str">
        <f>IF(Summary_Products!D84="","",Summary_Products!D84)</f>
        <v/>
      </c>
      <c r="E100" s="421" t="str">
        <f>IF(Summary_Products!E84="","",INDEX(Translations!$C:$C,MATCH(Summary_Products!E84,Translations!$B:$B,0)))</f>
        <v/>
      </c>
      <c r="F100" s="781" t="str">
        <f>IF(Summary_Products!F84="","",Summary_Products!F84)</f>
        <v/>
      </c>
      <c r="G100" s="766" t="str">
        <f>IF(F100="","",INDEX(Parameters_CNCodes!$H$4:$H$572,MATCH(F100,CNCodes_ListKey,0)))</f>
        <v/>
      </c>
      <c r="H100" s="766" t="str">
        <f>IF(Summary_Products!H84="","",Summary_Products!H84)</f>
        <v/>
      </c>
      <c r="I100" s="782" t="str">
        <f>IF(Summary_Products!I84="","",Summary_Products!I84)</f>
        <v/>
      </c>
      <c r="J100" s="782" t="str">
        <f>IF(Summary_Products!J84="","",Summary_Products!J84)</f>
        <v/>
      </c>
      <c r="K100" s="782" t="str">
        <f>IF(Summary_Products!K84="","",Summary_Products!K84)</f>
        <v/>
      </c>
      <c r="L100" s="782" t="str">
        <f>IF(Summary_Products!L84="","",Summary_Products!L84)</f>
        <v/>
      </c>
      <c r="M100" s="783" t="str">
        <f>IF(Summary_Products!M84="","",Summary_Products!M84)</f>
        <v/>
      </c>
      <c r="N100" s="782" t="str">
        <f>IF(Summary_Products!N84="","",Summary_Products!N84)</f>
        <v/>
      </c>
      <c r="O100" s="782" t="str">
        <f>IF(Summary_Products!O84="","",Summary_Products!O84)</f>
        <v/>
      </c>
      <c r="P100" s="782" t="str">
        <f t="shared" si="1"/>
        <v/>
      </c>
      <c r="Q100" s="160" t="str">
        <f>IF(Summary_Products!P84="","",INDEX(Translations!$C:$C,MATCH(Summary_Products!P84,Translations!$B:$B,0)))</f>
        <v/>
      </c>
      <c r="R100" s="160" t="str">
        <f>IF(Summary_Products!Q84="","",Summary_Products!Q84)</f>
        <v/>
      </c>
      <c r="S100" s="615" t="str">
        <f>IF(Summary_Products!R84="","",Summary_Products!R84)</f>
        <v/>
      </c>
      <c r="T100" s="615" t="str">
        <f>IF(Summary_Products!S84="","",Summary_Products!S84)</f>
        <v/>
      </c>
      <c r="U100" s="615" t="str">
        <f>IF(Summary_Products!T84="","",Summary_Products!T84)</f>
        <v/>
      </c>
      <c r="V100" s="615" t="str">
        <f>IF(Summary_Products!U84="","",Summary_Products!U84)</f>
        <v/>
      </c>
      <c r="W100" s="615" t="str">
        <f>IF(Summary_Products!V84="","",Summary_Products!V84)</f>
        <v/>
      </c>
      <c r="X100" s="615" t="str">
        <f>IF(Summary_Products!W84="","",Summary_Products!W84)</f>
        <v/>
      </c>
      <c r="Y100" s="615" t="str">
        <f>IF(Summary_Products!X84="","",Summary_Products!X84)</f>
        <v/>
      </c>
      <c r="Z100" s="615" t="str">
        <f>IF(Summary_Products!Y84="","",Summary_Products!Y84)</f>
        <v/>
      </c>
      <c r="AA100" s="615" t="str">
        <f>IF(Summary_Products!Z84="","",Summary_Products!Z84)</f>
        <v/>
      </c>
      <c r="AB100" s="615" t="str">
        <f>IF(Summary_Products!AA84="","",Summary_Products!AA84)</f>
        <v/>
      </c>
      <c r="AC100" s="615" t="str">
        <f>IF(Summary_Products!AB84="","",Summary_Products!AB84)</f>
        <v/>
      </c>
      <c r="AD100" s="615" t="str">
        <f>IF(Summary_Products!AC84="","",Summary_Products!AC84)</f>
        <v/>
      </c>
      <c r="AE100" s="615" t="str">
        <f>IF(Summary_Products!AD84="","",Summary_Products!AD84)</f>
        <v/>
      </c>
      <c r="AF100" s="615" t="str">
        <f>IF(Summary_Products!AE84="","",Summary_Products!AE84)</f>
        <v/>
      </c>
      <c r="AG100" s="615" t="str">
        <f>IF(Summary_Products!AF84="","",Summary_Products!AF84)</f>
        <v/>
      </c>
      <c r="AH100" s="615" t="str">
        <f>IF(Summary_Products!AG84="","",Summary_Products!AG84)</f>
        <v/>
      </c>
      <c r="AI100" s="615" t="str">
        <f>IF(Summary_Products!AH84="","",Summary_Products!AH84)</f>
        <v/>
      </c>
      <c r="AJ100" s="615" t="str">
        <f>IF(Summary_Products!AI84="","",Summary_Products!AI84)</f>
        <v/>
      </c>
      <c r="AK100" s="615" t="str">
        <f>IF(Summary_Products!AJ84="","",Summary_Products!AJ84)</f>
        <v/>
      </c>
      <c r="AL100" s="615" t="str">
        <f>IF(Summary_Products!AK84="","",Summary_Products!AK84)</f>
        <v/>
      </c>
      <c r="AM100" s="421" t="str">
        <f>IF(Summary_Products!AL84="","",INDEX(Translations!$C:$C,MATCH(Summary_Products!AL84,Translations!$B:$B,0)))</f>
        <v/>
      </c>
      <c r="AN100" s="615" t="str">
        <f>IF(Summary_Products!AM84="","",Summary_Products!AM84)</f>
        <v/>
      </c>
      <c r="AO100" s="473" t="str">
        <f>IF(Summary_Products!AN84="","",Summary_Products!AN84)</f>
        <v/>
      </c>
      <c r="AP100" s="474" t="str">
        <f>IF(Summary_Products!AO84="","",Summary_Products!AO84)</f>
        <v/>
      </c>
      <c r="AQ100" s="160" t="str">
        <f>IF(Summary_Products!AP84="","",Summary_Products!AP84)</f>
        <v/>
      </c>
      <c r="AR100" s="477" t="str">
        <f>IF(Summary_Products!AR84="","",Summary_Products!AR84)</f>
        <v/>
      </c>
      <c r="AS100" s="474" t="str">
        <f>IF(Summary_Products!AS84="","",Summary_Products!AS84)</f>
        <v/>
      </c>
      <c r="AT100" s="421" t="str">
        <f>IF(Summary_Products!AT84="","",INDEX(Translations!$C:$C,MATCH(Summary_Products!AT84,Translations!$B:$B,0)))</f>
        <v/>
      </c>
      <c r="AU100" s="615" t="str">
        <f>IF(Summary_Products!AU84="","",Summary_Products!AU84)</f>
        <v/>
      </c>
      <c r="AV100" s="473" t="str">
        <f>IF(Summary_Products!AV84="","",Summary_Products!AV84)</f>
        <v/>
      </c>
      <c r="AW100" s="474" t="str">
        <f>IF(Summary_Products!AW84="","",Summary_Products!AW84)</f>
        <v/>
      </c>
      <c r="AX100" s="477" t="str">
        <f>IF(Summary_Products!AX84="","",Summary_Products!AX84)</f>
        <v/>
      </c>
      <c r="AY100" s="474" t="str">
        <f>IF(Summary_Products!AY84="","",Summary_Products!AY84)</f>
        <v/>
      </c>
      <c r="AZ100" s="477" t="str">
        <f>IF(Summary_Products!AZ84="","",Summary_Products!AZ84)</f>
        <v/>
      </c>
      <c r="BA100" s="478" t="str">
        <f>IF(Summary_Products!BA84="","",Summary_Products!BA84)</f>
        <v/>
      </c>
      <c r="BD100" s="156"/>
      <c r="BE100" s="156"/>
      <c r="BF100" s="156"/>
      <c r="BG100" s="156"/>
    </row>
    <row r="101" spans="2:59" ht="12.5" x14ac:dyDescent="0.25">
      <c r="B101" s="277"/>
      <c r="C101" s="777">
        <v>76</v>
      </c>
      <c r="D101" s="766" t="str">
        <f>IF(Summary_Products!D85="","",Summary_Products!D85)</f>
        <v/>
      </c>
      <c r="E101" s="421" t="str">
        <f>IF(Summary_Products!E85="","",INDEX(Translations!$C:$C,MATCH(Summary_Products!E85,Translations!$B:$B,0)))</f>
        <v/>
      </c>
      <c r="F101" s="781" t="str">
        <f>IF(Summary_Products!F85="","",Summary_Products!F85)</f>
        <v/>
      </c>
      <c r="G101" s="766" t="str">
        <f>IF(F101="","",INDEX(Parameters_CNCodes!$H$4:$H$572,MATCH(F101,CNCodes_ListKey,0)))</f>
        <v/>
      </c>
      <c r="H101" s="766" t="str">
        <f>IF(Summary_Products!H85="","",Summary_Products!H85)</f>
        <v/>
      </c>
      <c r="I101" s="782" t="str">
        <f>IF(Summary_Products!I85="","",Summary_Products!I85)</f>
        <v/>
      </c>
      <c r="J101" s="782" t="str">
        <f>IF(Summary_Products!J85="","",Summary_Products!J85)</f>
        <v/>
      </c>
      <c r="K101" s="782" t="str">
        <f>IF(Summary_Products!K85="","",Summary_Products!K85)</f>
        <v/>
      </c>
      <c r="L101" s="782" t="str">
        <f>IF(Summary_Products!L85="","",Summary_Products!L85)</f>
        <v/>
      </c>
      <c r="M101" s="783" t="str">
        <f>IF(Summary_Products!M85="","",Summary_Products!M85)</f>
        <v/>
      </c>
      <c r="N101" s="782" t="str">
        <f>IF(Summary_Products!N85="","",Summary_Products!N85)</f>
        <v/>
      </c>
      <c r="O101" s="782" t="str">
        <f>IF(Summary_Products!O85="","",Summary_Products!O85)</f>
        <v/>
      </c>
      <c r="P101" s="782" t="str">
        <f t="shared" si="1"/>
        <v/>
      </c>
      <c r="Q101" s="160" t="str">
        <f>IF(Summary_Products!P85="","",INDEX(Translations!$C:$C,MATCH(Summary_Products!P85,Translations!$B:$B,0)))</f>
        <v/>
      </c>
      <c r="R101" s="160" t="str">
        <f>IF(Summary_Products!Q85="","",Summary_Products!Q85)</f>
        <v/>
      </c>
      <c r="S101" s="615" t="str">
        <f>IF(Summary_Products!R85="","",Summary_Products!R85)</f>
        <v/>
      </c>
      <c r="T101" s="615" t="str">
        <f>IF(Summary_Products!S85="","",Summary_Products!S85)</f>
        <v/>
      </c>
      <c r="U101" s="615" t="str">
        <f>IF(Summary_Products!T85="","",Summary_Products!T85)</f>
        <v/>
      </c>
      <c r="V101" s="615" t="str">
        <f>IF(Summary_Products!U85="","",Summary_Products!U85)</f>
        <v/>
      </c>
      <c r="W101" s="615" t="str">
        <f>IF(Summary_Products!V85="","",Summary_Products!V85)</f>
        <v/>
      </c>
      <c r="X101" s="615" t="str">
        <f>IF(Summary_Products!W85="","",Summary_Products!W85)</f>
        <v/>
      </c>
      <c r="Y101" s="615" t="str">
        <f>IF(Summary_Products!X85="","",Summary_Products!X85)</f>
        <v/>
      </c>
      <c r="Z101" s="615" t="str">
        <f>IF(Summary_Products!Y85="","",Summary_Products!Y85)</f>
        <v/>
      </c>
      <c r="AA101" s="615" t="str">
        <f>IF(Summary_Products!Z85="","",Summary_Products!Z85)</f>
        <v/>
      </c>
      <c r="AB101" s="615" t="str">
        <f>IF(Summary_Products!AA85="","",Summary_Products!AA85)</f>
        <v/>
      </c>
      <c r="AC101" s="615" t="str">
        <f>IF(Summary_Products!AB85="","",Summary_Products!AB85)</f>
        <v/>
      </c>
      <c r="AD101" s="615" t="str">
        <f>IF(Summary_Products!AC85="","",Summary_Products!AC85)</f>
        <v/>
      </c>
      <c r="AE101" s="615" t="str">
        <f>IF(Summary_Products!AD85="","",Summary_Products!AD85)</f>
        <v/>
      </c>
      <c r="AF101" s="615" t="str">
        <f>IF(Summary_Products!AE85="","",Summary_Products!AE85)</f>
        <v/>
      </c>
      <c r="AG101" s="615" t="str">
        <f>IF(Summary_Products!AF85="","",Summary_Products!AF85)</f>
        <v/>
      </c>
      <c r="AH101" s="615" t="str">
        <f>IF(Summary_Products!AG85="","",Summary_Products!AG85)</f>
        <v/>
      </c>
      <c r="AI101" s="615" t="str">
        <f>IF(Summary_Products!AH85="","",Summary_Products!AH85)</f>
        <v/>
      </c>
      <c r="AJ101" s="615" t="str">
        <f>IF(Summary_Products!AI85="","",Summary_Products!AI85)</f>
        <v/>
      </c>
      <c r="AK101" s="615" t="str">
        <f>IF(Summary_Products!AJ85="","",Summary_Products!AJ85)</f>
        <v/>
      </c>
      <c r="AL101" s="615" t="str">
        <f>IF(Summary_Products!AK85="","",Summary_Products!AK85)</f>
        <v/>
      </c>
      <c r="AM101" s="421" t="str">
        <f>IF(Summary_Products!AL85="","",INDEX(Translations!$C:$C,MATCH(Summary_Products!AL85,Translations!$B:$B,0)))</f>
        <v/>
      </c>
      <c r="AN101" s="615" t="str">
        <f>IF(Summary_Products!AM85="","",Summary_Products!AM85)</f>
        <v/>
      </c>
      <c r="AO101" s="473" t="str">
        <f>IF(Summary_Products!AN85="","",Summary_Products!AN85)</f>
        <v/>
      </c>
      <c r="AP101" s="474" t="str">
        <f>IF(Summary_Products!AO85="","",Summary_Products!AO85)</f>
        <v/>
      </c>
      <c r="AQ101" s="160" t="str">
        <f>IF(Summary_Products!AP85="","",Summary_Products!AP85)</f>
        <v/>
      </c>
      <c r="AR101" s="477" t="str">
        <f>IF(Summary_Products!AR85="","",Summary_Products!AR85)</f>
        <v/>
      </c>
      <c r="AS101" s="474" t="str">
        <f>IF(Summary_Products!AS85="","",Summary_Products!AS85)</f>
        <v/>
      </c>
      <c r="AT101" s="421" t="str">
        <f>IF(Summary_Products!AT85="","",INDEX(Translations!$C:$C,MATCH(Summary_Products!AT85,Translations!$B:$B,0)))</f>
        <v/>
      </c>
      <c r="AU101" s="615" t="str">
        <f>IF(Summary_Products!AU85="","",Summary_Products!AU85)</f>
        <v/>
      </c>
      <c r="AV101" s="473" t="str">
        <f>IF(Summary_Products!AV85="","",Summary_Products!AV85)</f>
        <v/>
      </c>
      <c r="AW101" s="474" t="str">
        <f>IF(Summary_Products!AW85="","",Summary_Products!AW85)</f>
        <v/>
      </c>
      <c r="AX101" s="477" t="str">
        <f>IF(Summary_Products!AX85="","",Summary_Products!AX85)</f>
        <v/>
      </c>
      <c r="AY101" s="474" t="str">
        <f>IF(Summary_Products!AY85="","",Summary_Products!AY85)</f>
        <v/>
      </c>
      <c r="AZ101" s="477" t="str">
        <f>IF(Summary_Products!AZ85="","",Summary_Products!AZ85)</f>
        <v/>
      </c>
      <c r="BA101" s="478" t="str">
        <f>IF(Summary_Products!BA85="","",Summary_Products!BA85)</f>
        <v/>
      </c>
      <c r="BD101" s="156"/>
      <c r="BE101" s="156"/>
      <c r="BF101" s="156"/>
      <c r="BG101" s="156"/>
    </row>
    <row r="102" spans="2:59" ht="12.5" x14ac:dyDescent="0.25">
      <c r="B102" s="277"/>
      <c r="C102" s="777">
        <v>77</v>
      </c>
      <c r="D102" s="766" t="str">
        <f>IF(Summary_Products!D86="","",Summary_Products!D86)</f>
        <v/>
      </c>
      <c r="E102" s="421" t="str">
        <f>IF(Summary_Products!E86="","",INDEX(Translations!$C:$C,MATCH(Summary_Products!E86,Translations!$B:$B,0)))</f>
        <v/>
      </c>
      <c r="F102" s="781" t="str">
        <f>IF(Summary_Products!F86="","",Summary_Products!F86)</f>
        <v/>
      </c>
      <c r="G102" s="766" t="str">
        <f>IF(F102="","",INDEX(Parameters_CNCodes!$H$4:$H$572,MATCH(F102,CNCodes_ListKey,0)))</f>
        <v/>
      </c>
      <c r="H102" s="766" t="str">
        <f>IF(Summary_Products!H86="","",Summary_Products!H86)</f>
        <v/>
      </c>
      <c r="I102" s="782" t="str">
        <f>IF(Summary_Products!I86="","",Summary_Products!I86)</f>
        <v/>
      </c>
      <c r="J102" s="782" t="str">
        <f>IF(Summary_Products!J86="","",Summary_Products!J86)</f>
        <v/>
      </c>
      <c r="K102" s="782" t="str">
        <f>IF(Summary_Products!K86="","",Summary_Products!K86)</f>
        <v/>
      </c>
      <c r="L102" s="782" t="str">
        <f>IF(Summary_Products!L86="","",Summary_Products!L86)</f>
        <v/>
      </c>
      <c r="M102" s="783" t="str">
        <f>IF(Summary_Products!M86="","",Summary_Products!M86)</f>
        <v/>
      </c>
      <c r="N102" s="782" t="str">
        <f>IF(Summary_Products!N86="","",Summary_Products!N86)</f>
        <v/>
      </c>
      <c r="O102" s="782" t="str">
        <f>IF(Summary_Products!O86="","",Summary_Products!O86)</f>
        <v/>
      </c>
      <c r="P102" s="782" t="str">
        <f t="shared" si="1"/>
        <v/>
      </c>
      <c r="Q102" s="160" t="str">
        <f>IF(Summary_Products!P86="","",INDEX(Translations!$C:$C,MATCH(Summary_Products!P86,Translations!$B:$B,0)))</f>
        <v/>
      </c>
      <c r="R102" s="160" t="str">
        <f>IF(Summary_Products!Q86="","",Summary_Products!Q86)</f>
        <v/>
      </c>
      <c r="S102" s="615" t="str">
        <f>IF(Summary_Products!R86="","",Summary_Products!R86)</f>
        <v/>
      </c>
      <c r="T102" s="615" t="str">
        <f>IF(Summary_Products!S86="","",Summary_Products!S86)</f>
        <v/>
      </c>
      <c r="U102" s="615" t="str">
        <f>IF(Summary_Products!T86="","",Summary_Products!T86)</f>
        <v/>
      </c>
      <c r="V102" s="615" t="str">
        <f>IF(Summary_Products!U86="","",Summary_Products!U86)</f>
        <v/>
      </c>
      <c r="W102" s="615" t="str">
        <f>IF(Summary_Products!V86="","",Summary_Products!V86)</f>
        <v/>
      </c>
      <c r="X102" s="615" t="str">
        <f>IF(Summary_Products!W86="","",Summary_Products!W86)</f>
        <v/>
      </c>
      <c r="Y102" s="615" t="str">
        <f>IF(Summary_Products!X86="","",Summary_Products!X86)</f>
        <v/>
      </c>
      <c r="Z102" s="615" t="str">
        <f>IF(Summary_Products!Y86="","",Summary_Products!Y86)</f>
        <v/>
      </c>
      <c r="AA102" s="615" t="str">
        <f>IF(Summary_Products!Z86="","",Summary_Products!Z86)</f>
        <v/>
      </c>
      <c r="AB102" s="615" t="str">
        <f>IF(Summary_Products!AA86="","",Summary_Products!AA86)</f>
        <v/>
      </c>
      <c r="AC102" s="615" t="str">
        <f>IF(Summary_Products!AB86="","",Summary_Products!AB86)</f>
        <v/>
      </c>
      <c r="AD102" s="615" t="str">
        <f>IF(Summary_Products!AC86="","",Summary_Products!AC86)</f>
        <v/>
      </c>
      <c r="AE102" s="615" t="str">
        <f>IF(Summary_Products!AD86="","",Summary_Products!AD86)</f>
        <v/>
      </c>
      <c r="AF102" s="615" t="str">
        <f>IF(Summary_Products!AE86="","",Summary_Products!AE86)</f>
        <v/>
      </c>
      <c r="AG102" s="615" t="str">
        <f>IF(Summary_Products!AF86="","",Summary_Products!AF86)</f>
        <v/>
      </c>
      <c r="AH102" s="615" t="str">
        <f>IF(Summary_Products!AG86="","",Summary_Products!AG86)</f>
        <v/>
      </c>
      <c r="AI102" s="615" t="str">
        <f>IF(Summary_Products!AH86="","",Summary_Products!AH86)</f>
        <v/>
      </c>
      <c r="AJ102" s="615" t="str">
        <f>IF(Summary_Products!AI86="","",Summary_Products!AI86)</f>
        <v/>
      </c>
      <c r="AK102" s="615" t="str">
        <f>IF(Summary_Products!AJ86="","",Summary_Products!AJ86)</f>
        <v/>
      </c>
      <c r="AL102" s="615" t="str">
        <f>IF(Summary_Products!AK86="","",Summary_Products!AK86)</f>
        <v/>
      </c>
      <c r="AM102" s="421" t="str">
        <f>IF(Summary_Products!AL86="","",INDEX(Translations!$C:$C,MATCH(Summary_Products!AL86,Translations!$B:$B,0)))</f>
        <v/>
      </c>
      <c r="AN102" s="615" t="str">
        <f>IF(Summary_Products!AM86="","",Summary_Products!AM86)</f>
        <v/>
      </c>
      <c r="AO102" s="473" t="str">
        <f>IF(Summary_Products!AN86="","",Summary_Products!AN86)</f>
        <v/>
      </c>
      <c r="AP102" s="474" t="str">
        <f>IF(Summary_Products!AO86="","",Summary_Products!AO86)</f>
        <v/>
      </c>
      <c r="AQ102" s="160" t="str">
        <f>IF(Summary_Products!AP86="","",Summary_Products!AP86)</f>
        <v/>
      </c>
      <c r="AR102" s="477" t="str">
        <f>IF(Summary_Products!AR86="","",Summary_Products!AR86)</f>
        <v/>
      </c>
      <c r="AS102" s="474" t="str">
        <f>IF(Summary_Products!AS86="","",Summary_Products!AS86)</f>
        <v/>
      </c>
      <c r="AT102" s="421" t="str">
        <f>IF(Summary_Products!AT86="","",INDEX(Translations!$C:$C,MATCH(Summary_Products!AT86,Translations!$B:$B,0)))</f>
        <v/>
      </c>
      <c r="AU102" s="615" t="str">
        <f>IF(Summary_Products!AU86="","",Summary_Products!AU86)</f>
        <v/>
      </c>
      <c r="AV102" s="473" t="str">
        <f>IF(Summary_Products!AV86="","",Summary_Products!AV86)</f>
        <v/>
      </c>
      <c r="AW102" s="474" t="str">
        <f>IF(Summary_Products!AW86="","",Summary_Products!AW86)</f>
        <v/>
      </c>
      <c r="AX102" s="477" t="str">
        <f>IF(Summary_Products!AX86="","",Summary_Products!AX86)</f>
        <v/>
      </c>
      <c r="AY102" s="474" t="str">
        <f>IF(Summary_Products!AY86="","",Summary_Products!AY86)</f>
        <v/>
      </c>
      <c r="AZ102" s="477" t="str">
        <f>IF(Summary_Products!AZ86="","",Summary_Products!AZ86)</f>
        <v/>
      </c>
      <c r="BA102" s="478" t="str">
        <f>IF(Summary_Products!BA86="","",Summary_Products!BA86)</f>
        <v/>
      </c>
      <c r="BD102" s="156"/>
      <c r="BE102" s="156"/>
      <c r="BF102" s="156"/>
      <c r="BG102" s="156"/>
    </row>
    <row r="103" spans="2:59" ht="12.5" x14ac:dyDescent="0.25">
      <c r="B103" s="277"/>
      <c r="C103" s="777">
        <v>78</v>
      </c>
      <c r="D103" s="766" t="str">
        <f>IF(Summary_Products!D87="","",Summary_Products!D87)</f>
        <v/>
      </c>
      <c r="E103" s="421" t="str">
        <f>IF(Summary_Products!E87="","",INDEX(Translations!$C:$C,MATCH(Summary_Products!E87,Translations!$B:$B,0)))</f>
        <v/>
      </c>
      <c r="F103" s="781" t="str">
        <f>IF(Summary_Products!F87="","",Summary_Products!F87)</f>
        <v/>
      </c>
      <c r="G103" s="766" t="str">
        <f>IF(F103="","",INDEX(Parameters_CNCodes!$H$4:$H$572,MATCH(F103,CNCodes_ListKey,0)))</f>
        <v/>
      </c>
      <c r="H103" s="766" t="str">
        <f>IF(Summary_Products!H87="","",Summary_Products!H87)</f>
        <v/>
      </c>
      <c r="I103" s="782" t="str">
        <f>IF(Summary_Products!I87="","",Summary_Products!I87)</f>
        <v/>
      </c>
      <c r="J103" s="782" t="str">
        <f>IF(Summary_Products!J87="","",Summary_Products!J87)</f>
        <v/>
      </c>
      <c r="K103" s="782" t="str">
        <f>IF(Summary_Products!K87="","",Summary_Products!K87)</f>
        <v/>
      </c>
      <c r="L103" s="782" t="str">
        <f>IF(Summary_Products!L87="","",Summary_Products!L87)</f>
        <v/>
      </c>
      <c r="M103" s="783" t="str">
        <f>IF(Summary_Products!M87="","",Summary_Products!M87)</f>
        <v/>
      </c>
      <c r="N103" s="782" t="str">
        <f>IF(Summary_Products!N87="","",Summary_Products!N87)</f>
        <v/>
      </c>
      <c r="O103" s="782" t="str">
        <f>IF(Summary_Products!O87="","",Summary_Products!O87)</f>
        <v/>
      </c>
      <c r="P103" s="782" t="str">
        <f t="shared" si="1"/>
        <v/>
      </c>
      <c r="Q103" s="160" t="str">
        <f>IF(Summary_Products!P87="","",INDEX(Translations!$C:$C,MATCH(Summary_Products!P87,Translations!$B:$B,0)))</f>
        <v/>
      </c>
      <c r="R103" s="160" t="str">
        <f>IF(Summary_Products!Q87="","",Summary_Products!Q87)</f>
        <v/>
      </c>
      <c r="S103" s="615" t="str">
        <f>IF(Summary_Products!R87="","",Summary_Products!R87)</f>
        <v/>
      </c>
      <c r="T103" s="615" t="str">
        <f>IF(Summary_Products!S87="","",Summary_Products!S87)</f>
        <v/>
      </c>
      <c r="U103" s="615" t="str">
        <f>IF(Summary_Products!T87="","",Summary_Products!T87)</f>
        <v/>
      </c>
      <c r="V103" s="615" t="str">
        <f>IF(Summary_Products!U87="","",Summary_Products!U87)</f>
        <v/>
      </c>
      <c r="W103" s="615" t="str">
        <f>IF(Summary_Products!V87="","",Summary_Products!V87)</f>
        <v/>
      </c>
      <c r="X103" s="615" t="str">
        <f>IF(Summary_Products!W87="","",Summary_Products!W87)</f>
        <v/>
      </c>
      <c r="Y103" s="615" t="str">
        <f>IF(Summary_Products!X87="","",Summary_Products!X87)</f>
        <v/>
      </c>
      <c r="Z103" s="615" t="str">
        <f>IF(Summary_Products!Y87="","",Summary_Products!Y87)</f>
        <v/>
      </c>
      <c r="AA103" s="615" t="str">
        <f>IF(Summary_Products!Z87="","",Summary_Products!Z87)</f>
        <v/>
      </c>
      <c r="AB103" s="615" t="str">
        <f>IF(Summary_Products!AA87="","",Summary_Products!AA87)</f>
        <v/>
      </c>
      <c r="AC103" s="615" t="str">
        <f>IF(Summary_Products!AB87="","",Summary_Products!AB87)</f>
        <v/>
      </c>
      <c r="AD103" s="615" t="str">
        <f>IF(Summary_Products!AC87="","",Summary_Products!AC87)</f>
        <v/>
      </c>
      <c r="AE103" s="615" t="str">
        <f>IF(Summary_Products!AD87="","",Summary_Products!AD87)</f>
        <v/>
      </c>
      <c r="AF103" s="615" t="str">
        <f>IF(Summary_Products!AE87="","",Summary_Products!AE87)</f>
        <v/>
      </c>
      <c r="AG103" s="615" t="str">
        <f>IF(Summary_Products!AF87="","",Summary_Products!AF87)</f>
        <v/>
      </c>
      <c r="AH103" s="615" t="str">
        <f>IF(Summary_Products!AG87="","",Summary_Products!AG87)</f>
        <v/>
      </c>
      <c r="AI103" s="615" t="str">
        <f>IF(Summary_Products!AH87="","",Summary_Products!AH87)</f>
        <v/>
      </c>
      <c r="AJ103" s="615" t="str">
        <f>IF(Summary_Products!AI87="","",Summary_Products!AI87)</f>
        <v/>
      </c>
      <c r="AK103" s="615" t="str">
        <f>IF(Summary_Products!AJ87="","",Summary_Products!AJ87)</f>
        <v/>
      </c>
      <c r="AL103" s="615" t="str">
        <f>IF(Summary_Products!AK87="","",Summary_Products!AK87)</f>
        <v/>
      </c>
      <c r="AM103" s="421" t="str">
        <f>IF(Summary_Products!AL87="","",INDEX(Translations!$C:$C,MATCH(Summary_Products!AL87,Translations!$B:$B,0)))</f>
        <v/>
      </c>
      <c r="AN103" s="615" t="str">
        <f>IF(Summary_Products!AM87="","",Summary_Products!AM87)</f>
        <v/>
      </c>
      <c r="AO103" s="473" t="str">
        <f>IF(Summary_Products!AN87="","",Summary_Products!AN87)</f>
        <v/>
      </c>
      <c r="AP103" s="474" t="str">
        <f>IF(Summary_Products!AO87="","",Summary_Products!AO87)</f>
        <v/>
      </c>
      <c r="AQ103" s="160" t="str">
        <f>IF(Summary_Products!AP87="","",Summary_Products!AP87)</f>
        <v/>
      </c>
      <c r="AR103" s="477" t="str">
        <f>IF(Summary_Products!AR87="","",Summary_Products!AR87)</f>
        <v/>
      </c>
      <c r="AS103" s="474" t="str">
        <f>IF(Summary_Products!AS87="","",Summary_Products!AS87)</f>
        <v/>
      </c>
      <c r="AT103" s="421" t="str">
        <f>IF(Summary_Products!AT87="","",INDEX(Translations!$C:$C,MATCH(Summary_Products!AT87,Translations!$B:$B,0)))</f>
        <v/>
      </c>
      <c r="AU103" s="615" t="str">
        <f>IF(Summary_Products!AU87="","",Summary_Products!AU87)</f>
        <v/>
      </c>
      <c r="AV103" s="473" t="str">
        <f>IF(Summary_Products!AV87="","",Summary_Products!AV87)</f>
        <v/>
      </c>
      <c r="AW103" s="474" t="str">
        <f>IF(Summary_Products!AW87="","",Summary_Products!AW87)</f>
        <v/>
      </c>
      <c r="AX103" s="477" t="str">
        <f>IF(Summary_Products!AX87="","",Summary_Products!AX87)</f>
        <v/>
      </c>
      <c r="AY103" s="474" t="str">
        <f>IF(Summary_Products!AY87="","",Summary_Products!AY87)</f>
        <v/>
      </c>
      <c r="AZ103" s="477" t="str">
        <f>IF(Summary_Products!AZ87="","",Summary_Products!AZ87)</f>
        <v/>
      </c>
      <c r="BA103" s="478" t="str">
        <f>IF(Summary_Products!BA87="","",Summary_Products!BA87)</f>
        <v/>
      </c>
      <c r="BD103" s="156"/>
      <c r="BE103" s="156"/>
      <c r="BF103" s="156"/>
      <c r="BG103" s="156"/>
    </row>
    <row r="104" spans="2:59" ht="12.5" x14ac:dyDescent="0.25">
      <c r="B104" s="277"/>
      <c r="C104" s="777">
        <v>79</v>
      </c>
      <c r="D104" s="766" t="str">
        <f>IF(Summary_Products!D88="","",Summary_Products!D88)</f>
        <v/>
      </c>
      <c r="E104" s="421" t="str">
        <f>IF(Summary_Products!E88="","",INDEX(Translations!$C:$C,MATCH(Summary_Products!E88,Translations!$B:$B,0)))</f>
        <v/>
      </c>
      <c r="F104" s="781" t="str">
        <f>IF(Summary_Products!F88="","",Summary_Products!F88)</f>
        <v/>
      </c>
      <c r="G104" s="766" t="str">
        <f>IF(F104="","",INDEX(Parameters_CNCodes!$H$4:$H$572,MATCH(F104,CNCodes_ListKey,0)))</f>
        <v/>
      </c>
      <c r="H104" s="766" t="str">
        <f>IF(Summary_Products!H88="","",Summary_Products!H88)</f>
        <v/>
      </c>
      <c r="I104" s="782" t="str">
        <f>IF(Summary_Products!I88="","",Summary_Products!I88)</f>
        <v/>
      </c>
      <c r="J104" s="782" t="str">
        <f>IF(Summary_Products!J88="","",Summary_Products!J88)</f>
        <v/>
      </c>
      <c r="K104" s="782" t="str">
        <f>IF(Summary_Products!K88="","",Summary_Products!K88)</f>
        <v/>
      </c>
      <c r="L104" s="782" t="str">
        <f>IF(Summary_Products!L88="","",Summary_Products!L88)</f>
        <v/>
      </c>
      <c r="M104" s="783" t="str">
        <f>IF(Summary_Products!M88="","",Summary_Products!M88)</f>
        <v/>
      </c>
      <c r="N104" s="782" t="str">
        <f>IF(Summary_Products!N88="","",Summary_Products!N88)</f>
        <v/>
      </c>
      <c r="O104" s="782" t="str">
        <f>IF(Summary_Products!O88="","",Summary_Products!O88)</f>
        <v/>
      </c>
      <c r="P104" s="782" t="str">
        <f t="shared" si="1"/>
        <v/>
      </c>
      <c r="Q104" s="160" t="str">
        <f>IF(Summary_Products!P88="","",INDEX(Translations!$C:$C,MATCH(Summary_Products!P88,Translations!$B:$B,0)))</f>
        <v/>
      </c>
      <c r="R104" s="160" t="str">
        <f>IF(Summary_Products!Q88="","",Summary_Products!Q88)</f>
        <v/>
      </c>
      <c r="S104" s="615" t="str">
        <f>IF(Summary_Products!R88="","",Summary_Products!R88)</f>
        <v/>
      </c>
      <c r="T104" s="615" t="str">
        <f>IF(Summary_Products!S88="","",Summary_Products!S88)</f>
        <v/>
      </c>
      <c r="U104" s="615" t="str">
        <f>IF(Summary_Products!T88="","",Summary_Products!T88)</f>
        <v/>
      </c>
      <c r="V104" s="615" t="str">
        <f>IF(Summary_Products!U88="","",Summary_Products!U88)</f>
        <v/>
      </c>
      <c r="W104" s="615" t="str">
        <f>IF(Summary_Products!V88="","",Summary_Products!V88)</f>
        <v/>
      </c>
      <c r="X104" s="615" t="str">
        <f>IF(Summary_Products!W88="","",Summary_Products!W88)</f>
        <v/>
      </c>
      <c r="Y104" s="615" t="str">
        <f>IF(Summary_Products!X88="","",Summary_Products!X88)</f>
        <v/>
      </c>
      <c r="Z104" s="615" t="str">
        <f>IF(Summary_Products!Y88="","",Summary_Products!Y88)</f>
        <v/>
      </c>
      <c r="AA104" s="615" t="str">
        <f>IF(Summary_Products!Z88="","",Summary_Products!Z88)</f>
        <v/>
      </c>
      <c r="AB104" s="615" t="str">
        <f>IF(Summary_Products!AA88="","",Summary_Products!AA88)</f>
        <v/>
      </c>
      <c r="AC104" s="615" t="str">
        <f>IF(Summary_Products!AB88="","",Summary_Products!AB88)</f>
        <v/>
      </c>
      <c r="AD104" s="615" t="str">
        <f>IF(Summary_Products!AC88="","",Summary_Products!AC88)</f>
        <v/>
      </c>
      <c r="AE104" s="615" t="str">
        <f>IF(Summary_Products!AD88="","",Summary_Products!AD88)</f>
        <v/>
      </c>
      <c r="AF104" s="615" t="str">
        <f>IF(Summary_Products!AE88="","",Summary_Products!AE88)</f>
        <v/>
      </c>
      <c r="AG104" s="615" t="str">
        <f>IF(Summary_Products!AF88="","",Summary_Products!AF88)</f>
        <v/>
      </c>
      <c r="AH104" s="615" t="str">
        <f>IF(Summary_Products!AG88="","",Summary_Products!AG88)</f>
        <v/>
      </c>
      <c r="AI104" s="615" t="str">
        <f>IF(Summary_Products!AH88="","",Summary_Products!AH88)</f>
        <v/>
      </c>
      <c r="AJ104" s="615" t="str">
        <f>IF(Summary_Products!AI88="","",Summary_Products!AI88)</f>
        <v/>
      </c>
      <c r="AK104" s="615" t="str">
        <f>IF(Summary_Products!AJ88="","",Summary_Products!AJ88)</f>
        <v/>
      </c>
      <c r="AL104" s="615" t="str">
        <f>IF(Summary_Products!AK88="","",Summary_Products!AK88)</f>
        <v/>
      </c>
      <c r="AM104" s="421" t="str">
        <f>IF(Summary_Products!AL88="","",INDEX(Translations!$C:$C,MATCH(Summary_Products!AL88,Translations!$B:$B,0)))</f>
        <v/>
      </c>
      <c r="AN104" s="615" t="str">
        <f>IF(Summary_Products!AM88="","",Summary_Products!AM88)</f>
        <v/>
      </c>
      <c r="AO104" s="473" t="str">
        <f>IF(Summary_Products!AN88="","",Summary_Products!AN88)</f>
        <v/>
      </c>
      <c r="AP104" s="474" t="str">
        <f>IF(Summary_Products!AO88="","",Summary_Products!AO88)</f>
        <v/>
      </c>
      <c r="AQ104" s="160" t="str">
        <f>IF(Summary_Products!AP88="","",Summary_Products!AP88)</f>
        <v/>
      </c>
      <c r="AR104" s="477" t="str">
        <f>IF(Summary_Products!AR88="","",Summary_Products!AR88)</f>
        <v/>
      </c>
      <c r="AS104" s="474" t="str">
        <f>IF(Summary_Products!AS88="","",Summary_Products!AS88)</f>
        <v/>
      </c>
      <c r="AT104" s="421" t="str">
        <f>IF(Summary_Products!AT88="","",INDEX(Translations!$C:$C,MATCH(Summary_Products!AT88,Translations!$B:$B,0)))</f>
        <v/>
      </c>
      <c r="AU104" s="615" t="str">
        <f>IF(Summary_Products!AU88="","",Summary_Products!AU88)</f>
        <v/>
      </c>
      <c r="AV104" s="473" t="str">
        <f>IF(Summary_Products!AV88="","",Summary_Products!AV88)</f>
        <v/>
      </c>
      <c r="AW104" s="474" t="str">
        <f>IF(Summary_Products!AW88="","",Summary_Products!AW88)</f>
        <v/>
      </c>
      <c r="AX104" s="477" t="str">
        <f>IF(Summary_Products!AX88="","",Summary_Products!AX88)</f>
        <v/>
      </c>
      <c r="AY104" s="474" t="str">
        <f>IF(Summary_Products!AY88="","",Summary_Products!AY88)</f>
        <v/>
      </c>
      <c r="AZ104" s="477" t="str">
        <f>IF(Summary_Products!AZ88="","",Summary_Products!AZ88)</f>
        <v/>
      </c>
      <c r="BA104" s="478" t="str">
        <f>IF(Summary_Products!BA88="","",Summary_Products!BA88)</f>
        <v/>
      </c>
      <c r="BD104" s="156"/>
      <c r="BE104" s="156"/>
      <c r="BF104" s="156"/>
      <c r="BG104" s="156"/>
    </row>
    <row r="105" spans="2:59" ht="12.5" x14ac:dyDescent="0.25">
      <c r="B105" s="277"/>
      <c r="C105" s="777">
        <v>80</v>
      </c>
      <c r="D105" s="766" t="str">
        <f>IF(Summary_Products!D89="","",Summary_Products!D89)</f>
        <v/>
      </c>
      <c r="E105" s="421" t="str">
        <f>IF(Summary_Products!E89="","",INDEX(Translations!$C:$C,MATCH(Summary_Products!E89,Translations!$B:$B,0)))</f>
        <v/>
      </c>
      <c r="F105" s="781" t="str">
        <f>IF(Summary_Products!F89="","",Summary_Products!F89)</f>
        <v/>
      </c>
      <c r="G105" s="766" t="str">
        <f>IF(F105="","",INDEX(Parameters_CNCodes!$H$4:$H$572,MATCH(F105,CNCodes_ListKey,0)))</f>
        <v/>
      </c>
      <c r="H105" s="766" t="str">
        <f>IF(Summary_Products!H89="","",Summary_Products!H89)</f>
        <v/>
      </c>
      <c r="I105" s="782" t="str">
        <f>IF(Summary_Products!I89="","",Summary_Products!I89)</f>
        <v/>
      </c>
      <c r="J105" s="782" t="str">
        <f>IF(Summary_Products!J89="","",Summary_Products!J89)</f>
        <v/>
      </c>
      <c r="K105" s="782" t="str">
        <f>IF(Summary_Products!K89="","",Summary_Products!K89)</f>
        <v/>
      </c>
      <c r="L105" s="782" t="str">
        <f>IF(Summary_Products!L89="","",Summary_Products!L89)</f>
        <v/>
      </c>
      <c r="M105" s="783" t="str">
        <f>IF(Summary_Products!M89="","",Summary_Products!M89)</f>
        <v/>
      </c>
      <c r="N105" s="782" t="str">
        <f>IF(Summary_Products!N89="","",Summary_Products!N89)</f>
        <v/>
      </c>
      <c r="O105" s="782" t="str">
        <f>IF(Summary_Products!O89="","",Summary_Products!O89)</f>
        <v/>
      </c>
      <c r="P105" s="782" t="str">
        <f t="shared" si="1"/>
        <v/>
      </c>
      <c r="Q105" s="160" t="str">
        <f>IF(Summary_Products!P89="","",INDEX(Translations!$C:$C,MATCH(Summary_Products!P89,Translations!$B:$B,0)))</f>
        <v/>
      </c>
      <c r="R105" s="160" t="str">
        <f>IF(Summary_Products!Q89="","",Summary_Products!Q89)</f>
        <v/>
      </c>
      <c r="S105" s="615" t="str">
        <f>IF(Summary_Products!R89="","",Summary_Products!R89)</f>
        <v/>
      </c>
      <c r="T105" s="615" t="str">
        <f>IF(Summary_Products!S89="","",Summary_Products!S89)</f>
        <v/>
      </c>
      <c r="U105" s="615" t="str">
        <f>IF(Summary_Products!T89="","",Summary_Products!T89)</f>
        <v/>
      </c>
      <c r="V105" s="615" t="str">
        <f>IF(Summary_Products!U89="","",Summary_Products!U89)</f>
        <v/>
      </c>
      <c r="W105" s="615" t="str">
        <f>IF(Summary_Products!V89="","",Summary_Products!V89)</f>
        <v/>
      </c>
      <c r="X105" s="615" t="str">
        <f>IF(Summary_Products!W89="","",Summary_Products!W89)</f>
        <v/>
      </c>
      <c r="Y105" s="615" t="str">
        <f>IF(Summary_Products!X89="","",Summary_Products!X89)</f>
        <v/>
      </c>
      <c r="Z105" s="615" t="str">
        <f>IF(Summary_Products!Y89="","",Summary_Products!Y89)</f>
        <v/>
      </c>
      <c r="AA105" s="615" t="str">
        <f>IF(Summary_Products!Z89="","",Summary_Products!Z89)</f>
        <v/>
      </c>
      <c r="AB105" s="615" t="str">
        <f>IF(Summary_Products!AA89="","",Summary_Products!AA89)</f>
        <v/>
      </c>
      <c r="AC105" s="615" t="str">
        <f>IF(Summary_Products!AB89="","",Summary_Products!AB89)</f>
        <v/>
      </c>
      <c r="AD105" s="615" t="str">
        <f>IF(Summary_Products!AC89="","",Summary_Products!AC89)</f>
        <v/>
      </c>
      <c r="AE105" s="615" t="str">
        <f>IF(Summary_Products!AD89="","",Summary_Products!AD89)</f>
        <v/>
      </c>
      <c r="AF105" s="615" t="str">
        <f>IF(Summary_Products!AE89="","",Summary_Products!AE89)</f>
        <v/>
      </c>
      <c r="AG105" s="615" t="str">
        <f>IF(Summary_Products!AF89="","",Summary_Products!AF89)</f>
        <v/>
      </c>
      <c r="AH105" s="615" t="str">
        <f>IF(Summary_Products!AG89="","",Summary_Products!AG89)</f>
        <v/>
      </c>
      <c r="AI105" s="615" t="str">
        <f>IF(Summary_Products!AH89="","",Summary_Products!AH89)</f>
        <v/>
      </c>
      <c r="AJ105" s="615" t="str">
        <f>IF(Summary_Products!AI89="","",Summary_Products!AI89)</f>
        <v/>
      </c>
      <c r="AK105" s="615" t="str">
        <f>IF(Summary_Products!AJ89="","",Summary_Products!AJ89)</f>
        <v/>
      </c>
      <c r="AL105" s="615" t="str">
        <f>IF(Summary_Products!AK89="","",Summary_Products!AK89)</f>
        <v/>
      </c>
      <c r="AM105" s="421" t="str">
        <f>IF(Summary_Products!AL89="","",INDEX(Translations!$C:$C,MATCH(Summary_Products!AL89,Translations!$B:$B,0)))</f>
        <v/>
      </c>
      <c r="AN105" s="615" t="str">
        <f>IF(Summary_Products!AM89="","",Summary_Products!AM89)</f>
        <v/>
      </c>
      <c r="AO105" s="473" t="str">
        <f>IF(Summary_Products!AN89="","",Summary_Products!AN89)</f>
        <v/>
      </c>
      <c r="AP105" s="474" t="str">
        <f>IF(Summary_Products!AO89="","",Summary_Products!AO89)</f>
        <v/>
      </c>
      <c r="AQ105" s="160" t="str">
        <f>IF(Summary_Products!AP89="","",Summary_Products!AP89)</f>
        <v/>
      </c>
      <c r="AR105" s="477" t="str">
        <f>IF(Summary_Products!AR89="","",Summary_Products!AR89)</f>
        <v/>
      </c>
      <c r="AS105" s="474" t="str">
        <f>IF(Summary_Products!AS89="","",Summary_Products!AS89)</f>
        <v/>
      </c>
      <c r="AT105" s="421" t="str">
        <f>IF(Summary_Products!AT89="","",INDEX(Translations!$C:$C,MATCH(Summary_Products!AT89,Translations!$B:$B,0)))</f>
        <v/>
      </c>
      <c r="AU105" s="615" t="str">
        <f>IF(Summary_Products!AU89="","",Summary_Products!AU89)</f>
        <v/>
      </c>
      <c r="AV105" s="473" t="str">
        <f>IF(Summary_Products!AV89="","",Summary_Products!AV89)</f>
        <v/>
      </c>
      <c r="AW105" s="474" t="str">
        <f>IF(Summary_Products!AW89="","",Summary_Products!AW89)</f>
        <v/>
      </c>
      <c r="AX105" s="477" t="str">
        <f>IF(Summary_Products!AX89="","",Summary_Products!AX89)</f>
        <v/>
      </c>
      <c r="AY105" s="474" t="str">
        <f>IF(Summary_Products!AY89="","",Summary_Products!AY89)</f>
        <v/>
      </c>
      <c r="AZ105" s="477" t="str">
        <f>IF(Summary_Products!AZ89="","",Summary_Products!AZ89)</f>
        <v/>
      </c>
      <c r="BA105" s="478" t="str">
        <f>IF(Summary_Products!BA89="","",Summary_Products!BA89)</f>
        <v/>
      </c>
      <c r="BD105" s="156"/>
      <c r="BE105" s="156"/>
      <c r="BF105" s="156"/>
      <c r="BG105" s="156"/>
    </row>
    <row r="106" spans="2:59" ht="12.5" x14ac:dyDescent="0.25">
      <c r="B106" s="277"/>
      <c r="C106" s="777">
        <v>81</v>
      </c>
      <c r="D106" s="766" t="str">
        <f>IF(Summary_Products!D90="","",Summary_Products!D90)</f>
        <v/>
      </c>
      <c r="E106" s="421" t="str">
        <f>IF(Summary_Products!E90="","",INDEX(Translations!$C:$C,MATCH(Summary_Products!E90,Translations!$B:$B,0)))</f>
        <v/>
      </c>
      <c r="F106" s="781" t="str">
        <f>IF(Summary_Products!F90="","",Summary_Products!F90)</f>
        <v/>
      </c>
      <c r="G106" s="766" t="str">
        <f>IF(F106="","",INDEX(Parameters_CNCodes!$H$4:$H$572,MATCH(F106,CNCodes_ListKey,0)))</f>
        <v/>
      </c>
      <c r="H106" s="766" t="str">
        <f>IF(Summary_Products!H90="","",Summary_Products!H90)</f>
        <v/>
      </c>
      <c r="I106" s="782" t="str">
        <f>IF(Summary_Products!I90="","",Summary_Products!I90)</f>
        <v/>
      </c>
      <c r="J106" s="782" t="str">
        <f>IF(Summary_Products!J90="","",Summary_Products!J90)</f>
        <v/>
      </c>
      <c r="K106" s="782" t="str">
        <f>IF(Summary_Products!K90="","",Summary_Products!K90)</f>
        <v/>
      </c>
      <c r="L106" s="782" t="str">
        <f>IF(Summary_Products!L90="","",Summary_Products!L90)</f>
        <v/>
      </c>
      <c r="M106" s="783" t="str">
        <f>IF(Summary_Products!M90="","",Summary_Products!M90)</f>
        <v/>
      </c>
      <c r="N106" s="782" t="str">
        <f>IF(Summary_Products!N90="","",Summary_Products!N90)</f>
        <v/>
      </c>
      <c r="O106" s="782" t="str">
        <f>IF(Summary_Products!O90="","",Summary_Products!O90)</f>
        <v/>
      </c>
      <c r="P106" s="782" t="str">
        <f t="shared" si="1"/>
        <v/>
      </c>
      <c r="Q106" s="160" t="str">
        <f>IF(Summary_Products!P90="","",INDEX(Translations!$C:$C,MATCH(Summary_Products!P90,Translations!$B:$B,0)))</f>
        <v/>
      </c>
      <c r="R106" s="160" t="str">
        <f>IF(Summary_Products!Q90="","",Summary_Products!Q90)</f>
        <v/>
      </c>
      <c r="S106" s="615" t="str">
        <f>IF(Summary_Products!R90="","",Summary_Products!R90)</f>
        <v/>
      </c>
      <c r="T106" s="615" t="str">
        <f>IF(Summary_Products!S90="","",Summary_Products!S90)</f>
        <v/>
      </c>
      <c r="U106" s="615" t="str">
        <f>IF(Summary_Products!T90="","",Summary_Products!T90)</f>
        <v/>
      </c>
      <c r="V106" s="615" t="str">
        <f>IF(Summary_Products!U90="","",Summary_Products!U90)</f>
        <v/>
      </c>
      <c r="W106" s="615" t="str">
        <f>IF(Summary_Products!V90="","",Summary_Products!V90)</f>
        <v/>
      </c>
      <c r="X106" s="615" t="str">
        <f>IF(Summary_Products!W90="","",Summary_Products!W90)</f>
        <v/>
      </c>
      <c r="Y106" s="615" t="str">
        <f>IF(Summary_Products!X90="","",Summary_Products!X90)</f>
        <v/>
      </c>
      <c r="Z106" s="615" t="str">
        <f>IF(Summary_Products!Y90="","",Summary_Products!Y90)</f>
        <v/>
      </c>
      <c r="AA106" s="615" t="str">
        <f>IF(Summary_Products!Z90="","",Summary_Products!Z90)</f>
        <v/>
      </c>
      <c r="AB106" s="615" t="str">
        <f>IF(Summary_Products!AA90="","",Summary_Products!AA90)</f>
        <v/>
      </c>
      <c r="AC106" s="615" t="str">
        <f>IF(Summary_Products!AB90="","",Summary_Products!AB90)</f>
        <v/>
      </c>
      <c r="AD106" s="615" t="str">
        <f>IF(Summary_Products!AC90="","",Summary_Products!AC90)</f>
        <v/>
      </c>
      <c r="AE106" s="615" t="str">
        <f>IF(Summary_Products!AD90="","",Summary_Products!AD90)</f>
        <v/>
      </c>
      <c r="AF106" s="615" t="str">
        <f>IF(Summary_Products!AE90="","",Summary_Products!AE90)</f>
        <v/>
      </c>
      <c r="AG106" s="615" t="str">
        <f>IF(Summary_Products!AF90="","",Summary_Products!AF90)</f>
        <v/>
      </c>
      <c r="AH106" s="615" t="str">
        <f>IF(Summary_Products!AG90="","",Summary_Products!AG90)</f>
        <v/>
      </c>
      <c r="AI106" s="615" t="str">
        <f>IF(Summary_Products!AH90="","",Summary_Products!AH90)</f>
        <v/>
      </c>
      <c r="AJ106" s="615" t="str">
        <f>IF(Summary_Products!AI90="","",Summary_Products!AI90)</f>
        <v/>
      </c>
      <c r="AK106" s="615" t="str">
        <f>IF(Summary_Products!AJ90="","",Summary_Products!AJ90)</f>
        <v/>
      </c>
      <c r="AL106" s="615" t="str">
        <f>IF(Summary_Products!AK90="","",Summary_Products!AK90)</f>
        <v/>
      </c>
      <c r="AM106" s="421" t="str">
        <f>IF(Summary_Products!AL90="","",INDEX(Translations!$C:$C,MATCH(Summary_Products!AL90,Translations!$B:$B,0)))</f>
        <v/>
      </c>
      <c r="AN106" s="615" t="str">
        <f>IF(Summary_Products!AM90="","",Summary_Products!AM90)</f>
        <v/>
      </c>
      <c r="AO106" s="473" t="str">
        <f>IF(Summary_Products!AN90="","",Summary_Products!AN90)</f>
        <v/>
      </c>
      <c r="AP106" s="474" t="str">
        <f>IF(Summary_Products!AO90="","",Summary_Products!AO90)</f>
        <v/>
      </c>
      <c r="AQ106" s="160" t="str">
        <f>IF(Summary_Products!AP90="","",Summary_Products!AP90)</f>
        <v/>
      </c>
      <c r="AR106" s="477" t="str">
        <f>IF(Summary_Products!AR90="","",Summary_Products!AR90)</f>
        <v/>
      </c>
      <c r="AS106" s="474" t="str">
        <f>IF(Summary_Products!AS90="","",Summary_Products!AS90)</f>
        <v/>
      </c>
      <c r="AT106" s="421" t="str">
        <f>IF(Summary_Products!AT90="","",INDEX(Translations!$C:$C,MATCH(Summary_Products!AT90,Translations!$B:$B,0)))</f>
        <v/>
      </c>
      <c r="AU106" s="615" t="str">
        <f>IF(Summary_Products!AU90="","",Summary_Products!AU90)</f>
        <v/>
      </c>
      <c r="AV106" s="473" t="str">
        <f>IF(Summary_Products!AV90="","",Summary_Products!AV90)</f>
        <v/>
      </c>
      <c r="AW106" s="474" t="str">
        <f>IF(Summary_Products!AW90="","",Summary_Products!AW90)</f>
        <v/>
      </c>
      <c r="AX106" s="477" t="str">
        <f>IF(Summary_Products!AX90="","",Summary_Products!AX90)</f>
        <v/>
      </c>
      <c r="AY106" s="474" t="str">
        <f>IF(Summary_Products!AY90="","",Summary_Products!AY90)</f>
        <v/>
      </c>
      <c r="AZ106" s="477" t="str">
        <f>IF(Summary_Products!AZ90="","",Summary_Products!AZ90)</f>
        <v/>
      </c>
      <c r="BA106" s="478" t="str">
        <f>IF(Summary_Products!BA90="","",Summary_Products!BA90)</f>
        <v/>
      </c>
      <c r="BD106" s="156"/>
      <c r="BE106" s="156"/>
      <c r="BF106" s="156"/>
      <c r="BG106" s="156"/>
    </row>
    <row r="107" spans="2:59" ht="12.5" x14ac:dyDescent="0.25">
      <c r="B107" s="277"/>
      <c r="C107" s="777">
        <v>82</v>
      </c>
      <c r="D107" s="766" t="str">
        <f>IF(Summary_Products!D91="","",Summary_Products!D91)</f>
        <v/>
      </c>
      <c r="E107" s="421" t="str">
        <f>IF(Summary_Products!E91="","",INDEX(Translations!$C:$C,MATCH(Summary_Products!E91,Translations!$B:$B,0)))</f>
        <v/>
      </c>
      <c r="F107" s="781" t="str">
        <f>IF(Summary_Products!F91="","",Summary_Products!F91)</f>
        <v/>
      </c>
      <c r="G107" s="766" t="str">
        <f>IF(F107="","",INDEX(Parameters_CNCodes!$H$4:$H$572,MATCH(F107,CNCodes_ListKey,0)))</f>
        <v/>
      </c>
      <c r="H107" s="766" t="str">
        <f>IF(Summary_Products!H91="","",Summary_Products!H91)</f>
        <v/>
      </c>
      <c r="I107" s="782" t="str">
        <f>IF(Summary_Products!I91="","",Summary_Products!I91)</f>
        <v/>
      </c>
      <c r="J107" s="782" t="str">
        <f>IF(Summary_Products!J91="","",Summary_Products!J91)</f>
        <v/>
      </c>
      <c r="K107" s="782" t="str">
        <f>IF(Summary_Products!K91="","",Summary_Products!K91)</f>
        <v/>
      </c>
      <c r="L107" s="782" t="str">
        <f>IF(Summary_Products!L91="","",Summary_Products!L91)</f>
        <v/>
      </c>
      <c r="M107" s="783" t="str">
        <f>IF(Summary_Products!M91="","",Summary_Products!M91)</f>
        <v/>
      </c>
      <c r="N107" s="782" t="str">
        <f>IF(Summary_Products!N91="","",Summary_Products!N91)</f>
        <v/>
      </c>
      <c r="O107" s="782" t="str">
        <f>IF(Summary_Products!O91="","",Summary_Products!O91)</f>
        <v/>
      </c>
      <c r="P107" s="782" t="str">
        <f t="shared" si="1"/>
        <v/>
      </c>
      <c r="Q107" s="160" t="str">
        <f>IF(Summary_Products!P91="","",INDEX(Translations!$C:$C,MATCH(Summary_Products!P91,Translations!$B:$B,0)))</f>
        <v/>
      </c>
      <c r="R107" s="160" t="str">
        <f>IF(Summary_Products!Q91="","",Summary_Products!Q91)</f>
        <v/>
      </c>
      <c r="S107" s="615" t="str">
        <f>IF(Summary_Products!R91="","",Summary_Products!R91)</f>
        <v/>
      </c>
      <c r="T107" s="615" t="str">
        <f>IF(Summary_Products!S91="","",Summary_Products!S91)</f>
        <v/>
      </c>
      <c r="U107" s="615" t="str">
        <f>IF(Summary_Products!T91="","",Summary_Products!T91)</f>
        <v/>
      </c>
      <c r="V107" s="615" t="str">
        <f>IF(Summary_Products!U91="","",Summary_Products!U91)</f>
        <v/>
      </c>
      <c r="W107" s="615" t="str">
        <f>IF(Summary_Products!V91="","",Summary_Products!V91)</f>
        <v/>
      </c>
      <c r="X107" s="615" t="str">
        <f>IF(Summary_Products!W91="","",Summary_Products!W91)</f>
        <v/>
      </c>
      <c r="Y107" s="615" t="str">
        <f>IF(Summary_Products!X91="","",Summary_Products!X91)</f>
        <v/>
      </c>
      <c r="Z107" s="615" t="str">
        <f>IF(Summary_Products!Y91="","",Summary_Products!Y91)</f>
        <v/>
      </c>
      <c r="AA107" s="615" t="str">
        <f>IF(Summary_Products!Z91="","",Summary_Products!Z91)</f>
        <v/>
      </c>
      <c r="AB107" s="615" t="str">
        <f>IF(Summary_Products!AA91="","",Summary_Products!AA91)</f>
        <v/>
      </c>
      <c r="AC107" s="615" t="str">
        <f>IF(Summary_Products!AB91="","",Summary_Products!AB91)</f>
        <v/>
      </c>
      <c r="AD107" s="615" t="str">
        <f>IF(Summary_Products!AC91="","",Summary_Products!AC91)</f>
        <v/>
      </c>
      <c r="AE107" s="615" t="str">
        <f>IF(Summary_Products!AD91="","",Summary_Products!AD91)</f>
        <v/>
      </c>
      <c r="AF107" s="615" t="str">
        <f>IF(Summary_Products!AE91="","",Summary_Products!AE91)</f>
        <v/>
      </c>
      <c r="AG107" s="615" t="str">
        <f>IF(Summary_Products!AF91="","",Summary_Products!AF91)</f>
        <v/>
      </c>
      <c r="AH107" s="615" t="str">
        <f>IF(Summary_Products!AG91="","",Summary_Products!AG91)</f>
        <v/>
      </c>
      <c r="AI107" s="615" t="str">
        <f>IF(Summary_Products!AH91="","",Summary_Products!AH91)</f>
        <v/>
      </c>
      <c r="AJ107" s="615" t="str">
        <f>IF(Summary_Products!AI91="","",Summary_Products!AI91)</f>
        <v/>
      </c>
      <c r="AK107" s="615" t="str">
        <f>IF(Summary_Products!AJ91="","",Summary_Products!AJ91)</f>
        <v/>
      </c>
      <c r="AL107" s="615" t="str">
        <f>IF(Summary_Products!AK91="","",Summary_Products!AK91)</f>
        <v/>
      </c>
      <c r="AM107" s="421" t="str">
        <f>IF(Summary_Products!AL91="","",INDEX(Translations!$C:$C,MATCH(Summary_Products!AL91,Translations!$B:$B,0)))</f>
        <v/>
      </c>
      <c r="AN107" s="615" t="str">
        <f>IF(Summary_Products!AM91="","",Summary_Products!AM91)</f>
        <v/>
      </c>
      <c r="AO107" s="473" t="str">
        <f>IF(Summary_Products!AN91="","",Summary_Products!AN91)</f>
        <v/>
      </c>
      <c r="AP107" s="474" t="str">
        <f>IF(Summary_Products!AO91="","",Summary_Products!AO91)</f>
        <v/>
      </c>
      <c r="AQ107" s="160" t="str">
        <f>IF(Summary_Products!AP91="","",Summary_Products!AP91)</f>
        <v/>
      </c>
      <c r="AR107" s="477" t="str">
        <f>IF(Summary_Products!AR91="","",Summary_Products!AR91)</f>
        <v/>
      </c>
      <c r="AS107" s="474" t="str">
        <f>IF(Summary_Products!AS91="","",Summary_Products!AS91)</f>
        <v/>
      </c>
      <c r="AT107" s="421" t="str">
        <f>IF(Summary_Products!AT91="","",INDEX(Translations!$C:$C,MATCH(Summary_Products!AT91,Translations!$B:$B,0)))</f>
        <v/>
      </c>
      <c r="AU107" s="615" t="str">
        <f>IF(Summary_Products!AU91="","",Summary_Products!AU91)</f>
        <v/>
      </c>
      <c r="AV107" s="473" t="str">
        <f>IF(Summary_Products!AV91="","",Summary_Products!AV91)</f>
        <v/>
      </c>
      <c r="AW107" s="474" t="str">
        <f>IF(Summary_Products!AW91="","",Summary_Products!AW91)</f>
        <v/>
      </c>
      <c r="AX107" s="477" t="str">
        <f>IF(Summary_Products!AX91="","",Summary_Products!AX91)</f>
        <v/>
      </c>
      <c r="AY107" s="474" t="str">
        <f>IF(Summary_Products!AY91="","",Summary_Products!AY91)</f>
        <v/>
      </c>
      <c r="AZ107" s="477" t="str">
        <f>IF(Summary_Products!AZ91="","",Summary_Products!AZ91)</f>
        <v/>
      </c>
      <c r="BA107" s="478" t="str">
        <f>IF(Summary_Products!BA91="","",Summary_Products!BA91)</f>
        <v/>
      </c>
      <c r="BD107" s="156"/>
      <c r="BE107" s="156"/>
      <c r="BF107" s="156"/>
      <c r="BG107" s="156"/>
    </row>
    <row r="108" spans="2:59" ht="12.5" x14ac:dyDescent="0.25">
      <c r="B108" s="277"/>
      <c r="C108" s="777">
        <v>83</v>
      </c>
      <c r="D108" s="766" t="str">
        <f>IF(Summary_Products!D92="","",Summary_Products!D92)</f>
        <v/>
      </c>
      <c r="E108" s="421" t="str">
        <f>IF(Summary_Products!E92="","",INDEX(Translations!$C:$C,MATCH(Summary_Products!E92,Translations!$B:$B,0)))</f>
        <v/>
      </c>
      <c r="F108" s="781" t="str">
        <f>IF(Summary_Products!F92="","",Summary_Products!F92)</f>
        <v/>
      </c>
      <c r="G108" s="766" t="str">
        <f>IF(F108="","",INDEX(Parameters_CNCodes!$H$4:$H$572,MATCH(F108,CNCodes_ListKey,0)))</f>
        <v/>
      </c>
      <c r="H108" s="766" t="str">
        <f>IF(Summary_Products!H92="","",Summary_Products!H92)</f>
        <v/>
      </c>
      <c r="I108" s="782" t="str">
        <f>IF(Summary_Products!I92="","",Summary_Products!I92)</f>
        <v/>
      </c>
      <c r="J108" s="782" t="str">
        <f>IF(Summary_Products!J92="","",Summary_Products!J92)</f>
        <v/>
      </c>
      <c r="K108" s="782" t="str">
        <f>IF(Summary_Products!K92="","",Summary_Products!K92)</f>
        <v/>
      </c>
      <c r="L108" s="782" t="str">
        <f>IF(Summary_Products!L92="","",Summary_Products!L92)</f>
        <v/>
      </c>
      <c r="M108" s="783" t="str">
        <f>IF(Summary_Products!M92="","",Summary_Products!M92)</f>
        <v/>
      </c>
      <c r="N108" s="782" t="str">
        <f>IF(Summary_Products!N92="","",Summary_Products!N92)</f>
        <v/>
      </c>
      <c r="O108" s="782" t="str">
        <f>IF(Summary_Products!O92="","",Summary_Products!O92)</f>
        <v/>
      </c>
      <c r="P108" s="782" t="str">
        <f t="shared" si="1"/>
        <v/>
      </c>
      <c r="Q108" s="160" t="str">
        <f>IF(Summary_Products!P92="","",INDEX(Translations!$C:$C,MATCH(Summary_Products!P92,Translations!$B:$B,0)))</f>
        <v/>
      </c>
      <c r="R108" s="160" t="str">
        <f>IF(Summary_Products!Q92="","",Summary_Products!Q92)</f>
        <v/>
      </c>
      <c r="S108" s="615" t="str">
        <f>IF(Summary_Products!R92="","",Summary_Products!R92)</f>
        <v/>
      </c>
      <c r="T108" s="615" t="str">
        <f>IF(Summary_Products!S92="","",Summary_Products!S92)</f>
        <v/>
      </c>
      <c r="U108" s="615" t="str">
        <f>IF(Summary_Products!T92="","",Summary_Products!T92)</f>
        <v/>
      </c>
      <c r="V108" s="615" t="str">
        <f>IF(Summary_Products!U92="","",Summary_Products!U92)</f>
        <v/>
      </c>
      <c r="W108" s="615" t="str">
        <f>IF(Summary_Products!V92="","",Summary_Products!V92)</f>
        <v/>
      </c>
      <c r="X108" s="615" t="str">
        <f>IF(Summary_Products!W92="","",Summary_Products!W92)</f>
        <v/>
      </c>
      <c r="Y108" s="615" t="str">
        <f>IF(Summary_Products!X92="","",Summary_Products!X92)</f>
        <v/>
      </c>
      <c r="Z108" s="615" t="str">
        <f>IF(Summary_Products!Y92="","",Summary_Products!Y92)</f>
        <v/>
      </c>
      <c r="AA108" s="615" t="str">
        <f>IF(Summary_Products!Z92="","",Summary_Products!Z92)</f>
        <v/>
      </c>
      <c r="AB108" s="615" t="str">
        <f>IF(Summary_Products!AA92="","",Summary_Products!AA92)</f>
        <v/>
      </c>
      <c r="AC108" s="615" t="str">
        <f>IF(Summary_Products!AB92="","",Summary_Products!AB92)</f>
        <v/>
      </c>
      <c r="AD108" s="615" t="str">
        <f>IF(Summary_Products!AC92="","",Summary_Products!AC92)</f>
        <v/>
      </c>
      <c r="AE108" s="615" t="str">
        <f>IF(Summary_Products!AD92="","",Summary_Products!AD92)</f>
        <v/>
      </c>
      <c r="AF108" s="615" t="str">
        <f>IF(Summary_Products!AE92="","",Summary_Products!AE92)</f>
        <v/>
      </c>
      <c r="AG108" s="615" t="str">
        <f>IF(Summary_Products!AF92="","",Summary_Products!AF92)</f>
        <v/>
      </c>
      <c r="AH108" s="615" t="str">
        <f>IF(Summary_Products!AG92="","",Summary_Products!AG92)</f>
        <v/>
      </c>
      <c r="AI108" s="615" t="str">
        <f>IF(Summary_Products!AH92="","",Summary_Products!AH92)</f>
        <v/>
      </c>
      <c r="AJ108" s="615" t="str">
        <f>IF(Summary_Products!AI92="","",Summary_Products!AI92)</f>
        <v/>
      </c>
      <c r="AK108" s="615" t="str">
        <f>IF(Summary_Products!AJ92="","",Summary_Products!AJ92)</f>
        <v/>
      </c>
      <c r="AL108" s="615" t="str">
        <f>IF(Summary_Products!AK92="","",Summary_Products!AK92)</f>
        <v/>
      </c>
      <c r="AM108" s="421" t="str">
        <f>IF(Summary_Products!AL92="","",INDEX(Translations!$C:$C,MATCH(Summary_Products!AL92,Translations!$B:$B,0)))</f>
        <v/>
      </c>
      <c r="AN108" s="615" t="str">
        <f>IF(Summary_Products!AM92="","",Summary_Products!AM92)</f>
        <v/>
      </c>
      <c r="AO108" s="473" t="str">
        <f>IF(Summary_Products!AN92="","",Summary_Products!AN92)</f>
        <v/>
      </c>
      <c r="AP108" s="474" t="str">
        <f>IF(Summary_Products!AO92="","",Summary_Products!AO92)</f>
        <v/>
      </c>
      <c r="AQ108" s="160" t="str">
        <f>IF(Summary_Products!AP92="","",Summary_Products!AP92)</f>
        <v/>
      </c>
      <c r="AR108" s="477" t="str">
        <f>IF(Summary_Products!AR92="","",Summary_Products!AR92)</f>
        <v/>
      </c>
      <c r="AS108" s="474" t="str">
        <f>IF(Summary_Products!AS92="","",Summary_Products!AS92)</f>
        <v/>
      </c>
      <c r="AT108" s="421" t="str">
        <f>IF(Summary_Products!AT92="","",INDEX(Translations!$C:$C,MATCH(Summary_Products!AT92,Translations!$B:$B,0)))</f>
        <v/>
      </c>
      <c r="AU108" s="615" t="str">
        <f>IF(Summary_Products!AU92="","",Summary_Products!AU92)</f>
        <v/>
      </c>
      <c r="AV108" s="473" t="str">
        <f>IF(Summary_Products!AV92="","",Summary_Products!AV92)</f>
        <v/>
      </c>
      <c r="AW108" s="474" t="str">
        <f>IF(Summary_Products!AW92="","",Summary_Products!AW92)</f>
        <v/>
      </c>
      <c r="AX108" s="477" t="str">
        <f>IF(Summary_Products!AX92="","",Summary_Products!AX92)</f>
        <v/>
      </c>
      <c r="AY108" s="474" t="str">
        <f>IF(Summary_Products!AY92="","",Summary_Products!AY92)</f>
        <v/>
      </c>
      <c r="AZ108" s="477" t="str">
        <f>IF(Summary_Products!AZ92="","",Summary_Products!AZ92)</f>
        <v/>
      </c>
      <c r="BA108" s="478" t="str">
        <f>IF(Summary_Products!BA92="","",Summary_Products!BA92)</f>
        <v/>
      </c>
      <c r="BD108" s="156"/>
      <c r="BE108" s="156"/>
      <c r="BF108" s="156"/>
      <c r="BG108" s="156"/>
    </row>
    <row r="109" spans="2:59" ht="12.5" x14ac:dyDescent="0.25">
      <c r="B109" s="277"/>
      <c r="C109" s="777">
        <v>84</v>
      </c>
      <c r="D109" s="766" t="str">
        <f>IF(Summary_Products!D93="","",Summary_Products!D93)</f>
        <v/>
      </c>
      <c r="E109" s="421" t="str">
        <f>IF(Summary_Products!E93="","",INDEX(Translations!$C:$C,MATCH(Summary_Products!E93,Translations!$B:$B,0)))</f>
        <v/>
      </c>
      <c r="F109" s="781" t="str">
        <f>IF(Summary_Products!F93="","",Summary_Products!F93)</f>
        <v/>
      </c>
      <c r="G109" s="766" t="str">
        <f>IF(F109="","",INDEX(Parameters_CNCodes!$H$4:$H$572,MATCH(F109,CNCodes_ListKey,0)))</f>
        <v/>
      </c>
      <c r="H109" s="766" t="str">
        <f>IF(Summary_Products!H93="","",Summary_Products!H93)</f>
        <v/>
      </c>
      <c r="I109" s="782" t="str">
        <f>IF(Summary_Products!I93="","",Summary_Products!I93)</f>
        <v/>
      </c>
      <c r="J109" s="782" t="str">
        <f>IF(Summary_Products!J93="","",Summary_Products!J93)</f>
        <v/>
      </c>
      <c r="K109" s="782" t="str">
        <f>IF(Summary_Products!K93="","",Summary_Products!K93)</f>
        <v/>
      </c>
      <c r="L109" s="782" t="str">
        <f>IF(Summary_Products!L93="","",Summary_Products!L93)</f>
        <v/>
      </c>
      <c r="M109" s="783" t="str">
        <f>IF(Summary_Products!M93="","",Summary_Products!M93)</f>
        <v/>
      </c>
      <c r="N109" s="782" t="str">
        <f>IF(Summary_Products!N93="","",Summary_Products!N93)</f>
        <v/>
      </c>
      <c r="O109" s="782" t="str">
        <f>IF(Summary_Products!O93="","",Summary_Products!O93)</f>
        <v/>
      </c>
      <c r="P109" s="782" t="str">
        <f t="shared" si="1"/>
        <v/>
      </c>
      <c r="Q109" s="160" t="str">
        <f>IF(Summary_Products!P93="","",INDEX(Translations!$C:$C,MATCH(Summary_Products!P93,Translations!$B:$B,0)))</f>
        <v/>
      </c>
      <c r="R109" s="160" t="str">
        <f>IF(Summary_Products!Q93="","",Summary_Products!Q93)</f>
        <v/>
      </c>
      <c r="S109" s="615" t="str">
        <f>IF(Summary_Products!R93="","",Summary_Products!R93)</f>
        <v/>
      </c>
      <c r="T109" s="615" t="str">
        <f>IF(Summary_Products!S93="","",Summary_Products!S93)</f>
        <v/>
      </c>
      <c r="U109" s="615" t="str">
        <f>IF(Summary_Products!T93="","",Summary_Products!T93)</f>
        <v/>
      </c>
      <c r="V109" s="615" t="str">
        <f>IF(Summary_Products!U93="","",Summary_Products!U93)</f>
        <v/>
      </c>
      <c r="W109" s="615" t="str">
        <f>IF(Summary_Products!V93="","",Summary_Products!V93)</f>
        <v/>
      </c>
      <c r="X109" s="615" t="str">
        <f>IF(Summary_Products!W93="","",Summary_Products!W93)</f>
        <v/>
      </c>
      <c r="Y109" s="615" t="str">
        <f>IF(Summary_Products!X93="","",Summary_Products!X93)</f>
        <v/>
      </c>
      <c r="Z109" s="615" t="str">
        <f>IF(Summary_Products!Y93="","",Summary_Products!Y93)</f>
        <v/>
      </c>
      <c r="AA109" s="615" t="str">
        <f>IF(Summary_Products!Z93="","",Summary_Products!Z93)</f>
        <v/>
      </c>
      <c r="AB109" s="615" t="str">
        <f>IF(Summary_Products!AA93="","",Summary_Products!AA93)</f>
        <v/>
      </c>
      <c r="AC109" s="615" t="str">
        <f>IF(Summary_Products!AB93="","",Summary_Products!AB93)</f>
        <v/>
      </c>
      <c r="AD109" s="615" t="str">
        <f>IF(Summary_Products!AC93="","",Summary_Products!AC93)</f>
        <v/>
      </c>
      <c r="AE109" s="615" t="str">
        <f>IF(Summary_Products!AD93="","",Summary_Products!AD93)</f>
        <v/>
      </c>
      <c r="AF109" s="615" t="str">
        <f>IF(Summary_Products!AE93="","",Summary_Products!AE93)</f>
        <v/>
      </c>
      <c r="AG109" s="615" t="str">
        <f>IF(Summary_Products!AF93="","",Summary_Products!AF93)</f>
        <v/>
      </c>
      <c r="AH109" s="615" t="str">
        <f>IF(Summary_Products!AG93="","",Summary_Products!AG93)</f>
        <v/>
      </c>
      <c r="AI109" s="615" t="str">
        <f>IF(Summary_Products!AH93="","",Summary_Products!AH93)</f>
        <v/>
      </c>
      <c r="AJ109" s="615" t="str">
        <f>IF(Summary_Products!AI93="","",Summary_Products!AI93)</f>
        <v/>
      </c>
      <c r="AK109" s="615" t="str">
        <f>IF(Summary_Products!AJ93="","",Summary_Products!AJ93)</f>
        <v/>
      </c>
      <c r="AL109" s="615" t="str">
        <f>IF(Summary_Products!AK93="","",Summary_Products!AK93)</f>
        <v/>
      </c>
      <c r="AM109" s="421" t="str">
        <f>IF(Summary_Products!AL93="","",INDEX(Translations!$C:$C,MATCH(Summary_Products!AL93,Translations!$B:$B,0)))</f>
        <v/>
      </c>
      <c r="AN109" s="615" t="str">
        <f>IF(Summary_Products!AM93="","",Summary_Products!AM93)</f>
        <v/>
      </c>
      <c r="AO109" s="473" t="str">
        <f>IF(Summary_Products!AN93="","",Summary_Products!AN93)</f>
        <v/>
      </c>
      <c r="AP109" s="474" t="str">
        <f>IF(Summary_Products!AO93="","",Summary_Products!AO93)</f>
        <v/>
      </c>
      <c r="AQ109" s="160" t="str">
        <f>IF(Summary_Products!AP93="","",Summary_Products!AP93)</f>
        <v/>
      </c>
      <c r="AR109" s="477" t="str">
        <f>IF(Summary_Products!AR93="","",Summary_Products!AR93)</f>
        <v/>
      </c>
      <c r="AS109" s="474" t="str">
        <f>IF(Summary_Products!AS93="","",Summary_Products!AS93)</f>
        <v/>
      </c>
      <c r="AT109" s="421" t="str">
        <f>IF(Summary_Products!AT93="","",INDEX(Translations!$C:$C,MATCH(Summary_Products!AT93,Translations!$B:$B,0)))</f>
        <v/>
      </c>
      <c r="AU109" s="615" t="str">
        <f>IF(Summary_Products!AU93="","",Summary_Products!AU93)</f>
        <v/>
      </c>
      <c r="AV109" s="473" t="str">
        <f>IF(Summary_Products!AV93="","",Summary_Products!AV93)</f>
        <v/>
      </c>
      <c r="AW109" s="474" t="str">
        <f>IF(Summary_Products!AW93="","",Summary_Products!AW93)</f>
        <v/>
      </c>
      <c r="AX109" s="477" t="str">
        <f>IF(Summary_Products!AX93="","",Summary_Products!AX93)</f>
        <v/>
      </c>
      <c r="AY109" s="474" t="str">
        <f>IF(Summary_Products!AY93="","",Summary_Products!AY93)</f>
        <v/>
      </c>
      <c r="AZ109" s="477" t="str">
        <f>IF(Summary_Products!AZ93="","",Summary_Products!AZ93)</f>
        <v/>
      </c>
      <c r="BA109" s="478" t="str">
        <f>IF(Summary_Products!BA93="","",Summary_Products!BA93)</f>
        <v/>
      </c>
      <c r="BD109" s="156"/>
      <c r="BE109" s="156"/>
      <c r="BF109" s="156"/>
      <c r="BG109" s="156"/>
    </row>
    <row r="110" spans="2:59" ht="12.5" x14ac:dyDescent="0.25">
      <c r="B110" s="277"/>
      <c r="C110" s="777">
        <v>85</v>
      </c>
      <c r="D110" s="766" t="str">
        <f>IF(Summary_Products!D94="","",Summary_Products!D94)</f>
        <v/>
      </c>
      <c r="E110" s="421" t="str">
        <f>IF(Summary_Products!E94="","",INDEX(Translations!$C:$C,MATCH(Summary_Products!E94,Translations!$B:$B,0)))</f>
        <v/>
      </c>
      <c r="F110" s="781" t="str">
        <f>IF(Summary_Products!F94="","",Summary_Products!F94)</f>
        <v/>
      </c>
      <c r="G110" s="766" t="str">
        <f>IF(F110="","",INDEX(Parameters_CNCodes!$H$4:$H$572,MATCH(F110,CNCodes_ListKey,0)))</f>
        <v/>
      </c>
      <c r="H110" s="766" t="str">
        <f>IF(Summary_Products!H94="","",Summary_Products!H94)</f>
        <v/>
      </c>
      <c r="I110" s="782" t="str">
        <f>IF(Summary_Products!I94="","",Summary_Products!I94)</f>
        <v/>
      </c>
      <c r="J110" s="782" t="str">
        <f>IF(Summary_Products!J94="","",Summary_Products!J94)</f>
        <v/>
      </c>
      <c r="K110" s="782" t="str">
        <f>IF(Summary_Products!K94="","",Summary_Products!K94)</f>
        <v/>
      </c>
      <c r="L110" s="782" t="str">
        <f>IF(Summary_Products!L94="","",Summary_Products!L94)</f>
        <v/>
      </c>
      <c r="M110" s="783" t="str">
        <f>IF(Summary_Products!M94="","",Summary_Products!M94)</f>
        <v/>
      </c>
      <c r="N110" s="782" t="str">
        <f>IF(Summary_Products!N94="","",Summary_Products!N94)</f>
        <v/>
      </c>
      <c r="O110" s="782" t="str">
        <f>IF(Summary_Products!O94="","",Summary_Products!O94)</f>
        <v/>
      </c>
      <c r="P110" s="782" t="str">
        <f t="shared" si="1"/>
        <v/>
      </c>
      <c r="Q110" s="160" t="str">
        <f>IF(Summary_Products!P94="","",INDEX(Translations!$C:$C,MATCH(Summary_Products!P94,Translations!$B:$B,0)))</f>
        <v/>
      </c>
      <c r="R110" s="160" t="str">
        <f>IF(Summary_Products!Q94="","",Summary_Products!Q94)</f>
        <v/>
      </c>
      <c r="S110" s="615" t="str">
        <f>IF(Summary_Products!R94="","",Summary_Products!R94)</f>
        <v/>
      </c>
      <c r="T110" s="615" t="str">
        <f>IF(Summary_Products!S94="","",Summary_Products!S94)</f>
        <v/>
      </c>
      <c r="U110" s="615" t="str">
        <f>IF(Summary_Products!T94="","",Summary_Products!T94)</f>
        <v/>
      </c>
      <c r="V110" s="615" t="str">
        <f>IF(Summary_Products!U94="","",Summary_Products!U94)</f>
        <v/>
      </c>
      <c r="W110" s="615" t="str">
        <f>IF(Summary_Products!V94="","",Summary_Products!V94)</f>
        <v/>
      </c>
      <c r="X110" s="615" t="str">
        <f>IF(Summary_Products!W94="","",Summary_Products!W94)</f>
        <v/>
      </c>
      <c r="Y110" s="615" t="str">
        <f>IF(Summary_Products!X94="","",Summary_Products!X94)</f>
        <v/>
      </c>
      <c r="Z110" s="615" t="str">
        <f>IF(Summary_Products!Y94="","",Summary_Products!Y94)</f>
        <v/>
      </c>
      <c r="AA110" s="615" t="str">
        <f>IF(Summary_Products!Z94="","",Summary_Products!Z94)</f>
        <v/>
      </c>
      <c r="AB110" s="615" t="str">
        <f>IF(Summary_Products!AA94="","",Summary_Products!AA94)</f>
        <v/>
      </c>
      <c r="AC110" s="615" t="str">
        <f>IF(Summary_Products!AB94="","",Summary_Products!AB94)</f>
        <v/>
      </c>
      <c r="AD110" s="615" t="str">
        <f>IF(Summary_Products!AC94="","",Summary_Products!AC94)</f>
        <v/>
      </c>
      <c r="AE110" s="615" t="str">
        <f>IF(Summary_Products!AD94="","",Summary_Products!AD94)</f>
        <v/>
      </c>
      <c r="AF110" s="615" t="str">
        <f>IF(Summary_Products!AE94="","",Summary_Products!AE94)</f>
        <v/>
      </c>
      <c r="AG110" s="615" t="str">
        <f>IF(Summary_Products!AF94="","",Summary_Products!AF94)</f>
        <v/>
      </c>
      <c r="AH110" s="615" t="str">
        <f>IF(Summary_Products!AG94="","",Summary_Products!AG94)</f>
        <v/>
      </c>
      <c r="AI110" s="615" t="str">
        <f>IF(Summary_Products!AH94="","",Summary_Products!AH94)</f>
        <v/>
      </c>
      <c r="AJ110" s="615" t="str">
        <f>IF(Summary_Products!AI94="","",Summary_Products!AI94)</f>
        <v/>
      </c>
      <c r="AK110" s="615" t="str">
        <f>IF(Summary_Products!AJ94="","",Summary_Products!AJ94)</f>
        <v/>
      </c>
      <c r="AL110" s="615" t="str">
        <f>IF(Summary_Products!AK94="","",Summary_Products!AK94)</f>
        <v/>
      </c>
      <c r="AM110" s="421" t="str">
        <f>IF(Summary_Products!AL94="","",INDEX(Translations!$C:$C,MATCH(Summary_Products!AL94,Translations!$B:$B,0)))</f>
        <v/>
      </c>
      <c r="AN110" s="615" t="str">
        <f>IF(Summary_Products!AM94="","",Summary_Products!AM94)</f>
        <v/>
      </c>
      <c r="AO110" s="473" t="str">
        <f>IF(Summary_Products!AN94="","",Summary_Products!AN94)</f>
        <v/>
      </c>
      <c r="AP110" s="474" t="str">
        <f>IF(Summary_Products!AO94="","",Summary_Products!AO94)</f>
        <v/>
      </c>
      <c r="AQ110" s="160" t="str">
        <f>IF(Summary_Products!AP94="","",Summary_Products!AP94)</f>
        <v/>
      </c>
      <c r="AR110" s="477" t="str">
        <f>IF(Summary_Products!AR94="","",Summary_Products!AR94)</f>
        <v/>
      </c>
      <c r="AS110" s="474" t="str">
        <f>IF(Summary_Products!AS94="","",Summary_Products!AS94)</f>
        <v/>
      </c>
      <c r="AT110" s="421" t="str">
        <f>IF(Summary_Products!AT94="","",INDEX(Translations!$C:$C,MATCH(Summary_Products!AT94,Translations!$B:$B,0)))</f>
        <v/>
      </c>
      <c r="AU110" s="615" t="str">
        <f>IF(Summary_Products!AU94="","",Summary_Products!AU94)</f>
        <v/>
      </c>
      <c r="AV110" s="473" t="str">
        <f>IF(Summary_Products!AV94="","",Summary_Products!AV94)</f>
        <v/>
      </c>
      <c r="AW110" s="474" t="str">
        <f>IF(Summary_Products!AW94="","",Summary_Products!AW94)</f>
        <v/>
      </c>
      <c r="AX110" s="477" t="str">
        <f>IF(Summary_Products!AX94="","",Summary_Products!AX94)</f>
        <v/>
      </c>
      <c r="AY110" s="474" t="str">
        <f>IF(Summary_Products!AY94="","",Summary_Products!AY94)</f>
        <v/>
      </c>
      <c r="AZ110" s="477" t="str">
        <f>IF(Summary_Products!AZ94="","",Summary_Products!AZ94)</f>
        <v/>
      </c>
      <c r="BA110" s="478" t="str">
        <f>IF(Summary_Products!BA94="","",Summary_Products!BA94)</f>
        <v/>
      </c>
      <c r="BD110" s="156"/>
      <c r="BE110" s="156"/>
      <c r="BF110" s="156"/>
      <c r="BG110" s="156"/>
    </row>
    <row r="111" spans="2:59" ht="12.5" x14ac:dyDescent="0.25">
      <c r="B111" s="277"/>
      <c r="C111" s="777">
        <v>86</v>
      </c>
      <c r="D111" s="766" t="str">
        <f>IF(Summary_Products!D95="","",Summary_Products!D95)</f>
        <v/>
      </c>
      <c r="E111" s="421" t="str">
        <f>IF(Summary_Products!E95="","",INDEX(Translations!$C:$C,MATCH(Summary_Products!E95,Translations!$B:$B,0)))</f>
        <v/>
      </c>
      <c r="F111" s="781" t="str">
        <f>IF(Summary_Products!F95="","",Summary_Products!F95)</f>
        <v/>
      </c>
      <c r="G111" s="766" t="str">
        <f>IF(F111="","",INDEX(Parameters_CNCodes!$H$4:$H$572,MATCH(F111,CNCodes_ListKey,0)))</f>
        <v/>
      </c>
      <c r="H111" s="766" t="str">
        <f>IF(Summary_Products!H95="","",Summary_Products!H95)</f>
        <v/>
      </c>
      <c r="I111" s="782" t="str">
        <f>IF(Summary_Products!I95="","",Summary_Products!I95)</f>
        <v/>
      </c>
      <c r="J111" s="782" t="str">
        <f>IF(Summary_Products!J95="","",Summary_Products!J95)</f>
        <v/>
      </c>
      <c r="K111" s="782" t="str">
        <f>IF(Summary_Products!K95="","",Summary_Products!K95)</f>
        <v/>
      </c>
      <c r="L111" s="782" t="str">
        <f>IF(Summary_Products!L95="","",Summary_Products!L95)</f>
        <v/>
      </c>
      <c r="M111" s="783" t="str">
        <f>IF(Summary_Products!M95="","",Summary_Products!M95)</f>
        <v/>
      </c>
      <c r="N111" s="782" t="str">
        <f>IF(Summary_Products!N95="","",Summary_Products!N95)</f>
        <v/>
      </c>
      <c r="O111" s="782" t="str">
        <f>IF(Summary_Products!O95="","",Summary_Products!O95)</f>
        <v/>
      </c>
      <c r="P111" s="782" t="str">
        <f t="shared" si="1"/>
        <v/>
      </c>
      <c r="Q111" s="160" t="str">
        <f>IF(Summary_Products!P95="","",INDEX(Translations!$C:$C,MATCH(Summary_Products!P95,Translations!$B:$B,0)))</f>
        <v/>
      </c>
      <c r="R111" s="160" t="str">
        <f>IF(Summary_Products!Q95="","",Summary_Products!Q95)</f>
        <v/>
      </c>
      <c r="S111" s="615" t="str">
        <f>IF(Summary_Products!R95="","",Summary_Products!R95)</f>
        <v/>
      </c>
      <c r="T111" s="615" t="str">
        <f>IF(Summary_Products!S95="","",Summary_Products!S95)</f>
        <v/>
      </c>
      <c r="U111" s="615" t="str">
        <f>IF(Summary_Products!T95="","",Summary_Products!T95)</f>
        <v/>
      </c>
      <c r="V111" s="615" t="str">
        <f>IF(Summary_Products!U95="","",Summary_Products!U95)</f>
        <v/>
      </c>
      <c r="W111" s="615" t="str">
        <f>IF(Summary_Products!V95="","",Summary_Products!V95)</f>
        <v/>
      </c>
      <c r="X111" s="615" t="str">
        <f>IF(Summary_Products!W95="","",Summary_Products!W95)</f>
        <v/>
      </c>
      <c r="Y111" s="615" t="str">
        <f>IF(Summary_Products!X95="","",Summary_Products!X95)</f>
        <v/>
      </c>
      <c r="Z111" s="615" t="str">
        <f>IF(Summary_Products!Y95="","",Summary_Products!Y95)</f>
        <v/>
      </c>
      <c r="AA111" s="615" t="str">
        <f>IF(Summary_Products!Z95="","",Summary_Products!Z95)</f>
        <v/>
      </c>
      <c r="AB111" s="615" t="str">
        <f>IF(Summary_Products!AA95="","",Summary_Products!AA95)</f>
        <v/>
      </c>
      <c r="AC111" s="615" t="str">
        <f>IF(Summary_Products!AB95="","",Summary_Products!AB95)</f>
        <v/>
      </c>
      <c r="AD111" s="615" t="str">
        <f>IF(Summary_Products!AC95="","",Summary_Products!AC95)</f>
        <v/>
      </c>
      <c r="AE111" s="615" t="str">
        <f>IF(Summary_Products!AD95="","",Summary_Products!AD95)</f>
        <v/>
      </c>
      <c r="AF111" s="615" t="str">
        <f>IF(Summary_Products!AE95="","",Summary_Products!AE95)</f>
        <v/>
      </c>
      <c r="AG111" s="615" t="str">
        <f>IF(Summary_Products!AF95="","",Summary_Products!AF95)</f>
        <v/>
      </c>
      <c r="AH111" s="615" t="str">
        <f>IF(Summary_Products!AG95="","",Summary_Products!AG95)</f>
        <v/>
      </c>
      <c r="AI111" s="615" t="str">
        <f>IF(Summary_Products!AH95="","",Summary_Products!AH95)</f>
        <v/>
      </c>
      <c r="AJ111" s="615" t="str">
        <f>IF(Summary_Products!AI95="","",Summary_Products!AI95)</f>
        <v/>
      </c>
      <c r="AK111" s="615" t="str">
        <f>IF(Summary_Products!AJ95="","",Summary_Products!AJ95)</f>
        <v/>
      </c>
      <c r="AL111" s="615" t="str">
        <f>IF(Summary_Products!AK95="","",Summary_Products!AK95)</f>
        <v/>
      </c>
      <c r="AM111" s="421" t="str">
        <f>IF(Summary_Products!AL95="","",INDEX(Translations!$C:$C,MATCH(Summary_Products!AL95,Translations!$B:$B,0)))</f>
        <v/>
      </c>
      <c r="AN111" s="615" t="str">
        <f>IF(Summary_Products!AM95="","",Summary_Products!AM95)</f>
        <v/>
      </c>
      <c r="AO111" s="473" t="str">
        <f>IF(Summary_Products!AN95="","",Summary_Products!AN95)</f>
        <v/>
      </c>
      <c r="AP111" s="474" t="str">
        <f>IF(Summary_Products!AO95="","",Summary_Products!AO95)</f>
        <v/>
      </c>
      <c r="AQ111" s="160" t="str">
        <f>IF(Summary_Products!AP95="","",Summary_Products!AP95)</f>
        <v/>
      </c>
      <c r="AR111" s="477" t="str">
        <f>IF(Summary_Products!AR95="","",Summary_Products!AR95)</f>
        <v/>
      </c>
      <c r="AS111" s="474" t="str">
        <f>IF(Summary_Products!AS95="","",Summary_Products!AS95)</f>
        <v/>
      </c>
      <c r="AT111" s="421" t="str">
        <f>IF(Summary_Products!AT95="","",INDEX(Translations!$C:$C,MATCH(Summary_Products!AT95,Translations!$B:$B,0)))</f>
        <v/>
      </c>
      <c r="AU111" s="615" t="str">
        <f>IF(Summary_Products!AU95="","",Summary_Products!AU95)</f>
        <v/>
      </c>
      <c r="AV111" s="473" t="str">
        <f>IF(Summary_Products!AV95="","",Summary_Products!AV95)</f>
        <v/>
      </c>
      <c r="AW111" s="474" t="str">
        <f>IF(Summary_Products!AW95="","",Summary_Products!AW95)</f>
        <v/>
      </c>
      <c r="AX111" s="477" t="str">
        <f>IF(Summary_Products!AX95="","",Summary_Products!AX95)</f>
        <v/>
      </c>
      <c r="AY111" s="474" t="str">
        <f>IF(Summary_Products!AY95="","",Summary_Products!AY95)</f>
        <v/>
      </c>
      <c r="AZ111" s="477" t="str">
        <f>IF(Summary_Products!AZ95="","",Summary_Products!AZ95)</f>
        <v/>
      </c>
      <c r="BA111" s="478" t="str">
        <f>IF(Summary_Products!BA95="","",Summary_Products!BA95)</f>
        <v/>
      </c>
      <c r="BD111" s="156"/>
      <c r="BE111" s="156"/>
      <c r="BF111" s="156"/>
      <c r="BG111" s="156"/>
    </row>
    <row r="112" spans="2:59" ht="12.5" x14ac:dyDescent="0.25">
      <c r="B112" s="277"/>
      <c r="C112" s="777">
        <v>87</v>
      </c>
      <c r="D112" s="766" t="str">
        <f>IF(Summary_Products!D96="","",Summary_Products!D96)</f>
        <v/>
      </c>
      <c r="E112" s="421" t="str">
        <f>IF(Summary_Products!E96="","",INDEX(Translations!$C:$C,MATCH(Summary_Products!E96,Translations!$B:$B,0)))</f>
        <v/>
      </c>
      <c r="F112" s="781" t="str">
        <f>IF(Summary_Products!F96="","",Summary_Products!F96)</f>
        <v/>
      </c>
      <c r="G112" s="766" t="str">
        <f>IF(F112="","",INDEX(Parameters_CNCodes!$H$4:$H$572,MATCH(F112,CNCodes_ListKey,0)))</f>
        <v/>
      </c>
      <c r="H112" s="766" t="str">
        <f>IF(Summary_Products!H96="","",Summary_Products!H96)</f>
        <v/>
      </c>
      <c r="I112" s="782" t="str">
        <f>IF(Summary_Products!I96="","",Summary_Products!I96)</f>
        <v/>
      </c>
      <c r="J112" s="782" t="str">
        <f>IF(Summary_Products!J96="","",Summary_Products!J96)</f>
        <v/>
      </c>
      <c r="K112" s="782" t="str">
        <f>IF(Summary_Products!K96="","",Summary_Products!K96)</f>
        <v/>
      </c>
      <c r="L112" s="782" t="str">
        <f>IF(Summary_Products!L96="","",Summary_Products!L96)</f>
        <v/>
      </c>
      <c r="M112" s="783" t="str">
        <f>IF(Summary_Products!M96="","",Summary_Products!M96)</f>
        <v/>
      </c>
      <c r="N112" s="782" t="str">
        <f>IF(Summary_Products!N96="","",Summary_Products!N96)</f>
        <v/>
      </c>
      <c r="O112" s="782" t="str">
        <f>IF(Summary_Products!O96="","",Summary_Products!O96)</f>
        <v/>
      </c>
      <c r="P112" s="782" t="str">
        <f t="shared" si="1"/>
        <v/>
      </c>
      <c r="Q112" s="160" t="str">
        <f>IF(Summary_Products!P96="","",INDEX(Translations!$C:$C,MATCH(Summary_Products!P96,Translations!$B:$B,0)))</f>
        <v/>
      </c>
      <c r="R112" s="160" t="str">
        <f>IF(Summary_Products!Q96="","",Summary_Products!Q96)</f>
        <v/>
      </c>
      <c r="S112" s="615" t="str">
        <f>IF(Summary_Products!R96="","",Summary_Products!R96)</f>
        <v/>
      </c>
      <c r="T112" s="615" t="str">
        <f>IF(Summary_Products!S96="","",Summary_Products!S96)</f>
        <v/>
      </c>
      <c r="U112" s="615" t="str">
        <f>IF(Summary_Products!T96="","",Summary_Products!T96)</f>
        <v/>
      </c>
      <c r="V112" s="615" t="str">
        <f>IF(Summary_Products!U96="","",Summary_Products!U96)</f>
        <v/>
      </c>
      <c r="W112" s="615" t="str">
        <f>IF(Summary_Products!V96="","",Summary_Products!V96)</f>
        <v/>
      </c>
      <c r="X112" s="615" t="str">
        <f>IF(Summary_Products!W96="","",Summary_Products!W96)</f>
        <v/>
      </c>
      <c r="Y112" s="615" t="str">
        <f>IF(Summary_Products!X96="","",Summary_Products!X96)</f>
        <v/>
      </c>
      <c r="Z112" s="615" t="str">
        <f>IF(Summary_Products!Y96="","",Summary_Products!Y96)</f>
        <v/>
      </c>
      <c r="AA112" s="615" t="str">
        <f>IF(Summary_Products!Z96="","",Summary_Products!Z96)</f>
        <v/>
      </c>
      <c r="AB112" s="615" t="str">
        <f>IF(Summary_Products!AA96="","",Summary_Products!AA96)</f>
        <v/>
      </c>
      <c r="AC112" s="615" t="str">
        <f>IF(Summary_Products!AB96="","",Summary_Products!AB96)</f>
        <v/>
      </c>
      <c r="AD112" s="615" t="str">
        <f>IF(Summary_Products!AC96="","",Summary_Products!AC96)</f>
        <v/>
      </c>
      <c r="AE112" s="615" t="str">
        <f>IF(Summary_Products!AD96="","",Summary_Products!AD96)</f>
        <v/>
      </c>
      <c r="AF112" s="615" t="str">
        <f>IF(Summary_Products!AE96="","",Summary_Products!AE96)</f>
        <v/>
      </c>
      <c r="AG112" s="615" t="str">
        <f>IF(Summary_Products!AF96="","",Summary_Products!AF96)</f>
        <v/>
      </c>
      <c r="AH112" s="615" t="str">
        <f>IF(Summary_Products!AG96="","",Summary_Products!AG96)</f>
        <v/>
      </c>
      <c r="AI112" s="615" t="str">
        <f>IF(Summary_Products!AH96="","",Summary_Products!AH96)</f>
        <v/>
      </c>
      <c r="AJ112" s="615" t="str">
        <f>IF(Summary_Products!AI96="","",Summary_Products!AI96)</f>
        <v/>
      </c>
      <c r="AK112" s="615" t="str">
        <f>IF(Summary_Products!AJ96="","",Summary_Products!AJ96)</f>
        <v/>
      </c>
      <c r="AL112" s="615" t="str">
        <f>IF(Summary_Products!AK96="","",Summary_Products!AK96)</f>
        <v/>
      </c>
      <c r="AM112" s="421" t="str">
        <f>IF(Summary_Products!AL96="","",INDEX(Translations!$C:$C,MATCH(Summary_Products!AL96,Translations!$B:$B,0)))</f>
        <v/>
      </c>
      <c r="AN112" s="615" t="str">
        <f>IF(Summary_Products!AM96="","",Summary_Products!AM96)</f>
        <v/>
      </c>
      <c r="AO112" s="473" t="str">
        <f>IF(Summary_Products!AN96="","",Summary_Products!AN96)</f>
        <v/>
      </c>
      <c r="AP112" s="474" t="str">
        <f>IF(Summary_Products!AO96="","",Summary_Products!AO96)</f>
        <v/>
      </c>
      <c r="AQ112" s="160" t="str">
        <f>IF(Summary_Products!AP96="","",Summary_Products!AP96)</f>
        <v/>
      </c>
      <c r="AR112" s="477" t="str">
        <f>IF(Summary_Products!AR96="","",Summary_Products!AR96)</f>
        <v/>
      </c>
      <c r="AS112" s="474" t="str">
        <f>IF(Summary_Products!AS96="","",Summary_Products!AS96)</f>
        <v/>
      </c>
      <c r="AT112" s="421" t="str">
        <f>IF(Summary_Products!AT96="","",INDEX(Translations!$C:$C,MATCH(Summary_Products!AT96,Translations!$B:$B,0)))</f>
        <v/>
      </c>
      <c r="AU112" s="615" t="str">
        <f>IF(Summary_Products!AU96="","",Summary_Products!AU96)</f>
        <v/>
      </c>
      <c r="AV112" s="473" t="str">
        <f>IF(Summary_Products!AV96="","",Summary_Products!AV96)</f>
        <v/>
      </c>
      <c r="AW112" s="474" t="str">
        <f>IF(Summary_Products!AW96="","",Summary_Products!AW96)</f>
        <v/>
      </c>
      <c r="AX112" s="477" t="str">
        <f>IF(Summary_Products!AX96="","",Summary_Products!AX96)</f>
        <v/>
      </c>
      <c r="AY112" s="474" t="str">
        <f>IF(Summary_Products!AY96="","",Summary_Products!AY96)</f>
        <v/>
      </c>
      <c r="AZ112" s="477" t="str">
        <f>IF(Summary_Products!AZ96="","",Summary_Products!AZ96)</f>
        <v/>
      </c>
      <c r="BA112" s="478" t="str">
        <f>IF(Summary_Products!BA96="","",Summary_Products!BA96)</f>
        <v/>
      </c>
      <c r="BD112" s="156"/>
      <c r="BE112" s="156"/>
      <c r="BF112" s="156"/>
      <c r="BG112" s="156"/>
    </row>
    <row r="113" spans="1:59" ht="12.5" x14ac:dyDescent="0.25">
      <c r="B113" s="277"/>
      <c r="C113" s="777">
        <v>88</v>
      </c>
      <c r="D113" s="766" t="str">
        <f>IF(Summary_Products!D97="","",Summary_Products!D97)</f>
        <v/>
      </c>
      <c r="E113" s="421" t="str">
        <f>IF(Summary_Products!E97="","",INDEX(Translations!$C:$C,MATCH(Summary_Products!E97,Translations!$B:$B,0)))</f>
        <v/>
      </c>
      <c r="F113" s="781" t="str">
        <f>IF(Summary_Products!F97="","",Summary_Products!F97)</f>
        <v/>
      </c>
      <c r="G113" s="766" t="str">
        <f>IF(F113="","",INDEX(Parameters_CNCodes!$H$4:$H$572,MATCH(F113,CNCodes_ListKey,0)))</f>
        <v/>
      </c>
      <c r="H113" s="766" t="str">
        <f>IF(Summary_Products!H97="","",Summary_Products!H97)</f>
        <v/>
      </c>
      <c r="I113" s="782" t="str">
        <f>IF(Summary_Products!I97="","",Summary_Products!I97)</f>
        <v/>
      </c>
      <c r="J113" s="782" t="str">
        <f>IF(Summary_Products!J97="","",Summary_Products!J97)</f>
        <v/>
      </c>
      <c r="K113" s="782" t="str">
        <f>IF(Summary_Products!K97="","",Summary_Products!K97)</f>
        <v/>
      </c>
      <c r="L113" s="782" t="str">
        <f>IF(Summary_Products!L97="","",Summary_Products!L97)</f>
        <v/>
      </c>
      <c r="M113" s="783" t="str">
        <f>IF(Summary_Products!M97="","",Summary_Products!M97)</f>
        <v/>
      </c>
      <c r="N113" s="782" t="str">
        <f>IF(Summary_Products!N97="","",Summary_Products!N97)</f>
        <v/>
      </c>
      <c r="O113" s="782" t="str">
        <f>IF(Summary_Products!O97="","",Summary_Products!O97)</f>
        <v/>
      </c>
      <c r="P113" s="782" t="str">
        <f t="shared" si="1"/>
        <v/>
      </c>
      <c r="Q113" s="160" t="str">
        <f>IF(Summary_Products!P97="","",INDEX(Translations!$C:$C,MATCH(Summary_Products!P97,Translations!$B:$B,0)))</f>
        <v/>
      </c>
      <c r="R113" s="160" t="str">
        <f>IF(Summary_Products!Q97="","",Summary_Products!Q97)</f>
        <v/>
      </c>
      <c r="S113" s="615" t="str">
        <f>IF(Summary_Products!R97="","",Summary_Products!R97)</f>
        <v/>
      </c>
      <c r="T113" s="615" t="str">
        <f>IF(Summary_Products!S97="","",Summary_Products!S97)</f>
        <v/>
      </c>
      <c r="U113" s="615" t="str">
        <f>IF(Summary_Products!T97="","",Summary_Products!T97)</f>
        <v/>
      </c>
      <c r="V113" s="615" t="str">
        <f>IF(Summary_Products!U97="","",Summary_Products!U97)</f>
        <v/>
      </c>
      <c r="W113" s="615" t="str">
        <f>IF(Summary_Products!V97="","",Summary_Products!V97)</f>
        <v/>
      </c>
      <c r="X113" s="615" t="str">
        <f>IF(Summary_Products!W97="","",Summary_Products!W97)</f>
        <v/>
      </c>
      <c r="Y113" s="615" t="str">
        <f>IF(Summary_Products!X97="","",Summary_Products!X97)</f>
        <v/>
      </c>
      <c r="Z113" s="615" t="str">
        <f>IF(Summary_Products!Y97="","",Summary_Products!Y97)</f>
        <v/>
      </c>
      <c r="AA113" s="615" t="str">
        <f>IF(Summary_Products!Z97="","",Summary_Products!Z97)</f>
        <v/>
      </c>
      <c r="AB113" s="615" t="str">
        <f>IF(Summary_Products!AA97="","",Summary_Products!AA97)</f>
        <v/>
      </c>
      <c r="AC113" s="615" t="str">
        <f>IF(Summary_Products!AB97="","",Summary_Products!AB97)</f>
        <v/>
      </c>
      <c r="AD113" s="615" t="str">
        <f>IF(Summary_Products!AC97="","",Summary_Products!AC97)</f>
        <v/>
      </c>
      <c r="AE113" s="615" t="str">
        <f>IF(Summary_Products!AD97="","",Summary_Products!AD97)</f>
        <v/>
      </c>
      <c r="AF113" s="615" t="str">
        <f>IF(Summary_Products!AE97="","",Summary_Products!AE97)</f>
        <v/>
      </c>
      <c r="AG113" s="615" t="str">
        <f>IF(Summary_Products!AF97="","",Summary_Products!AF97)</f>
        <v/>
      </c>
      <c r="AH113" s="615" t="str">
        <f>IF(Summary_Products!AG97="","",Summary_Products!AG97)</f>
        <v/>
      </c>
      <c r="AI113" s="615" t="str">
        <f>IF(Summary_Products!AH97="","",Summary_Products!AH97)</f>
        <v/>
      </c>
      <c r="AJ113" s="615" t="str">
        <f>IF(Summary_Products!AI97="","",Summary_Products!AI97)</f>
        <v/>
      </c>
      <c r="AK113" s="615" t="str">
        <f>IF(Summary_Products!AJ97="","",Summary_Products!AJ97)</f>
        <v/>
      </c>
      <c r="AL113" s="615" t="str">
        <f>IF(Summary_Products!AK97="","",Summary_Products!AK97)</f>
        <v/>
      </c>
      <c r="AM113" s="421" t="str">
        <f>IF(Summary_Products!AL97="","",INDEX(Translations!$C:$C,MATCH(Summary_Products!AL97,Translations!$B:$B,0)))</f>
        <v/>
      </c>
      <c r="AN113" s="615" t="str">
        <f>IF(Summary_Products!AM97="","",Summary_Products!AM97)</f>
        <v/>
      </c>
      <c r="AO113" s="473" t="str">
        <f>IF(Summary_Products!AN97="","",Summary_Products!AN97)</f>
        <v/>
      </c>
      <c r="AP113" s="474" t="str">
        <f>IF(Summary_Products!AO97="","",Summary_Products!AO97)</f>
        <v/>
      </c>
      <c r="AQ113" s="160" t="str">
        <f>IF(Summary_Products!AP97="","",Summary_Products!AP97)</f>
        <v/>
      </c>
      <c r="AR113" s="477" t="str">
        <f>IF(Summary_Products!AR97="","",Summary_Products!AR97)</f>
        <v/>
      </c>
      <c r="AS113" s="474" t="str">
        <f>IF(Summary_Products!AS97="","",Summary_Products!AS97)</f>
        <v/>
      </c>
      <c r="AT113" s="421" t="str">
        <f>IF(Summary_Products!AT97="","",INDEX(Translations!$C:$C,MATCH(Summary_Products!AT97,Translations!$B:$B,0)))</f>
        <v/>
      </c>
      <c r="AU113" s="615" t="str">
        <f>IF(Summary_Products!AU97="","",Summary_Products!AU97)</f>
        <v/>
      </c>
      <c r="AV113" s="473" t="str">
        <f>IF(Summary_Products!AV97="","",Summary_Products!AV97)</f>
        <v/>
      </c>
      <c r="AW113" s="474" t="str">
        <f>IF(Summary_Products!AW97="","",Summary_Products!AW97)</f>
        <v/>
      </c>
      <c r="AX113" s="477" t="str">
        <f>IF(Summary_Products!AX97="","",Summary_Products!AX97)</f>
        <v/>
      </c>
      <c r="AY113" s="474" t="str">
        <f>IF(Summary_Products!AY97="","",Summary_Products!AY97)</f>
        <v/>
      </c>
      <c r="AZ113" s="477" t="str">
        <f>IF(Summary_Products!AZ97="","",Summary_Products!AZ97)</f>
        <v/>
      </c>
      <c r="BA113" s="478" t="str">
        <f>IF(Summary_Products!BA97="","",Summary_Products!BA97)</f>
        <v/>
      </c>
      <c r="BD113" s="156"/>
      <c r="BE113" s="156"/>
      <c r="BF113" s="156"/>
      <c r="BG113" s="156"/>
    </row>
    <row r="114" spans="1:59" ht="12.5" x14ac:dyDescent="0.25">
      <c r="B114" s="277"/>
      <c r="C114" s="777">
        <v>89</v>
      </c>
      <c r="D114" s="766" t="str">
        <f>IF(Summary_Products!D98="","",Summary_Products!D98)</f>
        <v/>
      </c>
      <c r="E114" s="421" t="str">
        <f>IF(Summary_Products!E98="","",INDEX(Translations!$C:$C,MATCH(Summary_Products!E98,Translations!$B:$B,0)))</f>
        <v/>
      </c>
      <c r="F114" s="781" t="str">
        <f>IF(Summary_Products!F98="","",Summary_Products!F98)</f>
        <v/>
      </c>
      <c r="G114" s="766" t="str">
        <f>IF(F114="","",INDEX(Parameters_CNCodes!$H$4:$H$572,MATCH(F114,CNCodes_ListKey,0)))</f>
        <v/>
      </c>
      <c r="H114" s="766" t="str">
        <f>IF(Summary_Products!H98="","",Summary_Products!H98)</f>
        <v/>
      </c>
      <c r="I114" s="782" t="str">
        <f>IF(Summary_Products!I98="","",Summary_Products!I98)</f>
        <v/>
      </c>
      <c r="J114" s="782" t="str">
        <f>IF(Summary_Products!J98="","",Summary_Products!J98)</f>
        <v/>
      </c>
      <c r="K114" s="782" t="str">
        <f>IF(Summary_Products!K98="","",Summary_Products!K98)</f>
        <v/>
      </c>
      <c r="L114" s="782" t="str">
        <f>IF(Summary_Products!L98="","",Summary_Products!L98)</f>
        <v/>
      </c>
      <c r="M114" s="783" t="str">
        <f>IF(Summary_Products!M98="","",Summary_Products!M98)</f>
        <v/>
      </c>
      <c r="N114" s="782" t="str">
        <f>IF(Summary_Products!N98="","",Summary_Products!N98)</f>
        <v/>
      </c>
      <c r="O114" s="782" t="str">
        <f>IF(Summary_Products!O98="","",Summary_Products!O98)</f>
        <v/>
      </c>
      <c r="P114" s="782" t="str">
        <f t="shared" si="1"/>
        <v/>
      </c>
      <c r="Q114" s="160" t="str">
        <f>IF(Summary_Products!P98="","",INDEX(Translations!$C:$C,MATCH(Summary_Products!P98,Translations!$B:$B,0)))</f>
        <v/>
      </c>
      <c r="R114" s="160" t="str">
        <f>IF(Summary_Products!Q98="","",Summary_Products!Q98)</f>
        <v/>
      </c>
      <c r="S114" s="615" t="str">
        <f>IF(Summary_Products!R98="","",Summary_Products!R98)</f>
        <v/>
      </c>
      <c r="T114" s="615" t="str">
        <f>IF(Summary_Products!S98="","",Summary_Products!S98)</f>
        <v/>
      </c>
      <c r="U114" s="615" t="str">
        <f>IF(Summary_Products!T98="","",Summary_Products!T98)</f>
        <v/>
      </c>
      <c r="V114" s="615" t="str">
        <f>IF(Summary_Products!U98="","",Summary_Products!U98)</f>
        <v/>
      </c>
      <c r="W114" s="615" t="str">
        <f>IF(Summary_Products!V98="","",Summary_Products!V98)</f>
        <v/>
      </c>
      <c r="X114" s="615" t="str">
        <f>IF(Summary_Products!W98="","",Summary_Products!W98)</f>
        <v/>
      </c>
      <c r="Y114" s="615" t="str">
        <f>IF(Summary_Products!X98="","",Summary_Products!X98)</f>
        <v/>
      </c>
      <c r="Z114" s="615" t="str">
        <f>IF(Summary_Products!Y98="","",Summary_Products!Y98)</f>
        <v/>
      </c>
      <c r="AA114" s="615" t="str">
        <f>IF(Summary_Products!Z98="","",Summary_Products!Z98)</f>
        <v/>
      </c>
      <c r="AB114" s="615" t="str">
        <f>IF(Summary_Products!AA98="","",Summary_Products!AA98)</f>
        <v/>
      </c>
      <c r="AC114" s="615" t="str">
        <f>IF(Summary_Products!AB98="","",Summary_Products!AB98)</f>
        <v/>
      </c>
      <c r="AD114" s="615" t="str">
        <f>IF(Summary_Products!AC98="","",Summary_Products!AC98)</f>
        <v/>
      </c>
      <c r="AE114" s="615" t="str">
        <f>IF(Summary_Products!AD98="","",Summary_Products!AD98)</f>
        <v/>
      </c>
      <c r="AF114" s="615" t="str">
        <f>IF(Summary_Products!AE98="","",Summary_Products!AE98)</f>
        <v/>
      </c>
      <c r="AG114" s="615" t="str">
        <f>IF(Summary_Products!AF98="","",Summary_Products!AF98)</f>
        <v/>
      </c>
      <c r="AH114" s="615" t="str">
        <f>IF(Summary_Products!AG98="","",Summary_Products!AG98)</f>
        <v/>
      </c>
      <c r="AI114" s="615" t="str">
        <f>IF(Summary_Products!AH98="","",Summary_Products!AH98)</f>
        <v/>
      </c>
      <c r="AJ114" s="615" t="str">
        <f>IF(Summary_Products!AI98="","",Summary_Products!AI98)</f>
        <v/>
      </c>
      <c r="AK114" s="615" t="str">
        <f>IF(Summary_Products!AJ98="","",Summary_Products!AJ98)</f>
        <v/>
      </c>
      <c r="AL114" s="615" t="str">
        <f>IF(Summary_Products!AK98="","",Summary_Products!AK98)</f>
        <v/>
      </c>
      <c r="AM114" s="421" t="str">
        <f>IF(Summary_Products!AL98="","",INDEX(Translations!$C:$C,MATCH(Summary_Products!AL98,Translations!$B:$B,0)))</f>
        <v/>
      </c>
      <c r="AN114" s="615" t="str">
        <f>IF(Summary_Products!AM98="","",Summary_Products!AM98)</f>
        <v/>
      </c>
      <c r="AO114" s="473" t="str">
        <f>IF(Summary_Products!AN98="","",Summary_Products!AN98)</f>
        <v/>
      </c>
      <c r="AP114" s="474" t="str">
        <f>IF(Summary_Products!AO98="","",Summary_Products!AO98)</f>
        <v/>
      </c>
      <c r="AQ114" s="160" t="str">
        <f>IF(Summary_Products!AP98="","",Summary_Products!AP98)</f>
        <v/>
      </c>
      <c r="AR114" s="477" t="str">
        <f>IF(Summary_Products!AR98="","",Summary_Products!AR98)</f>
        <v/>
      </c>
      <c r="AS114" s="474" t="str">
        <f>IF(Summary_Products!AS98="","",Summary_Products!AS98)</f>
        <v/>
      </c>
      <c r="AT114" s="421" t="str">
        <f>IF(Summary_Products!AT98="","",INDEX(Translations!$C:$C,MATCH(Summary_Products!AT98,Translations!$B:$B,0)))</f>
        <v/>
      </c>
      <c r="AU114" s="615" t="str">
        <f>IF(Summary_Products!AU98="","",Summary_Products!AU98)</f>
        <v/>
      </c>
      <c r="AV114" s="473" t="str">
        <f>IF(Summary_Products!AV98="","",Summary_Products!AV98)</f>
        <v/>
      </c>
      <c r="AW114" s="474" t="str">
        <f>IF(Summary_Products!AW98="","",Summary_Products!AW98)</f>
        <v/>
      </c>
      <c r="AX114" s="477" t="str">
        <f>IF(Summary_Products!AX98="","",Summary_Products!AX98)</f>
        <v/>
      </c>
      <c r="AY114" s="474" t="str">
        <f>IF(Summary_Products!AY98="","",Summary_Products!AY98)</f>
        <v/>
      </c>
      <c r="AZ114" s="477" t="str">
        <f>IF(Summary_Products!AZ98="","",Summary_Products!AZ98)</f>
        <v/>
      </c>
      <c r="BA114" s="478" t="str">
        <f>IF(Summary_Products!BA98="","",Summary_Products!BA98)</f>
        <v/>
      </c>
      <c r="BD114" s="156"/>
      <c r="BE114" s="156"/>
      <c r="BF114" s="156"/>
      <c r="BG114" s="156"/>
    </row>
    <row r="115" spans="1:59" ht="12.5" x14ac:dyDescent="0.25">
      <c r="B115" s="277"/>
      <c r="C115" s="777">
        <v>90</v>
      </c>
      <c r="D115" s="766" t="str">
        <f>IF(Summary_Products!D99="","",Summary_Products!D99)</f>
        <v/>
      </c>
      <c r="E115" s="421" t="str">
        <f>IF(Summary_Products!E99="","",INDEX(Translations!$C:$C,MATCH(Summary_Products!E99,Translations!$B:$B,0)))</f>
        <v/>
      </c>
      <c r="F115" s="781" t="str">
        <f>IF(Summary_Products!F99="","",Summary_Products!F99)</f>
        <v/>
      </c>
      <c r="G115" s="766" t="str">
        <f>IF(F115="","",INDEX(Parameters_CNCodes!$H$4:$H$572,MATCH(F115,CNCodes_ListKey,0)))</f>
        <v/>
      </c>
      <c r="H115" s="766" t="str">
        <f>IF(Summary_Products!H99="","",Summary_Products!H99)</f>
        <v/>
      </c>
      <c r="I115" s="782" t="str">
        <f>IF(Summary_Products!I99="","",Summary_Products!I99)</f>
        <v/>
      </c>
      <c r="J115" s="782" t="str">
        <f>IF(Summary_Products!J99="","",Summary_Products!J99)</f>
        <v/>
      </c>
      <c r="K115" s="782" t="str">
        <f>IF(Summary_Products!K99="","",Summary_Products!K99)</f>
        <v/>
      </c>
      <c r="L115" s="782" t="str">
        <f>IF(Summary_Products!L99="","",Summary_Products!L99)</f>
        <v/>
      </c>
      <c r="M115" s="783" t="str">
        <f>IF(Summary_Products!M99="","",Summary_Products!M99)</f>
        <v/>
      </c>
      <c r="N115" s="782" t="str">
        <f>IF(Summary_Products!N99="","",Summary_Products!N99)</f>
        <v/>
      </c>
      <c r="O115" s="782" t="str">
        <f>IF(Summary_Products!O99="","",Summary_Products!O99)</f>
        <v/>
      </c>
      <c r="P115" s="782" t="str">
        <f t="shared" si="1"/>
        <v/>
      </c>
      <c r="Q115" s="160" t="str">
        <f>IF(Summary_Products!P99="","",INDEX(Translations!$C:$C,MATCH(Summary_Products!P99,Translations!$B:$B,0)))</f>
        <v/>
      </c>
      <c r="R115" s="160" t="str">
        <f>IF(Summary_Products!Q99="","",Summary_Products!Q99)</f>
        <v/>
      </c>
      <c r="S115" s="615" t="str">
        <f>IF(Summary_Products!R99="","",Summary_Products!R99)</f>
        <v/>
      </c>
      <c r="T115" s="615" t="str">
        <f>IF(Summary_Products!S99="","",Summary_Products!S99)</f>
        <v/>
      </c>
      <c r="U115" s="615" t="str">
        <f>IF(Summary_Products!T99="","",Summary_Products!T99)</f>
        <v/>
      </c>
      <c r="V115" s="615" t="str">
        <f>IF(Summary_Products!U99="","",Summary_Products!U99)</f>
        <v/>
      </c>
      <c r="W115" s="615" t="str">
        <f>IF(Summary_Products!V99="","",Summary_Products!V99)</f>
        <v/>
      </c>
      <c r="X115" s="615" t="str">
        <f>IF(Summary_Products!W99="","",Summary_Products!W99)</f>
        <v/>
      </c>
      <c r="Y115" s="615" t="str">
        <f>IF(Summary_Products!X99="","",Summary_Products!X99)</f>
        <v/>
      </c>
      <c r="Z115" s="615" t="str">
        <f>IF(Summary_Products!Y99="","",Summary_Products!Y99)</f>
        <v/>
      </c>
      <c r="AA115" s="615" t="str">
        <f>IF(Summary_Products!Z99="","",Summary_Products!Z99)</f>
        <v/>
      </c>
      <c r="AB115" s="615" t="str">
        <f>IF(Summary_Products!AA99="","",Summary_Products!AA99)</f>
        <v/>
      </c>
      <c r="AC115" s="615" t="str">
        <f>IF(Summary_Products!AB99="","",Summary_Products!AB99)</f>
        <v/>
      </c>
      <c r="AD115" s="615" t="str">
        <f>IF(Summary_Products!AC99="","",Summary_Products!AC99)</f>
        <v/>
      </c>
      <c r="AE115" s="615" t="str">
        <f>IF(Summary_Products!AD99="","",Summary_Products!AD99)</f>
        <v/>
      </c>
      <c r="AF115" s="615" t="str">
        <f>IF(Summary_Products!AE99="","",Summary_Products!AE99)</f>
        <v/>
      </c>
      <c r="AG115" s="615" t="str">
        <f>IF(Summary_Products!AF99="","",Summary_Products!AF99)</f>
        <v/>
      </c>
      <c r="AH115" s="615" t="str">
        <f>IF(Summary_Products!AG99="","",Summary_Products!AG99)</f>
        <v/>
      </c>
      <c r="AI115" s="615" t="str">
        <f>IF(Summary_Products!AH99="","",Summary_Products!AH99)</f>
        <v/>
      </c>
      <c r="AJ115" s="615" t="str">
        <f>IF(Summary_Products!AI99="","",Summary_Products!AI99)</f>
        <v/>
      </c>
      <c r="AK115" s="615" t="str">
        <f>IF(Summary_Products!AJ99="","",Summary_Products!AJ99)</f>
        <v/>
      </c>
      <c r="AL115" s="615" t="str">
        <f>IF(Summary_Products!AK99="","",Summary_Products!AK99)</f>
        <v/>
      </c>
      <c r="AM115" s="421" t="str">
        <f>IF(Summary_Products!AL99="","",INDEX(Translations!$C:$C,MATCH(Summary_Products!AL99,Translations!$B:$B,0)))</f>
        <v/>
      </c>
      <c r="AN115" s="615" t="str">
        <f>IF(Summary_Products!AM99="","",Summary_Products!AM99)</f>
        <v/>
      </c>
      <c r="AO115" s="473" t="str">
        <f>IF(Summary_Products!AN99="","",Summary_Products!AN99)</f>
        <v/>
      </c>
      <c r="AP115" s="474" t="str">
        <f>IF(Summary_Products!AO99="","",Summary_Products!AO99)</f>
        <v/>
      </c>
      <c r="AQ115" s="160" t="str">
        <f>IF(Summary_Products!AP99="","",Summary_Products!AP99)</f>
        <v/>
      </c>
      <c r="AR115" s="477" t="str">
        <f>IF(Summary_Products!AR99="","",Summary_Products!AR99)</f>
        <v/>
      </c>
      <c r="AS115" s="474" t="str">
        <f>IF(Summary_Products!AS99="","",Summary_Products!AS99)</f>
        <v/>
      </c>
      <c r="AT115" s="421" t="str">
        <f>IF(Summary_Products!AT99="","",INDEX(Translations!$C:$C,MATCH(Summary_Products!AT99,Translations!$B:$B,0)))</f>
        <v/>
      </c>
      <c r="AU115" s="615" t="str">
        <f>IF(Summary_Products!AU99="","",Summary_Products!AU99)</f>
        <v/>
      </c>
      <c r="AV115" s="473" t="str">
        <f>IF(Summary_Products!AV99="","",Summary_Products!AV99)</f>
        <v/>
      </c>
      <c r="AW115" s="474" t="str">
        <f>IF(Summary_Products!AW99="","",Summary_Products!AW99)</f>
        <v/>
      </c>
      <c r="AX115" s="477" t="str">
        <f>IF(Summary_Products!AX99="","",Summary_Products!AX99)</f>
        <v/>
      </c>
      <c r="AY115" s="474" t="str">
        <f>IF(Summary_Products!AY99="","",Summary_Products!AY99)</f>
        <v/>
      </c>
      <c r="AZ115" s="477" t="str">
        <f>IF(Summary_Products!AZ99="","",Summary_Products!AZ99)</f>
        <v/>
      </c>
      <c r="BA115" s="478" t="str">
        <f>IF(Summary_Products!BA99="","",Summary_Products!BA99)</f>
        <v/>
      </c>
      <c r="BD115" s="156"/>
      <c r="BE115" s="156"/>
      <c r="BF115" s="156"/>
      <c r="BG115" s="156"/>
    </row>
    <row r="116" spans="1:59" ht="12.5" x14ac:dyDescent="0.25">
      <c r="B116" s="277"/>
      <c r="C116" s="777">
        <v>91</v>
      </c>
      <c r="D116" s="766" t="str">
        <f>IF(Summary_Products!D100="","",Summary_Products!D100)</f>
        <v/>
      </c>
      <c r="E116" s="421" t="str">
        <f>IF(Summary_Products!E100="","",INDEX(Translations!$C:$C,MATCH(Summary_Products!E100,Translations!$B:$B,0)))</f>
        <v/>
      </c>
      <c r="F116" s="781" t="str">
        <f>IF(Summary_Products!F100="","",Summary_Products!F100)</f>
        <v/>
      </c>
      <c r="G116" s="766" t="str">
        <f>IF(F116="","",INDEX(Parameters_CNCodes!$H$4:$H$572,MATCH(F116,CNCodes_ListKey,0)))</f>
        <v/>
      </c>
      <c r="H116" s="766" t="str">
        <f>IF(Summary_Products!H100="","",Summary_Products!H100)</f>
        <v/>
      </c>
      <c r="I116" s="782" t="str">
        <f>IF(Summary_Products!I100="","",Summary_Products!I100)</f>
        <v/>
      </c>
      <c r="J116" s="782" t="str">
        <f>IF(Summary_Products!J100="","",Summary_Products!J100)</f>
        <v/>
      </c>
      <c r="K116" s="782" t="str">
        <f>IF(Summary_Products!K100="","",Summary_Products!K100)</f>
        <v/>
      </c>
      <c r="L116" s="782" t="str">
        <f>IF(Summary_Products!L100="","",Summary_Products!L100)</f>
        <v/>
      </c>
      <c r="M116" s="783" t="str">
        <f>IF(Summary_Products!M100="","",Summary_Products!M100)</f>
        <v/>
      </c>
      <c r="N116" s="782" t="str">
        <f>IF(Summary_Products!N100="","",Summary_Products!N100)</f>
        <v/>
      </c>
      <c r="O116" s="782" t="str">
        <f>IF(Summary_Products!O100="","",Summary_Products!O100)</f>
        <v/>
      </c>
      <c r="P116" s="782" t="str">
        <f t="shared" si="1"/>
        <v/>
      </c>
      <c r="Q116" s="160" t="str">
        <f>IF(Summary_Products!P100="","",INDEX(Translations!$C:$C,MATCH(Summary_Products!P100,Translations!$B:$B,0)))</f>
        <v/>
      </c>
      <c r="R116" s="160" t="str">
        <f>IF(Summary_Products!Q100="","",Summary_Products!Q100)</f>
        <v/>
      </c>
      <c r="S116" s="615" t="str">
        <f>IF(Summary_Products!R100="","",Summary_Products!R100)</f>
        <v/>
      </c>
      <c r="T116" s="615" t="str">
        <f>IF(Summary_Products!S100="","",Summary_Products!S100)</f>
        <v/>
      </c>
      <c r="U116" s="615" t="str">
        <f>IF(Summary_Products!T100="","",Summary_Products!T100)</f>
        <v/>
      </c>
      <c r="V116" s="615" t="str">
        <f>IF(Summary_Products!U100="","",Summary_Products!U100)</f>
        <v/>
      </c>
      <c r="W116" s="615" t="str">
        <f>IF(Summary_Products!V100="","",Summary_Products!V100)</f>
        <v/>
      </c>
      <c r="X116" s="615" t="str">
        <f>IF(Summary_Products!W100="","",Summary_Products!W100)</f>
        <v/>
      </c>
      <c r="Y116" s="615" t="str">
        <f>IF(Summary_Products!X100="","",Summary_Products!X100)</f>
        <v/>
      </c>
      <c r="Z116" s="615" t="str">
        <f>IF(Summary_Products!Y100="","",Summary_Products!Y100)</f>
        <v/>
      </c>
      <c r="AA116" s="615" t="str">
        <f>IF(Summary_Products!Z100="","",Summary_Products!Z100)</f>
        <v/>
      </c>
      <c r="AB116" s="615" t="str">
        <f>IF(Summary_Products!AA100="","",Summary_Products!AA100)</f>
        <v/>
      </c>
      <c r="AC116" s="615" t="str">
        <f>IF(Summary_Products!AB100="","",Summary_Products!AB100)</f>
        <v/>
      </c>
      <c r="AD116" s="615" t="str">
        <f>IF(Summary_Products!AC100="","",Summary_Products!AC100)</f>
        <v/>
      </c>
      <c r="AE116" s="615" t="str">
        <f>IF(Summary_Products!AD100="","",Summary_Products!AD100)</f>
        <v/>
      </c>
      <c r="AF116" s="615" t="str">
        <f>IF(Summary_Products!AE100="","",Summary_Products!AE100)</f>
        <v/>
      </c>
      <c r="AG116" s="615" t="str">
        <f>IF(Summary_Products!AF100="","",Summary_Products!AF100)</f>
        <v/>
      </c>
      <c r="AH116" s="615" t="str">
        <f>IF(Summary_Products!AG100="","",Summary_Products!AG100)</f>
        <v/>
      </c>
      <c r="AI116" s="615" t="str">
        <f>IF(Summary_Products!AH100="","",Summary_Products!AH100)</f>
        <v/>
      </c>
      <c r="AJ116" s="615" t="str">
        <f>IF(Summary_Products!AI100="","",Summary_Products!AI100)</f>
        <v/>
      </c>
      <c r="AK116" s="615" t="str">
        <f>IF(Summary_Products!AJ100="","",Summary_Products!AJ100)</f>
        <v/>
      </c>
      <c r="AL116" s="615" t="str">
        <f>IF(Summary_Products!AK100="","",Summary_Products!AK100)</f>
        <v/>
      </c>
      <c r="AM116" s="421" t="str">
        <f>IF(Summary_Products!AL100="","",INDEX(Translations!$C:$C,MATCH(Summary_Products!AL100,Translations!$B:$B,0)))</f>
        <v/>
      </c>
      <c r="AN116" s="615" t="str">
        <f>IF(Summary_Products!AM100="","",Summary_Products!AM100)</f>
        <v/>
      </c>
      <c r="AO116" s="473" t="str">
        <f>IF(Summary_Products!AN100="","",Summary_Products!AN100)</f>
        <v/>
      </c>
      <c r="AP116" s="474" t="str">
        <f>IF(Summary_Products!AO100="","",Summary_Products!AO100)</f>
        <v/>
      </c>
      <c r="AQ116" s="160" t="str">
        <f>IF(Summary_Products!AP100="","",Summary_Products!AP100)</f>
        <v/>
      </c>
      <c r="AR116" s="477" t="str">
        <f>IF(Summary_Products!AR100="","",Summary_Products!AR100)</f>
        <v/>
      </c>
      <c r="AS116" s="474" t="str">
        <f>IF(Summary_Products!AS100="","",Summary_Products!AS100)</f>
        <v/>
      </c>
      <c r="AT116" s="421" t="str">
        <f>IF(Summary_Products!AT100="","",INDEX(Translations!$C:$C,MATCH(Summary_Products!AT100,Translations!$B:$B,0)))</f>
        <v/>
      </c>
      <c r="AU116" s="615" t="str">
        <f>IF(Summary_Products!AU100="","",Summary_Products!AU100)</f>
        <v/>
      </c>
      <c r="AV116" s="473" t="str">
        <f>IF(Summary_Products!AV100="","",Summary_Products!AV100)</f>
        <v/>
      </c>
      <c r="AW116" s="474" t="str">
        <f>IF(Summary_Products!AW100="","",Summary_Products!AW100)</f>
        <v/>
      </c>
      <c r="AX116" s="477" t="str">
        <f>IF(Summary_Products!AX100="","",Summary_Products!AX100)</f>
        <v/>
      </c>
      <c r="AY116" s="474" t="str">
        <f>IF(Summary_Products!AY100="","",Summary_Products!AY100)</f>
        <v/>
      </c>
      <c r="AZ116" s="477" t="str">
        <f>IF(Summary_Products!AZ100="","",Summary_Products!AZ100)</f>
        <v/>
      </c>
      <c r="BA116" s="478" t="str">
        <f>IF(Summary_Products!BA100="","",Summary_Products!BA100)</f>
        <v/>
      </c>
      <c r="BD116" s="156"/>
      <c r="BE116" s="156"/>
      <c r="BF116" s="156"/>
      <c r="BG116" s="156"/>
    </row>
    <row r="117" spans="1:59" ht="12.5" x14ac:dyDescent="0.25">
      <c r="B117" s="277"/>
      <c r="C117" s="777">
        <v>92</v>
      </c>
      <c r="D117" s="766" t="str">
        <f>IF(Summary_Products!D101="","",Summary_Products!D101)</f>
        <v/>
      </c>
      <c r="E117" s="421" t="str">
        <f>IF(Summary_Products!E101="","",INDEX(Translations!$C:$C,MATCH(Summary_Products!E101,Translations!$B:$B,0)))</f>
        <v/>
      </c>
      <c r="F117" s="781" t="str">
        <f>IF(Summary_Products!F101="","",Summary_Products!F101)</f>
        <v/>
      </c>
      <c r="G117" s="766" t="str">
        <f>IF(F117="","",INDEX(Parameters_CNCodes!$H$4:$H$572,MATCH(F117,CNCodes_ListKey,0)))</f>
        <v/>
      </c>
      <c r="H117" s="766" t="str">
        <f>IF(Summary_Products!H101="","",Summary_Products!H101)</f>
        <v/>
      </c>
      <c r="I117" s="782" t="str">
        <f>IF(Summary_Products!I101="","",Summary_Products!I101)</f>
        <v/>
      </c>
      <c r="J117" s="782" t="str">
        <f>IF(Summary_Products!J101="","",Summary_Products!J101)</f>
        <v/>
      </c>
      <c r="K117" s="782" t="str">
        <f>IF(Summary_Products!K101="","",Summary_Products!K101)</f>
        <v/>
      </c>
      <c r="L117" s="782" t="str">
        <f>IF(Summary_Products!L101="","",Summary_Products!L101)</f>
        <v/>
      </c>
      <c r="M117" s="783" t="str">
        <f>IF(Summary_Products!M101="","",Summary_Products!M101)</f>
        <v/>
      </c>
      <c r="N117" s="782" t="str">
        <f>IF(Summary_Products!N101="","",Summary_Products!N101)</f>
        <v/>
      </c>
      <c r="O117" s="782" t="str">
        <f>IF(Summary_Products!O101="","",Summary_Products!O101)</f>
        <v/>
      </c>
      <c r="P117" s="782" t="str">
        <f t="shared" si="1"/>
        <v/>
      </c>
      <c r="Q117" s="160" t="str">
        <f>IF(Summary_Products!P101="","",INDEX(Translations!$C:$C,MATCH(Summary_Products!P101,Translations!$B:$B,0)))</f>
        <v/>
      </c>
      <c r="R117" s="160" t="str">
        <f>IF(Summary_Products!Q101="","",Summary_Products!Q101)</f>
        <v/>
      </c>
      <c r="S117" s="615" t="str">
        <f>IF(Summary_Products!R101="","",Summary_Products!R101)</f>
        <v/>
      </c>
      <c r="T117" s="615" t="str">
        <f>IF(Summary_Products!S101="","",Summary_Products!S101)</f>
        <v/>
      </c>
      <c r="U117" s="615" t="str">
        <f>IF(Summary_Products!T101="","",Summary_Products!T101)</f>
        <v/>
      </c>
      <c r="V117" s="615" t="str">
        <f>IF(Summary_Products!U101="","",Summary_Products!U101)</f>
        <v/>
      </c>
      <c r="W117" s="615" t="str">
        <f>IF(Summary_Products!V101="","",Summary_Products!V101)</f>
        <v/>
      </c>
      <c r="X117" s="615" t="str">
        <f>IF(Summary_Products!W101="","",Summary_Products!W101)</f>
        <v/>
      </c>
      <c r="Y117" s="615" t="str">
        <f>IF(Summary_Products!X101="","",Summary_Products!X101)</f>
        <v/>
      </c>
      <c r="Z117" s="615" t="str">
        <f>IF(Summary_Products!Y101="","",Summary_Products!Y101)</f>
        <v/>
      </c>
      <c r="AA117" s="615" t="str">
        <f>IF(Summary_Products!Z101="","",Summary_Products!Z101)</f>
        <v/>
      </c>
      <c r="AB117" s="615" t="str">
        <f>IF(Summary_Products!AA101="","",Summary_Products!AA101)</f>
        <v/>
      </c>
      <c r="AC117" s="615" t="str">
        <f>IF(Summary_Products!AB101="","",Summary_Products!AB101)</f>
        <v/>
      </c>
      <c r="AD117" s="615" t="str">
        <f>IF(Summary_Products!AC101="","",Summary_Products!AC101)</f>
        <v/>
      </c>
      <c r="AE117" s="615" t="str">
        <f>IF(Summary_Products!AD101="","",Summary_Products!AD101)</f>
        <v/>
      </c>
      <c r="AF117" s="615" t="str">
        <f>IF(Summary_Products!AE101="","",Summary_Products!AE101)</f>
        <v/>
      </c>
      <c r="AG117" s="615" t="str">
        <f>IF(Summary_Products!AF101="","",Summary_Products!AF101)</f>
        <v/>
      </c>
      <c r="AH117" s="615" t="str">
        <f>IF(Summary_Products!AG101="","",Summary_Products!AG101)</f>
        <v/>
      </c>
      <c r="AI117" s="615" t="str">
        <f>IF(Summary_Products!AH101="","",Summary_Products!AH101)</f>
        <v/>
      </c>
      <c r="AJ117" s="615" t="str">
        <f>IF(Summary_Products!AI101="","",Summary_Products!AI101)</f>
        <v/>
      </c>
      <c r="AK117" s="615" t="str">
        <f>IF(Summary_Products!AJ101="","",Summary_Products!AJ101)</f>
        <v/>
      </c>
      <c r="AL117" s="615" t="str">
        <f>IF(Summary_Products!AK101="","",Summary_Products!AK101)</f>
        <v/>
      </c>
      <c r="AM117" s="421" t="str">
        <f>IF(Summary_Products!AL101="","",INDEX(Translations!$C:$C,MATCH(Summary_Products!AL101,Translations!$B:$B,0)))</f>
        <v/>
      </c>
      <c r="AN117" s="615" t="str">
        <f>IF(Summary_Products!AM101="","",Summary_Products!AM101)</f>
        <v/>
      </c>
      <c r="AO117" s="473" t="str">
        <f>IF(Summary_Products!AN101="","",Summary_Products!AN101)</f>
        <v/>
      </c>
      <c r="AP117" s="474" t="str">
        <f>IF(Summary_Products!AO101="","",Summary_Products!AO101)</f>
        <v/>
      </c>
      <c r="AQ117" s="160" t="str">
        <f>IF(Summary_Products!AP101="","",Summary_Products!AP101)</f>
        <v/>
      </c>
      <c r="AR117" s="477" t="str">
        <f>IF(Summary_Products!AR101="","",Summary_Products!AR101)</f>
        <v/>
      </c>
      <c r="AS117" s="474" t="str">
        <f>IF(Summary_Products!AS101="","",Summary_Products!AS101)</f>
        <v/>
      </c>
      <c r="AT117" s="421" t="str">
        <f>IF(Summary_Products!AT101="","",INDEX(Translations!$C:$C,MATCH(Summary_Products!AT101,Translations!$B:$B,0)))</f>
        <v/>
      </c>
      <c r="AU117" s="615" t="str">
        <f>IF(Summary_Products!AU101="","",Summary_Products!AU101)</f>
        <v/>
      </c>
      <c r="AV117" s="473" t="str">
        <f>IF(Summary_Products!AV101="","",Summary_Products!AV101)</f>
        <v/>
      </c>
      <c r="AW117" s="474" t="str">
        <f>IF(Summary_Products!AW101="","",Summary_Products!AW101)</f>
        <v/>
      </c>
      <c r="AX117" s="477" t="str">
        <f>IF(Summary_Products!AX101="","",Summary_Products!AX101)</f>
        <v/>
      </c>
      <c r="AY117" s="474" t="str">
        <f>IF(Summary_Products!AY101="","",Summary_Products!AY101)</f>
        <v/>
      </c>
      <c r="AZ117" s="477" t="str">
        <f>IF(Summary_Products!AZ101="","",Summary_Products!AZ101)</f>
        <v/>
      </c>
      <c r="BA117" s="478" t="str">
        <f>IF(Summary_Products!BA101="","",Summary_Products!BA101)</f>
        <v/>
      </c>
      <c r="BD117" s="156"/>
      <c r="BE117" s="156"/>
      <c r="BF117" s="156"/>
      <c r="BG117" s="156"/>
    </row>
    <row r="118" spans="1:59" ht="12.5" x14ac:dyDescent="0.25">
      <c r="B118" s="277"/>
      <c r="C118" s="777">
        <v>93</v>
      </c>
      <c r="D118" s="766" t="str">
        <f>IF(Summary_Products!D102="","",Summary_Products!D102)</f>
        <v/>
      </c>
      <c r="E118" s="421" t="str">
        <f>IF(Summary_Products!E102="","",INDEX(Translations!$C:$C,MATCH(Summary_Products!E102,Translations!$B:$B,0)))</f>
        <v/>
      </c>
      <c r="F118" s="781" t="str">
        <f>IF(Summary_Products!F102="","",Summary_Products!F102)</f>
        <v/>
      </c>
      <c r="G118" s="766" t="str">
        <f>IF(F118="","",INDEX(Parameters_CNCodes!$H$4:$H$572,MATCH(F118,CNCodes_ListKey,0)))</f>
        <v/>
      </c>
      <c r="H118" s="766" t="str">
        <f>IF(Summary_Products!H102="","",Summary_Products!H102)</f>
        <v/>
      </c>
      <c r="I118" s="782" t="str">
        <f>IF(Summary_Products!I102="","",Summary_Products!I102)</f>
        <v/>
      </c>
      <c r="J118" s="782" t="str">
        <f>IF(Summary_Products!J102="","",Summary_Products!J102)</f>
        <v/>
      </c>
      <c r="K118" s="782" t="str">
        <f>IF(Summary_Products!K102="","",Summary_Products!K102)</f>
        <v/>
      </c>
      <c r="L118" s="782" t="str">
        <f>IF(Summary_Products!L102="","",Summary_Products!L102)</f>
        <v/>
      </c>
      <c r="M118" s="783" t="str">
        <f>IF(Summary_Products!M102="","",Summary_Products!M102)</f>
        <v/>
      </c>
      <c r="N118" s="782" t="str">
        <f>IF(Summary_Products!N102="","",Summary_Products!N102)</f>
        <v/>
      </c>
      <c r="O118" s="782" t="str">
        <f>IF(Summary_Products!O102="","",Summary_Products!O102)</f>
        <v/>
      </c>
      <c r="P118" s="782" t="str">
        <f t="shared" si="1"/>
        <v/>
      </c>
      <c r="Q118" s="160" t="str">
        <f>IF(Summary_Products!P102="","",INDEX(Translations!$C:$C,MATCH(Summary_Products!P102,Translations!$B:$B,0)))</f>
        <v/>
      </c>
      <c r="R118" s="160" t="str">
        <f>IF(Summary_Products!Q102="","",Summary_Products!Q102)</f>
        <v/>
      </c>
      <c r="S118" s="615" t="str">
        <f>IF(Summary_Products!R102="","",Summary_Products!R102)</f>
        <v/>
      </c>
      <c r="T118" s="615" t="str">
        <f>IF(Summary_Products!S102="","",Summary_Products!S102)</f>
        <v/>
      </c>
      <c r="U118" s="615" t="str">
        <f>IF(Summary_Products!T102="","",Summary_Products!T102)</f>
        <v/>
      </c>
      <c r="V118" s="615" t="str">
        <f>IF(Summary_Products!U102="","",Summary_Products!U102)</f>
        <v/>
      </c>
      <c r="W118" s="615" t="str">
        <f>IF(Summary_Products!V102="","",Summary_Products!V102)</f>
        <v/>
      </c>
      <c r="X118" s="615" t="str">
        <f>IF(Summary_Products!W102="","",Summary_Products!W102)</f>
        <v/>
      </c>
      <c r="Y118" s="615" t="str">
        <f>IF(Summary_Products!X102="","",Summary_Products!X102)</f>
        <v/>
      </c>
      <c r="Z118" s="615" t="str">
        <f>IF(Summary_Products!Y102="","",Summary_Products!Y102)</f>
        <v/>
      </c>
      <c r="AA118" s="615" t="str">
        <f>IF(Summary_Products!Z102="","",Summary_Products!Z102)</f>
        <v/>
      </c>
      <c r="AB118" s="615" t="str">
        <f>IF(Summary_Products!AA102="","",Summary_Products!AA102)</f>
        <v/>
      </c>
      <c r="AC118" s="615" t="str">
        <f>IF(Summary_Products!AB102="","",Summary_Products!AB102)</f>
        <v/>
      </c>
      <c r="AD118" s="615" t="str">
        <f>IF(Summary_Products!AC102="","",Summary_Products!AC102)</f>
        <v/>
      </c>
      <c r="AE118" s="615" t="str">
        <f>IF(Summary_Products!AD102="","",Summary_Products!AD102)</f>
        <v/>
      </c>
      <c r="AF118" s="615" t="str">
        <f>IF(Summary_Products!AE102="","",Summary_Products!AE102)</f>
        <v/>
      </c>
      <c r="AG118" s="615" t="str">
        <f>IF(Summary_Products!AF102="","",Summary_Products!AF102)</f>
        <v/>
      </c>
      <c r="AH118" s="615" t="str">
        <f>IF(Summary_Products!AG102="","",Summary_Products!AG102)</f>
        <v/>
      </c>
      <c r="AI118" s="615" t="str">
        <f>IF(Summary_Products!AH102="","",Summary_Products!AH102)</f>
        <v/>
      </c>
      <c r="AJ118" s="615" t="str">
        <f>IF(Summary_Products!AI102="","",Summary_Products!AI102)</f>
        <v/>
      </c>
      <c r="AK118" s="615" t="str">
        <f>IF(Summary_Products!AJ102="","",Summary_Products!AJ102)</f>
        <v/>
      </c>
      <c r="AL118" s="615" t="str">
        <f>IF(Summary_Products!AK102="","",Summary_Products!AK102)</f>
        <v/>
      </c>
      <c r="AM118" s="421" t="str">
        <f>IF(Summary_Products!AL102="","",INDEX(Translations!$C:$C,MATCH(Summary_Products!AL102,Translations!$B:$B,0)))</f>
        <v/>
      </c>
      <c r="AN118" s="615" t="str">
        <f>IF(Summary_Products!AM102="","",Summary_Products!AM102)</f>
        <v/>
      </c>
      <c r="AO118" s="473" t="str">
        <f>IF(Summary_Products!AN102="","",Summary_Products!AN102)</f>
        <v/>
      </c>
      <c r="AP118" s="474" t="str">
        <f>IF(Summary_Products!AO102="","",Summary_Products!AO102)</f>
        <v/>
      </c>
      <c r="AQ118" s="160" t="str">
        <f>IF(Summary_Products!AP102="","",Summary_Products!AP102)</f>
        <v/>
      </c>
      <c r="AR118" s="477" t="str">
        <f>IF(Summary_Products!AR102="","",Summary_Products!AR102)</f>
        <v/>
      </c>
      <c r="AS118" s="474" t="str">
        <f>IF(Summary_Products!AS102="","",Summary_Products!AS102)</f>
        <v/>
      </c>
      <c r="AT118" s="421" t="str">
        <f>IF(Summary_Products!AT102="","",INDEX(Translations!$C:$C,MATCH(Summary_Products!AT102,Translations!$B:$B,0)))</f>
        <v/>
      </c>
      <c r="AU118" s="615" t="str">
        <f>IF(Summary_Products!AU102="","",Summary_Products!AU102)</f>
        <v/>
      </c>
      <c r="AV118" s="473" t="str">
        <f>IF(Summary_Products!AV102="","",Summary_Products!AV102)</f>
        <v/>
      </c>
      <c r="AW118" s="474" t="str">
        <f>IF(Summary_Products!AW102="","",Summary_Products!AW102)</f>
        <v/>
      </c>
      <c r="AX118" s="477" t="str">
        <f>IF(Summary_Products!AX102="","",Summary_Products!AX102)</f>
        <v/>
      </c>
      <c r="AY118" s="474" t="str">
        <f>IF(Summary_Products!AY102="","",Summary_Products!AY102)</f>
        <v/>
      </c>
      <c r="AZ118" s="477" t="str">
        <f>IF(Summary_Products!AZ102="","",Summary_Products!AZ102)</f>
        <v/>
      </c>
      <c r="BA118" s="478" t="str">
        <f>IF(Summary_Products!BA102="","",Summary_Products!BA102)</f>
        <v/>
      </c>
      <c r="BD118" s="156"/>
      <c r="BE118" s="156"/>
      <c r="BF118" s="156"/>
      <c r="BG118" s="156"/>
    </row>
    <row r="119" spans="1:59" ht="12.5" x14ac:dyDescent="0.25">
      <c r="B119" s="277"/>
      <c r="C119" s="777">
        <v>94</v>
      </c>
      <c r="D119" s="766" t="str">
        <f>IF(Summary_Products!D103="","",Summary_Products!D103)</f>
        <v/>
      </c>
      <c r="E119" s="421" t="str">
        <f>IF(Summary_Products!E103="","",INDEX(Translations!$C:$C,MATCH(Summary_Products!E103,Translations!$B:$B,0)))</f>
        <v/>
      </c>
      <c r="F119" s="781" t="str">
        <f>IF(Summary_Products!F103="","",Summary_Products!F103)</f>
        <v/>
      </c>
      <c r="G119" s="766" t="str">
        <f>IF(F119="","",INDEX(Parameters_CNCodes!$H$4:$H$572,MATCH(F119,CNCodes_ListKey,0)))</f>
        <v/>
      </c>
      <c r="H119" s="766" t="str">
        <f>IF(Summary_Products!H103="","",Summary_Products!H103)</f>
        <v/>
      </c>
      <c r="I119" s="782" t="str">
        <f>IF(Summary_Products!I103="","",Summary_Products!I103)</f>
        <v/>
      </c>
      <c r="J119" s="782" t="str">
        <f>IF(Summary_Products!J103="","",Summary_Products!J103)</f>
        <v/>
      </c>
      <c r="K119" s="782" t="str">
        <f>IF(Summary_Products!K103="","",Summary_Products!K103)</f>
        <v/>
      </c>
      <c r="L119" s="782" t="str">
        <f>IF(Summary_Products!L103="","",Summary_Products!L103)</f>
        <v/>
      </c>
      <c r="M119" s="783" t="str">
        <f>IF(Summary_Products!M103="","",Summary_Products!M103)</f>
        <v/>
      </c>
      <c r="N119" s="782" t="str">
        <f>IF(Summary_Products!N103="","",Summary_Products!N103)</f>
        <v/>
      </c>
      <c r="O119" s="782" t="str">
        <f>IF(Summary_Products!O103="","",Summary_Products!O103)</f>
        <v/>
      </c>
      <c r="P119" s="782" t="str">
        <f t="shared" si="1"/>
        <v/>
      </c>
      <c r="Q119" s="160" t="str">
        <f>IF(Summary_Products!P103="","",INDEX(Translations!$C:$C,MATCH(Summary_Products!P103,Translations!$B:$B,0)))</f>
        <v/>
      </c>
      <c r="R119" s="160" t="str">
        <f>IF(Summary_Products!Q103="","",Summary_Products!Q103)</f>
        <v/>
      </c>
      <c r="S119" s="615" t="str">
        <f>IF(Summary_Products!R103="","",Summary_Products!R103)</f>
        <v/>
      </c>
      <c r="T119" s="615" t="str">
        <f>IF(Summary_Products!S103="","",Summary_Products!S103)</f>
        <v/>
      </c>
      <c r="U119" s="615" t="str">
        <f>IF(Summary_Products!T103="","",Summary_Products!T103)</f>
        <v/>
      </c>
      <c r="V119" s="615" t="str">
        <f>IF(Summary_Products!U103="","",Summary_Products!U103)</f>
        <v/>
      </c>
      <c r="W119" s="615" t="str">
        <f>IF(Summary_Products!V103="","",Summary_Products!V103)</f>
        <v/>
      </c>
      <c r="X119" s="615" t="str">
        <f>IF(Summary_Products!W103="","",Summary_Products!W103)</f>
        <v/>
      </c>
      <c r="Y119" s="615" t="str">
        <f>IF(Summary_Products!X103="","",Summary_Products!X103)</f>
        <v/>
      </c>
      <c r="Z119" s="615" t="str">
        <f>IF(Summary_Products!Y103="","",Summary_Products!Y103)</f>
        <v/>
      </c>
      <c r="AA119" s="615" t="str">
        <f>IF(Summary_Products!Z103="","",Summary_Products!Z103)</f>
        <v/>
      </c>
      <c r="AB119" s="615" t="str">
        <f>IF(Summary_Products!AA103="","",Summary_Products!AA103)</f>
        <v/>
      </c>
      <c r="AC119" s="615" t="str">
        <f>IF(Summary_Products!AB103="","",Summary_Products!AB103)</f>
        <v/>
      </c>
      <c r="AD119" s="615" t="str">
        <f>IF(Summary_Products!AC103="","",Summary_Products!AC103)</f>
        <v/>
      </c>
      <c r="AE119" s="615" t="str">
        <f>IF(Summary_Products!AD103="","",Summary_Products!AD103)</f>
        <v/>
      </c>
      <c r="AF119" s="615" t="str">
        <f>IF(Summary_Products!AE103="","",Summary_Products!AE103)</f>
        <v/>
      </c>
      <c r="AG119" s="615" t="str">
        <f>IF(Summary_Products!AF103="","",Summary_Products!AF103)</f>
        <v/>
      </c>
      <c r="AH119" s="615" t="str">
        <f>IF(Summary_Products!AG103="","",Summary_Products!AG103)</f>
        <v/>
      </c>
      <c r="AI119" s="615" t="str">
        <f>IF(Summary_Products!AH103="","",Summary_Products!AH103)</f>
        <v/>
      </c>
      <c r="AJ119" s="615" t="str">
        <f>IF(Summary_Products!AI103="","",Summary_Products!AI103)</f>
        <v/>
      </c>
      <c r="AK119" s="615" t="str">
        <f>IF(Summary_Products!AJ103="","",Summary_Products!AJ103)</f>
        <v/>
      </c>
      <c r="AL119" s="615" t="str">
        <f>IF(Summary_Products!AK103="","",Summary_Products!AK103)</f>
        <v/>
      </c>
      <c r="AM119" s="421" t="str">
        <f>IF(Summary_Products!AL103="","",INDEX(Translations!$C:$C,MATCH(Summary_Products!AL103,Translations!$B:$B,0)))</f>
        <v/>
      </c>
      <c r="AN119" s="615" t="str">
        <f>IF(Summary_Products!AM103="","",Summary_Products!AM103)</f>
        <v/>
      </c>
      <c r="AO119" s="473" t="str">
        <f>IF(Summary_Products!AN103="","",Summary_Products!AN103)</f>
        <v/>
      </c>
      <c r="AP119" s="474" t="str">
        <f>IF(Summary_Products!AO103="","",Summary_Products!AO103)</f>
        <v/>
      </c>
      <c r="AQ119" s="160" t="str">
        <f>IF(Summary_Products!AP103="","",Summary_Products!AP103)</f>
        <v/>
      </c>
      <c r="AR119" s="477" t="str">
        <f>IF(Summary_Products!AR103="","",Summary_Products!AR103)</f>
        <v/>
      </c>
      <c r="AS119" s="474" t="str">
        <f>IF(Summary_Products!AS103="","",Summary_Products!AS103)</f>
        <v/>
      </c>
      <c r="AT119" s="421" t="str">
        <f>IF(Summary_Products!AT103="","",INDEX(Translations!$C:$C,MATCH(Summary_Products!AT103,Translations!$B:$B,0)))</f>
        <v/>
      </c>
      <c r="AU119" s="615" t="str">
        <f>IF(Summary_Products!AU103="","",Summary_Products!AU103)</f>
        <v/>
      </c>
      <c r="AV119" s="473" t="str">
        <f>IF(Summary_Products!AV103="","",Summary_Products!AV103)</f>
        <v/>
      </c>
      <c r="AW119" s="474" t="str">
        <f>IF(Summary_Products!AW103="","",Summary_Products!AW103)</f>
        <v/>
      </c>
      <c r="AX119" s="477" t="str">
        <f>IF(Summary_Products!AX103="","",Summary_Products!AX103)</f>
        <v/>
      </c>
      <c r="AY119" s="474" t="str">
        <f>IF(Summary_Products!AY103="","",Summary_Products!AY103)</f>
        <v/>
      </c>
      <c r="AZ119" s="477" t="str">
        <f>IF(Summary_Products!AZ103="","",Summary_Products!AZ103)</f>
        <v/>
      </c>
      <c r="BA119" s="478" t="str">
        <f>IF(Summary_Products!BA103="","",Summary_Products!BA103)</f>
        <v/>
      </c>
      <c r="BD119" s="156"/>
      <c r="BE119" s="156"/>
      <c r="BF119" s="156"/>
      <c r="BG119" s="156"/>
    </row>
    <row r="120" spans="1:59" ht="12.5" x14ac:dyDescent="0.25">
      <c r="B120" s="277"/>
      <c r="C120" s="777">
        <v>95</v>
      </c>
      <c r="D120" s="766" t="str">
        <f>IF(Summary_Products!D104="","",Summary_Products!D104)</f>
        <v/>
      </c>
      <c r="E120" s="421" t="str">
        <f>IF(Summary_Products!E104="","",INDEX(Translations!$C:$C,MATCH(Summary_Products!E104,Translations!$B:$B,0)))</f>
        <v/>
      </c>
      <c r="F120" s="781" t="str">
        <f>IF(Summary_Products!F104="","",Summary_Products!F104)</f>
        <v/>
      </c>
      <c r="G120" s="766" t="str">
        <f>IF(F120="","",INDEX(Parameters_CNCodes!$H$4:$H$572,MATCH(F120,CNCodes_ListKey,0)))</f>
        <v/>
      </c>
      <c r="H120" s="766" t="str">
        <f>IF(Summary_Products!H104="","",Summary_Products!H104)</f>
        <v/>
      </c>
      <c r="I120" s="782" t="str">
        <f>IF(Summary_Products!I104="","",Summary_Products!I104)</f>
        <v/>
      </c>
      <c r="J120" s="782" t="str">
        <f>IF(Summary_Products!J104="","",Summary_Products!J104)</f>
        <v/>
      </c>
      <c r="K120" s="782" t="str">
        <f>IF(Summary_Products!K104="","",Summary_Products!K104)</f>
        <v/>
      </c>
      <c r="L120" s="782" t="str">
        <f>IF(Summary_Products!L104="","",Summary_Products!L104)</f>
        <v/>
      </c>
      <c r="M120" s="783" t="str">
        <f>IF(Summary_Products!M104="","",Summary_Products!M104)</f>
        <v/>
      </c>
      <c r="N120" s="782" t="str">
        <f>IF(Summary_Products!N104="","",Summary_Products!N104)</f>
        <v/>
      </c>
      <c r="O120" s="782" t="str">
        <f>IF(Summary_Products!O104="","",Summary_Products!O104)</f>
        <v/>
      </c>
      <c r="P120" s="782" t="str">
        <f t="shared" si="1"/>
        <v/>
      </c>
      <c r="Q120" s="160" t="str">
        <f>IF(Summary_Products!P104="","",INDEX(Translations!$C:$C,MATCH(Summary_Products!P104,Translations!$B:$B,0)))</f>
        <v/>
      </c>
      <c r="R120" s="160" t="str">
        <f>IF(Summary_Products!Q104="","",Summary_Products!Q104)</f>
        <v/>
      </c>
      <c r="S120" s="615" t="str">
        <f>IF(Summary_Products!R104="","",Summary_Products!R104)</f>
        <v/>
      </c>
      <c r="T120" s="615" t="str">
        <f>IF(Summary_Products!S104="","",Summary_Products!S104)</f>
        <v/>
      </c>
      <c r="U120" s="615" t="str">
        <f>IF(Summary_Products!T104="","",Summary_Products!T104)</f>
        <v/>
      </c>
      <c r="V120" s="615" t="str">
        <f>IF(Summary_Products!U104="","",Summary_Products!U104)</f>
        <v/>
      </c>
      <c r="W120" s="615" t="str">
        <f>IF(Summary_Products!V104="","",Summary_Products!V104)</f>
        <v/>
      </c>
      <c r="X120" s="615" t="str">
        <f>IF(Summary_Products!W104="","",Summary_Products!W104)</f>
        <v/>
      </c>
      <c r="Y120" s="615" t="str">
        <f>IF(Summary_Products!X104="","",Summary_Products!X104)</f>
        <v/>
      </c>
      <c r="Z120" s="615" t="str">
        <f>IF(Summary_Products!Y104="","",Summary_Products!Y104)</f>
        <v/>
      </c>
      <c r="AA120" s="615" t="str">
        <f>IF(Summary_Products!Z104="","",Summary_Products!Z104)</f>
        <v/>
      </c>
      <c r="AB120" s="615" t="str">
        <f>IF(Summary_Products!AA104="","",Summary_Products!AA104)</f>
        <v/>
      </c>
      <c r="AC120" s="615" t="str">
        <f>IF(Summary_Products!AB104="","",Summary_Products!AB104)</f>
        <v/>
      </c>
      <c r="AD120" s="615" t="str">
        <f>IF(Summary_Products!AC104="","",Summary_Products!AC104)</f>
        <v/>
      </c>
      <c r="AE120" s="615" t="str">
        <f>IF(Summary_Products!AD104="","",Summary_Products!AD104)</f>
        <v/>
      </c>
      <c r="AF120" s="615" t="str">
        <f>IF(Summary_Products!AE104="","",Summary_Products!AE104)</f>
        <v/>
      </c>
      <c r="AG120" s="615" t="str">
        <f>IF(Summary_Products!AF104="","",Summary_Products!AF104)</f>
        <v/>
      </c>
      <c r="AH120" s="615" t="str">
        <f>IF(Summary_Products!AG104="","",Summary_Products!AG104)</f>
        <v/>
      </c>
      <c r="AI120" s="615" t="str">
        <f>IF(Summary_Products!AH104="","",Summary_Products!AH104)</f>
        <v/>
      </c>
      <c r="AJ120" s="615" t="str">
        <f>IF(Summary_Products!AI104="","",Summary_Products!AI104)</f>
        <v/>
      </c>
      <c r="AK120" s="615" t="str">
        <f>IF(Summary_Products!AJ104="","",Summary_Products!AJ104)</f>
        <v/>
      </c>
      <c r="AL120" s="615" t="str">
        <f>IF(Summary_Products!AK104="","",Summary_Products!AK104)</f>
        <v/>
      </c>
      <c r="AM120" s="421" t="str">
        <f>IF(Summary_Products!AL104="","",INDEX(Translations!$C:$C,MATCH(Summary_Products!AL104,Translations!$B:$B,0)))</f>
        <v/>
      </c>
      <c r="AN120" s="615" t="str">
        <f>IF(Summary_Products!AM104="","",Summary_Products!AM104)</f>
        <v/>
      </c>
      <c r="AO120" s="473" t="str">
        <f>IF(Summary_Products!AN104="","",Summary_Products!AN104)</f>
        <v/>
      </c>
      <c r="AP120" s="474" t="str">
        <f>IF(Summary_Products!AO104="","",Summary_Products!AO104)</f>
        <v/>
      </c>
      <c r="AQ120" s="160" t="str">
        <f>IF(Summary_Products!AP104="","",Summary_Products!AP104)</f>
        <v/>
      </c>
      <c r="AR120" s="477" t="str">
        <f>IF(Summary_Products!AR104="","",Summary_Products!AR104)</f>
        <v/>
      </c>
      <c r="AS120" s="474" t="str">
        <f>IF(Summary_Products!AS104="","",Summary_Products!AS104)</f>
        <v/>
      </c>
      <c r="AT120" s="421" t="str">
        <f>IF(Summary_Products!AT104="","",INDEX(Translations!$C:$C,MATCH(Summary_Products!AT104,Translations!$B:$B,0)))</f>
        <v/>
      </c>
      <c r="AU120" s="615" t="str">
        <f>IF(Summary_Products!AU104="","",Summary_Products!AU104)</f>
        <v/>
      </c>
      <c r="AV120" s="473" t="str">
        <f>IF(Summary_Products!AV104="","",Summary_Products!AV104)</f>
        <v/>
      </c>
      <c r="AW120" s="474" t="str">
        <f>IF(Summary_Products!AW104="","",Summary_Products!AW104)</f>
        <v/>
      </c>
      <c r="AX120" s="477" t="str">
        <f>IF(Summary_Products!AX104="","",Summary_Products!AX104)</f>
        <v/>
      </c>
      <c r="AY120" s="474" t="str">
        <f>IF(Summary_Products!AY104="","",Summary_Products!AY104)</f>
        <v/>
      </c>
      <c r="AZ120" s="477" t="str">
        <f>IF(Summary_Products!AZ104="","",Summary_Products!AZ104)</f>
        <v/>
      </c>
      <c r="BA120" s="478" t="str">
        <f>IF(Summary_Products!BA104="","",Summary_Products!BA104)</f>
        <v/>
      </c>
      <c r="BD120" s="156"/>
      <c r="BE120" s="156"/>
      <c r="BF120" s="156"/>
      <c r="BG120" s="156"/>
    </row>
    <row r="121" spans="1:59" ht="12.5" x14ac:dyDescent="0.25">
      <c r="B121" s="277"/>
      <c r="C121" s="777">
        <v>96</v>
      </c>
      <c r="D121" s="766" t="str">
        <f>IF(Summary_Products!D105="","",Summary_Products!D105)</f>
        <v/>
      </c>
      <c r="E121" s="421" t="str">
        <f>IF(Summary_Products!E105="","",INDEX(Translations!$C:$C,MATCH(Summary_Products!E105,Translations!$B:$B,0)))</f>
        <v/>
      </c>
      <c r="F121" s="781" t="str">
        <f>IF(Summary_Products!F105="","",Summary_Products!F105)</f>
        <v/>
      </c>
      <c r="G121" s="766" t="str">
        <f>IF(F121="","",INDEX(Parameters_CNCodes!$H$4:$H$572,MATCH(F121,CNCodes_ListKey,0)))</f>
        <v/>
      </c>
      <c r="H121" s="766" t="str">
        <f>IF(Summary_Products!H105="","",Summary_Products!H105)</f>
        <v/>
      </c>
      <c r="I121" s="782" t="str">
        <f>IF(Summary_Products!I105="","",Summary_Products!I105)</f>
        <v/>
      </c>
      <c r="J121" s="782" t="str">
        <f>IF(Summary_Products!J105="","",Summary_Products!J105)</f>
        <v/>
      </c>
      <c r="K121" s="782" t="str">
        <f>IF(Summary_Products!K105="","",Summary_Products!K105)</f>
        <v/>
      </c>
      <c r="L121" s="782" t="str">
        <f>IF(Summary_Products!L105="","",Summary_Products!L105)</f>
        <v/>
      </c>
      <c r="M121" s="783" t="str">
        <f>IF(Summary_Products!M105="","",Summary_Products!M105)</f>
        <v/>
      </c>
      <c r="N121" s="782" t="str">
        <f>IF(Summary_Products!N105="","",Summary_Products!N105)</f>
        <v/>
      </c>
      <c r="O121" s="782" t="str">
        <f>IF(Summary_Products!O105="","",Summary_Products!O105)</f>
        <v/>
      </c>
      <c r="P121" s="782" t="str">
        <f t="shared" si="1"/>
        <v/>
      </c>
      <c r="Q121" s="160" t="str">
        <f>IF(Summary_Products!P105="","",INDEX(Translations!$C:$C,MATCH(Summary_Products!P105,Translations!$B:$B,0)))</f>
        <v/>
      </c>
      <c r="R121" s="160" t="str">
        <f>IF(Summary_Products!Q105="","",Summary_Products!Q105)</f>
        <v/>
      </c>
      <c r="S121" s="615" t="str">
        <f>IF(Summary_Products!R105="","",Summary_Products!R105)</f>
        <v/>
      </c>
      <c r="T121" s="615" t="str">
        <f>IF(Summary_Products!S105="","",Summary_Products!S105)</f>
        <v/>
      </c>
      <c r="U121" s="615" t="str">
        <f>IF(Summary_Products!T105="","",Summary_Products!T105)</f>
        <v/>
      </c>
      <c r="V121" s="615" t="str">
        <f>IF(Summary_Products!U105="","",Summary_Products!U105)</f>
        <v/>
      </c>
      <c r="W121" s="615" t="str">
        <f>IF(Summary_Products!V105="","",Summary_Products!V105)</f>
        <v/>
      </c>
      <c r="X121" s="615" t="str">
        <f>IF(Summary_Products!W105="","",Summary_Products!W105)</f>
        <v/>
      </c>
      <c r="Y121" s="615" t="str">
        <f>IF(Summary_Products!X105="","",Summary_Products!X105)</f>
        <v/>
      </c>
      <c r="Z121" s="615" t="str">
        <f>IF(Summary_Products!Y105="","",Summary_Products!Y105)</f>
        <v/>
      </c>
      <c r="AA121" s="615" t="str">
        <f>IF(Summary_Products!Z105="","",Summary_Products!Z105)</f>
        <v/>
      </c>
      <c r="AB121" s="615" t="str">
        <f>IF(Summary_Products!AA105="","",Summary_Products!AA105)</f>
        <v/>
      </c>
      <c r="AC121" s="615" t="str">
        <f>IF(Summary_Products!AB105="","",Summary_Products!AB105)</f>
        <v/>
      </c>
      <c r="AD121" s="615" t="str">
        <f>IF(Summary_Products!AC105="","",Summary_Products!AC105)</f>
        <v/>
      </c>
      <c r="AE121" s="615" t="str">
        <f>IF(Summary_Products!AD105="","",Summary_Products!AD105)</f>
        <v/>
      </c>
      <c r="AF121" s="615" t="str">
        <f>IF(Summary_Products!AE105="","",Summary_Products!AE105)</f>
        <v/>
      </c>
      <c r="AG121" s="615" t="str">
        <f>IF(Summary_Products!AF105="","",Summary_Products!AF105)</f>
        <v/>
      </c>
      <c r="AH121" s="615" t="str">
        <f>IF(Summary_Products!AG105="","",Summary_Products!AG105)</f>
        <v/>
      </c>
      <c r="AI121" s="615" t="str">
        <f>IF(Summary_Products!AH105="","",Summary_Products!AH105)</f>
        <v/>
      </c>
      <c r="AJ121" s="615" t="str">
        <f>IF(Summary_Products!AI105="","",Summary_Products!AI105)</f>
        <v/>
      </c>
      <c r="AK121" s="615" t="str">
        <f>IF(Summary_Products!AJ105="","",Summary_Products!AJ105)</f>
        <v/>
      </c>
      <c r="AL121" s="615" t="str">
        <f>IF(Summary_Products!AK105="","",Summary_Products!AK105)</f>
        <v/>
      </c>
      <c r="AM121" s="421" t="str">
        <f>IF(Summary_Products!AL105="","",INDEX(Translations!$C:$C,MATCH(Summary_Products!AL105,Translations!$B:$B,0)))</f>
        <v/>
      </c>
      <c r="AN121" s="615" t="str">
        <f>IF(Summary_Products!AM105="","",Summary_Products!AM105)</f>
        <v/>
      </c>
      <c r="AO121" s="473" t="str">
        <f>IF(Summary_Products!AN105="","",Summary_Products!AN105)</f>
        <v/>
      </c>
      <c r="AP121" s="474" t="str">
        <f>IF(Summary_Products!AO105="","",Summary_Products!AO105)</f>
        <v/>
      </c>
      <c r="AQ121" s="160" t="str">
        <f>IF(Summary_Products!AP105="","",Summary_Products!AP105)</f>
        <v/>
      </c>
      <c r="AR121" s="477" t="str">
        <f>IF(Summary_Products!AR105="","",Summary_Products!AR105)</f>
        <v/>
      </c>
      <c r="AS121" s="474" t="str">
        <f>IF(Summary_Products!AS105="","",Summary_Products!AS105)</f>
        <v/>
      </c>
      <c r="AT121" s="421" t="str">
        <f>IF(Summary_Products!AT105="","",INDEX(Translations!$C:$C,MATCH(Summary_Products!AT105,Translations!$B:$B,0)))</f>
        <v/>
      </c>
      <c r="AU121" s="615" t="str">
        <f>IF(Summary_Products!AU105="","",Summary_Products!AU105)</f>
        <v/>
      </c>
      <c r="AV121" s="473" t="str">
        <f>IF(Summary_Products!AV105="","",Summary_Products!AV105)</f>
        <v/>
      </c>
      <c r="AW121" s="474" t="str">
        <f>IF(Summary_Products!AW105="","",Summary_Products!AW105)</f>
        <v/>
      </c>
      <c r="AX121" s="477" t="str">
        <f>IF(Summary_Products!AX105="","",Summary_Products!AX105)</f>
        <v/>
      </c>
      <c r="AY121" s="474" t="str">
        <f>IF(Summary_Products!AY105="","",Summary_Products!AY105)</f>
        <v/>
      </c>
      <c r="AZ121" s="477" t="str">
        <f>IF(Summary_Products!AZ105="","",Summary_Products!AZ105)</f>
        <v/>
      </c>
      <c r="BA121" s="478" t="str">
        <f>IF(Summary_Products!BA105="","",Summary_Products!BA105)</f>
        <v/>
      </c>
      <c r="BD121" s="156"/>
      <c r="BE121" s="156"/>
      <c r="BF121" s="156"/>
      <c r="BG121" s="156"/>
    </row>
    <row r="122" spans="1:59" ht="12.5" x14ac:dyDescent="0.25">
      <c r="B122" s="277"/>
      <c r="C122" s="777">
        <v>97</v>
      </c>
      <c r="D122" s="766" t="str">
        <f>IF(Summary_Products!D106="","",Summary_Products!D106)</f>
        <v/>
      </c>
      <c r="E122" s="421" t="str">
        <f>IF(Summary_Products!E106="","",INDEX(Translations!$C:$C,MATCH(Summary_Products!E106,Translations!$B:$B,0)))</f>
        <v/>
      </c>
      <c r="F122" s="781" t="str">
        <f>IF(Summary_Products!F106="","",Summary_Products!F106)</f>
        <v/>
      </c>
      <c r="G122" s="766" t="str">
        <f>IF(F122="","",INDEX(Parameters_CNCodes!$H$4:$H$572,MATCH(F122,CNCodes_ListKey,0)))</f>
        <v/>
      </c>
      <c r="H122" s="766" t="str">
        <f>IF(Summary_Products!H106="","",Summary_Products!H106)</f>
        <v/>
      </c>
      <c r="I122" s="782" t="str">
        <f>IF(Summary_Products!I106="","",Summary_Products!I106)</f>
        <v/>
      </c>
      <c r="J122" s="782" t="str">
        <f>IF(Summary_Products!J106="","",Summary_Products!J106)</f>
        <v/>
      </c>
      <c r="K122" s="782" t="str">
        <f>IF(Summary_Products!K106="","",Summary_Products!K106)</f>
        <v/>
      </c>
      <c r="L122" s="782" t="str">
        <f>IF(Summary_Products!L106="","",Summary_Products!L106)</f>
        <v/>
      </c>
      <c r="M122" s="783" t="str">
        <f>IF(Summary_Products!M106="","",Summary_Products!M106)</f>
        <v/>
      </c>
      <c r="N122" s="782" t="str">
        <f>IF(Summary_Products!N106="","",Summary_Products!N106)</f>
        <v/>
      </c>
      <c r="O122" s="782" t="str">
        <f>IF(Summary_Products!O106="","",Summary_Products!O106)</f>
        <v/>
      </c>
      <c r="P122" s="782" t="str">
        <f t="shared" si="1"/>
        <v/>
      </c>
      <c r="Q122" s="160" t="str">
        <f>IF(Summary_Products!P106="","",INDEX(Translations!$C:$C,MATCH(Summary_Products!P106,Translations!$B:$B,0)))</f>
        <v/>
      </c>
      <c r="R122" s="160" t="str">
        <f>IF(Summary_Products!Q106="","",Summary_Products!Q106)</f>
        <v/>
      </c>
      <c r="S122" s="615" t="str">
        <f>IF(Summary_Products!R106="","",Summary_Products!R106)</f>
        <v/>
      </c>
      <c r="T122" s="615" t="str">
        <f>IF(Summary_Products!S106="","",Summary_Products!S106)</f>
        <v/>
      </c>
      <c r="U122" s="615" t="str">
        <f>IF(Summary_Products!T106="","",Summary_Products!T106)</f>
        <v/>
      </c>
      <c r="V122" s="615" t="str">
        <f>IF(Summary_Products!U106="","",Summary_Products!U106)</f>
        <v/>
      </c>
      <c r="W122" s="615" t="str">
        <f>IF(Summary_Products!V106="","",Summary_Products!V106)</f>
        <v/>
      </c>
      <c r="X122" s="615" t="str">
        <f>IF(Summary_Products!W106="","",Summary_Products!W106)</f>
        <v/>
      </c>
      <c r="Y122" s="615" t="str">
        <f>IF(Summary_Products!X106="","",Summary_Products!X106)</f>
        <v/>
      </c>
      <c r="Z122" s="615" t="str">
        <f>IF(Summary_Products!Y106="","",Summary_Products!Y106)</f>
        <v/>
      </c>
      <c r="AA122" s="615" t="str">
        <f>IF(Summary_Products!Z106="","",Summary_Products!Z106)</f>
        <v/>
      </c>
      <c r="AB122" s="615" t="str">
        <f>IF(Summary_Products!AA106="","",Summary_Products!AA106)</f>
        <v/>
      </c>
      <c r="AC122" s="615" t="str">
        <f>IF(Summary_Products!AB106="","",Summary_Products!AB106)</f>
        <v/>
      </c>
      <c r="AD122" s="615" t="str">
        <f>IF(Summary_Products!AC106="","",Summary_Products!AC106)</f>
        <v/>
      </c>
      <c r="AE122" s="615" t="str">
        <f>IF(Summary_Products!AD106="","",Summary_Products!AD106)</f>
        <v/>
      </c>
      <c r="AF122" s="615" t="str">
        <f>IF(Summary_Products!AE106="","",Summary_Products!AE106)</f>
        <v/>
      </c>
      <c r="AG122" s="615" t="str">
        <f>IF(Summary_Products!AF106="","",Summary_Products!AF106)</f>
        <v/>
      </c>
      <c r="AH122" s="615" t="str">
        <f>IF(Summary_Products!AG106="","",Summary_Products!AG106)</f>
        <v/>
      </c>
      <c r="AI122" s="615" t="str">
        <f>IF(Summary_Products!AH106="","",Summary_Products!AH106)</f>
        <v/>
      </c>
      <c r="AJ122" s="615" t="str">
        <f>IF(Summary_Products!AI106="","",Summary_Products!AI106)</f>
        <v/>
      </c>
      <c r="AK122" s="615" t="str">
        <f>IF(Summary_Products!AJ106="","",Summary_Products!AJ106)</f>
        <v/>
      </c>
      <c r="AL122" s="615" t="str">
        <f>IF(Summary_Products!AK106="","",Summary_Products!AK106)</f>
        <v/>
      </c>
      <c r="AM122" s="421" t="str">
        <f>IF(Summary_Products!AL106="","",INDEX(Translations!$C:$C,MATCH(Summary_Products!AL106,Translations!$B:$B,0)))</f>
        <v/>
      </c>
      <c r="AN122" s="615" t="str">
        <f>IF(Summary_Products!AM106="","",Summary_Products!AM106)</f>
        <v/>
      </c>
      <c r="AO122" s="473" t="str">
        <f>IF(Summary_Products!AN106="","",Summary_Products!AN106)</f>
        <v/>
      </c>
      <c r="AP122" s="474" t="str">
        <f>IF(Summary_Products!AO106="","",Summary_Products!AO106)</f>
        <v/>
      </c>
      <c r="AQ122" s="160" t="str">
        <f>IF(Summary_Products!AP106="","",Summary_Products!AP106)</f>
        <v/>
      </c>
      <c r="AR122" s="477" t="str">
        <f>IF(Summary_Products!AR106="","",Summary_Products!AR106)</f>
        <v/>
      </c>
      <c r="AS122" s="474" t="str">
        <f>IF(Summary_Products!AS106="","",Summary_Products!AS106)</f>
        <v/>
      </c>
      <c r="AT122" s="421" t="str">
        <f>IF(Summary_Products!AT106="","",INDEX(Translations!$C:$C,MATCH(Summary_Products!AT106,Translations!$B:$B,0)))</f>
        <v/>
      </c>
      <c r="AU122" s="615" t="str">
        <f>IF(Summary_Products!AU106="","",Summary_Products!AU106)</f>
        <v/>
      </c>
      <c r="AV122" s="473" t="str">
        <f>IF(Summary_Products!AV106="","",Summary_Products!AV106)</f>
        <v/>
      </c>
      <c r="AW122" s="474" t="str">
        <f>IF(Summary_Products!AW106="","",Summary_Products!AW106)</f>
        <v/>
      </c>
      <c r="AX122" s="477" t="str">
        <f>IF(Summary_Products!AX106="","",Summary_Products!AX106)</f>
        <v/>
      </c>
      <c r="AY122" s="474" t="str">
        <f>IF(Summary_Products!AY106="","",Summary_Products!AY106)</f>
        <v/>
      </c>
      <c r="AZ122" s="477" t="str">
        <f>IF(Summary_Products!AZ106="","",Summary_Products!AZ106)</f>
        <v/>
      </c>
      <c r="BA122" s="478" t="str">
        <f>IF(Summary_Products!BA106="","",Summary_Products!BA106)</f>
        <v/>
      </c>
      <c r="BD122" s="156"/>
      <c r="BE122" s="156"/>
      <c r="BF122" s="156"/>
      <c r="BG122" s="156"/>
    </row>
    <row r="123" spans="1:59" ht="12.5" x14ac:dyDescent="0.25">
      <c r="B123" s="277"/>
      <c r="C123" s="777">
        <v>98</v>
      </c>
      <c r="D123" s="766" t="str">
        <f>IF(Summary_Products!D107="","",Summary_Products!D107)</f>
        <v/>
      </c>
      <c r="E123" s="421" t="str">
        <f>IF(Summary_Products!E107="","",INDEX(Translations!$C:$C,MATCH(Summary_Products!E107,Translations!$B:$B,0)))</f>
        <v/>
      </c>
      <c r="F123" s="781" t="str">
        <f>IF(Summary_Products!F107="","",Summary_Products!F107)</f>
        <v/>
      </c>
      <c r="G123" s="766" t="str">
        <f>IF(F123="","",INDEX(Parameters_CNCodes!$H$4:$H$572,MATCH(F123,CNCodes_ListKey,0)))</f>
        <v/>
      </c>
      <c r="H123" s="766" t="str">
        <f>IF(Summary_Products!H107="","",Summary_Products!H107)</f>
        <v/>
      </c>
      <c r="I123" s="782" t="str">
        <f>IF(Summary_Products!I107="","",Summary_Products!I107)</f>
        <v/>
      </c>
      <c r="J123" s="782" t="str">
        <f>IF(Summary_Products!J107="","",Summary_Products!J107)</f>
        <v/>
      </c>
      <c r="K123" s="782" t="str">
        <f>IF(Summary_Products!K107="","",Summary_Products!K107)</f>
        <v/>
      </c>
      <c r="L123" s="782" t="str">
        <f>IF(Summary_Products!L107="","",Summary_Products!L107)</f>
        <v/>
      </c>
      <c r="M123" s="783" t="str">
        <f>IF(Summary_Products!M107="","",Summary_Products!M107)</f>
        <v/>
      </c>
      <c r="N123" s="782" t="str">
        <f>IF(Summary_Products!N107="","",Summary_Products!N107)</f>
        <v/>
      </c>
      <c r="O123" s="782" t="str">
        <f>IF(Summary_Products!O107="","",Summary_Products!O107)</f>
        <v/>
      </c>
      <c r="P123" s="782" t="str">
        <f t="shared" si="1"/>
        <v/>
      </c>
      <c r="Q123" s="160" t="str">
        <f>IF(Summary_Products!P107="","",INDEX(Translations!$C:$C,MATCH(Summary_Products!P107,Translations!$B:$B,0)))</f>
        <v/>
      </c>
      <c r="R123" s="160" t="str">
        <f>IF(Summary_Products!Q107="","",Summary_Products!Q107)</f>
        <v/>
      </c>
      <c r="S123" s="615" t="str">
        <f>IF(Summary_Products!R107="","",Summary_Products!R107)</f>
        <v/>
      </c>
      <c r="T123" s="615" t="str">
        <f>IF(Summary_Products!S107="","",Summary_Products!S107)</f>
        <v/>
      </c>
      <c r="U123" s="615" t="str">
        <f>IF(Summary_Products!T107="","",Summary_Products!T107)</f>
        <v/>
      </c>
      <c r="V123" s="615" t="str">
        <f>IF(Summary_Products!U107="","",Summary_Products!U107)</f>
        <v/>
      </c>
      <c r="W123" s="615" t="str">
        <f>IF(Summary_Products!V107="","",Summary_Products!V107)</f>
        <v/>
      </c>
      <c r="X123" s="615" t="str">
        <f>IF(Summary_Products!W107="","",Summary_Products!W107)</f>
        <v/>
      </c>
      <c r="Y123" s="615" t="str">
        <f>IF(Summary_Products!X107="","",Summary_Products!X107)</f>
        <v/>
      </c>
      <c r="Z123" s="615" t="str">
        <f>IF(Summary_Products!Y107="","",Summary_Products!Y107)</f>
        <v/>
      </c>
      <c r="AA123" s="615" t="str">
        <f>IF(Summary_Products!Z107="","",Summary_Products!Z107)</f>
        <v/>
      </c>
      <c r="AB123" s="615" t="str">
        <f>IF(Summary_Products!AA107="","",Summary_Products!AA107)</f>
        <v/>
      </c>
      <c r="AC123" s="615" t="str">
        <f>IF(Summary_Products!AB107="","",Summary_Products!AB107)</f>
        <v/>
      </c>
      <c r="AD123" s="615" t="str">
        <f>IF(Summary_Products!AC107="","",Summary_Products!AC107)</f>
        <v/>
      </c>
      <c r="AE123" s="615" t="str">
        <f>IF(Summary_Products!AD107="","",Summary_Products!AD107)</f>
        <v/>
      </c>
      <c r="AF123" s="615" t="str">
        <f>IF(Summary_Products!AE107="","",Summary_Products!AE107)</f>
        <v/>
      </c>
      <c r="AG123" s="615" t="str">
        <f>IF(Summary_Products!AF107="","",Summary_Products!AF107)</f>
        <v/>
      </c>
      <c r="AH123" s="615" t="str">
        <f>IF(Summary_Products!AG107="","",Summary_Products!AG107)</f>
        <v/>
      </c>
      <c r="AI123" s="615" t="str">
        <f>IF(Summary_Products!AH107="","",Summary_Products!AH107)</f>
        <v/>
      </c>
      <c r="AJ123" s="615" t="str">
        <f>IF(Summary_Products!AI107="","",Summary_Products!AI107)</f>
        <v/>
      </c>
      <c r="AK123" s="615" t="str">
        <f>IF(Summary_Products!AJ107="","",Summary_Products!AJ107)</f>
        <v/>
      </c>
      <c r="AL123" s="615" t="str">
        <f>IF(Summary_Products!AK107="","",Summary_Products!AK107)</f>
        <v/>
      </c>
      <c r="AM123" s="421" t="str">
        <f>IF(Summary_Products!AL107="","",INDEX(Translations!$C:$C,MATCH(Summary_Products!AL107,Translations!$B:$B,0)))</f>
        <v/>
      </c>
      <c r="AN123" s="615" t="str">
        <f>IF(Summary_Products!AM107="","",Summary_Products!AM107)</f>
        <v/>
      </c>
      <c r="AO123" s="473" t="str">
        <f>IF(Summary_Products!AN107="","",Summary_Products!AN107)</f>
        <v/>
      </c>
      <c r="AP123" s="474" t="str">
        <f>IF(Summary_Products!AO107="","",Summary_Products!AO107)</f>
        <v/>
      </c>
      <c r="AQ123" s="160" t="str">
        <f>IF(Summary_Products!AP107="","",Summary_Products!AP107)</f>
        <v/>
      </c>
      <c r="AR123" s="477" t="str">
        <f>IF(Summary_Products!AR107="","",Summary_Products!AR107)</f>
        <v/>
      </c>
      <c r="AS123" s="474" t="str">
        <f>IF(Summary_Products!AS107="","",Summary_Products!AS107)</f>
        <v/>
      </c>
      <c r="AT123" s="421" t="str">
        <f>IF(Summary_Products!AT107="","",INDEX(Translations!$C:$C,MATCH(Summary_Products!AT107,Translations!$B:$B,0)))</f>
        <v/>
      </c>
      <c r="AU123" s="615" t="str">
        <f>IF(Summary_Products!AU107="","",Summary_Products!AU107)</f>
        <v/>
      </c>
      <c r="AV123" s="473" t="str">
        <f>IF(Summary_Products!AV107="","",Summary_Products!AV107)</f>
        <v/>
      </c>
      <c r="AW123" s="474" t="str">
        <f>IF(Summary_Products!AW107="","",Summary_Products!AW107)</f>
        <v/>
      </c>
      <c r="AX123" s="477" t="str">
        <f>IF(Summary_Products!AX107="","",Summary_Products!AX107)</f>
        <v/>
      </c>
      <c r="AY123" s="474" t="str">
        <f>IF(Summary_Products!AY107="","",Summary_Products!AY107)</f>
        <v/>
      </c>
      <c r="AZ123" s="477" t="str">
        <f>IF(Summary_Products!AZ107="","",Summary_Products!AZ107)</f>
        <v/>
      </c>
      <c r="BA123" s="478" t="str">
        <f>IF(Summary_Products!BA107="","",Summary_Products!BA107)</f>
        <v/>
      </c>
      <c r="BD123" s="156"/>
      <c r="BE123" s="156"/>
      <c r="BF123" s="156"/>
      <c r="BG123" s="156"/>
    </row>
    <row r="124" spans="1:59" ht="12.5" x14ac:dyDescent="0.25">
      <c r="B124" s="277"/>
      <c r="C124" s="777">
        <v>99</v>
      </c>
      <c r="D124" s="766" t="str">
        <f>IF(Summary_Products!D108="","",Summary_Products!D108)</f>
        <v/>
      </c>
      <c r="E124" s="421" t="str">
        <f>IF(Summary_Products!E108="","",INDEX(Translations!$C:$C,MATCH(Summary_Products!E108,Translations!$B:$B,0)))</f>
        <v/>
      </c>
      <c r="F124" s="781" t="str">
        <f>IF(Summary_Products!F108="","",Summary_Products!F108)</f>
        <v/>
      </c>
      <c r="G124" s="766" t="str">
        <f>IF(F124="","",INDEX(Parameters_CNCodes!$H$4:$H$572,MATCH(F124,CNCodes_ListKey,0)))</f>
        <v/>
      </c>
      <c r="H124" s="766" t="str">
        <f>IF(Summary_Products!H108="","",Summary_Products!H108)</f>
        <v/>
      </c>
      <c r="I124" s="782" t="str">
        <f>IF(Summary_Products!I108="","",Summary_Products!I108)</f>
        <v/>
      </c>
      <c r="J124" s="782" t="str">
        <f>IF(Summary_Products!J108="","",Summary_Products!J108)</f>
        <v/>
      </c>
      <c r="K124" s="782" t="str">
        <f>IF(Summary_Products!K108="","",Summary_Products!K108)</f>
        <v/>
      </c>
      <c r="L124" s="782" t="str">
        <f>IF(Summary_Products!L108="","",Summary_Products!L108)</f>
        <v/>
      </c>
      <c r="M124" s="783" t="str">
        <f>IF(Summary_Products!M108="","",Summary_Products!M108)</f>
        <v/>
      </c>
      <c r="N124" s="782" t="str">
        <f>IF(Summary_Products!N108="","",Summary_Products!N108)</f>
        <v/>
      </c>
      <c r="O124" s="782" t="str">
        <f>IF(Summary_Products!O108="","",Summary_Products!O108)</f>
        <v/>
      </c>
      <c r="P124" s="782" t="str">
        <f t="shared" si="1"/>
        <v/>
      </c>
      <c r="Q124" s="160" t="str">
        <f>IF(Summary_Products!P108="","",INDEX(Translations!$C:$C,MATCH(Summary_Products!P108,Translations!$B:$B,0)))</f>
        <v/>
      </c>
      <c r="R124" s="160" t="str">
        <f>IF(Summary_Products!Q108="","",Summary_Products!Q108)</f>
        <v/>
      </c>
      <c r="S124" s="615" t="str">
        <f>IF(Summary_Products!R108="","",Summary_Products!R108)</f>
        <v/>
      </c>
      <c r="T124" s="615" t="str">
        <f>IF(Summary_Products!S108="","",Summary_Products!S108)</f>
        <v/>
      </c>
      <c r="U124" s="615" t="str">
        <f>IF(Summary_Products!T108="","",Summary_Products!T108)</f>
        <v/>
      </c>
      <c r="V124" s="615" t="str">
        <f>IF(Summary_Products!U108="","",Summary_Products!U108)</f>
        <v/>
      </c>
      <c r="W124" s="615" t="str">
        <f>IF(Summary_Products!V108="","",Summary_Products!V108)</f>
        <v/>
      </c>
      <c r="X124" s="615" t="str">
        <f>IF(Summary_Products!W108="","",Summary_Products!W108)</f>
        <v/>
      </c>
      <c r="Y124" s="615" t="str">
        <f>IF(Summary_Products!X108="","",Summary_Products!X108)</f>
        <v/>
      </c>
      <c r="Z124" s="615" t="str">
        <f>IF(Summary_Products!Y108="","",Summary_Products!Y108)</f>
        <v/>
      </c>
      <c r="AA124" s="615" t="str">
        <f>IF(Summary_Products!Z108="","",Summary_Products!Z108)</f>
        <v/>
      </c>
      <c r="AB124" s="615" t="str">
        <f>IF(Summary_Products!AA108="","",Summary_Products!AA108)</f>
        <v/>
      </c>
      <c r="AC124" s="615" t="str">
        <f>IF(Summary_Products!AB108="","",Summary_Products!AB108)</f>
        <v/>
      </c>
      <c r="AD124" s="615" t="str">
        <f>IF(Summary_Products!AC108="","",Summary_Products!AC108)</f>
        <v/>
      </c>
      <c r="AE124" s="615" t="str">
        <f>IF(Summary_Products!AD108="","",Summary_Products!AD108)</f>
        <v/>
      </c>
      <c r="AF124" s="615" t="str">
        <f>IF(Summary_Products!AE108="","",Summary_Products!AE108)</f>
        <v/>
      </c>
      <c r="AG124" s="615" t="str">
        <f>IF(Summary_Products!AF108="","",Summary_Products!AF108)</f>
        <v/>
      </c>
      <c r="AH124" s="615" t="str">
        <f>IF(Summary_Products!AG108="","",Summary_Products!AG108)</f>
        <v/>
      </c>
      <c r="AI124" s="615" t="str">
        <f>IF(Summary_Products!AH108="","",Summary_Products!AH108)</f>
        <v/>
      </c>
      <c r="AJ124" s="615" t="str">
        <f>IF(Summary_Products!AI108="","",Summary_Products!AI108)</f>
        <v/>
      </c>
      <c r="AK124" s="615" t="str">
        <f>IF(Summary_Products!AJ108="","",Summary_Products!AJ108)</f>
        <v/>
      </c>
      <c r="AL124" s="615" t="str">
        <f>IF(Summary_Products!AK108="","",Summary_Products!AK108)</f>
        <v/>
      </c>
      <c r="AM124" s="421" t="str">
        <f>IF(Summary_Products!AL108="","",INDEX(Translations!$C:$C,MATCH(Summary_Products!AL108,Translations!$B:$B,0)))</f>
        <v/>
      </c>
      <c r="AN124" s="615" t="str">
        <f>IF(Summary_Products!AM108="","",Summary_Products!AM108)</f>
        <v/>
      </c>
      <c r="AO124" s="473" t="str">
        <f>IF(Summary_Products!AN108="","",Summary_Products!AN108)</f>
        <v/>
      </c>
      <c r="AP124" s="474" t="str">
        <f>IF(Summary_Products!AO108="","",Summary_Products!AO108)</f>
        <v/>
      </c>
      <c r="AQ124" s="160" t="str">
        <f>IF(Summary_Products!AP108="","",Summary_Products!AP108)</f>
        <v/>
      </c>
      <c r="AR124" s="477" t="str">
        <f>IF(Summary_Products!AR108="","",Summary_Products!AR108)</f>
        <v/>
      </c>
      <c r="AS124" s="474" t="str">
        <f>IF(Summary_Products!AS108="","",Summary_Products!AS108)</f>
        <v/>
      </c>
      <c r="AT124" s="421" t="str">
        <f>IF(Summary_Products!AT108="","",INDEX(Translations!$C:$C,MATCH(Summary_Products!AT108,Translations!$B:$B,0)))</f>
        <v/>
      </c>
      <c r="AU124" s="615" t="str">
        <f>IF(Summary_Products!AU108="","",Summary_Products!AU108)</f>
        <v/>
      </c>
      <c r="AV124" s="473" t="str">
        <f>IF(Summary_Products!AV108="","",Summary_Products!AV108)</f>
        <v/>
      </c>
      <c r="AW124" s="474" t="str">
        <f>IF(Summary_Products!AW108="","",Summary_Products!AW108)</f>
        <v/>
      </c>
      <c r="AX124" s="477" t="str">
        <f>IF(Summary_Products!AX108="","",Summary_Products!AX108)</f>
        <v/>
      </c>
      <c r="AY124" s="474" t="str">
        <f>IF(Summary_Products!AY108="","",Summary_Products!AY108)</f>
        <v/>
      </c>
      <c r="AZ124" s="477" t="str">
        <f>IF(Summary_Products!AZ108="","",Summary_Products!AZ108)</f>
        <v/>
      </c>
      <c r="BA124" s="478" t="str">
        <f>IF(Summary_Products!BA108="","",Summary_Products!BA108)</f>
        <v/>
      </c>
      <c r="BD124" s="156"/>
      <c r="BE124" s="156"/>
      <c r="BF124" s="156"/>
      <c r="BG124" s="156"/>
    </row>
    <row r="125" spans="1:59" ht="12.5" x14ac:dyDescent="0.25">
      <c r="B125" s="277"/>
      <c r="C125" s="777">
        <v>100</v>
      </c>
      <c r="D125" s="767" t="str">
        <f>IF(Summary_Products!D109="","",Summary_Products!D109)</f>
        <v/>
      </c>
      <c r="E125" s="422" t="str">
        <f>IF(Summary_Products!E109="","",INDEX(Translations!$C:$C,MATCH(Summary_Products!E109,Translations!$B:$B,0)))</f>
        <v/>
      </c>
      <c r="F125" s="784" t="str">
        <f>IF(Summary_Products!F109="","",Summary_Products!F109)</f>
        <v/>
      </c>
      <c r="G125" s="767" t="str">
        <f>IF(F125="","",INDEX(Parameters_CNCodes!$H$4:$H$572,MATCH(F125,CNCodes_ListKey,0)))</f>
        <v/>
      </c>
      <c r="H125" s="767" t="str">
        <f>IF(Summary_Products!H109="","",Summary_Products!H109)</f>
        <v/>
      </c>
      <c r="I125" s="763" t="str">
        <f>IF(Summary_Products!I109="","",Summary_Products!I109)</f>
        <v/>
      </c>
      <c r="J125" s="763" t="str">
        <f>IF(Summary_Products!J109="","",Summary_Products!J109)</f>
        <v/>
      </c>
      <c r="K125" s="763" t="str">
        <f>IF(Summary_Products!K109="","",Summary_Products!K109)</f>
        <v/>
      </c>
      <c r="L125" s="763" t="str">
        <f>IF(Summary_Products!L109="","",Summary_Products!L109)</f>
        <v/>
      </c>
      <c r="M125" s="240" t="str">
        <f>IF(Summary_Products!M109="","",Summary_Products!M109)</f>
        <v/>
      </c>
      <c r="N125" s="763" t="str">
        <f>IF(Summary_Products!N109="","",Summary_Products!N109)</f>
        <v/>
      </c>
      <c r="O125" s="763" t="str">
        <f>IF(Summary_Products!O109="","",Summary_Products!O109)</f>
        <v/>
      </c>
      <c r="P125" s="763" t="str">
        <f t="shared" si="1"/>
        <v/>
      </c>
      <c r="Q125" s="163" t="str">
        <f>IF(Summary_Products!P109="","",INDEX(Translations!$C:$C,MATCH(Summary_Products!P109,Translations!$B:$B,0)))</f>
        <v/>
      </c>
      <c r="R125" s="163" t="str">
        <f>IF(Summary_Products!Q109="","",Summary_Products!Q109)</f>
        <v/>
      </c>
      <c r="S125" s="616" t="str">
        <f>IF(Summary_Products!R109="","",Summary_Products!R109)</f>
        <v/>
      </c>
      <c r="T125" s="616" t="str">
        <f>IF(Summary_Products!S109="","",Summary_Products!S109)</f>
        <v/>
      </c>
      <c r="U125" s="616" t="str">
        <f>IF(Summary_Products!T109="","",Summary_Products!T109)</f>
        <v/>
      </c>
      <c r="V125" s="616" t="str">
        <f>IF(Summary_Products!U109="","",Summary_Products!U109)</f>
        <v/>
      </c>
      <c r="W125" s="616" t="str">
        <f>IF(Summary_Products!V109="","",Summary_Products!V109)</f>
        <v/>
      </c>
      <c r="X125" s="616" t="str">
        <f>IF(Summary_Products!W109="","",Summary_Products!W109)</f>
        <v/>
      </c>
      <c r="Y125" s="616" t="str">
        <f>IF(Summary_Products!X109="","",Summary_Products!X109)</f>
        <v/>
      </c>
      <c r="Z125" s="616" t="str">
        <f>IF(Summary_Products!Y109="","",Summary_Products!Y109)</f>
        <v/>
      </c>
      <c r="AA125" s="616" t="str">
        <f>IF(Summary_Products!Z109="","",Summary_Products!Z109)</f>
        <v/>
      </c>
      <c r="AB125" s="616" t="str">
        <f>IF(Summary_Products!AA109="","",Summary_Products!AA109)</f>
        <v/>
      </c>
      <c r="AC125" s="616" t="str">
        <f>IF(Summary_Products!AB109="","",Summary_Products!AB109)</f>
        <v/>
      </c>
      <c r="AD125" s="616" t="str">
        <f>IF(Summary_Products!AC109="","",Summary_Products!AC109)</f>
        <v/>
      </c>
      <c r="AE125" s="616" t="str">
        <f>IF(Summary_Products!AD109="","",Summary_Products!AD109)</f>
        <v/>
      </c>
      <c r="AF125" s="616" t="str">
        <f>IF(Summary_Products!AE109="","",Summary_Products!AE109)</f>
        <v/>
      </c>
      <c r="AG125" s="616" t="str">
        <f>IF(Summary_Products!AF109="","",Summary_Products!AF109)</f>
        <v/>
      </c>
      <c r="AH125" s="616" t="str">
        <f>IF(Summary_Products!AG109="","",Summary_Products!AG109)</f>
        <v/>
      </c>
      <c r="AI125" s="616" t="str">
        <f>IF(Summary_Products!AH109="","",Summary_Products!AH109)</f>
        <v/>
      </c>
      <c r="AJ125" s="616" t="str">
        <f>IF(Summary_Products!AI109="","",Summary_Products!AI109)</f>
        <v/>
      </c>
      <c r="AK125" s="616" t="str">
        <f>IF(Summary_Products!AJ109="","",Summary_Products!AJ109)</f>
        <v/>
      </c>
      <c r="AL125" s="616" t="str">
        <f>IF(Summary_Products!AK109="","",Summary_Products!AK109)</f>
        <v/>
      </c>
      <c r="AM125" s="422" t="str">
        <f>IF(Summary_Products!AL109="","",INDEX(Translations!$C:$C,MATCH(Summary_Products!AL109,Translations!$B:$B,0)))</f>
        <v/>
      </c>
      <c r="AN125" s="616" t="str">
        <f>IF(Summary_Products!AM109="","",Summary_Products!AM109)</f>
        <v/>
      </c>
      <c r="AO125" s="485" t="str">
        <f>IF(Summary_Products!AN109="","",Summary_Products!AN109)</f>
        <v/>
      </c>
      <c r="AP125" s="486" t="str">
        <f>IF(Summary_Products!AO109="","",Summary_Products!AO109)</f>
        <v/>
      </c>
      <c r="AQ125" s="163" t="str">
        <f>IF(Summary_Products!AP109="","",Summary_Products!AP109)</f>
        <v/>
      </c>
      <c r="AR125" s="489" t="str">
        <f>IF(Summary_Products!AR109="","",Summary_Products!AR109)</f>
        <v/>
      </c>
      <c r="AS125" s="486" t="str">
        <f>IF(Summary_Products!AS109="","",Summary_Products!AS109)</f>
        <v/>
      </c>
      <c r="AT125" s="422" t="str">
        <f>IF(Summary_Products!AT109="","",INDEX(Translations!$C:$C,MATCH(Summary_Products!AT109,Translations!$B:$B,0)))</f>
        <v/>
      </c>
      <c r="AU125" s="616" t="str">
        <f>IF(Summary_Products!AU109="","",Summary_Products!AU109)</f>
        <v/>
      </c>
      <c r="AV125" s="485" t="str">
        <f>IF(Summary_Products!AV109="","",Summary_Products!AV109)</f>
        <v/>
      </c>
      <c r="AW125" s="486" t="str">
        <f>IF(Summary_Products!AW109="","",Summary_Products!AW109)</f>
        <v/>
      </c>
      <c r="AX125" s="489" t="str">
        <f>IF(Summary_Products!AX109="","",Summary_Products!AX109)</f>
        <v/>
      </c>
      <c r="AY125" s="486" t="str">
        <f>IF(Summary_Products!AY109="","",Summary_Products!AY109)</f>
        <v/>
      </c>
      <c r="AZ125" s="489" t="str">
        <f>IF(Summary_Products!AZ109="","",Summary_Products!AZ109)</f>
        <v/>
      </c>
      <c r="BA125" s="490" t="str">
        <f>IF(Summary_Products!BA109="","",Summary_Products!BA109)</f>
        <v/>
      </c>
      <c r="BD125" s="156"/>
      <c r="BE125" s="156"/>
      <c r="BF125" s="156"/>
      <c r="BG125" s="156"/>
    </row>
    <row r="126" spans="1:59" ht="12.5" x14ac:dyDescent="0.35">
      <c r="BD126" s="156"/>
      <c r="BE126" s="156"/>
      <c r="BF126" s="156"/>
      <c r="BG126" s="156"/>
    </row>
    <row r="127" spans="1:59" hidden="1" x14ac:dyDescent="0.35">
      <c r="A127" s="275" t="s">
        <v>3</v>
      </c>
      <c r="B127" s="275"/>
      <c r="C127" s="275"/>
      <c r="D127" s="275"/>
      <c r="E127" s="275"/>
      <c r="F127" s="275"/>
      <c r="G127" s="275"/>
      <c r="H127" s="275"/>
      <c r="I127" s="275"/>
      <c r="J127" s="275"/>
      <c r="K127" s="275"/>
      <c r="L127" s="275"/>
      <c r="M127" s="275"/>
      <c r="N127" s="275"/>
      <c r="O127" s="275"/>
      <c r="P127" s="275"/>
      <c r="Q127" s="275"/>
      <c r="R127" s="275"/>
      <c r="S127" s="275"/>
      <c r="T127" s="275"/>
      <c r="U127" s="275"/>
      <c r="V127" s="275"/>
      <c r="W127" s="275"/>
      <c r="X127" s="275"/>
      <c r="Y127" s="275"/>
      <c r="Z127" s="275"/>
      <c r="AA127" s="275"/>
      <c r="AB127" s="275"/>
      <c r="AC127" s="275"/>
      <c r="AD127" s="275"/>
      <c r="AE127" s="275"/>
      <c r="AF127" s="275"/>
      <c r="AG127" s="275"/>
      <c r="AH127" s="275"/>
      <c r="AI127" s="275"/>
      <c r="AJ127" s="275"/>
      <c r="AK127" s="275"/>
      <c r="AL127" s="275"/>
      <c r="AM127" s="275"/>
      <c r="AN127" s="275"/>
      <c r="AO127" s="275"/>
      <c r="AP127" s="275"/>
      <c r="AQ127" s="275"/>
      <c r="AR127" s="275"/>
      <c r="AS127" s="275"/>
      <c r="AT127" s="275"/>
      <c r="AU127" s="275"/>
      <c r="AV127" s="275"/>
      <c r="AW127" s="275"/>
      <c r="AX127" s="275"/>
      <c r="AY127" s="275"/>
      <c r="AZ127" s="275"/>
      <c r="BA127" s="275"/>
      <c r="BB127" s="275"/>
      <c r="BC127" s="275" t="s">
        <v>116</v>
      </c>
    </row>
    <row r="128" spans="1:59" hidden="1" x14ac:dyDescent="0.35">
      <c r="A128" s="275" t="s">
        <v>3</v>
      </c>
      <c r="B128" s="275"/>
      <c r="C128" s="275"/>
      <c r="D128" s="275"/>
      <c r="E128" s="275"/>
      <c r="F128" s="275"/>
      <c r="G128" s="275"/>
      <c r="H128" s="275"/>
      <c r="I128" s="275"/>
      <c r="J128" s="275"/>
      <c r="K128" s="275"/>
      <c r="L128" s="275"/>
      <c r="M128" s="275"/>
      <c r="N128" s="275"/>
      <c r="O128" s="275"/>
      <c r="P128" s="275"/>
      <c r="Q128" s="275"/>
      <c r="R128" s="275"/>
      <c r="S128" s="275"/>
      <c r="T128" s="275"/>
      <c r="U128" s="275"/>
      <c r="V128" s="275"/>
      <c r="W128" s="275"/>
      <c r="X128" s="275"/>
      <c r="Y128" s="275"/>
      <c r="Z128" s="275"/>
      <c r="AA128" s="275"/>
      <c r="AB128" s="275"/>
      <c r="AC128" s="275"/>
      <c r="AD128" s="275"/>
      <c r="AE128" s="275"/>
      <c r="AF128" s="275"/>
      <c r="AG128" s="275"/>
      <c r="AH128" s="275"/>
      <c r="AI128" s="275"/>
      <c r="AJ128" s="275"/>
      <c r="AK128" s="275"/>
      <c r="AL128" s="275"/>
      <c r="AM128" s="275"/>
      <c r="AN128" s="275"/>
      <c r="AO128" s="275"/>
      <c r="AP128" s="275"/>
      <c r="AQ128" s="275"/>
      <c r="AR128" s="275"/>
      <c r="AS128" s="275"/>
      <c r="AT128" s="275"/>
      <c r="AU128" s="275"/>
      <c r="AV128" s="275"/>
      <c r="AW128" s="275"/>
      <c r="AX128" s="275"/>
      <c r="AY128" s="275"/>
      <c r="AZ128" s="275"/>
      <c r="BA128" s="275"/>
      <c r="BB128" s="275"/>
    </row>
  </sheetData>
  <sheetProtection sheet="1" objects="1" scenarios="1" formatCells="0" formatColumns="0" formatRows="0"/>
  <mergeCells count="25">
    <mergeCell ref="AE11:AF11"/>
    <mergeCell ref="AE12:AF12"/>
    <mergeCell ref="AE13:AF13"/>
    <mergeCell ref="AG11:AH11"/>
    <mergeCell ref="AA12:AB12"/>
    <mergeCell ref="AA13:AB13"/>
    <mergeCell ref="AC11:AD11"/>
    <mergeCell ref="AC12:AD12"/>
    <mergeCell ref="AC13:AD13"/>
    <mergeCell ref="B2:F2"/>
    <mergeCell ref="D4:M4"/>
    <mergeCell ref="D11:F11"/>
    <mergeCell ref="AR25:AS25"/>
    <mergeCell ref="AV25:AW25"/>
    <mergeCell ref="AM12:BA12"/>
    <mergeCell ref="AM13:BA13"/>
    <mergeCell ref="AG12:AH12"/>
    <mergeCell ref="AG13:AH13"/>
    <mergeCell ref="I2:J2"/>
    <mergeCell ref="K2:L2"/>
    <mergeCell ref="AX25:AY25"/>
    <mergeCell ref="AZ25:BA25"/>
    <mergeCell ref="D5:M5"/>
    <mergeCell ref="AO25:AP25"/>
    <mergeCell ref="AA11:AB11"/>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theme="2"/>
  </sheetPr>
  <dimension ref="A1:BV100"/>
  <sheetViews>
    <sheetView topLeftCell="B2" zoomScaleNormal="100" workbookViewId="0">
      <selection activeCell="B2" sqref="B2:F2"/>
    </sheetView>
  </sheetViews>
  <sheetFormatPr defaultColWidth="11.453125" defaultRowHeight="10.5" x14ac:dyDescent="0.35"/>
  <cols>
    <col min="1" max="1" width="11.453125" style="220" hidden="1" customWidth="1"/>
    <col min="2" max="2" width="11.453125" style="218"/>
    <col min="3" max="3" width="3.7265625" style="218" customWidth="1"/>
    <col min="4" max="4" width="15.7265625" style="218" customWidth="1"/>
    <col min="5" max="15" width="7.7265625" style="218" customWidth="1"/>
    <col min="16" max="42" width="8.7265625" style="218" customWidth="1"/>
    <col min="43" max="43" width="11.453125" style="220" hidden="1" customWidth="1"/>
    <col min="44" max="74" width="5.7265625" style="220" hidden="1" customWidth="1"/>
    <col min="75" max="16384" width="11.453125" style="218"/>
  </cols>
  <sheetData>
    <row r="1" spans="1:74" s="220" customFormat="1" ht="12.75" hidden="1" customHeight="1" x14ac:dyDescent="0.35">
      <c r="A1" s="220" t="s">
        <v>3</v>
      </c>
      <c r="E1" s="327">
        <v>1</v>
      </c>
      <c r="F1" s="327">
        <v>2</v>
      </c>
      <c r="G1" s="327">
        <v>3</v>
      </c>
      <c r="H1" s="327">
        <v>4</v>
      </c>
      <c r="I1" s="327">
        <v>5</v>
      </c>
      <c r="J1" s="327">
        <v>6</v>
      </c>
      <c r="K1" s="327">
        <v>7</v>
      </c>
      <c r="L1" s="327">
        <v>8</v>
      </c>
      <c r="M1" s="327">
        <v>9</v>
      </c>
      <c r="N1" s="327">
        <v>10</v>
      </c>
      <c r="O1" s="327">
        <v>11</v>
      </c>
      <c r="P1" s="327">
        <v>12</v>
      </c>
      <c r="Q1" s="327">
        <v>13</v>
      </c>
      <c r="R1" s="327">
        <v>14</v>
      </c>
      <c r="S1" s="327">
        <v>15</v>
      </c>
      <c r="T1" s="327">
        <v>16</v>
      </c>
      <c r="U1" s="327">
        <v>17</v>
      </c>
      <c r="V1" s="327">
        <v>18</v>
      </c>
      <c r="W1" s="327">
        <v>19</v>
      </c>
      <c r="X1" s="327">
        <v>20</v>
      </c>
      <c r="Y1" s="327">
        <v>21</v>
      </c>
      <c r="Z1" s="327">
        <v>22</v>
      </c>
      <c r="AA1" s="327">
        <v>23</v>
      </c>
      <c r="AB1" s="327">
        <v>24</v>
      </c>
      <c r="AC1" s="327">
        <v>25</v>
      </c>
      <c r="AD1" s="327">
        <v>26</v>
      </c>
      <c r="AE1" s="327">
        <v>27</v>
      </c>
      <c r="AF1" s="327">
        <v>28</v>
      </c>
      <c r="AG1" s="327">
        <v>29</v>
      </c>
      <c r="AH1" s="327">
        <v>30</v>
      </c>
      <c r="AI1" s="327"/>
      <c r="AJ1" s="327"/>
      <c r="AK1" s="327"/>
      <c r="AL1" s="327"/>
      <c r="AQ1" s="220" t="s">
        <v>3</v>
      </c>
      <c r="AR1" s="220" t="s">
        <v>3</v>
      </c>
      <c r="AS1" s="220" t="s">
        <v>3</v>
      </c>
      <c r="AT1" s="220" t="s">
        <v>3</v>
      </c>
      <c r="AU1" s="220" t="s">
        <v>3</v>
      </c>
      <c r="AV1" s="220" t="s">
        <v>3</v>
      </c>
      <c r="AW1" s="220" t="s">
        <v>3</v>
      </c>
      <c r="AX1" s="220" t="s">
        <v>3</v>
      </c>
      <c r="AY1" s="220" t="s">
        <v>3</v>
      </c>
      <c r="AZ1" s="220" t="s">
        <v>3</v>
      </c>
      <c r="BA1" s="220" t="s">
        <v>3</v>
      </c>
      <c r="BB1" s="220" t="s">
        <v>3</v>
      </c>
      <c r="BC1" s="220" t="s">
        <v>3</v>
      </c>
      <c r="BD1" s="220" t="s">
        <v>3</v>
      </c>
      <c r="BE1" s="220" t="s">
        <v>3</v>
      </c>
      <c r="BF1" s="220" t="s">
        <v>3</v>
      </c>
      <c r="BG1" s="220" t="s">
        <v>3</v>
      </c>
      <c r="BH1" s="220" t="s">
        <v>3</v>
      </c>
      <c r="BI1" s="220" t="s">
        <v>3</v>
      </c>
      <c r="BJ1" s="220" t="s">
        <v>3</v>
      </c>
      <c r="BK1" s="220" t="s">
        <v>3</v>
      </c>
      <c r="BL1" s="220" t="s">
        <v>3</v>
      </c>
      <c r="BM1" s="220" t="s">
        <v>3</v>
      </c>
      <c r="BN1" s="220" t="s">
        <v>3</v>
      </c>
      <c r="BO1" s="220" t="s">
        <v>3</v>
      </c>
      <c r="BP1" s="220" t="s">
        <v>3</v>
      </c>
      <c r="BQ1" s="220" t="s">
        <v>3</v>
      </c>
      <c r="BR1" s="220" t="s">
        <v>3</v>
      </c>
      <c r="BS1" s="220" t="s">
        <v>3</v>
      </c>
      <c r="BT1" s="220" t="s">
        <v>3</v>
      </c>
      <c r="BU1" s="220" t="s">
        <v>3</v>
      </c>
      <c r="BV1" s="220" t="s">
        <v>3</v>
      </c>
    </row>
    <row r="2" spans="1:74" ht="12.75" customHeight="1" x14ac:dyDescent="0.35">
      <c r="E2" s="219"/>
      <c r="F2" s="219"/>
      <c r="G2" s="219"/>
      <c r="H2" s="219"/>
      <c r="I2" s="219"/>
      <c r="J2" s="219"/>
      <c r="K2" s="219"/>
      <c r="L2" s="219"/>
      <c r="M2" s="219"/>
      <c r="N2" s="219"/>
      <c r="O2" s="219"/>
    </row>
    <row r="3" spans="1:74" ht="12.75" customHeight="1" x14ac:dyDescent="0.35">
      <c r="D3" s="1470" t="s">
        <v>638</v>
      </c>
      <c r="E3" s="1470"/>
      <c r="F3" s="1470"/>
      <c r="G3" s="1470"/>
      <c r="H3" s="1470"/>
      <c r="I3" s="1470"/>
      <c r="J3" s="1470"/>
      <c r="K3" s="1470"/>
      <c r="L3" s="1470"/>
      <c r="M3" s="1470"/>
      <c r="N3" s="1470"/>
      <c r="O3" s="1470"/>
      <c r="P3" s="1470"/>
      <c r="Q3" s="1470"/>
      <c r="R3" s="1470"/>
      <c r="S3" s="1470"/>
      <c r="T3" s="1470"/>
      <c r="U3" s="1470"/>
      <c r="V3" s="1470"/>
      <c r="W3" s="1470"/>
      <c r="X3" s="1470"/>
      <c r="Y3" s="1470"/>
      <c r="Z3" s="1470"/>
      <c r="AA3" s="1470"/>
      <c r="AB3" s="1470"/>
      <c r="AC3" s="1470"/>
      <c r="AD3" s="1470"/>
      <c r="AE3" s="1470"/>
      <c r="AF3" s="1470"/>
      <c r="AG3" s="1470"/>
      <c r="AH3" s="1470"/>
    </row>
    <row r="4" spans="1:74" ht="12.75" customHeight="1" x14ac:dyDescent="0.35">
      <c r="E4" s="219"/>
      <c r="F4" s="219"/>
      <c r="G4" s="219"/>
      <c r="H4" s="219"/>
      <c r="I4" s="219"/>
      <c r="J4" s="219"/>
      <c r="K4" s="219"/>
      <c r="L4" s="219"/>
      <c r="M4" s="219"/>
      <c r="N4" s="219"/>
      <c r="O4" s="219"/>
    </row>
    <row r="5" spans="1:74" ht="12.75" customHeight="1" thickBot="1" x14ac:dyDescent="0.4">
      <c r="E5" s="221" t="s">
        <v>202</v>
      </c>
      <c r="F5" s="219"/>
      <c r="G5" s="219"/>
      <c r="H5" s="219"/>
      <c r="I5" s="219"/>
      <c r="J5" s="219"/>
      <c r="K5" s="219"/>
      <c r="L5" s="219"/>
      <c r="M5" s="219"/>
      <c r="N5" s="219"/>
      <c r="O5" s="221" t="s">
        <v>590</v>
      </c>
      <c r="AR5" s="220">
        <f t="shared" ref="AR5:BC5" si="0">E1</f>
        <v>1</v>
      </c>
      <c r="AS5" s="220">
        <f t="shared" si="0"/>
        <v>2</v>
      </c>
      <c r="AT5" s="220">
        <f t="shared" si="0"/>
        <v>3</v>
      </c>
      <c r="AU5" s="220">
        <f t="shared" si="0"/>
        <v>4</v>
      </c>
      <c r="AV5" s="220">
        <f t="shared" si="0"/>
        <v>5</v>
      </c>
      <c r="AW5" s="220">
        <f t="shared" si="0"/>
        <v>6</v>
      </c>
      <c r="AX5" s="220">
        <f t="shared" si="0"/>
        <v>7</v>
      </c>
      <c r="AY5" s="220">
        <f t="shared" si="0"/>
        <v>8</v>
      </c>
      <c r="AZ5" s="220">
        <f t="shared" si="0"/>
        <v>9</v>
      </c>
      <c r="BA5" s="220">
        <f t="shared" si="0"/>
        <v>10</v>
      </c>
      <c r="BB5" s="220">
        <f t="shared" si="0"/>
        <v>11</v>
      </c>
      <c r="BC5" s="220">
        <f t="shared" si="0"/>
        <v>12</v>
      </c>
      <c r="BD5" s="220">
        <f t="shared" ref="BD5:BT5" si="1">Q1</f>
        <v>13</v>
      </c>
      <c r="BE5" s="220">
        <f t="shared" si="1"/>
        <v>14</v>
      </c>
      <c r="BF5" s="220">
        <f t="shared" si="1"/>
        <v>15</v>
      </c>
      <c r="BG5" s="220">
        <f t="shared" si="1"/>
        <v>16</v>
      </c>
      <c r="BH5" s="220">
        <f t="shared" si="1"/>
        <v>17</v>
      </c>
      <c r="BI5" s="220">
        <f t="shared" si="1"/>
        <v>18</v>
      </c>
      <c r="BJ5" s="220">
        <f t="shared" si="1"/>
        <v>19</v>
      </c>
      <c r="BK5" s="220">
        <f t="shared" si="1"/>
        <v>20</v>
      </c>
      <c r="BL5" s="220">
        <f t="shared" si="1"/>
        <v>21</v>
      </c>
      <c r="BM5" s="220">
        <f t="shared" si="1"/>
        <v>22</v>
      </c>
      <c r="BN5" s="220">
        <f t="shared" si="1"/>
        <v>23</v>
      </c>
      <c r="BO5" s="220">
        <f t="shared" si="1"/>
        <v>24</v>
      </c>
      <c r="BP5" s="220">
        <f t="shared" si="1"/>
        <v>25</v>
      </c>
      <c r="BQ5" s="220">
        <f t="shared" si="1"/>
        <v>26</v>
      </c>
      <c r="BR5" s="220">
        <f t="shared" si="1"/>
        <v>27</v>
      </c>
      <c r="BS5" s="220">
        <f t="shared" si="1"/>
        <v>28</v>
      </c>
      <c r="BT5" s="220">
        <f t="shared" si="1"/>
        <v>29</v>
      </c>
      <c r="BU5" s="220">
        <f>AH1</f>
        <v>30</v>
      </c>
    </row>
    <row r="6" spans="1:74" ht="12.75" customHeight="1" x14ac:dyDescent="0.35">
      <c r="D6" s="602" t="s">
        <v>341</v>
      </c>
      <c r="E6" s="328" t="str">
        <f t="shared" ref="E6:AH6" si="2">INDEX($D$7:$D$36,E1)</f>
        <v/>
      </c>
      <c r="F6" s="329" t="str">
        <f t="shared" si="2"/>
        <v/>
      </c>
      <c r="G6" s="329" t="str">
        <f t="shared" si="2"/>
        <v/>
      </c>
      <c r="H6" s="329" t="str">
        <f t="shared" si="2"/>
        <v/>
      </c>
      <c r="I6" s="329" t="str">
        <f t="shared" si="2"/>
        <v/>
      </c>
      <c r="J6" s="329" t="str">
        <f t="shared" si="2"/>
        <v/>
      </c>
      <c r="K6" s="329" t="str">
        <f t="shared" si="2"/>
        <v/>
      </c>
      <c r="L6" s="329" t="str">
        <f t="shared" si="2"/>
        <v/>
      </c>
      <c r="M6" s="329" t="str">
        <f t="shared" si="2"/>
        <v/>
      </c>
      <c r="N6" s="330" t="str">
        <f t="shared" si="2"/>
        <v/>
      </c>
      <c r="O6" s="328" t="str">
        <f t="shared" si="2"/>
        <v/>
      </c>
      <c r="P6" s="329" t="str">
        <f t="shared" si="2"/>
        <v/>
      </c>
      <c r="Q6" s="329" t="str">
        <f t="shared" si="2"/>
        <v/>
      </c>
      <c r="R6" s="329" t="str">
        <f t="shared" si="2"/>
        <v/>
      </c>
      <c r="S6" s="329" t="str">
        <f t="shared" si="2"/>
        <v/>
      </c>
      <c r="T6" s="329" t="str">
        <f t="shared" si="2"/>
        <v/>
      </c>
      <c r="U6" s="329" t="str">
        <f t="shared" si="2"/>
        <v/>
      </c>
      <c r="V6" s="329" t="str">
        <f t="shared" si="2"/>
        <v/>
      </c>
      <c r="W6" s="329" t="str">
        <f t="shared" si="2"/>
        <v/>
      </c>
      <c r="X6" s="329" t="str">
        <f t="shared" si="2"/>
        <v/>
      </c>
      <c r="Y6" s="329" t="str">
        <f t="shared" si="2"/>
        <v/>
      </c>
      <c r="Z6" s="329" t="str">
        <f t="shared" si="2"/>
        <v/>
      </c>
      <c r="AA6" s="329" t="str">
        <f t="shared" si="2"/>
        <v/>
      </c>
      <c r="AB6" s="329" t="str">
        <f t="shared" si="2"/>
        <v/>
      </c>
      <c r="AC6" s="329" t="str">
        <f t="shared" si="2"/>
        <v/>
      </c>
      <c r="AD6" s="329" t="str">
        <f t="shared" si="2"/>
        <v/>
      </c>
      <c r="AE6" s="329" t="str">
        <f t="shared" si="2"/>
        <v/>
      </c>
      <c r="AF6" s="329" t="str">
        <f t="shared" si="2"/>
        <v/>
      </c>
      <c r="AG6" s="329" t="str">
        <f t="shared" si="2"/>
        <v/>
      </c>
      <c r="AH6" s="330" t="str">
        <f t="shared" si="2"/>
        <v/>
      </c>
      <c r="AR6" s="226"/>
      <c r="AS6" s="226"/>
      <c r="AT6" s="226"/>
      <c r="AU6" s="226"/>
      <c r="AV6" s="226"/>
      <c r="AW6" s="226"/>
      <c r="AX6" s="226"/>
      <c r="AY6" s="226"/>
      <c r="AZ6" s="226"/>
      <c r="BA6" s="226"/>
      <c r="BB6" s="226"/>
      <c r="BC6" s="226"/>
      <c r="BD6" s="226"/>
      <c r="BE6" s="226"/>
      <c r="BF6" s="226"/>
      <c r="BG6" s="226"/>
      <c r="BH6" s="226"/>
      <c r="BI6" s="226"/>
      <c r="BJ6" s="226"/>
      <c r="BK6" s="226"/>
      <c r="BL6" s="226"/>
      <c r="BM6" s="226"/>
      <c r="BN6" s="226"/>
      <c r="BO6" s="226"/>
      <c r="BP6" s="226"/>
      <c r="BQ6" s="226"/>
      <c r="BR6" s="226"/>
      <c r="BS6" s="226"/>
      <c r="BT6" s="226"/>
      <c r="BU6" s="226"/>
      <c r="BV6" s="222"/>
    </row>
    <row r="7" spans="1:74" ht="12.75" customHeight="1" x14ac:dyDescent="0.35">
      <c r="B7" s="218" t="s">
        <v>201</v>
      </c>
      <c r="C7" s="223">
        <v>1</v>
      </c>
      <c r="D7" s="336" t="str">
        <f t="shared" ref="D7:D16" si="3">IF(INDEX(CNTR_List_ExistProdProcNames,C7)=CONST_NA,"",INDEX(CNTR_List_ExistProdProcNames,C7))</f>
        <v/>
      </c>
      <c r="E7" s="331">
        <f>IFERROR(SUMIF(D_Processes!$R:$R,CONST_PrecursorToGoodInput &amp; E$6 &amp; "_" &amp; $D7,D_Processes!$T:$T)/SUMIF(D_Processes!$R:$R,CONST_CNTR_TotProd &amp; $D7,D_Processes!$T:$T),0)</f>
        <v>0</v>
      </c>
      <c r="F7" s="224">
        <f>IFERROR(SUMIF(D_Processes!$R:$R,CONST_PrecursorToGoodInput &amp; F$6 &amp; "_" &amp; $D7,D_Processes!$T:$T)/SUMIF(D_Processes!$R:$R,CONST_CNTR_TotProd &amp; $D7,D_Processes!$T:$T),0)</f>
        <v>0</v>
      </c>
      <c r="G7" s="224">
        <f>IFERROR(SUMIF(D_Processes!$R:$R,CONST_PrecursorToGoodInput &amp; G$6 &amp; "_" &amp; $D7,D_Processes!$T:$T)/SUMIF(D_Processes!$R:$R,CONST_CNTR_TotProd &amp; $D7,D_Processes!$T:$T),0)</f>
        <v>0</v>
      </c>
      <c r="H7" s="224">
        <f>IFERROR(SUMIF(D_Processes!$R:$R,CONST_PrecursorToGoodInput &amp; H$6 &amp; "_" &amp; $D7,D_Processes!$T:$T)/SUMIF(D_Processes!$R:$R,CONST_CNTR_TotProd &amp; $D7,D_Processes!$T:$T),0)</f>
        <v>0</v>
      </c>
      <c r="I7" s="224">
        <f>IFERROR(SUMIF(D_Processes!$R:$R,CONST_PrecursorToGoodInput &amp; I$6 &amp; "_" &amp; $D7,D_Processes!$T:$T)/SUMIF(D_Processes!$R:$R,CONST_CNTR_TotProd &amp; $D7,D_Processes!$T:$T),0)</f>
        <v>0</v>
      </c>
      <c r="J7" s="224">
        <f>IFERROR(SUMIF(D_Processes!$R:$R,CONST_PrecursorToGoodInput &amp; J$6 &amp; "_" &amp; $D7,D_Processes!$T:$T)/SUMIF(D_Processes!$R:$R,CONST_CNTR_TotProd &amp; $D7,D_Processes!$T:$T),0)</f>
        <v>0</v>
      </c>
      <c r="K7" s="224">
        <f>IFERROR(SUMIF(D_Processes!$R:$R,CONST_PrecursorToGoodInput &amp; K$6 &amp; "_" &amp; $D7,D_Processes!$T:$T)/SUMIF(D_Processes!$R:$R,CONST_CNTR_TotProd &amp; $D7,D_Processes!$T:$T),0)</f>
        <v>0</v>
      </c>
      <c r="L7" s="224">
        <f>IFERROR(SUMIF(D_Processes!$R:$R,CONST_PrecursorToGoodInput &amp; L$6 &amp; "_" &amp; $D7,D_Processes!$T:$T)/SUMIF(D_Processes!$R:$R,CONST_CNTR_TotProd &amp; $D7,D_Processes!$T:$T),0)</f>
        <v>0</v>
      </c>
      <c r="M7" s="224">
        <f>IFERROR(SUMIF(D_Processes!$R:$R,CONST_PrecursorToGoodInput &amp; M$6 &amp; "_" &amp; $D7,D_Processes!$T:$T)/SUMIF(D_Processes!$R:$R,CONST_CNTR_TotProd &amp; $D7,D_Processes!$T:$T),0)</f>
        <v>0</v>
      </c>
      <c r="N7" s="332">
        <f>IFERROR(SUMIF(D_Processes!$R:$R,CONST_PrecursorToGoodInput &amp; N$6 &amp; "_" &amp; $D7,D_Processes!$T:$T)/SUMIF(D_Processes!$R:$R,CONST_CNTR_TotProd &amp; $D7,D_Processes!$T:$T),0)</f>
        <v>0</v>
      </c>
      <c r="O7" s="331">
        <f>IFERROR(SUMIF(E_PurchPrec!$R:$R,CONST_PrecursorToGoodInput &amp; O$6 &amp; "_" &amp; $D7,E_PurchPrec!$T:$T)/SUMIF(D_Processes!$R:$R,CONST_CNTR_TotProd &amp; $D7,D_Processes!$T:$T),0)</f>
        <v>0</v>
      </c>
      <c r="P7" s="224">
        <f>IFERROR(SUMIF(E_PurchPrec!$R:$R,CONST_PrecursorToGoodInput &amp; P$6 &amp; "_" &amp; $D7,E_PurchPrec!$T:$T)/SUMIF(D_Processes!$R:$R,CONST_CNTR_TotProd &amp; $D7,D_Processes!$T:$T),0)</f>
        <v>0</v>
      </c>
      <c r="Q7" s="224">
        <f>IFERROR(SUMIF(E_PurchPrec!$R:$R,CONST_PrecursorToGoodInput &amp; Q$6 &amp; "_" &amp; $D7,E_PurchPrec!$T:$T)/SUMIF(D_Processes!$R:$R,CONST_CNTR_TotProd &amp; $D7,D_Processes!$T:$T),0)</f>
        <v>0</v>
      </c>
      <c r="R7" s="224">
        <f>IFERROR(SUMIF(E_PurchPrec!$R:$R,CONST_PrecursorToGoodInput &amp; R$6 &amp; "_" &amp; $D7,E_PurchPrec!$T:$T)/SUMIF(D_Processes!$R:$R,CONST_CNTR_TotProd &amp; $D7,D_Processes!$T:$T),0)</f>
        <v>0</v>
      </c>
      <c r="S7" s="224">
        <f>IFERROR(SUMIF(E_PurchPrec!$R:$R,CONST_PrecursorToGoodInput &amp; S$6 &amp; "_" &amp; $D7,E_PurchPrec!$T:$T)/SUMIF(D_Processes!$R:$R,CONST_CNTR_TotProd &amp; $D7,D_Processes!$T:$T),0)</f>
        <v>0</v>
      </c>
      <c r="T7" s="224">
        <f>IFERROR(SUMIF(E_PurchPrec!$R:$R,CONST_PrecursorToGoodInput &amp; T$6 &amp; "_" &amp; $D7,E_PurchPrec!$T:$T)/SUMIF(D_Processes!$R:$R,CONST_CNTR_TotProd &amp; $D7,D_Processes!$T:$T),0)</f>
        <v>0</v>
      </c>
      <c r="U7" s="224">
        <f>IFERROR(SUMIF(E_PurchPrec!$R:$R,CONST_PrecursorToGoodInput &amp; U$6 &amp; "_" &amp; $D7,E_PurchPrec!$T:$T)/SUMIF(D_Processes!$R:$R,CONST_CNTR_TotProd &amp; $D7,D_Processes!$T:$T),0)</f>
        <v>0</v>
      </c>
      <c r="V7" s="224">
        <f>IFERROR(SUMIF(E_PurchPrec!$R:$R,CONST_PrecursorToGoodInput &amp; V$6 &amp; "_" &amp; $D7,E_PurchPrec!$T:$T)/SUMIF(D_Processes!$R:$R,CONST_CNTR_TotProd &amp; $D7,D_Processes!$T:$T),0)</f>
        <v>0</v>
      </c>
      <c r="W7" s="224">
        <f>IFERROR(SUMIF(E_PurchPrec!$R:$R,CONST_PrecursorToGoodInput &amp; W$6 &amp; "_" &amp; $D7,E_PurchPrec!$T:$T)/SUMIF(D_Processes!$R:$R,CONST_CNTR_TotProd &amp; $D7,D_Processes!$T:$T),0)</f>
        <v>0</v>
      </c>
      <c r="X7" s="224">
        <f>IFERROR(SUMIF(E_PurchPrec!$R:$R,CONST_PrecursorToGoodInput &amp; X$6 &amp; "_" &amp; $D7,E_PurchPrec!$T:$T)/SUMIF(D_Processes!$R:$R,CONST_CNTR_TotProd &amp; $D7,D_Processes!$T:$T),0)</f>
        <v>0</v>
      </c>
      <c r="Y7" s="224">
        <f>IFERROR(SUMIF(E_PurchPrec!$R:$R,CONST_PrecursorToGoodInput &amp; Y$6 &amp; "_" &amp; $D7,E_PurchPrec!$T:$T)/SUMIF(D_Processes!$R:$R,CONST_CNTR_TotProd &amp; $D7,D_Processes!$T:$T),0)</f>
        <v>0</v>
      </c>
      <c r="Z7" s="224">
        <f>IFERROR(SUMIF(E_PurchPrec!$R:$R,CONST_PrecursorToGoodInput &amp; Z$6 &amp; "_" &amp; $D7,E_PurchPrec!$T:$T)/SUMIF(D_Processes!$R:$R,CONST_CNTR_TotProd &amp; $D7,D_Processes!$T:$T),0)</f>
        <v>0</v>
      </c>
      <c r="AA7" s="224">
        <f>IFERROR(SUMIF(E_PurchPrec!$R:$R,CONST_PrecursorToGoodInput &amp; AA$6 &amp; "_" &amp; $D7,E_PurchPrec!$T:$T)/SUMIF(D_Processes!$R:$R,CONST_CNTR_TotProd &amp; $D7,D_Processes!$T:$T),0)</f>
        <v>0</v>
      </c>
      <c r="AB7" s="224">
        <f>IFERROR(SUMIF(E_PurchPrec!$R:$R,CONST_PrecursorToGoodInput &amp; AB$6 &amp; "_" &amp; $D7,E_PurchPrec!$T:$T)/SUMIF(D_Processes!$R:$R,CONST_CNTR_TotProd &amp; $D7,D_Processes!$T:$T),0)</f>
        <v>0</v>
      </c>
      <c r="AC7" s="224">
        <f>IFERROR(SUMIF(E_PurchPrec!$R:$R,CONST_PrecursorToGoodInput &amp; AC$6 &amp; "_" &amp; $D7,E_PurchPrec!$T:$T)/SUMIF(D_Processes!$R:$R,CONST_CNTR_TotProd &amp; $D7,D_Processes!$T:$T),0)</f>
        <v>0</v>
      </c>
      <c r="AD7" s="224">
        <f>IFERROR(SUMIF(E_PurchPrec!$R:$R,CONST_PrecursorToGoodInput &amp; AD$6 &amp; "_" &amp; $D7,E_PurchPrec!$T:$T)/SUMIF(D_Processes!$R:$R,CONST_CNTR_TotProd &amp; $D7,D_Processes!$T:$T),0)</f>
        <v>0</v>
      </c>
      <c r="AE7" s="224">
        <f>IFERROR(SUMIF(E_PurchPrec!$R:$R,CONST_PrecursorToGoodInput &amp; AE$6 &amp; "_" &amp; $D7,E_PurchPrec!$T:$T)/SUMIF(D_Processes!$R:$R,CONST_CNTR_TotProd &amp; $D7,D_Processes!$T:$T),0)</f>
        <v>0</v>
      </c>
      <c r="AF7" s="224">
        <f>IFERROR(SUMIF(E_PurchPrec!$R:$R,CONST_PrecursorToGoodInput &amp; AF$6 &amp; "_" &amp; $D7,E_PurchPrec!$T:$T)/SUMIF(D_Processes!$R:$R,CONST_CNTR_TotProd &amp; $D7,D_Processes!$T:$T),0)</f>
        <v>0</v>
      </c>
      <c r="AG7" s="224">
        <f>IFERROR(SUMIF(E_PurchPrec!$R:$R,CONST_PrecursorToGoodInput &amp; AG$6 &amp; "_" &amp; $D7,E_PurchPrec!$T:$T)/SUMIF(D_Processes!$R:$R,CONST_CNTR_TotProd &amp; $D7,D_Processes!$T:$T),0)</f>
        <v>0</v>
      </c>
      <c r="AH7" s="332">
        <f>IFERROR(SUMIF(E_PurchPrec!$R:$R,CONST_PrecursorToGoodInput &amp; AH$6 &amp; "_" &amp; $D7,E_PurchPrec!$T:$T)/SUMIF(D_Processes!$R:$R,CONST_CNTR_TotProd &amp; $D7,D_Processes!$T:$T),0)</f>
        <v>0</v>
      </c>
      <c r="AR7" s="226"/>
      <c r="AS7" s="226"/>
      <c r="AT7" s="226"/>
      <c r="AU7" s="226"/>
      <c r="AV7" s="226"/>
      <c r="AW7" s="226"/>
      <c r="AX7" s="226"/>
      <c r="AY7" s="226"/>
      <c r="AZ7" s="226"/>
      <c r="BA7" s="226"/>
      <c r="BB7" s="226"/>
      <c r="BC7" s="226"/>
      <c r="BD7" s="226"/>
      <c r="BE7" s="226"/>
      <c r="BF7" s="226"/>
      <c r="BG7" s="226"/>
      <c r="BH7" s="226"/>
      <c r="BI7" s="226"/>
      <c r="BJ7" s="226"/>
      <c r="BK7" s="226"/>
      <c r="BL7" s="226"/>
      <c r="BM7" s="226"/>
      <c r="BN7" s="226"/>
      <c r="BO7" s="226"/>
      <c r="BP7" s="226"/>
      <c r="BQ7" s="226"/>
      <c r="BR7" s="226"/>
      <c r="BS7" s="226"/>
      <c r="BT7" s="226"/>
      <c r="BU7" s="226"/>
      <c r="BV7" s="226"/>
    </row>
    <row r="8" spans="1:74" ht="12.75" customHeight="1" x14ac:dyDescent="0.35">
      <c r="C8" s="223">
        <v>2</v>
      </c>
      <c r="D8" s="336" t="str">
        <f t="shared" si="3"/>
        <v/>
      </c>
      <c r="E8" s="331">
        <f>IFERROR(SUMIF(D_Processes!$R:$R,CONST_PrecursorToGoodInput &amp; E$6 &amp; "_" &amp; $D8,D_Processes!$T:$T)/SUMIF(D_Processes!$R:$R,CONST_CNTR_TotProd &amp; $D8,D_Processes!$T:$T),0)</f>
        <v>0</v>
      </c>
      <c r="F8" s="224">
        <f>IFERROR(SUMIF(D_Processes!$R:$R,CONST_PrecursorToGoodInput &amp; F$6 &amp; "_" &amp; $D8,D_Processes!$T:$T)/SUMIF(D_Processes!$R:$R,CONST_CNTR_TotProd &amp; $D8,D_Processes!$T:$T),0)</f>
        <v>0</v>
      </c>
      <c r="G8" s="224">
        <f>IFERROR(SUMIF(D_Processes!$R:$R,CONST_PrecursorToGoodInput &amp; G$6 &amp; "_" &amp; $D8,D_Processes!$T:$T)/SUMIF(D_Processes!$R:$R,CONST_CNTR_TotProd &amp; $D8,D_Processes!$T:$T),0)</f>
        <v>0</v>
      </c>
      <c r="H8" s="224">
        <f>IFERROR(SUMIF(D_Processes!$R:$R,CONST_PrecursorToGoodInput &amp; H$6 &amp; "_" &amp; $D8,D_Processes!$T:$T)/SUMIF(D_Processes!$R:$R,CONST_CNTR_TotProd &amp; $D8,D_Processes!$T:$T),0)</f>
        <v>0</v>
      </c>
      <c r="I8" s="224">
        <f>IFERROR(SUMIF(D_Processes!$R:$R,CONST_PrecursorToGoodInput &amp; I$6 &amp; "_" &amp; $D8,D_Processes!$T:$T)/SUMIF(D_Processes!$R:$R,CONST_CNTR_TotProd &amp; $D8,D_Processes!$T:$T),0)</f>
        <v>0</v>
      </c>
      <c r="J8" s="224">
        <f>IFERROR(SUMIF(D_Processes!$R:$R,CONST_PrecursorToGoodInput &amp; J$6 &amp; "_" &amp; $D8,D_Processes!$T:$T)/SUMIF(D_Processes!$R:$R,CONST_CNTR_TotProd &amp; $D8,D_Processes!$T:$T),0)</f>
        <v>0</v>
      </c>
      <c r="K8" s="224">
        <f>IFERROR(SUMIF(D_Processes!$R:$R,CONST_PrecursorToGoodInput &amp; K$6 &amp; "_" &amp; $D8,D_Processes!$T:$T)/SUMIF(D_Processes!$R:$R,CONST_CNTR_TotProd &amp; $D8,D_Processes!$T:$T),0)</f>
        <v>0</v>
      </c>
      <c r="L8" s="224">
        <f>IFERROR(SUMIF(D_Processes!$R:$R,CONST_PrecursorToGoodInput &amp; L$6 &amp; "_" &amp; $D8,D_Processes!$T:$T)/SUMIF(D_Processes!$R:$R,CONST_CNTR_TotProd &amp; $D8,D_Processes!$T:$T),0)</f>
        <v>0</v>
      </c>
      <c r="M8" s="224">
        <f>IFERROR(SUMIF(D_Processes!$R:$R,CONST_PrecursorToGoodInput &amp; M$6 &amp; "_" &amp; $D8,D_Processes!$T:$T)/SUMIF(D_Processes!$R:$R,CONST_CNTR_TotProd &amp; $D8,D_Processes!$T:$T),0)</f>
        <v>0</v>
      </c>
      <c r="N8" s="332">
        <f>IFERROR(SUMIF(D_Processes!$R:$R,CONST_PrecursorToGoodInput &amp; N$6 &amp; "_" &amp; $D8,D_Processes!$T:$T)/SUMIF(D_Processes!$R:$R,CONST_CNTR_TotProd &amp; $D8,D_Processes!$T:$T),0)</f>
        <v>0</v>
      </c>
      <c r="O8" s="331">
        <f>IFERROR(SUMIF(E_PurchPrec!$R:$R,CONST_PrecursorToGoodInput &amp; O$6 &amp; "_" &amp; $D8,E_PurchPrec!$T:$T)/SUMIF(D_Processes!$R:$R,CONST_CNTR_TotProd &amp; $D8,D_Processes!$T:$T),0)</f>
        <v>0</v>
      </c>
      <c r="P8" s="224">
        <f>IFERROR(SUMIF(E_PurchPrec!$R:$R,CONST_PrecursorToGoodInput &amp; P$6 &amp; "_" &amp; $D8,E_PurchPrec!$T:$T)/SUMIF(D_Processes!$R:$R,CONST_CNTR_TotProd &amp; $D8,D_Processes!$T:$T),0)</f>
        <v>0</v>
      </c>
      <c r="Q8" s="224">
        <f>IFERROR(SUMIF(E_PurchPrec!$R:$R,CONST_PrecursorToGoodInput &amp; Q$6 &amp; "_" &amp; $D8,E_PurchPrec!$T:$T)/SUMIF(D_Processes!$R:$R,CONST_CNTR_TotProd &amp; $D8,D_Processes!$T:$T),0)</f>
        <v>0</v>
      </c>
      <c r="R8" s="224">
        <f>IFERROR(SUMIF(E_PurchPrec!$R:$R,CONST_PrecursorToGoodInput &amp; R$6 &amp; "_" &amp; $D8,E_PurchPrec!$T:$T)/SUMIF(D_Processes!$R:$R,CONST_CNTR_TotProd &amp; $D8,D_Processes!$T:$T),0)</f>
        <v>0</v>
      </c>
      <c r="S8" s="224">
        <f>IFERROR(SUMIF(E_PurchPrec!$R:$R,CONST_PrecursorToGoodInput &amp; S$6 &amp; "_" &amp; $D8,E_PurchPrec!$T:$T)/SUMIF(D_Processes!$R:$R,CONST_CNTR_TotProd &amp; $D8,D_Processes!$T:$T),0)</f>
        <v>0</v>
      </c>
      <c r="T8" s="224">
        <f>IFERROR(SUMIF(E_PurchPrec!$R:$R,CONST_PrecursorToGoodInput &amp; T$6 &amp; "_" &amp; $D8,E_PurchPrec!$T:$T)/SUMIF(D_Processes!$R:$R,CONST_CNTR_TotProd &amp; $D8,D_Processes!$T:$T),0)</f>
        <v>0</v>
      </c>
      <c r="U8" s="224">
        <f>IFERROR(SUMIF(E_PurchPrec!$R:$R,CONST_PrecursorToGoodInput &amp; U$6 &amp; "_" &amp; $D8,E_PurchPrec!$T:$T)/SUMIF(D_Processes!$R:$R,CONST_CNTR_TotProd &amp; $D8,D_Processes!$T:$T),0)</f>
        <v>0</v>
      </c>
      <c r="V8" s="224">
        <f>IFERROR(SUMIF(E_PurchPrec!$R:$R,CONST_PrecursorToGoodInput &amp; V$6 &amp; "_" &amp; $D8,E_PurchPrec!$T:$T)/SUMIF(D_Processes!$R:$R,CONST_CNTR_TotProd &amp; $D8,D_Processes!$T:$T),0)</f>
        <v>0</v>
      </c>
      <c r="W8" s="224">
        <f>IFERROR(SUMIF(E_PurchPrec!$R:$R,CONST_PrecursorToGoodInput &amp; W$6 &amp; "_" &amp; $D8,E_PurchPrec!$T:$T)/SUMIF(D_Processes!$R:$R,CONST_CNTR_TotProd &amp; $D8,D_Processes!$T:$T),0)</f>
        <v>0</v>
      </c>
      <c r="X8" s="224">
        <f>IFERROR(SUMIF(E_PurchPrec!$R:$R,CONST_PrecursorToGoodInput &amp; X$6 &amp; "_" &amp; $D8,E_PurchPrec!$T:$T)/SUMIF(D_Processes!$R:$R,CONST_CNTR_TotProd &amp; $D8,D_Processes!$T:$T),0)</f>
        <v>0</v>
      </c>
      <c r="Y8" s="224">
        <f>IFERROR(SUMIF(E_PurchPrec!$R:$R,CONST_PrecursorToGoodInput &amp; Y$6 &amp; "_" &amp; $D8,E_PurchPrec!$T:$T)/SUMIF(D_Processes!$R:$R,CONST_CNTR_TotProd &amp; $D8,D_Processes!$T:$T),0)</f>
        <v>0</v>
      </c>
      <c r="Z8" s="224">
        <f>IFERROR(SUMIF(E_PurchPrec!$R:$R,CONST_PrecursorToGoodInput &amp; Z$6 &amp; "_" &amp; $D8,E_PurchPrec!$T:$T)/SUMIF(D_Processes!$R:$R,CONST_CNTR_TotProd &amp; $D8,D_Processes!$T:$T),0)</f>
        <v>0</v>
      </c>
      <c r="AA8" s="224">
        <f>IFERROR(SUMIF(E_PurchPrec!$R:$R,CONST_PrecursorToGoodInput &amp; AA$6 &amp; "_" &amp; $D8,E_PurchPrec!$T:$T)/SUMIF(D_Processes!$R:$R,CONST_CNTR_TotProd &amp; $D8,D_Processes!$T:$T),0)</f>
        <v>0</v>
      </c>
      <c r="AB8" s="224">
        <f>IFERROR(SUMIF(E_PurchPrec!$R:$R,CONST_PrecursorToGoodInput &amp; AB$6 &amp; "_" &amp; $D8,E_PurchPrec!$T:$T)/SUMIF(D_Processes!$R:$R,CONST_CNTR_TotProd &amp; $D8,D_Processes!$T:$T),0)</f>
        <v>0</v>
      </c>
      <c r="AC8" s="224">
        <f>IFERROR(SUMIF(E_PurchPrec!$R:$R,CONST_PrecursorToGoodInput &amp; AC$6 &amp; "_" &amp; $D8,E_PurchPrec!$T:$T)/SUMIF(D_Processes!$R:$R,CONST_CNTR_TotProd &amp; $D8,D_Processes!$T:$T),0)</f>
        <v>0</v>
      </c>
      <c r="AD8" s="224">
        <f>IFERROR(SUMIF(E_PurchPrec!$R:$R,CONST_PrecursorToGoodInput &amp; AD$6 &amp; "_" &amp; $D8,E_PurchPrec!$T:$T)/SUMIF(D_Processes!$R:$R,CONST_CNTR_TotProd &amp; $D8,D_Processes!$T:$T),0)</f>
        <v>0</v>
      </c>
      <c r="AE8" s="224">
        <f>IFERROR(SUMIF(E_PurchPrec!$R:$R,CONST_PrecursorToGoodInput &amp; AE$6 &amp; "_" &amp; $D8,E_PurchPrec!$T:$T)/SUMIF(D_Processes!$R:$R,CONST_CNTR_TotProd &amp; $D8,D_Processes!$T:$T),0)</f>
        <v>0</v>
      </c>
      <c r="AF8" s="224">
        <f>IFERROR(SUMIF(E_PurchPrec!$R:$R,CONST_PrecursorToGoodInput &amp; AF$6 &amp; "_" &amp; $D8,E_PurchPrec!$T:$T)/SUMIF(D_Processes!$R:$R,CONST_CNTR_TotProd &amp; $D8,D_Processes!$T:$T),0)</f>
        <v>0</v>
      </c>
      <c r="AG8" s="224">
        <f>IFERROR(SUMIF(E_PurchPrec!$R:$R,CONST_PrecursorToGoodInput &amp; AG$6 &amp; "_" &amp; $D8,E_PurchPrec!$T:$T)/SUMIF(D_Processes!$R:$R,CONST_CNTR_TotProd &amp; $D8,D_Processes!$T:$T),0)</f>
        <v>0</v>
      </c>
      <c r="AH8" s="332">
        <f>IFERROR(SUMIF(E_PurchPrec!$R:$R,CONST_PrecursorToGoodInput &amp; AH$6 &amp; "_" &amp; $D8,E_PurchPrec!$T:$T)/SUMIF(D_Processes!$R:$R,CONST_CNTR_TotProd &amp; $D8,D_Processes!$T:$T),0)</f>
        <v>0</v>
      </c>
      <c r="AR8" s="226"/>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row>
    <row r="9" spans="1:74" ht="12.75" customHeight="1" x14ac:dyDescent="0.35">
      <c r="C9" s="223">
        <v>3</v>
      </c>
      <c r="D9" s="336" t="str">
        <f t="shared" si="3"/>
        <v/>
      </c>
      <c r="E9" s="331">
        <f>IFERROR(SUMIF(D_Processes!$R:$R,CONST_PrecursorToGoodInput &amp; E$6 &amp; "_" &amp; $D9,D_Processes!$T:$T)/SUMIF(D_Processes!$R:$R,CONST_CNTR_TotProd &amp; $D9,D_Processes!$T:$T),0)</f>
        <v>0</v>
      </c>
      <c r="F9" s="224">
        <f>IFERROR(SUMIF(D_Processes!$R:$R,CONST_PrecursorToGoodInput &amp; F$6 &amp; "_" &amp; $D9,D_Processes!$T:$T)/SUMIF(D_Processes!$R:$R,CONST_CNTR_TotProd &amp; $D9,D_Processes!$T:$T),0)</f>
        <v>0</v>
      </c>
      <c r="G9" s="224">
        <f>IFERROR(SUMIF(D_Processes!$R:$R,CONST_PrecursorToGoodInput &amp; G$6 &amp; "_" &amp; $D9,D_Processes!$T:$T)/SUMIF(D_Processes!$R:$R,CONST_CNTR_TotProd &amp; $D9,D_Processes!$T:$T),0)</f>
        <v>0</v>
      </c>
      <c r="H9" s="224">
        <f>IFERROR(SUMIF(D_Processes!$R:$R,CONST_PrecursorToGoodInput &amp; H$6 &amp; "_" &amp; $D9,D_Processes!$T:$T)/SUMIF(D_Processes!$R:$R,CONST_CNTR_TotProd &amp; $D9,D_Processes!$T:$T),0)</f>
        <v>0</v>
      </c>
      <c r="I9" s="224">
        <f>IFERROR(SUMIF(D_Processes!$R:$R,CONST_PrecursorToGoodInput &amp; I$6 &amp; "_" &amp; $D9,D_Processes!$T:$T)/SUMIF(D_Processes!$R:$R,CONST_CNTR_TotProd &amp; $D9,D_Processes!$T:$T),0)</f>
        <v>0</v>
      </c>
      <c r="J9" s="224">
        <f>IFERROR(SUMIF(D_Processes!$R:$R,CONST_PrecursorToGoodInput &amp; J$6 &amp; "_" &amp; $D9,D_Processes!$T:$T)/SUMIF(D_Processes!$R:$R,CONST_CNTR_TotProd &amp; $D9,D_Processes!$T:$T),0)</f>
        <v>0</v>
      </c>
      <c r="K9" s="224">
        <f>IFERROR(SUMIF(D_Processes!$R:$R,CONST_PrecursorToGoodInput &amp; K$6 &amp; "_" &amp; $D9,D_Processes!$T:$T)/SUMIF(D_Processes!$R:$R,CONST_CNTR_TotProd &amp; $D9,D_Processes!$T:$T),0)</f>
        <v>0</v>
      </c>
      <c r="L9" s="224">
        <f>IFERROR(SUMIF(D_Processes!$R:$R,CONST_PrecursorToGoodInput &amp; L$6 &amp; "_" &amp; $D9,D_Processes!$T:$T)/SUMIF(D_Processes!$R:$R,CONST_CNTR_TotProd &amp; $D9,D_Processes!$T:$T),0)</f>
        <v>0</v>
      </c>
      <c r="M9" s="224">
        <f>IFERROR(SUMIF(D_Processes!$R:$R,CONST_PrecursorToGoodInput &amp; M$6 &amp; "_" &amp; $D9,D_Processes!$T:$T)/SUMIF(D_Processes!$R:$R,CONST_CNTR_TotProd &amp; $D9,D_Processes!$T:$T),0)</f>
        <v>0</v>
      </c>
      <c r="N9" s="332">
        <f>IFERROR(SUMIF(D_Processes!$R:$R,CONST_PrecursorToGoodInput &amp; N$6 &amp; "_" &amp; $D9,D_Processes!$T:$T)/SUMIF(D_Processes!$R:$R,CONST_CNTR_TotProd &amp; $D9,D_Processes!$T:$T),0)</f>
        <v>0</v>
      </c>
      <c r="O9" s="331">
        <f>IFERROR(SUMIF(E_PurchPrec!$R:$R,CONST_PrecursorToGoodInput &amp; O$6 &amp; "_" &amp; $D9,E_PurchPrec!$T:$T)/SUMIF(D_Processes!$R:$R,CONST_CNTR_TotProd &amp; $D9,D_Processes!$T:$T),0)</f>
        <v>0</v>
      </c>
      <c r="P9" s="224">
        <f>IFERROR(SUMIF(E_PurchPrec!$R:$R,CONST_PrecursorToGoodInput &amp; P$6 &amp; "_" &amp; $D9,E_PurchPrec!$T:$T)/SUMIF(D_Processes!$R:$R,CONST_CNTR_TotProd &amp; $D9,D_Processes!$T:$T),0)</f>
        <v>0</v>
      </c>
      <c r="Q9" s="224">
        <f>IFERROR(SUMIF(E_PurchPrec!$R:$R,CONST_PrecursorToGoodInput &amp; Q$6 &amp; "_" &amp; $D9,E_PurchPrec!$T:$T)/SUMIF(D_Processes!$R:$R,CONST_CNTR_TotProd &amp; $D9,D_Processes!$T:$T),0)</f>
        <v>0</v>
      </c>
      <c r="R9" s="224">
        <f>IFERROR(SUMIF(E_PurchPrec!$R:$R,CONST_PrecursorToGoodInput &amp; R$6 &amp; "_" &amp; $D9,E_PurchPrec!$T:$T)/SUMIF(D_Processes!$R:$R,CONST_CNTR_TotProd &amp; $D9,D_Processes!$T:$T),0)</f>
        <v>0</v>
      </c>
      <c r="S9" s="224">
        <f>IFERROR(SUMIF(E_PurchPrec!$R:$R,CONST_PrecursorToGoodInput &amp; S$6 &amp; "_" &amp; $D9,E_PurchPrec!$T:$T)/SUMIF(D_Processes!$R:$R,CONST_CNTR_TotProd &amp; $D9,D_Processes!$T:$T),0)</f>
        <v>0</v>
      </c>
      <c r="T9" s="224">
        <f>IFERROR(SUMIF(E_PurchPrec!$R:$R,CONST_PrecursorToGoodInput &amp; T$6 &amp; "_" &amp; $D9,E_PurchPrec!$T:$T)/SUMIF(D_Processes!$R:$R,CONST_CNTR_TotProd &amp; $D9,D_Processes!$T:$T),0)</f>
        <v>0</v>
      </c>
      <c r="U9" s="224">
        <f>IFERROR(SUMIF(E_PurchPrec!$R:$R,CONST_PrecursorToGoodInput &amp; U$6 &amp; "_" &amp; $D9,E_PurchPrec!$T:$T)/SUMIF(D_Processes!$R:$R,CONST_CNTR_TotProd &amp; $D9,D_Processes!$T:$T),0)</f>
        <v>0</v>
      </c>
      <c r="V9" s="224">
        <f>IFERROR(SUMIF(E_PurchPrec!$R:$R,CONST_PrecursorToGoodInput &amp; V$6 &amp; "_" &amp; $D9,E_PurchPrec!$T:$T)/SUMIF(D_Processes!$R:$R,CONST_CNTR_TotProd &amp; $D9,D_Processes!$T:$T),0)</f>
        <v>0</v>
      </c>
      <c r="W9" s="224">
        <f>IFERROR(SUMIF(E_PurchPrec!$R:$R,CONST_PrecursorToGoodInput &amp; W$6 &amp; "_" &amp; $D9,E_PurchPrec!$T:$T)/SUMIF(D_Processes!$R:$R,CONST_CNTR_TotProd &amp; $D9,D_Processes!$T:$T),0)</f>
        <v>0</v>
      </c>
      <c r="X9" s="224">
        <f>IFERROR(SUMIF(E_PurchPrec!$R:$R,CONST_PrecursorToGoodInput &amp; X$6 &amp; "_" &amp; $D9,E_PurchPrec!$T:$T)/SUMIF(D_Processes!$R:$R,CONST_CNTR_TotProd &amp; $D9,D_Processes!$T:$T),0)</f>
        <v>0</v>
      </c>
      <c r="Y9" s="224">
        <f>IFERROR(SUMIF(E_PurchPrec!$R:$R,CONST_PrecursorToGoodInput &amp; Y$6 &amp; "_" &amp; $D9,E_PurchPrec!$T:$T)/SUMIF(D_Processes!$R:$R,CONST_CNTR_TotProd &amp; $D9,D_Processes!$T:$T),0)</f>
        <v>0</v>
      </c>
      <c r="Z9" s="224">
        <f>IFERROR(SUMIF(E_PurchPrec!$R:$R,CONST_PrecursorToGoodInput &amp; Z$6 &amp; "_" &amp; $D9,E_PurchPrec!$T:$T)/SUMIF(D_Processes!$R:$R,CONST_CNTR_TotProd &amp; $D9,D_Processes!$T:$T),0)</f>
        <v>0</v>
      </c>
      <c r="AA9" s="224">
        <f>IFERROR(SUMIF(E_PurchPrec!$R:$R,CONST_PrecursorToGoodInput &amp; AA$6 &amp; "_" &amp; $D9,E_PurchPrec!$T:$T)/SUMIF(D_Processes!$R:$R,CONST_CNTR_TotProd &amp; $D9,D_Processes!$T:$T),0)</f>
        <v>0</v>
      </c>
      <c r="AB9" s="224">
        <f>IFERROR(SUMIF(E_PurchPrec!$R:$R,CONST_PrecursorToGoodInput &amp; AB$6 &amp; "_" &amp; $D9,E_PurchPrec!$T:$T)/SUMIF(D_Processes!$R:$R,CONST_CNTR_TotProd &amp; $D9,D_Processes!$T:$T),0)</f>
        <v>0</v>
      </c>
      <c r="AC9" s="224">
        <f>IFERROR(SUMIF(E_PurchPrec!$R:$R,CONST_PrecursorToGoodInput &amp; AC$6 &amp; "_" &amp; $D9,E_PurchPrec!$T:$T)/SUMIF(D_Processes!$R:$R,CONST_CNTR_TotProd &amp; $D9,D_Processes!$T:$T),0)</f>
        <v>0</v>
      </c>
      <c r="AD9" s="224">
        <f>IFERROR(SUMIF(E_PurchPrec!$R:$R,CONST_PrecursorToGoodInput &amp; AD$6 &amp; "_" &amp; $D9,E_PurchPrec!$T:$T)/SUMIF(D_Processes!$R:$R,CONST_CNTR_TotProd &amp; $D9,D_Processes!$T:$T),0)</f>
        <v>0</v>
      </c>
      <c r="AE9" s="224">
        <f>IFERROR(SUMIF(E_PurchPrec!$R:$R,CONST_PrecursorToGoodInput &amp; AE$6 &amp; "_" &amp; $D9,E_PurchPrec!$T:$T)/SUMIF(D_Processes!$R:$R,CONST_CNTR_TotProd &amp; $D9,D_Processes!$T:$T),0)</f>
        <v>0</v>
      </c>
      <c r="AF9" s="224">
        <f>IFERROR(SUMIF(E_PurchPrec!$R:$R,CONST_PrecursorToGoodInput &amp; AF$6 &amp; "_" &amp; $D9,E_PurchPrec!$T:$T)/SUMIF(D_Processes!$R:$R,CONST_CNTR_TotProd &amp; $D9,D_Processes!$T:$T),0)</f>
        <v>0</v>
      </c>
      <c r="AG9" s="224">
        <f>IFERROR(SUMIF(E_PurchPrec!$R:$R,CONST_PrecursorToGoodInput &amp; AG$6 &amp; "_" &amp; $D9,E_PurchPrec!$T:$T)/SUMIF(D_Processes!$R:$R,CONST_CNTR_TotProd &amp; $D9,D_Processes!$T:$T),0)</f>
        <v>0</v>
      </c>
      <c r="AH9" s="332">
        <f>IFERROR(SUMIF(E_PurchPrec!$R:$R,CONST_PrecursorToGoodInput &amp; AH$6 &amp; "_" &amp; $D9,E_PurchPrec!$T:$T)/SUMIF(D_Processes!$R:$R,CONST_CNTR_TotProd &amp; $D9,D_Processes!$T:$T),0)</f>
        <v>0</v>
      </c>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row>
    <row r="10" spans="1:74" ht="12.75" customHeight="1" x14ac:dyDescent="0.35">
      <c r="C10" s="223">
        <v>4</v>
      </c>
      <c r="D10" s="336" t="str">
        <f t="shared" si="3"/>
        <v/>
      </c>
      <c r="E10" s="331">
        <f>IFERROR(SUMIF(D_Processes!$R:$R,CONST_PrecursorToGoodInput &amp; E$6 &amp; "_" &amp; $D10,D_Processes!$T:$T)/SUMIF(D_Processes!$R:$R,CONST_CNTR_TotProd &amp; $D10,D_Processes!$T:$T),0)</f>
        <v>0</v>
      </c>
      <c r="F10" s="224">
        <f>IFERROR(SUMIF(D_Processes!$R:$R,CONST_PrecursorToGoodInput &amp; F$6 &amp; "_" &amp; $D10,D_Processes!$T:$T)/SUMIF(D_Processes!$R:$R,CONST_CNTR_TotProd &amp; $D10,D_Processes!$T:$T),0)</f>
        <v>0</v>
      </c>
      <c r="G10" s="224">
        <f>IFERROR(SUMIF(D_Processes!$R:$R,CONST_PrecursorToGoodInput &amp; G$6 &amp; "_" &amp; $D10,D_Processes!$T:$T)/SUMIF(D_Processes!$R:$R,CONST_CNTR_TotProd &amp; $D10,D_Processes!$T:$T),0)</f>
        <v>0</v>
      </c>
      <c r="H10" s="224">
        <f>IFERROR(SUMIF(D_Processes!$R:$R,CONST_PrecursorToGoodInput &amp; H$6 &amp; "_" &amp; $D10,D_Processes!$T:$T)/SUMIF(D_Processes!$R:$R,CONST_CNTR_TotProd &amp; $D10,D_Processes!$T:$T),0)</f>
        <v>0</v>
      </c>
      <c r="I10" s="224">
        <f>IFERROR(SUMIF(D_Processes!$R:$R,CONST_PrecursorToGoodInput &amp; I$6 &amp; "_" &amp; $D10,D_Processes!$T:$T)/SUMIF(D_Processes!$R:$R,CONST_CNTR_TotProd &amp; $D10,D_Processes!$T:$T),0)</f>
        <v>0</v>
      </c>
      <c r="J10" s="224">
        <f>IFERROR(SUMIF(D_Processes!$R:$R,CONST_PrecursorToGoodInput &amp; J$6 &amp; "_" &amp; $D10,D_Processes!$T:$T)/SUMIF(D_Processes!$R:$R,CONST_CNTR_TotProd &amp; $D10,D_Processes!$T:$T),0)</f>
        <v>0</v>
      </c>
      <c r="K10" s="224">
        <f>IFERROR(SUMIF(D_Processes!$R:$R,CONST_PrecursorToGoodInput &amp; K$6 &amp; "_" &amp; $D10,D_Processes!$T:$T)/SUMIF(D_Processes!$R:$R,CONST_CNTR_TotProd &amp; $D10,D_Processes!$T:$T),0)</f>
        <v>0</v>
      </c>
      <c r="L10" s="224">
        <f>IFERROR(SUMIF(D_Processes!$R:$R,CONST_PrecursorToGoodInput &amp; L$6 &amp; "_" &amp; $D10,D_Processes!$T:$T)/SUMIF(D_Processes!$R:$R,CONST_CNTR_TotProd &amp; $D10,D_Processes!$T:$T),0)</f>
        <v>0</v>
      </c>
      <c r="M10" s="224">
        <f>IFERROR(SUMIF(D_Processes!$R:$R,CONST_PrecursorToGoodInput &amp; M$6 &amp; "_" &amp; $D10,D_Processes!$T:$T)/SUMIF(D_Processes!$R:$R,CONST_CNTR_TotProd &amp; $D10,D_Processes!$T:$T),0)</f>
        <v>0</v>
      </c>
      <c r="N10" s="332">
        <f>IFERROR(SUMIF(D_Processes!$R:$R,CONST_PrecursorToGoodInput &amp; N$6 &amp; "_" &amp; $D10,D_Processes!$T:$T)/SUMIF(D_Processes!$R:$R,CONST_CNTR_TotProd &amp; $D10,D_Processes!$T:$T),0)</f>
        <v>0</v>
      </c>
      <c r="O10" s="331">
        <f>IFERROR(SUMIF(E_PurchPrec!$R:$R,CONST_PrecursorToGoodInput &amp; O$6 &amp; "_" &amp; $D10,E_PurchPrec!$T:$T)/SUMIF(D_Processes!$R:$R,CONST_CNTR_TotProd &amp; $D10,D_Processes!$T:$T),0)</f>
        <v>0</v>
      </c>
      <c r="P10" s="224">
        <f>IFERROR(SUMIF(E_PurchPrec!$R:$R,CONST_PrecursorToGoodInput &amp; P$6 &amp; "_" &amp; $D10,E_PurchPrec!$T:$T)/SUMIF(D_Processes!$R:$R,CONST_CNTR_TotProd &amp; $D10,D_Processes!$T:$T),0)</f>
        <v>0</v>
      </c>
      <c r="Q10" s="224">
        <f>IFERROR(SUMIF(E_PurchPrec!$R:$R,CONST_PrecursorToGoodInput &amp; Q$6 &amp; "_" &amp; $D10,E_PurchPrec!$T:$T)/SUMIF(D_Processes!$R:$R,CONST_CNTR_TotProd &amp; $D10,D_Processes!$T:$T),0)</f>
        <v>0</v>
      </c>
      <c r="R10" s="224">
        <f>IFERROR(SUMIF(E_PurchPrec!$R:$R,CONST_PrecursorToGoodInput &amp; R$6 &amp; "_" &amp; $D10,E_PurchPrec!$T:$T)/SUMIF(D_Processes!$R:$R,CONST_CNTR_TotProd &amp; $D10,D_Processes!$T:$T),0)</f>
        <v>0</v>
      </c>
      <c r="S10" s="224">
        <f>IFERROR(SUMIF(E_PurchPrec!$R:$R,CONST_PrecursorToGoodInput &amp; S$6 &amp; "_" &amp; $D10,E_PurchPrec!$T:$T)/SUMIF(D_Processes!$R:$R,CONST_CNTR_TotProd &amp; $D10,D_Processes!$T:$T),0)</f>
        <v>0</v>
      </c>
      <c r="T10" s="224">
        <f>IFERROR(SUMIF(E_PurchPrec!$R:$R,CONST_PrecursorToGoodInput &amp; T$6 &amp; "_" &amp; $D10,E_PurchPrec!$T:$T)/SUMIF(D_Processes!$R:$R,CONST_CNTR_TotProd &amp; $D10,D_Processes!$T:$T),0)</f>
        <v>0</v>
      </c>
      <c r="U10" s="224">
        <f>IFERROR(SUMIF(E_PurchPrec!$R:$R,CONST_PrecursorToGoodInput &amp; U$6 &amp; "_" &amp; $D10,E_PurchPrec!$T:$T)/SUMIF(D_Processes!$R:$R,CONST_CNTR_TotProd &amp; $D10,D_Processes!$T:$T),0)</f>
        <v>0</v>
      </c>
      <c r="V10" s="224">
        <f>IFERROR(SUMIF(E_PurchPrec!$R:$R,CONST_PrecursorToGoodInput &amp; V$6 &amp; "_" &amp; $D10,E_PurchPrec!$T:$T)/SUMIF(D_Processes!$R:$R,CONST_CNTR_TotProd &amp; $D10,D_Processes!$T:$T),0)</f>
        <v>0</v>
      </c>
      <c r="W10" s="224">
        <f>IFERROR(SUMIF(E_PurchPrec!$R:$R,CONST_PrecursorToGoodInput &amp; W$6 &amp; "_" &amp; $D10,E_PurchPrec!$T:$T)/SUMIF(D_Processes!$R:$R,CONST_CNTR_TotProd &amp; $D10,D_Processes!$T:$T),0)</f>
        <v>0</v>
      </c>
      <c r="X10" s="224">
        <f>IFERROR(SUMIF(E_PurchPrec!$R:$R,CONST_PrecursorToGoodInput &amp; X$6 &amp; "_" &amp; $D10,E_PurchPrec!$T:$T)/SUMIF(D_Processes!$R:$R,CONST_CNTR_TotProd &amp; $D10,D_Processes!$T:$T),0)</f>
        <v>0</v>
      </c>
      <c r="Y10" s="224">
        <f>IFERROR(SUMIF(E_PurchPrec!$R:$R,CONST_PrecursorToGoodInput &amp; Y$6 &amp; "_" &amp; $D10,E_PurchPrec!$T:$T)/SUMIF(D_Processes!$R:$R,CONST_CNTR_TotProd &amp; $D10,D_Processes!$T:$T),0)</f>
        <v>0</v>
      </c>
      <c r="Z10" s="224">
        <f>IFERROR(SUMIF(E_PurchPrec!$R:$R,CONST_PrecursorToGoodInput &amp; Z$6 &amp; "_" &amp; $D10,E_PurchPrec!$T:$T)/SUMIF(D_Processes!$R:$R,CONST_CNTR_TotProd &amp; $D10,D_Processes!$T:$T),0)</f>
        <v>0</v>
      </c>
      <c r="AA10" s="224">
        <f>IFERROR(SUMIF(E_PurchPrec!$R:$R,CONST_PrecursorToGoodInput &amp; AA$6 &amp; "_" &amp; $D10,E_PurchPrec!$T:$T)/SUMIF(D_Processes!$R:$R,CONST_CNTR_TotProd &amp; $D10,D_Processes!$T:$T),0)</f>
        <v>0</v>
      </c>
      <c r="AB10" s="224">
        <f>IFERROR(SUMIF(E_PurchPrec!$R:$R,CONST_PrecursorToGoodInput &amp; AB$6 &amp; "_" &amp; $D10,E_PurchPrec!$T:$T)/SUMIF(D_Processes!$R:$R,CONST_CNTR_TotProd &amp; $D10,D_Processes!$T:$T),0)</f>
        <v>0</v>
      </c>
      <c r="AC10" s="224">
        <f>IFERROR(SUMIF(E_PurchPrec!$R:$R,CONST_PrecursorToGoodInput &amp; AC$6 &amp; "_" &amp; $D10,E_PurchPrec!$T:$T)/SUMIF(D_Processes!$R:$R,CONST_CNTR_TotProd &amp; $D10,D_Processes!$T:$T),0)</f>
        <v>0</v>
      </c>
      <c r="AD10" s="224">
        <f>IFERROR(SUMIF(E_PurchPrec!$R:$R,CONST_PrecursorToGoodInput &amp; AD$6 &amp; "_" &amp; $D10,E_PurchPrec!$T:$T)/SUMIF(D_Processes!$R:$R,CONST_CNTR_TotProd &amp; $D10,D_Processes!$T:$T),0)</f>
        <v>0</v>
      </c>
      <c r="AE10" s="224">
        <f>IFERROR(SUMIF(E_PurchPrec!$R:$R,CONST_PrecursorToGoodInput &amp; AE$6 &amp; "_" &amp; $D10,E_PurchPrec!$T:$T)/SUMIF(D_Processes!$R:$R,CONST_CNTR_TotProd &amp; $D10,D_Processes!$T:$T),0)</f>
        <v>0</v>
      </c>
      <c r="AF10" s="224">
        <f>IFERROR(SUMIF(E_PurchPrec!$R:$R,CONST_PrecursorToGoodInput &amp; AF$6 &amp; "_" &amp; $D10,E_PurchPrec!$T:$T)/SUMIF(D_Processes!$R:$R,CONST_CNTR_TotProd &amp; $D10,D_Processes!$T:$T),0)</f>
        <v>0</v>
      </c>
      <c r="AG10" s="224">
        <f>IFERROR(SUMIF(E_PurchPrec!$R:$R,CONST_PrecursorToGoodInput &amp; AG$6 &amp; "_" &amp; $D10,E_PurchPrec!$T:$T)/SUMIF(D_Processes!$R:$R,CONST_CNTR_TotProd &amp; $D10,D_Processes!$T:$T),0)</f>
        <v>0</v>
      </c>
      <c r="AH10" s="332">
        <f>IFERROR(SUMIF(E_PurchPrec!$R:$R,CONST_PrecursorToGoodInput &amp; AH$6 &amp; "_" &amp; $D10,E_PurchPrec!$T:$T)/SUMIF(D_Processes!$R:$R,CONST_CNTR_TotProd &amp; $D10,D_Processes!$T:$T),0)</f>
        <v>0</v>
      </c>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6"/>
      <c r="BU10" s="226"/>
      <c r="BV10" s="226"/>
    </row>
    <row r="11" spans="1:74" ht="12.75" customHeight="1" x14ac:dyDescent="0.35">
      <c r="C11" s="223">
        <v>5</v>
      </c>
      <c r="D11" s="336" t="str">
        <f t="shared" si="3"/>
        <v/>
      </c>
      <c r="E11" s="331">
        <f>IFERROR(SUMIF(D_Processes!$R:$R,CONST_PrecursorToGoodInput &amp; E$6 &amp; "_" &amp; $D11,D_Processes!$T:$T)/SUMIF(D_Processes!$R:$R,CONST_CNTR_TotProd &amp; $D11,D_Processes!$T:$T),0)</f>
        <v>0</v>
      </c>
      <c r="F11" s="224">
        <f>IFERROR(SUMIF(D_Processes!$R:$R,CONST_PrecursorToGoodInput &amp; F$6 &amp; "_" &amp; $D11,D_Processes!$T:$T)/SUMIF(D_Processes!$R:$R,CONST_CNTR_TotProd &amp; $D11,D_Processes!$T:$T),0)</f>
        <v>0</v>
      </c>
      <c r="G11" s="224">
        <f>IFERROR(SUMIF(D_Processes!$R:$R,CONST_PrecursorToGoodInput &amp; G$6 &amp; "_" &amp; $D11,D_Processes!$T:$T)/SUMIF(D_Processes!$R:$R,CONST_CNTR_TotProd &amp; $D11,D_Processes!$T:$T),0)</f>
        <v>0</v>
      </c>
      <c r="H11" s="224">
        <f>IFERROR(SUMIF(D_Processes!$R:$R,CONST_PrecursorToGoodInput &amp; H$6 &amp; "_" &amp; $D11,D_Processes!$T:$T)/SUMIF(D_Processes!$R:$R,CONST_CNTR_TotProd &amp; $D11,D_Processes!$T:$T),0)</f>
        <v>0</v>
      </c>
      <c r="I11" s="224">
        <f>IFERROR(SUMIF(D_Processes!$R:$R,CONST_PrecursorToGoodInput &amp; I$6 &amp; "_" &amp; $D11,D_Processes!$T:$T)/SUMIF(D_Processes!$R:$R,CONST_CNTR_TotProd &amp; $D11,D_Processes!$T:$T),0)</f>
        <v>0</v>
      </c>
      <c r="J11" s="224">
        <f>IFERROR(SUMIF(D_Processes!$R:$R,CONST_PrecursorToGoodInput &amp; J$6 &amp; "_" &amp; $D11,D_Processes!$T:$T)/SUMIF(D_Processes!$R:$R,CONST_CNTR_TotProd &amp; $D11,D_Processes!$T:$T),0)</f>
        <v>0</v>
      </c>
      <c r="K11" s="224">
        <f>IFERROR(SUMIF(D_Processes!$R:$R,CONST_PrecursorToGoodInput &amp; K$6 &amp; "_" &amp; $D11,D_Processes!$T:$T)/SUMIF(D_Processes!$R:$R,CONST_CNTR_TotProd &amp; $D11,D_Processes!$T:$T),0)</f>
        <v>0</v>
      </c>
      <c r="L11" s="224">
        <f>IFERROR(SUMIF(D_Processes!$R:$R,CONST_PrecursorToGoodInput &amp; L$6 &amp; "_" &amp; $D11,D_Processes!$T:$T)/SUMIF(D_Processes!$R:$R,CONST_CNTR_TotProd &amp; $D11,D_Processes!$T:$T),0)</f>
        <v>0</v>
      </c>
      <c r="M11" s="224">
        <f>IFERROR(SUMIF(D_Processes!$R:$R,CONST_PrecursorToGoodInput &amp; M$6 &amp; "_" &amp; $D11,D_Processes!$T:$T)/SUMIF(D_Processes!$R:$R,CONST_CNTR_TotProd &amp; $D11,D_Processes!$T:$T),0)</f>
        <v>0</v>
      </c>
      <c r="N11" s="332">
        <f>IFERROR(SUMIF(D_Processes!$R:$R,CONST_PrecursorToGoodInput &amp; N$6 &amp; "_" &amp; $D11,D_Processes!$T:$T)/SUMIF(D_Processes!$R:$R,CONST_CNTR_TotProd &amp; $D11,D_Processes!$T:$T),0)</f>
        <v>0</v>
      </c>
      <c r="O11" s="331">
        <f>IFERROR(SUMIF(E_PurchPrec!$R:$R,CONST_PrecursorToGoodInput &amp; O$6 &amp; "_" &amp; $D11,E_PurchPrec!$T:$T)/SUMIF(D_Processes!$R:$R,CONST_CNTR_TotProd &amp; $D11,D_Processes!$T:$T),0)</f>
        <v>0</v>
      </c>
      <c r="P11" s="224">
        <f>IFERROR(SUMIF(E_PurchPrec!$R:$R,CONST_PrecursorToGoodInput &amp; P$6 &amp; "_" &amp; $D11,E_PurchPrec!$T:$T)/SUMIF(D_Processes!$R:$R,CONST_CNTR_TotProd &amp; $D11,D_Processes!$T:$T),0)</f>
        <v>0</v>
      </c>
      <c r="Q11" s="224">
        <f>IFERROR(SUMIF(E_PurchPrec!$R:$R,CONST_PrecursorToGoodInput &amp; Q$6 &amp; "_" &amp; $D11,E_PurchPrec!$T:$T)/SUMIF(D_Processes!$R:$R,CONST_CNTR_TotProd &amp; $D11,D_Processes!$T:$T),0)</f>
        <v>0</v>
      </c>
      <c r="R11" s="224">
        <f>IFERROR(SUMIF(E_PurchPrec!$R:$R,CONST_PrecursorToGoodInput &amp; R$6 &amp; "_" &amp; $D11,E_PurchPrec!$T:$T)/SUMIF(D_Processes!$R:$R,CONST_CNTR_TotProd &amp; $D11,D_Processes!$T:$T),0)</f>
        <v>0</v>
      </c>
      <c r="S11" s="224">
        <f>IFERROR(SUMIF(E_PurchPrec!$R:$R,CONST_PrecursorToGoodInput &amp; S$6 &amp; "_" &amp; $D11,E_PurchPrec!$T:$T)/SUMIF(D_Processes!$R:$R,CONST_CNTR_TotProd &amp; $D11,D_Processes!$T:$T),0)</f>
        <v>0</v>
      </c>
      <c r="T11" s="224">
        <f>IFERROR(SUMIF(E_PurchPrec!$R:$R,CONST_PrecursorToGoodInput &amp; T$6 &amp; "_" &amp; $D11,E_PurchPrec!$T:$T)/SUMIF(D_Processes!$R:$R,CONST_CNTR_TotProd &amp; $D11,D_Processes!$T:$T),0)</f>
        <v>0</v>
      </c>
      <c r="U11" s="224">
        <f>IFERROR(SUMIF(E_PurchPrec!$R:$R,CONST_PrecursorToGoodInput &amp; U$6 &amp; "_" &amp; $D11,E_PurchPrec!$T:$T)/SUMIF(D_Processes!$R:$R,CONST_CNTR_TotProd &amp; $D11,D_Processes!$T:$T),0)</f>
        <v>0</v>
      </c>
      <c r="V11" s="224">
        <f>IFERROR(SUMIF(E_PurchPrec!$R:$R,CONST_PrecursorToGoodInput &amp; V$6 &amp; "_" &amp; $D11,E_PurchPrec!$T:$T)/SUMIF(D_Processes!$R:$R,CONST_CNTR_TotProd &amp; $D11,D_Processes!$T:$T),0)</f>
        <v>0</v>
      </c>
      <c r="W11" s="224">
        <f>IFERROR(SUMIF(E_PurchPrec!$R:$R,CONST_PrecursorToGoodInput &amp; W$6 &amp; "_" &amp; $D11,E_PurchPrec!$T:$T)/SUMIF(D_Processes!$R:$R,CONST_CNTR_TotProd &amp; $D11,D_Processes!$T:$T),0)</f>
        <v>0</v>
      </c>
      <c r="X11" s="224">
        <f>IFERROR(SUMIF(E_PurchPrec!$R:$R,CONST_PrecursorToGoodInput &amp; X$6 &amp; "_" &amp; $D11,E_PurchPrec!$T:$T)/SUMIF(D_Processes!$R:$R,CONST_CNTR_TotProd &amp; $D11,D_Processes!$T:$T),0)</f>
        <v>0</v>
      </c>
      <c r="Y11" s="224">
        <f>IFERROR(SUMIF(E_PurchPrec!$R:$R,CONST_PrecursorToGoodInput &amp; Y$6 &amp; "_" &amp; $D11,E_PurchPrec!$T:$T)/SUMIF(D_Processes!$R:$R,CONST_CNTR_TotProd &amp; $D11,D_Processes!$T:$T),0)</f>
        <v>0</v>
      </c>
      <c r="Z11" s="224">
        <f>IFERROR(SUMIF(E_PurchPrec!$R:$R,CONST_PrecursorToGoodInput &amp; Z$6 &amp; "_" &amp; $D11,E_PurchPrec!$T:$T)/SUMIF(D_Processes!$R:$R,CONST_CNTR_TotProd &amp; $D11,D_Processes!$T:$T),0)</f>
        <v>0</v>
      </c>
      <c r="AA11" s="224">
        <f>IFERROR(SUMIF(E_PurchPrec!$R:$R,CONST_PrecursorToGoodInput &amp; AA$6 &amp; "_" &amp; $D11,E_PurchPrec!$T:$T)/SUMIF(D_Processes!$R:$R,CONST_CNTR_TotProd &amp; $D11,D_Processes!$T:$T),0)</f>
        <v>0</v>
      </c>
      <c r="AB11" s="224">
        <f>IFERROR(SUMIF(E_PurchPrec!$R:$R,CONST_PrecursorToGoodInput &amp; AB$6 &amp; "_" &amp; $D11,E_PurchPrec!$T:$T)/SUMIF(D_Processes!$R:$R,CONST_CNTR_TotProd &amp; $D11,D_Processes!$T:$T),0)</f>
        <v>0</v>
      </c>
      <c r="AC11" s="224">
        <f>IFERROR(SUMIF(E_PurchPrec!$R:$R,CONST_PrecursorToGoodInput &amp; AC$6 &amp; "_" &amp; $D11,E_PurchPrec!$T:$T)/SUMIF(D_Processes!$R:$R,CONST_CNTR_TotProd &amp; $D11,D_Processes!$T:$T),0)</f>
        <v>0</v>
      </c>
      <c r="AD11" s="224">
        <f>IFERROR(SUMIF(E_PurchPrec!$R:$R,CONST_PrecursorToGoodInput &amp; AD$6 &amp; "_" &amp; $D11,E_PurchPrec!$T:$T)/SUMIF(D_Processes!$R:$R,CONST_CNTR_TotProd &amp; $D11,D_Processes!$T:$T),0)</f>
        <v>0</v>
      </c>
      <c r="AE11" s="224">
        <f>IFERROR(SUMIF(E_PurchPrec!$R:$R,CONST_PrecursorToGoodInput &amp; AE$6 &amp; "_" &amp; $D11,E_PurchPrec!$T:$T)/SUMIF(D_Processes!$R:$R,CONST_CNTR_TotProd &amp; $D11,D_Processes!$T:$T),0)</f>
        <v>0</v>
      </c>
      <c r="AF11" s="224">
        <f>IFERROR(SUMIF(E_PurchPrec!$R:$R,CONST_PrecursorToGoodInput &amp; AF$6 &amp; "_" &amp; $D11,E_PurchPrec!$T:$T)/SUMIF(D_Processes!$R:$R,CONST_CNTR_TotProd &amp; $D11,D_Processes!$T:$T),0)</f>
        <v>0</v>
      </c>
      <c r="AG11" s="224">
        <f>IFERROR(SUMIF(E_PurchPrec!$R:$R,CONST_PrecursorToGoodInput &amp; AG$6 &amp; "_" &amp; $D11,E_PurchPrec!$T:$T)/SUMIF(D_Processes!$R:$R,CONST_CNTR_TotProd &amp; $D11,D_Processes!$T:$T),0)</f>
        <v>0</v>
      </c>
      <c r="AH11" s="332">
        <f>IFERROR(SUMIF(E_PurchPrec!$R:$R,CONST_PrecursorToGoodInput &amp; AH$6 &amp; "_" &amp; $D11,E_PurchPrec!$T:$T)/SUMIF(D_Processes!$R:$R,CONST_CNTR_TotProd &amp; $D11,D_Processes!$T:$T),0)</f>
        <v>0</v>
      </c>
      <c r="AR11" s="226"/>
      <c r="AS11" s="226"/>
      <c r="AT11" s="226"/>
      <c r="AU11" s="226"/>
      <c r="AV11" s="226"/>
      <c r="AW11" s="226"/>
      <c r="AX11" s="226"/>
      <c r="AY11" s="226"/>
      <c r="AZ11" s="226"/>
      <c r="BA11" s="226"/>
      <c r="BB11" s="226"/>
      <c r="BC11" s="226"/>
      <c r="BD11" s="226"/>
      <c r="BE11" s="226"/>
      <c r="BF11" s="226"/>
      <c r="BG11" s="226"/>
      <c r="BH11" s="226"/>
      <c r="BI11" s="226"/>
      <c r="BJ11" s="226"/>
      <c r="BK11" s="226"/>
      <c r="BL11" s="226"/>
      <c r="BM11" s="226"/>
      <c r="BN11" s="226"/>
      <c r="BO11" s="226"/>
      <c r="BP11" s="226"/>
      <c r="BQ11" s="226"/>
      <c r="BR11" s="226"/>
      <c r="BS11" s="226"/>
      <c r="BT11" s="226"/>
      <c r="BU11" s="226"/>
      <c r="BV11" s="226"/>
    </row>
    <row r="12" spans="1:74" ht="12.75" customHeight="1" x14ac:dyDescent="0.35">
      <c r="C12" s="223">
        <v>6</v>
      </c>
      <c r="D12" s="336" t="str">
        <f t="shared" si="3"/>
        <v/>
      </c>
      <c r="E12" s="331">
        <f>IFERROR(SUMIF(D_Processes!$R:$R,CONST_PrecursorToGoodInput &amp; E$6 &amp; "_" &amp; $D12,D_Processes!$T:$T)/SUMIF(D_Processes!$R:$R,CONST_CNTR_TotProd &amp; $D12,D_Processes!$T:$T),0)</f>
        <v>0</v>
      </c>
      <c r="F12" s="224">
        <f>IFERROR(SUMIF(D_Processes!$R:$R,CONST_PrecursorToGoodInput &amp; F$6 &amp; "_" &amp; $D12,D_Processes!$T:$T)/SUMIF(D_Processes!$R:$R,CONST_CNTR_TotProd &amp; $D12,D_Processes!$T:$T),0)</f>
        <v>0</v>
      </c>
      <c r="G12" s="224">
        <f>IFERROR(SUMIF(D_Processes!$R:$R,CONST_PrecursorToGoodInput &amp; G$6 &amp; "_" &amp; $D12,D_Processes!$T:$T)/SUMIF(D_Processes!$R:$R,CONST_CNTR_TotProd &amp; $D12,D_Processes!$T:$T),0)</f>
        <v>0</v>
      </c>
      <c r="H12" s="224">
        <f>IFERROR(SUMIF(D_Processes!$R:$R,CONST_PrecursorToGoodInput &amp; H$6 &amp; "_" &amp; $D12,D_Processes!$T:$T)/SUMIF(D_Processes!$R:$R,CONST_CNTR_TotProd &amp; $D12,D_Processes!$T:$T),0)</f>
        <v>0</v>
      </c>
      <c r="I12" s="224">
        <f>IFERROR(SUMIF(D_Processes!$R:$R,CONST_PrecursorToGoodInput &amp; I$6 &amp; "_" &amp; $D12,D_Processes!$T:$T)/SUMIF(D_Processes!$R:$R,CONST_CNTR_TotProd &amp; $D12,D_Processes!$T:$T),0)</f>
        <v>0</v>
      </c>
      <c r="J12" s="224">
        <f>IFERROR(SUMIF(D_Processes!$R:$R,CONST_PrecursorToGoodInput &amp; J$6 &amp; "_" &amp; $D12,D_Processes!$T:$T)/SUMIF(D_Processes!$R:$R,CONST_CNTR_TotProd &amp; $D12,D_Processes!$T:$T),0)</f>
        <v>0</v>
      </c>
      <c r="K12" s="224">
        <f>IFERROR(SUMIF(D_Processes!$R:$R,CONST_PrecursorToGoodInput &amp; K$6 &amp; "_" &amp; $D12,D_Processes!$T:$T)/SUMIF(D_Processes!$R:$R,CONST_CNTR_TotProd &amp; $D12,D_Processes!$T:$T),0)</f>
        <v>0</v>
      </c>
      <c r="L12" s="224">
        <f>IFERROR(SUMIF(D_Processes!$R:$R,CONST_PrecursorToGoodInput &amp; L$6 &amp; "_" &amp; $D12,D_Processes!$T:$T)/SUMIF(D_Processes!$R:$R,CONST_CNTR_TotProd &amp; $D12,D_Processes!$T:$T),0)</f>
        <v>0</v>
      </c>
      <c r="M12" s="224">
        <f>IFERROR(SUMIF(D_Processes!$R:$R,CONST_PrecursorToGoodInput &amp; M$6 &amp; "_" &amp; $D12,D_Processes!$T:$T)/SUMIF(D_Processes!$R:$R,CONST_CNTR_TotProd &amp; $D12,D_Processes!$T:$T),0)</f>
        <v>0</v>
      </c>
      <c r="N12" s="332">
        <f>IFERROR(SUMIF(D_Processes!$R:$R,CONST_PrecursorToGoodInput &amp; N$6 &amp; "_" &amp; $D12,D_Processes!$T:$T)/SUMIF(D_Processes!$R:$R,CONST_CNTR_TotProd &amp; $D12,D_Processes!$T:$T),0)</f>
        <v>0</v>
      </c>
      <c r="O12" s="331">
        <f>IFERROR(SUMIF(E_PurchPrec!$R:$R,CONST_PrecursorToGoodInput &amp; O$6 &amp; "_" &amp; $D12,E_PurchPrec!$T:$T)/SUMIF(D_Processes!$R:$R,CONST_CNTR_TotProd &amp; $D12,D_Processes!$T:$T),0)</f>
        <v>0</v>
      </c>
      <c r="P12" s="224">
        <f>IFERROR(SUMIF(E_PurchPrec!$R:$R,CONST_PrecursorToGoodInput &amp; P$6 &amp; "_" &amp; $D12,E_PurchPrec!$T:$T)/SUMIF(D_Processes!$R:$R,CONST_CNTR_TotProd &amp; $D12,D_Processes!$T:$T),0)</f>
        <v>0</v>
      </c>
      <c r="Q12" s="224">
        <f>IFERROR(SUMIF(E_PurchPrec!$R:$R,CONST_PrecursorToGoodInput &amp; Q$6 &amp; "_" &amp; $D12,E_PurchPrec!$T:$T)/SUMIF(D_Processes!$R:$R,CONST_CNTR_TotProd &amp; $D12,D_Processes!$T:$T),0)</f>
        <v>0</v>
      </c>
      <c r="R12" s="224">
        <f>IFERROR(SUMIF(E_PurchPrec!$R:$R,CONST_PrecursorToGoodInput &amp; R$6 &amp; "_" &amp; $D12,E_PurchPrec!$T:$T)/SUMIF(D_Processes!$R:$R,CONST_CNTR_TotProd &amp; $D12,D_Processes!$T:$T),0)</f>
        <v>0</v>
      </c>
      <c r="S12" s="224">
        <f>IFERROR(SUMIF(E_PurchPrec!$R:$R,CONST_PrecursorToGoodInput &amp; S$6 &amp; "_" &amp; $D12,E_PurchPrec!$T:$T)/SUMIF(D_Processes!$R:$R,CONST_CNTR_TotProd &amp; $D12,D_Processes!$T:$T),0)</f>
        <v>0</v>
      </c>
      <c r="T12" s="224">
        <f>IFERROR(SUMIF(E_PurchPrec!$R:$R,CONST_PrecursorToGoodInput &amp; T$6 &amp; "_" &amp; $D12,E_PurchPrec!$T:$T)/SUMIF(D_Processes!$R:$R,CONST_CNTR_TotProd &amp; $D12,D_Processes!$T:$T),0)</f>
        <v>0</v>
      </c>
      <c r="U12" s="224">
        <f>IFERROR(SUMIF(E_PurchPrec!$R:$R,CONST_PrecursorToGoodInput &amp; U$6 &amp; "_" &amp; $D12,E_PurchPrec!$T:$T)/SUMIF(D_Processes!$R:$R,CONST_CNTR_TotProd &amp; $D12,D_Processes!$T:$T),0)</f>
        <v>0</v>
      </c>
      <c r="V12" s="224">
        <f>IFERROR(SUMIF(E_PurchPrec!$R:$R,CONST_PrecursorToGoodInput &amp; V$6 &amp; "_" &amp; $D12,E_PurchPrec!$T:$T)/SUMIF(D_Processes!$R:$R,CONST_CNTR_TotProd &amp; $D12,D_Processes!$T:$T),0)</f>
        <v>0</v>
      </c>
      <c r="W12" s="224">
        <f>IFERROR(SUMIF(E_PurchPrec!$R:$R,CONST_PrecursorToGoodInput &amp; W$6 &amp; "_" &amp; $D12,E_PurchPrec!$T:$T)/SUMIF(D_Processes!$R:$R,CONST_CNTR_TotProd &amp; $D12,D_Processes!$T:$T),0)</f>
        <v>0</v>
      </c>
      <c r="X12" s="224">
        <f>IFERROR(SUMIF(E_PurchPrec!$R:$R,CONST_PrecursorToGoodInput &amp; X$6 &amp; "_" &amp; $D12,E_PurchPrec!$T:$T)/SUMIF(D_Processes!$R:$R,CONST_CNTR_TotProd &amp; $D12,D_Processes!$T:$T),0)</f>
        <v>0</v>
      </c>
      <c r="Y12" s="224">
        <f>IFERROR(SUMIF(E_PurchPrec!$R:$R,CONST_PrecursorToGoodInput &amp; Y$6 &amp; "_" &amp; $D12,E_PurchPrec!$T:$T)/SUMIF(D_Processes!$R:$R,CONST_CNTR_TotProd &amp; $D12,D_Processes!$T:$T),0)</f>
        <v>0</v>
      </c>
      <c r="Z12" s="224">
        <f>IFERROR(SUMIF(E_PurchPrec!$R:$R,CONST_PrecursorToGoodInput &amp; Z$6 &amp; "_" &amp; $D12,E_PurchPrec!$T:$T)/SUMIF(D_Processes!$R:$R,CONST_CNTR_TotProd &amp; $D12,D_Processes!$T:$T),0)</f>
        <v>0</v>
      </c>
      <c r="AA12" s="224">
        <f>IFERROR(SUMIF(E_PurchPrec!$R:$R,CONST_PrecursorToGoodInput &amp; AA$6 &amp; "_" &amp; $D12,E_PurchPrec!$T:$T)/SUMIF(D_Processes!$R:$R,CONST_CNTR_TotProd &amp; $D12,D_Processes!$T:$T),0)</f>
        <v>0</v>
      </c>
      <c r="AB12" s="224">
        <f>IFERROR(SUMIF(E_PurchPrec!$R:$R,CONST_PrecursorToGoodInput &amp; AB$6 &amp; "_" &amp; $D12,E_PurchPrec!$T:$T)/SUMIF(D_Processes!$R:$R,CONST_CNTR_TotProd &amp; $D12,D_Processes!$T:$T),0)</f>
        <v>0</v>
      </c>
      <c r="AC12" s="224">
        <f>IFERROR(SUMIF(E_PurchPrec!$R:$R,CONST_PrecursorToGoodInput &amp; AC$6 &amp; "_" &amp; $D12,E_PurchPrec!$T:$T)/SUMIF(D_Processes!$R:$R,CONST_CNTR_TotProd &amp; $D12,D_Processes!$T:$T),0)</f>
        <v>0</v>
      </c>
      <c r="AD12" s="224">
        <f>IFERROR(SUMIF(E_PurchPrec!$R:$R,CONST_PrecursorToGoodInput &amp; AD$6 &amp; "_" &amp; $D12,E_PurchPrec!$T:$T)/SUMIF(D_Processes!$R:$R,CONST_CNTR_TotProd &amp; $D12,D_Processes!$T:$T),0)</f>
        <v>0</v>
      </c>
      <c r="AE12" s="224">
        <f>IFERROR(SUMIF(E_PurchPrec!$R:$R,CONST_PrecursorToGoodInput &amp; AE$6 &amp; "_" &amp; $D12,E_PurchPrec!$T:$T)/SUMIF(D_Processes!$R:$R,CONST_CNTR_TotProd &amp; $D12,D_Processes!$T:$T),0)</f>
        <v>0</v>
      </c>
      <c r="AF12" s="224">
        <f>IFERROR(SUMIF(E_PurchPrec!$R:$R,CONST_PrecursorToGoodInput &amp; AF$6 &amp; "_" &amp; $D12,E_PurchPrec!$T:$T)/SUMIF(D_Processes!$R:$R,CONST_CNTR_TotProd &amp; $D12,D_Processes!$T:$T),0)</f>
        <v>0</v>
      </c>
      <c r="AG12" s="224">
        <f>IFERROR(SUMIF(E_PurchPrec!$R:$R,CONST_PrecursorToGoodInput &amp; AG$6 &amp; "_" &amp; $D12,E_PurchPrec!$T:$T)/SUMIF(D_Processes!$R:$R,CONST_CNTR_TotProd &amp; $D12,D_Processes!$T:$T),0)</f>
        <v>0</v>
      </c>
      <c r="AH12" s="332">
        <f>IFERROR(SUMIF(E_PurchPrec!$R:$R,CONST_PrecursorToGoodInput &amp; AH$6 &amp; "_" &amp; $D12,E_PurchPrec!$T:$T)/SUMIF(D_Processes!$R:$R,CONST_CNTR_TotProd &amp; $D12,D_Processes!$T:$T),0)</f>
        <v>0</v>
      </c>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row>
    <row r="13" spans="1:74" ht="12.75" customHeight="1" x14ac:dyDescent="0.35">
      <c r="C13" s="223">
        <v>7</v>
      </c>
      <c r="D13" s="336" t="str">
        <f t="shared" si="3"/>
        <v/>
      </c>
      <c r="E13" s="331">
        <f>IFERROR(SUMIF(D_Processes!$R:$R,CONST_PrecursorToGoodInput &amp; E$6 &amp; "_" &amp; $D13,D_Processes!$T:$T)/SUMIF(D_Processes!$R:$R,CONST_CNTR_TotProd &amp; $D13,D_Processes!$T:$T),0)</f>
        <v>0</v>
      </c>
      <c r="F13" s="224">
        <f>IFERROR(SUMIF(D_Processes!$R:$R,CONST_PrecursorToGoodInput &amp; F$6 &amp; "_" &amp; $D13,D_Processes!$T:$T)/SUMIF(D_Processes!$R:$R,CONST_CNTR_TotProd &amp; $D13,D_Processes!$T:$T),0)</f>
        <v>0</v>
      </c>
      <c r="G13" s="224">
        <f>IFERROR(SUMIF(D_Processes!$R:$R,CONST_PrecursorToGoodInput &amp; G$6 &amp; "_" &amp; $D13,D_Processes!$T:$T)/SUMIF(D_Processes!$R:$R,CONST_CNTR_TotProd &amp; $D13,D_Processes!$T:$T),0)</f>
        <v>0</v>
      </c>
      <c r="H13" s="224">
        <f>IFERROR(SUMIF(D_Processes!$R:$R,CONST_PrecursorToGoodInput &amp; H$6 &amp; "_" &amp; $D13,D_Processes!$T:$T)/SUMIF(D_Processes!$R:$R,CONST_CNTR_TotProd &amp; $D13,D_Processes!$T:$T),0)</f>
        <v>0</v>
      </c>
      <c r="I13" s="224">
        <f>IFERROR(SUMIF(D_Processes!$R:$R,CONST_PrecursorToGoodInput &amp; I$6 &amp; "_" &amp; $D13,D_Processes!$T:$T)/SUMIF(D_Processes!$R:$R,CONST_CNTR_TotProd &amp; $D13,D_Processes!$T:$T),0)</f>
        <v>0</v>
      </c>
      <c r="J13" s="224">
        <f>IFERROR(SUMIF(D_Processes!$R:$R,CONST_PrecursorToGoodInput &amp; J$6 &amp; "_" &amp; $D13,D_Processes!$T:$T)/SUMIF(D_Processes!$R:$R,CONST_CNTR_TotProd &amp; $D13,D_Processes!$T:$T),0)</f>
        <v>0</v>
      </c>
      <c r="K13" s="224">
        <f>IFERROR(SUMIF(D_Processes!$R:$R,CONST_PrecursorToGoodInput &amp; K$6 &amp; "_" &amp; $D13,D_Processes!$T:$T)/SUMIF(D_Processes!$R:$R,CONST_CNTR_TotProd &amp; $D13,D_Processes!$T:$T),0)</f>
        <v>0</v>
      </c>
      <c r="L13" s="224">
        <f>IFERROR(SUMIF(D_Processes!$R:$R,CONST_PrecursorToGoodInput &amp; L$6 &amp; "_" &amp; $D13,D_Processes!$T:$T)/SUMIF(D_Processes!$R:$R,CONST_CNTR_TotProd &amp; $D13,D_Processes!$T:$T),0)</f>
        <v>0</v>
      </c>
      <c r="M13" s="224">
        <f>IFERROR(SUMIF(D_Processes!$R:$R,CONST_PrecursorToGoodInput &amp; M$6 &amp; "_" &amp; $D13,D_Processes!$T:$T)/SUMIF(D_Processes!$R:$R,CONST_CNTR_TotProd &amp; $D13,D_Processes!$T:$T),0)</f>
        <v>0</v>
      </c>
      <c r="N13" s="332">
        <f>IFERROR(SUMIF(D_Processes!$R:$R,CONST_PrecursorToGoodInput &amp; N$6 &amp; "_" &amp; $D13,D_Processes!$T:$T)/SUMIF(D_Processes!$R:$R,CONST_CNTR_TotProd &amp; $D13,D_Processes!$T:$T),0)</f>
        <v>0</v>
      </c>
      <c r="O13" s="331">
        <f>IFERROR(SUMIF(E_PurchPrec!$R:$R,CONST_PrecursorToGoodInput &amp; O$6 &amp; "_" &amp; $D13,E_PurchPrec!$T:$T)/SUMIF(D_Processes!$R:$R,CONST_CNTR_TotProd &amp; $D13,D_Processes!$T:$T),0)</f>
        <v>0</v>
      </c>
      <c r="P13" s="224">
        <f>IFERROR(SUMIF(E_PurchPrec!$R:$R,CONST_PrecursorToGoodInput &amp; P$6 &amp; "_" &amp; $D13,E_PurchPrec!$T:$T)/SUMIF(D_Processes!$R:$R,CONST_CNTR_TotProd &amp; $D13,D_Processes!$T:$T),0)</f>
        <v>0</v>
      </c>
      <c r="Q13" s="224">
        <f>IFERROR(SUMIF(E_PurchPrec!$R:$R,CONST_PrecursorToGoodInput &amp; Q$6 &amp; "_" &amp; $D13,E_PurchPrec!$T:$T)/SUMIF(D_Processes!$R:$R,CONST_CNTR_TotProd &amp; $D13,D_Processes!$T:$T),0)</f>
        <v>0</v>
      </c>
      <c r="R13" s="224">
        <f>IFERROR(SUMIF(E_PurchPrec!$R:$R,CONST_PrecursorToGoodInput &amp; R$6 &amp; "_" &amp; $D13,E_PurchPrec!$T:$T)/SUMIF(D_Processes!$R:$R,CONST_CNTR_TotProd &amp; $D13,D_Processes!$T:$T),0)</f>
        <v>0</v>
      </c>
      <c r="S13" s="224">
        <f>IFERROR(SUMIF(E_PurchPrec!$R:$R,CONST_PrecursorToGoodInput &amp; S$6 &amp; "_" &amp; $D13,E_PurchPrec!$T:$T)/SUMIF(D_Processes!$R:$R,CONST_CNTR_TotProd &amp; $D13,D_Processes!$T:$T),0)</f>
        <v>0</v>
      </c>
      <c r="T13" s="224">
        <f>IFERROR(SUMIF(E_PurchPrec!$R:$R,CONST_PrecursorToGoodInput &amp; T$6 &amp; "_" &amp; $D13,E_PurchPrec!$T:$T)/SUMIF(D_Processes!$R:$R,CONST_CNTR_TotProd &amp; $D13,D_Processes!$T:$T),0)</f>
        <v>0</v>
      </c>
      <c r="U13" s="224">
        <f>IFERROR(SUMIF(E_PurchPrec!$R:$R,CONST_PrecursorToGoodInput &amp; U$6 &amp; "_" &amp; $D13,E_PurchPrec!$T:$T)/SUMIF(D_Processes!$R:$R,CONST_CNTR_TotProd &amp; $D13,D_Processes!$T:$T),0)</f>
        <v>0</v>
      </c>
      <c r="V13" s="224">
        <f>IFERROR(SUMIF(E_PurchPrec!$R:$R,CONST_PrecursorToGoodInput &amp; V$6 &amp; "_" &amp; $D13,E_PurchPrec!$T:$T)/SUMIF(D_Processes!$R:$R,CONST_CNTR_TotProd &amp; $D13,D_Processes!$T:$T),0)</f>
        <v>0</v>
      </c>
      <c r="W13" s="224">
        <f>IFERROR(SUMIF(E_PurchPrec!$R:$R,CONST_PrecursorToGoodInput &amp; W$6 &amp; "_" &amp; $D13,E_PurchPrec!$T:$T)/SUMIF(D_Processes!$R:$R,CONST_CNTR_TotProd &amp; $D13,D_Processes!$T:$T),0)</f>
        <v>0</v>
      </c>
      <c r="X13" s="224">
        <f>IFERROR(SUMIF(E_PurchPrec!$R:$R,CONST_PrecursorToGoodInput &amp; X$6 &amp; "_" &amp; $D13,E_PurchPrec!$T:$T)/SUMIF(D_Processes!$R:$R,CONST_CNTR_TotProd &amp; $D13,D_Processes!$T:$T),0)</f>
        <v>0</v>
      </c>
      <c r="Y13" s="224">
        <f>IFERROR(SUMIF(E_PurchPrec!$R:$R,CONST_PrecursorToGoodInput &amp; Y$6 &amp; "_" &amp; $D13,E_PurchPrec!$T:$T)/SUMIF(D_Processes!$R:$R,CONST_CNTR_TotProd &amp; $D13,D_Processes!$T:$T),0)</f>
        <v>0</v>
      </c>
      <c r="Z13" s="224">
        <f>IFERROR(SUMIF(E_PurchPrec!$R:$R,CONST_PrecursorToGoodInput &amp; Z$6 &amp; "_" &amp; $D13,E_PurchPrec!$T:$T)/SUMIF(D_Processes!$R:$R,CONST_CNTR_TotProd &amp; $D13,D_Processes!$T:$T),0)</f>
        <v>0</v>
      </c>
      <c r="AA13" s="224">
        <f>IFERROR(SUMIF(E_PurchPrec!$R:$R,CONST_PrecursorToGoodInput &amp; AA$6 &amp; "_" &amp; $D13,E_PurchPrec!$T:$T)/SUMIF(D_Processes!$R:$R,CONST_CNTR_TotProd &amp; $D13,D_Processes!$T:$T),0)</f>
        <v>0</v>
      </c>
      <c r="AB13" s="224">
        <f>IFERROR(SUMIF(E_PurchPrec!$R:$R,CONST_PrecursorToGoodInput &amp; AB$6 &amp; "_" &amp; $D13,E_PurchPrec!$T:$T)/SUMIF(D_Processes!$R:$R,CONST_CNTR_TotProd &amp; $D13,D_Processes!$T:$T),0)</f>
        <v>0</v>
      </c>
      <c r="AC13" s="224">
        <f>IFERROR(SUMIF(E_PurchPrec!$R:$R,CONST_PrecursorToGoodInput &amp; AC$6 &amp; "_" &amp; $D13,E_PurchPrec!$T:$T)/SUMIF(D_Processes!$R:$R,CONST_CNTR_TotProd &amp; $D13,D_Processes!$T:$T),0)</f>
        <v>0</v>
      </c>
      <c r="AD13" s="224">
        <f>IFERROR(SUMIF(E_PurchPrec!$R:$R,CONST_PrecursorToGoodInput &amp; AD$6 &amp; "_" &amp; $D13,E_PurchPrec!$T:$T)/SUMIF(D_Processes!$R:$R,CONST_CNTR_TotProd &amp; $D13,D_Processes!$T:$T),0)</f>
        <v>0</v>
      </c>
      <c r="AE13" s="224">
        <f>IFERROR(SUMIF(E_PurchPrec!$R:$R,CONST_PrecursorToGoodInput &amp; AE$6 &amp; "_" &amp; $D13,E_PurchPrec!$T:$T)/SUMIF(D_Processes!$R:$R,CONST_CNTR_TotProd &amp; $D13,D_Processes!$T:$T),0)</f>
        <v>0</v>
      </c>
      <c r="AF13" s="224">
        <f>IFERROR(SUMIF(E_PurchPrec!$R:$R,CONST_PrecursorToGoodInput &amp; AF$6 &amp; "_" &amp; $D13,E_PurchPrec!$T:$T)/SUMIF(D_Processes!$R:$R,CONST_CNTR_TotProd &amp; $D13,D_Processes!$T:$T),0)</f>
        <v>0</v>
      </c>
      <c r="AG13" s="224">
        <f>IFERROR(SUMIF(E_PurchPrec!$R:$R,CONST_PrecursorToGoodInput &amp; AG$6 &amp; "_" &amp; $D13,E_PurchPrec!$T:$T)/SUMIF(D_Processes!$R:$R,CONST_CNTR_TotProd &amp; $D13,D_Processes!$T:$T),0)</f>
        <v>0</v>
      </c>
      <c r="AH13" s="332">
        <f>IFERROR(SUMIF(E_PurchPrec!$R:$R,CONST_PrecursorToGoodInput &amp; AH$6 &amp; "_" &amp; $D13,E_PurchPrec!$T:$T)/SUMIF(D_Processes!$R:$R,CONST_CNTR_TotProd &amp; $D13,D_Processes!$T:$T),0)</f>
        <v>0</v>
      </c>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N13" s="226"/>
      <c r="BO13" s="226"/>
      <c r="BP13" s="226"/>
      <c r="BQ13" s="226"/>
      <c r="BR13" s="226"/>
      <c r="BS13" s="226"/>
      <c r="BT13" s="226"/>
      <c r="BU13" s="226"/>
      <c r="BV13" s="226"/>
    </row>
    <row r="14" spans="1:74" ht="12.75" customHeight="1" x14ac:dyDescent="0.35">
      <c r="C14" s="223">
        <v>8</v>
      </c>
      <c r="D14" s="336" t="str">
        <f t="shared" si="3"/>
        <v/>
      </c>
      <c r="E14" s="331">
        <f>IFERROR(SUMIF(D_Processes!$R:$R,CONST_PrecursorToGoodInput &amp; E$6 &amp; "_" &amp; $D14,D_Processes!$T:$T)/SUMIF(D_Processes!$R:$R,CONST_CNTR_TotProd &amp; $D14,D_Processes!$T:$T),0)</f>
        <v>0</v>
      </c>
      <c r="F14" s="224">
        <f>IFERROR(SUMIF(D_Processes!$R:$R,CONST_PrecursorToGoodInput &amp; F$6 &amp; "_" &amp; $D14,D_Processes!$T:$T)/SUMIF(D_Processes!$R:$R,CONST_CNTR_TotProd &amp; $D14,D_Processes!$T:$T),0)</f>
        <v>0</v>
      </c>
      <c r="G14" s="224">
        <f>IFERROR(SUMIF(D_Processes!$R:$R,CONST_PrecursorToGoodInput &amp; G$6 &amp; "_" &amp; $D14,D_Processes!$T:$T)/SUMIF(D_Processes!$R:$R,CONST_CNTR_TotProd &amp; $D14,D_Processes!$T:$T),0)</f>
        <v>0</v>
      </c>
      <c r="H14" s="224">
        <f>IFERROR(SUMIF(D_Processes!$R:$R,CONST_PrecursorToGoodInput &amp; H$6 &amp; "_" &amp; $D14,D_Processes!$T:$T)/SUMIF(D_Processes!$R:$R,CONST_CNTR_TotProd &amp; $D14,D_Processes!$T:$T),0)</f>
        <v>0</v>
      </c>
      <c r="I14" s="224">
        <f>IFERROR(SUMIF(D_Processes!$R:$R,CONST_PrecursorToGoodInput &amp; I$6 &amp; "_" &amp; $D14,D_Processes!$T:$T)/SUMIF(D_Processes!$R:$R,CONST_CNTR_TotProd &amp; $D14,D_Processes!$T:$T),0)</f>
        <v>0</v>
      </c>
      <c r="J14" s="224">
        <f>IFERROR(SUMIF(D_Processes!$R:$R,CONST_PrecursorToGoodInput &amp; J$6 &amp; "_" &amp; $D14,D_Processes!$T:$T)/SUMIF(D_Processes!$R:$R,CONST_CNTR_TotProd &amp; $D14,D_Processes!$T:$T),0)</f>
        <v>0</v>
      </c>
      <c r="K14" s="224">
        <f>IFERROR(SUMIF(D_Processes!$R:$R,CONST_PrecursorToGoodInput &amp; K$6 &amp; "_" &amp; $D14,D_Processes!$T:$T)/SUMIF(D_Processes!$R:$R,CONST_CNTR_TotProd &amp; $D14,D_Processes!$T:$T),0)</f>
        <v>0</v>
      </c>
      <c r="L14" s="224">
        <f>IFERROR(SUMIF(D_Processes!$R:$R,CONST_PrecursorToGoodInput &amp; L$6 &amp; "_" &amp; $D14,D_Processes!$T:$T)/SUMIF(D_Processes!$R:$R,CONST_CNTR_TotProd &amp; $D14,D_Processes!$T:$T),0)</f>
        <v>0</v>
      </c>
      <c r="M14" s="224">
        <f>IFERROR(SUMIF(D_Processes!$R:$R,CONST_PrecursorToGoodInput &amp; M$6 &amp; "_" &amp; $D14,D_Processes!$T:$T)/SUMIF(D_Processes!$R:$R,CONST_CNTR_TotProd &amp; $D14,D_Processes!$T:$T),0)</f>
        <v>0</v>
      </c>
      <c r="N14" s="332">
        <f>IFERROR(SUMIF(D_Processes!$R:$R,CONST_PrecursorToGoodInput &amp; N$6 &amp; "_" &amp; $D14,D_Processes!$T:$T)/SUMIF(D_Processes!$R:$R,CONST_CNTR_TotProd &amp; $D14,D_Processes!$T:$T),0)</f>
        <v>0</v>
      </c>
      <c r="O14" s="331">
        <f>IFERROR(SUMIF(E_PurchPrec!$R:$R,CONST_PrecursorToGoodInput &amp; O$6 &amp; "_" &amp; $D14,E_PurchPrec!$T:$T)/SUMIF(D_Processes!$R:$R,CONST_CNTR_TotProd &amp; $D14,D_Processes!$T:$T),0)</f>
        <v>0</v>
      </c>
      <c r="P14" s="224">
        <f>IFERROR(SUMIF(E_PurchPrec!$R:$R,CONST_PrecursorToGoodInput &amp; P$6 &amp; "_" &amp; $D14,E_PurchPrec!$T:$T)/SUMIF(D_Processes!$R:$R,CONST_CNTR_TotProd &amp; $D14,D_Processes!$T:$T),0)</f>
        <v>0</v>
      </c>
      <c r="Q14" s="224">
        <f>IFERROR(SUMIF(E_PurchPrec!$R:$R,CONST_PrecursorToGoodInput &amp; Q$6 &amp; "_" &amp; $D14,E_PurchPrec!$T:$T)/SUMIF(D_Processes!$R:$R,CONST_CNTR_TotProd &amp; $D14,D_Processes!$T:$T),0)</f>
        <v>0</v>
      </c>
      <c r="R14" s="224">
        <f>IFERROR(SUMIF(E_PurchPrec!$R:$R,CONST_PrecursorToGoodInput &amp; R$6 &amp; "_" &amp; $D14,E_PurchPrec!$T:$T)/SUMIF(D_Processes!$R:$R,CONST_CNTR_TotProd &amp; $D14,D_Processes!$T:$T),0)</f>
        <v>0</v>
      </c>
      <c r="S14" s="224">
        <f>IFERROR(SUMIF(E_PurchPrec!$R:$R,CONST_PrecursorToGoodInput &amp; S$6 &amp; "_" &amp; $D14,E_PurchPrec!$T:$T)/SUMIF(D_Processes!$R:$R,CONST_CNTR_TotProd &amp; $D14,D_Processes!$T:$T),0)</f>
        <v>0</v>
      </c>
      <c r="T14" s="224">
        <f>IFERROR(SUMIF(E_PurchPrec!$R:$R,CONST_PrecursorToGoodInput &amp; T$6 &amp; "_" &amp; $D14,E_PurchPrec!$T:$T)/SUMIF(D_Processes!$R:$R,CONST_CNTR_TotProd &amp; $D14,D_Processes!$T:$T),0)</f>
        <v>0</v>
      </c>
      <c r="U14" s="224">
        <f>IFERROR(SUMIF(E_PurchPrec!$R:$R,CONST_PrecursorToGoodInput &amp; U$6 &amp; "_" &amp; $D14,E_PurchPrec!$T:$T)/SUMIF(D_Processes!$R:$R,CONST_CNTR_TotProd &amp; $D14,D_Processes!$T:$T),0)</f>
        <v>0</v>
      </c>
      <c r="V14" s="224">
        <f>IFERROR(SUMIF(E_PurchPrec!$R:$R,CONST_PrecursorToGoodInput &amp; V$6 &amp; "_" &amp; $D14,E_PurchPrec!$T:$T)/SUMIF(D_Processes!$R:$R,CONST_CNTR_TotProd &amp; $D14,D_Processes!$T:$T),0)</f>
        <v>0</v>
      </c>
      <c r="W14" s="224">
        <f>IFERROR(SUMIF(E_PurchPrec!$R:$R,CONST_PrecursorToGoodInput &amp; W$6 &amp; "_" &amp; $D14,E_PurchPrec!$T:$T)/SUMIF(D_Processes!$R:$R,CONST_CNTR_TotProd &amp; $D14,D_Processes!$T:$T),0)</f>
        <v>0</v>
      </c>
      <c r="X14" s="224">
        <f>IFERROR(SUMIF(E_PurchPrec!$R:$R,CONST_PrecursorToGoodInput &amp; X$6 &amp; "_" &amp; $D14,E_PurchPrec!$T:$T)/SUMIF(D_Processes!$R:$R,CONST_CNTR_TotProd &amp; $D14,D_Processes!$T:$T),0)</f>
        <v>0</v>
      </c>
      <c r="Y14" s="224">
        <f>IFERROR(SUMIF(E_PurchPrec!$R:$R,CONST_PrecursorToGoodInput &amp; Y$6 &amp; "_" &amp; $D14,E_PurchPrec!$T:$T)/SUMIF(D_Processes!$R:$R,CONST_CNTR_TotProd &amp; $D14,D_Processes!$T:$T),0)</f>
        <v>0</v>
      </c>
      <c r="Z14" s="224">
        <f>IFERROR(SUMIF(E_PurchPrec!$R:$R,CONST_PrecursorToGoodInput &amp; Z$6 &amp; "_" &amp; $D14,E_PurchPrec!$T:$T)/SUMIF(D_Processes!$R:$R,CONST_CNTR_TotProd &amp; $D14,D_Processes!$T:$T),0)</f>
        <v>0</v>
      </c>
      <c r="AA14" s="224">
        <f>IFERROR(SUMIF(E_PurchPrec!$R:$R,CONST_PrecursorToGoodInput &amp; AA$6 &amp; "_" &amp; $D14,E_PurchPrec!$T:$T)/SUMIF(D_Processes!$R:$R,CONST_CNTR_TotProd &amp; $D14,D_Processes!$T:$T),0)</f>
        <v>0</v>
      </c>
      <c r="AB14" s="224">
        <f>IFERROR(SUMIF(E_PurchPrec!$R:$R,CONST_PrecursorToGoodInput &amp; AB$6 &amp; "_" &amp; $D14,E_PurchPrec!$T:$T)/SUMIF(D_Processes!$R:$R,CONST_CNTR_TotProd &amp; $D14,D_Processes!$T:$T),0)</f>
        <v>0</v>
      </c>
      <c r="AC14" s="224">
        <f>IFERROR(SUMIF(E_PurchPrec!$R:$R,CONST_PrecursorToGoodInput &amp; AC$6 &amp; "_" &amp; $D14,E_PurchPrec!$T:$T)/SUMIF(D_Processes!$R:$R,CONST_CNTR_TotProd &amp; $D14,D_Processes!$T:$T),0)</f>
        <v>0</v>
      </c>
      <c r="AD14" s="224">
        <f>IFERROR(SUMIF(E_PurchPrec!$R:$R,CONST_PrecursorToGoodInput &amp; AD$6 &amp; "_" &amp; $D14,E_PurchPrec!$T:$T)/SUMIF(D_Processes!$R:$R,CONST_CNTR_TotProd &amp; $D14,D_Processes!$T:$T),0)</f>
        <v>0</v>
      </c>
      <c r="AE14" s="224">
        <f>IFERROR(SUMIF(E_PurchPrec!$R:$R,CONST_PrecursorToGoodInput &amp; AE$6 &amp; "_" &amp; $D14,E_PurchPrec!$T:$T)/SUMIF(D_Processes!$R:$R,CONST_CNTR_TotProd &amp; $D14,D_Processes!$T:$T),0)</f>
        <v>0</v>
      </c>
      <c r="AF14" s="224">
        <f>IFERROR(SUMIF(E_PurchPrec!$R:$R,CONST_PrecursorToGoodInput &amp; AF$6 &amp; "_" &amp; $D14,E_PurchPrec!$T:$T)/SUMIF(D_Processes!$R:$R,CONST_CNTR_TotProd &amp; $D14,D_Processes!$T:$T),0)</f>
        <v>0</v>
      </c>
      <c r="AG14" s="224">
        <f>IFERROR(SUMIF(E_PurchPrec!$R:$R,CONST_PrecursorToGoodInput &amp; AG$6 &amp; "_" &amp; $D14,E_PurchPrec!$T:$T)/SUMIF(D_Processes!$R:$R,CONST_CNTR_TotProd &amp; $D14,D_Processes!$T:$T),0)</f>
        <v>0</v>
      </c>
      <c r="AH14" s="332">
        <f>IFERROR(SUMIF(E_PurchPrec!$R:$R,CONST_PrecursorToGoodInput &amp; AH$6 &amp; "_" &amp; $D14,E_PurchPrec!$T:$T)/SUMIF(D_Processes!$R:$R,CONST_CNTR_TotProd &amp; $D14,D_Processes!$T:$T),0)</f>
        <v>0</v>
      </c>
      <c r="AR14" s="226"/>
      <c r="AS14" s="226"/>
      <c r="AT14" s="226"/>
      <c r="AU14" s="226"/>
      <c r="AV14" s="226"/>
      <c r="AW14" s="226"/>
      <c r="AX14" s="226"/>
      <c r="AY14" s="226"/>
      <c r="AZ14" s="226"/>
      <c r="BA14" s="226"/>
      <c r="BB14" s="226"/>
      <c r="BC14" s="226"/>
      <c r="BD14" s="226"/>
      <c r="BE14" s="226"/>
      <c r="BF14" s="226"/>
      <c r="BG14" s="226"/>
      <c r="BH14" s="226"/>
      <c r="BI14" s="226"/>
      <c r="BJ14" s="226"/>
      <c r="BK14" s="226"/>
      <c r="BL14" s="226"/>
      <c r="BM14" s="226"/>
      <c r="BN14" s="226"/>
      <c r="BO14" s="226"/>
      <c r="BP14" s="226"/>
      <c r="BQ14" s="226"/>
      <c r="BR14" s="226"/>
      <c r="BS14" s="226"/>
      <c r="BT14" s="226"/>
      <c r="BU14" s="226"/>
      <c r="BV14" s="226"/>
    </row>
    <row r="15" spans="1:74" ht="12.75" customHeight="1" x14ac:dyDescent="0.35">
      <c r="C15" s="223">
        <v>9</v>
      </c>
      <c r="D15" s="336" t="str">
        <f t="shared" si="3"/>
        <v/>
      </c>
      <c r="E15" s="331">
        <f>IFERROR(SUMIF(D_Processes!$R:$R,CONST_PrecursorToGoodInput &amp; E$6 &amp; "_" &amp; $D15,D_Processes!$T:$T)/SUMIF(D_Processes!$R:$R,CONST_CNTR_TotProd &amp; $D15,D_Processes!$T:$T),0)</f>
        <v>0</v>
      </c>
      <c r="F15" s="224">
        <f>IFERROR(SUMIF(D_Processes!$R:$R,CONST_PrecursorToGoodInput &amp; F$6 &amp; "_" &amp; $D15,D_Processes!$T:$T)/SUMIF(D_Processes!$R:$R,CONST_CNTR_TotProd &amp; $D15,D_Processes!$T:$T),0)</f>
        <v>0</v>
      </c>
      <c r="G15" s="224">
        <f>IFERROR(SUMIF(D_Processes!$R:$R,CONST_PrecursorToGoodInput &amp; G$6 &amp; "_" &amp; $D15,D_Processes!$T:$T)/SUMIF(D_Processes!$R:$R,CONST_CNTR_TotProd &amp; $D15,D_Processes!$T:$T),0)</f>
        <v>0</v>
      </c>
      <c r="H15" s="224">
        <f>IFERROR(SUMIF(D_Processes!$R:$R,CONST_PrecursorToGoodInput &amp; H$6 &amp; "_" &amp; $D15,D_Processes!$T:$T)/SUMIF(D_Processes!$R:$R,CONST_CNTR_TotProd &amp; $D15,D_Processes!$T:$T),0)</f>
        <v>0</v>
      </c>
      <c r="I15" s="224">
        <f>IFERROR(SUMIF(D_Processes!$R:$R,CONST_PrecursorToGoodInput &amp; I$6 &amp; "_" &amp; $D15,D_Processes!$T:$T)/SUMIF(D_Processes!$R:$R,CONST_CNTR_TotProd &amp; $D15,D_Processes!$T:$T),0)</f>
        <v>0</v>
      </c>
      <c r="J15" s="224">
        <f>IFERROR(SUMIF(D_Processes!$R:$R,CONST_PrecursorToGoodInput &amp; J$6 &amp; "_" &amp; $D15,D_Processes!$T:$T)/SUMIF(D_Processes!$R:$R,CONST_CNTR_TotProd &amp; $D15,D_Processes!$T:$T),0)</f>
        <v>0</v>
      </c>
      <c r="K15" s="224">
        <f>IFERROR(SUMIF(D_Processes!$R:$R,CONST_PrecursorToGoodInput &amp; K$6 &amp; "_" &amp; $D15,D_Processes!$T:$T)/SUMIF(D_Processes!$R:$R,CONST_CNTR_TotProd &amp; $D15,D_Processes!$T:$T),0)</f>
        <v>0</v>
      </c>
      <c r="L15" s="224">
        <f>IFERROR(SUMIF(D_Processes!$R:$R,CONST_PrecursorToGoodInput &amp; L$6 &amp; "_" &amp; $D15,D_Processes!$T:$T)/SUMIF(D_Processes!$R:$R,CONST_CNTR_TotProd &amp; $D15,D_Processes!$T:$T),0)</f>
        <v>0</v>
      </c>
      <c r="M15" s="224">
        <f>IFERROR(SUMIF(D_Processes!$R:$R,CONST_PrecursorToGoodInput &amp; M$6 &amp; "_" &amp; $D15,D_Processes!$T:$T)/SUMIF(D_Processes!$R:$R,CONST_CNTR_TotProd &amp; $D15,D_Processes!$T:$T),0)</f>
        <v>0</v>
      </c>
      <c r="N15" s="332">
        <f>IFERROR(SUMIF(D_Processes!$R:$R,CONST_PrecursorToGoodInput &amp; N$6 &amp; "_" &amp; $D15,D_Processes!$T:$T)/SUMIF(D_Processes!$R:$R,CONST_CNTR_TotProd &amp; $D15,D_Processes!$T:$T),0)</f>
        <v>0</v>
      </c>
      <c r="O15" s="331">
        <f>IFERROR(SUMIF(E_PurchPrec!$R:$R,CONST_PrecursorToGoodInput &amp; O$6 &amp; "_" &amp; $D15,E_PurchPrec!$T:$T)/SUMIF(D_Processes!$R:$R,CONST_CNTR_TotProd &amp; $D15,D_Processes!$T:$T),0)</f>
        <v>0</v>
      </c>
      <c r="P15" s="224">
        <f>IFERROR(SUMIF(E_PurchPrec!$R:$R,CONST_PrecursorToGoodInput &amp; P$6 &amp; "_" &amp; $D15,E_PurchPrec!$T:$T)/SUMIF(D_Processes!$R:$R,CONST_CNTR_TotProd &amp; $D15,D_Processes!$T:$T),0)</f>
        <v>0</v>
      </c>
      <c r="Q15" s="224">
        <f>IFERROR(SUMIF(E_PurchPrec!$R:$R,CONST_PrecursorToGoodInput &amp; Q$6 &amp; "_" &amp; $D15,E_PurchPrec!$T:$T)/SUMIF(D_Processes!$R:$R,CONST_CNTR_TotProd &amp; $D15,D_Processes!$T:$T),0)</f>
        <v>0</v>
      </c>
      <c r="R15" s="224">
        <f>IFERROR(SUMIF(E_PurchPrec!$R:$R,CONST_PrecursorToGoodInput &amp; R$6 &amp; "_" &amp; $D15,E_PurchPrec!$T:$T)/SUMIF(D_Processes!$R:$R,CONST_CNTR_TotProd &amp; $D15,D_Processes!$T:$T),0)</f>
        <v>0</v>
      </c>
      <c r="S15" s="224">
        <f>IFERROR(SUMIF(E_PurchPrec!$R:$R,CONST_PrecursorToGoodInput &amp; S$6 &amp; "_" &amp; $D15,E_PurchPrec!$T:$T)/SUMIF(D_Processes!$R:$R,CONST_CNTR_TotProd &amp; $D15,D_Processes!$T:$T),0)</f>
        <v>0</v>
      </c>
      <c r="T15" s="224">
        <f>IFERROR(SUMIF(E_PurchPrec!$R:$R,CONST_PrecursorToGoodInput &amp; T$6 &amp; "_" &amp; $D15,E_PurchPrec!$T:$T)/SUMIF(D_Processes!$R:$R,CONST_CNTR_TotProd &amp; $D15,D_Processes!$T:$T),0)</f>
        <v>0</v>
      </c>
      <c r="U15" s="224">
        <f>IFERROR(SUMIF(E_PurchPrec!$R:$R,CONST_PrecursorToGoodInput &amp; U$6 &amp; "_" &amp; $D15,E_PurchPrec!$T:$T)/SUMIF(D_Processes!$R:$R,CONST_CNTR_TotProd &amp; $D15,D_Processes!$T:$T),0)</f>
        <v>0</v>
      </c>
      <c r="V15" s="224">
        <f>IFERROR(SUMIF(E_PurchPrec!$R:$R,CONST_PrecursorToGoodInput &amp; V$6 &amp; "_" &amp; $D15,E_PurchPrec!$T:$T)/SUMIF(D_Processes!$R:$R,CONST_CNTR_TotProd &amp; $D15,D_Processes!$T:$T),0)</f>
        <v>0</v>
      </c>
      <c r="W15" s="224">
        <f>IFERROR(SUMIF(E_PurchPrec!$R:$R,CONST_PrecursorToGoodInput &amp; W$6 &amp; "_" &amp; $D15,E_PurchPrec!$T:$T)/SUMIF(D_Processes!$R:$R,CONST_CNTR_TotProd &amp; $D15,D_Processes!$T:$T),0)</f>
        <v>0</v>
      </c>
      <c r="X15" s="224">
        <f>IFERROR(SUMIF(E_PurchPrec!$R:$R,CONST_PrecursorToGoodInput &amp; X$6 &amp; "_" &amp; $D15,E_PurchPrec!$T:$T)/SUMIF(D_Processes!$R:$R,CONST_CNTR_TotProd &amp; $D15,D_Processes!$T:$T),0)</f>
        <v>0</v>
      </c>
      <c r="Y15" s="224">
        <f>IFERROR(SUMIF(E_PurchPrec!$R:$R,CONST_PrecursorToGoodInput &amp; Y$6 &amp; "_" &amp; $D15,E_PurchPrec!$T:$T)/SUMIF(D_Processes!$R:$R,CONST_CNTR_TotProd &amp; $D15,D_Processes!$T:$T),0)</f>
        <v>0</v>
      </c>
      <c r="Z15" s="224">
        <f>IFERROR(SUMIF(E_PurchPrec!$R:$R,CONST_PrecursorToGoodInput &amp; Z$6 &amp; "_" &amp; $D15,E_PurchPrec!$T:$T)/SUMIF(D_Processes!$R:$R,CONST_CNTR_TotProd &amp; $D15,D_Processes!$T:$T),0)</f>
        <v>0</v>
      </c>
      <c r="AA15" s="224">
        <f>IFERROR(SUMIF(E_PurchPrec!$R:$R,CONST_PrecursorToGoodInput &amp; AA$6 &amp; "_" &amp; $D15,E_PurchPrec!$T:$T)/SUMIF(D_Processes!$R:$R,CONST_CNTR_TotProd &amp; $D15,D_Processes!$T:$T),0)</f>
        <v>0</v>
      </c>
      <c r="AB15" s="224">
        <f>IFERROR(SUMIF(E_PurchPrec!$R:$R,CONST_PrecursorToGoodInput &amp; AB$6 &amp; "_" &amp; $D15,E_PurchPrec!$T:$T)/SUMIF(D_Processes!$R:$R,CONST_CNTR_TotProd &amp; $D15,D_Processes!$T:$T),0)</f>
        <v>0</v>
      </c>
      <c r="AC15" s="224">
        <f>IFERROR(SUMIF(E_PurchPrec!$R:$R,CONST_PrecursorToGoodInput &amp; AC$6 &amp; "_" &amp; $D15,E_PurchPrec!$T:$T)/SUMIF(D_Processes!$R:$R,CONST_CNTR_TotProd &amp; $D15,D_Processes!$T:$T),0)</f>
        <v>0</v>
      </c>
      <c r="AD15" s="224">
        <f>IFERROR(SUMIF(E_PurchPrec!$R:$R,CONST_PrecursorToGoodInput &amp; AD$6 &amp; "_" &amp; $D15,E_PurchPrec!$T:$T)/SUMIF(D_Processes!$R:$R,CONST_CNTR_TotProd &amp; $D15,D_Processes!$T:$T),0)</f>
        <v>0</v>
      </c>
      <c r="AE15" s="224">
        <f>IFERROR(SUMIF(E_PurchPrec!$R:$R,CONST_PrecursorToGoodInput &amp; AE$6 &amp; "_" &amp; $D15,E_PurchPrec!$T:$T)/SUMIF(D_Processes!$R:$R,CONST_CNTR_TotProd &amp; $D15,D_Processes!$T:$T),0)</f>
        <v>0</v>
      </c>
      <c r="AF15" s="224">
        <f>IFERROR(SUMIF(E_PurchPrec!$R:$R,CONST_PrecursorToGoodInput &amp; AF$6 &amp; "_" &amp; $D15,E_PurchPrec!$T:$T)/SUMIF(D_Processes!$R:$R,CONST_CNTR_TotProd &amp; $D15,D_Processes!$T:$T),0)</f>
        <v>0</v>
      </c>
      <c r="AG15" s="224">
        <f>IFERROR(SUMIF(E_PurchPrec!$R:$R,CONST_PrecursorToGoodInput &amp; AG$6 &amp; "_" &amp; $D15,E_PurchPrec!$T:$T)/SUMIF(D_Processes!$R:$R,CONST_CNTR_TotProd &amp; $D15,D_Processes!$T:$T),0)</f>
        <v>0</v>
      </c>
      <c r="AH15" s="332">
        <f>IFERROR(SUMIF(E_PurchPrec!$R:$R,CONST_PrecursorToGoodInput &amp; AH$6 &amp; "_" &amp; $D15,E_PurchPrec!$T:$T)/SUMIF(D_Processes!$R:$R,CONST_CNTR_TotProd &amp; $D15,D_Processes!$T:$T),0)</f>
        <v>0</v>
      </c>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6"/>
      <c r="BT15" s="226"/>
      <c r="BU15" s="226"/>
      <c r="BV15" s="226"/>
    </row>
    <row r="16" spans="1:74" ht="12.75" customHeight="1" thickBot="1" x14ac:dyDescent="0.4">
      <c r="C16" s="223">
        <v>10</v>
      </c>
      <c r="D16" s="393" t="str">
        <f t="shared" si="3"/>
        <v/>
      </c>
      <c r="E16" s="394">
        <f>IFERROR(SUMIF(D_Processes!$R:$R,CONST_PrecursorToGoodInput &amp; E$6 &amp; "_" &amp; $D16,D_Processes!$T:$T)/SUMIF(D_Processes!$R:$R,CONST_CNTR_TotProd &amp; $D16,D_Processes!$T:$T),0)</f>
        <v>0</v>
      </c>
      <c r="F16" s="395">
        <f>IFERROR(SUMIF(D_Processes!$R:$R,CONST_PrecursorToGoodInput &amp; F$6 &amp; "_" &amp; $D16,D_Processes!$T:$T)/SUMIF(D_Processes!$R:$R,CONST_CNTR_TotProd &amp; $D16,D_Processes!$T:$T),0)</f>
        <v>0</v>
      </c>
      <c r="G16" s="395">
        <f>IFERROR(SUMIF(D_Processes!$R:$R,CONST_PrecursorToGoodInput &amp; G$6 &amp; "_" &amp; $D16,D_Processes!$T:$T)/SUMIF(D_Processes!$R:$R,CONST_CNTR_TotProd &amp; $D16,D_Processes!$T:$T),0)</f>
        <v>0</v>
      </c>
      <c r="H16" s="395">
        <f>IFERROR(SUMIF(D_Processes!$R:$R,CONST_PrecursorToGoodInput &amp; H$6 &amp; "_" &amp; $D16,D_Processes!$T:$T)/SUMIF(D_Processes!$R:$R,CONST_CNTR_TotProd &amp; $D16,D_Processes!$T:$T),0)</f>
        <v>0</v>
      </c>
      <c r="I16" s="395">
        <f>IFERROR(SUMIF(D_Processes!$R:$R,CONST_PrecursorToGoodInput &amp; I$6 &amp; "_" &amp; $D16,D_Processes!$T:$T)/SUMIF(D_Processes!$R:$R,CONST_CNTR_TotProd &amp; $D16,D_Processes!$T:$T),0)</f>
        <v>0</v>
      </c>
      <c r="J16" s="395">
        <f>IFERROR(SUMIF(D_Processes!$R:$R,CONST_PrecursorToGoodInput &amp; J$6 &amp; "_" &amp; $D16,D_Processes!$T:$T)/SUMIF(D_Processes!$R:$R,CONST_CNTR_TotProd &amp; $D16,D_Processes!$T:$T),0)</f>
        <v>0</v>
      </c>
      <c r="K16" s="395">
        <f>IFERROR(SUMIF(D_Processes!$R:$R,CONST_PrecursorToGoodInput &amp; K$6 &amp; "_" &amp; $D16,D_Processes!$T:$T)/SUMIF(D_Processes!$R:$R,CONST_CNTR_TotProd &amp; $D16,D_Processes!$T:$T),0)</f>
        <v>0</v>
      </c>
      <c r="L16" s="395">
        <f>IFERROR(SUMIF(D_Processes!$R:$R,CONST_PrecursorToGoodInput &amp; L$6 &amp; "_" &amp; $D16,D_Processes!$T:$T)/SUMIF(D_Processes!$R:$R,CONST_CNTR_TotProd &amp; $D16,D_Processes!$T:$T),0)</f>
        <v>0</v>
      </c>
      <c r="M16" s="395">
        <f>IFERROR(SUMIF(D_Processes!$R:$R,CONST_PrecursorToGoodInput &amp; M$6 &amp; "_" &amp; $D16,D_Processes!$T:$T)/SUMIF(D_Processes!$R:$R,CONST_CNTR_TotProd &amp; $D16,D_Processes!$T:$T),0)</f>
        <v>0</v>
      </c>
      <c r="N16" s="396">
        <f>IFERROR(SUMIF(D_Processes!$R:$R,CONST_PrecursorToGoodInput &amp; N$6 &amp; "_" &amp; $D16,D_Processes!$T:$T)/SUMIF(D_Processes!$R:$R,CONST_CNTR_TotProd &amp; $D16,D_Processes!$T:$T),0)</f>
        <v>0</v>
      </c>
      <c r="O16" s="394">
        <f>IFERROR(SUMIF(E_PurchPrec!$R:$R,CONST_PrecursorToGoodInput &amp; O$6 &amp; "_" &amp; $D16,E_PurchPrec!$T:$T)/SUMIF(D_Processes!$R:$R,CONST_CNTR_TotProd &amp; $D16,D_Processes!$T:$T),0)</f>
        <v>0</v>
      </c>
      <c r="P16" s="395">
        <f>IFERROR(SUMIF(E_PurchPrec!$R:$R,CONST_PrecursorToGoodInput &amp; P$6 &amp; "_" &amp; $D16,E_PurchPrec!$T:$T)/SUMIF(D_Processes!$R:$R,CONST_CNTR_TotProd &amp; $D16,D_Processes!$T:$T),0)</f>
        <v>0</v>
      </c>
      <c r="Q16" s="395">
        <f>IFERROR(SUMIF(E_PurchPrec!$R:$R,CONST_PrecursorToGoodInput &amp; Q$6 &amp; "_" &amp; $D16,E_PurchPrec!$T:$T)/SUMIF(D_Processes!$R:$R,CONST_CNTR_TotProd &amp; $D16,D_Processes!$T:$T),0)</f>
        <v>0</v>
      </c>
      <c r="R16" s="395">
        <f>IFERROR(SUMIF(E_PurchPrec!$R:$R,CONST_PrecursorToGoodInput &amp; R$6 &amp; "_" &amp; $D16,E_PurchPrec!$T:$T)/SUMIF(D_Processes!$R:$R,CONST_CNTR_TotProd &amp; $D16,D_Processes!$T:$T),0)</f>
        <v>0</v>
      </c>
      <c r="S16" s="395">
        <f>IFERROR(SUMIF(E_PurchPrec!$R:$R,CONST_PrecursorToGoodInput &amp; S$6 &amp; "_" &amp; $D16,E_PurchPrec!$T:$T)/SUMIF(D_Processes!$R:$R,CONST_CNTR_TotProd &amp; $D16,D_Processes!$T:$T),0)</f>
        <v>0</v>
      </c>
      <c r="T16" s="395">
        <f>IFERROR(SUMIF(E_PurchPrec!$R:$R,CONST_PrecursorToGoodInput &amp; T$6 &amp; "_" &amp; $D16,E_PurchPrec!$T:$T)/SUMIF(D_Processes!$R:$R,CONST_CNTR_TotProd &amp; $D16,D_Processes!$T:$T),0)</f>
        <v>0</v>
      </c>
      <c r="U16" s="395">
        <f>IFERROR(SUMIF(E_PurchPrec!$R:$R,CONST_PrecursorToGoodInput &amp; U$6 &amp; "_" &amp; $D16,E_PurchPrec!$T:$T)/SUMIF(D_Processes!$R:$R,CONST_CNTR_TotProd &amp; $D16,D_Processes!$T:$T),0)</f>
        <v>0</v>
      </c>
      <c r="V16" s="395">
        <f>IFERROR(SUMIF(E_PurchPrec!$R:$R,CONST_PrecursorToGoodInput &amp; V$6 &amp; "_" &amp; $D16,E_PurchPrec!$T:$T)/SUMIF(D_Processes!$R:$R,CONST_CNTR_TotProd &amp; $D16,D_Processes!$T:$T),0)</f>
        <v>0</v>
      </c>
      <c r="W16" s="395">
        <f>IFERROR(SUMIF(E_PurchPrec!$R:$R,CONST_PrecursorToGoodInput &amp; W$6 &amp; "_" &amp; $D16,E_PurchPrec!$T:$T)/SUMIF(D_Processes!$R:$R,CONST_CNTR_TotProd &amp; $D16,D_Processes!$T:$T),0)</f>
        <v>0</v>
      </c>
      <c r="X16" s="395">
        <f>IFERROR(SUMIF(E_PurchPrec!$R:$R,CONST_PrecursorToGoodInput &amp; X$6 &amp; "_" &amp; $D16,E_PurchPrec!$T:$T)/SUMIF(D_Processes!$R:$R,CONST_CNTR_TotProd &amp; $D16,D_Processes!$T:$T),0)</f>
        <v>0</v>
      </c>
      <c r="Y16" s="395">
        <f>IFERROR(SUMIF(E_PurchPrec!$R:$R,CONST_PrecursorToGoodInput &amp; Y$6 &amp; "_" &amp; $D16,E_PurchPrec!$T:$T)/SUMIF(D_Processes!$R:$R,CONST_CNTR_TotProd &amp; $D16,D_Processes!$T:$T),0)</f>
        <v>0</v>
      </c>
      <c r="Z16" s="395">
        <f>IFERROR(SUMIF(E_PurchPrec!$R:$R,CONST_PrecursorToGoodInput &amp; Z$6 &amp; "_" &amp; $D16,E_PurchPrec!$T:$T)/SUMIF(D_Processes!$R:$R,CONST_CNTR_TotProd &amp; $D16,D_Processes!$T:$T),0)</f>
        <v>0</v>
      </c>
      <c r="AA16" s="395">
        <f>IFERROR(SUMIF(E_PurchPrec!$R:$R,CONST_PrecursorToGoodInput &amp; AA$6 &amp; "_" &amp; $D16,E_PurchPrec!$T:$T)/SUMIF(D_Processes!$R:$R,CONST_CNTR_TotProd &amp; $D16,D_Processes!$T:$T),0)</f>
        <v>0</v>
      </c>
      <c r="AB16" s="395">
        <f>IFERROR(SUMIF(E_PurchPrec!$R:$R,CONST_PrecursorToGoodInput &amp; AB$6 &amp; "_" &amp; $D16,E_PurchPrec!$T:$T)/SUMIF(D_Processes!$R:$R,CONST_CNTR_TotProd &amp; $D16,D_Processes!$T:$T),0)</f>
        <v>0</v>
      </c>
      <c r="AC16" s="395">
        <f>IFERROR(SUMIF(E_PurchPrec!$R:$R,CONST_PrecursorToGoodInput &amp; AC$6 &amp; "_" &amp; $D16,E_PurchPrec!$T:$T)/SUMIF(D_Processes!$R:$R,CONST_CNTR_TotProd &amp; $D16,D_Processes!$T:$T),0)</f>
        <v>0</v>
      </c>
      <c r="AD16" s="395">
        <f>IFERROR(SUMIF(E_PurchPrec!$R:$R,CONST_PrecursorToGoodInput &amp; AD$6 &amp; "_" &amp; $D16,E_PurchPrec!$T:$T)/SUMIF(D_Processes!$R:$R,CONST_CNTR_TotProd &amp; $D16,D_Processes!$T:$T),0)</f>
        <v>0</v>
      </c>
      <c r="AE16" s="395">
        <f>IFERROR(SUMIF(E_PurchPrec!$R:$R,CONST_PrecursorToGoodInput &amp; AE$6 &amp; "_" &amp; $D16,E_PurchPrec!$T:$T)/SUMIF(D_Processes!$R:$R,CONST_CNTR_TotProd &amp; $D16,D_Processes!$T:$T),0)</f>
        <v>0</v>
      </c>
      <c r="AF16" s="395">
        <f>IFERROR(SUMIF(E_PurchPrec!$R:$R,CONST_PrecursorToGoodInput &amp; AF$6 &amp; "_" &amp; $D16,E_PurchPrec!$T:$T)/SUMIF(D_Processes!$R:$R,CONST_CNTR_TotProd &amp; $D16,D_Processes!$T:$T),0)</f>
        <v>0</v>
      </c>
      <c r="AG16" s="395">
        <f>IFERROR(SUMIF(E_PurchPrec!$R:$R,CONST_PrecursorToGoodInput &amp; AG$6 &amp; "_" &amp; $D16,E_PurchPrec!$T:$T)/SUMIF(D_Processes!$R:$R,CONST_CNTR_TotProd &amp; $D16,D_Processes!$T:$T),0)</f>
        <v>0</v>
      </c>
      <c r="AH16" s="396">
        <f>IFERROR(SUMIF(E_PurchPrec!$R:$R,CONST_PrecursorToGoodInput &amp; AH$6 &amp; "_" &amp; $D16,E_PurchPrec!$T:$T)/SUMIF(D_Processes!$R:$R,CONST_CNTR_TotProd &amp; $D16,D_Processes!$T:$T),0)</f>
        <v>0</v>
      </c>
      <c r="AR16" s="226"/>
      <c r="AS16" s="226"/>
      <c r="AT16" s="226"/>
      <c r="AU16" s="226"/>
      <c r="AV16" s="226"/>
      <c r="AW16" s="226"/>
      <c r="AX16" s="226"/>
      <c r="AY16" s="226"/>
      <c r="AZ16" s="226"/>
      <c r="BA16" s="226"/>
      <c r="BB16" s="226"/>
      <c r="BC16" s="226"/>
      <c r="BD16" s="226"/>
      <c r="BE16" s="226"/>
      <c r="BF16" s="226"/>
      <c r="BG16" s="226"/>
      <c r="BH16" s="226"/>
      <c r="BI16" s="226"/>
      <c r="BJ16" s="226"/>
      <c r="BK16" s="226"/>
      <c r="BL16" s="226"/>
      <c r="BM16" s="226"/>
      <c r="BN16" s="226"/>
      <c r="BO16" s="226"/>
      <c r="BP16" s="226"/>
      <c r="BQ16" s="226"/>
      <c r="BR16" s="226"/>
      <c r="BS16" s="226"/>
      <c r="BT16" s="226"/>
      <c r="BU16" s="226"/>
      <c r="BV16" s="226"/>
    </row>
    <row r="17" spans="2:74" ht="12.75" customHeight="1" x14ac:dyDescent="0.35">
      <c r="B17" s="218" t="s">
        <v>589</v>
      </c>
      <c r="C17" s="223">
        <v>1</v>
      </c>
      <c r="D17" s="397" t="str">
        <f t="shared" ref="D17:D36" si="4">IF(INDEX(CNTR_List_ExistPurchPrecNames,C17)=CONST_NA,"",INDEX(CNTR_List_ExistPurchPrecNames,C17))</f>
        <v/>
      </c>
      <c r="E17" s="398">
        <f>IFERROR(SUMIF(E_PurchPrec!$R:$R,CONST_PrecursorToGoodInput &amp; E$6 &amp; "_" &amp; $D17,E_PurchPrec!$T:$T)/SUMIF(D_Processes!$R:$R,CONST_CNTR_TotProd &amp; $D17,D_Processes!$T:$T),0)</f>
        <v>0</v>
      </c>
      <c r="F17" s="399">
        <f>IFERROR(SUMIF(E_PurchPrec!$R:$R,CONST_PrecursorToGoodInput &amp; F$6 &amp; "_" &amp; $D17,E_PurchPrec!$T:$T)/SUMIF(D_Processes!$R:$R,CONST_CNTR_TotProd &amp; $D17,D_Processes!$T:$T),0)</f>
        <v>0</v>
      </c>
      <c r="G17" s="399">
        <f>IFERROR(SUMIF(E_PurchPrec!$R:$R,CONST_PrecursorToGoodInput &amp; G$6 &amp; "_" &amp; $D17,E_PurchPrec!$T:$T)/SUMIF(D_Processes!$R:$R,CONST_CNTR_TotProd &amp; $D17,D_Processes!$T:$T),0)</f>
        <v>0</v>
      </c>
      <c r="H17" s="399">
        <f>IFERROR(SUMIF(E_PurchPrec!$R:$R,CONST_PrecursorToGoodInput &amp; H$6 &amp; "_" &amp; $D17,E_PurchPrec!$T:$T)/SUMIF(D_Processes!$R:$R,CONST_CNTR_TotProd &amp; $D17,D_Processes!$T:$T),0)</f>
        <v>0</v>
      </c>
      <c r="I17" s="399">
        <f>IFERROR(SUMIF(E_PurchPrec!$R:$R,CONST_PrecursorToGoodInput &amp; I$6 &amp; "_" &amp; $D17,E_PurchPrec!$T:$T)/SUMIF(D_Processes!$R:$R,CONST_CNTR_TotProd &amp; $D17,D_Processes!$T:$T),0)</f>
        <v>0</v>
      </c>
      <c r="J17" s="399">
        <f>IFERROR(SUMIF(E_PurchPrec!$R:$R,CONST_PrecursorToGoodInput &amp; J$6 &amp; "_" &amp; $D17,E_PurchPrec!$T:$T)/SUMIF(D_Processes!$R:$R,CONST_CNTR_TotProd &amp; $D17,D_Processes!$T:$T),0)</f>
        <v>0</v>
      </c>
      <c r="K17" s="399">
        <f>IFERROR(SUMIF(E_PurchPrec!$R:$R,CONST_PrecursorToGoodInput &amp; K$6 &amp; "_" &amp; $D17,E_PurchPrec!$T:$T)/SUMIF(D_Processes!$R:$R,CONST_CNTR_TotProd &amp; $D17,D_Processes!$T:$T),0)</f>
        <v>0</v>
      </c>
      <c r="L17" s="399">
        <f>IFERROR(SUMIF(E_PurchPrec!$R:$R,CONST_PrecursorToGoodInput &amp; L$6 &amp; "_" &amp; $D17,E_PurchPrec!$T:$T)/SUMIF(D_Processes!$R:$R,CONST_CNTR_TotProd &amp; $D17,D_Processes!$T:$T),0)</f>
        <v>0</v>
      </c>
      <c r="M17" s="399">
        <f>IFERROR(SUMIF(E_PurchPrec!$R:$R,CONST_PrecursorToGoodInput &amp; M$6 &amp; "_" &amp; $D17,E_PurchPrec!$T:$T)/SUMIF(D_Processes!$R:$R,CONST_CNTR_TotProd &amp; $D17,D_Processes!$T:$T),0)</f>
        <v>0</v>
      </c>
      <c r="N17" s="400">
        <f>IFERROR(SUMIF(E_PurchPrec!$R:$R,CONST_PrecursorToGoodInput &amp; N$6 &amp; "_" &amp; $D17,E_PurchPrec!$T:$T)/SUMIF(D_Processes!$R:$R,CONST_CNTR_TotProd &amp; $D17,D_Processes!$T:$T),0)</f>
        <v>0</v>
      </c>
      <c r="O17" s="398">
        <f>IFERROR(SUMIF(E_PurchPrec!$R:$R,CONST_PrecursorToGoodInput &amp; O$6 &amp; "_" &amp; $D17,E_PurchPrec!$T:$T)/SUMIF(D_Processes!$R:$R,CONST_CNTR_TotProd &amp; $D17,D_Processes!$T:$T),0)</f>
        <v>0</v>
      </c>
      <c r="P17" s="399">
        <f>IFERROR(SUMIF(E_PurchPrec!$R:$R,CONST_PrecursorToGoodInput &amp; P$6 &amp; "_" &amp; $D17,E_PurchPrec!$T:$T)/SUMIF(D_Processes!$R:$R,CONST_CNTR_TotProd &amp; $D17,D_Processes!$T:$T),0)</f>
        <v>0</v>
      </c>
      <c r="Q17" s="399">
        <f>IFERROR(SUMIF(E_PurchPrec!$R:$R,CONST_PrecursorToGoodInput &amp; Q$6 &amp; "_" &amp; $D17,E_PurchPrec!$T:$T)/SUMIF(D_Processes!$R:$R,CONST_CNTR_TotProd &amp; $D17,D_Processes!$T:$T),0)</f>
        <v>0</v>
      </c>
      <c r="R17" s="399">
        <f>IFERROR(SUMIF(E_PurchPrec!$R:$R,CONST_PrecursorToGoodInput &amp; R$6 &amp; "_" &amp; $D17,E_PurchPrec!$T:$T)/SUMIF(D_Processes!$R:$R,CONST_CNTR_TotProd &amp; $D17,D_Processes!$T:$T),0)</f>
        <v>0</v>
      </c>
      <c r="S17" s="399">
        <f>IFERROR(SUMIF(E_PurchPrec!$R:$R,CONST_PrecursorToGoodInput &amp; S$6 &amp; "_" &amp; $D17,E_PurchPrec!$T:$T)/SUMIF(D_Processes!$R:$R,CONST_CNTR_TotProd &amp; $D17,D_Processes!$T:$T),0)</f>
        <v>0</v>
      </c>
      <c r="T17" s="399">
        <f>IFERROR(SUMIF(E_PurchPrec!$R:$R,CONST_PrecursorToGoodInput &amp; T$6 &amp; "_" &amp; $D17,E_PurchPrec!$T:$T)/SUMIF(D_Processes!$R:$R,CONST_CNTR_TotProd &amp; $D17,D_Processes!$T:$T),0)</f>
        <v>0</v>
      </c>
      <c r="U17" s="399">
        <f>IFERROR(SUMIF(E_PurchPrec!$R:$R,CONST_PrecursorToGoodInput &amp; U$6 &amp; "_" &amp; $D17,E_PurchPrec!$T:$T)/SUMIF(D_Processes!$R:$R,CONST_CNTR_TotProd &amp; $D17,D_Processes!$T:$T),0)</f>
        <v>0</v>
      </c>
      <c r="V17" s="399">
        <f>IFERROR(SUMIF(E_PurchPrec!$R:$R,CONST_PrecursorToGoodInput &amp; V$6 &amp; "_" &amp; $D17,E_PurchPrec!$T:$T)/SUMIF(D_Processes!$R:$R,CONST_CNTR_TotProd &amp; $D17,D_Processes!$T:$T),0)</f>
        <v>0</v>
      </c>
      <c r="W17" s="399">
        <f>IFERROR(SUMIF(E_PurchPrec!$R:$R,CONST_PrecursorToGoodInput &amp; W$6 &amp; "_" &amp; $D17,E_PurchPrec!$T:$T)/SUMIF(D_Processes!$R:$R,CONST_CNTR_TotProd &amp; $D17,D_Processes!$T:$T),0)</f>
        <v>0</v>
      </c>
      <c r="X17" s="399">
        <f>IFERROR(SUMIF(E_PurchPrec!$R:$R,CONST_PrecursorToGoodInput &amp; X$6 &amp; "_" &amp; $D17,E_PurchPrec!$T:$T)/SUMIF(D_Processes!$R:$R,CONST_CNTR_TotProd &amp; $D17,D_Processes!$T:$T),0)</f>
        <v>0</v>
      </c>
      <c r="Y17" s="399">
        <f>IFERROR(SUMIF(E_PurchPrec!$R:$R,CONST_PrecursorToGoodInput &amp; Y$6 &amp; "_" &amp; $D17,E_PurchPrec!$T:$T)/SUMIF(D_Processes!$R:$R,CONST_CNTR_TotProd &amp; $D17,D_Processes!$T:$T),0)</f>
        <v>0</v>
      </c>
      <c r="Z17" s="399">
        <f>IFERROR(SUMIF(E_PurchPrec!$R:$R,CONST_PrecursorToGoodInput &amp; Z$6 &amp; "_" &amp; $D17,E_PurchPrec!$T:$T)/SUMIF(D_Processes!$R:$R,CONST_CNTR_TotProd &amp; $D17,D_Processes!$T:$T),0)</f>
        <v>0</v>
      </c>
      <c r="AA17" s="399">
        <f>IFERROR(SUMIF(E_PurchPrec!$R:$R,CONST_PrecursorToGoodInput &amp; AA$6 &amp; "_" &amp; $D17,E_PurchPrec!$T:$T)/SUMIF(D_Processes!$R:$R,CONST_CNTR_TotProd &amp; $D17,D_Processes!$T:$T),0)</f>
        <v>0</v>
      </c>
      <c r="AB17" s="399">
        <f>IFERROR(SUMIF(E_PurchPrec!$R:$R,CONST_PrecursorToGoodInput &amp; AB$6 &amp; "_" &amp; $D17,E_PurchPrec!$T:$T)/SUMIF(D_Processes!$R:$R,CONST_CNTR_TotProd &amp; $D17,D_Processes!$T:$T),0)</f>
        <v>0</v>
      </c>
      <c r="AC17" s="399">
        <f>IFERROR(SUMIF(E_PurchPrec!$R:$R,CONST_PrecursorToGoodInput &amp; AC$6 &amp; "_" &amp; $D17,E_PurchPrec!$T:$T)/SUMIF(D_Processes!$R:$R,CONST_CNTR_TotProd &amp; $D17,D_Processes!$T:$T),0)</f>
        <v>0</v>
      </c>
      <c r="AD17" s="399">
        <f>IFERROR(SUMIF(E_PurchPrec!$R:$R,CONST_PrecursorToGoodInput &amp; AD$6 &amp; "_" &amp; $D17,E_PurchPrec!$T:$T)/SUMIF(D_Processes!$R:$R,CONST_CNTR_TotProd &amp; $D17,D_Processes!$T:$T),0)</f>
        <v>0</v>
      </c>
      <c r="AE17" s="399">
        <f>IFERROR(SUMIF(E_PurchPrec!$R:$R,CONST_PrecursorToGoodInput &amp; AE$6 &amp; "_" &amp; $D17,E_PurchPrec!$T:$T)/SUMIF(D_Processes!$R:$R,CONST_CNTR_TotProd &amp; $D17,D_Processes!$T:$T),0)</f>
        <v>0</v>
      </c>
      <c r="AF17" s="399">
        <f>IFERROR(SUMIF(E_PurchPrec!$R:$R,CONST_PrecursorToGoodInput &amp; AF$6 &amp; "_" &amp; $D17,E_PurchPrec!$T:$T)/SUMIF(D_Processes!$R:$R,CONST_CNTR_TotProd &amp; $D17,D_Processes!$T:$T),0)</f>
        <v>0</v>
      </c>
      <c r="AG17" s="399">
        <f>IFERROR(SUMIF(E_PurchPrec!$R:$R,CONST_PrecursorToGoodInput &amp; AG$6 &amp; "_" &amp; $D17,E_PurchPrec!$T:$T)/SUMIF(D_Processes!$R:$R,CONST_CNTR_TotProd &amp; $D17,D_Processes!$T:$T),0)</f>
        <v>0</v>
      </c>
      <c r="AH17" s="400">
        <f>IFERROR(SUMIF(E_PurchPrec!$R:$R,CONST_PrecursorToGoodInput &amp; AH$6 &amp; "_" &amp; $D17,E_PurchPrec!$T:$T)/SUMIF(D_Processes!$R:$R,CONST_CNTR_TotProd &amp; $D17,D_Processes!$T:$T),0)</f>
        <v>0</v>
      </c>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N17" s="226"/>
      <c r="BO17" s="226"/>
      <c r="BP17" s="226"/>
      <c r="BQ17" s="226"/>
      <c r="BR17" s="226"/>
      <c r="BS17" s="226"/>
      <c r="BT17" s="226"/>
      <c r="BU17" s="226"/>
      <c r="BV17" s="226"/>
    </row>
    <row r="18" spans="2:74" ht="12.75" customHeight="1" x14ac:dyDescent="0.35">
      <c r="C18" s="223">
        <v>2</v>
      </c>
      <c r="D18" s="336" t="str">
        <f t="shared" si="4"/>
        <v/>
      </c>
      <c r="E18" s="331">
        <f>IFERROR(SUMIF(E_PurchPrec!$R:$R,CONST_PrecursorToGoodInput &amp; E$6 &amp; "_" &amp; $D18,E_PurchPrec!$T:$T)/SUMIF(D_Processes!$R:$R,CONST_CNTR_TotProd &amp; $D18,D_Processes!$T:$T),0)</f>
        <v>0</v>
      </c>
      <c r="F18" s="224">
        <f>IFERROR(SUMIF(E_PurchPrec!$R:$R,CONST_PrecursorToGoodInput &amp; F$6 &amp; "_" &amp; $D18,E_PurchPrec!$T:$T)/SUMIF(D_Processes!$R:$R,CONST_CNTR_TotProd &amp; $D18,D_Processes!$T:$T),0)</f>
        <v>0</v>
      </c>
      <c r="G18" s="224">
        <f>IFERROR(SUMIF(E_PurchPrec!$R:$R,CONST_PrecursorToGoodInput &amp; G$6 &amp; "_" &amp; $D18,E_PurchPrec!$T:$T)/SUMIF(D_Processes!$R:$R,CONST_CNTR_TotProd &amp; $D18,D_Processes!$T:$T),0)</f>
        <v>0</v>
      </c>
      <c r="H18" s="224">
        <f>IFERROR(SUMIF(E_PurchPrec!$R:$R,CONST_PrecursorToGoodInput &amp; H$6 &amp; "_" &amp; $D18,E_PurchPrec!$T:$T)/SUMIF(D_Processes!$R:$R,CONST_CNTR_TotProd &amp; $D18,D_Processes!$T:$T),0)</f>
        <v>0</v>
      </c>
      <c r="I18" s="224">
        <f>IFERROR(SUMIF(E_PurchPrec!$R:$R,CONST_PrecursorToGoodInput &amp; I$6 &amp; "_" &amp; $D18,E_PurchPrec!$T:$T)/SUMIF(D_Processes!$R:$R,CONST_CNTR_TotProd &amp; $D18,D_Processes!$T:$T),0)</f>
        <v>0</v>
      </c>
      <c r="J18" s="224">
        <f>IFERROR(SUMIF(E_PurchPrec!$R:$R,CONST_PrecursorToGoodInput &amp; J$6 &amp; "_" &amp; $D18,E_PurchPrec!$T:$T)/SUMIF(D_Processes!$R:$R,CONST_CNTR_TotProd &amp; $D18,D_Processes!$T:$T),0)</f>
        <v>0</v>
      </c>
      <c r="K18" s="224">
        <f>IFERROR(SUMIF(E_PurchPrec!$R:$R,CONST_PrecursorToGoodInput &amp; K$6 &amp; "_" &amp; $D18,E_PurchPrec!$T:$T)/SUMIF(D_Processes!$R:$R,CONST_CNTR_TotProd &amp; $D18,D_Processes!$T:$T),0)</f>
        <v>0</v>
      </c>
      <c r="L18" s="224">
        <f>IFERROR(SUMIF(E_PurchPrec!$R:$R,CONST_PrecursorToGoodInput &amp; L$6 &amp; "_" &amp; $D18,E_PurchPrec!$T:$T)/SUMIF(D_Processes!$R:$R,CONST_CNTR_TotProd &amp; $D18,D_Processes!$T:$T),0)</f>
        <v>0</v>
      </c>
      <c r="M18" s="224">
        <f>IFERROR(SUMIF(E_PurchPrec!$R:$R,CONST_PrecursorToGoodInput &amp; M$6 &amp; "_" &amp; $D18,E_PurchPrec!$T:$T)/SUMIF(D_Processes!$R:$R,CONST_CNTR_TotProd &amp; $D18,D_Processes!$T:$T),0)</f>
        <v>0</v>
      </c>
      <c r="N18" s="332">
        <f>IFERROR(SUMIF(E_PurchPrec!$R:$R,CONST_PrecursorToGoodInput &amp; N$6 &amp; "_" &amp; $D18,E_PurchPrec!$T:$T)/SUMIF(D_Processes!$R:$R,CONST_CNTR_TotProd &amp; $D18,D_Processes!$T:$T),0)</f>
        <v>0</v>
      </c>
      <c r="O18" s="331">
        <f>IFERROR(SUMIF(E_PurchPrec!$R:$R,CONST_PrecursorToGoodInput &amp; O$6 &amp; "_" &amp; $D18,E_PurchPrec!$T:$T)/SUMIF(D_Processes!$R:$R,CONST_CNTR_TotProd &amp; $D18,D_Processes!$T:$T),0)</f>
        <v>0</v>
      </c>
      <c r="P18" s="224">
        <f>IFERROR(SUMIF(E_PurchPrec!$R:$R,CONST_PrecursorToGoodInput &amp; P$6 &amp; "_" &amp; $D18,E_PurchPrec!$T:$T)/SUMIF(D_Processes!$R:$R,CONST_CNTR_TotProd &amp; $D18,D_Processes!$T:$T),0)</f>
        <v>0</v>
      </c>
      <c r="Q18" s="224">
        <f>IFERROR(SUMIF(E_PurchPrec!$R:$R,CONST_PrecursorToGoodInput &amp; Q$6 &amp; "_" &amp; $D18,E_PurchPrec!$T:$T)/SUMIF(D_Processes!$R:$R,CONST_CNTR_TotProd &amp; $D18,D_Processes!$T:$T),0)</f>
        <v>0</v>
      </c>
      <c r="R18" s="224">
        <f>IFERROR(SUMIF(E_PurchPrec!$R:$R,CONST_PrecursorToGoodInput &amp; R$6 &amp; "_" &amp; $D18,E_PurchPrec!$T:$T)/SUMIF(D_Processes!$R:$R,CONST_CNTR_TotProd &amp; $D18,D_Processes!$T:$T),0)</f>
        <v>0</v>
      </c>
      <c r="S18" s="224">
        <f>IFERROR(SUMIF(E_PurchPrec!$R:$R,CONST_PrecursorToGoodInput &amp; S$6 &amp; "_" &amp; $D18,E_PurchPrec!$T:$T)/SUMIF(D_Processes!$R:$R,CONST_CNTR_TotProd &amp; $D18,D_Processes!$T:$T),0)</f>
        <v>0</v>
      </c>
      <c r="T18" s="224">
        <f>IFERROR(SUMIF(E_PurchPrec!$R:$R,CONST_PrecursorToGoodInput &amp; T$6 &amp; "_" &amp; $D18,E_PurchPrec!$T:$T)/SUMIF(D_Processes!$R:$R,CONST_CNTR_TotProd &amp; $D18,D_Processes!$T:$T),0)</f>
        <v>0</v>
      </c>
      <c r="U18" s="224">
        <f>IFERROR(SUMIF(E_PurchPrec!$R:$R,CONST_PrecursorToGoodInput &amp; U$6 &amp; "_" &amp; $D18,E_PurchPrec!$T:$T)/SUMIF(D_Processes!$R:$R,CONST_CNTR_TotProd &amp; $D18,D_Processes!$T:$T),0)</f>
        <v>0</v>
      </c>
      <c r="V18" s="224">
        <f>IFERROR(SUMIF(E_PurchPrec!$R:$R,CONST_PrecursorToGoodInput &amp; V$6 &amp; "_" &amp; $D18,E_PurchPrec!$T:$T)/SUMIF(D_Processes!$R:$R,CONST_CNTR_TotProd &amp; $D18,D_Processes!$T:$T),0)</f>
        <v>0</v>
      </c>
      <c r="W18" s="224">
        <f>IFERROR(SUMIF(E_PurchPrec!$R:$R,CONST_PrecursorToGoodInput &amp; W$6 &amp; "_" &amp; $D18,E_PurchPrec!$T:$T)/SUMIF(D_Processes!$R:$R,CONST_CNTR_TotProd &amp; $D18,D_Processes!$T:$T),0)</f>
        <v>0</v>
      </c>
      <c r="X18" s="224">
        <f>IFERROR(SUMIF(E_PurchPrec!$R:$R,CONST_PrecursorToGoodInput &amp; X$6 &amp; "_" &amp; $D18,E_PurchPrec!$T:$T)/SUMIF(D_Processes!$R:$R,CONST_CNTR_TotProd &amp; $D18,D_Processes!$T:$T),0)</f>
        <v>0</v>
      </c>
      <c r="Y18" s="224">
        <f>IFERROR(SUMIF(E_PurchPrec!$R:$R,CONST_PrecursorToGoodInput &amp; Y$6 &amp; "_" &amp; $D18,E_PurchPrec!$T:$T)/SUMIF(D_Processes!$R:$R,CONST_CNTR_TotProd &amp; $D18,D_Processes!$T:$T),0)</f>
        <v>0</v>
      </c>
      <c r="Z18" s="224">
        <f>IFERROR(SUMIF(E_PurchPrec!$R:$R,CONST_PrecursorToGoodInput &amp; Z$6 &amp; "_" &amp; $D18,E_PurchPrec!$T:$T)/SUMIF(D_Processes!$R:$R,CONST_CNTR_TotProd &amp; $D18,D_Processes!$T:$T),0)</f>
        <v>0</v>
      </c>
      <c r="AA18" s="224">
        <f>IFERROR(SUMIF(E_PurchPrec!$R:$R,CONST_PrecursorToGoodInput &amp; AA$6 &amp; "_" &amp; $D18,E_PurchPrec!$T:$T)/SUMIF(D_Processes!$R:$R,CONST_CNTR_TotProd &amp; $D18,D_Processes!$T:$T),0)</f>
        <v>0</v>
      </c>
      <c r="AB18" s="224">
        <f>IFERROR(SUMIF(E_PurchPrec!$R:$R,CONST_PrecursorToGoodInput &amp; AB$6 &amp; "_" &amp; $D18,E_PurchPrec!$T:$T)/SUMIF(D_Processes!$R:$R,CONST_CNTR_TotProd &amp; $D18,D_Processes!$T:$T),0)</f>
        <v>0</v>
      </c>
      <c r="AC18" s="224">
        <f>IFERROR(SUMIF(E_PurchPrec!$R:$R,CONST_PrecursorToGoodInput &amp; AC$6 &amp; "_" &amp; $D18,E_PurchPrec!$T:$T)/SUMIF(D_Processes!$R:$R,CONST_CNTR_TotProd &amp; $D18,D_Processes!$T:$T),0)</f>
        <v>0</v>
      </c>
      <c r="AD18" s="224">
        <f>IFERROR(SUMIF(E_PurchPrec!$R:$R,CONST_PrecursorToGoodInput &amp; AD$6 &amp; "_" &amp; $D18,E_PurchPrec!$T:$T)/SUMIF(D_Processes!$R:$R,CONST_CNTR_TotProd &amp; $D18,D_Processes!$T:$T),0)</f>
        <v>0</v>
      </c>
      <c r="AE18" s="224">
        <f>IFERROR(SUMIF(E_PurchPrec!$R:$R,CONST_PrecursorToGoodInput &amp; AE$6 &amp; "_" &amp; $D18,E_PurchPrec!$T:$T)/SUMIF(D_Processes!$R:$R,CONST_CNTR_TotProd &amp; $D18,D_Processes!$T:$T),0)</f>
        <v>0</v>
      </c>
      <c r="AF18" s="224">
        <f>IFERROR(SUMIF(E_PurchPrec!$R:$R,CONST_PrecursorToGoodInput &amp; AF$6 &amp; "_" &amp; $D18,E_PurchPrec!$T:$T)/SUMIF(D_Processes!$R:$R,CONST_CNTR_TotProd &amp; $D18,D_Processes!$T:$T),0)</f>
        <v>0</v>
      </c>
      <c r="AG18" s="224">
        <f>IFERROR(SUMIF(E_PurchPrec!$R:$R,CONST_PrecursorToGoodInput &amp; AG$6 &amp; "_" &amp; $D18,E_PurchPrec!$T:$T)/SUMIF(D_Processes!$R:$R,CONST_CNTR_TotProd &amp; $D18,D_Processes!$T:$T),0)</f>
        <v>0</v>
      </c>
      <c r="AH18" s="332">
        <f>IFERROR(SUMIF(E_PurchPrec!$R:$R,CONST_PrecursorToGoodInput &amp; AH$6 &amp; "_" &amp; $D18,E_PurchPrec!$T:$T)/SUMIF(D_Processes!$R:$R,CONST_CNTR_TotProd &amp; $D18,D_Processes!$T:$T),0)</f>
        <v>0</v>
      </c>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N18" s="226"/>
      <c r="BO18" s="226"/>
      <c r="BP18" s="226"/>
      <c r="BQ18" s="226"/>
      <c r="BR18" s="226"/>
      <c r="BS18" s="226"/>
      <c r="BT18" s="226"/>
      <c r="BU18" s="226"/>
      <c r="BV18" s="226"/>
    </row>
    <row r="19" spans="2:74" ht="12.75" customHeight="1" x14ac:dyDescent="0.35">
      <c r="C19" s="223">
        <v>3</v>
      </c>
      <c r="D19" s="336" t="str">
        <f t="shared" si="4"/>
        <v/>
      </c>
      <c r="E19" s="331">
        <f>IFERROR(SUMIF(E_PurchPrec!$R:$R,CONST_PrecursorToGoodInput &amp; E$6 &amp; "_" &amp; $D19,E_PurchPrec!$T:$T)/SUMIF(D_Processes!$R:$R,CONST_CNTR_TotProd &amp; $D19,D_Processes!$T:$T),0)</f>
        <v>0</v>
      </c>
      <c r="F19" s="224">
        <f>IFERROR(SUMIF(E_PurchPrec!$R:$R,CONST_PrecursorToGoodInput &amp; F$6 &amp; "_" &amp; $D19,E_PurchPrec!$T:$T)/SUMIF(D_Processes!$R:$R,CONST_CNTR_TotProd &amp; $D19,D_Processes!$T:$T),0)</f>
        <v>0</v>
      </c>
      <c r="G19" s="224">
        <f>IFERROR(SUMIF(E_PurchPrec!$R:$R,CONST_PrecursorToGoodInput &amp; G$6 &amp; "_" &amp; $D19,E_PurchPrec!$T:$T)/SUMIF(D_Processes!$R:$R,CONST_CNTR_TotProd &amp; $D19,D_Processes!$T:$T),0)</f>
        <v>0</v>
      </c>
      <c r="H19" s="224">
        <f>IFERROR(SUMIF(E_PurchPrec!$R:$R,CONST_PrecursorToGoodInput &amp; H$6 &amp; "_" &amp; $D19,E_PurchPrec!$T:$T)/SUMIF(D_Processes!$R:$R,CONST_CNTR_TotProd &amp; $D19,D_Processes!$T:$T),0)</f>
        <v>0</v>
      </c>
      <c r="I19" s="224">
        <f>IFERROR(SUMIF(E_PurchPrec!$R:$R,CONST_PrecursorToGoodInput &amp; I$6 &amp; "_" &amp; $D19,E_PurchPrec!$T:$T)/SUMIF(D_Processes!$R:$R,CONST_CNTR_TotProd &amp; $D19,D_Processes!$T:$T),0)</f>
        <v>0</v>
      </c>
      <c r="J19" s="224">
        <f>IFERROR(SUMIF(E_PurchPrec!$R:$R,CONST_PrecursorToGoodInput &amp; J$6 &amp; "_" &amp; $D19,E_PurchPrec!$T:$T)/SUMIF(D_Processes!$R:$R,CONST_CNTR_TotProd &amp; $D19,D_Processes!$T:$T),0)</f>
        <v>0</v>
      </c>
      <c r="K19" s="224">
        <f>IFERROR(SUMIF(E_PurchPrec!$R:$R,CONST_PrecursorToGoodInput &amp; K$6 &amp; "_" &amp; $D19,E_PurchPrec!$T:$T)/SUMIF(D_Processes!$R:$R,CONST_CNTR_TotProd &amp; $D19,D_Processes!$T:$T),0)</f>
        <v>0</v>
      </c>
      <c r="L19" s="224">
        <f>IFERROR(SUMIF(E_PurchPrec!$R:$R,CONST_PrecursorToGoodInput &amp; L$6 &amp; "_" &amp; $D19,E_PurchPrec!$T:$T)/SUMIF(D_Processes!$R:$R,CONST_CNTR_TotProd &amp; $D19,D_Processes!$T:$T),0)</f>
        <v>0</v>
      </c>
      <c r="M19" s="224">
        <f>IFERROR(SUMIF(E_PurchPrec!$R:$R,CONST_PrecursorToGoodInput &amp; M$6 &amp; "_" &amp; $D19,E_PurchPrec!$T:$T)/SUMIF(D_Processes!$R:$R,CONST_CNTR_TotProd &amp; $D19,D_Processes!$T:$T),0)</f>
        <v>0</v>
      </c>
      <c r="N19" s="332">
        <f>IFERROR(SUMIF(E_PurchPrec!$R:$R,CONST_PrecursorToGoodInput &amp; N$6 &amp; "_" &amp; $D19,E_PurchPrec!$T:$T)/SUMIF(D_Processes!$R:$R,CONST_CNTR_TotProd &amp; $D19,D_Processes!$T:$T),0)</f>
        <v>0</v>
      </c>
      <c r="O19" s="331">
        <f>IFERROR(SUMIF(E_PurchPrec!$R:$R,CONST_PrecursorToGoodInput &amp; O$6 &amp; "_" &amp; $D19,E_PurchPrec!$T:$T)/SUMIF(D_Processes!$R:$R,CONST_CNTR_TotProd &amp; $D19,D_Processes!$T:$T),0)</f>
        <v>0</v>
      </c>
      <c r="P19" s="224">
        <f>IFERROR(SUMIF(E_PurchPrec!$R:$R,CONST_PrecursorToGoodInput &amp; P$6 &amp; "_" &amp; $D19,E_PurchPrec!$T:$T)/SUMIF(D_Processes!$R:$R,CONST_CNTR_TotProd &amp; $D19,D_Processes!$T:$T),0)</f>
        <v>0</v>
      </c>
      <c r="Q19" s="224">
        <f>IFERROR(SUMIF(E_PurchPrec!$R:$R,CONST_PrecursorToGoodInput &amp; Q$6 &amp; "_" &amp; $D19,E_PurchPrec!$T:$T)/SUMIF(D_Processes!$R:$R,CONST_CNTR_TotProd &amp; $D19,D_Processes!$T:$T),0)</f>
        <v>0</v>
      </c>
      <c r="R19" s="224">
        <f>IFERROR(SUMIF(E_PurchPrec!$R:$R,CONST_PrecursorToGoodInput &amp; R$6 &amp; "_" &amp; $D19,E_PurchPrec!$T:$T)/SUMIF(D_Processes!$R:$R,CONST_CNTR_TotProd &amp; $D19,D_Processes!$T:$T),0)</f>
        <v>0</v>
      </c>
      <c r="S19" s="224">
        <f>IFERROR(SUMIF(E_PurchPrec!$R:$R,CONST_PrecursorToGoodInput &amp; S$6 &amp; "_" &amp; $D19,E_PurchPrec!$T:$T)/SUMIF(D_Processes!$R:$R,CONST_CNTR_TotProd &amp; $D19,D_Processes!$T:$T),0)</f>
        <v>0</v>
      </c>
      <c r="T19" s="224">
        <f>IFERROR(SUMIF(E_PurchPrec!$R:$R,CONST_PrecursorToGoodInput &amp; T$6 &amp; "_" &amp; $D19,E_PurchPrec!$T:$T)/SUMIF(D_Processes!$R:$R,CONST_CNTR_TotProd &amp; $D19,D_Processes!$T:$T),0)</f>
        <v>0</v>
      </c>
      <c r="U19" s="224">
        <f>IFERROR(SUMIF(E_PurchPrec!$R:$R,CONST_PrecursorToGoodInput &amp; U$6 &amp; "_" &amp; $D19,E_PurchPrec!$T:$T)/SUMIF(D_Processes!$R:$R,CONST_CNTR_TotProd &amp; $D19,D_Processes!$T:$T),0)</f>
        <v>0</v>
      </c>
      <c r="V19" s="224">
        <f>IFERROR(SUMIF(E_PurchPrec!$R:$R,CONST_PrecursorToGoodInput &amp; V$6 &amp; "_" &amp; $D19,E_PurchPrec!$T:$T)/SUMIF(D_Processes!$R:$R,CONST_CNTR_TotProd &amp; $D19,D_Processes!$T:$T),0)</f>
        <v>0</v>
      </c>
      <c r="W19" s="224">
        <f>IFERROR(SUMIF(E_PurchPrec!$R:$R,CONST_PrecursorToGoodInput &amp; W$6 &amp; "_" &amp; $D19,E_PurchPrec!$T:$T)/SUMIF(D_Processes!$R:$R,CONST_CNTR_TotProd &amp; $D19,D_Processes!$T:$T),0)</f>
        <v>0</v>
      </c>
      <c r="X19" s="224">
        <f>IFERROR(SUMIF(E_PurchPrec!$R:$R,CONST_PrecursorToGoodInput &amp; X$6 &amp; "_" &amp; $D19,E_PurchPrec!$T:$T)/SUMIF(D_Processes!$R:$R,CONST_CNTR_TotProd &amp; $D19,D_Processes!$T:$T),0)</f>
        <v>0</v>
      </c>
      <c r="Y19" s="224">
        <f>IFERROR(SUMIF(E_PurchPrec!$R:$R,CONST_PrecursorToGoodInput &amp; Y$6 &amp; "_" &amp; $D19,E_PurchPrec!$T:$T)/SUMIF(D_Processes!$R:$R,CONST_CNTR_TotProd &amp; $D19,D_Processes!$T:$T),0)</f>
        <v>0</v>
      </c>
      <c r="Z19" s="224">
        <f>IFERROR(SUMIF(E_PurchPrec!$R:$R,CONST_PrecursorToGoodInput &amp; Z$6 &amp; "_" &amp; $D19,E_PurchPrec!$T:$T)/SUMIF(D_Processes!$R:$R,CONST_CNTR_TotProd &amp; $D19,D_Processes!$T:$T),0)</f>
        <v>0</v>
      </c>
      <c r="AA19" s="224">
        <f>IFERROR(SUMIF(E_PurchPrec!$R:$R,CONST_PrecursorToGoodInput &amp; AA$6 &amp; "_" &amp; $D19,E_PurchPrec!$T:$T)/SUMIF(D_Processes!$R:$R,CONST_CNTR_TotProd &amp; $D19,D_Processes!$T:$T),0)</f>
        <v>0</v>
      </c>
      <c r="AB19" s="224">
        <f>IFERROR(SUMIF(E_PurchPrec!$R:$R,CONST_PrecursorToGoodInput &amp; AB$6 &amp; "_" &amp; $D19,E_PurchPrec!$T:$T)/SUMIF(D_Processes!$R:$R,CONST_CNTR_TotProd &amp; $D19,D_Processes!$T:$T),0)</f>
        <v>0</v>
      </c>
      <c r="AC19" s="224">
        <f>IFERROR(SUMIF(E_PurchPrec!$R:$R,CONST_PrecursorToGoodInput &amp; AC$6 &amp; "_" &amp; $D19,E_PurchPrec!$T:$T)/SUMIF(D_Processes!$R:$R,CONST_CNTR_TotProd &amp; $D19,D_Processes!$T:$T),0)</f>
        <v>0</v>
      </c>
      <c r="AD19" s="224">
        <f>IFERROR(SUMIF(E_PurchPrec!$R:$R,CONST_PrecursorToGoodInput &amp; AD$6 &amp; "_" &amp; $D19,E_PurchPrec!$T:$T)/SUMIF(D_Processes!$R:$R,CONST_CNTR_TotProd &amp; $D19,D_Processes!$T:$T),0)</f>
        <v>0</v>
      </c>
      <c r="AE19" s="224">
        <f>IFERROR(SUMIF(E_PurchPrec!$R:$R,CONST_PrecursorToGoodInput &amp; AE$6 &amp; "_" &amp; $D19,E_PurchPrec!$T:$T)/SUMIF(D_Processes!$R:$R,CONST_CNTR_TotProd &amp; $D19,D_Processes!$T:$T),0)</f>
        <v>0</v>
      </c>
      <c r="AF19" s="224">
        <f>IFERROR(SUMIF(E_PurchPrec!$R:$R,CONST_PrecursorToGoodInput &amp; AF$6 &amp; "_" &amp; $D19,E_PurchPrec!$T:$T)/SUMIF(D_Processes!$R:$R,CONST_CNTR_TotProd &amp; $D19,D_Processes!$T:$T),0)</f>
        <v>0</v>
      </c>
      <c r="AG19" s="224">
        <f>IFERROR(SUMIF(E_PurchPrec!$R:$R,CONST_PrecursorToGoodInput &amp; AG$6 &amp; "_" &amp; $D19,E_PurchPrec!$T:$T)/SUMIF(D_Processes!$R:$R,CONST_CNTR_TotProd &amp; $D19,D_Processes!$T:$T),0)</f>
        <v>0</v>
      </c>
      <c r="AH19" s="332">
        <f>IFERROR(SUMIF(E_PurchPrec!$R:$R,CONST_PrecursorToGoodInput &amp; AH$6 &amp; "_" &amp; $D19,E_PurchPrec!$T:$T)/SUMIF(D_Processes!$R:$R,CONST_CNTR_TotProd &amp; $D19,D_Processes!$T:$T),0)</f>
        <v>0</v>
      </c>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N19" s="226"/>
      <c r="BO19" s="226"/>
      <c r="BP19" s="226"/>
      <c r="BQ19" s="226"/>
      <c r="BR19" s="226"/>
      <c r="BS19" s="226"/>
      <c r="BT19" s="226"/>
      <c r="BU19" s="226"/>
      <c r="BV19" s="226"/>
    </row>
    <row r="20" spans="2:74" ht="12.75" customHeight="1" x14ac:dyDescent="0.35">
      <c r="C20" s="223">
        <v>4</v>
      </c>
      <c r="D20" s="336" t="str">
        <f t="shared" si="4"/>
        <v/>
      </c>
      <c r="E20" s="331">
        <f>IFERROR(SUMIF(E_PurchPrec!$R:$R,CONST_PrecursorToGoodInput &amp; E$6 &amp; "_" &amp; $D20,E_PurchPrec!$T:$T)/SUMIF(D_Processes!$R:$R,CONST_CNTR_TotProd &amp; $D20,D_Processes!$T:$T),0)</f>
        <v>0</v>
      </c>
      <c r="F20" s="224">
        <f>IFERROR(SUMIF(E_PurchPrec!$R:$R,CONST_PrecursorToGoodInput &amp; F$6 &amp; "_" &amp; $D20,E_PurchPrec!$T:$T)/SUMIF(D_Processes!$R:$R,CONST_CNTR_TotProd &amp; $D20,D_Processes!$T:$T),0)</f>
        <v>0</v>
      </c>
      <c r="G20" s="224">
        <f>IFERROR(SUMIF(E_PurchPrec!$R:$R,CONST_PrecursorToGoodInput &amp; G$6 &amp; "_" &amp; $D20,E_PurchPrec!$T:$T)/SUMIF(D_Processes!$R:$R,CONST_CNTR_TotProd &amp; $D20,D_Processes!$T:$T),0)</f>
        <v>0</v>
      </c>
      <c r="H20" s="224">
        <f>IFERROR(SUMIF(E_PurchPrec!$R:$R,CONST_PrecursorToGoodInput &amp; H$6 &amp; "_" &amp; $D20,E_PurchPrec!$T:$T)/SUMIF(D_Processes!$R:$R,CONST_CNTR_TotProd &amp; $D20,D_Processes!$T:$T),0)</f>
        <v>0</v>
      </c>
      <c r="I20" s="224">
        <f>IFERROR(SUMIF(E_PurchPrec!$R:$R,CONST_PrecursorToGoodInput &amp; I$6 &amp; "_" &amp; $D20,E_PurchPrec!$T:$T)/SUMIF(D_Processes!$R:$R,CONST_CNTR_TotProd &amp; $D20,D_Processes!$T:$T),0)</f>
        <v>0</v>
      </c>
      <c r="J20" s="224">
        <f>IFERROR(SUMIF(E_PurchPrec!$R:$R,CONST_PrecursorToGoodInput &amp; J$6 &amp; "_" &amp; $D20,E_PurchPrec!$T:$T)/SUMIF(D_Processes!$R:$R,CONST_CNTR_TotProd &amp; $D20,D_Processes!$T:$T),0)</f>
        <v>0</v>
      </c>
      <c r="K20" s="224">
        <f>IFERROR(SUMIF(E_PurchPrec!$R:$R,CONST_PrecursorToGoodInput &amp; K$6 &amp; "_" &amp; $D20,E_PurchPrec!$T:$T)/SUMIF(D_Processes!$R:$R,CONST_CNTR_TotProd &amp; $D20,D_Processes!$T:$T),0)</f>
        <v>0</v>
      </c>
      <c r="L20" s="224">
        <f>IFERROR(SUMIF(E_PurchPrec!$R:$R,CONST_PrecursorToGoodInput &amp; L$6 &amp; "_" &amp; $D20,E_PurchPrec!$T:$T)/SUMIF(D_Processes!$R:$R,CONST_CNTR_TotProd &amp; $D20,D_Processes!$T:$T),0)</f>
        <v>0</v>
      </c>
      <c r="M20" s="224">
        <f>IFERROR(SUMIF(E_PurchPrec!$R:$R,CONST_PrecursorToGoodInput &amp; M$6 &amp; "_" &amp; $D20,E_PurchPrec!$T:$T)/SUMIF(D_Processes!$R:$R,CONST_CNTR_TotProd &amp; $D20,D_Processes!$T:$T),0)</f>
        <v>0</v>
      </c>
      <c r="N20" s="332">
        <f>IFERROR(SUMIF(E_PurchPrec!$R:$R,CONST_PrecursorToGoodInput &amp; N$6 &amp; "_" &amp; $D20,E_PurchPrec!$T:$T)/SUMIF(D_Processes!$R:$R,CONST_CNTR_TotProd &amp; $D20,D_Processes!$T:$T),0)</f>
        <v>0</v>
      </c>
      <c r="O20" s="331">
        <f>IFERROR(SUMIF(E_PurchPrec!$R:$R,CONST_PrecursorToGoodInput &amp; O$6 &amp; "_" &amp; $D20,E_PurchPrec!$T:$T)/SUMIF(D_Processes!$R:$R,CONST_CNTR_TotProd &amp; $D20,D_Processes!$T:$T),0)</f>
        <v>0</v>
      </c>
      <c r="P20" s="224">
        <f>IFERROR(SUMIF(E_PurchPrec!$R:$R,CONST_PrecursorToGoodInput &amp; P$6 &amp; "_" &amp; $D20,E_PurchPrec!$T:$T)/SUMIF(D_Processes!$R:$R,CONST_CNTR_TotProd &amp; $D20,D_Processes!$T:$T),0)</f>
        <v>0</v>
      </c>
      <c r="Q20" s="224">
        <f>IFERROR(SUMIF(E_PurchPrec!$R:$R,CONST_PrecursorToGoodInput &amp; Q$6 &amp; "_" &amp; $D20,E_PurchPrec!$T:$T)/SUMIF(D_Processes!$R:$R,CONST_CNTR_TotProd &amp; $D20,D_Processes!$T:$T),0)</f>
        <v>0</v>
      </c>
      <c r="R20" s="224">
        <f>IFERROR(SUMIF(E_PurchPrec!$R:$R,CONST_PrecursorToGoodInput &amp; R$6 &amp; "_" &amp; $D20,E_PurchPrec!$T:$T)/SUMIF(D_Processes!$R:$R,CONST_CNTR_TotProd &amp; $D20,D_Processes!$T:$T),0)</f>
        <v>0</v>
      </c>
      <c r="S20" s="224">
        <f>IFERROR(SUMIF(E_PurchPrec!$R:$R,CONST_PrecursorToGoodInput &amp; S$6 &amp; "_" &amp; $D20,E_PurchPrec!$T:$T)/SUMIF(D_Processes!$R:$R,CONST_CNTR_TotProd &amp; $D20,D_Processes!$T:$T),0)</f>
        <v>0</v>
      </c>
      <c r="T20" s="224">
        <f>IFERROR(SUMIF(E_PurchPrec!$R:$R,CONST_PrecursorToGoodInput &amp; T$6 &amp; "_" &amp; $D20,E_PurchPrec!$T:$T)/SUMIF(D_Processes!$R:$R,CONST_CNTR_TotProd &amp; $D20,D_Processes!$T:$T),0)</f>
        <v>0</v>
      </c>
      <c r="U20" s="224">
        <f>IFERROR(SUMIF(E_PurchPrec!$R:$R,CONST_PrecursorToGoodInput &amp; U$6 &amp; "_" &amp; $D20,E_PurchPrec!$T:$T)/SUMIF(D_Processes!$R:$R,CONST_CNTR_TotProd &amp; $D20,D_Processes!$T:$T),0)</f>
        <v>0</v>
      </c>
      <c r="V20" s="224">
        <f>IFERROR(SUMIF(E_PurchPrec!$R:$R,CONST_PrecursorToGoodInput &amp; V$6 &amp; "_" &amp; $D20,E_PurchPrec!$T:$T)/SUMIF(D_Processes!$R:$R,CONST_CNTR_TotProd &amp; $D20,D_Processes!$T:$T),0)</f>
        <v>0</v>
      </c>
      <c r="W20" s="224">
        <f>IFERROR(SUMIF(E_PurchPrec!$R:$R,CONST_PrecursorToGoodInput &amp; W$6 &amp; "_" &amp; $D20,E_PurchPrec!$T:$T)/SUMIF(D_Processes!$R:$R,CONST_CNTR_TotProd &amp; $D20,D_Processes!$T:$T),0)</f>
        <v>0</v>
      </c>
      <c r="X20" s="224">
        <f>IFERROR(SUMIF(E_PurchPrec!$R:$R,CONST_PrecursorToGoodInput &amp; X$6 &amp; "_" &amp; $D20,E_PurchPrec!$T:$T)/SUMIF(D_Processes!$R:$R,CONST_CNTR_TotProd &amp; $D20,D_Processes!$T:$T),0)</f>
        <v>0</v>
      </c>
      <c r="Y20" s="224">
        <f>IFERROR(SUMIF(E_PurchPrec!$R:$R,CONST_PrecursorToGoodInput &amp; Y$6 &amp; "_" &amp; $D20,E_PurchPrec!$T:$T)/SUMIF(D_Processes!$R:$R,CONST_CNTR_TotProd &amp; $D20,D_Processes!$T:$T),0)</f>
        <v>0</v>
      </c>
      <c r="Z20" s="224">
        <f>IFERROR(SUMIF(E_PurchPrec!$R:$R,CONST_PrecursorToGoodInput &amp; Z$6 &amp; "_" &amp; $D20,E_PurchPrec!$T:$T)/SUMIF(D_Processes!$R:$R,CONST_CNTR_TotProd &amp; $D20,D_Processes!$T:$T),0)</f>
        <v>0</v>
      </c>
      <c r="AA20" s="224">
        <f>IFERROR(SUMIF(E_PurchPrec!$R:$R,CONST_PrecursorToGoodInput &amp; AA$6 &amp; "_" &amp; $D20,E_PurchPrec!$T:$T)/SUMIF(D_Processes!$R:$R,CONST_CNTR_TotProd &amp; $D20,D_Processes!$T:$T),0)</f>
        <v>0</v>
      </c>
      <c r="AB20" s="224">
        <f>IFERROR(SUMIF(E_PurchPrec!$R:$R,CONST_PrecursorToGoodInput &amp; AB$6 &amp; "_" &amp; $D20,E_PurchPrec!$T:$T)/SUMIF(D_Processes!$R:$R,CONST_CNTR_TotProd &amp; $D20,D_Processes!$T:$T),0)</f>
        <v>0</v>
      </c>
      <c r="AC20" s="224">
        <f>IFERROR(SUMIF(E_PurchPrec!$R:$R,CONST_PrecursorToGoodInput &amp; AC$6 &amp; "_" &amp; $D20,E_PurchPrec!$T:$T)/SUMIF(D_Processes!$R:$R,CONST_CNTR_TotProd &amp; $D20,D_Processes!$T:$T),0)</f>
        <v>0</v>
      </c>
      <c r="AD20" s="224">
        <f>IFERROR(SUMIF(E_PurchPrec!$R:$R,CONST_PrecursorToGoodInput &amp; AD$6 &amp; "_" &amp; $D20,E_PurchPrec!$T:$T)/SUMIF(D_Processes!$R:$R,CONST_CNTR_TotProd &amp; $D20,D_Processes!$T:$T),0)</f>
        <v>0</v>
      </c>
      <c r="AE20" s="224">
        <f>IFERROR(SUMIF(E_PurchPrec!$R:$R,CONST_PrecursorToGoodInput &amp; AE$6 &amp; "_" &amp; $D20,E_PurchPrec!$T:$T)/SUMIF(D_Processes!$R:$R,CONST_CNTR_TotProd &amp; $D20,D_Processes!$T:$T),0)</f>
        <v>0</v>
      </c>
      <c r="AF20" s="224">
        <f>IFERROR(SUMIF(E_PurchPrec!$R:$R,CONST_PrecursorToGoodInput &amp; AF$6 &amp; "_" &amp; $D20,E_PurchPrec!$T:$T)/SUMIF(D_Processes!$R:$R,CONST_CNTR_TotProd &amp; $D20,D_Processes!$T:$T),0)</f>
        <v>0</v>
      </c>
      <c r="AG20" s="224">
        <f>IFERROR(SUMIF(E_PurchPrec!$R:$R,CONST_PrecursorToGoodInput &amp; AG$6 &amp; "_" &amp; $D20,E_PurchPrec!$T:$T)/SUMIF(D_Processes!$R:$R,CONST_CNTR_TotProd &amp; $D20,D_Processes!$T:$T),0)</f>
        <v>0</v>
      </c>
      <c r="AH20" s="332">
        <f>IFERROR(SUMIF(E_PurchPrec!$R:$R,CONST_PrecursorToGoodInput &amp; AH$6 &amp; "_" &amp; $D20,E_PurchPrec!$T:$T)/SUMIF(D_Processes!$R:$R,CONST_CNTR_TotProd &amp; $D20,D_Processes!$T:$T),0)</f>
        <v>0</v>
      </c>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N20" s="226"/>
      <c r="BO20" s="226"/>
      <c r="BP20" s="226"/>
      <c r="BQ20" s="226"/>
      <c r="BR20" s="226"/>
      <c r="BS20" s="226"/>
      <c r="BT20" s="226"/>
      <c r="BU20" s="226"/>
      <c r="BV20" s="226"/>
    </row>
    <row r="21" spans="2:74" ht="12.75" customHeight="1" x14ac:dyDescent="0.35">
      <c r="C21" s="223">
        <v>5</v>
      </c>
      <c r="D21" s="336" t="str">
        <f t="shared" si="4"/>
        <v/>
      </c>
      <c r="E21" s="331">
        <f>IFERROR(SUMIF(E_PurchPrec!$R:$R,CONST_PrecursorToGoodInput &amp; E$6 &amp; "_" &amp; $D21,E_PurchPrec!$T:$T)/SUMIF(D_Processes!$R:$R,CONST_CNTR_TotProd &amp; $D21,D_Processes!$T:$T),0)</f>
        <v>0</v>
      </c>
      <c r="F21" s="224">
        <f>IFERROR(SUMIF(E_PurchPrec!$R:$R,CONST_PrecursorToGoodInput &amp; F$6 &amp; "_" &amp; $D21,E_PurchPrec!$T:$T)/SUMIF(D_Processes!$R:$R,CONST_CNTR_TotProd &amp; $D21,D_Processes!$T:$T),0)</f>
        <v>0</v>
      </c>
      <c r="G21" s="224">
        <f>IFERROR(SUMIF(E_PurchPrec!$R:$R,CONST_PrecursorToGoodInput &amp; G$6 &amp; "_" &amp; $D21,E_PurchPrec!$T:$T)/SUMIF(D_Processes!$R:$R,CONST_CNTR_TotProd &amp; $D21,D_Processes!$T:$T),0)</f>
        <v>0</v>
      </c>
      <c r="H21" s="224">
        <f>IFERROR(SUMIF(E_PurchPrec!$R:$R,CONST_PrecursorToGoodInput &amp; H$6 &amp; "_" &amp; $D21,E_PurchPrec!$T:$T)/SUMIF(D_Processes!$R:$R,CONST_CNTR_TotProd &amp; $D21,D_Processes!$T:$T),0)</f>
        <v>0</v>
      </c>
      <c r="I21" s="224">
        <f>IFERROR(SUMIF(E_PurchPrec!$R:$R,CONST_PrecursorToGoodInput &amp; I$6 &amp; "_" &amp; $D21,E_PurchPrec!$T:$T)/SUMIF(D_Processes!$R:$R,CONST_CNTR_TotProd &amp; $D21,D_Processes!$T:$T),0)</f>
        <v>0</v>
      </c>
      <c r="J21" s="224">
        <f>IFERROR(SUMIF(E_PurchPrec!$R:$R,CONST_PrecursorToGoodInput &amp; J$6 &amp; "_" &amp; $D21,E_PurchPrec!$T:$T)/SUMIF(D_Processes!$R:$R,CONST_CNTR_TotProd &amp; $D21,D_Processes!$T:$T),0)</f>
        <v>0</v>
      </c>
      <c r="K21" s="224">
        <f>IFERROR(SUMIF(E_PurchPrec!$R:$R,CONST_PrecursorToGoodInput &amp; K$6 &amp; "_" &amp; $D21,E_PurchPrec!$T:$T)/SUMIF(D_Processes!$R:$R,CONST_CNTR_TotProd &amp; $D21,D_Processes!$T:$T),0)</f>
        <v>0</v>
      </c>
      <c r="L21" s="224">
        <f>IFERROR(SUMIF(E_PurchPrec!$R:$R,CONST_PrecursorToGoodInput &amp; L$6 &amp; "_" &amp; $D21,E_PurchPrec!$T:$T)/SUMIF(D_Processes!$R:$R,CONST_CNTR_TotProd &amp; $D21,D_Processes!$T:$T),0)</f>
        <v>0</v>
      </c>
      <c r="M21" s="224">
        <f>IFERROR(SUMIF(E_PurchPrec!$R:$R,CONST_PrecursorToGoodInput &amp; M$6 &amp; "_" &amp; $D21,E_PurchPrec!$T:$T)/SUMIF(D_Processes!$R:$R,CONST_CNTR_TotProd &amp; $D21,D_Processes!$T:$T),0)</f>
        <v>0</v>
      </c>
      <c r="N21" s="332">
        <f>IFERROR(SUMIF(E_PurchPrec!$R:$R,CONST_PrecursorToGoodInput &amp; N$6 &amp; "_" &amp; $D21,E_PurchPrec!$T:$T)/SUMIF(D_Processes!$R:$R,CONST_CNTR_TotProd &amp; $D21,D_Processes!$T:$T),0)</f>
        <v>0</v>
      </c>
      <c r="O21" s="331">
        <f>IFERROR(SUMIF(E_PurchPrec!$R:$R,CONST_PrecursorToGoodInput &amp; O$6 &amp; "_" &amp; $D21,E_PurchPrec!$T:$T)/SUMIF(D_Processes!$R:$R,CONST_CNTR_TotProd &amp; $D21,D_Processes!$T:$T),0)</f>
        <v>0</v>
      </c>
      <c r="P21" s="224">
        <f>IFERROR(SUMIF(E_PurchPrec!$R:$R,CONST_PrecursorToGoodInput &amp; P$6 &amp; "_" &amp; $D21,E_PurchPrec!$T:$T)/SUMIF(D_Processes!$R:$R,CONST_CNTR_TotProd &amp; $D21,D_Processes!$T:$T),0)</f>
        <v>0</v>
      </c>
      <c r="Q21" s="224">
        <f>IFERROR(SUMIF(E_PurchPrec!$R:$R,CONST_PrecursorToGoodInput &amp; Q$6 &amp; "_" &amp; $D21,E_PurchPrec!$T:$T)/SUMIF(D_Processes!$R:$R,CONST_CNTR_TotProd &amp; $D21,D_Processes!$T:$T),0)</f>
        <v>0</v>
      </c>
      <c r="R21" s="224">
        <f>IFERROR(SUMIF(E_PurchPrec!$R:$R,CONST_PrecursorToGoodInput &amp; R$6 &amp; "_" &amp; $D21,E_PurchPrec!$T:$T)/SUMIF(D_Processes!$R:$R,CONST_CNTR_TotProd &amp; $D21,D_Processes!$T:$T),0)</f>
        <v>0</v>
      </c>
      <c r="S21" s="224">
        <f>IFERROR(SUMIF(E_PurchPrec!$R:$R,CONST_PrecursorToGoodInput &amp; S$6 &amp; "_" &amp; $D21,E_PurchPrec!$T:$T)/SUMIF(D_Processes!$R:$R,CONST_CNTR_TotProd &amp; $D21,D_Processes!$T:$T),0)</f>
        <v>0</v>
      </c>
      <c r="T21" s="224">
        <f>IFERROR(SUMIF(E_PurchPrec!$R:$R,CONST_PrecursorToGoodInput &amp; T$6 &amp; "_" &amp; $D21,E_PurchPrec!$T:$T)/SUMIF(D_Processes!$R:$R,CONST_CNTR_TotProd &amp; $D21,D_Processes!$T:$T),0)</f>
        <v>0</v>
      </c>
      <c r="U21" s="224">
        <f>IFERROR(SUMIF(E_PurchPrec!$R:$R,CONST_PrecursorToGoodInput &amp; U$6 &amp; "_" &amp; $D21,E_PurchPrec!$T:$T)/SUMIF(D_Processes!$R:$R,CONST_CNTR_TotProd &amp; $D21,D_Processes!$T:$T),0)</f>
        <v>0</v>
      </c>
      <c r="V21" s="224">
        <f>IFERROR(SUMIF(E_PurchPrec!$R:$R,CONST_PrecursorToGoodInput &amp; V$6 &amp; "_" &amp; $D21,E_PurchPrec!$T:$T)/SUMIF(D_Processes!$R:$R,CONST_CNTR_TotProd &amp; $D21,D_Processes!$T:$T),0)</f>
        <v>0</v>
      </c>
      <c r="W21" s="224">
        <f>IFERROR(SUMIF(E_PurchPrec!$R:$R,CONST_PrecursorToGoodInput &amp; W$6 &amp; "_" &amp; $D21,E_PurchPrec!$T:$T)/SUMIF(D_Processes!$R:$R,CONST_CNTR_TotProd &amp; $D21,D_Processes!$T:$T),0)</f>
        <v>0</v>
      </c>
      <c r="X21" s="224">
        <f>IFERROR(SUMIF(E_PurchPrec!$R:$R,CONST_PrecursorToGoodInput &amp; X$6 &amp; "_" &amp; $D21,E_PurchPrec!$T:$T)/SUMIF(D_Processes!$R:$R,CONST_CNTR_TotProd &amp; $D21,D_Processes!$T:$T),0)</f>
        <v>0</v>
      </c>
      <c r="Y21" s="224">
        <f>IFERROR(SUMIF(E_PurchPrec!$R:$R,CONST_PrecursorToGoodInput &amp; Y$6 &amp; "_" &amp; $D21,E_PurchPrec!$T:$T)/SUMIF(D_Processes!$R:$R,CONST_CNTR_TotProd &amp; $D21,D_Processes!$T:$T),0)</f>
        <v>0</v>
      </c>
      <c r="Z21" s="224">
        <f>IFERROR(SUMIF(E_PurchPrec!$R:$R,CONST_PrecursorToGoodInput &amp; Z$6 &amp; "_" &amp; $D21,E_PurchPrec!$T:$T)/SUMIF(D_Processes!$R:$R,CONST_CNTR_TotProd &amp; $D21,D_Processes!$T:$T),0)</f>
        <v>0</v>
      </c>
      <c r="AA21" s="224">
        <f>IFERROR(SUMIF(E_PurchPrec!$R:$R,CONST_PrecursorToGoodInput &amp; AA$6 &amp; "_" &amp; $D21,E_PurchPrec!$T:$T)/SUMIF(D_Processes!$R:$R,CONST_CNTR_TotProd &amp; $D21,D_Processes!$T:$T),0)</f>
        <v>0</v>
      </c>
      <c r="AB21" s="224">
        <f>IFERROR(SUMIF(E_PurchPrec!$R:$R,CONST_PrecursorToGoodInput &amp; AB$6 &amp; "_" &amp; $D21,E_PurchPrec!$T:$T)/SUMIF(D_Processes!$R:$R,CONST_CNTR_TotProd &amp; $D21,D_Processes!$T:$T),0)</f>
        <v>0</v>
      </c>
      <c r="AC21" s="224">
        <f>IFERROR(SUMIF(E_PurchPrec!$R:$R,CONST_PrecursorToGoodInput &amp; AC$6 &amp; "_" &amp; $D21,E_PurchPrec!$T:$T)/SUMIF(D_Processes!$R:$R,CONST_CNTR_TotProd &amp; $D21,D_Processes!$T:$T),0)</f>
        <v>0</v>
      </c>
      <c r="AD21" s="224">
        <f>IFERROR(SUMIF(E_PurchPrec!$R:$R,CONST_PrecursorToGoodInput &amp; AD$6 &amp; "_" &amp; $D21,E_PurchPrec!$T:$T)/SUMIF(D_Processes!$R:$R,CONST_CNTR_TotProd &amp; $D21,D_Processes!$T:$T),0)</f>
        <v>0</v>
      </c>
      <c r="AE21" s="224">
        <f>IFERROR(SUMIF(E_PurchPrec!$R:$R,CONST_PrecursorToGoodInput &amp; AE$6 &amp; "_" &amp; $D21,E_PurchPrec!$T:$T)/SUMIF(D_Processes!$R:$R,CONST_CNTR_TotProd &amp; $D21,D_Processes!$T:$T),0)</f>
        <v>0</v>
      </c>
      <c r="AF21" s="224">
        <f>IFERROR(SUMIF(E_PurchPrec!$R:$R,CONST_PrecursorToGoodInput &amp; AF$6 &amp; "_" &amp; $D21,E_PurchPrec!$T:$T)/SUMIF(D_Processes!$R:$R,CONST_CNTR_TotProd &amp; $D21,D_Processes!$T:$T),0)</f>
        <v>0</v>
      </c>
      <c r="AG21" s="224">
        <f>IFERROR(SUMIF(E_PurchPrec!$R:$R,CONST_PrecursorToGoodInput &amp; AG$6 &amp; "_" &amp; $D21,E_PurchPrec!$T:$T)/SUMIF(D_Processes!$R:$R,CONST_CNTR_TotProd &amp; $D21,D_Processes!$T:$T),0)</f>
        <v>0</v>
      </c>
      <c r="AH21" s="332">
        <f>IFERROR(SUMIF(E_PurchPrec!$R:$R,CONST_PrecursorToGoodInput &amp; AH$6 &amp; "_" &amp; $D21,E_PurchPrec!$T:$T)/SUMIF(D_Processes!$R:$R,CONST_CNTR_TotProd &amp; $D21,D_Processes!$T:$T),0)</f>
        <v>0</v>
      </c>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c r="BN21" s="226"/>
      <c r="BO21" s="226"/>
      <c r="BP21" s="226"/>
      <c r="BQ21" s="226"/>
      <c r="BR21" s="226"/>
      <c r="BS21" s="226"/>
      <c r="BT21" s="226"/>
      <c r="BU21" s="226"/>
      <c r="BV21" s="226"/>
    </row>
    <row r="22" spans="2:74" ht="12.75" customHeight="1" x14ac:dyDescent="0.35">
      <c r="C22" s="223">
        <v>6</v>
      </c>
      <c r="D22" s="336" t="str">
        <f t="shared" si="4"/>
        <v/>
      </c>
      <c r="E22" s="331">
        <f>IFERROR(SUMIF(E_PurchPrec!$R:$R,CONST_PrecursorToGoodInput &amp; E$6 &amp; "_" &amp; $D22,E_PurchPrec!$T:$T)/SUMIF(D_Processes!$R:$R,CONST_CNTR_TotProd &amp; $D22,D_Processes!$T:$T),0)</f>
        <v>0</v>
      </c>
      <c r="F22" s="224">
        <f>IFERROR(SUMIF(E_PurchPrec!$R:$R,CONST_PrecursorToGoodInput &amp; F$6 &amp; "_" &amp; $D22,E_PurchPrec!$T:$T)/SUMIF(D_Processes!$R:$R,CONST_CNTR_TotProd &amp; $D22,D_Processes!$T:$T),0)</f>
        <v>0</v>
      </c>
      <c r="G22" s="224">
        <f>IFERROR(SUMIF(E_PurchPrec!$R:$R,CONST_PrecursorToGoodInput &amp; G$6 &amp; "_" &amp; $D22,E_PurchPrec!$T:$T)/SUMIF(D_Processes!$R:$R,CONST_CNTR_TotProd &amp; $D22,D_Processes!$T:$T),0)</f>
        <v>0</v>
      </c>
      <c r="H22" s="224">
        <f>IFERROR(SUMIF(E_PurchPrec!$R:$R,CONST_PrecursorToGoodInput &amp; H$6 &amp; "_" &amp; $D22,E_PurchPrec!$T:$T)/SUMIF(D_Processes!$R:$R,CONST_CNTR_TotProd &amp; $D22,D_Processes!$T:$T),0)</f>
        <v>0</v>
      </c>
      <c r="I22" s="224">
        <f>IFERROR(SUMIF(E_PurchPrec!$R:$R,CONST_PrecursorToGoodInput &amp; I$6 &amp; "_" &amp; $D22,E_PurchPrec!$T:$T)/SUMIF(D_Processes!$R:$R,CONST_CNTR_TotProd &amp; $D22,D_Processes!$T:$T),0)</f>
        <v>0</v>
      </c>
      <c r="J22" s="224">
        <f>IFERROR(SUMIF(E_PurchPrec!$R:$R,CONST_PrecursorToGoodInput &amp; J$6 &amp; "_" &amp; $D22,E_PurchPrec!$T:$T)/SUMIF(D_Processes!$R:$R,CONST_CNTR_TotProd &amp; $D22,D_Processes!$T:$T),0)</f>
        <v>0</v>
      </c>
      <c r="K22" s="224">
        <f>IFERROR(SUMIF(E_PurchPrec!$R:$R,CONST_PrecursorToGoodInput &amp; K$6 &amp; "_" &amp; $D22,E_PurchPrec!$T:$T)/SUMIF(D_Processes!$R:$R,CONST_CNTR_TotProd &amp; $D22,D_Processes!$T:$T),0)</f>
        <v>0</v>
      </c>
      <c r="L22" s="224">
        <f>IFERROR(SUMIF(E_PurchPrec!$R:$R,CONST_PrecursorToGoodInput &amp; L$6 &amp; "_" &amp; $D22,E_PurchPrec!$T:$T)/SUMIF(D_Processes!$R:$R,CONST_CNTR_TotProd &amp; $D22,D_Processes!$T:$T),0)</f>
        <v>0</v>
      </c>
      <c r="M22" s="224">
        <f>IFERROR(SUMIF(E_PurchPrec!$R:$R,CONST_PrecursorToGoodInput &amp; M$6 &amp; "_" &amp; $D22,E_PurchPrec!$T:$T)/SUMIF(D_Processes!$R:$R,CONST_CNTR_TotProd &amp; $D22,D_Processes!$T:$T),0)</f>
        <v>0</v>
      </c>
      <c r="N22" s="332">
        <f>IFERROR(SUMIF(E_PurchPrec!$R:$R,CONST_PrecursorToGoodInput &amp; N$6 &amp; "_" &amp; $D22,E_PurchPrec!$T:$T)/SUMIF(D_Processes!$R:$R,CONST_CNTR_TotProd &amp; $D22,D_Processes!$T:$T),0)</f>
        <v>0</v>
      </c>
      <c r="O22" s="331">
        <f>IFERROR(SUMIF(E_PurchPrec!$R:$R,CONST_PrecursorToGoodInput &amp; O$6 &amp; "_" &amp; $D22,E_PurchPrec!$T:$T)/SUMIF(D_Processes!$R:$R,CONST_CNTR_TotProd &amp; $D22,D_Processes!$T:$T),0)</f>
        <v>0</v>
      </c>
      <c r="P22" s="224">
        <f>IFERROR(SUMIF(E_PurchPrec!$R:$R,CONST_PrecursorToGoodInput &amp; P$6 &amp; "_" &amp; $D22,E_PurchPrec!$T:$T)/SUMIF(D_Processes!$R:$R,CONST_CNTR_TotProd &amp; $D22,D_Processes!$T:$T),0)</f>
        <v>0</v>
      </c>
      <c r="Q22" s="224">
        <f>IFERROR(SUMIF(E_PurchPrec!$R:$R,CONST_PrecursorToGoodInput &amp; Q$6 &amp; "_" &amp; $D22,E_PurchPrec!$T:$T)/SUMIF(D_Processes!$R:$R,CONST_CNTR_TotProd &amp; $D22,D_Processes!$T:$T),0)</f>
        <v>0</v>
      </c>
      <c r="R22" s="224">
        <f>IFERROR(SUMIF(E_PurchPrec!$R:$R,CONST_PrecursorToGoodInput &amp; R$6 &amp; "_" &amp; $D22,E_PurchPrec!$T:$T)/SUMIF(D_Processes!$R:$R,CONST_CNTR_TotProd &amp; $D22,D_Processes!$T:$T),0)</f>
        <v>0</v>
      </c>
      <c r="S22" s="224">
        <f>IFERROR(SUMIF(E_PurchPrec!$R:$R,CONST_PrecursorToGoodInput &amp; S$6 &amp; "_" &amp; $D22,E_PurchPrec!$T:$T)/SUMIF(D_Processes!$R:$R,CONST_CNTR_TotProd &amp; $D22,D_Processes!$T:$T),0)</f>
        <v>0</v>
      </c>
      <c r="T22" s="224">
        <f>IFERROR(SUMIF(E_PurchPrec!$R:$R,CONST_PrecursorToGoodInput &amp; T$6 &amp; "_" &amp; $D22,E_PurchPrec!$T:$T)/SUMIF(D_Processes!$R:$R,CONST_CNTR_TotProd &amp; $D22,D_Processes!$T:$T),0)</f>
        <v>0</v>
      </c>
      <c r="U22" s="224">
        <f>IFERROR(SUMIF(E_PurchPrec!$R:$R,CONST_PrecursorToGoodInput &amp; U$6 &amp; "_" &amp; $D22,E_PurchPrec!$T:$T)/SUMIF(D_Processes!$R:$R,CONST_CNTR_TotProd &amp; $D22,D_Processes!$T:$T),0)</f>
        <v>0</v>
      </c>
      <c r="V22" s="224">
        <f>IFERROR(SUMIF(E_PurchPrec!$R:$R,CONST_PrecursorToGoodInput &amp; V$6 &amp; "_" &amp; $D22,E_PurchPrec!$T:$T)/SUMIF(D_Processes!$R:$R,CONST_CNTR_TotProd &amp; $D22,D_Processes!$T:$T),0)</f>
        <v>0</v>
      </c>
      <c r="W22" s="224">
        <f>IFERROR(SUMIF(E_PurchPrec!$R:$R,CONST_PrecursorToGoodInput &amp; W$6 &amp; "_" &amp; $D22,E_PurchPrec!$T:$T)/SUMIF(D_Processes!$R:$R,CONST_CNTR_TotProd &amp; $D22,D_Processes!$T:$T),0)</f>
        <v>0</v>
      </c>
      <c r="X22" s="224">
        <f>IFERROR(SUMIF(E_PurchPrec!$R:$R,CONST_PrecursorToGoodInput &amp; X$6 &amp; "_" &amp; $D22,E_PurchPrec!$T:$T)/SUMIF(D_Processes!$R:$R,CONST_CNTR_TotProd &amp; $D22,D_Processes!$T:$T),0)</f>
        <v>0</v>
      </c>
      <c r="Y22" s="224">
        <f>IFERROR(SUMIF(E_PurchPrec!$R:$R,CONST_PrecursorToGoodInput &amp; Y$6 &amp; "_" &amp; $D22,E_PurchPrec!$T:$T)/SUMIF(D_Processes!$R:$R,CONST_CNTR_TotProd &amp; $D22,D_Processes!$T:$T),0)</f>
        <v>0</v>
      </c>
      <c r="Z22" s="224">
        <f>IFERROR(SUMIF(E_PurchPrec!$R:$R,CONST_PrecursorToGoodInput &amp; Z$6 &amp; "_" &amp; $D22,E_PurchPrec!$T:$T)/SUMIF(D_Processes!$R:$R,CONST_CNTR_TotProd &amp; $D22,D_Processes!$T:$T),0)</f>
        <v>0</v>
      </c>
      <c r="AA22" s="224">
        <f>IFERROR(SUMIF(E_PurchPrec!$R:$R,CONST_PrecursorToGoodInput &amp; AA$6 &amp; "_" &amp; $D22,E_PurchPrec!$T:$T)/SUMIF(D_Processes!$R:$R,CONST_CNTR_TotProd &amp; $D22,D_Processes!$T:$T),0)</f>
        <v>0</v>
      </c>
      <c r="AB22" s="224">
        <f>IFERROR(SUMIF(E_PurchPrec!$R:$R,CONST_PrecursorToGoodInput &amp; AB$6 &amp; "_" &amp; $D22,E_PurchPrec!$T:$T)/SUMIF(D_Processes!$R:$R,CONST_CNTR_TotProd &amp; $D22,D_Processes!$T:$T),0)</f>
        <v>0</v>
      </c>
      <c r="AC22" s="224">
        <f>IFERROR(SUMIF(E_PurchPrec!$R:$R,CONST_PrecursorToGoodInput &amp; AC$6 &amp; "_" &amp; $D22,E_PurchPrec!$T:$T)/SUMIF(D_Processes!$R:$R,CONST_CNTR_TotProd &amp; $D22,D_Processes!$T:$T),0)</f>
        <v>0</v>
      </c>
      <c r="AD22" s="224">
        <f>IFERROR(SUMIF(E_PurchPrec!$R:$R,CONST_PrecursorToGoodInput &amp; AD$6 &amp; "_" &amp; $D22,E_PurchPrec!$T:$T)/SUMIF(D_Processes!$R:$R,CONST_CNTR_TotProd &amp; $D22,D_Processes!$T:$T),0)</f>
        <v>0</v>
      </c>
      <c r="AE22" s="224">
        <f>IFERROR(SUMIF(E_PurchPrec!$R:$R,CONST_PrecursorToGoodInput &amp; AE$6 &amp; "_" &amp; $D22,E_PurchPrec!$T:$T)/SUMIF(D_Processes!$R:$R,CONST_CNTR_TotProd &amp; $D22,D_Processes!$T:$T),0)</f>
        <v>0</v>
      </c>
      <c r="AF22" s="224">
        <f>IFERROR(SUMIF(E_PurchPrec!$R:$R,CONST_PrecursorToGoodInput &amp; AF$6 &amp; "_" &amp; $D22,E_PurchPrec!$T:$T)/SUMIF(D_Processes!$R:$R,CONST_CNTR_TotProd &amp; $D22,D_Processes!$T:$T),0)</f>
        <v>0</v>
      </c>
      <c r="AG22" s="224">
        <f>IFERROR(SUMIF(E_PurchPrec!$R:$R,CONST_PrecursorToGoodInput &amp; AG$6 &amp; "_" &amp; $D22,E_PurchPrec!$T:$T)/SUMIF(D_Processes!$R:$R,CONST_CNTR_TotProd &amp; $D22,D_Processes!$T:$T),0)</f>
        <v>0</v>
      </c>
      <c r="AH22" s="332">
        <f>IFERROR(SUMIF(E_PurchPrec!$R:$R,CONST_PrecursorToGoodInput &amp; AH$6 &amp; "_" &amp; $D22,E_PurchPrec!$T:$T)/SUMIF(D_Processes!$R:$R,CONST_CNTR_TotProd &amp; $D22,D_Processes!$T:$T),0)</f>
        <v>0</v>
      </c>
      <c r="AR22" s="226"/>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row>
    <row r="23" spans="2:74" ht="12.75" customHeight="1" x14ac:dyDescent="0.35">
      <c r="C23" s="223">
        <v>7</v>
      </c>
      <c r="D23" s="336" t="str">
        <f t="shared" si="4"/>
        <v/>
      </c>
      <c r="E23" s="331">
        <f>IFERROR(SUMIF(E_PurchPrec!$R:$R,CONST_PrecursorToGoodInput &amp; E$6 &amp; "_" &amp; $D23,E_PurchPrec!$T:$T)/SUMIF(D_Processes!$R:$R,CONST_CNTR_TotProd &amp; $D23,D_Processes!$T:$T),0)</f>
        <v>0</v>
      </c>
      <c r="F23" s="224">
        <f>IFERROR(SUMIF(E_PurchPrec!$R:$R,CONST_PrecursorToGoodInput &amp; F$6 &amp; "_" &amp; $D23,E_PurchPrec!$T:$T)/SUMIF(D_Processes!$R:$R,CONST_CNTR_TotProd &amp; $D23,D_Processes!$T:$T),0)</f>
        <v>0</v>
      </c>
      <c r="G23" s="224">
        <f>IFERROR(SUMIF(E_PurchPrec!$R:$R,CONST_PrecursorToGoodInput &amp; G$6 &amp; "_" &amp; $D23,E_PurchPrec!$T:$T)/SUMIF(D_Processes!$R:$R,CONST_CNTR_TotProd &amp; $D23,D_Processes!$T:$T),0)</f>
        <v>0</v>
      </c>
      <c r="H23" s="224">
        <f>IFERROR(SUMIF(E_PurchPrec!$R:$R,CONST_PrecursorToGoodInput &amp; H$6 &amp; "_" &amp; $D23,E_PurchPrec!$T:$T)/SUMIF(D_Processes!$R:$R,CONST_CNTR_TotProd &amp; $D23,D_Processes!$T:$T),0)</f>
        <v>0</v>
      </c>
      <c r="I23" s="224">
        <f>IFERROR(SUMIF(E_PurchPrec!$R:$R,CONST_PrecursorToGoodInput &amp; I$6 &amp; "_" &amp; $D23,E_PurchPrec!$T:$T)/SUMIF(D_Processes!$R:$R,CONST_CNTR_TotProd &amp; $D23,D_Processes!$T:$T),0)</f>
        <v>0</v>
      </c>
      <c r="J23" s="224">
        <f>IFERROR(SUMIF(E_PurchPrec!$R:$R,CONST_PrecursorToGoodInput &amp; J$6 &amp; "_" &amp; $D23,E_PurchPrec!$T:$T)/SUMIF(D_Processes!$R:$R,CONST_CNTR_TotProd &amp; $D23,D_Processes!$T:$T),0)</f>
        <v>0</v>
      </c>
      <c r="K23" s="224">
        <f>IFERROR(SUMIF(E_PurchPrec!$R:$R,CONST_PrecursorToGoodInput &amp; K$6 &amp; "_" &amp; $D23,E_PurchPrec!$T:$T)/SUMIF(D_Processes!$R:$R,CONST_CNTR_TotProd &amp; $D23,D_Processes!$T:$T),0)</f>
        <v>0</v>
      </c>
      <c r="L23" s="224">
        <f>IFERROR(SUMIF(E_PurchPrec!$R:$R,CONST_PrecursorToGoodInput &amp; L$6 &amp; "_" &amp; $D23,E_PurchPrec!$T:$T)/SUMIF(D_Processes!$R:$R,CONST_CNTR_TotProd &amp; $D23,D_Processes!$T:$T),0)</f>
        <v>0</v>
      </c>
      <c r="M23" s="224">
        <f>IFERROR(SUMIF(E_PurchPrec!$R:$R,CONST_PrecursorToGoodInput &amp; M$6 &amp; "_" &amp; $D23,E_PurchPrec!$T:$T)/SUMIF(D_Processes!$R:$R,CONST_CNTR_TotProd &amp; $D23,D_Processes!$T:$T),0)</f>
        <v>0</v>
      </c>
      <c r="N23" s="332">
        <f>IFERROR(SUMIF(E_PurchPrec!$R:$R,CONST_PrecursorToGoodInput &amp; N$6 &amp; "_" &amp; $D23,E_PurchPrec!$T:$T)/SUMIF(D_Processes!$R:$R,CONST_CNTR_TotProd &amp; $D23,D_Processes!$T:$T),0)</f>
        <v>0</v>
      </c>
      <c r="O23" s="331">
        <f>IFERROR(SUMIF(E_PurchPrec!$R:$R,CONST_PrecursorToGoodInput &amp; O$6 &amp; "_" &amp; $D23,E_PurchPrec!$T:$T)/SUMIF(D_Processes!$R:$R,CONST_CNTR_TotProd &amp; $D23,D_Processes!$T:$T),0)</f>
        <v>0</v>
      </c>
      <c r="P23" s="224">
        <f>IFERROR(SUMIF(E_PurchPrec!$R:$R,CONST_PrecursorToGoodInput &amp; P$6 &amp; "_" &amp; $D23,E_PurchPrec!$T:$T)/SUMIF(D_Processes!$R:$R,CONST_CNTR_TotProd &amp; $D23,D_Processes!$T:$T),0)</f>
        <v>0</v>
      </c>
      <c r="Q23" s="224">
        <f>IFERROR(SUMIF(E_PurchPrec!$R:$R,CONST_PrecursorToGoodInput &amp; Q$6 &amp; "_" &amp; $D23,E_PurchPrec!$T:$T)/SUMIF(D_Processes!$R:$R,CONST_CNTR_TotProd &amp; $D23,D_Processes!$T:$T),0)</f>
        <v>0</v>
      </c>
      <c r="R23" s="224">
        <f>IFERROR(SUMIF(E_PurchPrec!$R:$R,CONST_PrecursorToGoodInput &amp; R$6 &amp; "_" &amp; $D23,E_PurchPrec!$T:$T)/SUMIF(D_Processes!$R:$R,CONST_CNTR_TotProd &amp; $D23,D_Processes!$T:$T),0)</f>
        <v>0</v>
      </c>
      <c r="S23" s="224">
        <f>IFERROR(SUMIF(E_PurchPrec!$R:$R,CONST_PrecursorToGoodInput &amp; S$6 &amp; "_" &amp; $D23,E_PurchPrec!$T:$T)/SUMIF(D_Processes!$R:$R,CONST_CNTR_TotProd &amp; $D23,D_Processes!$T:$T),0)</f>
        <v>0</v>
      </c>
      <c r="T23" s="224">
        <f>IFERROR(SUMIF(E_PurchPrec!$R:$R,CONST_PrecursorToGoodInput &amp; T$6 &amp; "_" &amp; $D23,E_PurchPrec!$T:$T)/SUMIF(D_Processes!$R:$R,CONST_CNTR_TotProd &amp; $D23,D_Processes!$T:$T),0)</f>
        <v>0</v>
      </c>
      <c r="U23" s="224">
        <f>IFERROR(SUMIF(E_PurchPrec!$R:$R,CONST_PrecursorToGoodInput &amp; U$6 &amp; "_" &amp; $D23,E_PurchPrec!$T:$T)/SUMIF(D_Processes!$R:$R,CONST_CNTR_TotProd &amp; $D23,D_Processes!$T:$T),0)</f>
        <v>0</v>
      </c>
      <c r="V23" s="224">
        <f>IFERROR(SUMIF(E_PurchPrec!$R:$R,CONST_PrecursorToGoodInput &amp; V$6 &amp; "_" &amp; $D23,E_PurchPrec!$T:$T)/SUMIF(D_Processes!$R:$R,CONST_CNTR_TotProd &amp; $D23,D_Processes!$T:$T),0)</f>
        <v>0</v>
      </c>
      <c r="W23" s="224">
        <f>IFERROR(SUMIF(E_PurchPrec!$R:$R,CONST_PrecursorToGoodInput &amp; W$6 &amp; "_" &amp; $D23,E_PurchPrec!$T:$T)/SUMIF(D_Processes!$R:$R,CONST_CNTR_TotProd &amp; $D23,D_Processes!$T:$T),0)</f>
        <v>0</v>
      </c>
      <c r="X23" s="224">
        <f>IFERROR(SUMIF(E_PurchPrec!$R:$R,CONST_PrecursorToGoodInput &amp; X$6 &amp; "_" &amp; $D23,E_PurchPrec!$T:$T)/SUMIF(D_Processes!$R:$R,CONST_CNTR_TotProd &amp; $D23,D_Processes!$T:$T),0)</f>
        <v>0</v>
      </c>
      <c r="Y23" s="224">
        <f>IFERROR(SUMIF(E_PurchPrec!$R:$R,CONST_PrecursorToGoodInput &amp; Y$6 &amp; "_" &amp; $D23,E_PurchPrec!$T:$T)/SUMIF(D_Processes!$R:$R,CONST_CNTR_TotProd &amp; $D23,D_Processes!$T:$T),0)</f>
        <v>0</v>
      </c>
      <c r="Z23" s="224">
        <f>IFERROR(SUMIF(E_PurchPrec!$R:$R,CONST_PrecursorToGoodInput &amp; Z$6 &amp; "_" &amp; $D23,E_PurchPrec!$T:$T)/SUMIF(D_Processes!$R:$R,CONST_CNTR_TotProd &amp; $D23,D_Processes!$T:$T),0)</f>
        <v>0</v>
      </c>
      <c r="AA23" s="224">
        <f>IFERROR(SUMIF(E_PurchPrec!$R:$R,CONST_PrecursorToGoodInput &amp; AA$6 &amp; "_" &amp; $D23,E_PurchPrec!$T:$T)/SUMIF(D_Processes!$R:$R,CONST_CNTR_TotProd &amp; $D23,D_Processes!$T:$T),0)</f>
        <v>0</v>
      </c>
      <c r="AB23" s="224">
        <f>IFERROR(SUMIF(E_PurchPrec!$R:$R,CONST_PrecursorToGoodInput &amp; AB$6 &amp; "_" &amp; $D23,E_PurchPrec!$T:$T)/SUMIF(D_Processes!$R:$R,CONST_CNTR_TotProd &amp; $D23,D_Processes!$T:$T),0)</f>
        <v>0</v>
      </c>
      <c r="AC23" s="224">
        <f>IFERROR(SUMIF(E_PurchPrec!$R:$R,CONST_PrecursorToGoodInput &amp; AC$6 &amp; "_" &amp; $D23,E_PurchPrec!$T:$T)/SUMIF(D_Processes!$R:$R,CONST_CNTR_TotProd &amp; $D23,D_Processes!$T:$T),0)</f>
        <v>0</v>
      </c>
      <c r="AD23" s="224">
        <f>IFERROR(SUMIF(E_PurchPrec!$R:$R,CONST_PrecursorToGoodInput &amp; AD$6 &amp; "_" &amp; $D23,E_PurchPrec!$T:$T)/SUMIF(D_Processes!$R:$R,CONST_CNTR_TotProd &amp; $D23,D_Processes!$T:$T),0)</f>
        <v>0</v>
      </c>
      <c r="AE23" s="224">
        <f>IFERROR(SUMIF(E_PurchPrec!$R:$R,CONST_PrecursorToGoodInput &amp; AE$6 &amp; "_" &amp; $D23,E_PurchPrec!$T:$T)/SUMIF(D_Processes!$R:$R,CONST_CNTR_TotProd &amp; $D23,D_Processes!$T:$T),0)</f>
        <v>0</v>
      </c>
      <c r="AF23" s="224">
        <f>IFERROR(SUMIF(E_PurchPrec!$R:$R,CONST_PrecursorToGoodInput &amp; AF$6 &amp; "_" &amp; $D23,E_PurchPrec!$T:$T)/SUMIF(D_Processes!$R:$R,CONST_CNTR_TotProd &amp; $D23,D_Processes!$T:$T),0)</f>
        <v>0</v>
      </c>
      <c r="AG23" s="224">
        <f>IFERROR(SUMIF(E_PurchPrec!$R:$R,CONST_PrecursorToGoodInput &amp; AG$6 &amp; "_" &amp; $D23,E_PurchPrec!$T:$T)/SUMIF(D_Processes!$R:$R,CONST_CNTR_TotProd &amp; $D23,D_Processes!$T:$T),0)</f>
        <v>0</v>
      </c>
      <c r="AH23" s="332">
        <f>IFERROR(SUMIF(E_PurchPrec!$R:$R,CONST_PrecursorToGoodInput &amp; AH$6 &amp; "_" &amp; $D23,E_PurchPrec!$T:$T)/SUMIF(D_Processes!$R:$R,CONST_CNTR_TotProd &amp; $D23,D_Processes!$T:$T),0)</f>
        <v>0</v>
      </c>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row>
    <row r="24" spans="2:74" ht="12.75" customHeight="1" x14ac:dyDescent="0.35">
      <c r="C24" s="223">
        <v>8</v>
      </c>
      <c r="D24" s="336" t="str">
        <f t="shared" si="4"/>
        <v/>
      </c>
      <c r="E24" s="331">
        <f>IFERROR(SUMIF(E_PurchPrec!$R:$R,CONST_PrecursorToGoodInput &amp; E$6 &amp; "_" &amp; $D24,E_PurchPrec!$T:$T)/SUMIF(D_Processes!$R:$R,CONST_CNTR_TotProd &amp; $D24,D_Processes!$T:$T),0)</f>
        <v>0</v>
      </c>
      <c r="F24" s="224">
        <f>IFERROR(SUMIF(E_PurchPrec!$R:$R,CONST_PrecursorToGoodInput &amp; F$6 &amp; "_" &amp; $D24,E_PurchPrec!$T:$T)/SUMIF(D_Processes!$R:$R,CONST_CNTR_TotProd &amp; $D24,D_Processes!$T:$T),0)</f>
        <v>0</v>
      </c>
      <c r="G24" s="224">
        <f>IFERROR(SUMIF(E_PurchPrec!$R:$R,CONST_PrecursorToGoodInput &amp; G$6 &amp; "_" &amp; $D24,E_PurchPrec!$T:$T)/SUMIF(D_Processes!$R:$R,CONST_CNTR_TotProd &amp; $D24,D_Processes!$T:$T),0)</f>
        <v>0</v>
      </c>
      <c r="H24" s="224">
        <f>IFERROR(SUMIF(E_PurchPrec!$R:$R,CONST_PrecursorToGoodInput &amp; H$6 &amp; "_" &amp; $D24,E_PurchPrec!$T:$T)/SUMIF(D_Processes!$R:$R,CONST_CNTR_TotProd &amp; $D24,D_Processes!$T:$T),0)</f>
        <v>0</v>
      </c>
      <c r="I24" s="224">
        <f>IFERROR(SUMIF(E_PurchPrec!$R:$R,CONST_PrecursorToGoodInput &amp; I$6 &amp; "_" &amp; $D24,E_PurchPrec!$T:$T)/SUMIF(D_Processes!$R:$R,CONST_CNTR_TotProd &amp; $D24,D_Processes!$T:$T),0)</f>
        <v>0</v>
      </c>
      <c r="J24" s="224">
        <f>IFERROR(SUMIF(E_PurchPrec!$R:$R,CONST_PrecursorToGoodInput &amp; J$6 &amp; "_" &amp; $D24,E_PurchPrec!$T:$T)/SUMIF(D_Processes!$R:$R,CONST_CNTR_TotProd &amp; $D24,D_Processes!$T:$T),0)</f>
        <v>0</v>
      </c>
      <c r="K24" s="224">
        <f>IFERROR(SUMIF(E_PurchPrec!$R:$R,CONST_PrecursorToGoodInput &amp; K$6 &amp; "_" &amp; $D24,E_PurchPrec!$T:$T)/SUMIF(D_Processes!$R:$R,CONST_CNTR_TotProd &amp; $D24,D_Processes!$T:$T),0)</f>
        <v>0</v>
      </c>
      <c r="L24" s="224">
        <f>IFERROR(SUMIF(E_PurchPrec!$R:$R,CONST_PrecursorToGoodInput &amp; L$6 &amp; "_" &amp; $D24,E_PurchPrec!$T:$T)/SUMIF(D_Processes!$R:$R,CONST_CNTR_TotProd &amp; $D24,D_Processes!$T:$T),0)</f>
        <v>0</v>
      </c>
      <c r="M24" s="224">
        <f>IFERROR(SUMIF(E_PurchPrec!$R:$R,CONST_PrecursorToGoodInput &amp; M$6 &amp; "_" &amp; $D24,E_PurchPrec!$T:$T)/SUMIF(D_Processes!$R:$R,CONST_CNTR_TotProd &amp; $D24,D_Processes!$T:$T),0)</f>
        <v>0</v>
      </c>
      <c r="N24" s="332">
        <f>IFERROR(SUMIF(E_PurchPrec!$R:$R,CONST_PrecursorToGoodInput &amp; N$6 &amp; "_" &amp; $D24,E_PurchPrec!$T:$T)/SUMIF(D_Processes!$R:$R,CONST_CNTR_TotProd &amp; $D24,D_Processes!$T:$T),0)</f>
        <v>0</v>
      </c>
      <c r="O24" s="331">
        <f>IFERROR(SUMIF(E_PurchPrec!$R:$R,CONST_PrecursorToGoodInput &amp; O$6 &amp; "_" &amp; $D24,E_PurchPrec!$T:$T)/SUMIF(D_Processes!$R:$R,CONST_CNTR_TotProd &amp; $D24,D_Processes!$T:$T),0)</f>
        <v>0</v>
      </c>
      <c r="P24" s="224">
        <f>IFERROR(SUMIF(E_PurchPrec!$R:$R,CONST_PrecursorToGoodInput &amp; P$6 &amp; "_" &amp; $D24,E_PurchPrec!$T:$T)/SUMIF(D_Processes!$R:$R,CONST_CNTR_TotProd &amp; $D24,D_Processes!$T:$T),0)</f>
        <v>0</v>
      </c>
      <c r="Q24" s="224">
        <f>IFERROR(SUMIF(E_PurchPrec!$R:$R,CONST_PrecursorToGoodInput &amp; Q$6 &amp; "_" &amp; $D24,E_PurchPrec!$T:$T)/SUMIF(D_Processes!$R:$R,CONST_CNTR_TotProd &amp; $D24,D_Processes!$T:$T),0)</f>
        <v>0</v>
      </c>
      <c r="R24" s="224">
        <f>IFERROR(SUMIF(E_PurchPrec!$R:$R,CONST_PrecursorToGoodInput &amp; R$6 &amp; "_" &amp; $D24,E_PurchPrec!$T:$T)/SUMIF(D_Processes!$R:$R,CONST_CNTR_TotProd &amp; $D24,D_Processes!$T:$T),0)</f>
        <v>0</v>
      </c>
      <c r="S24" s="224">
        <f>IFERROR(SUMIF(E_PurchPrec!$R:$R,CONST_PrecursorToGoodInput &amp; S$6 &amp; "_" &amp; $D24,E_PurchPrec!$T:$T)/SUMIF(D_Processes!$R:$R,CONST_CNTR_TotProd &amp; $D24,D_Processes!$T:$T),0)</f>
        <v>0</v>
      </c>
      <c r="T24" s="224">
        <f>IFERROR(SUMIF(E_PurchPrec!$R:$R,CONST_PrecursorToGoodInput &amp; T$6 &amp; "_" &amp; $D24,E_PurchPrec!$T:$T)/SUMIF(D_Processes!$R:$R,CONST_CNTR_TotProd &amp; $D24,D_Processes!$T:$T),0)</f>
        <v>0</v>
      </c>
      <c r="U24" s="224">
        <f>IFERROR(SUMIF(E_PurchPrec!$R:$R,CONST_PrecursorToGoodInput &amp; U$6 &amp; "_" &amp; $D24,E_PurchPrec!$T:$T)/SUMIF(D_Processes!$R:$R,CONST_CNTR_TotProd &amp; $D24,D_Processes!$T:$T),0)</f>
        <v>0</v>
      </c>
      <c r="V24" s="224">
        <f>IFERROR(SUMIF(E_PurchPrec!$R:$R,CONST_PrecursorToGoodInput &amp; V$6 &amp; "_" &amp; $D24,E_PurchPrec!$T:$T)/SUMIF(D_Processes!$R:$R,CONST_CNTR_TotProd &amp; $D24,D_Processes!$T:$T),0)</f>
        <v>0</v>
      </c>
      <c r="W24" s="224">
        <f>IFERROR(SUMIF(E_PurchPrec!$R:$R,CONST_PrecursorToGoodInput &amp; W$6 &amp; "_" &amp; $D24,E_PurchPrec!$T:$T)/SUMIF(D_Processes!$R:$R,CONST_CNTR_TotProd &amp; $D24,D_Processes!$T:$T),0)</f>
        <v>0</v>
      </c>
      <c r="X24" s="224">
        <f>IFERROR(SUMIF(E_PurchPrec!$R:$R,CONST_PrecursorToGoodInput &amp; X$6 &amp; "_" &amp; $D24,E_PurchPrec!$T:$T)/SUMIF(D_Processes!$R:$R,CONST_CNTR_TotProd &amp; $D24,D_Processes!$T:$T),0)</f>
        <v>0</v>
      </c>
      <c r="Y24" s="224">
        <f>IFERROR(SUMIF(E_PurchPrec!$R:$R,CONST_PrecursorToGoodInput &amp; Y$6 &amp; "_" &amp; $D24,E_PurchPrec!$T:$T)/SUMIF(D_Processes!$R:$R,CONST_CNTR_TotProd &amp; $D24,D_Processes!$T:$T),0)</f>
        <v>0</v>
      </c>
      <c r="Z24" s="224">
        <f>IFERROR(SUMIF(E_PurchPrec!$R:$R,CONST_PrecursorToGoodInput &amp; Z$6 &amp; "_" &amp; $D24,E_PurchPrec!$T:$T)/SUMIF(D_Processes!$R:$R,CONST_CNTR_TotProd &amp; $D24,D_Processes!$T:$T),0)</f>
        <v>0</v>
      </c>
      <c r="AA24" s="224">
        <f>IFERROR(SUMIF(E_PurchPrec!$R:$R,CONST_PrecursorToGoodInput &amp; AA$6 &amp; "_" &amp; $D24,E_PurchPrec!$T:$T)/SUMIF(D_Processes!$R:$R,CONST_CNTR_TotProd &amp; $D24,D_Processes!$T:$T),0)</f>
        <v>0</v>
      </c>
      <c r="AB24" s="224">
        <f>IFERROR(SUMIF(E_PurchPrec!$R:$R,CONST_PrecursorToGoodInput &amp; AB$6 &amp; "_" &amp; $D24,E_PurchPrec!$T:$T)/SUMIF(D_Processes!$R:$R,CONST_CNTR_TotProd &amp; $D24,D_Processes!$T:$T),0)</f>
        <v>0</v>
      </c>
      <c r="AC24" s="224">
        <f>IFERROR(SUMIF(E_PurchPrec!$R:$R,CONST_PrecursorToGoodInput &amp; AC$6 &amp; "_" &amp; $D24,E_PurchPrec!$T:$T)/SUMIF(D_Processes!$R:$R,CONST_CNTR_TotProd &amp; $D24,D_Processes!$T:$T),0)</f>
        <v>0</v>
      </c>
      <c r="AD24" s="224">
        <f>IFERROR(SUMIF(E_PurchPrec!$R:$R,CONST_PrecursorToGoodInput &amp; AD$6 &amp; "_" &amp; $D24,E_PurchPrec!$T:$T)/SUMIF(D_Processes!$R:$R,CONST_CNTR_TotProd &amp; $D24,D_Processes!$T:$T),0)</f>
        <v>0</v>
      </c>
      <c r="AE24" s="224">
        <f>IFERROR(SUMIF(E_PurchPrec!$R:$R,CONST_PrecursorToGoodInput &amp; AE$6 &amp; "_" &amp; $D24,E_PurchPrec!$T:$T)/SUMIF(D_Processes!$R:$R,CONST_CNTR_TotProd &amp; $D24,D_Processes!$T:$T),0)</f>
        <v>0</v>
      </c>
      <c r="AF24" s="224">
        <f>IFERROR(SUMIF(E_PurchPrec!$R:$R,CONST_PrecursorToGoodInput &amp; AF$6 &amp; "_" &amp; $D24,E_PurchPrec!$T:$T)/SUMIF(D_Processes!$R:$R,CONST_CNTR_TotProd &amp; $D24,D_Processes!$T:$T),0)</f>
        <v>0</v>
      </c>
      <c r="AG24" s="224">
        <f>IFERROR(SUMIF(E_PurchPrec!$R:$R,CONST_PrecursorToGoodInput &amp; AG$6 &amp; "_" &amp; $D24,E_PurchPrec!$T:$T)/SUMIF(D_Processes!$R:$R,CONST_CNTR_TotProd &amp; $D24,D_Processes!$T:$T),0)</f>
        <v>0</v>
      </c>
      <c r="AH24" s="332">
        <f>IFERROR(SUMIF(E_PurchPrec!$R:$R,CONST_PrecursorToGoodInput &amp; AH$6 &amp; "_" &amp; $D24,E_PurchPrec!$T:$T)/SUMIF(D_Processes!$R:$R,CONST_CNTR_TotProd &amp; $D24,D_Processes!$T:$T),0)</f>
        <v>0</v>
      </c>
      <c r="AR24" s="226"/>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c r="BS24" s="226"/>
      <c r="BT24" s="226"/>
      <c r="BU24" s="226"/>
      <c r="BV24" s="226"/>
    </row>
    <row r="25" spans="2:74" ht="12.75" customHeight="1" x14ac:dyDescent="0.35">
      <c r="C25" s="223">
        <v>9</v>
      </c>
      <c r="D25" s="336" t="str">
        <f t="shared" si="4"/>
        <v/>
      </c>
      <c r="E25" s="331">
        <f>IFERROR(SUMIF(E_PurchPrec!$R:$R,CONST_PrecursorToGoodInput &amp; E$6 &amp; "_" &amp; $D25,E_PurchPrec!$T:$T)/SUMIF(D_Processes!$R:$R,CONST_CNTR_TotProd &amp; $D25,D_Processes!$T:$T),0)</f>
        <v>0</v>
      </c>
      <c r="F25" s="224">
        <f>IFERROR(SUMIF(E_PurchPrec!$R:$R,CONST_PrecursorToGoodInput &amp; F$6 &amp; "_" &amp; $D25,E_PurchPrec!$T:$T)/SUMIF(D_Processes!$R:$R,CONST_CNTR_TotProd &amp; $D25,D_Processes!$T:$T),0)</f>
        <v>0</v>
      </c>
      <c r="G25" s="224">
        <f>IFERROR(SUMIF(E_PurchPrec!$R:$R,CONST_PrecursorToGoodInput &amp; G$6 &amp; "_" &amp; $D25,E_PurchPrec!$T:$T)/SUMIF(D_Processes!$R:$R,CONST_CNTR_TotProd &amp; $D25,D_Processes!$T:$T),0)</f>
        <v>0</v>
      </c>
      <c r="H25" s="224">
        <f>IFERROR(SUMIF(E_PurchPrec!$R:$R,CONST_PrecursorToGoodInput &amp; H$6 &amp; "_" &amp; $D25,E_PurchPrec!$T:$T)/SUMIF(D_Processes!$R:$R,CONST_CNTR_TotProd &amp; $D25,D_Processes!$T:$T),0)</f>
        <v>0</v>
      </c>
      <c r="I25" s="224">
        <f>IFERROR(SUMIF(E_PurchPrec!$R:$R,CONST_PrecursorToGoodInput &amp; I$6 &amp; "_" &amp; $D25,E_PurchPrec!$T:$T)/SUMIF(D_Processes!$R:$R,CONST_CNTR_TotProd &amp; $D25,D_Processes!$T:$T),0)</f>
        <v>0</v>
      </c>
      <c r="J25" s="224">
        <f>IFERROR(SUMIF(E_PurchPrec!$R:$R,CONST_PrecursorToGoodInput &amp; J$6 &amp; "_" &amp; $D25,E_PurchPrec!$T:$T)/SUMIF(D_Processes!$R:$R,CONST_CNTR_TotProd &amp; $D25,D_Processes!$T:$T),0)</f>
        <v>0</v>
      </c>
      <c r="K25" s="224">
        <f>IFERROR(SUMIF(E_PurchPrec!$R:$R,CONST_PrecursorToGoodInput &amp; K$6 &amp; "_" &amp; $D25,E_PurchPrec!$T:$T)/SUMIF(D_Processes!$R:$R,CONST_CNTR_TotProd &amp; $D25,D_Processes!$T:$T),0)</f>
        <v>0</v>
      </c>
      <c r="L25" s="224">
        <f>IFERROR(SUMIF(E_PurchPrec!$R:$R,CONST_PrecursorToGoodInput &amp; L$6 &amp; "_" &amp; $D25,E_PurchPrec!$T:$T)/SUMIF(D_Processes!$R:$R,CONST_CNTR_TotProd &amp; $D25,D_Processes!$T:$T),0)</f>
        <v>0</v>
      </c>
      <c r="M25" s="224">
        <f>IFERROR(SUMIF(E_PurchPrec!$R:$R,CONST_PrecursorToGoodInput &amp; M$6 &amp; "_" &amp; $D25,E_PurchPrec!$T:$T)/SUMIF(D_Processes!$R:$R,CONST_CNTR_TotProd &amp; $D25,D_Processes!$T:$T),0)</f>
        <v>0</v>
      </c>
      <c r="N25" s="332">
        <f>IFERROR(SUMIF(E_PurchPrec!$R:$R,CONST_PrecursorToGoodInput &amp; N$6 &amp; "_" &amp; $D25,E_PurchPrec!$T:$T)/SUMIF(D_Processes!$R:$R,CONST_CNTR_TotProd &amp; $D25,D_Processes!$T:$T),0)</f>
        <v>0</v>
      </c>
      <c r="O25" s="331">
        <f>IFERROR(SUMIF(E_PurchPrec!$R:$R,CONST_PrecursorToGoodInput &amp; O$6 &amp; "_" &amp; $D25,E_PurchPrec!$T:$T)/SUMIF(D_Processes!$R:$R,CONST_CNTR_TotProd &amp; $D25,D_Processes!$T:$T),0)</f>
        <v>0</v>
      </c>
      <c r="P25" s="224">
        <f>IFERROR(SUMIF(E_PurchPrec!$R:$R,CONST_PrecursorToGoodInput &amp; P$6 &amp; "_" &amp; $D25,E_PurchPrec!$T:$T)/SUMIF(D_Processes!$R:$R,CONST_CNTR_TotProd &amp; $D25,D_Processes!$T:$T),0)</f>
        <v>0</v>
      </c>
      <c r="Q25" s="224">
        <f>IFERROR(SUMIF(E_PurchPrec!$R:$R,CONST_PrecursorToGoodInput &amp; Q$6 &amp; "_" &amp; $D25,E_PurchPrec!$T:$T)/SUMIF(D_Processes!$R:$R,CONST_CNTR_TotProd &amp; $D25,D_Processes!$T:$T),0)</f>
        <v>0</v>
      </c>
      <c r="R25" s="224">
        <f>IFERROR(SUMIF(E_PurchPrec!$R:$R,CONST_PrecursorToGoodInput &amp; R$6 &amp; "_" &amp; $D25,E_PurchPrec!$T:$T)/SUMIF(D_Processes!$R:$R,CONST_CNTR_TotProd &amp; $D25,D_Processes!$T:$T),0)</f>
        <v>0</v>
      </c>
      <c r="S25" s="224">
        <f>IFERROR(SUMIF(E_PurchPrec!$R:$R,CONST_PrecursorToGoodInput &amp; S$6 &amp; "_" &amp; $D25,E_PurchPrec!$T:$T)/SUMIF(D_Processes!$R:$R,CONST_CNTR_TotProd &amp; $D25,D_Processes!$T:$T),0)</f>
        <v>0</v>
      </c>
      <c r="T25" s="224">
        <f>IFERROR(SUMIF(E_PurchPrec!$R:$R,CONST_PrecursorToGoodInput &amp; T$6 &amp; "_" &amp; $D25,E_PurchPrec!$T:$T)/SUMIF(D_Processes!$R:$R,CONST_CNTR_TotProd &amp; $D25,D_Processes!$T:$T),0)</f>
        <v>0</v>
      </c>
      <c r="U25" s="224">
        <f>IFERROR(SUMIF(E_PurchPrec!$R:$R,CONST_PrecursorToGoodInput &amp; U$6 &amp; "_" &amp; $D25,E_PurchPrec!$T:$T)/SUMIF(D_Processes!$R:$R,CONST_CNTR_TotProd &amp; $D25,D_Processes!$T:$T),0)</f>
        <v>0</v>
      </c>
      <c r="V25" s="224">
        <f>IFERROR(SUMIF(E_PurchPrec!$R:$R,CONST_PrecursorToGoodInput &amp; V$6 &amp; "_" &amp; $D25,E_PurchPrec!$T:$T)/SUMIF(D_Processes!$R:$R,CONST_CNTR_TotProd &amp; $D25,D_Processes!$T:$T),0)</f>
        <v>0</v>
      </c>
      <c r="W25" s="224">
        <f>IFERROR(SUMIF(E_PurchPrec!$R:$R,CONST_PrecursorToGoodInput &amp; W$6 &amp; "_" &amp; $D25,E_PurchPrec!$T:$T)/SUMIF(D_Processes!$R:$R,CONST_CNTR_TotProd &amp; $D25,D_Processes!$T:$T),0)</f>
        <v>0</v>
      </c>
      <c r="X25" s="224">
        <f>IFERROR(SUMIF(E_PurchPrec!$R:$R,CONST_PrecursorToGoodInput &amp; X$6 &amp; "_" &amp; $D25,E_PurchPrec!$T:$T)/SUMIF(D_Processes!$R:$R,CONST_CNTR_TotProd &amp; $D25,D_Processes!$T:$T),0)</f>
        <v>0</v>
      </c>
      <c r="Y25" s="224">
        <f>IFERROR(SUMIF(E_PurchPrec!$R:$R,CONST_PrecursorToGoodInput &amp; Y$6 &amp; "_" &amp; $D25,E_PurchPrec!$T:$T)/SUMIF(D_Processes!$R:$R,CONST_CNTR_TotProd &amp; $D25,D_Processes!$T:$T),0)</f>
        <v>0</v>
      </c>
      <c r="Z25" s="224">
        <f>IFERROR(SUMIF(E_PurchPrec!$R:$R,CONST_PrecursorToGoodInput &amp; Z$6 &amp; "_" &amp; $D25,E_PurchPrec!$T:$T)/SUMIF(D_Processes!$R:$R,CONST_CNTR_TotProd &amp; $D25,D_Processes!$T:$T),0)</f>
        <v>0</v>
      </c>
      <c r="AA25" s="224">
        <f>IFERROR(SUMIF(E_PurchPrec!$R:$R,CONST_PrecursorToGoodInput &amp; AA$6 &amp; "_" &amp; $D25,E_PurchPrec!$T:$T)/SUMIF(D_Processes!$R:$R,CONST_CNTR_TotProd &amp; $D25,D_Processes!$T:$T),0)</f>
        <v>0</v>
      </c>
      <c r="AB25" s="224">
        <f>IFERROR(SUMIF(E_PurchPrec!$R:$R,CONST_PrecursorToGoodInput &amp; AB$6 &amp; "_" &amp; $D25,E_PurchPrec!$T:$T)/SUMIF(D_Processes!$R:$R,CONST_CNTR_TotProd &amp; $D25,D_Processes!$T:$T),0)</f>
        <v>0</v>
      </c>
      <c r="AC25" s="224">
        <f>IFERROR(SUMIF(E_PurchPrec!$R:$R,CONST_PrecursorToGoodInput &amp; AC$6 &amp; "_" &amp; $D25,E_PurchPrec!$T:$T)/SUMIF(D_Processes!$R:$R,CONST_CNTR_TotProd &amp; $D25,D_Processes!$T:$T),0)</f>
        <v>0</v>
      </c>
      <c r="AD25" s="224">
        <f>IFERROR(SUMIF(E_PurchPrec!$R:$R,CONST_PrecursorToGoodInput &amp; AD$6 &amp; "_" &amp; $D25,E_PurchPrec!$T:$T)/SUMIF(D_Processes!$R:$R,CONST_CNTR_TotProd &amp; $D25,D_Processes!$T:$T),0)</f>
        <v>0</v>
      </c>
      <c r="AE25" s="224">
        <f>IFERROR(SUMIF(E_PurchPrec!$R:$R,CONST_PrecursorToGoodInput &amp; AE$6 &amp; "_" &amp; $D25,E_PurchPrec!$T:$T)/SUMIF(D_Processes!$R:$R,CONST_CNTR_TotProd &amp; $D25,D_Processes!$T:$T),0)</f>
        <v>0</v>
      </c>
      <c r="AF25" s="224">
        <f>IFERROR(SUMIF(E_PurchPrec!$R:$R,CONST_PrecursorToGoodInput &amp; AF$6 &amp; "_" &amp; $D25,E_PurchPrec!$T:$T)/SUMIF(D_Processes!$R:$R,CONST_CNTR_TotProd &amp; $D25,D_Processes!$T:$T),0)</f>
        <v>0</v>
      </c>
      <c r="AG25" s="224">
        <f>IFERROR(SUMIF(E_PurchPrec!$R:$R,CONST_PrecursorToGoodInput &amp; AG$6 &amp; "_" &amp; $D25,E_PurchPrec!$T:$T)/SUMIF(D_Processes!$R:$R,CONST_CNTR_TotProd &amp; $D25,D_Processes!$T:$T),0)</f>
        <v>0</v>
      </c>
      <c r="AH25" s="332">
        <f>IFERROR(SUMIF(E_PurchPrec!$R:$R,CONST_PrecursorToGoodInput &amp; AH$6 &amp; "_" &amp; $D25,E_PurchPrec!$T:$T)/SUMIF(D_Processes!$R:$R,CONST_CNTR_TotProd &amp; $D25,D_Processes!$T:$T),0)</f>
        <v>0</v>
      </c>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row>
    <row r="26" spans="2:74" ht="12.75" customHeight="1" x14ac:dyDescent="0.35">
      <c r="C26" s="223">
        <v>10</v>
      </c>
      <c r="D26" s="336" t="str">
        <f t="shared" si="4"/>
        <v/>
      </c>
      <c r="E26" s="331">
        <f>IFERROR(SUMIF(E_PurchPrec!$R:$R,CONST_PrecursorToGoodInput &amp; E$6 &amp; "_" &amp; $D26,E_PurchPrec!$T:$T)/SUMIF(D_Processes!$R:$R,CONST_CNTR_TotProd &amp; $D26,D_Processes!$T:$T),0)</f>
        <v>0</v>
      </c>
      <c r="F26" s="224">
        <f>IFERROR(SUMIF(E_PurchPrec!$R:$R,CONST_PrecursorToGoodInput &amp; F$6 &amp; "_" &amp; $D26,E_PurchPrec!$T:$T)/SUMIF(D_Processes!$R:$R,CONST_CNTR_TotProd &amp; $D26,D_Processes!$T:$T),0)</f>
        <v>0</v>
      </c>
      <c r="G26" s="224">
        <f>IFERROR(SUMIF(E_PurchPrec!$R:$R,CONST_PrecursorToGoodInput &amp; G$6 &amp; "_" &amp; $D26,E_PurchPrec!$T:$T)/SUMIF(D_Processes!$R:$R,CONST_CNTR_TotProd &amp; $D26,D_Processes!$T:$T),0)</f>
        <v>0</v>
      </c>
      <c r="H26" s="224">
        <f>IFERROR(SUMIF(E_PurchPrec!$R:$R,CONST_PrecursorToGoodInput &amp; H$6 &amp; "_" &amp; $D26,E_PurchPrec!$T:$T)/SUMIF(D_Processes!$R:$R,CONST_CNTR_TotProd &amp; $D26,D_Processes!$T:$T),0)</f>
        <v>0</v>
      </c>
      <c r="I26" s="224">
        <f>IFERROR(SUMIF(E_PurchPrec!$R:$R,CONST_PrecursorToGoodInput &amp; I$6 &amp; "_" &amp; $D26,E_PurchPrec!$T:$T)/SUMIF(D_Processes!$R:$R,CONST_CNTR_TotProd &amp; $D26,D_Processes!$T:$T),0)</f>
        <v>0</v>
      </c>
      <c r="J26" s="224">
        <f>IFERROR(SUMIF(E_PurchPrec!$R:$R,CONST_PrecursorToGoodInput &amp; J$6 &amp; "_" &amp; $D26,E_PurchPrec!$T:$T)/SUMIF(D_Processes!$R:$R,CONST_CNTR_TotProd &amp; $D26,D_Processes!$T:$T),0)</f>
        <v>0</v>
      </c>
      <c r="K26" s="224">
        <f>IFERROR(SUMIF(E_PurchPrec!$R:$R,CONST_PrecursorToGoodInput &amp; K$6 &amp; "_" &amp; $D26,E_PurchPrec!$T:$T)/SUMIF(D_Processes!$R:$R,CONST_CNTR_TotProd &amp; $D26,D_Processes!$T:$T),0)</f>
        <v>0</v>
      </c>
      <c r="L26" s="224">
        <f>IFERROR(SUMIF(E_PurchPrec!$R:$R,CONST_PrecursorToGoodInput &amp; L$6 &amp; "_" &amp; $D26,E_PurchPrec!$T:$T)/SUMIF(D_Processes!$R:$R,CONST_CNTR_TotProd &amp; $D26,D_Processes!$T:$T),0)</f>
        <v>0</v>
      </c>
      <c r="M26" s="224">
        <f>IFERROR(SUMIF(E_PurchPrec!$R:$R,CONST_PrecursorToGoodInput &amp; M$6 &amp; "_" &amp; $D26,E_PurchPrec!$T:$T)/SUMIF(D_Processes!$R:$R,CONST_CNTR_TotProd &amp; $D26,D_Processes!$T:$T),0)</f>
        <v>0</v>
      </c>
      <c r="N26" s="332">
        <f>IFERROR(SUMIF(E_PurchPrec!$R:$R,CONST_PrecursorToGoodInput &amp; N$6 &amp; "_" &amp; $D26,E_PurchPrec!$T:$T)/SUMIF(D_Processes!$R:$R,CONST_CNTR_TotProd &amp; $D26,D_Processes!$T:$T),0)</f>
        <v>0</v>
      </c>
      <c r="O26" s="331">
        <f>IFERROR(SUMIF(E_PurchPrec!$R:$R,CONST_PrecursorToGoodInput &amp; O$6 &amp; "_" &amp; $D26,E_PurchPrec!$T:$T)/SUMIF(D_Processes!$R:$R,CONST_CNTR_TotProd &amp; $D26,D_Processes!$T:$T),0)</f>
        <v>0</v>
      </c>
      <c r="P26" s="224">
        <f>IFERROR(SUMIF(E_PurchPrec!$R:$R,CONST_PrecursorToGoodInput &amp; P$6 &amp; "_" &amp; $D26,E_PurchPrec!$T:$T)/SUMIF(D_Processes!$R:$R,CONST_CNTR_TotProd &amp; $D26,D_Processes!$T:$T),0)</f>
        <v>0</v>
      </c>
      <c r="Q26" s="224">
        <f>IFERROR(SUMIF(E_PurchPrec!$R:$R,CONST_PrecursorToGoodInput &amp; Q$6 &amp; "_" &amp; $D26,E_PurchPrec!$T:$T)/SUMIF(D_Processes!$R:$R,CONST_CNTR_TotProd &amp; $D26,D_Processes!$T:$T),0)</f>
        <v>0</v>
      </c>
      <c r="R26" s="224">
        <f>IFERROR(SUMIF(E_PurchPrec!$R:$R,CONST_PrecursorToGoodInput &amp; R$6 &amp; "_" &amp; $D26,E_PurchPrec!$T:$T)/SUMIF(D_Processes!$R:$R,CONST_CNTR_TotProd &amp; $D26,D_Processes!$T:$T),0)</f>
        <v>0</v>
      </c>
      <c r="S26" s="224">
        <f>IFERROR(SUMIF(E_PurchPrec!$R:$R,CONST_PrecursorToGoodInput &amp; S$6 &amp; "_" &amp; $D26,E_PurchPrec!$T:$T)/SUMIF(D_Processes!$R:$R,CONST_CNTR_TotProd &amp; $D26,D_Processes!$T:$T),0)</f>
        <v>0</v>
      </c>
      <c r="T26" s="224">
        <f>IFERROR(SUMIF(E_PurchPrec!$R:$R,CONST_PrecursorToGoodInput &amp; T$6 &amp; "_" &amp; $D26,E_PurchPrec!$T:$T)/SUMIF(D_Processes!$R:$R,CONST_CNTR_TotProd &amp; $D26,D_Processes!$T:$T),0)</f>
        <v>0</v>
      </c>
      <c r="U26" s="224">
        <f>IFERROR(SUMIF(E_PurchPrec!$R:$R,CONST_PrecursorToGoodInput &amp; U$6 &amp; "_" &amp; $D26,E_PurchPrec!$T:$T)/SUMIF(D_Processes!$R:$R,CONST_CNTR_TotProd &amp; $D26,D_Processes!$T:$T),0)</f>
        <v>0</v>
      </c>
      <c r="V26" s="224">
        <f>IFERROR(SUMIF(E_PurchPrec!$R:$R,CONST_PrecursorToGoodInput &amp; V$6 &amp; "_" &amp; $D26,E_PurchPrec!$T:$T)/SUMIF(D_Processes!$R:$R,CONST_CNTR_TotProd &amp; $D26,D_Processes!$T:$T),0)</f>
        <v>0</v>
      </c>
      <c r="W26" s="224">
        <f>IFERROR(SUMIF(E_PurchPrec!$R:$R,CONST_PrecursorToGoodInput &amp; W$6 &amp; "_" &amp; $D26,E_PurchPrec!$T:$T)/SUMIF(D_Processes!$R:$R,CONST_CNTR_TotProd &amp; $D26,D_Processes!$T:$T),0)</f>
        <v>0</v>
      </c>
      <c r="X26" s="224">
        <f>IFERROR(SUMIF(E_PurchPrec!$R:$R,CONST_PrecursorToGoodInput &amp; X$6 &amp; "_" &amp; $D26,E_PurchPrec!$T:$T)/SUMIF(D_Processes!$R:$R,CONST_CNTR_TotProd &amp; $D26,D_Processes!$T:$T),0)</f>
        <v>0</v>
      </c>
      <c r="Y26" s="224">
        <f>IFERROR(SUMIF(E_PurchPrec!$R:$R,CONST_PrecursorToGoodInput &amp; Y$6 &amp; "_" &amp; $D26,E_PurchPrec!$T:$T)/SUMIF(D_Processes!$R:$R,CONST_CNTR_TotProd &amp; $D26,D_Processes!$T:$T),0)</f>
        <v>0</v>
      </c>
      <c r="Z26" s="224">
        <f>IFERROR(SUMIF(E_PurchPrec!$R:$R,CONST_PrecursorToGoodInput &amp; Z$6 &amp; "_" &amp; $D26,E_PurchPrec!$T:$T)/SUMIF(D_Processes!$R:$R,CONST_CNTR_TotProd &amp; $D26,D_Processes!$T:$T),0)</f>
        <v>0</v>
      </c>
      <c r="AA26" s="224">
        <f>IFERROR(SUMIF(E_PurchPrec!$R:$R,CONST_PrecursorToGoodInput &amp; AA$6 &amp; "_" &amp; $D26,E_PurchPrec!$T:$T)/SUMIF(D_Processes!$R:$R,CONST_CNTR_TotProd &amp; $D26,D_Processes!$T:$T),0)</f>
        <v>0</v>
      </c>
      <c r="AB26" s="224">
        <f>IFERROR(SUMIF(E_PurchPrec!$R:$R,CONST_PrecursorToGoodInput &amp; AB$6 &amp; "_" &amp; $D26,E_PurchPrec!$T:$T)/SUMIF(D_Processes!$R:$R,CONST_CNTR_TotProd &amp; $D26,D_Processes!$T:$T),0)</f>
        <v>0</v>
      </c>
      <c r="AC26" s="224">
        <f>IFERROR(SUMIF(E_PurchPrec!$R:$R,CONST_PrecursorToGoodInput &amp; AC$6 &amp; "_" &amp; $D26,E_PurchPrec!$T:$T)/SUMIF(D_Processes!$R:$R,CONST_CNTR_TotProd &amp; $D26,D_Processes!$T:$T),0)</f>
        <v>0</v>
      </c>
      <c r="AD26" s="224">
        <f>IFERROR(SUMIF(E_PurchPrec!$R:$R,CONST_PrecursorToGoodInput &amp; AD$6 &amp; "_" &amp; $D26,E_PurchPrec!$T:$T)/SUMIF(D_Processes!$R:$R,CONST_CNTR_TotProd &amp; $D26,D_Processes!$T:$T),0)</f>
        <v>0</v>
      </c>
      <c r="AE26" s="224">
        <f>IFERROR(SUMIF(E_PurchPrec!$R:$R,CONST_PrecursorToGoodInput &amp; AE$6 &amp; "_" &amp; $D26,E_PurchPrec!$T:$T)/SUMIF(D_Processes!$R:$R,CONST_CNTR_TotProd &amp; $D26,D_Processes!$T:$T),0)</f>
        <v>0</v>
      </c>
      <c r="AF26" s="224">
        <f>IFERROR(SUMIF(E_PurchPrec!$R:$R,CONST_PrecursorToGoodInput &amp; AF$6 &amp; "_" &amp; $D26,E_PurchPrec!$T:$T)/SUMIF(D_Processes!$R:$R,CONST_CNTR_TotProd &amp; $D26,D_Processes!$T:$T),0)</f>
        <v>0</v>
      </c>
      <c r="AG26" s="224">
        <f>IFERROR(SUMIF(E_PurchPrec!$R:$R,CONST_PrecursorToGoodInput &amp; AG$6 &amp; "_" &amp; $D26,E_PurchPrec!$T:$T)/SUMIF(D_Processes!$R:$R,CONST_CNTR_TotProd &amp; $D26,D_Processes!$T:$T),0)</f>
        <v>0</v>
      </c>
      <c r="AH26" s="332">
        <f>IFERROR(SUMIF(E_PurchPrec!$R:$R,CONST_PrecursorToGoodInput &amp; AH$6 &amp; "_" &amp; $D26,E_PurchPrec!$T:$T)/SUMIF(D_Processes!$R:$R,CONST_CNTR_TotProd &amp; $D26,D_Processes!$T:$T),0)</f>
        <v>0</v>
      </c>
      <c r="AR26" s="226"/>
      <c r="AS26" s="226"/>
      <c r="AT26" s="226"/>
      <c r="AU26" s="226"/>
      <c r="AV26" s="226"/>
      <c r="AW26" s="226"/>
      <c r="AX26" s="226"/>
      <c r="AY26" s="226"/>
      <c r="AZ26" s="226"/>
      <c r="BA26" s="226"/>
      <c r="BB26" s="226"/>
      <c r="BC26" s="226"/>
      <c r="BD26" s="226"/>
      <c r="BE26" s="226"/>
      <c r="BF26" s="226"/>
      <c r="BG26" s="226"/>
      <c r="BH26" s="226"/>
      <c r="BI26" s="226"/>
      <c r="BJ26" s="226"/>
      <c r="BK26" s="226"/>
      <c r="BL26" s="226"/>
      <c r="BM26" s="226"/>
      <c r="BN26" s="226"/>
      <c r="BO26" s="226"/>
      <c r="BP26" s="226"/>
      <c r="BQ26" s="226"/>
      <c r="BR26" s="226"/>
      <c r="BS26" s="226"/>
      <c r="BT26" s="226"/>
      <c r="BU26" s="226"/>
      <c r="BV26" s="226"/>
    </row>
    <row r="27" spans="2:74" ht="12.75" customHeight="1" x14ac:dyDescent="0.35">
      <c r="C27" s="223">
        <v>11</v>
      </c>
      <c r="D27" s="336" t="str">
        <f t="shared" si="4"/>
        <v/>
      </c>
      <c r="E27" s="331">
        <f>IFERROR(SUMIF(E_PurchPrec!$R:$R,CONST_PrecursorToGoodInput &amp; E$6 &amp; "_" &amp; $D27,E_PurchPrec!$T:$T)/SUMIF(D_Processes!$R:$R,CONST_CNTR_TotProd &amp; $D27,D_Processes!$T:$T),0)</f>
        <v>0</v>
      </c>
      <c r="F27" s="224">
        <f>IFERROR(SUMIF(E_PurchPrec!$R:$R,CONST_PrecursorToGoodInput &amp; F$6 &amp; "_" &amp; $D27,E_PurchPrec!$T:$T)/SUMIF(D_Processes!$R:$R,CONST_CNTR_TotProd &amp; $D27,D_Processes!$T:$T),0)</f>
        <v>0</v>
      </c>
      <c r="G27" s="224">
        <f>IFERROR(SUMIF(E_PurchPrec!$R:$R,CONST_PrecursorToGoodInput &amp; G$6 &amp; "_" &amp; $D27,E_PurchPrec!$T:$T)/SUMIF(D_Processes!$R:$R,CONST_CNTR_TotProd &amp; $D27,D_Processes!$T:$T),0)</f>
        <v>0</v>
      </c>
      <c r="H27" s="224">
        <f>IFERROR(SUMIF(E_PurchPrec!$R:$R,CONST_PrecursorToGoodInput &amp; H$6 &amp; "_" &amp; $D27,E_PurchPrec!$T:$T)/SUMIF(D_Processes!$R:$R,CONST_CNTR_TotProd &amp; $D27,D_Processes!$T:$T),0)</f>
        <v>0</v>
      </c>
      <c r="I27" s="224">
        <f>IFERROR(SUMIF(E_PurchPrec!$R:$R,CONST_PrecursorToGoodInput &amp; I$6 &amp; "_" &amp; $D27,E_PurchPrec!$T:$T)/SUMIF(D_Processes!$R:$R,CONST_CNTR_TotProd &amp; $D27,D_Processes!$T:$T),0)</f>
        <v>0</v>
      </c>
      <c r="J27" s="224">
        <f>IFERROR(SUMIF(E_PurchPrec!$R:$R,CONST_PrecursorToGoodInput &amp; J$6 &amp; "_" &amp; $D27,E_PurchPrec!$T:$T)/SUMIF(D_Processes!$R:$R,CONST_CNTR_TotProd &amp; $D27,D_Processes!$T:$T),0)</f>
        <v>0</v>
      </c>
      <c r="K27" s="224">
        <f>IFERROR(SUMIF(E_PurchPrec!$R:$R,CONST_PrecursorToGoodInput &amp; K$6 &amp; "_" &amp; $D27,E_PurchPrec!$T:$T)/SUMIF(D_Processes!$R:$R,CONST_CNTR_TotProd &amp; $D27,D_Processes!$T:$T),0)</f>
        <v>0</v>
      </c>
      <c r="L27" s="224">
        <f>IFERROR(SUMIF(E_PurchPrec!$R:$R,CONST_PrecursorToGoodInput &amp; L$6 &amp; "_" &amp; $D27,E_PurchPrec!$T:$T)/SUMIF(D_Processes!$R:$R,CONST_CNTR_TotProd &amp; $D27,D_Processes!$T:$T),0)</f>
        <v>0</v>
      </c>
      <c r="M27" s="224">
        <f>IFERROR(SUMIF(E_PurchPrec!$R:$R,CONST_PrecursorToGoodInput &amp; M$6 &amp; "_" &amp; $D27,E_PurchPrec!$T:$T)/SUMIF(D_Processes!$R:$R,CONST_CNTR_TotProd &amp; $D27,D_Processes!$T:$T),0)</f>
        <v>0</v>
      </c>
      <c r="N27" s="332">
        <f>IFERROR(SUMIF(E_PurchPrec!$R:$R,CONST_PrecursorToGoodInput &amp; N$6 &amp; "_" &amp; $D27,E_PurchPrec!$T:$T)/SUMIF(D_Processes!$R:$R,CONST_CNTR_TotProd &amp; $D27,D_Processes!$T:$T),0)</f>
        <v>0</v>
      </c>
      <c r="O27" s="331">
        <f>IFERROR(SUMIF(E_PurchPrec!$R:$R,CONST_PrecursorToGoodInput &amp; O$6 &amp; "_" &amp; $D27,E_PurchPrec!$T:$T)/SUMIF(D_Processes!$R:$R,CONST_CNTR_TotProd &amp; $D27,D_Processes!$T:$T),0)</f>
        <v>0</v>
      </c>
      <c r="P27" s="224">
        <f>IFERROR(SUMIF(E_PurchPrec!$R:$R,CONST_PrecursorToGoodInput &amp; P$6 &amp; "_" &amp; $D27,E_PurchPrec!$T:$T)/SUMIF(D_Processes!$R:$R,CONST_CNTR_TotProd &amp; $D27,D_Processes!$T:$T),0)</f>
        <v>0</v>
      </c>
      <c r="Q27" s="224">
        <f>IFERROR(SUMIF(E_PurchPrec!$R:$R,CONST_PrecursorToGoodInput &amp; Q$6 &amp; "_" &amp; $D27,E_PurchPrec!$T:$T)/SUMIF(D_Processes!$R:$R,CONST_CNTR_TotProd &amp; $D27,D_Processes!$T:$T),0)</f>
        <v>0</v>
      </c>
      <c r="R27" s="224">
        <f>IFERROR(SUMIF(E_PurchPrec!$R:$R,CONST_PrecursorToGoodInput &amp; R$6 &amp; "_" &amp; $D27,E_PurchPrec!$T:$T)/SUMIF(D_Processes!$R:$R,CONST_CNTR_TotProd &amp; $D27,D_Processes!$T:$T),0)</f>
        <v>0</v>
      </c>
      <c r="S27" s="224">
        <f>IFERROR(SUMIF(E_PurchPrec!$R:$R,CONST_PrecursorToGoodInput &amp; S$6 &amp; "_" &amp; $D27,E_PurchPrec!$T:$T)/SUMIF(D_Processes!$R:$R,CONST_CNTR_TotProd &amp; $D27,D_Processes!$T:$T),0)</f>
        <v>0</v>
      </c>
      <c r="T27" s="224">
        <f>IFERROR(SUMIF(E_PurchPrec!$R:$R,CONST_PrecursorToGoodInput &amp; T$6 &amp; "_" &amp; $D27,E_PurchPrec!$T:$T)/SUMIF(D_Processes!$R:$R,CONST_CNTR_TotProd &amp; $D27,D_Processes!$T:$T),0)</f>
        <v>0</v>
      </c>
      <c r="U27" s="224">
        <f>IFERROR(SUMIF(E_PurchPrec!$R:$R,CONST_PrecursorToGoodInput &amp; U$6 &amp; "_" &amp; $D27,E_PurchPrec!$T:$T)/SUMIF(D_Processes!$R:$R,CONST_CNTR_TotProd &amp; $D27,D_Processes!$T:$T),0)</f>
        <v>0</v>
      </c>
      <c r="V27" s="224">
        <f>IFERROR(SUMIF(E_PurchPrec!$R:$R,CONST_PrecursorToGoodInput &amp; V$6 &amp; "_" &amp; $D27,E_PurchPrec!$T:$T)/SUMIF(D_Processes!$R:$R,CONST_CNTR_TotProd &amp; $D27,D_Processes!$T:$T),0)</f>
        <v>0</v>
      </c>
      <c r="W27" s="224">
        <f>IFERROR(SUMIF(E_PurchPrec!$R:$R,CONST_PrecursorToGoodInput &amp; W$6 &amp; "_" &amp; $D27,E_PurchPrec!$T:$T)/SUMIF(D_Processes!$R:$R,CONST_CNTR_TotProd &amp; $D27,D_Processes!$T:$T),0)</f>
        <v>0</v>
      </c>
      <c r="X27" s="224">
        <f>IFERROR(SUMIF(E_PurchPrec!$R:$R,CONST_PrecursorToGoodInput &amp; X$6 &amp; "_" &amp; $D27,E_PurchPrec!$T:$T)/SUMIF(D_Processes!$R:$R,CONST_CNTR_TotProd &amp; $D27,D_Processes!$T:$T),0)</f>
        <v>0</v>
      </c>
      <c r="Y27" s="224">
        <f>IFERROR(SUMIF(E_PurchPrec!$R:$R,CONST_PrecursorToGoodInput &amp; Y$6 &amp; "_" &amp; $D27,E_PurchPrec!$T:$T)/SUMIF(D_Processes!$R:$R,CONST_CNTR_TotProd &amp; $D27,D_Processes!$T:$T),0)</f>
        <v>0</v>
      </c>
      <c r="Z27" s="224">
        <f>IFERROR(SUMIF(E_PurchPrec!$R:$R,CONST_PrecursorToGoodInput &amp; Z$6 &amp; "_" &amp; $D27,E_PurchPrec!$T:$T)/SUMIF(D_Processes!$R:$R,CONST_CNTR_TotProd &amp; $D27,D_Processes!$T:$T),0)</f>
        <v>0</v>
      </c>
      <c r="AA27" s="224">
        <f>IFERROR(SUMIF(E_PurchPrec!$R:$R,CONST_PrecursorToGoodInput &amp; AA$6 &amp; "_" &amp; $D27,E_PurchPrec!$T:$T)/SUMIF(D_Processes!$R:$R,CONST_CNTR_TotProd &amp; $D27,D_Processes!$T:$T),0)</f>
        <v>0</v>
      </c>
      <c r="AB27" s="224">
        <f>IFERROR(SUMIF(E_PurchPrec!$R:$R,CONST_PrecursorToGoodInput &amp; AB$6 &amp; "_" &amp; $D27,E_PurchPrec!$T:$T)/SUMIF(D_Processes!$R:$R,CONST_CNTR_TotProd &amp; $D27,D_Processes!$T:$T),0)</f>
        <v>0</v>
      </c>
      <c r="AC27" s="224">
        <f>IFERROR(SUMIF(E_PurchPrec!$R:$R,CONST_PrecursorToGoodInput &amp; AC$6 &amp; "_" &amp; $D27,E_PurchPrec!$T:$T)/SUMIF(D_Processes!$R:$R,CONST_CNTR_TotProd &amp; $D27,D_Processes!$T:$T),0)</f>
        <v>0</v>
      </c>
      <c r="AD27" s="224">
        <f>IFERROR(SUMIF(E_PurchPrec!$R:$R,CONST_PrecursorToGoodInput &amp; AD$6 &amp; "_" &amp; $D27,E_PurchPrec!$T:$T)/SUMIF(D_Processes!$R:$R,CONST_CNTR_TotProd &amp; $D27,D_Processes!$T:$T),0)</f>
        <v>0</v>
      </c>
      <c r="AE27" s="224">
        <f>IFERROR(SUMIF(E_PurchPrec!$R:$R,CONST_PrecursorToGoodInput &amp; AE$6 &amp; "_" &amp; $D27,E_PurchPrec!$T:$T)/SUMIF(D_Processes!$R:$R,CONST_CNTR_TotProd &amp; $D27,D_Processes!$T:$T),0)</f>
        <v>0</v>
      </c>
      <c r="AF27" s="224">
        <f>IFERROR(SUMIF(E_PurchPrec!$R:$R,CONST_PrecursorToGoodInput &amp; AF$6 &amp; "_" &amp; $D27,E_PurchPrec!$T:$T)/SUMIF(D_Processes!$R:$R,CONST_CNTR_TotProd &amp; $D27,D_Processes!$T:$T),0)</f>
        <v>0</v>
      </c>
      <c r="AG27" s="224">
        <f>IFERROR(SUMIF(E_PurchPrec!$R:$R,CONST_PrecursorToGoodInput &amp; AG$6 &amp; "_" &amp; $D27,E_PurchPrec!$T:$T)/SUMIF(D_Processes!$R:$R,CONST_CNTR_TotProd &amp; $D27,D_Processes!$T:$T),0)</f>
        <v>0</v>
      </c>
      <c r="AH27" s="332">
        <f>IFERROR(SUMIF(E_PurchPrec!$R:$R,CONST_PrecursorToGoodInput &amp; AH$6 &amp; "_" &amp; $D27,E_PurchPrec!$T:$T)/SUMIF(D_Processes!$R:$R,CONST_CNTR_TotProd &amp; $D27,D_Processes!$T:$T),0)</f>
        <v>0</v>
      </c>
      <c r="AR27" s="226"/>
      <c r="AS27" s="226"/>
      <c r="AT27" s="226"/>
      <c r="AU27" s="226"/>
      <c r="AV27" s="226"/>
      <c r="AW27" s="226"/>
      <c r="AX27" s="226"/>
      <c r="AY27" s="226"/>
      <c r="AZ27" s="226"/>
      <c r="BA27" s="226"/>
      <c r="BB27" s="226"/>
      <c r="BC27" s="226"/>
      <c r="BD27" s="226"/>
      <c r="BE27" s="226"/>
      <c r="BF27" s="226"/>
      <c r="BG27" s="226"/>
      <c r="BH27" s="226"/>
      <c r="BI27" s="226"/>
      <c r="BJ27" s="226"/>
      <c r="BK27" s="226"/>
      <c r="BL27" s="226"/>
      <c r="BM27" s="226"/>
      <c r="BN27" s="226"/>
      <c r="BO27" s="226"/>
      <c r="BP27" s="226"/>
      <c r="BQ27" s="226"/>
      <c r="BR27" s="226"/>
      <c r="BS27" s="226"/>
      <c r="BT27" s="226"/>
      <c r="BU27" s="226"/>
      <c r="BV27" s="226"/>
    </row>
    <row r="28" spans="2:74" ht="12.75" customHeight="1" x14ac:dyDescent="0.35">
      <c r="C28" s="223">
        <v>12</v>
      </c>
      <c r="D28" s="336" t="str">
        <f t="shared" si="4"/>
        <v/>
      </c>
      <c r="E28" s="331">
        <f>IFERROR(SUMIF(E_PurchPrec!$R:$R,CONST_PrecursorToGoodInput &amp; E$6 &amp; "_" &amp; $D28,E_PurchPrec!$T:$T)/SUMIF(D_Processes!$R:$R,CONST_CNTR_TotProd &amp; $D28,D_Processes!$T:$T),0)</f>
        <v>0</v>
      </c>
      <c r="F28" s="224">
        <f>IFERROR(SUMIF(E_PurchPrec!$R:$R,CONST_PrecursorToGoodInput &amp; F$6 &amp; "_" &amp; $D28,E_PurchPrec!$T:$T)/SUMIF(D_Processes!$R:$R,CONST_CNTR_TotProd &amp; $D28,D_Processes!$T:$T),0)</f>
        <v>0</v>
      </c>
      <c r="G28" s="224">
        <f>IFERROR(SUMIF(E_PurchPrec!$R:$R,CONST_PrecursorToGoodInput &amp; G$6 &amp; "_" &amp; $D28,E_PurchPrec!$T:$T)/SUMIF(D_Processes!$R:$R,CONST_CNTR_TotProd &amp; $D28,D_Processes!$T:$T),0)</f>
        <v>0</v>
      </c>
      <c r="H28" s="224">
        <f>IFERROR(SUMIF(E_PurchPrec!$R:$R,CONST_PrecursorToGoodInput &amp; H$6 &amp; "_" &amp; $D28,E_PurchPrec!$T:$T)/SUMIF(D_Processes!$R:$R,CONST_CNTR_TotProd &amp; $D28,D_Processes!$T:$T),0)</f>
        <v>0</v>
      </c>
      <c r="I28" s="224">
        <f>IFERROR(SUMIF(E_PurchPrec!$R:$R,CONST_PrecursorToGoodInput &amp; I$6 &amp; "_" &amp; $D28,E_PurchPrec!$T:$T)/SUMIF(D_Processes!$R:$R,CONST_CNTR_TotProd &amp; $D28,D_Processes!$T:$T),0)</f>
        <v>0</v>
      </c>
      <c r="J28" s="224">
        <f>IFERROR(SUMIF(E_PurchPrec!$R:$R,CONST_PrecursorToGoodInput &amp; J$6 &amp; "_" &amp; $D28,E_PurchPrec!$T:$T)/SUMIF(D_Processes!$R:$R,CONST_CNTR_TotProd &amp; $D28,D_Processes!$T:$T),0)</f>
        <v>0</v>
      </c>
      <c r="K28" s="224">
        <f>IFERROR(SUMIF(E_PurchPrec!$R:$R,CONST_PrecursorToGoodInput &amp; K$6 &amp; "_" &amp; $D28,E_PurchPrec!$T:$T)/SUMIF(D_Processes!$R:$R,CONST_CNTR_TotProd &amp; $D28,D_Processes!$T:$T),0)</f>
        <v>0</v>
      </c>
      <c r="L28" s="224">
        <f>IFERROR(SUMIF(E_PurchPrec!$R:$R,CONST_PrecursorToGoodInput &amp; L$6 &amp; "_" &amp; $D28,E_PurchPrec!$T:$T)/SUMIF(D_Processes!$R:$R,CONST_CNTR_TotProd &amp; $D28,D_Processes!$T:$T),0)</f>
        <v>0</v>
      </c>
      <c r="M28" s="224">
        <f>IFERROR(SUMIF(E_PurchPrec!$R:$R,CONST_PrecursorToGoodInput &amp; M$6 &amp; "_" &amp; $D28,E_PurchPrec!$T:$T)/SUMIF(D_Processes!$R:$R,CONST_CNTR_TotProd &amp; $D28,D_Processes!$T:$T),0)</f>
        <v>0</v>
      </c>
      <c r="N28" s="332">
        <f>IFERROR(SUMIF(E_PurchPrec!$R:$R,CONST_PrecursorToGoodInput &amp; N$6 &amp; "_" &amp; $D28,E_PurchPrec!$T:$T)/SUMIF(D_Processes!$R:$R,CONST_CNTR_TotProd &amp; $D28,D_Processes!$T:$T),0)</f>
        <v>0</v>
      </c>
      <c r="O28" s="331">
        <f>IFERROR(SUMIF(E_PurchPrec!$R:$R,CONST_PrecursorToGoodInput &amp; O$6 &amp; "_" &amp; $D28,E_PurchPrec!$T:$T)/SUMIF(D_Processes!$R:$R,CONST_CNTR_TotProd &amp; $D28,D_Processes!$T:$T),0)</f>
        <v>0</v>
      </c>
      <c r="P28" s="224">
        <f>IFERROR(SUMIF(E_PurchPrec!$R:$R,CONST_PrecursorToGoodInput &amp; P$6 &amp; "_" &amp; $D28,E_PurchPrec!$T:$T)/SUMIF(D_Processes!$R:$R,CONST_CNTR_TotProd &amp; $D28,D_Processes!$T:$T),0)</f>
        <v>0</v>
      </c>
      <c r="Q28" s="224">
        <f>IFERROR(SUMIF(E_PurchPrec!$R:$R,CONST_PrecursorToGoodInput &amp; Q$6 &amp; "_" &amp; $D28,E_PurchPrec!$T:$T)/SUMIF(D_Processes!$R:$R,CONST_CNTR_TotProd &amp; $D28,D_Processes!$T:$T),0)</f>
        <v>0</v>
      </c>
      <c r="R28" s="224">
        <f>IFERROR(SUMIF(E_PurchPrec!$R:$R,CONST_PrecursorToGoodInput &amp; R$6 &amp; "_" &amp; $D28,E_PurchPrec!$T:$T)/SUMIF(D_Processes!$R:$R,CONST_CNTR_TotProd &amp; $D28,D_Processes!$T:$T),0)</f>
        <v>0</v>
      </c>
      <c r="S28" s="224">
        <f>IFERROR(SUMIF(E_PurchPrec!$R:$R,CONST_PrecursorToGoodInput &amp; S$6 &amp; "_" &amp; $D28,E_PurchPrec!$T:$T)/SUMIF(D_Processes!$R:$R,CONST_CNTR_TotProd &amp; $D28,D_Processes!$T:$T),0)</f>
        <v>0</v>
      </c>
      <c r="T28" s="224">
        <f>IFERROR(SUMIF(E_PurchPrec!$R:$R,CONST_PrecursorToGoodInput &amp; T$6 &amp; "_" &amp; $D28,E_PurchPrec!$T:$T)/SUMIF(D_Processes!$R:$R,CONST_CNTR_TotProd &amp; $D28,D_Processes!$T:$T),0)</f>
        <v>0</v>
      </c>
      <c r="U28" s="224">
        <f>IFERROR(SUMIF(E_PurchPrec!$R:$R,CONST_PrecursorToGoodInput &amp; U$6 &amp; "_" &amp; $D28,E_PurchPrec!$T:$T)/SUMIF(D_Processes!$R:$R,CONST_CNTR_TotProd &amp; $D28,D_Processes!$T:$T),0)</f>
        <v>0</v>
      </c>
      <c r="V28" s="224">
        <f>IFERROR(SUMIF(E_PurchPrec!$R:$R,CONST_PrecursorToGoodInput &amp; V$6 &amp; "_" &amp; $D28,E_PurchPrec!$T:$T)/SUMIF(D_Processes!$R:$R,CONST_CNTR_TotProd &amp; $D28,D_Processes!$T:$T),0)</f>
        <v>0</v>
      </c>
      <c r="W28" s="224">
        <f>IFERROR(SUMIF(E_PurchPrec!$R:$R,CONST_PrecursorToGoodInput &amp; W$6 &amp; "_" &amp; $D28,E_PurchPrec!$T:$T)/SUMIF(D_Processes!$R:$R,CONST_CNTR_TotProd &amp; $D28,D_Processes!$T:$T),0)</f>
        <v>0</v>
      </c>
      <c r="X28" s="224">
        <f>IFERROR(SUMIF(E_PurchPrec!$R:$R,CONST_PrecursorToGoodInput &amp; X$6 &amp; "_" &amp; $D28,E_PurchPrec!$T:$T)/SUMIF(D_Processes!$R:$R,CONST_CNTR_TotProd &amp; $D28,D_Processes!$T:$T),0)</f>
        <v>0</v>
      </c>
      <c r="Y28" s="224">
        <f>IFERROR(SUMIF(E_PurchPrec!$R:$R,CONST_PrecursorToGoodInput &amp; Y$6 &amp; "_" &amp; $D28,E_PurchPrec!$T:$T)/SUMIF(D_Processes!$R:$R,CONST_CNTR_TotProd &amp; $D28,D_Processes!$T:$T),0)</f>
        <v>0</v>
      </c>
      <c r="Z28" s="224">
        <f>IFERROR(SUMIF(E_PurchPrec!$R:$R,CONST_PrecursorToGoodInput &amp; Z$6 &amp; "_" &amp; $D28,E_PurchPrec!$T:$T)/SUMIF(D_Processes!$R:$R,CONST_CNTR_TotProd &amp; $D28,D_Processes!$T:$T),0)</f>
        <v>0</v>
      </c>
      <c r="AA28" s="224">
        <f>IFERROR(SUMIF(E_PurchPrec!$R:$R,CONST_PrecursorToGoodInput &amp; AA$6 &amp; "_" &amp; $D28,E_PurchPrec!$T:$T)/SUMIF(D_Processes!$R:$R,CONST_CNTR_TotProd &amp; $D28,D_Processes!$T:$T),0)</f>
        <v>0</v>
      </c>
      <c r="AB28" s="224">
        <f>IFERROR(SUMIF(E_PurchPrec!$R:$R,CONST_PrecursorToGoodInput &amp; AB$6 &amp; "_" &amp; $D28,E_PurchPrec!$T:$T)/SUMIF(D_Processes!$R:$R,CONST_CNTR_TotProd &amp; $D28,D_Processes!$T:$T),0)</f>
        <v>0</v>
      </c>
      <c r="AC28" s="224">
        <f>IFERROR(SUMIF(E_PurchPrec!$R:$R,CONST_PrecursorToGoodInput &amp; AC$6 &amp; "_" &amp; $D28,E_PurchPrec!$T:$T)/SUMIF(D_Processes!$R:$R,CONST_CNTR_TotProd &amp; $D28,D_Processes!$T:$T),0)</f>
        <v>0</v>
      </c>
      <c r="AD28" s="224">
        <f>IFERROR(SUMIF(E_PurchPrec!$R:$R,CONST_PrecursorToGoodInput &amp; AD$6 &amp; "_" &amp; $D28,E_PurchPrec!$T:$T)/SUMIF(D_Processes!$R:$R,CONST_CNTR_TotProd &amp; $D28,D_Processes!$T:$T),0)</f>
        <v>0</v>
      </c>
      <c r="AE28" s="224">
        <f>IFERROR(SUMIF(E_PurchPrec!$R:$R,CONST_PrecursorToGoodInput &amp; AE$6 &amp; "_" &amp; $D28,E_PurchPrec!$T:$T)/SUMIF(D_Processes!$R:$R,CONST_CNTR_TotProd &amp; $D28,D_Processes!$T:$T),0)</f>
        <v>0</v>
      </c>
      <c r="AF28" s="224">
        <f>IFERROR(SUMIF(E_PurchPrec!$R:$R,CONST_PrecursorToGoodInput &amp; AF$6 &amp; "_" &amp; $D28,E_PurchPrec!$T:$T)/SUMIF(D_Processes!$R:$R,CONST_CNTR_TotProd &amp; $D28,D_Processes!$T:$T),0)</f>
        <v>0</v>
      </c>
      <c r="AG28" s="224">
        <f>IFERROR(SUMIF(E_PurchPrec!$R:$R,CONST_PrecursorToGoodInput &amp; AG$6 &amp; "_" &amp; $D28,E_PurchPrec!$T:$T)/SUMIF(D_Processes!$R:$R,CONST_CNTR_TotProd &amp; $D28,D_Processes!$T:$T),0)</f>
        <v>0</v>
      </c>
      <c r="AH28" s="332">
        <f>IFERROR(SUMIF(E_PurchPrec!$R:$R,CONST_PrecursorToGoodInput &amp; AH$6 &amp; "_" &amp; $D28,E_PurchPrec!$T:$T)/SUMIF(D_Processes!$R:$R,CONST_CNTR_TotProd &amp; $D28,D_Processes!$T:$T),0)</f>
        <v>0</v>
      </c>
      <c r="AR28" s="226"/>
      <c r="AS28" s="226"/>
      <c r="AT28" s="226"/>
      <c r="AU28" s="226"/>
      <c r="AV28" s="226"/>
      <c r="AW28" s="226"/>
      <c r="AX28" s="226"/>
      <c r="AY28" s="226"/>
      <c r="AZ28" s="226"/>
      <c r="BA28" s="226"/>
      <c r="BB28" s="226"/>
      <c r="BC28" s="226"/>
      <c r="BD28" s="226"/>
      <c r="BE28" s="226"/>
      <c r="BF28" s="226"/>
      <c r="BG28" s="226"/>
      <c r="BH28" s="226"/>
      <c r="BI28" s="226"/>
      <c r="BJ28" s="226"/>
      <c r="BK28" s="226"/>
      <c r="BL28" s="226"/>
      <c r="BM28" s="226"/>
      <c r="BN28" s="226"/>
      <c r="BO28" s="226"/>
      <c r="BP28" s="226"/>
      <c r="BQ28" s="226"/>
      <c r="BR28" s="226"/>
      <c r="BS28" s="226"/>
      <c r="BT28" s="226"/>
      <c r="BU28" s="226"/>
      <c r="BV28" s="226"/>
    </row>
    <row r="29" spans="2:74" ht="12.75" customHeight="1" x14ac:dyDescent="0.35">
      <c r="C29" s="223">
        <v>13</v>
      </c>
      <c r="D29" s="336" t="str">
        <f t="shared" si="4"/>
        <v/>
      </c>
      <c r="E29" s="331">
        <f>IFERROR(SUMIF(E_PurchPrec!$R:$R,CONST_PrecursorToGoodInput &amp; E$6 &amp; "_" &amp; $D29,E_PurchPrec!$T:$T)/SUMIF(D_Processes!$R:$R,CONST_CNTR_TotProd &amp; $D29,D_Processes!$T:$T),0)</f>
        <v>0</v>
      </c>
      <c r="F29" s="224">
        <f>IFERROR(SUMIF(E_PurchPrec!$R:$R,CONST_PrecursorToGoodInput &amp; F$6 &amp; "_" &amp; $D29,E_PurchPrec!$T:$T)/SUMIF(D_Processes!$R:$R,CONST_CNTR_TotProd &amp; $D29,D_Processes!$T:$T),0)</f>
        <v>0</v>
      </c>
      <c r="G29" s="224">
        <f>IFERROR(SUMIF(E_PurchPrec!$R:$R,CONST_PrecursorToGoodInput &amp; G$6 &amp; "_" &amp; $D29,E_PurchPrec!$T:$T)/SUMIF(D_Processes!$R:$R,CONST_CNTR_TotProd &amp; $D29,D_Processes!$T:$T),0)</f>
        <v>0</v>
      </c>
      <c r="H29" s="224">
        <f>IFERROR(SUMIF(E_PurchPrec!$R:$R,CONST_PrecursorToGoodInput &amp; H$6 &amp; "_" &amp; $D29,E_PurchPrec!$T:$T)/SUMIF(D_Processes!$R:$R,CONST_CNTR_TotProd &amp; $D29,D_Processes!$T:$T),0)</f>
        <v>0</v>
      </c>
      <c r="I29" s="224">
        <f>IFERROR(SUMIF(E_PurchPrec!$R:$R,CONST_PrecursorToGoodInput &amp; I$6 &amp; "_" &amp; $D29,E_PurchPrec!$T:$T)/SUMIF(D_Processes!$R:$R,CONST_CNTR_TotProd &amp; $D29,D_Processes!$T:$T),0)</f>
        <v>0</v>
      </c>
      <c r="J29" s="224">
        <f>IFERROR(SUMIF(E_PurchPrec!$R:$R,CONST_PrecursorToGoodInput &amp; J$6 &amp; "_" &amp; $D29,E_PurchPrec!$T:$T)/SUMIF(D_Processes!$R:$R,CONST_CNTR_TotProd &amp; $D29,D_Processes!$T:$T),0)</f>
        <v>0</v>
      </c>
      <c r="K29" s="224">
        <f>IFERROR(SUMIF(E_PurchPrec!$R:$R,CONST_PrecursorToGoodInput &amp; K$6 &amp; "_" &amp; $D29,E_PurchPrec!$T:$T)/SUMIF(D_Processes!$R:$R,CONST_CNTR_TotProd &amp; $D29,D_Processes!$T:$T),0)</f>
        <v>0</v>
      </c>
      <c r="L29" s="224">
        <f>IFERROR(SUMIF(E_PurchPrec!$R:$R,CONST_PrecursorToGoodInput &amp; L$6 &amp; "_" &amp; $D29,E_PurchPrec!$T:$T)/SUMIF(D_Processes!$R:$R,CONST_CNTR_TotProd &amp; $D29,D_Processes!$T:$T),0)</f>
        <v>0</v>
      </c>
      <c r="M29" s="224">
        <f>IFERROR(SUMIF(E_PurchPrec!$R:$R,CONST_PrecursorToGoodInput &amp; M$6 &amp; "_" &amp; $D29,E_PurchPrec!$T:$T)/SUMIF(D_Processes!$R:$R,CONST_CNTR_TotProd &amp; $D29,D_Processes!$T:$T),0)</f>
        <v>0</v>
      </c>
      <c r="N29" s="332">
        <f>IFERROR(SUMIF(E_PurchPrec!$R:$R,CONST_PrecursorToGoodInput &amp; N$6 &amp; "_" &amp; $D29,E_PurchPrec!$T:$T)/SUMIF(D_Processes!$R:$R,CONST_CNTR_TotProd &amp; $D29,D_Processes!$T:$T),0)</f>
        <v>0</v>
      </c>
      <c r="O29" s="331">
        <f>IFERROR(SUMIF(E_PurchPrec!$R:$R,CONST_PrecursorToGoodInput &amp; O$6 &amp; "_" &amp; $D29,E_PurchPrec!$T:$T)/SUMIF(D_Processes!$R:$R,CONST_CNTR_TotProd &amp; $D29,D_Processes!$T:$T),0)</f>
        <v>0</v>
      </c>
      <c r="P29" s="224">
        <f>IFERROR(SUMIF(E_PurchPrec!$R:$R,CONST_PrecursorToGoodInput &amp; P$6 &amp; "_" &amp; $D29,E_PurchPrec!$T:$T)/SUMIF(D_Processes!$R:$R,CONST_CNTR_TotProd &amp; $D29,D_Processes!$T:$T),0)</f>
        <v>0</v>
      </c>
      <c r="Q29" s="224">
        <f>IFERROR(SUMIF(E_PurchPrec!$R:$R,CONST_PrecursorToGoodInput &amp; Q$6 &amp; "_" &amp; $D29,E_PurchPrec!$T:$T)/SUMIF(D_Processes!$R:$R,CONST_CNTR_TotProd &amp; $D29,D_Processes!$T:$T),0)</f>
        <v>0</v>
      </c>
      <c r="R29" s="224">
        <f>IFERROR(SUMIF(E_PurchPrec!$R:$R,CONST_PrecursorToGoodInput &amp; R$6 &amp; "_" &amp; $D29,E_PurchPrec!$T:$T)/SUMIF(D_Processes!$R:$R,CONST_CNTR_TotProd &amp; $D29,D_Processes!$T:$T),0)</f>
        <v>0</v>
      </c>
      <c r="S29" s="224">
        <f>IFERROR(SUMIF(E_PurchPrec!$R:$R,CONST_PrecursorToGoodInput &amp; S$6 &amp; "_" &amp; $D29,E_PurchPrec!$T:$T)/SUMIF(D_Processes!$R:$R,CONST_CNTR_TotProd &amp; $D29,D_Processes!$T:$T),0)</f>
        <v>0</v>
      </c>
      <c r="T29" s="224">
        <f>IFERROR(SUMIF(E_PurchPrec!$R:$R,CONST_PrecursorToGoodInput &amp; T$6 &amp; "_" &amp; $D29,E_PurchPrec!$T:$T)/SUMIF(D_Processes!$R:$R,CONST_CNTR_TotProd &amp; $D29,D_Processes!$T:$T),0)</f>
        <v>0</v>
      </c>
      <c r="U29" s="224">
        <f>IFERROR(SUMIF(E_PurchPrec!$R:$R,CONST_PrecursorToGoodInput &amp; U$6 &amp; "_" &amp; $D29,E_PurchPrec!$T:$T)/SUMIF(D_Processes!$R:$R,CONST_CNTR_TotProd &amp; $D29,D_Processes!$T:$T),0)</f>
        <v>0</v>
      </c>
      <c r="V29" s="224">
        <f>IFERROR(SUMIF(E_PurchPrec!$R:$R,CONST_PrecursorToGoodInput &amp; V$6 &amp; "_" &amp; $D29,E_PurchPrec!$T:$T)/SUMIF(D_Processes!$R:$R,CONST_CNTR_TotProd &amp; $D29,D_Processes!$T:$T),0)</f>
        <v>0</v>
      </c>
      <c r="W29" s="224">
        <f>IFERROR(SUMIF(E_PurchPrec!$R:$R,CONST_PrecursorToGoodInput &amp; W$6 &amp; "_" &amp; $D29,E_PurchPrec!$T:$T)/SUMIF(D_Processes!$R:$R,CONST_CNTR_TotProd &amp; $D29,D_Processes!$T:$T),0)</f>
        <v>0</v>
      </c>
      <c r="X29" s="224">
        <f>IFERROR(SUMIF(E_PurchPrec!$R:$R,CONST_PrecursorToGoodInput &amp; X$6 &amp; "_" &amp; $D29,E_PurchPrec!$T:$T)/SUMIF(D_Processes!$R:$R,CONST_CNTR_TotProd &amp; $D29,D_Processes!$T:$T),0)</f>
        <v>0</v>
      </c>
      <c r="Y29" s="224">
        <f>IFERROR(SUMIF(E_PurchPrec!$R:$R,CONST_PrecursorToGoodInput &amp; Y$6 &amp; "_" &amp; $D29,E_PurchPrec!$T:$T)/SUMIF(D_Processes!$R:$R,CONST_CNTR_TotProd &amp; $D29,D_Processes!$T:$T),0)</f>
        <v>0</v>
      </c>
      <c r="Z29" s="224">
        <f>IFERROR(SUMIF(E_PurchPrec!$R:$R,CONST_PrecursorToGoodInput &amp; Z$6 &amp; "_" &amp; $D29,E_PurchPrec!$T:$T)/SUMIF(D_Processes!$R:$R,CONST_CNTR_TotProd &amp; $D29,D_Processes!$T:$T),0)</f>
        <v>0</v>
      </c>
      <c r="AA29" s="224">
        <f>IFERROR(SUMIF(E_PurchPrec!$R:$R,CONST_PrecursorToGoodInput &amp; AA$6 &amp; "_" &amp; $D29,E_PurchPrec!$T:$T)/SUMIF(D_Processes!$R:$R,CONST_CNTR_TotProd &amp; $D29,D_Processes!$T:$T),0)</f>
        <v>0</v>
      </c>
      <c r="AB29" s="224">
        <f>IFERROR(SUMIF(E_PurchPrec!$R:$R,CONST_PrecursorToGoodInput &amp; AB$6 &amp; "_" &amp; $D29,E_PurchPrec!$T:$T)/SUMIF(D_Processes!$R:$R,CONST_CNTR_TotProd &amp; $D29,D_Processes!$T:$T),0)</f>
        <v>0</v>
      </c>
      <c r="AC29" s="224">
        <f>IFERROR(SUMIF(E_PurchPrec!$R:$R,CONST_PrecursorToGoodInput &amp; AC$6 &amp; "_" &amp; $D29,E_PurchPrec!$T:$T)/SUMIF(D_Processes!$R:$R,CONST_CNTR_TotProd &amp; $D29,D_Processes!$T:$T),0)</f>
        <v>0</v>
      </c>
      <c r="AD29" s="224">
        <f>IFERROR(SUMIF(E_PurchPrec!$R:$R,CONST_PrecursorToGoodInput &amp; AD$6 &amp; "_" &amp; $D29,E_PurchPrec!$T:$T)/SUMIF(D_Processes!$R:$R,CONST_CNTR_TotProd &amp; $D29,D_Processes!$T:$T),0)</f>
        <v>0</v>
      </c>
      <c r="AE29" s="224">
        <f>IFERROR(SUMIF(E_PurchPrec!$R:$R,CONST_PrecursorToGoodInput &amp; AE$6 &amp; "_" &amp; $D29,E_PurchPrec!$T:$T)/SUMIF(D_Processes!$R:$R,CONST_CNTR_TotProd &amp; $D29,D_Processes!$T:$T),0)</f>
        <v>0</v>
      </c>
      <c r="AF29" s="224">
        <f>IFERROR(SUMIF(E_PurchPrec!$R:$R,CONST_PrecursorToGoodInput &amp; AF$6 &amp; "_" &amp; $D29,E_PurchPrec!$T:$T)/SUMIF(D_Processes!$R:$R,CONST_CNTR_TotProd &amp; $D29,D_Processes!$T:$T),0)</f>
        <v>0</v>
      </c>
      <c r="AG29" s="224">
        <f>IFERROR(SUMIF(E_PurchPrec!$R:$R,CONST_PrecursorToGoodInput &amp; AG$6 &amp; "_" &amp; $D29,E_PurchPrec!$T:$T)/SUMIF(D_Processes!$R:$R,CONST_CNTR_TotProd &amp; $D29,D_Processes!$T:$T),0)</f>
        <v>0</v>
      </c>
      <c r="AH29" s="332">
        <f>IFERROR(SUMIF(E_PurchPrec!$R:$R,CONST_PrecursorToGoodInput &amp; AH$6 &amp; "_" &amp; $D29,E_PurchPrec!$T:$T)/SUMIF(D_Processes!$R:$R,CONST_CNTR_TotProd &amp; $D29,D_Processes!$T:$T),0)</f>
        <v>0</v>
      </c>
      <c r="AR29" s="226"/>
      <c r="AS29" s="226"/>
      <c r="AT29" s="226"/>
      <c r="AU29" s="226"/>
      <c r="AV29" s="226"/>
      <c r="AW29" s="226"/>
      <c r="AX29" s="226"/>
      <c r="AY29" s="226"/>
      <c r="AZ29" s="226"/>
      <c r="BA29" s="226"/>
      <c r="BB29" s="226"/>
      <c r="BC29" s="226"/>
      <c r="BD29" s="226"/>
      <c r="BE29" s="226"/>
      <c r="BF29" s="226"/>
      <c r="BG29" s="226"/>
      <c r="BH29" s="226"/>
      <c r="BI29" s="226"/>
      <c r="BJ29" s="226"/>
      <c r="BK29" s="226"/>
      <c r="BL29" s="226"/>
      <c r="BM29" s="226"/>
      <c r="BN29" s="226"/>
      <c r="BO29" s="226"/>
      <c r="BP29" s="226"/>
      <c r="BQ29" s="226"/>
      <c r="BR29" s="226"/>
      <c r="BS29" s="226"/>
      <c r="BT29" s="226"/>
      <c r="BU29" s="226"/>
      <c r="BV29" s="226"/>
    </row>
    <row r="30" spans="2:74" ht="12.75" customHeight="1" x14ac:dyDescent="0.35">
      <c r="C30" s="223">
        <v>14</v>
      </c>
      <c r="D30" s="336" t="str">
        <f t="shared" si="4"/>
        <v/>
      </c>
      <c r="E30" s="331">
        <f>IFERROR(SUMIF(E_PurchPrec!$R:$R,CONST_PrecursorToGoodInput &amp; E$6 &amp; "_" &amp; $D30,E_PurchPrec!$T:$T)/SUMIF(D_Processes!$R:$R,CONST_CNTR_TotProd &amp; $D30,D_Processes!$T:$T),0)</f>
        <v>0</v>
      </c>
      <c r="F30" s="224">
        <f>IFERROR(SUMIF(E_PurchPrec!$R:$R,CONST_PrecursorToGoodInput &amp; F$6 &amp; "_" &amp; $D30,E_PurchPrec!$T:$T)/SUMIF(D_Processes!$R:$R,CONST_CNTR_TotProd &amp; $D30,D_Processes!$T:$T),0)</f>
        <v>0</v>
      </c>
      <c r="G30" s="224">
        <f>IFERROR(SUMIF(E_PurchPrec!$R:$R,CONST_PrecursorToGoodInput &amp; G$6 &amp; "_" &amp; $D30,E_PurchPrec!$T:$T)/SUMIF(D_Processes!$R:$R,CONST_CNTR_TotProd &amp; $D30,D_Processes!$T:$T),0)</f>
        <v>0</v>
      </c>
      <c r="H30" s="224">
        <f>IFERROR(SUMIF(E_PurchPrec!$R:$R,CONST_PrecursorToGoodInput &amp; H$6 &amp; "_" &amp; $D30,E_PurchPrec!$T:$T)/SUMIF(D_Processes!$R:$R,CONST_CNTR_TotProd &amp; $D30,D_Processes!$T:$T),0)</f>
        <v>0</v>
      </c>
      <c r="I30" s="224">
        <f>IFERROR(SUMIF(E_PurchPrec!$R:$R,CONST_PrecursorToGoodInput &amp; I$6 &amp; "_" &amp; $D30,E_PurchPrec!$T:$T)/SUMIF(D_Processes!$R:$R,CONST_CNTR_TotProd &amp; $D30,D_Processes!$T:$T),0)</f>
        <v>0</v>
      </c>
      <c r="J30" s="224">
        <f>IFERROR(SUMIF(E_PurchPrec!$R:$R,CONST_PrecursorToGoodInput &amp; J$6 &amp; "_" &amp; $D30,E_PurchPrec!$T:$T)/SUMIF(D_Processes!$R:$R,CONST_CNTR_TotProd &amp; $D30,D_Processes!$T:$T),0)</f>
        <v>0</v>
      </c>
      <c r="K30" s="224">
        <f>IFERROR(SUMIF(E_PurchPrec!$R:$R,CONST_PrecursorToGoodInput &amp; K$6 &amp; "_" &amp; $D30,E_PurchPrec!$T:$T)/SUMIF(D_Processes!$R:$R,CONST_CNTR_TotProd &amp; $D30,D_Processes!$T:$T),0)</f>
        <v>0</v>
      </c>
      <c r="L30" s="224">
        <f>IFERROR(SUMIF(E_PurchPrec!$R:$R,CONST_PrecursorToGoodInput &amp; L$6 &amp; "_" &amp; $D30,E_PurchPrec!$T:$T)/SUMIF(D_Processes!$R:$R,CONST_CNTR_TotProd &amp; $D30,D_Processes!$T:$T),0)</f>
        <v>0</v>
      </c>
      <c r="M30" s="224">
        <f>IFERROR(SUMIF(E_PurchPrec!$R:$R,CONST_PrecursorToGoodInput &amp; M$6 &amp; "_" &amp; $D30,E_PurchPrec!$T:$T)/SUMIF(D_Processes!$R:$R,CONST_CNTR_TotProd &amp; $D30,D_Processes!$T:$T),0)</f>
        <v>0</v>
      </c>
      <c r="N30" s="332">
        <f>IFERROR(SUMIF(E_PurchPrec!$R:$R,CONST_PrecursorToGoodInput &amp; N$6 &amp; "_" &amp; $D30,E_PurchPrec!$T:$T)/SUMIF(D_Processes!$R:$R,CONST_CNTR_TotProd &amp; $D30,D_Processes!$T:$T),0)</f>
        <v>0</v>
      </c>
      <c r="O30" s="331">
        <f>IFERROR(SUMIF(E_PurchPrec!$R:$R,CONST_PrecursorToGoodInput &amp; O$6 &amp; "_" &amp; $D30,E_PurchPrec!$T:$T)/SUMIF(D_Processes!$R:$R,CONST_CNTR_TotProd &amp; $D30,D_Processes!$T:$T),0)</f>
        <v>0</v>
      </c>
      <c r="P30" s="224">
        <f>IFERROR(SUMIF(E_PurchPrec!$R:$R,CONST_PrecursorToGoodInput &amp; P$6 &amp; "_" &amp; $D30,E_PurchPrec!$T:$T)/SUMIF(D_Processes!$R:$R,CONST_CNTR_TotProd &amp; $D30,D_Processes!$T:$T),0)</f>
        <v>0</v>
      </c>
      <c r="Q30" s="224">
        <f>IFERROR(SUMIF(E_PurchPrec!$R:$R,CONST_PrecursorToGoodInput &amp; Q$6 &amp; "_" &amp; $D30,E_PurchPrec!$T:$T)/SUMIF(D_Processes!$R:$R,CONST_CNTR_TotProd &amp; $D30,D_Processes!$T:$T),0)</f>
        <v>0</v>
      </c>
      <c r="R30" s="224">
        <f>IFERROR(SUMIF(E_PurchPrec!$R:$R,CONST_PrecursorToGoodInput &amp; R$6 &amp; "_" &amp; $D30,E_PurchPrec!$T:$T)/SUMIF(D_Processes!$R:$R,CONST_CNTR_TotProd &amp; $D30,D_Processes!$T:$T),0)</f>
        <v>0</v>
      </c>
      <c r="S30" s="224">
        <f>IFERROR(SUMIF(E_PurchPrec!$R:$R,CONST_PrecursorToGoodInput &amp; S$6 &amp; "_" &amp; $D30,E_PurchPrec!$T:$T)/SUMIF(D_Processes!$R:$R,CONST_CNTR_TotProd &amp; $D30,D_Processes!$T:$T),0)</f>
        <v>0</v>
      </c>
      <c r="T30" s="224">
        <f>IFERROR(SUMIF(E_PurchPrec!$R:$R,CONST_PrecursorToGoodInput &amp; T$6 &amp; "_" &amp; $D30,E_PurchPrec!$T:$T)/SUMIF(D_Processes!$R:$R,CONST_CNTR_TotProd &amp; $D30,D_Processes!$T:$T),0)</f>
        <v>0</v>
      </c>
      <c r="U30" s="224">
        <f>IFERROR(SUMIF(E_PurchPrec!$R:$R,CONST_PrecursorToGoodInput &amp; U$6 &amp; "_" &amp; $D30,E_PurchPrec!$T:$T)/SUMIF(D_Processes!$R:$R,CONST_CNTR_TotProd &amp; $D30,D_Processes!$T:$T),0)</f>
        <v>0</v>
      </c>
      <c r="V30" s="224">
        <f>IFERROR(SUMIF(E_PurchPrec!$R:$R,CONST_PrecursorToGoodInput &amp; V$6 &amp; "_" &amp; $D30,E_PurchPrec!$T:$T)/SUMIF(D_Processes!$R:$R,CONST_CNTR_TotProd &amp; $D30,D_Processes!$T:$T),0)</f>
        <v>0</v>
      </c>
      <c r="W30" s="224">
        <f>IFERROR(SUMIF(E_PurchPrec!$R:$R,CONST_PrecursorToGoodInput &amp; W$6 &amp; "_" &amp; $D30,E_PurchPrec!$T:$T)/SUMIF(D_Processes!$R:$R,CONST_CNTR_TotProd &amp; $D30,D_Processes!$T:$T),0)</f>
        <v>0</v>
      </c>
      <c r="X30" s="224">
        <f>IFERROR(SUMIF(E_PurchPrec!$R:$R,CONST_PrecursorToGoodInput &amp; X$6 &amp; "_" &amp; $D30,E_PurchPrec!$T:$T)/SUMIF(D_Processes!$R:$R,CONST_CNTR_TotProd &amp; $D30,D_Processes!$T:$T),0)</f>
        <v>0</v>
      </c>
      <c r="Y30" s="224">
        <f>IFERROR(SUMIF(E_PurchPrec!$R:$R,CONST_PrecursorToGoodInput &amp; Y$6 &amp; "_" &amp; $D30,E_PurchPrec!$T:$T)/SUMIF(D_Processes!$R:$R,CONST_CNTR_TotProd &amp; $D30,D_Processes!$T:$T),0)</f>
        <v>0</v>
      </c>
      <c r="Z30" s="224">
        <f>IFERROR(SUMIF(E_PurchPrec!$R:$R,CONST_PrecursorToGoodInput &amp; Z$6 &amp; "_" &amp; $D30,E_PurchPrec!$T:$T)/SUMIF(D_Processes!$R:$R,CONST_CNTR_TotProd &amp; $D30,D_Processes!$T:$T),0)</f>
        <v>0</v>
      </c>
      <c r="AA30" s="224">
        <f>IFERROR(SUMIF(E_PurchPrec!$R:$R,CONST_PrecursorToGoodInput &amp; AA$6 &amp; "_" &amp; $D30,E_PurchPrec!$T:$T)/SUMIF(D_Processes!$R:$R,CONST_CNTR_TotProd &amp; $D30,D_Processes!$T:$T),0)</f>
        <v>0</v>
      </c>
      <c r="AB30" s="224">
        <f>IFERROR(SUMIF(E_PurchPrec!$R:$R,CONST_PrecursorToGoodInput &amp; AB$6 &amp; "_" &amp; $D30,E_PurchPrec!$T:$T)/SUMIF(D_Processes!$R:$R,CONST_CNTR_TotProd &amp; $D30,D_Processes!$T:$T),0)</f>
        <v>0</v>
      </c>
      <c r="AC30" s="224">
        <f>IFERROR(SUMIF(E_PurchPrec!$R:$R,CONST_PrecursorToGoodInput &amp; AC$6 &amp; "_" &amp; $D30,E_PurchPrec!$T:$T)/SUMIF(D_Processes!$R:$R,CONST_CNTR_TotProd &amp; $D30,D_Processes!$T:$T),0)</f>
        <v>0</v>
      </c>
      <c r="AD30" s="224">
        <f>IFERROR(SUMIF(E_PurchPrec!$R:$R,CONST_PrecursorToGoodInput &amp; AD$6 &amp; "_" &amp; $D30,E_PurchPrec!$T:$T)/SUMIF(D_Processes!$R:$R,CONST_CNTR_TotProd &amp; $D30,D_Processes!$T:$T),0)</f>
        <v>0</v>
      </c>
      <c r="AE30" s="224">
        <f>IFERROR(SUMIF(E_PurchPrec!$R:$R,CONST_PrecursorToGoodInput &amp; AE$6 &amp; "_" &amp; $D30,E_PurchPrec!$T:$T)/SUMIF(D_Processes!$R:$R,CONST_CNTR_TotProd &amp; $D30,D_Processes!$T:$T),0)</f>
        <v>0</v>
      </c>
      <c r="AF30" s="224">
        <f>IFERROR(SUMIF(E_PurchPrec!$R:$R,CONST_PrecursorToGoodInput &amp; AF$6 &amp; "_" &amp; $D30,E_PurchPrec!$T:$T)/SUMIF(D_Processes!$R:$R,CONST_CNTR_TotProd &amp; $D30,D_Processes!$T:$T),0)</f>
        <v>0</v>
      </c>
      <c r="AG30" s="224">
        <f>IFERROR(SUMIF(E_PurchPrec!$R:$R,CONST_PrecursorToGoodInput &amp; AG$6 &amp; "_" &amp; $D30,E_PurchPrec!$T:$T)/SUMIF(D_Processes!$R:$R,CONST_CNTR_TotProd &amp; $D30,D_Processes!$T:$T),0)</f>
        <v>0</v>
      </c>
      <c r="AH30" s="332">
        <f>IFERROR(SUMIF(E_PurchPrec!$R:$R,CONST_PrecursorToGoodInput &amp; AH$6 &amp; "_" &amp; $D30,E_PurchPrec!$T:$T)/SUMIF(D_Processes!$R:$R,CONST_CNTR_TotProd &amp; $D30,D_Processes!$T:$T),0)</f>
        <v>0</v>
      </c>
      <c r="AR30" s="226"/>
      <c r="AS30" s="226"/>
      <c r="AT30" s="226"/>
      <c r="AU30" s="226"/>
      <c r="AV30" s="226"/>
      <c r="AW30" s="226"/>
      <c r="AX30" s="226"/>
      <c r="AY30" s="226"/>
      <c r="AZ30" s="226"/>
      <c r="BA30" s="226"/>
      <c r="BB30" s="226"/>
      <c r="BC30" s="226"/>
      <c r="BD30" s="226"/>
      <c r="BE30" s="226"/>
      <c r="BF30" s="226"/>
      <c r="BG30" s="226"/>
      <c r="BH30" s="226"/>
      <c r="BI30" s="226"/>
      <c r="BJ30" s="226"/>
      <c r="BK30" s="226"/>
      <c r="BL30" s="226"/>
      <c r="BM30" s="226"/>
      <c r="BN30" s="226"/>
      <c r="BO30" s="226"/>
      <c r="BP30" s="226"/>
      <c r="BQ30" s="226"/>
      <c r="BR30" s="226"/>
      <c r="BS30" s="226"/>
      <c r="BT30" s="226"/>
      <c r="BU30" s="226"/>
      <c r="BV30" s="226"/>
    </row>
    <row r="31" spans="2:74" ht="12.75" customHeight="1" x14ac:dyDescent="0.35">
      <c r="C31" s="223">
        <v>15</v>
      </c>
      <c r="D31" s="336" t="str">
        <f t="shared" si="4"/>
        <v/>
      </c>
      <c r="E31" s="331">
        <f>IFERROR(SUMIF(E_PurchPrec!$R:$R,CONST_PrecursorToGoodInput &amp; E$6 &amp; "_" &amp; $D31,E_PurchPrec!$T:$T)/SUMIF(D_Processes!$R:$R,CONST_CNTR_TotProd &amp; $D31,D_Processes!$T:$T),0)</f>
        <v>0</v>
      </c>
      <c r="F31" s="224">
        <f>IFERROR(SUMIF(E_PurchPrec!$R:$R,CONST_PrecursorToGoodInput &amp; F$6 &amp; "_" &amp; $D31,E_PurchPrec!$T:$T)/SUMIF(D_Processes!$R:$R,CONST_CNTR_TotProd &amp; $D31,D_Processes!$T:$T),0)</f>
        <v>0</v>
      </c>
      <c r="G31" s="224">
        <f>IFERROR(SUMIF(E_PurchPrec!$R:$R,CONST_PrecursorToGoodInput &amp; G$6 &amp; "_" &amp; $D31,E_PurchPrec!$T:$T)/SUMIF(D_Processes!$R:$R,CONST_CNTR_TotProd &amp; $D31,D_Processes!$T:$T),0)</f>
        <v>0</v>
      </c>
      <c r="H31" s="224">
        <f>IFERROR(SUMIF(E_PurchPrec!$R:$R,CONST_PrecursorToGoodInput &amp; H$6 &amp; "_" &amp; $D31,E_PurchPrec!$T:$T)/SUMIF(D_Processes!$R:$R,CONST_CNTR_TotProd &amp; $D31,D_Processes!$T:$T),0)</f>
        <v>0</v>
      </c>
      <c r="I31" s="224">
        <f>IFERROR(SUMIF(E_PurchPrec!$R:$R,CONST_PrecursorToGoodInput &amp; I$6 &amp; "_" &amp; $D31,E_PurchPrec!$T:$T)/SUMIF(D_Processes!$R:$R,CONST_CNTR_TotProd &amp; $D31,D_Processes!$T:$T),0)</f>
        <v>0</v>
      </c>
      <c r="J31" s="224">
        <f>IFERROR(SUMIF(E_PurchPrec!$R:$R,CONST_PrecursorToGoodInput &amp; J$6 &amp; "_" &amp; $D31,E_PurchPrec!$T:$T)/SUMIF(D_Processes!$R:$R,CONST_CNTR_TotProd &amp; $D31,D_Processes!$T:$T),0)</f>
        <v>0</v>
      </c>
      <c r="K31" s="224">
        <f>IFERROR(SUMIF(E_PurchPrec!$R:$R,CONST_PrecursorToGoodInput &amp; K$6 &amp; "_" &amp; $D31,E_PurchPrec!$T:$T)/SUMIF(D_Processes!$R:$R,CONST_CNTR_TotProd &amp; $D31,D_Processes!$T:$T),0)</f>
        <v>0</v>
      </c>
      <c r="L31" s="224">
        <f>IFERROR(SUMIF(E_PurchPrec!$R:$R,CONST_PrecursorToGoodInput &amp; L$6 &amp; "_" &amp; $D31,E_PurchPrec!$T:$T)/SUMIF(D_Processes!$R:$R,CONST_CNTR_TotProd &amp; $D31,D_Processes!$T:$T),0)</f>
        <v>0</v>
      </c>
      <c r="M31" s="224">
        <f>IFERROR(SUMIF(E_PurchPrec!$R:$R,CONST_PrecursorToGoodInput &amp; M$6 &amp; "_" &amp; $D31,E_PurchPrec!$T:$T)/SUMIF(D_Processes!$R:$R,CONST_CNTR_TotProd &amp; $D31,D_Processes!$T:$T),0)</f>
        <v>0</v>
      </c>
      <c r="N31" s="332">
        <f>IFERROR(SUMIF(E_PurchPrec!$R:$R,CONST_PrecursorToGoodInput &amp; N$6 &amp; "_" &amp; $D31,E_PurchPrec!$T:$T)/SUMIF(D_Processes!$R:$R,CONST_CNTR_TotProd &amp; $D31,D_Processes!$T:$T),0)</f>
        <v>0</v>
      </c>
      <c r="O31" s="331">
        <f>IFERROR(SUMIF(E_PurchPrec!$R:$R,CONST_PrecursorToGoodInput &amp; O$6 &amp; "_" &amp; $D31,E_PurchPrec!$T:$T)/SUMIF(D_Processes!$R:$R,CONST_CNTR_TotProd &amp; $D31,D_Processes!$T:$T),0)</f>
        <v>0</v>
      </c>
      <c r="P31" s="224">
        <f>IFERROR(SUMIF(E_PurchPrec!$R:$R,CONST_PrecursorToGoodInput &amp; P$6 &amp; "_" &amp; $D31,E_PurchPrec!$T:$T)/SUMIF(D_Processes!$R:$R,CONST_CNTR_TotProd &amp; $D31,D_Processes!$T:$T),0)</f>
        <v>0</v>
      </c>
      <c r="Q31" s="224">
        <f>IFERROR(SUMIF(E_PurchPrec!$R:$R,CONST_PrecursorToGoodInput &amp; Q$6 &amp; "_" &amp; $D31,E_PurchPrec!$T:$T)/SUMIF(D_Processes!$R:$R,CONST_CNTR_TotProd &amp; $D31,D_Processes!$T:$T),0)</f>
        <v>0</v>
      </c>
      <c r="R31" s="224">
        <f>IFERROR(SUMIF(E_PurchPrec!$R:$R,CONST_PrecursorToGoodInput &amp; R$6 &amp; "_" &amp; $D31,E_PurchPrec!$T:$T)/SUMIF(D_Processes!$R:$R,CONST_CNTR_TotProd &amp; $D31,D_Processes!$T:$T),0)</f>
        <v>0</v>
      </c>
      <c r="S31" s="224">
        <f>IFERROR(SUMIF(E_PurchPrec!$R:$R,CONST_PrecursorToGoodInput &amp; S$6 &amp; "_" &amp; $D31,E_PurchPrec!$T:$T)/SUMIF(D_Processes!$R:$R,CONST_CNTR_TotProd &amp; $D31,D_Processes!$T:$T),0)</f>
        <v>0</v>
      </c>
      <c r="T31" s="224">
        <f>IFERROR(SUMIF(E_PurchPrec!$R:$R,CONST_PrecursorToGoodInput &amp; T$6 &amp; "_" &amp; $D31,E_PurchPrec!$T:$T)/SUMIF(D_Processes!$R:$R,CONST_CNTR_TotProd &amp; $D31,D_Processes!$T:$T),0)</f>
        <v>0</v>
      </c>
      <c r="U31" s="224">
        <f>IFERROR(SUMIF(E_PurchPrec!$R:$R,CONST_PrecursorToGoodInput &amp; U$6 &amp; "_" &amp; $D31,E_PurchPrec!$T:$T)/SUMIF(D_Processes!$R:$R,CONST_CNTR_TotProd &amp; $D31,D_Processes!$T:$T),0)</f>
        <v>0</v>
      </c>
      <c r="V31" s="224">
        <f>IFERROR(SUMIF(E_PurchPrec!$R:$R,CONST_PrecursorToGoodInput &amp; V$6 &amp; "_" &amp; $D31,E_PurchPrec!$T:$T)/SUMIF(D_Processes!$R:$R,CONST_CNTR_TotProd &amp; $D31,D_Processes!$T:$T),0)</f>
        <v>0</v>
      </c>
      <c r="W31" s="224">
        <f>IFERROR(SUMIF(E_PurchPrec!$R:$R,CONST_PrecursorToGoodInput &amp; W$6 &amp; "_" &amp; $D31,E_PurchPrec!$T:$T)/SUMIF(D_Processes!$R:$R,CONST_CNTR_TotProd &amp; $D31,D_Processes!$T:$T),0)</f>
        <v>0</v>
      </c>
      <c r="X31" s="224">
        <f>IFERROR(SUMIF(E_PurchPrec!$R:$R,CONST_PrecursorToGoodInput &amp; X$6 &amp; "_" &amp; $D31,E_PurchPrec!$T:$T)/SUMIF(D_Processes!$R:$R,CONST_CNTR_TotProd &amp; $D31,D_Processes!$T:$T),0)</f>
        <v>0</v>
      </c>
      <c r="Y31" s="224">
        <f>IFERROR(SUMIF(E_PurchPrec!$R:$R,CONST_PrecursorToGoodInput &amp; Y$6 &amp; "_" &amp; $D31,E_PurchPrec!$T:$T)/SUMIF(D_Processes!$R:$R,CONST_CNTR_TotProd &amp; $D31,D_Processes!$T:$T),0)</f>
        <v>0</v>
      </c>
      <c r="Z31" s="224">
        <f>IFERROR(SUMIF(E_PurchPrec!$R:$R,CONST_PrecursorToGoodInput &amp; Z$6 &amp; "_" &amp; $D31,E_PurchPrec!$T:$T)/SUMIF(D_Processes!$R:$R,CONST_CNTR_TotProd &amp; $D31,D_Processes!$T:$T),0)</f>
        <v>0</v>
      </c>
      <c r="AA31" s="224">
        <f>IFERROR(SUMIF(E_PurchPrec!$R:$R,CONST_PrecursorToGoodInput &amp; AA$6 &amp; "_" &amp; $D31,E_PurchPrec!$T:$T)/SUMIF(D_Processes!$R:$R,CONST_CNTR_TotProd &amp; $D31,D_Processes!$T:$T),0)</f>
        <v>0</v>
      </c>
      <c r="AB31" s="224">
        <f>IFERROR(SUMIF(E_PurchPrec!$R:$R,CONST_PrecursorToGoodInput &amp; AB$6 &amp; "_" &amp; $D31,E_PurchPrec!$T:$T)/SUMIF(D_Processes!$R:$R,CONST_CNTR_TotProd &amp; $D31,D_Processes!$T:$T),0)</f>
        <v>0</v>
      </c>
      <c r="AC31" s="224">
        <f>IFERROR(SUMIF(E_PurchPrec!$R:$R,CONST_PrecursorToGoodInput &amp; AC$6 &amp; "_" &amp; $D31,E_PurchPrec!$T:$T)/SUMIF(D_Processes!$R:$R,CONST_CNTR_TotProd &amp; $D31,D_Processes!$T:$T),0)</f>
        <v>0</v>
      </c>
      <c r="AD31" s="224">
        <f>IFERROR(SUMIF(E_PurchPrec!$R:$R,CONST_PrecursorToGoodInput &amp; AD$6 &amp; "_" &amp; $D31,E_PurchPrec!$T:$T)/SUMIF(D_Processes!$R:$R,CONST_CNTR_TotProd &amp; $D31,D_Processes!$T:$T),0)</f>
        <v>0</v>
      </c>
      <c r="AE31" s="224">
        <f>IFERROR(SUMIF(E_PurchPrec!$R:$R,CONST_PrecursorToGoodInput &amp; AE$6 &amp; "_" &amp; $D31,E_PurchPrec!$T:$T)/SUMIF(D_Processes!$R:$R,CONST_CNTR_TotProd &amp; $D31,D_Processes!$T:$T),0)</f>
        <v>0</v>
      </c>
      <c r="AF31" s="224">
        <f>IFERROR(SUMIF(E_PurchPrec!$R:$R,CONST_PrecursorToGoodInput &amp; AF$6 &amp; "_" &amp; $D31,E_PurchPrec!$T:$T)/SUMIF(D_Processes!$R:$R,CONST_CNTR_TotProd &amp; $D31,D_Processes!$T:$T),0)</f>
        <v>0</v>
      </c>
      <c r="AG31" s="224">
        <f>IFERROR(SUMIF(E_PurchPrec!$R:$R,CONST_PrecursorToGoodInput &amp; AG$6 &amp; "_" &amp; $D31,E_PurchPrec!$T:$T)/SUMIF(D_Processes!$R:$R,CONST_CNTR_TotProd &amp; $D31,D_Processes!$T:$T),0)</f>
        <v>0</v>
      </c>
      <c r="AH31" s="332">
        <f>IFERROR(SUMIF(E_PurchPrec!$R:$R,CONST_PrecursorToGoodInput &amp; AH$6 &amp; "_" &amp; $D31,E_PurchPrec!$T:$T)/SUMIF(D_Processes!$R:$R,CONST_CNTR_TotProd &amp; $D31,D_Processes!$T:$T),0)</f>
        <v>0</v>
      </c>
      <c r="AR31" s="226"/>
      <c r="AS31" s="226"/>
      <c r="AT31" s="226"/>
      <c r="AU31" s="226"/>
      <c r="AV31" s="226"/>
      <c r="AW31" s="226"/>
      <c r="AX31" s="226"/>
      <c r="AY31" s="226"/>
      <c r="AZ31" s="226"/>
      <c r="BA31" s="226"/>
      <c r="BB31" s="226"/>
      <c r="BC31" s="226"/>
      <c r="BD31" s="226"/>
      <c r="BE31" s="226"/>
      <c r="BF31" s="226"/>
      <c r="BG31" s="226"/>
      <c r="BH31" s="226"/>
      <c r="BI31" s="226"/>
      <c r="BJ31" s="226"/>
      <c r="BK31" s="226"/>
      <c r="BL31" s="226"/>
      <c r="BM31" s="226"/>
      <c r="BN31" s="226"/>
      <c r="BO31" s="226"/>
      <c r="BP31" s="226"/>
      <c r="BQ31" s="226"/>
      <c r="BR31" s="226"/>
      <c r="BS31" s="226"/>
      <c r="BT31" s="226"/>
      <c r="BU31" s="226"/>
      <c r="BV31" s="226"/>
    </row>
    <row r="32" spans="2:74" ht="12.75" customHeight="1" x14ac:dyDescent="0.35">
      <c r="C32" s="223">
        <v>16</v>
      </c>
      <c r="D32" s="336" t="str">
        <f t="shared" si="4"/>
        <v/>
      </c>
      <c r="E32" s="331">
        <f>IFERROR(SUMIF(E_PurchPrec!$R:$R,CONST_PrecursorToGoodInput &amp; E$6 &amp; "_" &amp; $D32,E_PurchPrec!$T:$T)/SUMIF(D_Processes!$R:$R,CONST_CNTR_TotProd &amp; $D32,D_Processes!$T:$T),0)</f>
        <v>0</v>
      </c>
      <c r="F32" s="224">
        <f>IFERROR(SUMIF(E_PurchPrec!$R:$R,CONST_PrecursorToGoodInput &amp; F$6 &amp; "_" &amp; $D32,E_PurchPrec!$T:$T)/SUMIF(D_Processes!$R:$R,CONST_CNTR_TotProd &amp; $D32,D_Processes!$T:$T),0)</f>
        <v>0</v>
      </c>
      <c r="G32" s="224">
        <f>IFERROR(SUMIF(E_PurchPrec!$R:$R,CONST_PrecursorToGoodInput &amp; G$6 &amp; "_" &amp; $D32,E_PurchPrec!$T:$T)/SUMIF(D_Processes!$R:$R,CONST_CNTR_TotProd &amp; $D32,D_Processes!$T:$T),0)</f>
        <v>0</v>
      </c>
      <c r="H32" s="224">
        <f>IFERROR(SUMIF(E_PurchPrec!$R:$R,CONST_PrecursorToGoodInput &amp; H$6 &amp; "_" &amp; $D32,E_PurchPrec!$T:$T)/SUMIF(D_Processes!$R:$R,CONST_CNTR_TotProd &amp; $D32,D_Processes!$T:$T),0)</f>
        <v>0</v>
      </c>
      <c r="I32" s="224">
        <f>IFERROR(SUMIF(E_PurchPrec!$R:$R,CONST_PrecursorToGoodInput &amp; I$6 &amp; "_" &amp; $D32,E_PurchPrec!$T:$T)/SUMIF(D_Processes!$R:$R,CONST_CNTR_TotProd &amp; $D32,D_Processes!$T:$T),0)</f>
        <v>0</v>
      </c>
      <c r="J32" s="224">
        <f>IFERROR(SUMIF(E_PurchPrec!$R:$R,CONST_PrecursorToGoodInput &amp; J$6 &amp; "_" &amp; $D32,E_PurchPrec!$T:$T)/SUMIF(D_Processes!$R:$R,CONST_CNTR_TotProd &amp; $D32,D_Processes!$T:$T),0)</f>
        <v>0</v>
      </c>
      <c r="K32" s="224">
        <f>IFERROR(SUMIF(E_PurchPrec!$R:$R,CONST_PrecursorToGoodInput &amp; K$6 &amp; "_" &amp; $D32,E_PurchPrec!$T:$T)/SUMIF(D_Processes!$R:$R,CONST_CNTR_TotProd &amp; $D32,D_Processes!$T:$T),0)</f>
        <v>0</v>
      </c>
      <c r="L32" s="224">
        <f>IFERROR(SUMIF(E_PurchPrec!$R:$R,CONST_PrecursorToGoodInput &amp; L$6 &amp; "_" &amp; $D32,E_PurchPrec!$T:$T)/SUMIF(D_Processes!$R:$R,CONST_CNTR_TotProd &amp; $D32,D_Processes!$T:$T),0)</f>
        <v>0</v>
      </c>
      <c r="M32" s="224">
        <f>IFERROR(SUMIF(E_PurchPrec!$R:$R,CONST_PrecursorToGoodInput &amp; M$6 &amp; "_" &amp; $D32,E_PurchPrec!$T:$T)/SUMIF(D_Processes!$R:$R,CONST_CNTR_TotProd &amp; $D32,D_Processes!$T:$T),0)</f>
        <v>0</v>
      </c>
      <c r="N32" s="332">
        <f>IFERROR(SUMIF(E_PurchPrec!$R:$R,CONST_PrecursorToGoodInput &amp; N$6 &amp; "_" &amp; $D32,E_PurchPrec!$T:$T)/SUMIF(D_Processes!$R:$R,CONST_CNTR_TotProd &amp; $D32,D_Processes!$T:$T),0)</f>
        <v>0</v>
      </c>
      <c r="O32" s="331">
        <f>IFERROR(SUMIF(E_PurchPrec!$R:$R,CONST_PrecursorToGoodInput &amp; O$6 &amp; "_" &amp; $D32,E_PurchPrec!$T:$T)/SUMIF(D_Processes!$R:$R,CONST_CNTR_TotProd &amp; $D32,D_Processes!$T:$T),0)</f>
        <v>0</v>
      </c>
      <c r="P32" s="224">
        <f>IFERROR(SUMIF(E_PurchPrec!$R:$R,CONST_PrecursorToGoodInput &amp; P$6 &amp; "_" &amp; $D32,E_PurchPrec!$T:$T)/SUMIF(D_Processes!$R:$R,CONST_CNTR_TotProd &amp; $D32,D_Processes!$T:$T),0)</f>
        <v>0</v>
      </c>
      <c r="Q32" s="224">
        <f>IFERROR(SUMIF(E_PurchPrec!$R:$R,CONST_PrecursorToGoodInput &amp; Q$6 &amp; "_" &amp; $D32,E_PurchPrec!$T:$T)/SUMIF(D_Processes!$R:$R,CONST_CNTR_TotProd &amp; $D32,D_Processes!$T:$T),0)</f>
        <v>0</v>
      </c>
      <c r="R32" s="224">
        <f>IFERROR(SUMIF(E_PurchPrec!$R:$R,CONST_PrecursorToGoodInput &amp; R$6 &amp; "_" &amp; $D32,E_PurchPrec!$T:$T)/SUMIF(D_Processes!$R:$R,CONST_CNTR_TotProd &amp; $D32,D_Processes!$T:$T),0)</f>
        <v>0</v>
      </c>
      <c r="S32" s="224">
        <f>IFERROR(SUMIF(E_PurchPrec!$R:$R,CONST_PrecursorToGoodInput &amp; S$6 &amp; "_" &amp; $D32,E_PurchPrec!$T:$T)/SUMIF(D_Processes!$R:$R,CONST_CNTR_TotProd &amp; $D32,D_Processes!$T:$T),0)</f>
        <v>0</v>
      </c>
      <c r="T32" s="224">
        <f>IFERROR(SUMIF(E_PurchPrec!$R:$R,CONST_PrecursorToGoodInput &amp; T$6 &amp; "_" &amp; $D32,E_PurchPrec!$T:$T)/SUMIF(D_Processes!$R:$R,CONST_CNTR_TotProd &amp; $D32,D_Processes!$T:$T),0)</f>
        <v>0</v>
      </c>
      <c r="U32" s="224">
        <f>IFERROR(SUMIF(E_PurchPrec!$R:$R,CONST_PrecursorToGoodInput &amp; U$6 &amp; "_" &amp; $D32,E_PurchPrec!$T:$T)/SUMIF(D_Processes!$R:$R,CONST_CNTR_TotProd &amp; $D32,D_Processes!$T:$T),0)</f>
        <v>0</v>
      </c>
      <c r="V32" s="224">
        <f>IFERROR(SUMIF(E_PurchPrec!$R:$R,CONST_PrecursorToGoodInput &amp; V$6 &amp; "_" &amp; $D32,E_PurchPrec!$T:$T)/SUMIF(D_Processes!$R:$R,CONST_CNTR_TotProd &amp; $D32,D_Processes!$T:$T),0)</f>
        <v>0</v>
      </c>
      <c r="W32" s="224">
        <f>IFERROR(SUMIF(E_PurchPrec!$R:$R,CONST_PrecursorToGoodInput &amp; W$6 &amp; "_" &amp; $D32,E_PurchPrec!$T:$T)/SUMIF(D_Processes!$R:$R,CONST_CNTR_TotProd &amp; $D32,D_Processes!$T:$T),0)</f>
        <v>0</v>
      </c>
      <c r="X32" s="224">
        <f>IFERROR(SUMIF(E_PurchPrec!$R:$R,CONST_PrecursorToGoodInput &amp; X$6 &amp; "_" &amp; $D32,E_PurchPrec!$T:$T)/SUMIF(D_Processes!$R:$R,CONST_CNTR_TotProd &amp; $D32,D_Processes!$T:$T),0)</f>
        <v>0</v>
      </c>
      <c r="Y32" s="224">
        <f>IFERROR(SUMIF(E_PurchPrec!$R:$R,CONST_PrecursorToGoodInput &amp; Y$6 &amp; "_" &amp; $D32,E_PurchPrec!$T:$T)/SUMIF(D_Processes!$R:$R,CONST_CNTR_TotProd &amp; $D32,D_Processes!$T:$T),0)</f>
        <v>0</v>
      </c>
      <c r="Z32" s="224">
        <f>IFERROR(SUMIF(E_PurchPrec!$R:$R,CONST_PrecursorToGoodInput &amp; Z$6 &amp; "_" &amp; $D32,E_PurchPrec!$T:$T)/SUMIF(D_Processes!$R:$R,CONST_CNTR_TotProd &amp; $D32,D_Processes!$T:$T),0)</f>
        <v>0</v>
      </c>
      <c r="AA32" s="224">
        <f>IFERROR(SUMIF(E_PurchPrec!$R:$R,CONST_PrecursorToGoodInput &amp; AA$6 &amp; "_" &amp; $D32,E_PurchPrec!$T:$T)/SUMIF(D_Processes!$R:$R,CONST_CNTR_TotProd &amp; $D32,D_Processes!$T:$T),0)</f>
        <v>0</v>
      </c>
      <c r="AB32" s="224">
        <f>IFERROR(SUMIF(E_PurchPrec!$R:$R,CONST_PrecursorToGoodInput &amp; AB$6 &amp; "_" &amp; $D32,E_PurchPrec!$T:$T)/SUMIF(D_Processes!$R:$R,CONST_CNTR_TotProd &amp; $D32,D_Processes!$T:$T),0)</f>
        <v>0</v>
      </c>
      <c r="AC32" s="224">
        <f>IFERROR(SUMIF(E_PurchPrec!$R:$R,CONST_PrecursorToGoodInput &amp; AC$6 &amp; "_" &amp; $D32,E_PurchPrec!$T:$T)/SUMIF(D_Processes!$R:$R,CONST_CNTR_TotProd &amp; $D32,D_Processes!$T:$T),0)</f>
        <v>0</v>
      </c>
      <c r="AD32" s="224">
        <f>IFERROR(SUMIF(E_PurchPrec!$R:$R,CONST_PrecursorToGoodInput &amp; AD$6 &amp; "_" &amp; $D32,E_PurchPrec!$T:$T)/SUMIF(D_Processes!$R:$R,CONST_CNTR_TotProd &amp; $D32,D_Processes!$T:$T),0)</f>
        <v>0</v>
      </c>
      <c r="AE32" s="224">
        <f>IFERROR(SUMIF(E_PurchPrec!$R:$R,CONST_PrecursorToGoodInput &amp; AE$6 &amp; "_" &amp; $D32,E_PurchPrec!$T:$T)/SUMIF(D_Processes!$R:$R,CONST_CNTR_TotProd &amp; $D32,D_Processes!$T:$T),0)</f>
        <v>0</v>
      </c>
      <c r="AF32" s="224">
        <f>IFERROR(SUMIF(E_PurchPrec!$R:$R,CONST_PrecursorToGoodInput &amp; AF$6 &amp; "_" &amp; $D32,E_PurchPrec!$T:$T)/SUMIF(D_Processes!$R:$R,CONST_CNTR_TotProd &amp; $D32,D_Processes!$T:$T),0)</f>
        <v>0</v>
      </c>
      <c r="AG32" s="224">
        <f>IFERROR(SUMIF(E_PurchPrec!$R:$R,CONST_PrecursorToGoodInput &amp; AG$6 &amp; "_" &amp; $D32,E_PurchPrec!$T:$T)/SUMIF(D_Processes!$R:$R,CONST_CNTR_TotProd &amp; $D32,D_Processes!$T:$T),0)</f>
        <v>0</v>
      </c>
      <c r="AH32" s="332">
        <f>IFERROR(SUMIF(E_PurchPrec!$R:$R,CONST_PrecursorToGoodInput &amp; AH$6 &amp; "_" &amp; $D32,E_PurchPrec!$T:$T)/SUMIF(D_Processes!$R:$R,CONST_CNTR_TotProd &amp; $D32,D_Processes!$T:$T),0)</f>
        <v>0</v>
      </c>
      <c r="AR32" s="226"/>
      <c r="AS32" s="226"/>
      <c r="AT32" s="226"/>
      <c r="AU32" s="226"/>
      <c r="AV32" s="226"/>
      <c r="AW32" s="226"/>
      <c r="AX32" s="226"/>
      <c r="AY32" s="226"/>
      <c r="AZ32" s="226"/>
      <c r="BA32" s="226"/>
      <c r="BB32" s="226"/>
      <c r="BC32" s="226"/>
      <c r="BD32" s="226"/>
      <c r="BE32" s="226"/>
      <c r="BF32" s="226"/>
      <c r="BG32" s="226"/>
      <c r="BH32" s="226"/>
      <c r="BI32" s="226"/>
      <c r="BJ32" s="226"/>
      <c r="BK32" s="226"/>
      <c r="BL32" s="226"/>
      <c r="BM32" s="226"/>
      <c r="BN32" s="226"/>
      <c r="BO32" s="226"/>
      <c r="BP32" s="226"/>
      <c r="BQ32" s="226"/>
      <c r="BR32" s="226"/>
      <c r="BS32" s="226"/>
      <c r="BT32" s="226"/>
      <c r="BU32" s="226"/>
      <c r="BV32" s="226"/>
    </row>
    <row r="33" spans="2:74" ht="12.75" customHeight="1" x14ac:dyDescent="0.35">
      <c r="C33" s="223">
        <v>17</v>
      </c>
      <c r="D33" s="336" t="str">
        <f t="shared" si="4"/>
        <v/>
      </c>
      <c r="E33" s="331">
        <f>IFERROR(SUMIF(E_PurchPrec!$R:$R,CONST_PrecursorToGoodInput &amp; E$6 &amp; "_" &amp; $D33,E_PurchPrec!$T:$T)/SUMIF(D_Processes!$R:$R,CONST_CNTR_TotProd &amp; $D33,D_Processes!$T:$T),0)</f>
        <v>0</v>
      </c>
      <c r="F33" s="224">
        <f>IFERROR(SUMIF(E_PurchPrec!$R:$R,CONST_PrecursorToGoodInput &amp; F$6 &amp; "_" &amp; $D33,E_PurchPrec!$T:$T)/SUMIF(D_Processes!$R:$R,CONST_CNTR_TotProd &amp; $D33,D_Processes!$T:$T),0)</f>
        <v>0</v>
      </c>
      <c r="G33" s="224">
        <f>IFERROR(SUMIF(E_PurchPrec!$R:$R,CONST_PrecursorToGoodInput &amp; G$6 &amp; "_" &amp; $D33,E_PurchPrec!$T:$T)/SUMIF(D_Processes!$R:$R,CONST_CNTR_TotProd &amp; $D33,D_Processes!$T:$T),0)</f>
        <v>0</v>
      </c>
      <c r="H33" s="224">
        <f>IFERROR(SUMIF(E_PurchPrec!$R:$R,CONST_PrecursorToGoodInput &amp; H$6 &amp; "_" &amp; $D33,E_PurchPrec!$T:$T)/SUMIF(D_Processes!$R:$R,CONST_CNTR_TotProd &amp; $D33,D_Processes!$T:$T),0)</f>
        <v>0</v>
      </c>
      <c r="I33" s="224">
        <f>IFERROR(SUMIF(E_PurchPrec!$R:$R,CONST_PrecursorToGoodInput &amp; I$6 &amp; "_" &amp; $D33,E_PurchPrec!$T:$T)/SUMIF(D_Processes!$R:$R,CONST_CNTR_TotProd &amp; $D33,D_Processes!$T:$T),0)</f>
        <v>0</v>
      </c>
      <c r="J33" s="224">
        <f>IFERROR(SUMIF(E_PurchPrec!$R:$R,CONST_PrecursorToGoodInput &amp; J$6 &amp; "_" &amp; $D33,E_PurchPrec!$T:$T)/SUMIF(D_Processes!$R:$R,CONST_CNTR_TotProd &amp; $D33,D_Processes!$T:$T),0)</f>
        <v>0</v>
      </c>
      <c r="K33" s="224">
        <f>IFERROR(SUMIF(E_PurchPrec!$R:$R,CONST_PrecursorToGoodInput &amp; K$6 &amp; "_" &amp; $D33,E_PurchPrec!$T:$T)/SUMIF(D_Processes!$R:$R,CONST_CNTR_TotProd &amp; $D33,D_Processes!$T:$T),0)</f>
        <v>0</v>
      </c>
      <c r="L33" s="224">
        <f>IFERROR(SUMIF(E_PurchPrec!$R:$R,CONST_PrecursorToGoodInput &amp; L$6 &amp; "_" &amp; $D33,E_PurchPrec!$T:$T)/SUMIF(D_Processes!$R:$R,CONST_CNTR_TotProd &amp; $D33,D_Processes!$T:$T),0)</f>
        <v>0</v>
      </c>
      <c r="M33" s="224">
        <f>IFERROR(SUMIF(E_PurchPrec!$R:$R,CONST_PrecursorToGoodInput &amp; M$6 &amp; "_" &amp; $D33,E_PurchPrec!$T:$T)/SUMIF(D_Processes!$R:$R,CONST_CNTR_TotProd &amp; $D33,D_Processes!$T:$T),0)</f>
        <v>0</v>
      </c>
      <c r="N33" s="332">
        <f>IFERROR(SUMIF(E_PurchPrec!$R:$R,CONST_PrecursorToGoodInput &amp; N$6 &amp; "_" &amp; $D33,E_PurchPrec!$T:$T)/SUMIF(D_Processes!$R:$R,CONST_CNTR_TotProd &amp; $D33,D_Processes!$T:$T),0)</f>
        <v>0</v>
      </c>
      <c r="O33" s="331">
        <f>IFERROR(SUMIF(E_PurchPrec!$R:$R,CONST_PrecursorToGoodInput &amp; O$6 &amp; "_" &amp; $D33,E_PurchPrec!$T:$T)/SUMIF(D_Processes!$R:$R,CONST_CNTR_TotProd &amp; $D33,D_Processes!$T:$T),0)</f>
        <v>0</v>
      </c>
      <c r="P33" s="224">
        <f>IFERROR(SUMIF(E_PurchPrec!$R:$R,CONST_PrecursorToGoodInput &amp; P$6 &amp; "_" &amp; $D33,E_PurchPrec!$T:$T)/SUMIF(D_Processes!$R:$R,CONST_CNTR_TotProd &amp; $D33,D_Processes!$T:$T),0)</f>
        <v>0</v>
      </c>
      <c r="Q33" s="224">
        <f>IFERROR(SUMIF(E_PurchPrec!$R:$R,CONST_PrecursorToGoodInput &amp; Q$6 &amp; "_" &amp; $D33,E_PurchPrec!$T:$T)/SUMIF(D_Processes!$R:$R,CONST_CNTR_TotProd &amp; $D33,D_Processes!$T:$T),0)</f>
        <v>0</v>
      </c>
      <c r="R33" s="224">
        <f>IFERROR(SUMIF(E_PurchPrec!$R:$R,CONST_PrecursorToGoodInput &amp; R$6 &amp; "_" &amp; $D33,E_PurchPrec!$T:$T)/SUMIF(D_Processes!$R:$R,CONST_CNTR_TotProd &amp; $D33,D_Processes!$T:$T),0)</f>
        <v>0</v>
      </c>
      <c r="S33" s="224">
        <f>IFERROR(SUMIF(E_PurchPrec!$R:$R,CONST_PrecursorToGoodInput &amp; S$6 &amp; "_" &amp; $D33,E_PurchPrec!$T:$T)/SUMIF(D_Processes!$R:$R,CONST_CNTR_TotProd &amp; $D33,D_Processes!$T:$T),0)</f>
        <v>0</v>
      </c>
      <c r="T33" s="224">
        <f>IFERROR(SUMIF(E_PurchPrec!$R:$R,CONST_PrecursorToGoodInput &amp; T$6 &amp; "_" &amp; $D33,E_PurchPrec!$T:$T)/SUMIF(D_Processes!$R:$R,CONST_CNTR_TotProd &amp; $D33,D_Processes!$T:$T),0)</f>
        <v>0</v>
      </c>
      <c r="U33" s="224">
        <f>IFERROR(SUMIF(E_PurchPrec!$R:$R,CONST_PrecursorToGoodInput &amp; U$6 &amp; "_" &amp; $D33,E_PurchPrec!$T:$T)/SUMIF(D_Processes!$R:$R,CONST_CNTR_TotProd &amp; $D33,D_Processes!$T:$T),0)</f>
        <v>0</v>
      </c>
      <c r="V33" s="224">
        <f>IFERROR(SUMIF(E_PurchPrec!$R:$R,CONST_PrecursorToGoodInput &amp; V$6 &amp; "_" &amp; $D33,E_PurchPrec!$T:$T)/SUMIF(D_Processes!$R:$R,CONST_CNTR_TotProd &amp; $D33,D_Processes!$T:$T),0)</f>
        <v>0</v>
      </c>
      <c r="W33" s="224">
        <f>IFERROR(SUMIF(E_PurchPrec!$R:$R,CONST_PrecursorToGoodInput &amp; W$6 &amp; "_" &amp; $D33,E_PurchPrec!$T:$T)/SUMIF(D_Processes!$R:$R,CONST_CNTR_TotProd &amp; $D33,D_Processes!$T:$T),0)</f>
        <v>0</v>
      </c>
      <c r="X33" s="224">
        <f>IFERROR(SUMIF(E_PurchPrec!$R:$R,CONST_PrecursorToGoodInput &amp; X$6 &amp; "_" &amp; $D33,E_PurchPrec!$T:$T)/SUMIF(D_Processes!$R:$R,CONST_CNTR_TotProd &amp; $D33,D_Processes!$T:$T),0)</f>
        <v>0</v>
      </c>
      <c r="Y33" s="224">
        <f>IFERROR(SUMIF(E_PurchPrec!$R:$R,CONST_PrecursorToGoodInput &amp; Y$6 &amp; "_" &amp; $D33,E_PurchPrec!$T:$T)/SUMIF(D_Processes!$R:$R,CONST_CNTR_TotProd &amp; $D33,D_Processes!$T:$T),0)</f>
        <v>0</v>
      </c>
      <c r="Z33" s="224">
        <f>IFERROR(SUMIF(E_PurchPrec!$R:$R,CONST_PrecursorToGoodInput &amp; Z$6 &amp; "_" &amp; $D33,E_PurchPrec!$T:$T)/SUMIF(D_Processes!$R:$R,CONST_CNTR_TotProd &amp; $D33,D_Processes!$T:$T),0)</f>
        <v>0</v>
      </c>
      <c r="AA33" s="224">
        <f>IFERROR(SUMIF(E_PurchPrec!$R:$R,CONST_PrecursorToGoodInput &amp; AA$6 &amp; "_" &amp; $D33,E_PurchPrec!$T:$T)/SUMIF(D_Processes!$R:$R,CONST_CNTR_TotProd &amp; $D33,D_Processes!$T:$T),0)</f>
        <v>0</v>
      </c>
      <c r="AB33" s="224">
        <f>IFERROR(SUMIF(E_PurchPrec!$R:$R,CONST_PrecursorToGoodInput &amp; AB$6 &amp; "_" &amp; $D33,E_PurchPrec!$T:$T)/SUMIF(D_Processes!$R:$R,CONST_CNTR_TotProd &amp; $D33,D_Processes!$T:$T),0)</f>
        <v>0</v>
      </c>
      <c r="AC33" s="224">
        <f>IFERROR(SUMIF(E_PurchPrec!$R:$R,CONST_PrecursorToGoodInput &amp; AC$6 &amp; "_" &amp; $D33,E_PurchPrec!$T:$T)/SUMIF(D_Processes!$R:$R,CONST_CNTR_TotProd &amp; $D33,D_Processes!$T:$T),0)</f>
        <v>0</v>
      </c>
      <c r="AD33" s="224">
        <f>IFERROR(SUMIF(E_PurchPrec!$R:$R,CONST_PrecursorToGoodInput &amp; AD$6 &amp; "_" &amp; $D33,E_PurchPrec!$T:$T)/SUMIF(D_Processes!$R:$R,CONST_CNTR_TotProd &amp; $D33,D_Processes!$T:$T),0)</f>
        <v>0</v>
      </c>
      <c r="AE33" s="224">
        <f>IFERROR(SUMIF(E_PurchPrec!$R:$R,CONST_PrecursorToGoodInput &amp; AE$6 &amp; "_" &amp; $D33,E_PurchPrec!$T:$T)/SUMIF(D_Processes!$R:$R,CONST_CNTR_TotProd &amp; $D33,D_Processes!$T:$T),0)</f>
        <v>0</v>
      </c>
      <c r="AF33" s="224">
        <f>IFERROR(SUMIF(E_PurchPrec!$R:$R,CONST_PrecursorToGoodInput &amp; AF$6 &amp; "_" &amp; $D33,E_PurchPrec!$T:$T)/SUMIF(D_Processes!$R:$R,CONST_CNTR_TotProd &amp; $D33,D_Processes!$T:$T),0)</f>
        <v>0</v>
      </c>
      <c r="AG33" s="224">
        <f>IFERROR(SUMIF(E_PurchPrec!$R:$R,CONST_PrecursorToGoodInput &amp; AG$6 &amp; "_" &amp; $D33,E_PurchPrec!$T:$T)/SUMIF(D_Processes!$R:$R,CONST_CNTR_TotProd &amp; $D33,D_Processes!$T:$T),0)</f>
        <v>0</v>
      </c>
      <c r="AH33" s="332">
        <f>IFERROR(SUMIF(E_PurchPrec!$R:$R,CONST_PrecursorToGoodInput &amp; AH$6 &amp; "_" &amp; $D33,E_PurchPrec!$T:$T)/SUMIF(D_Processes!$R:$R,CONST_CNTR_TotProd &amp; $D33,D_Processes!$T:$T),0)</f>
        <v>0</v>
      </c>
      <c r="AR33" s="226"/>
      <c r="AS33" s="226"/>
      <c r="AT33" s="226"/>
      <c r="AU33" s="226"/>
      <c r="AV33" s="226"/>
      <c r="AW33" s="226"/>
      <c r="AX33" s="226"/>
      <c r="AY33" s="226"/>
      <c r="AZ33" s="226"/>
      <c r="BA33" s="226"/>
      <c r="BB33" s="226"/>
      <c r="BC33" s="226"/>
      <c r="BD33" s="226"/>
      <c r="BE33" s="226"/>
      <c r="BF33" s="226"/>
      <c r="BG33" s="226"/>
      <c r="BH33" s="226"/>
      <c r="BI33" s="226"/>
      <c r="BJ33" s="226"/>
      <c r="BK33" s="226"/>
      <c r="BL33" s="226"/>
      <c r="BM33" s="226"/>
      <c r="BN33" s="226"/>
      <c r="BO33" s="226"/>
      <c r="BP33" s="226"/>
      <c r="BQ33" s="226"/>
      <c r="BR33" s="226"/>
      <c r="BS33" s="226"/>
      <c r="BT33" s="226"/>
      <c r="BU33" s="226"/>
      <c r="BV33" s="226"/>
    </row>
    <row r="34" spans="2:74" ht="12.75" customHeight="1" x14ac:dyDescent="0.35">
      <c r="C34" s="223">
        <v>18</v>
      </c>
      <c r="D34" s="336" t="str">
        <f t="shared" si="4"/>
        <v/>
      </c>
      <c r="E34" s="331">
        <f>IFERROR(SUMIF(E_PurchPrec!$R:$R,CONST_PrecursorToGoodInput &amp; E$6 &amp; "_" &amp; $D34,E_PurchPrec!$T:$T)/SUMIF(D_Processes!$R:$R,CONST_CNTR_TotProd &amp; $D34,D_Processes!$T:$T),0)</f>
        <v>0</v>
      </c>
      <c r="F34" s="224">
        <f>IFERROR(SUMIF(E_PurchPrec!$R:$R,CONST_PrecursorToGoodInput &amp; F$6 &amp; "_" &amp; $D34,E_PurchPrec!$T:$T)/SUMIF(D_Processes!$R:$R,CONST_CNTR_TotProd &amp; $D34,D_Processes!$T:$T),0)</f>
        <v>0</v>
      </c>
      <c r="G34" s="224">
        <f>IFERROR(SUMIF(E_PurchPrec!$R:$R,CONST_PrecursorToGoodInput &amp; G$6 &amp; "_" &amp; $D34,E_PurchPrec!$T:$T)/SUMIF(D_Processes!$R:$R,CONST_CNTR_TotProd &amp; $D34,D_Processes!$T:$T),0)</f>
        <v>0</v>
      </c>
      <c r="H34" s="224">
        <f>IFERROR(SUMIF(E_PurchPrec!$R:$R,CONST_PrecursorToGoodInput &amp; H$6 &amp; "_" &amp; $D34,E_PurchPrec!$T:$T)/SUMIF(D_Processes!$R:$R,CONST_CNTR_TotProd &amp; $D34,D_Processes!$T:$T),0)</f>
        <v>0</v>
      </c>
      <c r="I34" s="224">
        <f>IFERROR(SUMIF(E_PurchPrec!$R:$R,CONST_PrecursorToGoodInput &amp; I$6 &amp; "_" &amp; $D34,E_PurchPrec!$T:$T)/SUMIF(D_Processes!$R:$R,CONST_CNTR_TotProd &amp; $D34,D_Processes!$T:$T),0)</f>
        <v>0</v>
      </c>
      <c r="J34" s="224">
        <f>IFERROR(SUMIF(E_PurchPrec!$R:$R,CONST_PrecursorToGoodInput &amp; J$6 &amp; "_" &amp; $D34,E_PurchPrec!$T:$T)/SUMIF(D_Processes!$R:$R,CONST_CNTR_TotProd &amp; $D34,D_Processes!$T:$T),0)</f>
        <v>0</v>
      </c>
      <c r="K34" s="224">
        <f>IFERROR(SUMIF(E_PurchPrec!$R:$R,CONST_PrecursorToGoodInput &amp; K$6 &amp; "_" &amp; $D34,E_PurchPrec!$T:$T)/SUMIF(D_Processes!$R:$R,CONST_CNTR_TotProd &amp; $D34,D_Processes!$T:$T),0)</f>
        <v>0</v>
      </c>
      <c r="L34" s="224">
        <f>IFERROR(SUMIF(E_PurchPrec!$R:$R,CONST_PrecursorToGoodInput &amp; L$6 &amp; "_" &amp; $D34,E_PurchPrec!$T:$T)/SUMIF(D_Processes!$R:$R,CONST_CNTR_TotProd &amp; $D34,D_Processes!$T:$T),0)</f>
        <v>0</v>
      </c>
      <c r="M34" s="224">
        <f>IFERROR(SUMIF(E_PurchPrec!$R:$R,CONST_PrecursorToGoodInput &amp; M$6 &amp; "_" &amp; $D34,E_PurchPrec!$T:$T)/SUMIF(D_Processes!$R:$R,CONST_CNTR_TotProd &amp; $D34,D_Processes!$T:$T),0)</f>
        <v>0</v>
      </c>
      <c r="N34" s="332">
        <f>IFERROR(SUMIF(E_PurchPrec!$R:$R,CONST_PrecursorToGoodInput &amp; N$6 &amp; "_" &amp; $D34,E_PurchPrec!$T:$T)/SUMIF(D_Processes!$R:$R,CONST_CNTR_TotProd &amp; $D34,D_Processes!$T:$T),0)</f>
        <v>0</v>
      </c>
      <c r="O34" s="331">
        <f>IFERROR(SUMIF(E_PurchPrec!$R:$R,CONST_PrecursorToGoodInput &amp; O$6 &amp; "_" &amp; $D34,E_PurchPrec!$T:$T)/SUMIF(D_Processes!$R:$R,CONST_CNTR_TotProd &amp; $D34,D_Processes!$T:$T),0)</f>
        <v>0</v>
      </c>
      <c r="P34" s="224">
        <f>IFERROR(SUMIF(E_PurchPrec!$R:$R,CONST_PrecursorToGoodInput &amp; P$6 &amp; "_" &amp; $D34,E_PurchPrec!$T:$T)/SUMIF(D_Processes!$R:$R,CONST_CNTR_TotProd &amp; $D34,D_Processes!$T:$T),0)</f>
        <v>0</v>
      </c>
      <c r="Q34" s="224">
        <f>IFERROR(SUMIF(E_PurchPrec!$R:$R,CONST_PrecursorToGoodInput &amp; Q$6 &amp; "_" &amp; $D34,E_PurchPrec!$T:$T)/SUMIF(D_Processes!$R:$R,CONST_CNTR_TotProd &amp; $D34,D_Processes!$T:$T),0)</f>
        <v>0</v>
      </c>
      <c r="R34" s="224">
        <f>IFERROR(SUMIF(E_PurchPrec!$R:$R,CONST_PrecursorToGoodInput &amp; R$6 &amp; "_" &amp; $D34,E_PurchPrec!$T:$T)/SUMIF(D_Processes!$R:$R,CONST_CNTR_TotProd &amp; $D34,D_Processes!$T:$T),0)</f>
        <v>0</v>
      </c>
      <c r="S34" s="224">
        <f>IFERROR(SUMIF(E_PurchPrec!$R:$R,CONST_PrecursorToGoodInput &amp; S$6 &amp; "_" &amp; $D34,E_PurchPrec!$T:$T)/SUMIF(D_Processes!$R:$R,CONST_CNTR_TotProd &amp; $D34,D_Processes!$T:$T),0)</f>
        <v>0</v>
      </c>
      <c r="T34" s="224">
        <f>IFERROR(SUMIF(E_PurchPrec!$R:$R,CONST_PrecursorToGoodInput &amp; T$6 &amp; "_" &amp; $D34,E_PurchPrec!$T:$T)/SUMIF(D_Processes!$R:$R,CONST_CNTR_TotProd &amp; $D34,D_Processes!$T:$T),0)</f>
        <v>0</v>
      </c>
      <c r="U34" s="224">
        <f>IFERROR(SUMIF(E_PurchPrec!$R:$R,CONST_PrecursorToGoodInput &amp; U$6 &amp; "_" &amp; $D34,E_PurchPrec!$T:$T)/SUMIF(D_Processes!$R:$R,CONST_CNTR_TotProd &amp; $D34,D_Processes!$T:$T),0)</f>
        <v>0</v>
      </c>
      <c r="V34" s="224">
        <f>IFERROR(SUMIF(E_PurchPrec!$R:$R,CONST_PrecursorToGoodInput &amp; V$6 &amp; "_" &amp; $D34,E_PurchPrec!$T:$T)/SUMIF(D_Processes!$R:$R,CONST_CNTR_TotProd &amp; $D34,D_Processes!$T:$T),0)</f>
        <v>0</v>
      </c>
      <c r="W34" s="224">
        <f>IFERROR(SUMIF(E_PurchPrec!$R:$R,CONST_PrecursorToGoodInput &amp; W$6 &amp; "_" &amp; $D34,E_PurchPrec!$T:$T)/SUMIF(D_Processes!$R:$R,CONST_CNTR_TotProd &amp; $D34,D_Processes!$T:$T),0)</f>
        <v>0</v>
      </c>
      <c r="X34" s="224">
        <f>IFERROR(SUMIF(E_PurchPrec!$R:$R,CONST_PrecursorToGoodInput &amp; X$6 &amp; "_" &amp; $D34,E_PurchPrec!$T:$T)/SUMIF(D_Processes!$R:$R,CONST_CNTR_TotProd &amp; $D34,D_Processes!$T:$T),0)</f>
        <v>0</v>
      </c>
      <c r="Y34" s="224">
        <f>IFERROR(SUMIF(E_PurchPrec!$R:$R,CONST_PrecursorToGoodInput &amp; Y$6 &amp; "_" &amp; $D34,E_PurchPrec!$T:$T)/SUMIF(D_Processes!$R:$R,CONST_CNTR_TotProd &amp; $D34,D_Processes!$T:$T),0)</f>
        <v>0</v>
      </c>
      <c r="Z34" s="224">
        <f>IFERROR(SUMIF(E_PurchPrec!$R:$R,CONST_PrecursorToGoodInput &amp; Z$6 &amp; "_" &amp; $D34,E_PurchPrec!$T:$T)/SUMIF(D_Processes!$R:$R,CONST_CNTR_TotProd &amp; $D34,D_Processes!$T:$T),0)</f>
        <v>0</v>
      </c>
      <c r="AA34" s="224">
        <f>IFERROR(SUMIF(E_PurchPrec!$R:$R,CONST_PrecursorToGoodInput &amp; AA$6 &amp; "_" &amp; $D34,E_PurchPrec!$T:$T)/SUMIF(D_Processes!$R:$R,CONST_CNTR_TotProd &amp; $D34,D_Processes!$T:$T),0)</f>
        <v>0</v>
      </c>
      <c r="AB34" s="224">
        <f>IFERROR(SUMIF(E_PurchPrec!$R:$R,CONST_PrecursorToGoodInput &amp; AB$6 &amp; "_" &amp; $D34,E_PurchPrec!$T:$T)/SUMIF(D_Processes!$R:$R,CONST_CNTR_TotProd &amp; $D34,D_Processes!$T:$T),0)</f>
        <v>0</v>
      </c>
      <c r="AC34" s="224">
        <f>IFERROR(SUMIF(E_PurchPrec!$R:$R,CONST_PrecursorToGoodInput &amp; AC$6 &amp; "_" &amp; $D34,E_PurchPrec!$T:$T)/SUMIF(D_Processes!$R:$R,CONST_CNTR_TotProd &amp; $D34,D_Processes!$T:$T),0)</f>
        <v>0</v>
      </c>
      <c r="AD34" s="224">
        <f>IFERROR(SUMIF(E_PurchPrec!$R:$R,CONST_PrecursorToGoodInput &amp; AD$6 &amp; "_" &amp; $D34,E_PurchPrec!$T:$T)/SUMIF(D_Processes!$R:$R,CONST_CNTR_TotProd &amp; $D34,D_Processes!$T:$T),0)</f>
        <v>0</v>
      </c>
      <c r="AE34" s="224">
        <f>IFERROR(SUMIF(E_PurchPrec!$R:$R,CONST_PrecursorToGoodInput &amp; AE$6 &amp; "_" &amp; $D34,E_PurchPrec!$T:$T)/SUMIF(D_Processes!$R:$R,CONST_CNTR_TotProd &amp; $D34,D_Processes!$T:$T),0)</f>
        <v>0</v>
      </c>
      <c r="AF34" s="224">
        <f>IFERROR(SUMIF(E_PurchPrec!$R:$R,CONST_PrecursorToGoodInput &amp; AF$6 &amp; "_" &amp; $D34,E_PurchPrec!$T:$T)/SUMIF(D_Processes!$R:$R,CONST_CNTR_TotProd &amp; $D34,D_Processes!$T:$T),0)</f>
        <v>0</v>
      </c>
      <c r="AG34" s="224">
        <f>IFERROR(SUMIF(E_PurchPrec!$R:$R,CONST_PrecursorToGoodInput &amp; AG$6 &amp; "_" &amp; $D34,E_PurchPrec!$T:$T)/SUMIF(D_Processes!$R:$R,CONST_CNTR_TotProd &amp; $D34,D_Processes!$T:$T),0)</f>
        <v>0</v>
      </c>
      <c r="AH34" s="332">
        <f>IFERROR(SUMIF(E_PurchPrec!$R:$R,CONST_PrecursorToGoodInput &amp; AH$6 &amp; "_" &amp; $D34,E_PurchPrec!$T:$T)/SUMIF(D_Processes!$R:$R,CONST_CNTR_TotProd &amp; $D34,D_Processes!$T:$T),0)</f>
        <v>0</v>
      </c>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row>
    <row r="35" spans="2:74" ht="12.75" customHeight="1" x14ac:dyDescent="0.35">
      <c r="C35" s="223">
        <v>19</v>
      </c>
      <c r="D35" s="336" t="str">
        <f t="shared" si="4"/>
        <v/>
      </c>
      <c r="E35" s="331">
        <f>IFERROR(SUMIF(E_PurchPrec!$R:$R,CONST_PrecursorToGoodInput &amp; E$6 &amp; "_" &amp; $D35,E_PurchPrec!$T:$T)/SUMIF(D_Processes!$R:$R,CONST_CNTR_TotProd &amp; $D35,D_Processes!$T:$T),0)</f>
        <v>0</v>
      </c>
      <c r="F35" s="224">
        <f>IFERROR(SUMIF(E_PurchPrec!$R:$R,CONST_PrecursorToGoodInput &amp; F$6 &amp; "_" &amp; $D35,E_PurchPrec!$T:$T)/SUMIF(D_Processes!$R:$R,CONST_CNTR_TotProd &amp; $D35,D_Processes!$T:$T),0)</f>
        <v>0</v>
      </c>
      <c r="G35" s="224">
        <f>IFERROR(SUMIF(E_PurchPrec!$R:$R,CONST_PrecursorToGoodInput &amp; G$6 &amp; "_" &amp; $D35,E_PurchPrec!$T:$T)/SUMIF(D_Processes!$R:$R,CONST_CNTR_TotProd &amp; $D35,D_Processes!$T:$T),0)</f>
        <v>0</v>
      </c>
      <c r="H35" s="224">
        <f>IFERROR(SUMIF(E_PurchPrec!$R:$R,CONST_PrecursorToGoodInput &amp; H$6 &amp; "_" &amp; $D35,E_PurchPrec!$T:$T)/SUMIF(D_Processes!$R:$R,CONST_CNTR_TotProd &amp; $D35,D_Processes!$T:$T),0)</f>
        <v>0</v>
      </c>
      <c r="I35" s="224">
        <f>IFERROR(SUMIF(E_PurchPrec!$R:$R,CONST_PrecursorToGoodInput &amp; I$6 &amp; "_" &amp; $D35,E_PurchPrec!$T:$T)/SUMIF(D_Processes!$R:$R,CONST_CNTR_TotProd &amp; $D35,D_Processes!$T:$T),0)</f>
        <v>0</v>
      </c>
      <c r="J35" s="224">
        <f>IFERROR(SUMIF(E_PurchPrec!$R:$R,CONST_PrecursorToGoodInput &amp; J$6 &amp; "_" &amp; $D35,E_PurchPrec!$T:$T)/SUMIF(D_Processes!$R:$R,CONST_CNTR_TotProd &amp; $D35,D_Processes!$T:$T),0)</f>
        <v>0</v>
      </c>
      <c r="K35" s="224">
        <f>IFERROR(SUMIF(E_PurchPrec!$R:$R,CONST_PrecursorToGoodInput &amp; K$6 &amp; "_" &amp; $D35,E_PurchPrec!$T:$T)/SUMIF(D_Processes!$R:$R,CONST_CNTR_TotProd &amp; $D35,D_Processes!$T:$T),0)</f>
        <v>0</v>
      </c>
      <c r="L35" s="224">
        <f>IFERROR(SUMIF(E_PurchPrec!$R:$R,CONST_PrecursorToGoodInput &amp; L$6 &amp; "_" &amp; $D35,E_PurchPrec!$T:$T)/SUMIF(D_Processes!$R:$R,CONST_CNTR_TotProd &amp; $D35,D_Processes!$T:$T),0)</f>
        <v>0</v>
      </c>
      <c r="M35" s="224">
        <f>IFERROR(SUMIF(E_PurchPrec!$R:$R,CONST_PrecursorToGoodInput &amp; M$6 &amp; "_" &amp; $D35,E_PurchPrec!$T:$T)/SUMIF(D_Processes!$R:$R,CONST_CNTR_TotProd &amp; $D35,D_Processes!$T:$T),0)</f>
        <v>0</v>
      </c>
      <c r="N35" s="332">
        <f>IFERROR(SUMIF(E_PurchPrec!$R:$R,CONST_PrecursorToGoodInput &amp; N$6 &amp; "_" &amp; $D35,E_PurchPrec!$T:$T)/SUMIF(D_Processes!$R:$R,CONST_CNTR_TotProd &amp; $D35,D_Processes!$T:$T),0)</f>
        <v>0</v>
      </c>
      <c r="O35" s="331">
        <f>IFERROR(SUMIF(E_PurchPrec!$R:$R,CONST_PrecursorToGoodInput &amp; O$6 &amp; "_" &amp; $D35,E_PurchPrec!$T:$T)/SUMIF(D_Processes!$R:$R,CONST_CNTR_TotProd &amp; $D35,D_Processes!$T:$T),0)</f>
        <v>0</v>
      </c>
      <c r="P35" s="224">
        <f>IFERROR(SUMIF(E_PurchPrec!$R:$R,CONST_PrecursorToGoodInput &amp; P$6 &amp; "_" &amp; $D35,E_PurchPrec!$T:$T)/SUMIF(D_Processes!$R:$R,CONST_CNTR_TotProd &amp; $D35,D_Processes!$T:$T),0)</f>
        <v>0</v>
      </c>
      <c r="Q35" s="224">
        <f>IFERROR(SUMIF(E_PurchPrec!$R:$R,CONST_PrecursorToGoodInput &amp; Q$6 &amp; "_" &amp; $D35,E_PurchPrec!$T:$T)/SUMIF(D_Processes!$R:$R,CONST_CNTR_TotProd &amp; $D35,D_Processes!$T:$T),0)</f>
        <v>0</v>
      </c>
      <c r="R35" s="224">
        <f>IFERROR(SUMIF(E_PurchPrec!$R:$R,CONST_PrecursorToGoodInput &amp; R$6 &amp; "_" &amp; $D35,E_PurchPrec!$T:$T)/SUMIF(D_Processes!$R:$R,CONST_CNTR_TotProd &amp; $D35,D_Processes!$T:$T),0)</f>
        <v>0</v>
      </c>
      <c r="S35" s="224">
        <f>IFERROR(SUMIF(E_PurchPrec!$R:$R,CONST_PrecursorToGoodInput &amp; S$6 &amp; "_" &amp; $D35,E_PurchPrec!$T:$T)/SUMIF(D_Processes!$R:$R,CONST_CNTR_TotProd &amp; $D35,D_Processes!$T:$T),0)</f>
        <v>0</v>
      </c>
      <c r="T35" s="224">
        <f>IFERROR(SUMIF(E_PurchPrec!$R:$R,CONST_PrecursorToGoodInput &amp; T$6 &amp; "_" &amp; $D35,E_PurchPrec!$T:$T)/SUMIF(D_Processes!$R:$R,CONST_CNTR_TotProd &amp; $D35,D_Processes!$T:$T),0)</f>
        <v>0</v>
      </c>
      <c r="U35" s="224">
        <f>IFERROR(SUMIF(E_PurchPrec!$R:$R,CONST_PrecursorToGoodInput &amp; U$6 &amp; "_" &amp; $D35,E_PurchPrec!$T:$T)/SUMIF(D_Processes!$R:$R,CONST_CNTR_TotProd &amp; $D35,D_Processes!$T:$T),0)</f>
        <v>0</v>
      </c>
      <c r="V35" s="224">
        <f>IFERROR(SUMIF(E_PurchPrec!$R:$R,CONST_PrecursorToGoodInput &amp; V$6 &amp; "_" &amp; $D35,E_PurchPrec!$T:$T)/SUMIF(D_Processes!$R:$R,CONST_CNTR_TotProd &amp; $D35,D_Processes!$T:$T),0)</f>
        <v>0</v>
      </c>
      <c r="W35" s="224">
        <f>IFERROR(SUMIF(E_PurchPrec!$R:$R,CONST_PrecursorToGoodInput &amp; W$6 &amp; "_" &amp; $D35,E_PurchPrec!$T:$T)/SUMIF(D_Processes!$R:$R,CONST_CNTR_TotProd &amp; $D35,D_Processes!$T:$T),0)</f>
        <v>0</v>
      </c>
      <c r="X35" s="224">
        <f>IFERROR(SUMIF(E_PurchPrec!$R:$R,CONST_PrecursorToGoodInput &amp; X$6 &amp; "_" &amp; $D35,E_PurchPrec!$T:$T)/SUMIF(D_Processes!$R:$R,CONST_CNTR_TotProd &amp; $D35,D_Processes!$T:$T),0)</f>
        <v>0</v>
      </c>
      <c r="Y35" s="224">
        <f>IFERROR(SUMIF(E_PurchPrec!$R:$R,CONST_PrecursorToGoodInput &amp; Y$6 &amp; "_" &amp; $D35,E_PurchPrec!$T:$T)/SUMIF(D_Processes!$R:$R,CONST_CNTR_TotProd &amp; $D35,D_Processes!$T:$T),0)</f>
        <v>0</v>
      </c>
      <c r="Z35" s="224">
        <f>IFERROR(SUMIF(E_PurchPrec!$R:$R,CONST_PrecursorToGoodInput &amp; Z$6 &amp; "_" &amp; $D35,E_PurchPrec!$T:$T)/SUMIF(D_Processes!$R:$R,CONST_CNTR_TotProd &amp; $D35,D_Processes!$T:$T),0)</f>
        <v>0</v>
      </c>
      <c r="AA35" s="224">
        <f>IFERROR(SUMIF(E_PurchPrec!$R:$R,CONST_PrecursorToGoodInput &amp; AA$6 &amp; "_" &amp; $D35,E_PurchPrec!$T:$T)/SUMIF(D_Processes!$R:$R,CONST_CNTR_TotProd &amp; $D35,D_Processes!$T:$T),0)</f>
        <v>0</v>
      </c>
      <c r="AB35" s="224">
        <f>IFERROR(SUMIF(E_PurchPrec!$R:$R,CONST_PrecursorToGoodInput &amp; AB$6 &amp; "_" &amp; $D35,E_PurchPrec!$T:$T)/SUMIF(D_Processes!$R:$R,CONST_CNTR_TotProd &amp; $D35,D_Processes!$T:$T),0)</f>
        <v>0</v>
      </c>
      <c r="AC35" s="224">
        <f>IFERROR(SUMIF(E_PurchPrec!$R:$R,CONST_PrecursorToGoodInput &amp; AC$6 &amp; "_" &amp; $D35,E_PurchPrec!$T:$T)/SUMIF(D_Processes!$R:$R,CONST_CNTR_TotProd &amp; $D35,D_Processes!$T:$T),0)</f>
        <v>0</v>
      </c>
      <c r="AD35" s="224">
        <f>IFERROR(SUMIF(E_PurchPrec!$R:$R,CONST_PrecursorToGoodInput &amp; AD$6 &amp; "_" &amp; $D35,E_PurchPrec!$T:$T)/SUMIF(D_Processes!$R:$R,CONST_CNTR_TotProd &amp; $D35,D_Processes!$T:$T),0)</f>
        <v>0</v>
      </c>
      <c r="AE35" s="224">
        <f>IFERROR(SUMIF(E_PurchPrec!$R:$R,CONST_PrecursorToGoodInput &amp; AE$6 &amp; "_" &amp; $D35,E_PurchPrec!$T:$T)/SUMIF(D_Processes!$R:$R,CONST_CNTR_TotProd &amp; $D35,D_Processes!$T:$T),0)</f>
        <v>0</v>
      </c>
      <c r="AF35" s="224">
        <f>IFERROR(SUMIF(E_PurchPrec!$R:$R,CONST_PrecursorToGoodInput &amp; AF$6 &amp; "_" &amp; $D35,E_PurchPrec!$T:$T)/SUMIF(D_Processes!$R:$R,CONST_CNTR_TotProd &amp; $D35,D_Processes!$T:$T),0)</f>
        <v>0</v>
      </c>
      <c r="AG35" s="224">
        <f>IFERROR(SUMIF(E_PurchPrec!$R:$R,CONST_PrecursorToGoodInput &amp; AG$6 &amp; "_" &amp; $D35,E_PurchPrec!$T:$T)/SUMIF(D_Processes!$R:$R,CONST_CNTR_TotProd &amp; $D35,D_Processes!$T:$T),0)</f>
        <v>0</v>
      </c>
      <c r="AH35" s="332">
        <f>IFERROR(SUMIF(E_PurchPrec!$R:$R,CONST_PrecursorToGoodInput &amp; AH$6 &amp; "_" &amp; $D35,E_PurchPrec!$T:$T)/SUMIF(D_Processes!$R:$R,CONST_CNTR_TotProd &amp; $D35,D_Processes!$T:$T),0)</f>
        <v>0</v>
      </c>
      <c r="AR35" s="226"/>
      <c r="AS35" s="226"/>
      <c r="AT35" s="226"/>
      <c r="AU35" s="226"/>
      <c r="AV35" s="226"/>
      <c r="AW35" s="226"/>
      <c r="AX35" s="226"/>
      <c r="AY35" s="226"/>
      <c r="AZ35" s="226"/>
      <c r="BA35" s="226"/>
      <c r="BB35" s="226"/>
      <c r="BC35" s="226"/>
      <c r="BD35" s="226"/>
      <c r="BE35" s="226"/>
      <c r="BF35" s="226"/>
      <c r="BG35" s="226"/>
      <c r="BH35" s="226"/>
      <c r="BI35" s="226"/>
      <c r="BJ35" s="226"/>
      <c r="BK35" s="226"/>
      <c r="BL35" s="226"/>
      <c r="BM35" s="226"/>
      <c r="BN35" s="226"/>
      <c r="BO35" s="226"/>
      <c r="BP35" s="226"/>
      <c r="BQ35" s="226"/>
      <c r="BR35" s="226"/>
      <c r="BS35" s="226"/>
      <c r="BT35" s="226"/>
      <c r="BU35" s="226"/>
      <c r="BV35" s="226"/>
    </row>
    <row r="36" spans="2:74" ht="12.75" customHeight="1" thickBot="1" x14ac:dyDescent="0.4">
      <c r="C36" s="223">
        <v>20</v>
      </c>
      <c r="D36" s="337" t="str">
        <f t="shared" si="4"/>
        <v/>
      </c>
      <c r="E36" s="333">
        <f>IFERROR(SUMIF(E_PurchPrec!$R:$R,CONST_PrecursorToGoodInput &amp; E$6 &amp; "_" &amp; $D36,E_PurchPrec!$T:$T)/SUMIF(D_Processes!$R:$R,CONST_CNTR_TotProd &amp; $D36,D_Processes!$T:$T),0)</f>
        <v>0</v>
      </c>
      <c r="F36" s="334">
        <f>IFERROR(SUMIF(E_PurchPrec!$R:$R,CONST_PrecursorToGoodInput &amp; F$6 &amp; "_" &amp; $D36,E_PurchPrec!$T:$T)/SUMIF(D_Processes!$R:$R,CONST_CNTR_TotProd &amp; $D36,D_Processes!$T:$T),0)</f>
        <v>0</v>
      </c>
      <c r="G36" s="334">
        <f>IFERROR(SUMIF(E_PurchPrec!$R:$R,CONST_PrecursorToGoodInput &amp; G$6 &amp; "_" &amp; $D36,E_PurchPrec!$T:$T)/SUMIF(D_Processes!$R:$R,CONST_CNTR_TotProd &amp; $D36,D_Processes!$T:$T),0)</f>
        <v>0</v>
      </c>
      <c r="H36" s="334">
        <f>IFERROR(SUMIF(E_PurchPrec!$R:$R,CONST_PrecursorToGoodInput &amp; H$6 &amp; "_" &amp; $D36,E_PurchPrec!$T:$T)/SUMIF(D_Processes!$R:$R,CONST_CNTR_TotProd &amp; $D36,D_Processes!$T:$T),0)</f>
        <v>0</v>
      </c>
      <c r="I36" s="334">
        <f>IFERROR(SUMIF(E_PurchPrec!$R:$R,CONST_PrecursorToGoodInput &amp; I$6 &amp; "_" &amp; $D36,E_PurchPrec!$T:$T)/SUMIF(D_Processes!$R:$R,CONST_CNTR_TotProd &amp; $D36,D_Processes!$T:$T),0)</f>
        <v>0</v>
      </c>
      <c r="J36" s="334">
        <f>IFERROR(SUMIF(E_PurchPrec!$R:$R,CONST_PrecursorToGoodInput &amp; J$6 &amp; "_" &amp; $D36,E_PurchPrec!$T:$T)/SUMIF(D_Processes!$R:$R,CONST_CNTR_TotProd &amp; $D36,D_Processes!$T:$T),0)</f>
        <v>0</v>
      </c>
      <c r="K36" s="334">
        <f>IFERROR(SUMIF(E_PurchPrec!$R:$R,CONST_PrecursorToGoodInput &amp; K$6 &amp; "_" &amp; $D36,E_PurchPrec!$T:$T)/SUMIF(D_Processes!$R:$R,CONST_CNTR_TotProd &amp; $D36,D_Processes!$T:$T),0)</f>
        <v>0</v>
      </c>
      <c r="L36" s="334">
        <f>IFERROR(SUMIF(E_PurchPrec!$R:$R,CONST_PrecursorToGoodInput &amp; L$6 &amp; "_" &amp; $D36,E_PurchPrec!$T:$T)/SUMIF(D_Processes!$R:$R,CONST_CNTR_TotProd &amp; $D36,D_Processes!$T:$T),0)</f>
        <v>0</v>
      </c>
      <c r="M36" s="334">
        <f>IFERROR(SUMIF(E_PurchPrec!$R:$R,CONST_PrecursorToGoodInput &amp; M$6 &amp; "_" &amp; $D36,E_PurchPrec!$T:$T)/SUMIF(D_Processes!$R:$R,CONST_CNTR_TotProd &amp; $D36,D_Processes!$T:$T),0)</f>
        <v>0</v>
      </c>
      <c r="N36" s="335">
        <f>IFERROR(SUMIF(E_PurchPrec!$R:$R,CONST_PrecursorToGoodInput &amp; N$6 &amp; "_" &amp; $D36,E_PurchPrec!$T:$T)/SUMIF(D_Processes!$R:$R,CONST_CNTR_TotProd &amp; $D36,D_Processes!$T:$T),0)</f>
        <v>0</v>
      </c>
      <c r="O36" s="333">
        <f>IFERROR(SUMIF(E_PurchPrec!$R:$R,CONST_PrecursorToGoodInput &amp; O$6 &amp; "_" &amp; $D36,E_PurchPrec!$T:$T)/SUMIF(D_Processes!$R:$R,CONST_CNTR_TotProd &amp; $D36,D_Processes!$T:$T),0)</f>
        <v>0</v>
      </c>
      <c r="P36" s="334">
        <f>IFERROR(SUMIF(E_PurchPrec!$R:$R,CONST_PrecursorToGoodInput &amp; P$6 &amp; "_" &amp; $D36,E_PurchPrec!$T:$T)/SUMIF(D_Processes!$R:$R,CONST_CNTR_TotProd &amp; $D36,D_Processes!$T:$T),0)</f>
        <v>0</v>
      </c>
      <c r="Q36" s="334">
        <f>IFERROR(SUMIF(E_PurchPrec!$R:$R,CONST_PrecursorToGoodInput &amp; Q$6 &amp; "_" &amp; $D36,E_PurchPrec!$T:$T)/SUMIF(D_Processes!$R:$R,CONST_CNTR_TotProd &amp; $D36,D_Processes!$T:$T),0)</f>
        <v>0</v>
      </c>
      <c r="R36" s="334">
        <f>IFERROR(SUMIF(E_PurchPrec!$R:$R,CONST_PrecursorToGoodInput &amp; R$6 &amp; "_" &amp; $D36,E_PurchPrec!$T:$T)/SUMIF(D_Processes!$R:$R,CONST_CNTR_TotProd &amp; $D36,D_Processes!$T:$T),0)</f>
        <v>0</v>
      </c>
      <c r="S36" s="334">
        <f>IFERROR(SUMIF(E_PurchPrec!$R:$R,CONST_PrecursorToGoodInput &amp; S$6 &amp; "_" &amp; $D36,E_PurchPrec!$T:$T)/SUMIF(D_Processes!$R:$R,CONST_CNTR_TotProd &amp; $D36,D_Processes!$T:$T),0)</f>
        <v>0</v>
      </c>
      <c r="T36" s="334">
        <f>IFERROR(SUMIF(E_PurchPrec!$R:$R,CONST_PrecursorToGoodInput &amp; T$6 &amp; "_" &amp; $D36,E_PurchPrec!$T:$T)/SUMIF(D_Processes!$R:$R,CONST_CNTR_TotProd &amp; $D36,D_Processes!$T:$T),0)</f>
        <v>0</v>
      </c>
      <c r="U36" s="334">
        <f>IFERROR(SUMIF(E_PurchPrec!$R:$R,CONST_PrecursorToGoodInput &amp; U$6 &amp; "_" &amp; $D36,E_PurchPrec!$T:$T)/SUMIF(D_Processes!$R:$R,CONST_CNTR_TotProd &amp; $D36,D_Processes!$T:$T),0)</f>
        <v>0</v>
      </c>
      <c r="V36" s="334">
        <f>IFERROR(SUMIF(E_PurchPrec!$R:$R,CONST_PrecursorToGoodInput &amp; V$6 &amp; "_" &amp; $D36,E_PurchPrec!$T:$T)/SUMIF(D_Processes!$R:$R,CONST_CNTR_TotProd &amp; $D36,D_Processes!$T:$T),0)</f>
        <v>0</v>
      </c>
      <c r="W36" s="334">
        <f>IFERROR(SUMIF(E_PurchPrec!$R:$R,CONST_PrecursorToGoodInput &amp; W$6 &amp; "_" &amp; $D36,E_PurchPrec!$T:$T)/SUMIF(D_Processes!$R:$R,CONST_CNTR_TotProd &amp; $D36,D_Processes!$T:$T),0)</f>
        <v>0</v>
      </c>
      <c r="X36" s="334">
        <f>IFERROR(SUMIF(E_PurchPrec!$R:$R,CONST_PrecursorToGoodInput &amp; X$6 &amp; "_" &amp; $D36,E_PurchPrec!$T:$T)/SUMIF(D_Processes!$R:$R,CONST_CNTR_TotProd &amp; $D36,D_Processes!$T:$T),0)</f>
        <v>0</v>
      </c>
      <c r="Y36" s="334">
        <f>IFERROR(SUMIF(E_PurchPrec!$R:$R,CONST_PrecursorToGoodInput &amp; Y$6 &amp; "_" &amp; $D36,E_PurchPrec!$T:$T)/SUMIF(D_Processes!$R:$R,CONST_CNTR_TotProd &amp; $D36,D_Processes!$T:$T),0)</f>
        <v>0</v>
      </c>
      <c r="Z36" s="334">
        <f>IFERROR(SUMIF(E_PurchPrec!$R:$R,CONST_PrecursorToGoodInput &amp; Z$6 &amp; "_" &amp; $D36,E_PurchPrec!$T:$T)/SUMIF(D_Processes!$R:$R,CONST_CNTR_TotProd &amp; $D36,D_Processes!$T:$T),0)</f>
        <v>0</v>
      </c>
      <c r="AA36" s="334">
        <f>IFERROR(SUMIF(E_PurchPrec!$R:$R,CONST_PrecursorToGoodInput &amp; AA$6 &amp; "_" &amp; $D36,E_PurchPrec!$T:$T)/SUMIF(D_Processes!$R:$R,CONST_CNTR_TotProd &amp; $D36,D_Processes!$T:$T),0)</f>
        <v>0</v>
      </c>
      <c r="AB36" s="334">
        <f>IFERROR(SUMIF(E_PurchPrec!$R:$R,CONST_PrecursorToGoodInput &amp; AB$6 &amp; "_" &amp; $D36,E_PurchPrec!$T:$T)/SUMIF(D_Processes!$R:$R,CONST_CNTR_TotProd &amp; $D36,D_Processes!$T:$T),0)</f>
        <v>0</v>
      </c>
      <c r="AC36" s="334">
        <f>IFERROR(SUMIF(E_PurchPrec!$R:$R,CONST_PrecursorToGoodInput &amp; AC$6 &amp; "_" &amp; $D36,E_PurchPrec!$T:$T)/SUMIF(D_Processes!$R:$R,CONST_CNTR_TotProd &amp; $D36,D_Processes!$T:$T),0)</f>
        <v>0</v>
      </c>
      <c r="AD36" s="334">
        <f>IFERROR(SUMIF(E_PurchPrec!$R:$R,CONST_PrecursorToGoodInput &amp; AD$6 &amp; "_" &amp; $D36,E_PurchPrec!$T:$T)/SUMIF(D_Processes!$R:$R,CONST_CNTR_TotProd &amp; $D36,D_Processes!$T:$T),0)</f>
        <v>0</v>
      </c>
      <c r="AE36" s="334">
        <f>IFERROR(SUMIF(E_PurchPrec!$R:$R,CONST_PrecursorToGoodInput &amp; AE$6 &amp; "_" &amp; $D36,E_PurchPrec!$T:$T)/SUMIF(D_Processes!$R:$R,CONST_CNTR_TotProd &amp; $D36,D_Processes!$T:$T),0)</f>
        <v>0</v>
      </c>
      <c r="AF36" s="334">
        <f>IFERROR(SUMIF(E_PurchPrec!$R:$R,CONST_PrecursorToGoodInput &amp; AF$6 &amp; "_" &amp; $D36,E_PurchPrec!$T:$T)/SUMIF(D_Processes!$R:$R,CONST_CNTR_TotProd &amp; $D36,D_Processes!$T:$T),0)</f>
        <v>0</v>
      </c>
      <c r="AG36" s="334">
        <f>IFERROR(SUMIF(E_PurchPrec!$R:$R,CONST_PrecursorToGoodInput &amp; AG$6 &amp; "_" &amp; $D36,E_PurchPrec!$T:$T)/SUMIF(D_Processes!$R:$R,CONST_CNTR_TotProd &amp; $D36,D_Processes!$T:$T),0)</f>
        <v>0</v>
      </c>
      <c r="AH36" s="335">
        <f>IFERROR(SUMIF(E_PurchPrec!$R:$R,CONST_PrecursorToGoodInput &amp; AH$6 &amp; "_" &amp; $D36,E_PurchPrec!$T:$T)/SUMIF(D_Processes!$R:$R,CONST_CNTR_TotProd &amp; $D36,D_Processes!$T:$T),0)</f>
        <v>0</v>
      </c>
      <c r="AR36" s="226"/>
      <c r="AS36" s="226"/>
      <c r="AT36" s="226"/>
      <c r="AU36" s="226"/>
      <c r="AV36" s="226"/>
      <c r="AW36" s="226"/>
      <c r="AX36" s="226"/>
      <c r="AY36" s="226"/>
      <c r="AZ36" s="226"/>
      <c r="BA36" s="226"/>
      <c r="BB36" s="226"/>
      <c r="BC36" s="226"/>
      <c r="BD36" s="226"/>
      <c r="BE36" s="226"/>
      <c r="BF36" s="226"/>
      <c r="BG36" s="226"/>
      <c r="BH36" s="226"/>
      <c r="BI36" s="226"/>
      <c r="BJ36" s="226"/>
      <c r="BK36" s="226"/>
      <c r="BL36" s="226"/>
      <c r="BM36" s="226"/>
      <c r="BN36" s="226"/>
      <c r="BO36" s="226"/>
      <c r="BP36" s="226"/>
      <c r="BQ36" s="226"/>
      <c r="BR36" s="226"/>
      <c r="BS36" s="226"/>
      <c r="BT36" s="226"/>
      <c r="BU36" s="226"/>
      <c r="BV36" s="226"/>
    </row>
    <row r="37" spans="2:74" ht="12.75" customHeight="1" thickBot="1" x14ac:dyDescent="0.4"/>
    <row r="38" spans="2:74" ht="12.75" customHeight="1" x14ac:dyDescent="0.35">
      <c r="D38" s="602" t="s">
        <v>341</v>
      </c>
      <c r="E38" s="328" t="str">
        <f t="shared" ref="E38:AH38" si="5">E6</f>
        <v/>
      </c>
      <c r="F38" s="329" t="str">
        <f t="shared" si="5"/>
        <v/>
      </c>
      <c r="G38" s="329" t="str">
        <f t="shared" si="5"/>
        <v/>
      </c>
      <c r="H38" s="329" t="str">
        <f t="shared" si="5"/>
        <v/>
      </c>
      <c r="I38" s="329" t="str">
        <f t="shared" si="5"/>
        <v/>
      </c>
      <c r="J38" s="329" t="str">
        <f t="shared" si="5"/>
        <v/>
      </c>
      <c r="K38" s="329" t="str">
        <f t="shared" si="5"/>
        <v/>
      </c>
      <c r="L38" s="329" t="str">
        <f t="shared" si="5"/>
        <v/>
      </c>
      <c r="M38" s="329" t="str">
        <f t="shared" si="5"/>
        <v/>
      </c>
      <c r="N38" s="330" t="str">
        <f t="shared" si="5"/>
        <v/>
      </c>
      <c r="O38" s="328" t="str">
        <f t="shared" si="5"/>
        <v/>
      </c>
      <c r="P38" s="329" t="str">
        <f t="shared" si="5"/>
        <v/>
      </c>
      <c r="Q38" s="329" t="str">
        <f t="shared" si="5"/>
        <v/>
      </c>
      <c r="R38" s="329" t="str">
        <f t="shared" si="5"/>
        <v/>
      </c>
      <c r="S38" s="329" t="str">
        <f t="shared" si="5"/>
        <v/>
      </c>
      <c r="T38" s="329" t="str">
        <f t="shared" si="5"/>
        <v/>
      </c>
      <c r="U38" s="329" t="str">
        <f t="shared" si="5"/>
        <v/>
      </c>
      <c r="V38" s="329" t="str">
        <f t="shared" si="5"/>
        <v/>
      </c>
      <c r="W38" s="329" t="str">
        <f t="shared" si="5"/>
        <v/>
      </c>
      <c r="X38" s="329" t="str">
        <f t="shared" si="5"/>
        <v/>
      </c>
      <c r="Y38" s="329" t="str">
        <f t="shared" si="5"/>
        <v/>
      </c>
      <c r="Z38" s="329" t="str">
        <f t="shared" si="5"/>
        <v/>
      </c>
      <c r="AA38" s="329" t="str">
        <f t="shared" si="5"/>
        <v/>
      </c>
      <c r="AB38" s="329" t="str">
        <f t="shared" si="5"/>
        <v/>
      </c>
      <c r="AC38" s="329" t="str">
        <f t="shared" si="5"/>
        <v/>
      </c>
      <c r="AD38" s="329" t="str">
        <f t="shared" si="5"/>
        <v/>
      </c>
      <c r="AE38" s="329" t="str">
        <f t="shared" si="5"/>
        <v/>
      </c>
      <c r="AF38" s="329" t="str">
        <f t="shared" si="5"/>
        <v/>
      </c>
      <c r="AG38" s="329" t="str">
        <f t="shared" si="5"/>
        <v/>
      </c>
      <c r="AH38" s="330" t="str">
        <f t="shared" si="5"/>
        <v/>
      </c>
    </row>
    <row r="39" spans="2:74" ht="12.75" customHeight="1" x14ac:dyDescent="0.35">
      <c r="B39" s="218" t="s">
        <v>201</v>
      </c>
      <c r="C39" s="223">
        <v>1</v>
      </c>
      <c r="D39" s="336" t="str">
        <f t="shared" ref="D39:D68" si="6">D7</f>
        <v/>
      </c>
      <c r="E39" s="331">
        <f>IF(ROWS($D$38:D38)=COLUMNS($D$38:D38),1,0-E7)</f>
        <v>1</v>
      </c>
      <c r="F39" s="224">
        <f>IF(ROWS($D$38:E38)=COLUMNS($D$38:E38),1,0-F7)</f>
        <v>0</v>
      </c>
      <c r="G39" s="224">
        <f>IF(ROWS($D$38:F38)=COLUMNS($D$38:F38),1,0-G7)</f>
        <v>0</v>
      </c>
      <c r="H39" s="224">
        <f>IF(ROWS($D$38:G38)=COLUMNS($D$38:G38),1,0-H7)</f>
        <v>0</v>
      </c>
      <c r="I39" s="224">
        <f>IF(ROWS($D$38:H38)=COLUMNS($D$38:H38),1,0-I7)</f>
        <v>0</v>
      </c>
      <c r="J39" s="224">
        <f>IF(ROWS($D$38:I38)=COLUMNS($D$38:I38),1,0-J7)</f>
        <v>0</v>
      </c>
      <c r="K39" s="224">
        <f>IF(ROWS($D$38:J38)=COLUMNS($D$38:J38),1,0-K7)</f>
        <v>0</v>
      </c>
      <c r="L39" s="224">
        <f>IF(ROWS($D$38:K38)=COLUMNS($D$38:K38),1,0-L7)</f>
        <v>0</v>
      </c>
      <c r="M39" s="224">
        <f>IF(ROWS($D$38:L38)=COLUMNS($D$38:L38),1,0-M7)</f>
        <v>0</v>
      </c>
      <c r="N39" s="332">
        <f>IF(ROWS($D$38:M38)=COLUMNS($D$38:M38),1,0-N7)</f>
        <v>0</v>
      </c>
      <c r="O39" s="331">
        <f>IF(ROWS($D$38:N38)=COLUMNS($D$38:N38),1,0-O7)</f>
        <v>0</v>
      </c>
      <c r="P39" s="224">
        <f>IF(ROWS($D$38:O38)=COLUMNS($D$38:O38),1,0-P7)</f>
        <v>0</v>
      </c>
      <c r="Q39" s="224">
        <f>IF(ROWS($D$38:P38)=COLUMNS($D$38:P38),1,0-Q7)</f>
        <v>0</v>
      </c>
      <c r="R39" s="224">
        <f>IF(ROWS($D$38:Q38)=COLUMNS($D$38:Q38),1,0-R7)</f>
        <v>0</v>
      </c>
      <c r="S39" s="224">
        <f>IF(ROWS($D$38:R38)=COLUMNS($D$38:R38),1,0-S7)</f>
        <v>0</v>
      </c>
      <c r="T39" s="224">
        <f>IF(ROWS($D$38:S38)=COLUMNS($D$38:S38),1,0-T7)</f>
        <v>0</v>
      </c>
      <c r="U39" s="224">
        <f>IF(ROWS($D$38:T38)=COLUMNS($D$38:T38),1,0-U7)</f>
        <v>0</v>
      </c>
      <c r="V39" s="224">
        <f>IF(ROWS($D$38:U38)=COLUMNS($D$38:U38),1,0-V7)</f>
        <v>0</v>
      </c>
      <c r="W39" s="224">
        <f>IF(ROWS($D$38:V38)=COLUMNS($D$38:V38),1,0-W7)</f>
        <v>0</v>
      </c>
      <c r="X39" s="224">
        <f>IF(ROWS($D$38:W38)=COLUMNS($D$38:W38),1,0-X7)</f>
        <v>0</v>
      </c>
      <c r="Y39" s="224">
        <f>IF(ROWS($D$38:X38)=COLUMNS($D$38:X38),1,0-Y7)</f>
        <v>0</v>
      </c>
      <c r="Z39" s="224">
        <f>IF(ROWS($D$38:Y38)=COLUMNS($D$38:Y38),1,0-Z7)</f>
        <v>0</v>
      </c>
      <c r="AA39" s="224">
        <f>IF(ROWS($D$38:Z38)=COLUMNS($D$38:Z38),1,0-AA7)</f>
        <v>0</v>
      </c>
      <c r="AB39" s="224">
        <f>IF(ROWS($D$38:AA38)=COLUMNS($D$38:AA38),1,0-AB7)</f>
        <v>0</v>
      </c>
      <c r="AC39" s="224">
        <f>IF(ROWS($D$38:AB38)=COLUMNS($D$38:AB38),1,0-AC7)</f>
        <v>0</v>
      </c>
      <c r="AD39" s="224">
        <f>IF(ROWS($D$38:AC38)=COLUMNS($D$38:AC38),1,0-AD7)</f>
        <v>0</v>
      </c>
      <c r="AE39" s="224">
        <f>IF(ROWS($D$38:AD38)=COLUMNS($D$38:AD38),1,0-AE7)</f>
        <v>0</v>
      </c>
      <c r="AF39" s="224">
        <f>IF(ROWS($D$38:AE38)=COLUMNS($D$38:AE38),1,0-AF7)</f>
        <v>0</v>
      </c>
      <c r="AG39" s="224">
        <f>IF(ROWS($D$38:AF38)=COLUMNS($D$38:AF38),1,0-AG7)</f>
        <v>0</v>
      </c>
      <c r="AH39" s="332">
        <f>IF(ROWS($D$38:AG38)=COLUMNS($D$38:AG38),1,0-AH7)</f>
        <v>0</v>
      </c>
    </row>
    <row r="40" spans="2:74" ht="12.75" customHeight="1" x14ac:dyDescent="0.35">
      <c r="C40" s="223">
        <v>2</v>
      </c>
      <c r="D40" s="336" t="str">
        <f t="shared" si="6"/>
        <v/>
      </c>
      <c r="E40" s="331">
        <f>IF(ROWS($D$38:D39)=COLUMNS($D$38:D39),1,0-E8)</f>
        <v>0</v>
      </c>
      <c r="F40" s="224">
        <f>IF(ROWS($D$38:E39)=COLUMNS($D$38:E39),1,0-F8)</f>
        <v>1</v>
      </c>
      <c r="G40" s="224">
        <f>IF(ROWS($D$38:F39)=COLUMNS($D$38:F39),1,0-G8)</f>
        <v>0</v>
      </c>
      <c r="H40" s="224">
        <f>IF(ROWS($D$38:G39)=COLUMNS($D$38:G39),1,0-H8)</f>
        <v>0</v>
      </c>
      <c r="I40" s="224">
        <f>IF(ROWS($D$38:H39)=COLUMNS($D$38:H39),1,0-I8)</f>
        <v>0</v>
      </c>
      <c r="J40" s="224">
        <f>IF(ROWS($D$38:I39)=COLUMNS($D$38:I39),1,0-J8)</f>
        <v>0</v>
      </c>
      <c r="K40" s="224">
        <f>IF(ROWS($D$38:J39)=COLUMNS($D$38:J39),1,0-K8)</f>
        <v>0</v>
      </c>
      <c r="L40" s="224">
        <f>IF(ROWS($D$38:K39)=COLUMNS($D$38:K39),1,0-L8)</f>
        <v>0</v>
      </c>
      <c r="M40" s="224">
        <f>IF(ROWS($D$38:L39)=COLUMNS($D$38:L39),1,0-M8)</f>
        <v>0</v>
      </c>
      <c r="N40" s="332">
        <f>IF(ROWS($D$38:M39)=COLUMNS($D$38:M39),1,0-N8)</f>
        <v>0</v>
      </c>
      <c r="O40" s="331">
        <f>IF(ROWS($D$38:N39)=COLUMNS($D$38:N39),1,0-O8)</f>
        <v>0</v>
      </c>
      <c r="P40" s="224">
        <f>IF(ROWS($D$38:O39)=COLUMNS($D$38:O39),1,0-P8)</f>
        <v>0</v>
      </c>
      <c r="Q40" s="224">
        <f>IF(ROWS($D$38:P39)=COLUMNS($D$38:P39),1,0-Q8)</f>
        <v>0</v>
      </c>
      <c r="R40" s="224">
        <f>IF(ROWS($D$38:Q39)=COLUMNS($D$38:Q39),1,0-R8)</f>
        <v>0</v>
      </c>
      <c r="S40" s="224">
        <f>IF(ROWS($D$38:R39)=COLUMNS($D$38:R39),1,0-S8)</f>
        <v>0</v>
      </c>
      <c r="T40" s="224">
        <f>IF(ROWS($D$38:S39)=COLUMNS($D$38:S39),1,0-T8)</f>
        <v>0</v>
      </c>
      <c r="U40" s="224">
        <f>IF(ROWS($D$38:T39)=COLUMNS($D$38:T39),1,0-U8)</f>
        <v>0</v>
      </c>
      <c r="V40" s="224">
        <f>IF(ROWS($D$38:U39)=COLUMNS($D$38:U39),1,0-V8)</f>
        <v>0</v>
      </c>
      <c r="W40" s="224">
        <f>IF(ROWS($D$38:V39)=COLUMNS($D$38:V39),1,0-W8)</f>
        <v>0</v>
      </c>
      <c r="X40" s="224">
        <f>IF(ROWS($D$38:W39)=COLUMNS($D$38:W39),1,0-X8)</f>
        <v>0</v>
      </c>
      <c r="Y40" s="224">
        <f>IF(ROWS($D$38:X39)=COLUMNS($D$38:X39),1,0-Y8)</f>
        <v>0</v>
      </c>
      <c r="Z40" s="224">
        <f>IF(ROWS($D$38:Y39)=COLUMNS($D$38:Y39),1,0-Z8)</f>
        <v>0</v>
      </c>
      <c r="AA40" s="224">
        <f>IF(ROWS($D$38:Z39)=COLUMNS($D$38:Z39),1,0-AA8)</f>
        <v>0</v>
      </c>
      <c r="AB40" s="224">
        <f>IF(ROWS($D$38:AA39)=COLUMNS($D$38:AA39),1,0-AB8)</f>
        <v>0</v>
      </c>
      <c r="AC40" s="224">
        <f>IF(ROWS($D$38:AB39)=COLUMNS($D$38:AB39),1,0-AC8)</f>
        <v>0</v>
      </c>
      <c r="AD40" s="224">
        <f>IF(ROWS($D$38:AC39)=COLUMNS($D$38:AC39),1,0-AD8)</f>
        <v>0</v>
      </c>
      <c r="AE40" s="224">
        <f>IF(ROWS($D$38:AD39)=COLUMNS($D$38:AD39),1,0-AE8)</f>
        <v>0</v>
      </c>
      <c r="AF40" s="224">
        <f>IF(ROWS($D$38:AE39)=COLUMNS($D$38:AE39),1,0-AF8)</f>
        <v>0</v>
      </c>
      <c r="AG40" s="224">
        <f>IF(ROWS($D$38:AF39)=COLUMNS($D$38:AF39),1,0-AG8)</f>
        <v>0</v>
      </c>
      <c r="AH40" s="332">
        <f>IF(ROWS($D$38:AG39)=COLUMNS($D$38:AG39),1,0-AH8)</f>
        <v>0</v>
      </c>
    </row>
    <row r="41" spans="2:74" ht="12.75" customHeight="1" x14ac:dyDescent="0.35">
      <c r="C41" s="223">
        <v>3</v>
      </c>
      <c r="D41" s="336" t="str">
        <f t="shared" si="6"/>
        <v/>
      </c>
      <c r="E41" s="331">
        <f>IF(ROWS($D$38:D40)=COLUMNS($D$38:D40),1,0-E9)</f>
        <v>0</v>
      </c>
      <c r="F41" s="224">
        <f>IF(ROWS($D$38:E40)=COLUMNS($D$38:E40),1,0-F9)</f>
        <v>0</v>
      </c>
      <c r="G41" s="224">
        <f>IF(ROWS($D$38:F40)=COLUMNS($D$38:F40),1,0-G9)</f>
        <v>1</v>
      </c>
      <c r="H41" s="224">
        <f>IF(ROWS($D$38:G40)=COLUMNS($D$38:G40),1,0-H9)</f>
        <v>0</v>
      </c>
      <c r="I41" s="224">
        <f>IF(ROWS($D$38:H40)=COLUMNS($D$38:H40),1,0-I9)</f>
        <v>0</v>
      </c>
      <c r="J41" s="224">
        <f>IF(ROWS($D$38:I40)=COLUMNS($D$38:I40),1,0-J9)</f>
        <v>0</v>
      </c>
      <c r="K41" s="224">
        <f>IF(ROWS($D$38:J40)=COLUMNS($D$38:J40),1,0-K9)</f>
        <v>0</v>
      </c>
      <c r="L41" s="224">
        <f>IF(ROWS($D$38:K40)=COLUMNS($D$38:K40),1,0-L9)</f>
        <v>0</v>
      </c>
      <c r="M41" s="224">
        <f>IF(ROWS($D$38:L40)=COLUMNS($D$38:L40),1,0-M9)</f>
        <v>0</v>
      </c>
      <c r="N41" s="332">
        <f>IF(ROWS($D$38:M40)=COLUMNS($D$38:M40),1,0-N9)</f>
        <v>0</v>
      </c>
      <c r="O41" s="331">
        <f>IF(ROWS($D$38:N40)=COLUMNS($D$38:N40),1,0-O9)</f>
        <v>0</v>
      </c>
      <c r="P41" s="224">
        <f>IF(ROWS($D$38:O40)=COLUMNS($D$38:O40),1,0-P9)</f>
        <v>0</v>
      </c>
      <c r="Q41" s="224">
        <f>IF(ROWS($D$38:P40)=COLUMNS($D$38:P40),1,0-Q9)</f>
        <v>0</v>
      </c>
      <c r="R41" s="224">
        <f>IF(ROWS($D$38:Q40)=COLUMNS($D$38:Q40),1,0-R9)</f>
        <v>0</v>
      </c>
      <c r="S41" s="224">
        <f>IF(ROWS($D$38:R40)=COLUMNS($D$38:R40),1,0-S9)</f>
        <v>0</v>
      </c>
      <c r="T41" s="224">
        <f>IF(ROWS($D$38:S40)=COLUMNS($D$38:S40),1,0-T9)</f>
        <v>0</v>
      </c>
      <c r="U41" s="224">
        <f>IF(ROWS($D$38:T40)=COLUMNS($D$38:T40),1,0-U9)</f>
        <v>0</v>
      </c>
      <c r="V41" s="224">
        <f>IF(ROWS($D$38:U40)=COLUMNS($D$38:U40),1,0-V9)</f>
        <v>0</v>
      </c>
      <c r="W41" s="224">
        <f>IF(ROWS($D$38:V40)=COLUMNS($D$38:V40),1,0-W9)</f>
        <v>0</v>
      </c>
      <c r="X41" s="224">
        <f>IF(ROWS($D$38:W40)=COLUMNS($D$38:W40),1,0-X9)</f>
        <v>0</v>
      </c>
      <c r="Y41" s="224">
        <f>IF(ROWS($D$38:X40)=COLUMNS($D$38:X40),1,0-Y9)</f>
        <v>0</v>
      </c>
      <c r="Z41" s="224">
        <f>IF(ROWS($D$38:Y40)=COLUMNS($D$38:Y40),1,0-Z9)</f>
        <v>0</v>
      </c>
      <c r="AA41" s="224">
        <f>IF(ROWS($D$38:Z40)=COLUMNS($D$38:Z40),1,0-AA9)</f>
        <v>0</v>
      </c>
      <c r="AB41" s="224">
        <f>IF(ROWS($D$38:AA40)=COLUMNS($D$38:AA40),1,0-AB9)</f>
        <v>0</v>
      </c>
      <c r="AC41" s="224">
        <f>IF(ROWS($D$38:AB40)=COLUMNS($D$38:AB40),1,0-AC9)</f>
        <v>0</v>
      </c>
      <c r="AD41" s="224">
        <f>IF(ROWS($D$38:AC40)=COLUMNS($D$38:AC40),1,0-AD9)</f>
        <v>0</v>
      </c>
      <c r="AE41" s="224">
        <f>IF(ROWS($D$38:AD40)=COLUMNS($D$38:AD40),1,0-AE9)</f>
        <v>0</v>
      </c>
      <c r="AF41" s="224">
        <f>IF(ROWS($D$38:AE40)=COLUMNS($D$38:AE40),1,0-AF9)</f>
        <v>0</v>
      </c>
      <c r="AG41" s="224">
        <f>IF(ROWS($D$38:AF40)=COLUMNS($D$38:AF40),1,0-AG9)</f>
        <v>0</v>
      </c>
      <c r="AH41" s="332">
        <f>IF(ROWS($D$38:AG40)=COLUMNS($D$38:AG40),1,0-AH9)</f>
        <v>0</v>
      </c>
    </row>
    <row r="42" spans="2:74" ht="12.75" customHeight="1" x14ac:dyDescent="0.35">
      <c r="C42" s="223">
        <v>4</v>
      </c>
      <c r="D42" s="336" t="str">
        <f t="shared" si="6"/>
        <v/>
      </c>
      <c r="E42" s="331">
        <f>IF(ROWS($D$38:D41)=COLUMNS($D$38:D41),1,0-E10)</f>
        <v>0</v>
      </c>
      <c r="F42" s="224">
        <f>IF(ROWS($D$38:E41)=COLUMNS($D$38:E41),1,0-F10)</f>
        <v>0</v>
      </c>
      <c r="G42" s="224">
        <f>IF(ROWS($D$38:F41)=COLUMNS($D$38:F41),1,0-G10)</f>
        <v>0</v>
      </c>
      <c r="H42" s="224">
        <f>IF(ROWS($D$38:G41)=COLUMNS($D$38:G41),1,0-H10)</f>
        <v>1</v>
      </c>
      <c r="I42" s="224">
        <f>IF(ROWS($D$38:H41)=COLUMNS($D$38:H41),1,0-I10)</f>
        <v>0</v>
      </c>
      <c r="J42" s="224">
        <f>IF(ROWS($D$38:I41)=COLUMNS($D$38:I41),1,0-J10)</f>
        <v>0</v>
      </c>
      <c r="K42" s="224">
        <f>IF(ROWS($D$38:J41)=COLUMNS($D$38:J41),1,0-K10)</f>
        <v>0</v>
      </c>
      <c r="L42" s="224">
        <f>IF(ROWS($D$38:K41)=COLUMNS($D$38:K41),1,0-L10)</f>
        <v>0</v>
      </c>
      <c r="M42" s="224">
        <f>IF(ROWS($D$38:L41)=COLUMNS($D$38:L41),1,0-M10)</f>
        <v>0</v>
      </c>
      <c r="N42" s="332">
        <f>IF(ROWS($D$38:M41)=COLUMNS($D$38:M41),1,0-N10)</f>
        <v>0</v>
      </c>
      <c r="O42" s="331">
        <f>IF(ROWS($D$38:N41)=COLUMNS($D$38:N41),1,0-O10)</f>
        <v>0</v>
      </c>
      <c r="P42" s="224">
        <f>IF(ROWS($D$38:O41)=COLUMNS($D$38:O41),1,0-P10)</f>
        <v>0</v>
      </c>
      <c r="Q42" s="224">
        <f>IF(ROWS($D$38:P41)=COLUMNS($D$38:P41),1,0-Q10)</f>
        <v>0</v>
      </c>
      <c r="R42" s="224">
        <f>IF(ROWS($D$38:Q41)=COLUMNS($D$38:Q41),1,0-R10)</f>
        <v>0</v>
      </c>
      <c r="S42" s="224">
        <f>IF(ROWS($D$38:R41)=COLUMNS($D$38:R41),1,0-S10)</f>
        <v>0</v>
      </c>
      <c r="T42" s="224">
        <f>IF(ROWS($D$38:S41)=COLUMNS($D$38:S41),1,0-T10)</f>
        <v>0</v>
      </c>
      <c r="U42" s="224">
        <f>IF(ROWS($D$38:T41)=COLUMNS($D$38:T41),1,0-U10)</f>
        <v>0</v>
      </c>
      <c r="V42" s="224">
        <f>IF(ROWS($D$38:U41)=COLUMNS($D$38:U41),1,0-V10)</f>
        <v>0</v>
      </c>
      <c r="W42" s="224">
        <f>IF(ROWS($D$38:V41)=COLUMNS($D$38:V41),1,0-W10)</f>
        <v>0</v>
      </c>
      <c r="X42" s="224">
        <f>IF(ROWS($D$38:W41)=COLUMNS($D$38:W41),1,0-X10)</f>
        <v>0</v>
      </c>
      <c r="Y42" s="224">
        <f>IF(ROWS($D$38:X41)=COLUMNS($D$38:X41),1,0-Y10)</f>
        <v>0</v>
      </c>
      <c r="Z42" s="224">
        <f>IF(ROWS($D$38:Y41)=COLUMNS($D$38:Y41),1,0-Z10)</f>
        <v>0</v>
      </c>
      <c r="AA42" s="224">
        <f>IF(ROWS($D$38:Z41)=COLUMNS($D$38:Z41),1,0-AA10)</f>
        <v>0</v>
      </c>
      <c r="AB42" s="224">
        <f>IF(ROWS($D$38:AA41)=COLUMNS($D$38:AA41),1,0-AB10)</f>
        <v>0</v>
      </c>
      <c r="AC42" s="224">
        <f>IF(ROWS($D$38:AB41)=COLUMNS($D$38:AB41),1,0-AC10)</f>
        <v>0</v>
      </c>
      <c r="AD42" s="224">
        <f>IF(ROWS($D$38:AC41)=COLUMNS($D$38:AC41),1,0-AD10)</f>
        <v>0</v>
      </c>
      <c r="AE42" s="224">
        <f>IF(ROWS($D$38:AD41)=COLUMNS($D$38:AD41),1,0-AE10)</f>
        <v>0</v>
      </c>
      <c r="AF42" s="224">
        <f>IF(ROWS($D$38:AE41)=COLUMNS($D$38:AE41),1,0-AF10)</f>
        <v>0</v>
      </c>
      <c r="AG42" s="224">
        <f>IF(ROWS($D$38:AF41)=COLUMNS($D$38:AF41),1,0-AG10)</f>
        <v>0</v>
      </c>
      <c r="AH42" s="332">
        <f>IF(ROWS($D$38:AG41)=COLUMNS($D$38:AG41),1,0-AH10)</f>
        <v>0</v>
      </c>
    </row>
    <row r="43" spans="2:74" ht="12.75" customHeight="1" x14ac:dyDescent="0.35">
      <c r="C43" s="223">
        <v>5</v>
      </c>
      <c r="D43" s="336" t="str">
        <f t="shared" si="6"/>
        <v/>
      </c>
      <c r="E43" s="331">
        <f>IF(ROWS($D$38:D42)=COLUMNS($D$38:D42),1,0-E11)</f>
        <v>0</v>
      </c>
      <c r="F43" s="224">
        <f>IF(ROWS($D$38:E42)=COLUMNS($D$38:E42),1,0-F11)</f>
        <v>0</v>
      </c>
      <c r="G43" s="224">
        <f>IF(ROWS($D$38:F42)=COLUMNS($D$38:F42),1,0-G11)</f>
        <v>0</v>
      </c>
      <c r="H43" s="224">
        <f>IF(ROWS($D$38:G42)=COLUMNS($D$38:G42),1,0-H11)</f>
        <v>0</v>
      </c>
      <c r="I43" s="224">
        <f>IF(ROWS($D$38:H42)=COLUMNS($D$38:H42),1,0-I11)</f>
        <v>1</v>
      </c>
      <c r="J43" s="224">
        <f>IF(ROWS($D$38:I42)=COLUMNS($D$38:I42),1,0-J11)</f>
        <v>0</v>
      </c>
      <c r="K43" s="224">
        <f>IF(ROWS($D$38:J42)=COLUMNS($D$38:J42),1,0-K11)</f>
        <v>0</v>
      </c>
      <c r="L43" s="224">
        <f>IF(ROWS($D$38:K42)=COLUMNS($D$38:K42),1,0-L11)</f>
        <v>0</v>
      </c>
      <c r="M43" s="224">
        <f>IF(ROWS($D$38:L42)=COLUMNS($D$38:L42),1,0-M11)</f>
        <v>0</v>
      </c>
      <c r="N43" s="332">
        <f>IF(ROWS($D$38:M42)=COLUMNS($D$38:M42),1,0-N11)</f>
        <v>0</v>
      </c>
      <c r="O43" s="331">
        <f>IF(ROWS($D$38:N42)=COLUMNS($D$38:N42),1,0-O11)</f>
        <v>0</v>
      </c>
      <c r="P43" s="224">
        <f>IF(ROWS($D$38:O42)=COLUMNS($D$38:O42),1,0-P11)</f>
        <v>0</v>
      </c>
      <c r="Q43" s="224">
        <f>IF(ROWS($D$38:P42)=COLUMNS($D$38:P42),1,0-Q11)</f>
        <v>0</v>
      </c>
      <c r="R43" s="224">
        <f>IF(ROWS($D$38:Q42)=COLUMNS($D$38:Q42),1,0-R11)</f>
        <v>0</v>
      </c>
      <c r="S43" s="224">
        <f>IF(ROWS($D$38:R42)=COLUMNS($D$38:R42),1,0-S11)</f>
        <v>0</v>
      </c>
      <c r="T43" s="224">
        <f>IF(ROWS($D$38:S42)=COLUMNS($D$38:S42),1,0-T11)</f>
        <v>0</v>
      </c>
      <c r="U43" s="224">
        <f>IF(ROWS($D$38:T42)=COLUMNS($D$38:T42),1,0-U11)</f>
        <v>0</v>
      </c>
      <c r="V43" s="224">
        <f>IF(ROWS($D$38:U42)=COLUMNS($D$38:U42),1,0-V11)</f>
        <v>0</v>
      </c>
      <c r="W43" s="224">
        <f>IF(ROWS($D$38:V42)=COLUMNS($D$38:V42),1,0-W11)</f>
        <v>0</v>
      </c>
      <c r="X43" s="224">
        <f>IF(ROWS($D$38:W42)=COLUMNS($D$38:W42),1,0-X11)</f>
        <v>0</v>
      </c>
      <c r="Y43" s="224">
        <f>IF(ROWS($D$38:X42)=COLUMNS($D$38:X42),1,0-Y11)</f>
        <v>0</v>
      </c>
      <c r="Z43" s="224">
        <f>IF(ROWS($D$38:Y42)=COLUMNS($D$38:Y42),1,0-Z11)</f>
        <v>0</v>
      </c>
      <c r="AA43" s="224">
        <f>IF(ROWS($D$38:Z42)=COLUMNS($D$38:Z42),1,0-AA11)</f>
        <v>0</v>
      </c>
      <c r="AB43" s="224">
        <f>IF(ROWS($D$38:AA42)=COLUMNS($D$38:AA42),1,0-AB11)</f>
        <v>0</v>
      </c>
      <c r="AC43" s="224">
        <f>IF(ROWS($D$38:AB42)=COLUMNS($D$38:AB42),1,0-AC11)</f>
        <v>0</v>
      </c>
      <c r="AD43" s="224">
        <f>IF(ROWS($D$38:AC42)=COLUMNS($D$38:AC42),1,0-AD11)</f>
        <v>0</v>
      </c>
      <c r="AE43" s="224">
        <f>IF(ROWS($D$38:AD42)=COLUMNS($D$38:AD42),1,0-AE11)</f>
        <v>0</v>
      </c>
      <c r="AF43" s="224">
        <f>IF(ROWS($D$38:AE42)=COLUMNS($D$38:AE42),1,0-AF11)</f>
        <v>0</v>
      </c>
      <c r="AG43" s="224">
        <f>IF(ROWS($D$38:AF42)=COLUMNS($D$38:AF42),1,0-AG11)</f>
        <v>0</v>
      </c>
      <c r="AH43" s="332">
        <f>IF(ROWS($D$38:AG42)=COLUMNS($D$38:AG42),1,0-AH11)</f>
        <v>0</v>
      </c>
    </row>
    <row r="44" spans="2:74" ht="12.75" customHeight="1" x14ac:dyDescent="0.35">
      <c r="C44" s="223">
        <v>6</v>
      </c>
      <c r="D44" s="336" t="str">
        <f t="shared" si="6"/>
        <v/>
      </c>
      <c r="E44" s="331">
        <f>IF(ROWS($D$38:D43)=COLUMNS($D$38:D43),1,0-E12)</f>
        <v>0</v>
      </c>
      <c r="F44" s="224">
        <f>IF(ROWS($D$38:E43)=COLUMNS($D$38:E43),1,0-F12)</f>
        <v>0</v>
      </c>
      <c r="G44" s="224">
        <f>IF(ROWS($D$38:F43)=COLUMNS($D$38:F43),1,0-G12)</f>
        <v>0</v>
      </c>
      <c r="H44" s="224">
        <f>IF(ROWS($D$38:G43)=COLUMNS($D$38:G43),1,0-H12)</f>
        <v>0</v>
      </c>
      <c r="I44" s="224">
        <f>IF(ROWS($D$38:H43)=COLUMNS($D$38:H43),1,0-I12)</f>
        <v>0</v>
      </c>
      <c r="J44" s="224">
        <f>IF(ROWS($D$38:I43)=COLUMNS($D$38:I43),1,0-J12)</f>
        <v>1</v>
      </c>
      <c r="K44" s="224">
        <f>IF(ROWS($D$38:J43)=COLUMNS($D$38:J43),1,0-K12)</f>
        <v>0</v>
      </c>
      <c r="L44" s="224">
        <f>IF(ROWS($D$38:K43)=COLUMNS($D$38:K43),1,0-L12)</f>
        <v>0</v>
      </c>
      <c r="M44" s="224">
        <f>IF(ROWS($D$38:L43)=COLUMNS($D$38:L43),1,0-M12)</f>
        <v>0</v>
      </c>
      <c r="N44" s="332">
        <f>IF(ROWS($D$38:M43)=COLUMNS($D$38:M43),1,0-N12)</f>
        <v>0</v>
      </c>
      <c r="O44" s="331">
        <f>IF(ROWS($D$38:N43)=COLUMNS($D$38:N43),1,0-O12)</f>
        <v>0</v>
      </c>
      <c r="P44" s="224">
        <f>IF(ROWS($D$38:O43)=COLUMNS($D$38:O43),1,0-P12)</f>
        <v>0</v>
      </c>
      <c r="Q44" s="224">
        <f>IF(ROWS($D$38:P43)=COLUMNS($D$38:P43),1,0-Q12)</f>
        <v>0</v>
      </c>
      <c r="R44" s="224">
        <f>IF(ROWS($D$38:Q43)=COLUMNS($D$38:Q43),1,0-R12)</f>
        <v>0</v>
      </c>
      <c r="S44" s="224">
        <f>IF(ROWS($D$38:R43)=COLUMNS($D$38:R43),1,0-S12)</f>
        <v>0</v>
      </c>
      <c r="T44" s="224">
        <f>IF(ROWS($D$38:S43)=COLUMNS($D$38:S43),1,0-T12)</f>
        <v>0</v>
      </c>
      <c r="U44" s="224">
        <f>IF(ROWS($D$38:T43)=COLUMNS($D$38:T43),1,0-U12)</f>
        <v>0</v>
      </c>
      <c r="V44" s="224">
        <f>IF(ROWS($D$38:U43)=COLUMNS($D$38:U43),1,0-V12)</f>
        <v>0</v>
      </c>
      <c r="W44" s="224">
        <f>IF(ROWS($D$38:V43)=COLUMNS($D$38:V43),1,0-W12)</f>
        <v>0</v>
      </c>
      <c r="X44" s="224">
        <f>IF(ROWS($D$38:W43)=COLUMNS($D$38:W43),1,0-X12)</f>
        <v>0</v>
      </c>
      <c r="Y44" s="224">
        <f>IF(ROWS($D$38:X43)=COLUMNS($D$38:X43),1,0-Y12)</f>
        <v>0</v>
      </c>
      <c r="Z44" s="224">
        <f>IF(ROWS($D$38:Y43)=COLUMNS($D$38:Y43),1,0-Z12)</f>
        <v>0</v>
      </c>
      <c r="AA44" s="224">
        <f>IF(ROWS($D$38:Z43)=COLUMNS($D$38:Z43),1,0-AA12)</f>
        <v>0</v>
      </c>
      <c r="AB44" s="224">
        <f>IF(ROWS($D$38:AA43)=COLUMNS($D$38:AA43),1,0-AB12)</f>
        <v>0</v>
      </c>
      <c r="AC44" s="224">
        <f>IF(ROWS($D$38:AB43)=COLUMNS($D$38:AB43),1,0-AC12)</f>
        <v>0</v>
      </c>
      <c r="AD44" s="224">
        <f>IF(ROWS($D$38:AC43)=COLUMNS($D$38:AC43),1,0-AD12)</f>
        <v>0</v>
      </c>
      <c r="AE44" s="224">
        <f>IF(ROWS($D$38:AD43)=COLUMNS($D$38:AD43),1,0-AE12)</f>
        <v>0</v>
      </c>
      <c r="AF44" s="224">
        <f>IF(ROWS($D$38:AE43)=COLUMNS($D$38:AE43),1,0-AF12)</f>
        <v>0</v>
      </c>
      <c r="AG44" s="224">
        <f>IF(ROWS($D$38:AF43)=COLUMNS($D$38:AF43),1,0-AG12)</f>
        <v>0</v>
      </c>
      <c r="AH44" s="332">
        <f>IF(ROWS($D$38:AG43)=COLUMNS($D$38:AG43),1,0-AH12)</f>
        <v>0</v>
      </c>
    </row>
    <row r="45" spans="2:74" ht="12.75" customHeight="1" x14ac:dyDescent="0.35">
      <c r="C45" s="223">
        <v>7</v>
      </c>
      <c r="D45" s="336" t="str">
        <f t="shared" si="6"/>
        <v/>
      </c>
      <c r="E45" s="331">
        <f>IF(ROWS($D$38:D44)=COLUMNS($D$38:D44),1,0-E13)</f>
        <v>0</v>
      </c>
      <c r="F45" s="224">
        <f>IF(ROWS($D$38:E44)=COLUMNS($D$38:E44),1,0-F13)</f>
        <v>0</v>
      </c>
      <c r="G45" s="224">
        <f>IF(ROWS($D$38:F44)=COLUMNS($D$38:F44),1,0-G13)</f>
        <v>0</v>
      </c>
      <c r="H45" s="224">
        <f>IF(ROWS($D$38:G44)=COLUMNS($D$38:G44),1,0-H13)</f>
        <v>0</v>
      </c>
      <c r="I45" s="224">
        <f>IF(ROWS($D$38:H44)=COLUMNS($D$38:H44),1,0-I13)</f>
        <v>0</v>
      </c>
      <c r="J45" s="224">
        <f>IF(ROWS($D$38:I44)=COLUMNS($D$38:I44),1,0-J13)</f>
        <v>0</v>
      </c>
      <c r="K45" s="224">
        <f>IF(ROWS($D$38:J44)=COLUMNS($D$38:J44),1,0-K13)</f>
        <v>1</v>
      </c>
      <c r="L45" s="224">
        <f>IF(ROWS($D$38:K44)=COLUMNS($D$38:K44),1,0-L13)</f>
        <v>0</v>
      </c>
      <c r="M45" s="224">
        <f>IF(ROWS($D$38:L44)=COLUMNS($D$38:L44),1,0-M13)</f>
        <v>0</v>
      </c>
      <c r="N45" s="332">
        <f>IF(ROWS($D$38:M44)=COLUMNS($D$38:M44),1,0-N13)</f>
        <v>0</v>
      </c>
      <c r="O45" s="331">
        <f>IF(ROWS($D$38:N44)=COLUMNS($D$38:N44),1,0-O13)</f>
        <v>0</v>
      </c>
      <c r="P45" s="224">
        <f>IF(ROWS($D$38:O44)=COLUMNS($D$38:O44),1,0-P13)</f>
        <v>0</v>
      </c>
      <c r="Q45" s="224">
        <f>IF(ROWS($D$38:P44)=COLUMNS($D$38:P44),1,0-Q13)</f>
        <v>0</v>
      </c>
      <c r="R45" s="224">
        <f>IF(ROWS($D$38:Q44)=COLUMNS($D$38:Q44),1,0-R13)</f>
        <v>0</v>
      </c>
      <c r="S45" s="224">
        <f>IF(ROWS($D$38:R44)=COLUMNS($D$38:R44),1,0-S13)</f>
        <v>0</v>
      </c>
      <c r="T45" s="224">
        <f>IF(ROWS($D$38:S44)=COLUMNS($D$38:S44),1,0-T13)</f>
        <v>0</v>
      </c>
      <c r="U45" s="224">
        <f>IF(ROWS($D$38:T44)=COLUMNS($D$38:T44),1,0-U13)</f>
        <v>0</v>
      </c>
      <c r="V45" s="224">
        <f>IF(ROWS($D$38:U44)=COLUMNS($D$38:U44),1,0-V13)</f>
        <v>0</v>
      </c>
      <c r="W45" s="224">
        <f>IF(ROWS($D$38:V44)=COLUMNS($D$38:V44),1,0-W13)</f>
        <v>0</v>
      </c>
      <c r="X45" s="224">
        <f>IF(ROWS($D$38:W44)=COLUMNS($D$38:W44),1,0-X13)</f>
        <v>0</v>
      </c>
      <c r="Y45" s="224">
        <f>IF(ROWS($D$38:X44)=COLUMNS($D$38:X44),1,0-Y13)</f>
        <v>0</v>
      </c>
      <c r="Z45" s="224">
        <f>IF(ROWS($D$38:Y44)=COLUMNS($D$38:Y44),1,0-Z13)</f>
        <v>0</v>
      </c>
      <c r="AA45" s="224">
        <f>IF(ROWS($D$38:Z44)=COLUMNS($D$38:Z44),1,0-AA13)</f>
        <v>0</v>
      </c>
      <c r="AB45" s="224">
        <f>IF(ROWS($D$38:AA44)=COLUMNS($D$38:AA44),1,0-AB13)</f>
        <v>0</v>
      </c>
      <c r="AC45" s="224">
        <f>IF(ROWS($D$38:AB44)=COLUMNS($D$38:AB44),1,0-AC13)</f>
        <v>0</v>
      </c>
      <c r="AD45" s="224">
        <f>IF(ROWS($D$38:AC44)=COLUMNS($D$38:AC44),1,0-AD13)</f>
        <v>0</v>
      </c>
      <c r="AE45" s="224">
        <f>IF(ROWS($D$38:AD44)=COLUMNS($D$38:AD44),1,0-AE13)</f>
        <v>0</v>
      </c>
      <c r="AF45" s="224">
        <f>IF(ROWS($D$38:AE44)=COLUMNS($D$38:AE44),1,0-AF13)</f>
        <v>0</v>
      </c>
      <c r="AG45" s="224">
        <f>IF(ROWS($D$38:AF44)=COLUMNS($D$38:AF44),1,0-AG13)</f>
        <v>0</v>
      </c>
      <c r="AH45" s="332">
        <f>IF(ROWS($D$38:AG44)=COLUMNS($D$38:AG44),1,0-AH13)</f>
        <v>0</v>
      </c>
    </row>
    <row r="46" spans="2:74" ht="12.75" customHeight="1" x14ac:dyDescent="0.35">
      <c r="C46" s="223">
        <v>8</v>
      </c>
      <c r="D46" s="336" t="str">
        <f t="shared" si="6"/>
        <v/>
      </c>
      <c r="E46" s="331">
        <f>IF(ROWS($D$38:D45)=COLUMNS($D$38:D45),1,0-E14)</f>
        <v>0</v>
      </c>
      <c r="F46" s="224">
        <f>IF(ROWS($D$38:E45)=COLUMNS($D$38:E45),1,0-F14)</f>
        <v>0</v>
      </c>
      <c r="G46" s="224">
        <f>IF(ROWS($D$38:F45)=COLUMNS($D$38:F45),1,0-G14)</f>
        <v>0</v>
      </c>
      <c r="H46" s="224">
        <f>IF(ROWS($D$38:G45)=COLUMNS($D$38:G45),1,0-H14)</f>
        <v>0</v>
      </c>
      <c r="I46" s="224">
        <f>IF(ROWS($D$38:H45)=COLUMNS($D$38:H45),1,0-I14)</f>
        <v>0</v>
      </c>
      <c r="J46" s="224">
        <f>IF(ROWS($D$38:I45)=COLUMNS($D$38:I45),1,0-J14)</f>
        <v>0</v>
      </c>
      <c r="K46" s="224">
        <f>IF(ROWS($D$38:J45)=COLUMNS($D$38:J45),1,0-K14)</f>
        <v>0</v>
      </c>
      <c r="L46" s="224">
        <f>IF(ROWS($D$38:K45)=COLUMNS($D$38:K45),1,0-L14)</f>
        <v>1</v>
      </c>
      <c r="M46" s="224">
        <f>IF(ROWS($D$38:L45)=COLUMNS($D$38:L45),1,0-M14)</f>
        <v>0</v>
      </c>
      <c r="N46" s="332">
        <f>IF(ROWS($D$38:M45)=COLUMNS($D$38:M45),1,0-N14)</f>
        <v>0</v>
      </c>
      <c r="O46" s="331">
        <f>IF(ROWS($D$38:N45)=COLUMNS($D$38:N45),1,0-O14)</f>
        <v>0</v>
      </c>
      <c r="P46" s="224">
        <f>IF(ROWS($D$38:O45)=COLUMNS($D$38:O45),1,0-P14)</f>
        <v>0</v>
      </c>
      <c r="Q46" s="224">
        <f>IF(ROWS($D$38:P45)=COLUMNS($D$38:P45),1,0-Q14)</f>
        <v>0</v>
      </c>
      <c r="R46" s="224">
        <f>IF(ROWS($D$38:Q45)=COLUMNS($D$38:Q45),1,0-R14)</f>
        <v>0</v>
      </c>
      <c r="S46" s="224">
        <f>IF(ROWS($D$38:R45)=COLUMNS($D$38:R45),1,0-S14)</f>
        <v>0</v>
      </c>
      <c r="T46" s="224">
        <f>IF(ROWS($D$38:S45)=COLUMNS($D$38:S45),1,0-T14)</f>
        <v>0</v>
      </c>
      <c r="U46" s="224">
        <f>IF(ROWS($D$38:T45)=COLUMNS($D$38:T45),1,0-U14)</f>
        <v>0</v>
      </c>
      <c r="V46" s="224">
        <f>IF(ROWS($D$38:U45)=COLUMNS($D$38:U45),1,0-V14)</f>
        <v>0</v>
      </c>
      <c r="W46" s="224">
        <f>IF(ROWS($D$38:V45)=COLUMNS($D$38:V45),1,0-W14)</f>
        <v>0</v>
      </c>
      <c r="X46" s="224">
        <f>IF(ROWS($D$38:W45)=COLUMNS($D$38:W45),1,0-X14)</f>
        <v>0</v>
      </c>
      <c r="Y46" s="224">
        <f>IF(ROWS($D$38:X45)=COLUMNS($D$38:X45),1,0-Y14)</f>
        <v>0</v>
      </c>
      <c r="Z46" s="224">
        <f>IF(ROWS($D$38:Y45)=COLUMNS($D$38:Y45),1,0-Z14)</f>
        <v>0</v>
      </c>
      <c r="AA46" s="224">
        <f>IF(ROWS($D$38:Z45)=COLUMNS($D$38:Z45),1,0-AA14)</f>
        <v>0</v>
      </c>
      <c r="AB46" s="224">
        <f>IF(ROWS($D$38:AA45)=COLUMNS($D$38:AA45),1,0-AB14)</f>
        <v>0</v>
      </c>
      <c r="AC46" s="224">
        <f>IF(ROWS($D$38:AB45)=COLUMNS($D$38:AB45),1,0-AC14)</f>
        <v>0</v>
      </c>
      <c r="AD46" s="224">
        <f>IF(ROWS($D$38:AC45)=COLUMNS($D$38:AC45),1,0-AD14)</f>
        <v>0</v>
      </c>
      <c r="AE46" s="224">
        <f>IF(ROWS($D$38:AD45)=COLUMNS($D$38:AD45),1,0-AE14)</f>
        <v>0</v>
      </c>
      <c r="AF46" s="224">
        <f>IF(ROWS($D$38:AE45)=COLUMNS($D$38:AE45),1,0-AF14)</f>
        <v>0</v>
      </c>
      <c r="AG46" s="224">
        <f>IF(ROWS($D$38:AF45)=COLUMNS($D$38:AF45),1,0-AG14)</f>
        <v>0</v>
      </c>
      <c r="AH46" s="332">
        <f>IF(ROWS($D$38:AG45)=COLUMNS($D$38:AG45),1,0-AH14)</f>
        <v>0</v>
      </c>
    </row>
    <row r="47" spans="2:74" ht="12.75" customHeight="1" x14ac:dyDescent="0.35">
      <c r="C47" s="223">
        <v>9</v>
      </c>
      <c r="D47" s="336" t="str">
        <f t="shared" si="6"/>
        <v/>
      </c>
      <c r="E47" s="331">
        <f>IF(ROWS($D$38:D46)=COLUMNS($D$38:D46),1,0-E15)</f>
        <v>0</v>
      </c>
      <c r="F47" s="224">
        <f>IF(ROWS($D$38:E46)=COLUMNS($D$38:E46),1,0-F15)</f>
        <v>0</v>
      </c>
      <c r="G47" s="224">
        <f>IF(ROWS($D$38:F46)=COLUMNS($D$38:F46),1,0-G15)</f>
        <v>0</v>
      </c>
      <c r="H47" s="224">
        <f>IF(ROWS($D$38:G46)=COLUMNS($D$38:G46),1,0-H15)</f>
        <v>0</v>
      </c>
      <c r="I47" s="224">
        <f>IF(ROWS($D$38:H46)=COLUMNS($D$38:H46),1,0-I15)</f>
        <v>0</v>
      </c>
      <c r="J47" s="224">
        <f>IF(ROWS($D$38:I46)=COLUMNS($D$38:I46),1,0-J15)</f>
        <v>0</v>
      </c>
      <c r="K47" s="224">
        <f>IF(ROWS($D$38:J46)=COLUMNS($D$38:J46),1,0-K15)</f>
        <v>0</v>
      </c>
      <c r="L47" s="224">
        <f>IF(ROWS($D$38:K46)=COLUMNS($D$38:K46),1,0-L15)</f>
        <v>0</v>
      </c>
      <c r="M47" s="224">
        <f>IF(ROWS($D$38:L46)=COLUMNS($D$38:L46),1,0-M15)</f>
        <v>1</v>
      </c>
      <c r="N47" s="332">
        <f>IF(ROWS($D$38:M46)=COLUMNS($D$38:M46),1,0-N15)</f>
        <v>0</v>
      </c>
      <c r="O47" s="331">
        <f>IF(ROWS($D$38:N46)=COLUMNS($D$38:N46),1,0-O15)</f>
        <v>0</v>
      </c>
      <c r="P47" s="224">
        <f>IF(ROWS($D$38:O46)=COLUMNS($D$38:O46),1,0-P15)</f>
        <v>0</v>
      </c>
      <c r="Q47" s="224">
        <f>IF(ROWS($D$38:P46)=COLUMNS($D$38:P46),1,0-Q15)</f>
        <v>0</v>
      </c>
      <c r="R47" s="224">
        <f>IF(ROWS($D$38:Q46)=COLUMNS($D$38:Q46),1,0-R15)</f>
        <v>0</v>
      </c>
      <c r="S47" s="224">
        <f>IF(ROWS($D$38:R46)=COLUMNS($D$38:R46),1,0-S15)</f>
        <v>0</v>
      </c>
      <c r="T47" s="224">
        <f>IF(ROWS($D$38:S46)=COLUMNS($D$38:S46),1,0-T15)</f>
        <v>0</v>
      </c>
      <c r="U47" s="224">
        <f>IF(ROWS($D$38:T46)=COLUMNS($D$38:T46),1,0-U15)</f>
        <v>0</v>
      </c>
      <c r="V47" s="224">
        <f>IF(ROWS($D$38:U46)=COLUMNS($D$38:U46),1,0-V15)</f>
        <v>0</v>
      </c>
      <c r="W47" s="224">
        <f>IF(ROWS($D$38:V46)=COLUMNS($D$38:V46),1,0-W15)</f>
        <v>0</v>
      </c>
      <c r="X47" s="224">
        <f>IF(ROWS($D$38:W46)=COLUMNS($D$38:W46),1,0-X15)</f>
        <v>0</v>
      </c>
      <c r="Y47" s="224">
        <f>IF(ROWS($D$38:X46)=COLUMNS($D$38:X46),1,0-Y15)</f>
        <v>0</v>
      </c>
      <c r="Z47" s="224">
        <f>IF(ROWS($D$38:Y46)=COLUMNS($D$38:Y46),1,0-Z15)</f>
        <v>0</v>
      </c>
      <c r="AA47" s="224">
        <f>IF(ROWS($D$38:Z46)=COLUMNS($D$38:Z46),1,0-AA15)</f>
        <v>0</v>
      </c>
      <c r="AB47" s="224">
        <f>IF(ROWS($D$38:AA46)=COLUMNS($D$38:AA46),1,0-AB15)</f>
        <v>0</v>
      </c>
      <c r="AC47" s="224">
        <f>IF(ROWS($D$38:AB46)=COLUMNS($D$38:AB46),1,0-AC15)</f>
        <v>0</v>
      </c>
      <c r="AD47" s="224">
        <f>IF(ROWS($D$38:AC46)=COLUMNS($D$38:AC46),1,0-AD15)</f>
        <v>0</v>
      </c>
      <c r="AE47" s="224">
        <f>IF(ROWS($D$38:AD46)=COLUMNS($D$38:AD46),1,0-AE15)</f>
        <v>0</v>
      </c>
      <c r="AF47" s="224">
        <f>IF(ROWS($D$38:AE46)=COLUMNS($D$38:AE46),1,0-AF15)</f>
        <v>0</v>
      </c>
      <c r="AG47" s="224">
        <f>IF(ROWS($D$38:AF46)=COLUMNS($D$38:AF46),1,0-AG15)</f>
        <v>0</v>
      </c>
      <c r="AH47" s="332">
        <f>IF(ROWS($D$38:AG46)=COLUMNS($D$38:AG46),1,0-AH15)</f>
        <v>0</v>
      </c>
    </row>
    <row r="48" spans="2:74" ht="12.75" customHeight="1" thickBot="1" x14ac:dyDescent="0.4">
      <c r="C48" s="223">
        <v>10</v>
      </c>
      <c r="D48" s="393" t="str">
        <f t="shared" si="6"/>
        <v/>
      </c>
      <c r="E48" s="394">
        <f>IF(ROWS($D$38:D47)=COLUMNS($D$38:D47),1,0-E16)</f>
        <v>0</v>
      </c>
      <c r="F48" s="395">
        <f>IF(ROWS($D$38:E47)=COLUMNS($D$38:E47),1,0-F16)</f>
        <v>0</v>
      </c>
      <c r="G48" s="395">
        <f>IF(ROWS($D$38:F47)=COLUMNS($D$38:F47),1,0-G16)</f>
        <v>0</v>
      </c>
      <c r="H48" s="395">
        <f>IF(ROWS($D$38:G47)=COLUMNS($D$38:G47),1,0-H16)</f>
        <v>0</v>
      </c>
      <c r="I48" s="395">
        <f>IF(ROWS($D$38:H47)=COLUMNS($D$38:H47),1,0-I16)</f>
        <v>0</v>
      </c>
      <c r="J48" s="395">
        <f>IF(ROWS($D$38:I47)=COLUMNS($D$38:I47),1,0-J16)</f>
        <v>0</v>
      </c>
      <c r="K48" s="395">
        <f>IF(ROWS($D$38:J47)=COLUMNS($D$38:J47),1,0-K16)</f>
        <v>0</v>
      </c>
      <c r="L48" s="395">
        <f>IF(ROWS($D$38:K47)=COLUMNS($D$38:K47),1,0-L16)</f>
        <v>0</v>
      </c>
      <c r="M48" s="395">
        <f>IF(ROWS($D$38:L47)=COLUMNS($D$38:L47),1,0-M16)</f>
        <v>0</v>
      </c>
      <c r="N48" s="396">
        <f>IF(ROWS($D$38:M47)=COLUMNS($D$38:M47),1,0-N16)</f>
        <v>1</v>
      </c>
      <c r="O48" s="394">
        <f>IF(ROWS($D$38:N47)=COLUMNS($D$38:N47),1,0-O16)</f>
        <v>0</v>
      </c>
      <c r="P48" s="395">
        <f>IF(ROWS($D$38:O47)=COLUMNS($D$38:O47),1,0-P16)</f>
        <v>0</v>
      </c>
      <c r="Q48" s="395">
        <f>IF(ROWS($D$38:P47)=COLUMNS($D$38:P47),1,0-Q16)</f>
        <v>0</v>
      </c>
      <c r="R48" s="395">
        <f>IF(ROWS($D$38:Q47)=COLUMNS($D$38:Q47),1,0-R16)</f>
        <v>0</v>
      </c>
      <c r="S48" s="395">
        <f>IF(ROWS($D$38:R47)=COLUMNS($D$38:R47),1,0-S16)</f>
        <v>0</v>
      </c>
      <c r="T48" s="395">
        <f>IF(ROWS($D$38:S47)=COLUMNS($D$38:S47),1,0-T16)</f>
        <v>0</v>
      </c>
      <c r="U48" s="395">
        <f>IF(ROWS($D$38:T47)=COLUMNS($D$38:T47),1,0-U16)</f>
        <v>0</v>
      </c>
      <c r="V48" s="395">
        <f>IF(ROWS($D$38:U47)=COLUMNS($D$38:U47),1,0-V16)</f>
        <v>0</v>
      </c>
      <c r="W48" s="395">
        <f>IF(ROWS($D$38:V47)=COLUMNS($D$38:V47),1,0-W16)</f>
        <v>0</v>
      </c>
      <c r="X48" s="395">
        <f>IF(ROWS($D$38:W47)=COLUMNS($D$38:W47),1,0-X16)</f>
        <v>0</v>
      </c>
      <c r="Y48" s="395">
        <f>IF(ROWS($D$38:X47)=COLUMNS($D$38:X47),1,0-Y16)</f>
        <v>0</v>
      </c>
      <c r="Z48" s="395">
        <f>IF(ROWS($D$38:Y47)=COLUMNS($D$38:Y47),1,0-Z16)</f>
        <v>0</v>
      </c>
      <c r="AA48" s="395">
        <f>IF(ROWS($D$38:Z47)=COLUMNS($D$38:Z47),1,0-AA16)</f>
        <v>0</v>
      </c>
      <c r="AB48" s="395">
        <f>IF(ROWS($D$38:AA47)=COLUMNS($D$38:AA47),1,0-AB16)</f>
        <v>0</v>
      </c>
      <c r="AC48" s="395">
        <f>IF(ROWS($D$38:AB47)=COLUMNS($D$38:AB47),1,0-AC16)</f>
        <v>0</v>
      </c>
      <c r="AD48" s="395">
        <f>IF(ROWS($D$38:AC47)=COLUMNS($D$38:AC47),1,0-AD16)</f>
        <v>0</v>
      </c>
      <c r="AE48" s="395">
        <f>IF(ROWS($D$38:AD47)=COLUMNS($D$38:AD47),1,0-AE16)</f>
        <v>0</v>
      </c>
      <c r="AF48" s="395">
        <f>IF(ROWS($D$38:AE47)=COLUMNS($D$38:AE47),1,0-AF16)</f>
        <v>0</v>
      </c>
      <c r="AG48" s="395">
        <f>IF(ROWS($D$38:AF47)=COLUMNS($D$38:AF47),1,0-AG16)</f>
        <v>0</v>
      </c>
      <c r="AH48" s="396">
        <f>IF(ROWS($D$38:AG47)=COLUMNS($D$38:AG47),1,0-AH16)</f>
        <v>0</v>
      </c>
    </row>
    <row r="49" spans="2:34" ht="12.75" customHeight="1" x14ac:dyDescent="0.35">
      <c r="B49" s="218" t="s">
        <v>589</v>
      </c>
      <c r="C49" s="223">
        <v>1</v>
      </c>
      <c r="D49" s="397" t="str">
        <f t="shared" si="6"/>
        <v/>
      </c>
      <c r="E49" s="398">
        <f>IF(ROWS($D$38:D48)=COLUMNS($D$38:D48),1,0-E17)</f>
        <v>0</v>
      </c>
      <c r="F49" s="399">
        <f>IF(ROWS($D$38:E48)=COLUMNS($D$38:E48),1,0-F17)</f>
        <v>0</v>
      </c>
      <c r="G49" s="399">
        <f>IF(ROWS($D$38:F48)=COLUMNS($D$38:F48),1,0-G17)</f>
        <v>0</v>
      </c>
      <c r="H49" s="399">
        <f>IF(ROWS($D$38:G48)=COLUMNS($D$38:G48),1,0-H17)</f>
        <v>0</v>
      </c>
      <c r="I49" s="399">
        <f>IF(ROWS($D$38:H48)=COLUMNS($D$38:H48),1,0-I17)</f>
        <v>0</v>
      </c>
      <c r="J49" s="399">
        <f>IF(ROWS($D$38:I48)=COLUMNS($D$38:I48),1,0-J17)</f>
        <v>0</v>
      </c>
      <c r="K49" s="399">
        <f>IF(ROWS($D$38:J48)=COLUMNS($D$38:J48),1,0-K17)</f>
        <v>0</v>
      </c>
      <c r="L49" s="399">
        <f>IF(ROWS($D$38:K48)=COLUMNS($D$38:K48),1,0-L17)</f>
        <v>0</v>
      </c>
      <c r="M49" s="399">
        <f>IF(ROWS($D$38:L48)=COLUMNS($D$38:L48),1,0-M17)</f>
        <v>0</v>
      </c>
      <c r="N49" s="400">
        <f>IF(ROWS($D$38:M48)=COLUMNS($D$38:M48),1,0-N17)</f>
        <v>0</v>
      </c>
      <c r="O49" s="398">
        <f>IF(ROWS($D$38:N48)=COLUMNS($D$38:N48),1,0-O17)</f>
        <v>1</v>
      </c>
      <c r="P49" s="399">
        <f>IF(ROWS($D$38:O48)=COLUMNS($D$38:O48),1,0-P17)</f>
        <v>0</v>
      </c>
      <c r="Q49" s="399">
        <f>IF(ROWS($D$38:P48)=COLUMNS($D$38:P48),1,0-Q17)</f>
        <v>0</v>
      </c>
      <c r="R49" s="399">
        <f>IF(ROWS($D$38:Q48)=COLUMNS($D$38:Q48),1,0-R17)</f>
        <v>0</v>
      </c>
      <c r="S49" s="399">
        <f>IF(ROWS($D$38:R48)=COLUMNS($D$38:R48),1,0-S17)</f>
        <v>0</v>
      </c>
      <c r="T49" s="399">
        <f>IF(ROWS($D$38:S48)=COLUMNS($D$38:S48),1,0-T17)</f>
        <v>0</v>
      </c>
      <c r="U49" s="399">
        <f>IF(ROWS($D$38:T48)=COLUMNS($D$38:T48),1,0-U17)</f>
        <v>0</v>
      </c>
      <c r="V49" s="399">
        <f>IF(ROWS($D$38:U48)=COLUMNS($D$38:U48),1,0-V17)</f>
        <v>0</v>
      </c>
      <c r="W49" s="399">
        <f>IF(ROWS($D$38:V48)=COLUMNS($D$38:V48),1,0-W17)</f>
        <v>0</v>
      </c>
      <c r="X49" s="399">
        <f>IF(ROWS($D$38:W48)=COLUMNS($D$38:W48),1,0-X17)</f>
        <v>0</v>
      </c>
      <c r="Y49" s="399">
        <f>IF(ROWS($D$38:X48)=COLUMNS($D$38:X48),1,0-Y17)</f>
        <v>0</v>
      </c>
      <c r="Z49" s="399">
        <f>IF(ROWS($D$38:Y48)=COLUMNS($D$38:Y48),1,0-Z17)</f>
        <v>0</v>
      </c>
      <c r="AA49" s="399">
        <f>IF(ROWS($D$38:Z48)=COLUMNS($D$38:Z48),1,0-AA17)</f>
        <v>0</v>
      </c>
      <c r="AB49" s="399">
        <f>IF(ROWS($D$38:AA48)=COLUMNS($D$38:AA48),1,0-AB17)</f>
        <v>0</v>
      </c>
      <c r="AC49" s="399">
        <f>IF(ROWS($D$38:AB48)=COLUMNS($D$38:AB48),1,0-AC17)</f>
        <v>0</v>
      </c>
      <c r="AD49" s="399">
        <f>IF(ROWS($D$38:AC48)=COLUMNS($D$38:AC48),1,0-AD17)</f>
        <v>0</v>
      </c>
      <c r="AE49" s="399">
        <f>IF(ROWS($D$38:AD48)=COLUMNS($D$38:AD48),1,0-AE17)</f>
        <v>0</v>
      </c>
      <c r="AF49" s="399">
        <f>IF(ROWS($D$38:AE48)=COLUMNS($D$38:AE48),1,0-AF17)</f>
        <v>0</v>
      </c>
      <c r="AG49" s="399">
        <f>IF(ROWS($D$38:AF48)=COLUMNS($D$38:AF48),1,0-AG17)</f>
        <v>0</v>
      </c>
      <c r="AH49" s="400">
        <f>IF(ROWS($D$38:AG48)=COLUMNS($D$38:AG48),1,0-AH17)</f>
        <v>0</v>
      </c>
    </row>
    <row r="50" spans="2:34" ht="12.75" customHeight="1" x14ac:dyDescent="0.35">
      <c r="C50" s="223">
        <v>2</v>
      </c>
      <c r="D50" s="336" t="str">
        <f t="shared" si="6"/>
        <v/>
      </c>
      <c r="E50" s="331">
        <f>IF(ROWS($D$38:D49)=COLUMNS($D$38:D49),1,0-E18)</f>
        <v>0</v>
      </c>
      <c r="F50" s="224">
        <f>IF(ROWS($D$38:E49)=COLUMNS($D$38:E49),1,0-F18)</f>
        <v>0</v>
      </c>
      <c r="G50" s="224">
        <f>IF(ROWS($D$38:F49)=COLUMNS($D$38:F49),1,0-G18)</f>
        <v>0</v>
      </c>
      <c r="H50" s="224">
        <f>IF(ROWS($D$38:G49)=COLUMNS($D$38:G49),1,0-H18)</f>
        <v>0</v>
      </c>
      <c r="I50" s="224">
        <f>IF(ROWS($D$38:H49)=COLUMNS($D$38:H49),1,0-I18)</f>
        <v>0</v>
      </c>
      <c r="J50" s="224">
        <f>IF(ROWS($D$38:I49)=COLUMNS($D$38:I49),1,0-J18)</f>
        <v>0</v>
      </c>
      <c r="K50" s="224">
        <f>IF(ROWS($D$38:J49)=COLUMNS($D$38:J49),1,0-K18)</f>
        <v>0</v>
      </c>
      <c r="L50" s="224">
        <f>IF(ROWS($D$38:K49)=COLUMNS($D$38:K49),1,0-L18)</f>
        <v>0</v>
      </c>
      <c r="M50" s="224">
        <f>IF(ROWS($D$38:L49)=COLUMNS($D$38:L49),1,0-M18)</f>
        <v>0</v>
      </c>
      <c r="N50" s="332">
        <f>IF(ROWS($D$38:M49)=COLUMNS($D$38:M49),1,0-N18)</f>
        <v>0</v>
      </c>
      <c r="O50" s="331">
        <f>IF(ROWS($D$38:N49)=COLUMNS($D$38:N49),1,0-O18)</f>
        <v>0</v>
      </c>
      <c r="P50" s="224">
        <f>IF(ROWS($D$38:O49)=COLUMNS($D$38:O49),1,0-P18)</f>
        <v>1</v>
      </c>
      <c r="Q50" s="224">
        <f>IF(ROWS($D$38:P49)=COLUMNS($D$38:P49),1,0-Q18)</f>
        <v>0</v>
      </c>
      <c r="R50" s="224">
        <f>IF(ROWS($D$38:Q49)=COLUMNS($D$38:Q49),1,0-R18)</f>
        <v>0</v>
      </c>
      <c r="S50" s="224">
        <f>IF(ROWS($D$38:R49)=COLUMNS($D$38:R49),1,0-S18)</f>
        <v>0</v>
      </c>
      <c r="T50" s="224">
        <f>IF(ROWS($D$38:S49)=COLUMNS($D$38:S49),1,0-T18)</f>
        <v>0</v>
      </c>
      <c r="U50" s="224">
        <f>IF(ROWS($D$38:T49)=COLUMNS($D$38:T49),1,0-U18)</f>
        <v>0</v>
      </c>
      <c r="V50" s="224">
        <f>IF(ROWS($D$38:U49)=COLUMNS($D$38:U49),1,0-V18)</f>
        <v>0</v>
      </c>
      <c r="W50" s="224">
        <f>IF(ROWS($D$38:V49)=COLUMNS($D$38:V49),1,0-W18)</f>
        <v>0</v>
      </c>
      <c r="X50" s="224">
        <f>IF(ROWS($D$38:W49)=COLUMNS($D$38:W49),1,0-X18)</f>
        <v>0</v>
      </c>
      <c r="Y50" s="224">
        <f>IF(ROWS($D$38:X49)=COLUMNS($D$38:X49),1,0-Y18)</f>
        <v>0</v>
      </c>
      <c r="Z50" s="224">
        <f>IF(ROWS($D$38:Y49)=COLUMNS($D$38:Y49),1,0-Z18)</f>
        <v>0</v>
      </c>
      <c r="AA50" s="224">
        <f>IF(ROWS($D$38:Z49)=COLUMNS($D$38:Z49),1,0-AA18)</f>
        <v>0</v>
      </c>
      <c r="AB50" s="224">
        <f>IF(ROWS($D$38:AA49)=COLUMNS($D$38:AA49),1,0-AB18)</f>
        <v>0</v>
      </c>
      <c r="AC50" s="224">
        <f>IF(ROWS($D$38:AB49)=COLUMNS($D$38:AB49),1,0-AC18)</f>
        <v>0</v>
      </c>
      <c r="AD50" s="224">
        <f>IF(ROWS($D$38:AC49)=COLUMNS($D$38:AC49),1,0-AD18)</f>
        <v>0</v>
      </c>
      <c r="AE50" s="224">
        <f>IF(ROWS($D$38:AD49)=COLUMNS($D$38:AD49),1,0-AE18)</f>
        <v>0</v>
      </c>
      <c r="AF50" s="224">
        <f>IF(ROWS($D$38:AE49)=COLUMNS($D$38:AE49),1,0-AF18)</f>
        <v>0</v>
      </c>
      <c r="AG50" s="224">
        <f>IF(ROWS($D$38:AF49)=COLUMNS($D$38:AF49),1,0-AG18)</f>
        <v>0</v>
      </c>
      <c r="AH50" s="332">
        <f>IF(ROWS($D$38:AG49)=COLUMNS($D$38:AG49),1,0-AH18)</f>
        <v>0</v>
      </c>
    </row>
    <row r="51" spans="2:34" ht="12.75" customHeight="1" x14ac:dyDescent="0.35">
      <c r="C51" s="223">
        <v>3</v>
      </c>
      <c r="D51" s="336" t="str">
        <f t="shared" si="6"/>
        <v/>
      </c>
      <c r="E51" s="331">
        <f>IF(ROWS($D$38:D50)=COLUMNS($D$38:D50),1,0-E19)</f>
        <v>0</v>
      </c>
      <c r="F51" s="224">
        <f>IF(ROWS($D$38:E50)=COLUMNS($D$38:E50),1,0-F19)</f>
        <v>0</v>
      </c>
      <c r="G51" s="224">
        <f>IF(ROWS($D$38:F50)=COLUMNS($D$38:F50),1,0-G19)</f>
        <v>0</v>
      </c>
      <c r="H51" s="224">
        <f>IF(ROWS($D$38:G50)=COLUMNS($D$38:G50),1,0-H19)</f>
        <v>0</v>
      </c>
      <c r="I51" s="224">
        <f>IF(ROWS($D$38:H50)=COLUMNS($D$38:H50),1,0-I19)</f>
        <v>0</v>
      </c>
      <c r="J51" s="224">
        <f>IF(ROWS($D$38:I50)=COLUMNS($D$38:I50),1,0-J19)</f>
        <v>0</v>
      </c>
      <c r="K51" s="224">
        <f>IF(ROWS($D$38:J50)=COLUMNS($D$38:J50),1,0-K19)</f>
        <v>0</v>
      </c>
      <c r="L51" s="224">
        <f>IF(ROWS($D$38:K50)=COLUMNS($D$38:K50),1,0-L19)</f>
        <v>0</v>
      </c>
      <c r="M51" s="224">
        <f>IF(ROWS($D$38:L50)=COLUMNS($D$38:L50),1,0-M19)</f>
        <v>0</v>
      </c>
      <c r="N51" s="332">
        <f>IF(ROWS($D$38:M50)=COLUMNS($D$38:M50),1,0-N19)</f>
        <v>0</v>
      </c>
      <c r="O51" s="331">
        <f>IF(ROWS($D$38:N50)=COLUMNS($D$38:N50),1,0-O19)</f>
        <v>0</v>
      </c>
      <c r="P51" s="224">
        <f>IF(ROWS($D$38:O50)=COLUMNS($D$38:O50),1,0-P19)</f>
        <v>0</v>
      </c>
      <c r="Q51" s="224">
        <f>IF(ROWS($D$38:P50)=COLUMNS($D$38:P50),1,0-Q19)</f>
        <v>1</v>
      </c>
      <c r="R51" s="224">
        <f>IF(ROWS($D$38:Q50)=COLUMNS($D$38:Q50),1,0-R19)</f>
        <v>0</v>
      </c>
      <c r="S51" s="224">
        <f>IF(ROWS($D$38:R50)=COLUMNS($D$38:R50),1,0-S19)</f>
        <v>0</v>
      </c>
      <c r="T51" s="224">
        <f>IF(ROWS($D$38:S50)=COLUMNS($D$38:S50),1,0-T19)</f>
        <v>0</v>
      </c>
      <c r="U51" s="224">
        <f>IF(ROWS($D$38:T50)=COLUMNS($D$38:T50),1,0-U19)</f>
        <v>0</v>
      </c>
      <c r="V51" s="224">
        <f>IF(ROWS($D$38:U50)=COLUMNS($D$38:U50),1,0-V19)</f>
        <v>0</v>
      </c>
      <c r="W51" s="224">
        <f>IF(ROWS($D$38:V50)=COLUMNS($D$38:V50),1,0-W19)</f>
        <v>0</v>
      </c>
      <c r="X51" s="224">
        <f>IF(ROWS($D$38:W50)=COLUMNS($D$38:W50),1,0-X19)</f>
        <v>0</v>
      </c>
      <c r="Y51" s="224">
        <f>IF(ROWS($D$38:X50)=COLUMNS($D$38:X50),1,0-Y19)</f>
        <v>0</v>
      </c>
      <c r="Z51" s="224">
        <f>IF(ROWS($D$38:Y50)=COLUMNS($D$38:Y50),1,0-Z19)</f>
        <v>0</v>
      </c>
      <c r="AA51" s="224">
        <f>IF(ROWS($D$38:Z50)=COLUMNS($D$38:Z50),1,0-AA19)</f>
        <v>0</v>
      </c>
      <c r="AB51" s="224">
        <f>IF(ROWS($D$38:AA50)=COLUMNS($D$38:AA50),1,0-AB19)</f>
        <v>0</v>
      </c>
      <c r="AC51" s="224">
        <f>IF(ROWS($D$38:AB50)=COLUMNS($D$38:AB50),1,0-AC19)</f>
        <v>0</v>
      </c>
      <c r="AD51" s="224">
        <f>IF(ROWS($D$38:AC50)=COLUMNS($D$38:AC50),1,0-AD19)</f>
        <v>0</v>
      </c>
      <c r="AE51" s="224">
        <f>IF(ROWS($D$38:AD50)=COLUMNS($D$38:AD50),1,0-AE19)</f>
        <v>0</v>
      </c>
      <c r="AF51" s="224">
        <f>IF(ROWS($D$38:AE50)=COLUMNS($D$38:AE50),1,0-AF19)</f>
        <v>0</v>
      </c>
      <c r="AG51" s="224">
        <f>IF(ROWS($D$38:AF50)=COLUMNS($D$38:AF50),1,0-AG19)</f>
        <v>0</v>
      </c>
      <c r="AH51" s="332">
        <f>IF(ROWS($D$38:AG50)=COLUMNS($D$38:AG50),1,0-AH19)</f>
        <v>0</v>
      </c>
    </row>
    <row r="52" spans="2:34" ht="12.75" customHeight="1" x14ac:dyDescent="0.35">
      <c r="C52" s="223">
        <v>4</v>
      </c>
      <c r="D52" s="336" t="str">
        <f t="shared" si="6"/>
        <v/>
      </c>
      <c r="E52" s="331">
        <f>IF(ROWS($D$38:D51)=COLUMNS($D$38:D51),1,0-E20)</f>
        <v>0</v>
      </c>
      <c r="F52" s="224">
        <f>IF(ROWS($D$38:E51)=COLUMNS($D$38:E51),1,0-F20)</f>
        <v>0</v>
      </c>
      <c r="G52" s="224">
        <f>IF(ROWS($D$38:F51)=COLUMNS($D$38:F51),1,0-G20)</f>
        <v>0</v>
      </c>
      <c r="H52" s="224">
        <f>IF(ROWS($D$38:G51)=COLUMNS($D$38:G51),1,0-H20)</f>
        <v>0</v>
      </c>
      <c r="I52" s="224">
        <f>IF(ROWS($D$38:H51)=COLUMNS($D$38:H51),1,0-I20)</f>
        <v>0</v>
      </c>
      <c r="J52" s="224">
        <f>IF(ROWS($D$38:I51)=COLUMNS($D$38:I51),1,0-J20)</f>
        <v>0</v>
      </c>
      <c r="K52" s="224">
        <f>IF(ROWS($D$38:J51)=COLUMNS($D$38:J51),1,0-K20)</f>
        <v>0</v>
      </c>
      <c r="L52" s="224">
        <f>IF(ROWS($D$38:K51)=COLUMNS($D$38:K51),1,0-L20)</f>
        <v>0</v>
      </c>
      <c r="M52" s="224">
        <f>IF(ROWS($D$38:L51)=COLUMNS($D$38:L51),1,0-M20)</f>
        <v>0</v>
      </c>
      <c r="N52" s="332">
        <f>IF(ROWS($D$38:M51)=COLUMNS($D$38:M51),1,0-N20)</f>
        <v>0</v>
      </c>
      <c r="O52" s="331">
        <f>IF(ROWS($D$38:N51)=COLUMNS($D$38:N51),1,0-O20)</f>
        <v>0</v>
      </c>
      <c r="P52" s="224">
        <f>IF(ROWS($D$38:O51)=COLUMNS($D$38:O51),1,0-P20)</f>
        <v>0</v>
      </c>
      <c r="Q52" s="224">
        <f>IF(ROWS($D$38:P51)=COLUMNS($D$38:P51),1,0-Q20)</f>
        <v>0</v>
      </c>
      <c r="R52" s="224">
        <f>IF(ROWS($D$38:Q51)=COLUMNS($D$38:Q51),1,0-R20)</f>
        <v>1</v>
      </c>
      <c r="S52" s="224">
        <f>IF(ROWS($D$38:R51)=COLUMNS($D$38:R51),1,0-S20)</f>
        <v>0</v>
      </c>
      <c r="T52" s="224">
        <f>IF(ROWS($D$38:S51)=COLUMNS($D$38:S51),1,0-T20)</f>
        <v>0</v>
      </c>
      <c r="U52" s="224">
        <f>IF(ROWS($D$38:T51)=COLUMNS($D$38:T51),1,0-U20)</f>
        <v>0</v>
      </c>
      <c r="V52" s="224">
        <f>IF(ROWS($D$38:U51)=COLUMNS($D$38:U51),1,0-V20)</f>
        <v>0</v>
      </c>
      <c r="W52" s="224">
        <f>IF(ROWS($D$38:V51)=COLUMNS($D$38:V51),1,0-W20)</f>
        <v>0</v>
      </c>
      <c r="X52" s="224">
        <f>IF(ROWS($D$38:W51)=COLUMNS($D$38:W51),1,0-X20)</f>
        <v>0</v>
      </c>
      <c r="Y52" s="224">
        <f>IF(ROWS($D$38:X51)=COLUMNS($D$38:X51),1,0-Y20)</f>
        <v>0</v>
      </c>
      <c r="Z52" s="224">
        <f>IF(ROWS($D$38:Y51)=COLUMNS($D$38:Y51),1,0-Z20)</f>
        <v>0</v>
      </c>
      <c r="AA52" s="224">
        <f>IF(ROWS($D$38:Z51)=COLUMNS($D$38:Z51),1,0-AA20)</f>
        <v>0</v>
      </c>
      <c r="AB52" s="224">
        <f>IF(ROWS($D$38:AA51)=COLUMNS($D$38:AA51),1,0-AB20)</f>
        <v>0</v>
      </c>
      <c r="AC52" s="224">
        <f>IF(ROWS($D$38:AB51)=COLUMNS($D$38:AB51),1,0-AC20)</f>
        <v>0</v>
      </c>
      <c r="AD52" s="224">
        <f>IF(ROWS($D$38:AC51)=COLUMNS($D$38:AC51),1,0-AD20)</f>
        <v>0</v>
      </c>
      <c r="AE52" s="224">
        <f>IF(ROWS($D$38:AD51)=COLUMNS($D$38:AD51),1,0-AE20)</f>
        <v>0</v>
      </c>
      <c r="AF52" s="224">
        <f>IF(ROWS($D$38:AE51)=COLUMNS($D$38:AE51),1,0-AF20)</f>
        <v>0</v>
      </c>
      <c r="AG52" s="224">
        <f>IF(ROWS($D$38:AF51)=COLUMNS($D$38:AF51),1,0-AG20)</f>
        <v>0</v>
      </c>
      <c r="AH52" s="332">
        <f>IF(ROWS($D$38:AG51)=COLUMNS($D$38:AG51),1,0-AH20)</f>
        <v>0</v>
      </c>
    </row>
    <row r="53" spans="2:34" ht="12.75" customHeight="1" x14ac:dyDescent="0.35">
      <c r="C53" s="223">
        <v>5</v>
      </c>
      <c r="D53" s="336" t="str">
        <f t="shared" si="6"/>
        <v/>
      </c>
      <c r="E53" s="331">
        <f>IF(ROWS($D$38:D52)=COLUMNS($D$38:D52),1,0-E21)</f>
        <v>0</v>
      </c>
      <c r="F53" s="224">
        <f>IF(ROWS($D$38:E52)=COLUMNS($D$38:E52),1,0-F21)</f>
        <v>0</v>
      </c>
      <c r="G53" s="224">
        <f>IF(ROWS($D$38:F52)=COLUMNS($D$38:F52),1,0-G21)</f>
        <v>0</v>
      </c>
      <c r="H53" s="224">
        <f>IF(ROWS($D$38:G52)=COLUMNS($D$38:G52),1,0-H21)</f>
        <v>0</v>
      </c>
      <c r="I53" s="224">
        <f>IF(ROWS($D$38:H52)=COLUMNS($D$38:H52),1,0-I21)</f>
        <v>0</v>
      </c>
      <c r="J53" s="224">
        <f>IF(ROWS($D$38:I52)=COLUMNS($D$38:I52),1,0-J21)</f>
        <v>0</v>
      </c>
      <c r="K53" s="224">
        <f>IF(ROWS($D$38:J52)=COLUMNS($D$38:J52),1,0-K21)</f>
        <v>0</v>
      </c>
      <c r="L53" s="224">
        <f>IF(ROWS($D$38:K52)=COLUMNS($D$38:K52),1,0-L21)</f>
        <v>0</v>
      </c>
      <c r="M53" s="224">
        <f>IF(ROWS($D$38:L52)=COLUMNS($D$38:L52),1,0-M21)</f>
        <v>0</v>
      </c>
      <c r="N53" s="332">
        <f>IF(ROWS($D$38:M52)=COLUMNS($D$38:M52),1,0-N21)</f>
        <v>0</v>
      </c>
      <c r="O53" s="331">
        <f>IF(ROWS($D$38:N52)=COLUMNS($D$38:N52),1,0-O21)</f>
        <v>0</v>
      </c>
      <c r="P53" s="224">
        <f>IF(ROWS($D$38:O52)=COLUMNS($D$38:O52),1,0-P21)</f>
        <v>0</v>
      </c>
      <c r="Q53" s="224">
        <f>IF(ROWS($D$38:P52)=COLUMNS($D$38:P52),1,0-Q21)</f>
        <v>0</v>
      </c>
      <c r="R53" s="224">
        <f>IF(ROWS($D$38:Q52)=COLUMNS($D$38:Q52),1,0-R21)</f>
        <v>0</v>
      </c>
      <c r="S53" s="224">
        <f>IF(ROWS($D$38:R52)=COLUMNS($D$38:R52),1,0-S21)</f>
        <v>1</v>
      </c>
      <c r="T53" s="224">
        <f>IF(ROWS($D$38:S52)=COLUMNS($D$38:S52),1,0-T21)</f>
        <v>0</v>
      </c>
      <c r="U53" s="224">
        <f>IF(ROWS($D$38:T52)=COLUMNS($D$38:T52),1,0-U21)</f>
        <v>0</v>
      </c>
      <c r="V53" s="224">
        <f>IF(ROWS($D$38:U52)=COLUMNS($D$38:U52),1,0-V21)</f>
        <v>0</v>
      </c>
      <c r="W53" s="224">
        <f>IF(ROWS($D$38:V52)=COLUMNS($D$38:V52),1,0-W21)</f>
        <v>0</v>
      </c>
      <c r="X53" s="224">
        <f>IF(ROWS($D$38:W52)=COLUMNS($D$38:W52),1,0-X21)</f>
        <v>0</v>
      </c>
      <c r="Y53" s="224">
        <f>IF(ROWS($D$38:X52)=COLUMNS($D$38:X52),1,0-Y21)</f>
        <v>0</v>
      </c>
      <c r="Z53" s="224">
        <f>IF(ROWS($D$38:Y52)=COLUMNS($D$38:Y52),1,0-Z21)</f>
        <v>0</v>
      </c>
      <c r="AA53" s="224">
        <f>IF(ROWS($D$38:Z52)=COLUMNS($D$38:Z52),1,0-AA21)</f>
        <v>0</v>
      </c>
      <c r="AB53" s="224">
        <f>IF(ROWS($D$38:AA52)=COLUMNS($D$38:AA52),1,0-AB21)</f>
        <v>0</v>
      </c>
      <c r="AC53" s="224">
        <f>IF(ROWS($D$38:AB52)=COLUMNS($D$38:AB52),1,0-AC21)</f>
        <v>0</v>
      </c>
      <c r="AD53" s="224">
        <f>IF(ROWS($D$38:AC52)=COLUMNS($D$38:AC52),1,0-AD21)</f>
        <v>0</v>
      </c>
      <c r="AE53" s="224">
        <f>IF(ROWS($D$38:AD52)=COLUMNS($D$38:AD52),1,0-AE21)</f>
        <v>0</v>
      </c>
      <c r="AF53" s="224">
        <f>IF(ROWS($D$38:AE52)=COLUMNS($D$38:AE52),1,0-AF21)</f>
        <v>0</v>
      </c>
      <c r="AG53" s="224">
        <f>IF(ROWS($D$38:AF52)=COLUMNS($D$38:AF52),1,0-AG21)</f>
        <v>0</v>
      </c>
      <c r="AH53" s="332">
        <f>IF(ROWS($D$38:AG52)=COLUMNS($D$38:AG52),1,0-AH21)</f>
        <v>0</v>
      </c>
    </row>
    <row r="54" spans="2:34" ht="12.75" customHeight="1" x14ac:dyDescent="0.35">
      <c r="C54" s="223">
        <v>6</v>
      </c>
      <c r="D54" s="336" t="str">
        <f t="shared" si="6"/>
        <v/>
      </c>
      <c r="E54" s="331">
        <f>IF(ROWS($D$38:D53)=COLUMNS($D$38:D53),1,0-E22)</f>
        <v>0</v>
      </c>
      <c r="F54" s="224">
        <f>IF(ROWS($D$38:E53)=COLUMNS($D$38:E53),1,0-F22)</f>
        <v>0</v>
      </c>
      <c r="G54" s="224">
        <f>IF(ROWS($D$38:F53)=COLUMNS($D$38:F53),1,0-G22)</f>
        <v>0</v>
      </c>
      <c r="H54" s="224">
        <f>IF(ROWS($D$38:G53)=COLUMNS($D$38:G53),1,0-H22)</f>
        <v>0</v>
      </c>
      <c r="I54" s="224">
        <f>IF(ROWS($D$38:H53)=COLUMNS($D$38:H53),1,0-I22)</f>
        <v>0</v>
      </c>
      <c r="J54" s="224">
        <f>IF(ROWS($D$38:I53)=COLUMNS($D$38:I53),1,0-J22)</f>
        <v>0</v>
      </c>
      <c r="K54" s="224">
        <f>IF(ROWS($D$38:J53)=COLUMNS($D$38:J53),1,0-K22)</f>
        <v>0</v>
      </c>
      <c r="L54" s="224">
        <f>IF(ROWS($D$38:K53)=COLUMNS($D$38:K53),1,0-L22)</f>
        <v>0</v>
      </c>
      <c r="M54" s="224">
        <f>IF(ROWS($D$38:L53)=COLUMNS($D$38:L53),1,0-M22)</f>
        <v>0</v>
      </c>
      <c r="N54" s="332">
        <f>IF(ROWS($D$38:M53)=COLUMNS($D$38:M53),1,0-N22)</f>
        <v>0</v>
      </c>
      <c r="O54" s="331">
        <f>IF(ROWS($D$38:N53)=COLUMNS($D$38:N53),1,0-O22)</f>
        <v>0</v>
      </c>
      <c r="P54" s="224">
        <f>IF(ROWS($D$38:O53)=COLUMNS($D$38:O53),1,0-P22)</f>
        <v>0</v>
      </c>
      <c r="Q54" s="224">
        <f>IF(ROWS($D$38:P53)=COLUMNS($D$38:P53),1,0-Q22)</f>
        <v>0</v>
      </c>
      <c r="R54" s="224">
        <f>IF(ROWS($D$38:Q53)=COLUMNS($D$38:Q53),1,0-R22)</f>
        <v>0</v>
      </c>
      <c r="S54" s="224">
        <f>IF(ROWS($D$38:R53)=COLUMNS($D$38:R53),1,0-S22)</f>
        <v>0</v>
      </c>
      <c r="T54" s="224">
        <f>IF(ROWS($D$38:S53)=COLUMNS($D$38:S53),1,0-T22)</f>
        <v>1</v>
      </c>
      <c r="U54" s="224">
        <f>IF(ROWS($D$38:T53)=COLUMNS($D$38:T53),1,0-U22)</f>
        <v>0</v>
      </c>
      <c r="V54" s="224">
        <f>IF(ROWS($D$38:U53)=COLUMNS($D$38:U53),1,0-V22)</f>
        <v>0</v>
      </c>
      <c r="W54" s="224">
        <f>IF(ROWS($D$38:V53)=COLUMNS($D$38:V53),1,0-W22)</f>
        <v>0</v>
      </c>
      <c r="X54" s="224">
        <f>IF(ROWS($D$38:W53)=COLUMNS($D$38:W53),1,0-X22)</f>
        <v>0</v>
      </c>
      <c r="Y54" s="224">
        <f>IF(ROWS($D$38:X53)=COLUMNS($D$38:X53),1,0-Y22)</f>
        <v>0</v>
      </c>
      <c r="Z54" s="224">
        <f>IF(ROWS($D$38:Y53)=COLUMNS($D$38:Y53),1,0-Z22)</f>
        <v>0</v>
      </c>
      <c r="AA54" s="224">
        <f>IF(ROWS($D$38:Z53)=COLUMNS($D$38:Z53),1,0-AA22)</f>
        <v>0</v>
      </c>
      <c r="AB54" s="224">
        <f>IF(ROWS($D$38:AA53)=COLUMNS($D$38:AA53),1,0-AB22)</f>
        <v>0</v>
      </c>
      <c r="AC54" s="224">
        <f>IF(ROWS($D$38:AB53)=COLUMNS($D$38:AB53),1,0-AC22)</f>
        <v>0</v>
      </c>
      <c r="AD54" s="224">
        <f>IF(ROWS($D$38:AC53)=COLUMNS($D$38:AC53),1,0-AD22)</f>
        <v>0</v>
      </c>
      <c r="AE54" s="224">
        <f>IF(ROWS($D$38:AD53)=COLUMNS($D$38:AD53),1,0-AE22)</f>
        <v>0</v>
      </c>
      <c r="AF54" s="224">
        <f>IF(ROWS($D$38:AE53)=COLUMNS($D$38:AE53),1,0-AF22)</f>
        <v>0</v>
      </c>
      <c r="AG54" s="224">
        <f>IF(ROWS($D$38:AF53)=COLUMNS($D$38:AF53),1,0-AG22)</f>
        <v>0</v>
      </c>
      <c r="AH54" s="332">
        <f>IF(ROWS($D$38:AG53)=COLUMNS($D$38:AG53),1,0-AH22)</f>
        <v>0</v>
      </c>
    </row>
    <row r="55" spans="2:34" ht="12.75" customHeight="1" x14ac:dyDescent="0.35">
      <c r="C55" s="223">
        <v>7</v>
      </c>
      <c r="D55" s="336" t="str">
        <f t="shared" si="6"/>
        <v/>
      </c>
      <c r="E55" s="331">
        <f>IF(ROWS($D$38:D54)=COLUMNS($D$38:D54),1,0-E23)</f>
        <v>0</v>
      </c>
      <c r="F55" s="224">
        <f>IF(ROWS($D$38:E54)=COLUMNS($D$38:E54),1,0-F23)</f>
        <v>0</v>
      </c>
      <c r="G55" s="224">
        <f>IF(ROWS($D$38:F54)=COLUMNS($D$38:F54),1,0-G23)</f>
        <v>0</v>
      </c>
      <c r="H55" s="224">
        <f>IF(ROWS($D$38:G54)=COLUMNS($D$38:G54),1,0-H23)</f>
        <v>0</v>
      </c>
      <c r="I55" s="224">
        <f>IF(ROWS($D$38:H54)=COLUMNS($D$38:H54),1,0-I23)</f>
        <v>0</v>
      </c>
      <c r="J55" s="224">
        <f>IF(ROWS($D$38:I54)=COLUMNS($D$38:I54),1,0-J23)</f>
        <v>0</v>
      </c>
      <c r="K55" s="224">
        <f>IF(ROWS($D$38:J54)=COLUMNS($D$38:J54),1,0-K23)</f>
        <v>0</v>
      </c>
      <c r="L55" s="224">
        <f>IF(ROWS($D$38:K54)=COLUMNS($D$38:K54),1,0-L23)</f>
        <v>0</v>
      </c>
      <c r="M55" s="224">
        <f>IF(ROWS($D$38:L54)=COLUMNS($D$38:L54),1,0-M23)</f>
        <v>0</v>
      </c>
      <c r="N55" s="332">
        <f>IF(ROWS($D$38:M54)=COLUMNS($D$38:M54),1,0-N23)</f>
        <v>0</v>
      </c>
      <c r="O55" s="331">
        <f>IF(ROWS($D$38:N54)=COLUMNS($D$38:N54),1,0-O23)</f>
        <v>0</v>
      </c>
      <c r="P55" s="224">
        <f>IF(ROWS($D$38:O54)=COLUMNS($D$38:O54),1,0-P23)</f>
        <v>0</v>
      </c>
      <c r="Q55" s="224">
        <f>IF(ROWS($D$38:P54)=COLUMNS($D$38:P54),1,0-Q23)</f>
        <v>0</v>
      </c>
      <c r="R55" s="224">
        <f>IF(ROWS($D$38:Q54)=COLUMNS($D$38:Q54),1,0-R23)</f>
        <v>0</v>
      </c>
      <c r="S55" s="224">
        <f>IF(ROWS($D$38:R54)=COLUMNS($D$38:R54),1,0-S23)</f>
        <v>0</v>
      </c>
      <c r="T55" s="224">
        <f>IF(ROWS($D$38:S54)=COLUMNS($D$38:S54),1,0-T23)</f>
        <v>0</v>
      </c>
      <c r="U55" s="224">
        <f>IF(ROWS($D$38:T54)=COLUMNS($D$38:T54),1,0-U23)</f>
        <v>1</v>
      </c>
      <c r="V55" s="224">
        <f>IF(ROWS($D$38:U54)=COLUMNS($D$38:U54),1,0-V23)</f>
        <v>0</v>
      </c>
      <c r="W55" s="224">
        <f>IF(ROWS($D$38:V54)=COLUMNS($D$38:V54),1,0-W23)</f>
        <v>0</v>
      </c>
      <c r="X55" s="224">
        <f>IF(ROWS($D$38:W54)=COLUMNS($D$38:W54),1,0-X23)</f>
        <v>0</v>
      </c>
      <c r="Y55" s="224">
        <f>IF(ROWS($D$38:X54)=COLUMNS($D$38:X54),1,0-Y23)</f>
        <v>0</v>
      </c>
      <c r="Z55" s="224">
        <f>IF(ROWS($D$38:Y54)=COLUMNS($D$38:Y54),1,0-Z23)</f>
        <v>0</v>
      </c>
      <c r="AA55" s="224">
        <f>IF(ROWS($D$38:Z54)=COLUMNS($D$38:Z54),1,0-AA23)</f>
        <v>0</v>
      </c>
      <c r="AB55" s="224">
        <f>IF(ROWS($D$38:AA54)=COLUMNS($D$38:AA54),1,0-AB23)</f>
        <v>0</v>
      </c>
      <c r="AC55" s="224">
        <f>IF(ROWS($D$38:AB54)=COLUMNS($D$38:AB54),1,0-AC23)</f>
        <v>0</v>
      </c>
      <c r="AD55" s="224">
        <f>IF(ROWS($D$38:AC54)=COLUMNS($D$38:AC54),1,0-AD23)</f>
        <v>0</v>
      </c>
      <c r="AE55" s="224">
        <f>IF(ROWS($D$38:AD54)=COLUMNS($D$38:AD54),1,0-AE23)</f>
        <v>0</v>
      </c>
      <c r="AF55" s="224">
        <f>IF(ROWS($D$38:AE54)=COLUMNS($D$38:AE54),1,0-AF23)</f>
        <v>0</v>
      </c>
      <c r="AG55" s="224">
        <f>IF(ROWS($D$38:AF54)=COLUMNS($D$38:AF54),1,0-AG23)</f>
        <v>0</v>
      </c>
      <c r="AH55" s="332">
        <f>IF(ROWS($D$38:AG54)=COLUMNS($D$38:AG54),1,0-AH23)</f>
        <v>0</v>
      </c>
    </row>
    <row r="56" spans="2:34" ht="12.75" customHeight="1" x14ac:dyDescent="0.35">
      <c r="C56" s="223">
        <v>8</v>
      </c>
      <c r="D56" s="336" t="str">
        <f t="shared" si="6"/>
        <v/>
      </c>
      <c r="E56" s="331">
        <f>IF(ROWS($D$38:D55)=COLUMNS($D$38:D55),1,0-E24)</f>
        <v>0</v>
      </c>
      <c r="F56" s="224">
        <f>IF(ROWS($D$38:E55)=COLUMNS($D$38:E55),1,0-F24)</f>
        <v>0</v>
      </c>
      <c r="G56" s="224">
        <f>IF(ROWS($D$38:F55)=COLUMNS($D$38:F55),1,0-G24)</f>
        <v>0</v>
      </c>
      <c r="H56" s="224">
        <f>IF(ROWS($D$38:G55)=COLUMNS($D$38:G55),1,0-H24)</f>
        <v>0</v>
      </c>
      <c r="I56" s="224">
        <f>IF(ROWS($D$38:H55)=COLUMNS($D$38:H55),1,0-I24)</f>
        <v>0</v>
      </c>
      <c r="J56" s="224">
        <f>IF(ROWS($D$38:I55)=COLUMNS($D$38:I55),1,0-J24)</f>
        <v>0</v>
      </c>
      <c r="K56" s="224">
        <f>IF(ROWS($D$38:J55)=COLUMNS($D$38:J55),1,0-K24)</f>
        <v>0</v>
      </c>
      <c r="L56" s="224">
        <f>IF(ROWS($D$38:K55)=COLUMNS($D$38:K55),1,0-L24)</f>
        <v>0</v>
      </c>
      <c r="M56" s="224">
        <f>IF(ROWS($D$38:L55)=COLUMNS($D$38:L55),1,0-M24)</f>
        <v>0</v>
      </c>
      <c r="N56" s="332">
        <f>IF(ROWS($D$38:M55)=COLUMNS($D$38:M55),1,0-N24)</f>
        <v>0</v>
      </c>
      <c r="O56" s="331">
        <f>IF(ROWS($D$38:N55)=COLUMNS($D$38:N55),1,0-O24)</f>
        <v>0</v>
      </c>
      <c r="P56" s="224">
        <f>IF(ROWS($D$38:O55)=COLUMNS($D$38:O55),1,0-P24)</f>
        <v>0</v>
      </c>
      <c r="Q56" s="224">
        <f>IF(ROWS($D$38:P55)=COLUMNS($D$38:P55),1,0-Q24)</f>
        <v>0</v>
      </c>
      <c r="R56" s="224">
        <f>IF(ROWS($D$38:Q55)=COLUMNS($D$38:Q55),1,0-R24)</f>
        <v>0</v>
      </c>
      <c r="S56" s="224">
        <f>IF(ROWS($D$38:R55)=COLUMNS($D$38:R55),1,0-S24)</f>
        <v>0</v>
      </c>
      <c r="T56" s="224">
        <f>IF(ROWS($D$38:S55)=COLUMNS($D$38:S55),1,0-T24)</f>
        <v>0</v>
      </c>
      <c r="U56" s="224">
        <f>IF(ROWS($D$38:T55)=COLUMNS($D$38:T55),1,0-U24)</f>
        <v>0</v>
      </c>
      <c r="V56" s="224">
        <f>IF(ROWS($D$38:U55)=COLUMNS($D$38:U55),1,0-V24)</f>
        <v>1</v>
      </c>
      <c r="W56" s="224">
        <f>IF(ROWS($D$38:V55)=COLUMNS($D$38:V55),1,0-W24)</f>
        <v>0</v>
      </c>
      <c r="X56" s="224">
        <f>IF(ROWS($D$38:W55)=COLUMNS($D$38:W55),1,0-X24)</f>
        <v>0</v>
      </c>
      <c r="Y56" s="224">
        <f>IF(ROWS($D$38:X55)=COLUMNS($D$38:X55),1,0-Y24)</f>
        <v>0</v>
      </c>
      <c r="Z56" s="224">
        <f>IF(ROWS($D$38:Y55)=COLUMNS($D$38:Y55),1,0-Z24)</f>
        <v>0</v>
      </c>
      <c r="AA56" s="224">
        <f>IF(ROWS($D$38:Z55)=COLUMNS($D$38:Z55),1,0-AA24)</f>
        <v>0</v>
      </c>
      <c r="AB56" s="224">
        <f>IF(ROWS($D$38:AA55)=COLUMNS($D$38:AA55),1,0-AB24)</f>
        <v>0</v>
      </c>
      <c r="AC56" s="224">
        <f>IF(ROWS($D$38:AB55)=COLUMNS($D$38:AB55),1,0-AC24)</f>
        <v>0</v>
      </c>
      <c r="AD56" s="224">
        <f>IF(ROWS($D$38:AC55)=COLUMNS($D$38:AC55),1,0-AD24)</f>
        <v>0</v>
      </c>
      <c r="AE56" s="224">
        <f>IF(ROWS($D$38:AD55)=COLUMNS($D$38:AD55),1,0-AE24)</f>
        <v>0</v>
      </c>
      <c r="AF56" s="224">
        <f>IF(ROWS($D$38:AE55)=COLUMNS($D$38:AE55),1,0-AF24)</f>
        <v>0</v>
      </c>
      <c r="AG56" s="224">
        <f>IF(ROWS($D$38:AF55)=COLUMNS($D$38:AF55),1,0-AG24)</f>
        <v>0</v>
      </c>
      <c r="AH56" s="332">
        <f>IF(ROWS($D$38:AG55)=COLUMNS($D$38:AG55),1,0-AH24)</f>
        <v>0</v>
      </c>
    </row>
    <row r="57" spans="2:34" ht="12.75" customHeight="1" x14ac:dyDescent="0.35">
      <c r="C57" s="223">
        <v>9</v>
      </c>
      <c r="D57" s="336" t="str">
        <f t="shared" si="6"/>
        <v/>
      </c>
      <c r="E57" s="331">
        <f>IF(ROWS($D$38:D56)=COLUMNS($D$38:D56),1,0-E25)</f>
        <v>0</v>
      </c>
      <c r="F57" s="224">
        <f>IF(ROWS($D$38:E56)=COLUMNS($D$38:E56),1,0-F25)</f>
        <v>0</v>
      </c>
      <c r="G57" s="224">
        <f>IF(ROWS($D$38:F56)=COLUMNS($D$38:F56),1,0-G25)</f>
        <v>0</v>
      </c>
      <c r="H57" s="224">
        <f>IF(ROWS($D$38:G56)=COLUMNS($D$38:G56),1,0-H25)</f>
        <v>0</v>
      </c>
      <c r="I57" s="224">
        <f>IF(ROWS($D$38:H56)=COLUMNS($D$38:H56),1,0-I25)</f>
        <v>0</v>
      </c>
      <c r="J57" s="224">
        <f>IF(ROWS($D$38:I56)=COLUMNS($D$38:I56),1,0-J25)</f>
        <v>0</v>
      </c>
      <c r="K57" s="224">
        <f>IF(ROWS($D$38:J56)=COLUMNS($D$38:J56),1,0-K25)</f>
        <v>0</v>
      </c>
      <c r="L57" s="224">
        <f>IF(ROWS($D$38:K56)=COLUMNS($D$38:K56),1,0-L25)</f>
        <v>0</v>
      </c>
      <c r="M57" s="224">
        <f>IF(ROWS($D$38:L56)=COLUMNS($D$38:L56),1,0-M25)</f>
        <v>0</v>
      </c>
      <c r="N57" s="332">
        <f>IF(ROWS($D$38:M56)=COLUMNS($D$38:M56),1,0-N25)</f>
        <v>0</v>
      </c>
      <c r="O57" s="331">
        <f>IF(ROWS($D$38:N56)=COLUMNS($D$38:N56),1,0-O25)</f>
        <v>0</v>
      </c>
      <c r="P57" s="224">
        <f>IF(ROWS($D$38:O56)=COLUMNS($D$38:O56),1,0-P25)</f>
        <v>0</v>
      </c>
      <c r="Q57" s="224">
        <f>IF(ROWS($D$38:P56)=COLUMNS($D$38:P56),1,0-Q25)</f>
        <v>0</v>
      </c>
      <c r="R57" s="224">
        <f>IF(ROWS($D$38:Q56)=COLUMNS($D$38:Q56),1,0-R25)</f>
        <v>0</v>
      </c>
      <c r="S57" s="224">
        <f>IF(ROWS($D$38:R56)=COLUMNS($D$38:R56),1,0-S25)</f>
        <v>0</v>
      </c>
      <c r="T57" s="224">
        <f>IF(ROWS($D$38:S56)=COLUMNS($D$38:S56),1,0-T25)</f>
        <v>0</v>
      </c>
      <c r="U57" s="224">
        <f>IF(ROWS($D$38:T56)=COLUMNS($D$38:T56),1,0-U25)</f>
        <v>0</v>
      </c>
      <c r="V57" s="224">
        <f>IF(ROWS($D$38:U56)=COLUMNS($D$38:U56),1,0-V25)</f>
        <v>0</v>
      </c>
      <c r="W57" s="224">
        <f>IF(ROWS($D$38:V56)=COLUMNS($D$38:V56),1,0-W25)</f>
        <v>1</v>
      </c>
      <c r="X57" s="224">
        <f>IF(ROWS($D$38:W56)=COLUMNS($D$38:W56),1,0-X25)</f>
        <v>0</v>
      </c>
      <c r="Y57" s="224">
        <f>IF(ROWS($D$38:X56)=COLUMNS($D$38:X56),1,0-Y25)</f>
        <v>0</v>
      </c>
      <c r="Z57" s="224">
        <f>IF(ROWS($D$38:Y56)=COLUMNS($D$38:Y56),1,0-Z25)</f>
        <v>0</v>
      </c>
      <c r="AA57" s="224">
        <f>IF(ROWS($D$38:Z56)=COLUMNS($D$38:Z56),1,0-AA25)</f>
        <v>0</v>
      </c>
      <c r="AB57" s="224">
        <f>IF(ROWS($D$38:AA56)=COLUMNS($D$38:AA56),1,0-AB25)</f>
        <v>0</v>
      </c>
      <c r="AC57" s="224">
        <f>IF(ROWS($D$38:AB56)=COLUMNS($D$38:AB56),1,0-AC25)</f>
        <v>0</v>
      </c>
      <c r="AD57" s="224">
        <f>IF(ROWS($D$38:AC56)=COLUMNS($D$38:AC56),1,0-AD25)</f>
        <v>0</v>
      </c>
      <c r="AE57" s="224">
        <f>IF(ROWS($D$38:AD56)=COLUMNS($D$38:AD56),1,0-AE25)</f>
        <v>0</v>
      </c>
      <c r="AF57" s="224">
        <f>IF(ROWS($D$38:AE56)=COLUMNS($D$38:AE56),1,0-AF25)</f>
        <v>0</v>
      </c>
      <c r="AG57" s="224">
        <f>IF(ROWS($D$38:AF56)=COLUMNS($D$38:AF56),1,0-AG25)</f>
        <v>0</v>
      </c>
      <c r="AH57" s="332">
        <f>IF(ROWS($D$38:AG56)=COLUMNS($D$38:AG56),1,0-AH25)</f>
        <v>0</v>
      </c>
    </row>
    <row r="58" spans="2:34" ht="12.75" customHeight="1" x14ac:dyDescent="0.35">
      <c r="C58" s="223">
        <v>10</v>
      </c>
      <c r="D58" s="336" t="str">
        <f t="shared" si="6"/>
        <v/>
      </c>
      <c r="E58" s="331">
        <f>IF(ROWS($D$38:D57)=COLUMNS($D$38:D57),1,0-E26)</f>
        <v>0</v>
      </c>
      <c r="F58" s="224">
        <f>IF(ROWS($D$38:E57)=COLUMNS($D$38:E57),1,0-F26)</f>
        <v>0</v>
      </c>
      <c r="G58" s="224">
        <f>IF(ROWS($D$38:F57)=COLUMNS($D$38:F57),1,0-G26)</f>
        <v>0</v>
      </c>
      <c r="H58" s="224">
        <f>IF(ROWS($D$38:G57)=COLUMNS($D$38:G57),1,0-H26)</f>
        <v>0</v>
      </c>
      <c r="I58" s="224">
        <f>IF(ROWS($D$38:H57)=COLUMNS($D$38:H57),1,0-I26)</f>
        <v>0</v>
      </c>
      <c r="J58" s="224">
        <f>IF(ROWS($D$38:I57)=COLUMNS($D$38:I57),1,0-J26)</f>
        <v>0</v>
      </c>
      <c r="K58" s="224">
        <f>IF(ROWS($D$38:J57)=COLUMNS($D$38:J57),1,0-K26)</f>
        <v>0</v>
      </c>
      <c r="L58" s="224">
        <f>IF(ROWS($D$38:K57)=COLUMNS($D$38:K57),1,0-L26)</f>
        <v>0</v>
      </c>
      <c r="M58" s="224">
        <f>IF(ROWS($D$38:L57)=COLUMNS($D$38:L57),1,0-M26)</f>
        <v>0</v>
      </c>
      <c r="N58" s="332">
        <f>IF(ROWS($D$38:M57)=COLUMNS($D$38:M57),1,0-N26)</f>
        <v>0</v>
      </c>
      <c r="O58" s="331">
        <f>IF(ROWS($D$38:N57)=COLUMNS($D$38:N57),1,0-O26)</f>
        <v>0</v>
      </c>
      <c r="P58" s="224">
        <f>IF(ROWS($D$38:O57)=COLUMNS($D$38:O57),1,0-P26)</f>
        <v>0</v>
      </c>
      <c r="Q58" s="224">
        <f>IF(ROWS($D$38:P57)=COLUMNS($D$38:P57),1,0-Q26)</f>
        <v>0</v>
      </c>
      <c r="R58" s="224">
        <f>IF(ROWS($D$38:Q57)=COLUMNS($D$38:Q57),1,0-R26)</f>
        <v>0</v>
      </c>
      <c r="S58" s="224">
        <f>IF(ROWS($D$38:R57)=COLUMNS($D$38:R57),1,0-S26)</f>
        <v>0</v>
      </c>
      <c r="T58" s="224">
        <f>IF(ROWS($D$38:S57)=COLUMNS($D$38:S57),1,0-T26)</f>
        <v>0</v>
      </c>
      <c r="U58" s="224">
        <f>IF(ROWS($D$38:T57)=COLUMNS($D$38:T57),1,0-U26)</f>
        <v>0</v>
      </c>
      <c r="V58" s="224">
        <f>IF(ROWS($D$38:U57)=COLUMNS($D$38:U57),1,0-V26)</f>
        <v>0</v>
      </c>
      <c r="W58" s="224">
        <f>IF(ROWS($D$38:V57)=COLUMNS($D$38:V57),1,0-W26)</f>
        <v>0</v>
      </c>
      <c r="X58" s="224">
        <f>IF(ROWS($D$38:W57)=COLUMNS($D$38:W57),1,0-X26)</f>
        <v>1</v>
      </c>
      <c r="Y58" s="224">
        <f>IF(ROWS($D$38:X57)=COLUMNS($D$38:X57),1,0-Y26)</f>
        <v>0</v>
      </c>
      <c r="Z58" s="224">
        <f>IF(ROWS($D$38:Y57)=COLUMNS($D$38:Y57),1,0-Z26)</f>
        <v>0</v>
      </c>
      <c r="AA58" s="224">
        <f>IF(ROWS($D$38:Z57)=COLUMNS($D$38:Z57),1,0-AA26)</f>
        <v>0</v>
      </c>
      <c r="AB58" s="224">
        <f>IF(ROWS($D$38:AA57)=COLUMNS($D$38:AA57),1,0-AB26)</f>
        <v>0</v>
      </c>
      <c r="AC58" s="224">
        <f>IF(ROWS($D$38:AB57)=COLUMNS($D$38:AB57),1,0-AC26)</f>
        <v>0</v>
      </c>
      <c r="AD58" s="224">
        <f>IF(ROWS($D$38:AC57)=COLUMNS($D$38:AC57),1,0-AD26)</f>
        <v>0</v>
      </c>
      <c r="AE58" s="224">
        <f>IF(ROWS($D$38:AD57)=COLUMNS($D$38:AD57),1,0-AE26)</f>
        <v>0</v>
      </c>
      <c r="AF58" s="224">
        <f>IF(ROWS($D$38:AE57)=COLUMNS($D$38:AE57),1,0-AF26)</f>
        <v>0</v>
      </c>
      <c r="AG58" s="224">
        <f>IF(ROWS($D$38:AF57)=COLUMNS($D$38:AF57),1,0-AG26)</f>
        <v>0</v>
      </c>
      <c r="AH58" s="332">
        <f>IF(ROWS($D$38:AG57)=COLUMNS($D$38:AG57),1,0-AH26)</f>
        <v>0</v>
      </c>
    </row>
    <row r="59" spans="2:34" ht="12.75" customHeight="1" x14ac:dyDescent="0.35">
      <c r="C59" s="223">
        <v>11</v>
      </c>
      <c r="D59" s="336" t="str">
        <f t="shared" si="6"/>
        <v/>
      </c>
      <c r="E59" s="331">
        <f>IF(ROWS($D$38:D58)=COLUMNS($D$38:D58),1,0-E27)</f>
        <v>0</v>
      </c>
      <c r="F59" s="224">
        <f>IF(ROWS($D$38:E58)=COLUMNS($D$38:E58),1,0-F27)</f>
        <v>0</v>
      </c>
      <c r="G59" s="224">
        <f>IF(ROWS($D$38:F58)=COLUMNS($D$38:F58),1,0-G27)</f>
        <v>0</v>
      </c>
      <c r="H59" s="224">
        <f>IF(ROWS($D$38:G58)=COLUMNS($D$38:G58),1,0-H27)</f>
        <v>0</v>
      </c>
      <c r="I59" s="224">
        <f>IF(ROWS($D$38:H58)=COLUMNS($D$38:H58),1,0-I27)</f>
        <v>0</v>
      </c>
      <c r="J59" s="224">
        <f>IF(ROWS($D$38:I58)=COLUMNS($D$38:I58),1,0-J27)</f>
        <v>0</v>
      </c>
      <c r="K59" s="224">
        <f>IF(ROWS($D$38:J58)=COLUMNS($D$38:J58),1,0-K27)</f>
        <v>0</v>
      </c>
      <c r="L59" s="224">
        <f>IF(ROWS($D$38:K58)=COLUMNS($D$38:K58),1,0-L27)</f>
        <v>0</v>
      </c>
      <c r="M59" s="224">
        <f>IF(ROWS($D$38:L58)=COLUMNS($D$38:L58),1,0-M27)</f>
        <v>0</v>
      </c>
      <c r="N59" s="332">
        <f>IF(ROWS($D$38:M58)=COLUMNS($D$38:M58),1,0-N27)</f>
        <v>0</v>
      </c>
      <c r="O59" s="331">
        <f>IF(ROWS($D$38:N58)=COLUMNS($D$38:N58),1,0-O27)</f>
        <v>0</v>
      </c>
      <c r="P59" s="224">
        <f>IF(ROWS($D$38:O58)=COLUMNS($D$38:O58),1,0-P27)</f>
        <v>0</v>
      </c>
      <c r="Q59" s="224">
        <f>IF(ROWS($D$38:P58)=COLUMNS($D$38:P58),1,0-Q27)</f>
        <v>0</v>
      </c>
      <c r="R59" s="224">
        <f>IF(ROWS($D$38:Q58)=COLUMNS($D$38:Q58),1,0-R27)</f>
        <v>0</v>
      </c>
      <c r="S59" s="224">
        <f>IF(ROWS($D$38:R58)=COLUMNS($D$38:R58),1,0-S27)</f>
        <v>0</v>
      </c>
      <c r="T59" s="224">
        <f>IF(ROWS($D$38:S58)=COLUMNS($D$38:S58),1,0-T27)</f>
        <v>0</v>
      </c>
      <c r="U59" s="224">
        <f>IF(ROWS($D$38:T58)=COLUMNS($D$38:T58),1,0-U27)</f>
        <v>0</v>
      </c>
      <c r="V59" s="224">
        <f>IF(ROWS($D$38:U58)=COLUMNS($D$38:U58),1,0-V27)</f>
        <v>0</v>
      </c>
      <c r="W59" s="224">
        <f>IF(ROWS($D$38:V58)=COLUMNS($D$38:V58),1,0-W27)</f>
        <v>0</v>
      </c>
      <c r="X59" s="224">
        <f>IF(ROWS($D$38:W58)=COLUMNS($D$38:W58),1,0-X27)</f>
        <v>0</v>
      </c>
      <c r="Y59" s="224">
        <f>IF(ROWS($D$38:X58)=COLUMNS($D$38:X58),1,0-Y27)</f>
        <v>1</v>
      </c>
      <c r="Z59" s="224">
        <f>IF(ROWS($D$38:Y58)=COLUMNS($D$38:Y58),1,0-Z27)</f>
        <v>0</v>
      </c>
      <c r="AA59" s="224">
        <f>IF(ROWS($D$38:Z58)=COLUMNS($D$38:Z58),1,0-AA27)</f>
        <v>0</v>
      </c>
      <c r="AB59" s="224">
        <f>IF(ROWS($D$38:AA58)=COLUMNS($D$38:AA58),1,0-AB27)</f>
        <v>0</v>
      </c>
      <c r="AC59" s="224">
        <f>IF(ROWS($D$38:AB58)=COLUMNS($D$38:AB58),1,0-AC27)</f>
        <v>0</v>
      </c>
      <c r="AD59" s="224">
        <f>IF(ROWS($D$38:AC58)=COLUMNS($D$38:AC58),1,0-AD27)</f>
        <v>0</v>
      </c>
      <c r="AE59" s="224">
        <f>IF(ROWS($D$38:AD58)=COLUMNS($D$38:AD58),1,0-AE27)</f>
        <v>0</v>
      </c>
      <c r="AF59" s="224">
        <f>IF(ROWS($D$38:AE58)=COLUMNS($D$38:AE58),1,0-AF27)</f>
        <v>0</v>
      </c>
      <c r="AG59" s="224">
        <f>IF(ROWS($D$38:AF58)=COLUMNS($D$38:AF58),1,0-AG27)</f>
        <v>0</v>
      </c>
      <c r="AH59" s="332">
        <f>IF(ROWS($D$38:AG58)=COLUMNS($D$38:AG58),1,0-AH27)</f>
        <v>0</v>
      </c>
    </row>
    <row r="60" spans="2:34" ht="12.75" customHeight="1" x14ac:dyDescent="0.35">
      <c r="C60" s="223">
        <v>12</v>
      </c>
      <c r="D60" s="336" t="str">
        <f t="shared" si="6"/>
        <v/>
      </c>
      <c r="E60" s="331">
        <f>IF(ROWS($D$38:D59)=COLUMNS($D$38:D59),1,0-E28)</f>
        <v>0</v>
      </c>
      <c r="F60" s="224">
        <f>IF(ROWS($D$38:E59)=COLUMNS($D$38:E59),1,0-F28)</f>
        <v>0</v>
      </c>
      <c r="G60" s="224">
        <f>IF(ROWS($D$38:F59)=COLUMNS($D$38:F59),1,0-G28)</f>
        <v>0</v>
      </c>
      <c r="H60" s="224">
        <f>IF(ROWS($D$38:G59)=COLUMNS($D$38:G59),1,0-H28)</f>
        <v>0</v>
      </c>
      <c r="I60" s="224">
        <f>IF(ROWS($D$38:H59)=COLUMNS($D$38:H59),1,0-I28)</f>
        <v>0</v>
      </c>
      <c r="J60" s="224">
        <f>IF(ROWS($D$38:I59)=COLUMNS($D$38:I59),1,0-J28)</f>
        <v>0</v>
      </c>
      <c r="K60" s="224">
        <f>IF(ROWS($D$38:J59)=COLUMNS($D$38:J59),1,0-K28)</f>
        <v>0</v>
      </c>
      <c r="L60" s="224">
        <f>IF(ROWS($D$38:K59)=COLUMNS($D$38:K59),1,0-L28)</f>
        <v>0</v>
      </c>
      <c r="M60" s="224">
        <f>IF(ROWS($D$38:L59)=COLUMNS($D$38:L59),1,0-M28)</f>
        <v>0</v>
      </c>
      <c r="N60" s="332">
        <f>IF(ROWS($D$38:M59)=COLUMNS($D$38:M59),1,0-N28)</f>
        <v>0</v>
      </c>
      <c r="O60" s="331">
        <f>IF(ROWS($D$38:N59)=COLUMNS($D$38:N59),1,0-O28)</f>
        <v>0</v>
      </c>
      <c r="P60" s="224">
        <f>IF(ROWS($D$38:O59)=COLUMNS($D$38:O59),1,0-P28)</f>
        <v>0</v>
      </c>
      <c r="Q60" s="224">
        <f>IF(ROWS($D$38:P59)=COLUMNS($D$38:P59),1,0-Q28)</f>
        <v>0</v>
      </c>
      <c r="R60" s="224">
        <f>IF(ROWS($D$38:Q59)=COLUMNS($D$38:Q59),1,0-R28)</f>
        <v>0</v>
      </c>
      <c r="S60" s="224">
        <f>IF(ROWS($D$38:R59)=COLUMNS($D$38:R59),1,0-S28)</f>
        <v>0</v>
      </c>
      <c r="T60" s="224">
        <f>IF(ROWS($D$38:S59)=COLUMNS($D$38:S59),1,0-T28)</f>
        <v>0</v>
      </c>
      <c r="U60" s="224">
        <f>IF(ROWS($D$38:T59)=COLUMNS($D$38:T59),1,0-U28)</f>
        <v>0</v>
      </c>
      <c r="V60" s="224">
        <f>IF(ROWS($D$38:U59)=COLUMNS($D$38:U59),1,0-V28)</f>
        <v>0</v>
      </c>
      <c r="W60" s="224">
        <f>IF(ROWS($D$38:V59)=COLUMNS($D$38:V59),1,0-W28)</f>
        <v>0</v>
      </c>
      <c r="X60" s="224">
        <f>IF(ROWS($D$38:W59)=COLUMNS($D$38:W59),1,0-X28)</f>
        <v>0</v>
      </c>
      <c r="Y60" s="224">
        <f>IF(ROWS($D$38:X59)=COLUMNS($D$38:X59),1,0-Y28)</f>
        <v>0</v>
      </c>
      <c r="Z60" s="224">
        <f>IF(ROWS($D$38:Y59)=COLUMNS($D$38:Y59),1,0-Z28)</f>
        <v>1</v>
      </c>
      <c r="AA60" s="224">
        <f>IF(ROWS($D$38:Z59)=COLUMNS($D$38:Z59),1,0-AA28)</f>
        <v>0</v>
      </c>
      <c r="AB60" s="224">
        <f>IF(ROWS($D$38:AA59)=COLUMNS($D$38:AA59),1,0-AB28)</f>
        <v>0</v>
      </c>
      <c r="AC60" s="224">
        <f>IF(ROWS($D$38:AB59)=COLUMNS($D$38:AB59),1,0-AC28)</f>
        <v>0</v>
      </c>
      <c r="AD60" s="224">
        <f>IF(ROWS($D$38:AC59)=COLUMNS($D$38:AC59),1,0-AD28)</f>
        <v>0</v>
      </c>
      <c r="AE60" s="224">
        <f>IF(ROWS($D$38:AD59)=COLUMNS($D$38:AD59),1,0-AE28)</f>
        <v>0</v>
      </c>
      <c r="AF60" s="224">
        <f>IF(ROWS($D$38:AE59)=COLUMNS($D$38:AE59),1,0-AF28)</f>
        <v>0</v>
      </c>
      <c r="AG60" s="224">
        <f>IF(ROWS($D$38:AF59)=COLUMNS($D$38:AF59),1,0-AG28)</f>
        <v>0</v>
      </c>
      <c r="AH60" s="332">
        <f>IF(ROWS($D$38:AG59)=COLUMNS($D$38:AG59),1,0-AH28)</f>
        <v>0</v>
      </c>
    </row>
    <row r="61" spans="2:34" ht="12.75" customHeight="1" x14ac:dyDescent="0.35">
      <c r="C61" s="223">
        <v>13</v>
      </c>
      <c r="D61" s="336" t="str">
        <f t="shared" si="6"/>
        <v/>
      </c>
      <c r="E61" s="331">
        <f>IF(ROWS($D$38:D60)=COLUMNS($D$38:D60),1,0-E29)</f>
        <v>0</v>
      </c>
      <c r="F61" s="224">
        <f>IF(ROWS($D$38:E60)=COLUMNS($D$38:E60),1,0-F29)</f>
        <v>0</v>
      </c>
      <c r="G61" s="224">
        <f>IF(ROWS($D$38:F60)=COLUMNS($D$38:F60),1,0-G29)</f>
        <v>0</v>
      </c>
      <c r="H61" s="224">
        <f>IF(ROWS($D$38:G60)=COLUMNS($D$38:G60),1,0-H29)</f>
        <v>0</v>
      </c>
      <c r="I61" s="224">
        <f>IF(ROWS($D$38:H60)=COLUMNS($D$38:H60),1,0-I29)</f>
        <v>0</v>
      </c>
      <c r="J61" s="224">
        <f>IF(ROWS($D$38:I60)=COLUMNS($D$38:I60),1,0-J29)</f>
        <v>0</v>
      </c>
      <c r="K61" s="224">
        <f>IF(ROWS($D$38:J60)=COLUMNS($D$38:J60),1,0-K29)</f>
        <v>0</v>
      </c>
      <c r="L61" s="224">
        <f>IF(ROWS($D$38:K60)=COLUMNS($D$38:K60),1,0-L29)</f>
        <v>0</v>
      </c>
      <c r="M61" s="224">
        <f>IF(ROWS($D$38:L60)=COLUMNS($D$38:L60),1,0-M29)</f>
        <v>0</v>
      </c>
      <c r="N61" s="332">
        <f>IF(ROWS($D$38:M60)=COLUMNS($D$38:M60),1,0-N29)</f>
        <v>0</v>
      </c>
      <c r="O61" s="331">
        <f>IF(ROWS($D$38:N60)=COLUMNS($D$38:N60),1,0-O29)</f>
        <v>0</v>
      </c>
      <c r="P61" s="224">
        <f>IF(ROWS($D$38:O60)=COLUMNS($D$38:O60),1,0-P29)</f>
        <v>0</v>
      </c>
      <c r="Q61" s="224">
        <f>IF(ROWS($D$38:P60)=COLUMNS($D$38:P60),1,0-Q29)</f>
        <v>0</v>
      </c>
      <c r="R61" s="224">
        <f>IF(ROWS($D$38:Q60)=COLUMNS($D$38:Q60),1,0-R29)</f>
        <v>0</v>
      </c>
      <c r="S61" s="224">
        <f>IF(ROWS($D$38:R60)=COLUMNS($D$38:R60),1,0-S29)</f>
        <v>0</v>
      </c>
      <c r="T61" s="224">
        <f>IF(ROWS($D$38:S60)=COLUMNS($D$38:S60),1,0-T29)</f>
        <v>0</v>
      </c>
      <c r="U61" s="224">
        <f>IF(ROWS($D$38:T60)=COLUMNS($D$38:T60),1,0-U29)</f>
        <v>0</v>
      </c>
      <c r="V61" s="224">
        <f>IF(ROWS($D$38:U60)=COLUMNS($D$38:U60),1,0-V29)</f>
        <v>0</v>
      </c>
      <c r="W61" s="224">
        <f>IF(ROWS($D$38:V60)=COLUMNS($D$38:V60),1,0-W29)</f>
        <v>0</v>
      </c>
      <c r="X61" s="224">
        <f>IF(ROWS($D$38:W60)=COLUMNS($D$38:W60),1,0-X29)</f>
        <v>0</v>
      </c>
      <c r="Y61" s="224">
        <f>IF(ROWS($D$38:X60)=COLUMNS($D$38:X60),1,0-Y29)</f>
        <v>0</v>
      </c>
      <c r="Z61" s="224">
        <f>IF(ROWS($D$38:Y60)=COLUMNS($D$38:Y60),1,0-Z29)</f>
        <v>0</v>
      </c>
      <c r="AA61" s="224">
        <f>IF(ROWS($D$38:Z60)=COLUMNS($D$38:Z60),1,0-AA29)</f>
        <v>1</v>
      </c>
      <c r="AB61" s="224">
        <f>IF(ROWS($D$38:AA60)=COLUMNS($D$38:AA60),1,0-AB29)</f>
        <v>0</v>
      </c>
      <c r="AC61" s="224">
        <f>IF(ROWS($D$38:AB60)=COLUMNS($D$38:AB60),1,0-AC29)</f>
        <v>0</v>
      </c>
      <c r="AD61" s="224">
        <f>IF(ROWS($D$38:AC60)=COLUMNS($D$38:AC60),1,0-AD29)</f>
        <v>0</v>
      </c>
      <c r="AE61" s="224">
        <f>IF(ROWS($D$38:AD60)=COLUMNS($D$38:AD60),1,0-AE29)</f>
        <v>0</v>
      </c>
      <c r="AF61" s="224">
        <f>IF(ROWS($D$38:AE60)=COLUMNS($D$38:AE60),1,0-AF29)</f>
        <v>0</v>
      </c>
      <c r="AG61" s="224">
        <f>IF(ROWS($D$38:AF60)=COLUMNS($D$38:AF60),1,0-AG29)</f>
        <v>0</v>
      </c>
      <c r="AH61" s="332">
        <f>IF(ROWS($D$38:AG60)=COLUMNS($D$38:AG60),1,0-AH29)</f>
        <v>0</v>
      </c>
    </row>
    <row r="62" spans="2:34" ht="12.75" customHeight="1" x14ac:dyDescent="0.35">
      <c r="C62" s="223">
        <v>14</v>
      </c>
      <c r="D62" s="336" t="str">
        <f t="shared" si="6"/>
        <v/>
      </c>
      <c r="E62" s="331">
        <f>IF(ROWS($D$38:D61)=COLUMNS($D$38:D61),1,0-E30)</f>
        <v>0</v>
      </c>
      <c r="F62" s="224">
        <f>IF(ROWS($D$38:E61)=COLUMNS($D$38:E61),1,0-F30)</f>
        <v>0</v>
      </c>
      <c r="G62" s="224">
        <f>IF(ROWS($D$38:F61)=COLUMNS($D$38:F61),1,0-G30)</f>
        <v>0</v>
      </c>
      <c r="H62" s="224">
        <f>IF(ROWS($D$38:G61)=COLUMNS($D$38:G61),1,0-H30)</f>
        <v>0</v>
      </c>
      <c r="I62" s="224">
        <f>IF(ROWS($D$38:H61)=COLUMNS($D$38:H61),1,0-I30)</f>
        <v>0</v>
      </c>
      <c r="J62" s="224">
        <f>IF(ROWS($D$38:I61)=COLUMNS($D$38:I61),1,0-J30)</f>
        <v>0</v>
      </c>
      <c r="K62" s="224">
        <f>IF(ROWS($D$38:J61)=COLUMNS($D$38:J61),1,0-K30)</f>
        <v>0</v>
      </c>
      <c r="L62" s="224">
        <f>IF(ROWS($D$38:K61)=COLUMNS($D$38:K61),1,0-L30)</f>
        <v>0</v>
      </c>
      <c r="M62" s="224">
        <f>IF(ROWS($D$38:L61)=COLUMNS($D$38:L61),1,0-M30)</f>
        <v>0</v>
      </c>
      <c r="N62" s="332">
        <f>IF(ROWS($D$38:M61)=COLUMNS($D$38:M61),1,0-N30)</f>
        <v>0</v>
      </c>
      <c r="O62" s="331">
        <f>IF(ROWS($D$38:N61)=COLUMNS($D$38:N61),1,0-O30)</f>
        <v>0</v>
      </c>
      <c r="P62" s="224">
        <f>IF(ROWS($D$38:O61)=COLUMNS($D$38:O61),1,0-P30)</f>
        <v>0</v>
      </c>
      <c r="Q62" s="224">
        <f>IF(ROWS($D$38:P61)=COLUMNS($D$38:P61),1,0-Q30)</f>
        <v>0</v>
      </c>
      <c r="R62" s="224">
        <f>IF(ROWS($D$38:Q61)=COLUMNS($D$38:Q61),1,0-R30)</f>
        <v>0</v>
      </c>
      <c r="S62" s="224">
        <f>IF(ROWS($D$38:R61)=COLUMNS($D$38:R61),1,0-S30)</f>
        <v>0</v>
      </c>
      <c r="T62" s="224">
        <f>IF(ROWS($D$38:S61)=COLUMNS($D$38:S61),1,0-T30)</f>
        <v>0</v>
      </c>
      <c r="U62" s="224">
        <f>IF(ROWS($D$38:T61)=COLUMNS($D$38:T61),1,0-U30)</f>
        <v>0</v>
      </c>
      <c r="V62" s="224">
        <f>IF(ROWS($D$38:U61)=COLUMNS($D$38:U61),1,0-V30)</f>
        <v>0</v>
      </c>
      <c r="W62" s="224">
        <f>IF(ROWS($D$38:V61)=COLUMNS($D$38:V61),1,0-W30)</f>
        <v>0</v>
      </c>
      <c r="X62" s="224">
        <f>IF(ROWS($D$38:W61)=COLUMNS($D$38:W61),1,0-X30)</f>
        <v>0</v>
      </c>
      <c r="Y62" s="224">
        <f>IF(ROWS($D$38:X61)=COLUMNS($D$38:X61),1,0-Y30)</f>
        <v>0</v>
      </c>
      <c r="Z62" s="224">
        <f>IF(ROWS($D$38:Y61)=COLUMNS($D$38:Y61),1,0-Z30)</f>
        <v>0</v>
      </c>
      <c r="AA62" s="224">
        <f>IF(ROWS($D$38:Z61)=COLUMNS($D$38:Z61),1,0-AA30)</f>
        <v>0</v>
      </c>
      <c r="AB62" s="224">
        <f>IF(ROWS($D$38:AA61)=COLUMNS($D$38:AA61),1,0-AB30)</f>
        <v>1</v>
      </c>
      <c r="AC62" s="224">
        <f>IF(ROWS($D$38:AB61)=COLUMNS($D$38:AB61),1,0-AC30)</f>
        <v>0</v>
      </c>
      <c r="AD62" s="224">
        <f>IF(ROWS($D$38:AC61)=COLUMNS($D$38:AC61),1,0-AD30)</f>
        <v>0</v>
      </c>
      <c r="AE62" s="224">
        <f>IF(ROWS($D$38:AD61)=COLUMNS($D$38:AD61),1,0-AE30)</f>
        <v>0</v>
      </c>
      <c r="AF62" s="224">
        <f>IF(ROWS($D$38:AE61)=COLUMNS($D$38:AE61),1,0-AF30)</f>
        <v>0</v>
      </c>
      <c r="AG62" s="224">
        <f>IF(ROWS($D$38:AF61)=COLUMNS($D$38:AF61),1,0-AG30)</f>
        <v>0</v>
      </c>
      <c r="AH62" s="332">
        <f>IF(ROWS($D$38:AG61)=COLUMNS($D$38:AG61),1,0-AH30)</f>
        <v>0</v>
      </c>
    </row>
    <row r="63" spans="2:34" ht="12.75" customHeight="1" x14ac:dyDescent="0.35">
      <c r="C63" s="223">
        <v>15</v>
      </c>
      <c r="D63" s="336" t="str">
        <f t="shared" si="6"/>
        <v/>
      </c>
      <c r="E63" s="331">
        <f>IF(ROWS($D$38:D62)=COLUMNS($D$38:D62),1,0-E31)</f>
        <v>0</v>
      </c>
      <c r="F63" s="224">
        <f>IF(ROWS($D$38:E62)=COLUMNS($D$38:E62),1,0-F31)</f>
        <v>0</v>
      </c>
      <c r="G63" s="224">
        <f>IF(ROWS($D$38:F62)=COLUMNS($D$38:F62),1,0-G31)</f>
        <v>0</v>
      </c>
      <c r="H63" s="224">
        <f>IF(ROWS($D$38:G62)=COLUMNS($D$38:G62),1,0-H31)</f>
        <v>0</v>
      </c>
      <c r="I63" s="224">
        <f>IF(ROWS($D$38:H62)=COLUMNS($D$38:H62),1,0-I31)</f>
        <v>0</v>
      </c>
      <c r="J63" s="224">
        <f>IF(ROWS($D$38:I62)=COLUMNS($D$38:I62),1,0-J31)</f>
        <v>0</v>
      </c>
      <c r="K63" s="224">
        <f>IF(ROWS($D$38:J62)=COLUMNS($D$38:J62),1,0-K31)</f>
        <v>0</v>
      </c>
      <c r="L63" s="224">
        <f>IF(ROWS($D$38:K62)=COLUMNS($D$38:K62),1,0-L31)</f>
        <v>0</v>
      </c>
      <c r="M63" s="224">
        <f>IF(ROWS($D$38:L62)=COLUMNS($D$38:L62),1,0-M31)</f>
        <v>0</v>
      </c>
      <c r="N63" s="332">
        <f>IF(ROWS($D$38:M62)=COLUMNS($D$38:M62),1,0-N31)</f>
        <v>0</v>
      </c>
      <c r="O63" s="331">
        <f>IF(ROWS($D$38:N62)=COLUMNS($D$38:N62),1,0-O31)</f>
        <v>0</v>
      </c>
      <c r="P63" s="224">
        <f>IF(ROWS($D$38:O62)=COLUMNS($D$38:O62),1,0-P31)</f>
        <v>0</v>
      </c>
      <c r="Q63" s="224">
        <f>IF(ROWS($D$38:P62)=COLUMNS($D$38:P62),1,0-Q31)</f>
        <v>0</v>
      </c>
      <c r="R63" s="224">
        <f>IF(ROWS($D$38:Q62)=COLUMNS($D$38:Q62),1,0-R31)</f>
        <v>0</v>
      </c>
      <c r="S63" s="224">
        <f>IF(ROWS($D$38:R62)=COLUMNS($D$38:R62),1,0-S31)</f>
        <v>0</v>
      </c>
      <c r="T63" s="224">
        <f>IF(ROWS($D$38:S62)=COLUMNS($D$38:S62),1,0-T31)</f>
        <v>0</v>
      </c>
      <c r="U63" s="224">
        <f>IF(ROWS($D$38:T62)=COLUMNS($D$38:T62),1,0-U31)</f>
        <v>0</v>
      </c>
      <c r="V63" s="224">
        <f>IF(ROWS($D$38:U62)=COLUMNS($D$38:U62),1,0-V31)</f>
        <v>0</v>
      </c>
      <c r="W63" s="224">
        <f>IF(ROWS($D$38:V62)=COLUMNS($D$38:V62),1,0-W31)</f>
        <v>0</v>
      </c>
      <c r="X63" s="224">
        <f>IF(ROWS($D$38:W62)=COLUMNS($D$38:W62),1,0-X31)</f>
        <v>0</v>
      </c>
      <c r="Y63" s="224">
        <f>IF(ROWS($D$38:X62)=COLUMNS($D$38:X62),1,0-Y31)</f>
        <v>0</v>
      </c>
      <c r="Z63" s="224">
        <f>IF(ROWS($D$38:Y62)=COLUMNS($D$38:Y62),1,0-Z31)</f>
        <v>0</v>
      </c>
      <c r="AA63" s="224">
        <f>IF(ROWS($D$38:Z62)=COLUMNS($D$38:Z62),1,0-AA31)</f>
        <v>0</v>
      </c>
      <c r="AB63" s="224">
        <f>IF(ROWS($D$38:AA62)=COLUMNS($D$38:AA62),1,0-AB31)</f>
        <v>0</v>
      </c>
      <c r="AC63" s="224">
        <f>IF(ROWS($D$38:AB62)=COLUMNS($D$38:AB62),1,0-AC31)</f>
        <v>1</v>
      </c>
      <c r="AD63" s="224">
        <f>IF(ROWS($D$38:AC62)=COLUMNS($D$38:AC62),1,0-AD31)</f>
        <v>0</v>
      </c>
      <c r="AE63" s="224">
        <f>IF(ROWS($D$38:AD62)=COLUMNS($D$38:AD62),1,0-AE31)</f>
        <v>0</v>
      </c>
      <c r="AF63" s="224">
        <f>IF(ROWS($D$38:AE62)=COLUMNS($D$38:AE62),1,0-AF31)</f>
        <v>0</v>
      </c>
      <c r="AG63" s="224">
        <f>IF(ROWS($D$38:AF62)=COLUMNS($D$38:AF62),1,0-AG31)</f>
        <v>0</v>
      </c>
      <c r="AH63" s="332">
        <f>IF(ROWS($D$38:AG62)=COLUMNS($D$38:AG62),1,0-AH31)</f>
        <v>0</v>
      </c>
    </row>
    <row r="64" spans="2:34" ht="12.75" customHeight="1" x14ac:dyDescent="0.35">
      <c r="C64" s="223">
        <v>16</v>
      </c>
      <c r="D64" s="336" t="str">
        <f t="shared" si="6"/>
        <v/>
      </c>
      <c r="E64" s="331">
        <f>IF(ROWS($D$38:D63)=COLUMNS($D$38:D63),1,0-E32)</f>
        <v>0</v>
      </c>
      <c r="F64" s="224">
        <f>IF(ROWS($D$38:E63)=COLUMNS($D$38:E63),1,0-F32)</f>
        <v>0</v>
      </c>
      <c r="G64" s="224">
        <f>IF(ROWS($D$38:F63)=COLUMNS($D$38:F63),1,0-G32)</f>
        <v>0</v>
      </c>
      <c r="H64" s="224">
        <f>IF(ROWS($D$38:G63)=COLUMNS($D$38:G63),1,0-H32)</f>
        <v>0</v>
      </c>
      <c r="I64" s="224">
        <f>IF(ROWS($D$38:H63)=COLUMNS($D$38:H63),1,0-I32)</f>
        <v>0</v>
      </c>
      <c r="J64" s="224">
        <f>IF(ROWS($D$38:I63)=COLUMNS($D$38:I63),1,0-J32)</f>
        <v>0</v>
      </c>
      <c r="K64" s="224">
        <f>IF(ROWS($D$38:J63)=COLUMNS($D$38:J63),1,0-K32)</f>
        <v>0</v>
      </c>
      <c r="L64" s="224">
        <f>IF(ROWS($D$38:K63)=COLUMNS($D$38:K63),1,0-L32)</f>
        <v>0</v>
      </c>
      <c r="M64" s="224">
        <f>IF(ROWS($D$38:L63)=COLUMNS($D$38:L63),1,0-M32)</f>
        <v>0</v>
      </c>
      <c r="N64" s="332">
        <f>IF(ROWS($D$38:M63)=COLUMNS($D$38:M63),1,0-N32)</f>
        <v>0</v>
      </c>
      <c r="O64" s="331">
        <f>IF(ROWS($D$38:N63)=COLUMNS($D$38:N63),1,0-O32)</f>
        <v>0</v>
      </c>
      <c r="P64" s="224">
        <f>IF(ROWS($D$38:O63)=COLUMNS($D$38:O63),1,0-P32)</f>
        <v>0</v>
      </c>
      <c r="Q64" s="224">
        <f>IF(ROWS($D$38:P63)=COLUMNS($D$38:P63),1,0-Q32)</f>
        <v>0</v>
      </c>
      <c r="R64" s="224">
        <f>IF(ROWS($D$38:Q63)=COLUMNS($D$38:Q63),1,0-R32)</f>
        <v>0</v>
      </c>
      <c r="S64" s="224">
        <f>IF(ROWS($D$38:R63)=COLUMNS($D$38:R63),1,0-S32)</f>
        <v>0</v>
      </c>
      <c r="T64" s="224">
        <f>IF(ROWS($D$38:S63)=COLUMNS($D$38:S63),1,0-T32)</f>
        <v>0</v>
      </c>
      <c r="U64" s="224">
        <f>IF(ROWS($D$38:T63)=COLUMNS($D$38:T63),1,0-U32)</f>
        <v>0</v>
      </c>
      <c r="V64" s="224">
        <f>IF(ROWS($D$38:U63)=COLUMNS($D$38:U63),1,0-V32)</f>
        <v>0</v>
      </c>
      <c r="W64" s="224">
        <f>IF(ROWS($D$38:V63)=COLUMNS($D$38:V63),1,0-W32)</f>
        <v>0</v>
      </c>
      <c r="X64" s="224">
        <f>IF(ROWS($D$38:W63)=COLUMNS($D$38:W63),1,0-X32)</f>
        <v>0</v>
      </c>
      <c r="Y64" s="224">
        <f>IF(ROWS($D$38:X63)=COLUMNS($D$38:X63),1,0-Y32)</f>
        <v>0</v>
      </c>
      <c r="Z64" s="224">
        <f>IF(ROWS($D$38:Y63)=COLUMNS($D$38:Y63),1,0-Z32)</f>
        <v>0</v>
      </c>
      <c r="AA64" s="224">
        <f>IF(ROWS($D$38:Z63)=COLUMNS($D$38:Z63),1,0-AA32)</f>
        <v>0</v>
      </c>
      <c r="AB64" s="224">
        <f>IF(ROWS($D$38:AA63)=COLUMNS($D$38:AA63),1,0-AB32)</f>
        <v>0</v>
      </c>
      <c r="AC64" s="224">
        <f>IF(ROWS($D$38:AB63)=COLUMNS($D$38:AB63),1,0-AC32)</f>
        <v>0</v>
      </c>
      <c r="AD64" s="224">
        <f>IF(ROWS($D$38:AC63)=COLUMNS($D$38:AC63),1,0-AD32)</f>
        <v>1</v>
      </c>
      <c r="AE64" s="224">
        <f>IF(ROWS($D$38:AD63)=COLUMNS($D$38:AD63),1,0-AE32)</f>
        <v>0</v>
      </c>
      <c r="AF64" s="224">
        <f>IF(ROWS($D$38:AE63)=COLUMNS($D$38:AE63),1,0-AF32)</f>
        <v>0</v>
      </c>
      <c r="AG64" s="224">
        <f>IF(ROWS($D$38:AF63)=COLUMNS($D$38:AF63),1,0-AG32)</f>
        <v>0</v>
      </c>
      <c r="AH64" s="332">
        <f>IF(ROWS($D$38:AG63)=COLUMNS($D$38:AG63),1,0-AH32)</f>
        <v>0</v>
      </c>
    </row>
    <row r="65" spans="2:74" ht="12.75" customHeight="1" x14ac:dyDescent="0.35">
      <c r="C65" s="223">
        <v>17</v>
      </c>
      <c r="D65" s="336" t="str">
        <f t="shared" si="6"/>
        <v/>
      </c>
      <c r="E65" s="331">
        <f>IF(ROWS($D$38:D64)=COLUMNS($D$38:D64),1,0-E33)</f>
        <v>0</v>
      </c>
      <c r="F65" s="224">
        <f>IF(ROWS($D$38:E64)=COLUMNS($D$38:E64),1,0-F33)</f>
        <v>0</v>
      </c>
      <c r="G65" s="224">
        <f>IF(ROWS($D$38:F64)=COLUMNS($D$38:F64),1,0-G33)</f>
        <v>0</v>
      </c>
      <c r="H65" s="224">
        <f>IF(ROWS($D$38:G64)=COLUMNS($D$38:G64),1,0-H33)</f>
        <v>0</v>
      </c>
      <c r="I65" s="224">
        <f>IF(ROWS($D$38:H64)=COLUMNS($D$38:H64),1,0-I33)</f>
        <v>0</v>
      </c>
      <c r="J65" s="224">
        <f>IF(ROWS($D$38:I64)=COLUMNS($D$38:I64),1,0-J33)</f>
        <v>0</v>
      </c>
      <c r="K65" s="224">
        <f>IF(ROWS($D$38:J64)=COLUMNS($D$38:J64),1,0-K33)</f>
        <v>0</v>
      </c>
      <c r="L65" s="224">
        <f>IF(ROWS($D$38:K64)=COLUMNS($D$38:K64),1,0-L33)</f>
        <v>0</v>
      </c>
      <c r="M65" s="224">
        <f>IF(ROWS($D$38:L64)=COLUMNS($D$38:L64),1,0-M33)</f>
        <v>0</v>
      </c>
      <c r="N65" s="332">
        <f>IF(ROWS($D$38:M64)=COLUMNS($D$38:M64),1,0-N33)</f>
        <v>0</v>
      </c>
      <c r="O65" s="331">
        <f>IF(ROWS($D$38:N64)=COLUMNS($D$38:N64),1,0-O33)</f>
        <v>0</v>
      </c>
      <c r="P65" s="224">
        <f>IF(ROWS($D$38:O64)=COLUMNS($D$38:O64),1,0-P33)</f>
        <v>0</v>
      </c>
      <c r="Q65" s="224">
        <f>IF(ROWS($D$38:P64)=COLUMNS($D$38:P64),1,0-Q33)</f>
        <v>0</v>
      </c>
      <c r="R65" s="224">
        <f>IF(ROWS($D$38:Q64)=COLUMNS($D$38:Q64),1,0-R33)</f>
        <v>0</v>
      </c>
      <c r="S65" s="224">
        <f>IF(ROWS($D$38:R64)=COLUMNS($D$38:R64),1,0-S33)</f>
        <v>0</v>
      </c>
      <c r="T65" s="224">
        <f>IF(ROWS($D$38:S64)=COLUMNS($D$38:S64),1,0-T33)</f>
        <v>0</v>
      </c>
      <c r="U65" s="224">
        <f>IF(ROWS($D$38:T64)=COLUMNS($D$38:T64),1,0-U33)</f>
        <v>0</v>
      </c>
      <c r="V65" s="224">
        <f>IF(ROWS($D$38:U64)=COLUMNS($D$38:U64),1,0-V33)</f>
        <v>0</v>
      </c>
      <c r="W65" s="224">
        <f>IF(ROWS($D$38:V64)=COLUMNS($D$38:V64),1,0-W33)</f>
        <v>0</v>
      </c>
      <c r="X65" s="224">
        <f>IF(ROWS($D$38:W64)=COLUMNS($D$38:W64),1,0-X33)</f>
        <v>0</v>
      </c>
      <c r="Y65" s="224">
        <f>IF(ROWS($D$38:X64)=COLUMNS($D$38:X64),1,0-Y33)</f>
        <v>0</v>
      </c>
      <c r="Z65" s="224">
        <f>IF(ROWS($D$38:Y64)=COLUMNS($D$38:Y64),1,0-Z33)</f>
        <v>0</v>
      </c>
      <c r="AA65" s="224">
        <f>IF(ROWS($D$38:Z64)=COLUMNS($D$38:Z64),1,0-AA33)</f>
        <v>0</v>
      </c>
      <c r="AB65" s="224">
        <f>IF(ROWS($D$38:AA64)=COLUMNS($D$38:AA64),1,0-AB33)</f>
        <v>0</v>
      </c>
      <c r="AC65" s="224">
        <f>IF(ROWS($D$38:AB64)=COLUMNS($D$38:AB64),1,0-AC33)</f>
        <v>0</v>
      </c>
      <c r="AD65" s="224">
        <f>IF(ROWS($D$38:AC64)=COLUMNS($D$38:AC64),1,0-AD33)</f>
        <v>0</v>
      </c>
      <c r="AE65" s="224">
        <f>IF(ROWS($D$38:AD64)=COLUMNS($D$38:AD64),1,0-AE33)</f>
        <v>1</v>
      </c>
      <c r="AF65" s="224">
        <f>IF(ROWS($D$38:AE64)=COLUMNS($D$38:AE64),1,0-AF33)</f>
        <v>0</v>
      </c>
      <c r="AG65" s="224">
        <f>IF(ROWS($D$38:AF64)=COLUMNS($D$38:AF64),1,0-AG33)</f>
        <v>0</v>
      </c>
      <c r="AH65" s="332">
        <f>IF(ROWS($D$38:AG64)=COLUMNS($D$38:AG64),1,0-AH33)</f>
        <v>0</v>
      </c>
    </row>
    <row r="66" spans="2:74" ht="12.75" customHeight="1" x14ac:dyDescent="0.35">
      <c r="C66" s="223">
        <v>18</v>
      </c>
      <c r="D66" s="336" t="str">
        <f t="shared" si="6"/>
        <v/>
      </c>
      <c r="E66" s="331">
        <f>IF(ROWS($D$38:D65)=COLUMNS($D$38:D65),1,0-E34)</f>
        <v>0</v>
      </c>
      <c r="F66" s="224">
        <f>IF(ROWS($D$38:E65)=COLUMNS($D$38:E65),1,0-F34)</f>
        <v>0</v>
      </c>
      <c r="G66" s="224">
        <f>IF(ROWS($D$38:F65)=COLUMNS($D$38:F65),1,0-G34)</f>
        <v>0</v>
      </c>
      <c r="H66" s="224">
        <f>IF(ROWS($D$38:G65)=COLUMNS($D$38:G65),1,0-H34)</f>
        <v>0</v>
      </c>
      <c r="I66" s="224">
        <f>IF(ROWS($D$38:H65)=COLUMNS($D$38:H65),1,0-I34)</f>
        <v>0</v>
      </c>
      <c r="J66" s="224">
        <f>IF(ROWS($D$38:I65)=COLUMNS($D$38:I65),1,0-J34)</f>
        <v>0</v>
      </c>
      <c r="K66" s="224">
        <f>IF(ROWS($D$38:J65)=COLUMNS($D$38:J65),1,0-K34)</f>
        <v>0</v>
      </c>
      <c r="L66" s="224">
        <f>IF(ROWS($D$38:K65)=COLUMNS($D$38:K65),1,0-L34)</f>
        <v>0</v>
      </c>
      <c r="M66" s="224">
        <f>IF(ROWS($D$38:L65)=COLUMNS($D$38:L65),1,0-M34)</f>
        <v>0</v>
      </c>
      <c r="N66" s="332">
        <f>IF(ROWS($D$38:M65)=COLUMNS($D$38:M65),1,0-N34)</f>
        <v>0</v>
      </c>
      <c r="O66" s="331">
        <f>IF(ROWS($D$38:N65)=COLUMNS($D$38:N65),1,0-O34)</f>
        <v>0</v>
      </c>
      <c r="P66" s="224">
        <f>IF(ROWS($D$38:O65)=COLUMNS($D$38:O65),1,0-P34)</f>
        <v>0</v>
      </c>
      <c r="Q66" s="224">
        <f>IF(ROWS($D$38:P65)=COLUMNS($D$38:P65),1,0-Q34)</f>
        <v>0</v>
      </c>
      <c r="R66" s="224">
        <f>IF(ROWS($D$38:Q65)=COLUMNS($D$38:Q65),1,0-R34)</f>
        <v>0</v>
      </c>
      <c r="S66" s="224">
        <f>IF(ROWS($D$38:R65)=COLUMNS($D$38:R65),1,0-S34)</f>
        <v>0</v>
      </c>
      <c r="T66" s="224">
        <f>IF(ROWS($D$38:S65)=COLUMNS($D$38:S65),1,0-T34)</f>
        <v>0</v>
      </c>
      <c r="U66" s="224">
        <f>IF(ROWS($D$38:T65)=COLUMNS($D$38:T65),1,0-U34)</f>
        <v>0</v>
      </c>
      <c r="V66" s="224">
        <f>IF(ROWS($D$38:U65)=COLUMNS($D$38:U65),1,0-V34)</f>
        <v>0</v>
      </c>
      <c r="W66" s="224">
        <f>IF(ROWS($D$38:V65)=COLUMNS($D$38:V65),1,0-W34)</f>
        <v>0</v>
      </c>
      <c r="X66" s="224">
        <f>IF(ROWS($D$38:W65)=COLUMNS($D$38:W65),1,0-X34)</f>
        <v>0</v>
      </c>
      <c r="Y66" s="224">
        <f>IF(ROWS($D$38:X65)=COLUMNS($D$38:X65),1,0-Y34)</f>
        <v>0</v>
      </c>
      <c r="Z66" s="224">
        <f>IF(ROWS($D$38:Y65)=COLUMNS($D$38:Y65),1,0-Z34)</f>
        <v>0</v>
      </c>
      <c r="AA66" s="224">
        <f>IF(ROWS($D$38:Z65)=COLUMNS($D$38:Z65),1,0-AA34)</f>
        <v>0</v>
      </c>
      <c r="AB66" s="224">
        <f>IF(ROWS($D$38:AA65)=COLUMNS($D$38:AA65),1,0-AB34)</f>
        <v>0</v>
      </c>
      <c r="AC66" s="224">
        <f>IF(ROWS($D$38:AB65)=COLUMNS($D$38:AB65),1,0-AC34)</f>
        <v>0</v>
      </c>
      <c r="AD66" s="224">
        <f>IF(ROWS($D$38:AC65)=COLUMNS($D$38:AC65),1,0-AD34)</f>
        <v>0</v>
      </c>
      <c r="AE66" s="224">
        <f>IF(ROWS($D$38:AD65)=COLUMNS($D$38:AD65),1,0-AE34)</f>
        <v>0</v>
      </c>
      <c r="AF66" s="224">
        <f>IF(ROWS($D$38:AE65)=COLUMNS($D$38:AE65),1,0-AF34)</f>
        <v>1</v>
      </c>
      <c r="AG66" s="224">
        <f>IF(ROWS($D$38:AF65)=COLUMNS($D$38:AF65),1,0-AG34)</f>
        <v>0</v>
      </c>
      <c r="AH66" s="332">
        <f>IF(ROWS($D$38:AG65)=COLUMNS($D$38:AG65),1,0-AH34)</f>
        <v>0</v>
      </c>
    </row>
    <row r="67" spans="2:74" ht="12.75" customHeight="1" x14ac:dyDescent="0.35">
      <c r="C67" s="223">
        <v>19</v>
      </c>
      <c r="D67" s="336" t="str">
        <f t="shared" si="6"/>
        <v/>
      </c>
      <c r="E67" s="331">
        <f>IF(ROWS($D$38:D66)=COLUMNS($D$38:D66),1,0-E35)</f>
        <v>0</v>
      </c>
      <c r="F67" s="224">
        <f>IF(ROWS($D$38:E66)=COLUMNS($D$38:E66),1,0-F35)</f>
        <v>0</v>
      </c>
      <c r="G67" s="224">
        <f>IF(ROWS($D$38:F66)=COLUMNS($D$38:F66),1,0-G35)</f>
        <v>0</v>
      </c>
      <c r="H67" s="224">
        <f>IF(ROWS($D$38:G66)=COLUMNS($D$38:G66),1,0-H35)</f>
        <v>0</v>
      </c>
      <c r="I67" s="224">
        <f>IF(ROWS($D$38:H66)=COLUMNS($D$38:H66),1,0-I35)</f>
        <v>0</v>
      </c>
      <c r="J67" s="224">
        <f>IF(ROWS($D$38:I66)=COLUMNS($D$38:I66),1,0-J35)</f>
        <v>0</v>
      </c>
      <c r="K67" s="224">
        <f>IF(ROWS($D$38:J66)=COLUMNS($D$38:J66),1,0-K35)</f>
        <v>0</v>
      </c>
      <c r="L67" s="224">
        <f>IF(ROWS($D$38:K66)=COLUMNS($D$38:K66),1,0-L35)</f>
        <v>0</v>
      </c>
      <c r="M67" s="224">
        <f>IF(ROWS($D$38:L66)=COLUMNS($D$38:L66),1,0-M35)</f>
        <v>0</v>
      </c>
      <c r="N67" s="332">
        <f>IF(ROWS($D$38:M66)=COLUMNS($D$38:M66),1,0-N35)</f>
        <v>0</v>
      </c>
      <c r="O67" s="331">
        <f>IF(ROWS($D$38:N66)=COLUMNS($D$38:N66),1,0-O35)</f>
        <v>0</v>
      </c>
      <c r="P67" s="224">
        <f>IF(ROWS($D$38:O66)=COLUMNS($D$38:O66),1,0-P35)</f>
        <v>0</v>
      </c>
      <c r="Q67" s="224">
        <f>IF(ROWS($D$38:P66)=COLUMNS($D$38:P66),1,0-Q35)</f>
        <v>0</v>
      </c>
      <c r="R67" s="224">
        <f>IF(ROWS($D$38:Q66)=COLUMNS($D$38:Q66),1,0-R35)</f>
        <v>0</v>
      </c>
      <c r="S67" s="224">
        <f>IF(ROWS($D$38:R66)=COLUMNS($D$38:R66),1,0-S35)</f>
        <v>0</v>
      </c>
      <c r="T67" s="224">
        <f>IF(ROWS($D$38:S66)=COLUMNS($D$38:S66),1,0-T35)</f>
        <v>0</v>
      </c>
      <c r="U67" s="224">
        <f>IF(ROWS($D$38:T66)=COLUMNS($D$38:T66),1,0-U35)</f>
        <v>0</v>
      </c>
      <c r="V67" s="224">
        <f>IF(ROWS($D$38:U66)=COLUMNS($D$38:U66),1,0-V35)</f>
        <v>0</v>
      </c>
      <c r="W67" s="224">
        <f>IF(ROWS($D$38:V66)=COLUMNS($D$38:V66),1,0-W35)</f>
        <v>0</v>
      </c>
      <c r="X67" s="224">
        <f>IF(ROWS($D$38:W66)=COLUMNS($D$38:W66),1,0-X35)</f>
        <v>0</v>
      </c>
      <c r="Y67" s="224">
        <f>IF(ROWS($D$38:X66)=COLUMNS($D$38:X66),1,0-Y35)</f>
        <v>0</v>
      </c>
      <c r="Z67" s="224">
        <f>IF(ROWS($D$38:Y66)=COLUMNS($D$38:Y66),1,0-Z35)</f>
        <v>0</v>
      </c>
      <c r="AA67" s="224">
        <f>IF(ROWS($D$38:Z66)=COLUMNS($D$38:Z66),1,0-AA35)</f>
        <v>0</v>
      </c>
      <c r="AB67" s="224">
        <f>IF(ROWS($D$38:AA66)=COLUMNS($D$38:AA66),1,0-AB35)</f>
        <v>0</v>
      </c>
      <c r="AC67" s="224">
        <f>IF(ROWS($D$38:AB66)=COLUMNS($D$38:AB66),1,0-AC35)</f>
        <v>0</v>
      </c>
      <c r="AD67" s="224">
        <f>IF(ROWS($D$38:AC66)=COLUMNS($D$38:AC66),1,0-AD35)</f>
        <v>0</v>
      </c>
      <c r="AE67" s="224">
        <f>IF(ROWS($D$38:AD66)=COLUMNS($D$38:AD66),1,0-AE35)</f>
        <v>0</v>
      </c>
      <c r="AF67" s="224">
        <f>IF(ROWS($D$38:AE66)=COLUMNS($D$38:AE66),1,0-AF35)</f>
        <v>0</v>
      </c>
      <c r="AG67" s="224">
        <f>IF(ROWS($D$38:AF66)=COLUMNS($D$38:AF66),1,0-AG35)</f>
        <v>1</v>
      </c>
      <c r="AH67" s="332">
        <f>IF(ROWS($D$38:AG66)=COLUMNS($D$38:AG66),1,0-AH35)</f>
        <v>0</v>
      </c>
    </row>
    <row r="68" spans="2:74" ht="12.75" customHeight="1" thickBot="1" x14ac:dyDescent="0.4">
      <c r="C68" s="223">
        <v>20</v>
      </c>
      <c r="D68" s="337" t="str">
        <f t="shared" si="6"/>
        <v/>
      </c>
      <c r="E68" s="333">
        <f>IF(ROWS($D$38:D67)=COLUMNS($D$38:D67),1,0-E36)</f>
        <v>0</v>
      </c>
      <c r="F68" s="334">
        <f>IF(ROWS($D$38:E67)=COLUMNS($D$38:E67),1,0-F36)</f>
        <v>0</v>
      </c>
      <c r="G68" s="334">
        <f>IF(ROWS($D$38:F67)=COLUMNS($D$38:F67),1,0-G36)</f>
        <v>0</v>
      </c>
      <c r="H68" s="334">
        <f>IF(ROWS($D$38:G67)=COLUMNS($D$38:G67),1,0-H36)</f>
        <v>0</v>
      </c>
      <c r="I68" s="334">
        <f>IF(ROWS($D$38:H67)=COLUMNS($D$38:H67),1,0-I36)</f>
        <v>0</v>
      </c>
      <c r="J68" s="334">
        <f>IF(ROWS($D$38:I67)=COLUMNS($D$38:I67),1,0-J36)</f>
        <v>0</v>
      </c>
      <c r="K68" s="334">
        <f>IF(ROWS($D$38:J67)=COLUMNS($D$38:J67),1,0-K36)</f>
        <v>0</v>
      </c>
      <c r="L68" s="334">
        <f>IF(ROWS($D$38:K67)=COLUMNS($D$38:K67),1,0-L36)</f>
        <v>0</v>
      </c>
      <c r="M68" s="334">
        <f>IF(ROWS($D$38:L67)=COLUMNS($D$38:L67),1,0-M36)</f>
        <v>0</v>
      </c>
      <c r="N68" s="335">
        <f>IF(ROWS($D$38:M67)=COLUMNS($D$38:M67),1,0-N36)</f>
        <v>0</v>
      </c>
      <c r="O68" s="333">
        <f>IF(ROWS($D$38:N67)=COLUMNS($D$38:N67),1,0-O36)</f>
        <v>0</v>
      </c>
      <c r="P68" s="334">
        <f>IF(ROWS($D$38:O67)=COLUMNS($D$38:O67),1,0-P36)</f>
        <v>0</v>
      </c>
      <c r="Q68" s="334">
        <f>IF(ROWS($D$38:P67)=COLUMNS($D$38:P67),1,0-Q36)</f>
        <v>0</v>
      </c>
      <c r="R68" s="334">
        <f>IF(ROWS($D$38:Q67)=COLUMNS($D$38:Q67),1,0-R36)</f>
        <v>0</v>
      </c>
      <c r="S68" s="334">
        <f>IF(ROWS($D$38:R67)=COLUMNS($D$38:R67),1,0-S36)</f>
        <v>0</v>
      </c>
      <c r="T68" s="334">
        <f>IF(ROWS($D$38:S67)=COLUMNS($D$38:S67),1,0-T36)</f>
        <v>0</v>
      </c>
      <c r="U68" s="334">
        <f>IF(ROWS($D$38:T67)=COLUMNS($D$38:T67),1,0-U36)</f>
        <v>0</v>
      </c>
      <c r="V68" s="334">
        <f>IF(ROWS($D$38:U67)=COLUMNS($D$38:U67),1,0-V36)</f>
        <v>0</v>
      </c>
      <c r="W68" s="334">
        <f>IF(ROWS($D$38:V67)=COLUMNS($D$38:V67),1,0-W36)</f>
        <v>0</v>
      </c>
      <c r="X68" s="334">
        <f>IF(ROWS($D$38:W67)=COLUMNS($D$38:W67),1,0-X36)</f>
        <v>0</v>
      </c>
      <c r="Y68" s="334">
        <f>IF(ROWS($D$38:X67)=COLUMNS($D$38:X67),1,0-Y36)</f>
        <v>0</v>
      </c>
      <c r="Z68" s="334">
        <f>IF(ROWS($D$38:Y67)=COLUMNS($D$38:Y67),1,0-Z36)</f>
        <v>0</v>
      </c>
      <c r="AA68" s="334">
        <f>IF(ROWS($D$38:Z67)=COLUMNS($D$38:Z67),1,0-AA36)</f>
        <v>0</v>
      </c>
      <c r="AB68" s="334">
        <f>IF(ROWS($D$38:AA67)=COLUMNS($D$38:AA67),1,0-AB36)</f>
        <v>0</v>
      </c>
      <c r="AC68" s="334">
        <f>IF(ROWS($D$38:AB67)=COLUMNS($D$38:AB67),1,0-AC36)</f>
        <v>0</v>
      </c>
      <c r="AD68" s="334">
        <f>IF(ROWS($D$38:AC67)=COLUMNS($D$38:AC67),1,0-AD36)</f>
        <v>0</v>
      </c>
      <c r="AE68" s="334">
        <f>IF(ROWS($D$38:AD67)=COLUMNS($D$38:AD67),1,0-AE36)</f>
        <v>0</v>
      </c>
      <c r="AF68" s="334">
        <f>IF(ROWS($D$38:AE67)=COLUMNS($D$38:AE67),1,0-AF36)</f>
        <v>0</v>
      </c>
      <c r="AG68" s="334">
        <f>IF(ROWS($D$38:AF67)=COLUMNS($D$38:AF67),1,0-AG36)</f>
        <v>0</v>
      </c>
      <c r="AH68" s="335">
        <f>IF(ROWS($D$38:AG67)=COLUMNS($D$38:AG67),1,0-AH36)</f>
        <v>1</v>
      </c>
      <c r="AR68" s="220" t="s">
        <v>2714</v>
      </c>
      <c r="BB68" s="220" t="s">
        <v>639</v>
      </c>
    </row>
    <row r="69" spans="2:74" ht="12.75" customHeight="1" thickBot="1" x14ac:dyDescent="0.4">
      <c r="E69" s="604" t="s">
        <v>2716</v>
      </c>
      <c r="AR69" s="220">
        <f>E1</f>
        <v>1</v>
      </c>
      <c r="AS69" s="220">
        <f t="shared" ref="AS69:BU69" si="7">F1</f>
        <v>2</v>
      </c>
      <c r="AT69" s="220">
        <f t="shared" si="7"/>
        <v>3</v>
      </c>
      <c r="AU69" s="220">
        <f t="shared" si="7"/>
        <v>4</v>
      </c>
      <c r="AV69" s="220">
        <f t="shared" si="7"/>
        <v>5</v>
      </c>
      <c r="AW69" s="220">
        <f t="shared" si="7"/>
        <v>6</v>
      </c>
      <c r="AX69" s="220">
        <f t="shared" si="7"/>
        <v>7</v>
      </c>
      <c r="AY69" s="220">
        <f t="shared" si="7"/>
        <v>8</v>
      </c>
      <c r="AZ69" s="220">
        <f t="shared" si="7"/>
        <v>9</v>
      </c>
      <c r="BA69" s="220">
        <f t="shared" si="7"/>
        <v>10</v>
      </c>
      <c r="BB69" s="220">
        <f t="shared" si="7"/>
        <v>11</v>
      </c>
      <c r="BC69" s="220">
        <f t="shared" si="7"/>
        <v>12</v>
      </c>
      <c r="BD69" s="220">
        <f t="shared" si="7"/>
        <v>13</v>
      </c>
      <c r="BE69" s="220">
        <f t="shared" si="7"/>
        <v>14</v>
      </c>
      <c r="BF69" s="220">
        <f t="shared" si="7"/>
        <v>15</v>
      </c>
      <c r="BG69" s="220">
        <f t="shared" si="7"/>
        <v>16</v>
      </c>
      <c r="BH69" s="220">
        <f t="shared" si="7"/>
        <v>17</v>
      </c>
      <c r="BI69" s="220">
        <f t="shared" si="7"/>
        <v>18</v>
      </c>
      <c r="BJ69" s="220">
        <f t="shared" si="7"/>
        <v>19</v>
      </c>
      <c r="BK69" s="220">
        <f t="shared" si="7"/>
        <v>20</v>
      </c>
      <c r="BL69" s="220">
        <f t="shared" si="7"/>
        <v>21</v>
      </c>
      <c r="BM69" s="220">
        <f t="shared" si="7"/>
        <v>22</v>
      </c>
      <c r="BN69" s="220">
        <f t="shared" si="7"/>
        <v>23</v>
      </c>
      <c r="BO69" s="220">
        <f t="shared" si="7"/>
        <v>24</v>
      </c>
      <c r="BP69" s="220">
        <f t="shared" si="7"/>
        <v>25</v>
      </c>
      <c r="BQ69" s="220">
        <f t="shared" si="7"/>
        <v>26</v>
      </c>
      <c r="BR69" s="220">
        <f t="shared" si="7"/>
        <v>27</v>
      </c>
      <c r="BS69" s="220">
        <f t="shared" si="7"/>
        <v>28</v>
      </c>
      <c r="BT69" s="220">
        <f t="shared" si="7"/>
        <v>29</v>
      </c>
      <c r="BU69" s="220">
        <f t="shared" si="7"/>
        <v>30</v>
      </c>
    </row>
    <row r="70" spans="2:74" ht="31.5" x14ac:dyDescent="0.35">
      <c r="D70" s="603" t="s">
        <v>2715</v>
      </c>
      <c r="E70" s="328" t="str">
        <f t="shared" ref="E70:AH70" si="8">E6</f>
        <v/>
      </c>
      <c r="F70" s="329" t="str">
        <f t="shared" si="8"/>
        <v/>
      </c>
      <c r="G70" s="329" t="str">
        <f t="shared" si="8"/>
        <v/>
      </c>
      <c r="H70" s="329" t="str">
        <f t="shared" si="8"/>
        <v/>
      </c>
      <c r="I70" s="329" t="str">
        <f t="shared" si="8"/>
        <v/>
      </c>
      <c r="J70" s="329" t="str">
        <f t="shared" si="8"/>
        <v/>
      </c>
      <c r="K70" s="329" t="str">
        <f t="shared" si="8"/>
        <v/>
      </c>
      <c r="L70" s="329" t="str">
        <f t="shared" si="8"/>
        <v/>
      </c>
      <c r="M70" s="329" t="str">
        <f t="shared" si="8"/>
        <v/>
      </c>
      <c r="N70" s="330" t="str">
        <f t="shared" si="8"/>
        <v/>
      </c>
      <c r="O70" s="328" t="str">
        <f t="shared" si="8"/>
        <v/>
      </c>
      <c r="P70" s="329" t="str">
        <f t="shared" si="8"/>
        <v/>
      </c>
      <c r="Q70" s="329" t="str">
        <f t="shared" si="8"/>
        <v/>
      </c>
      <c r="R70" s="329" t="str">
        <f t="shared" si="8"/>
        <v/>
      </c>
      <c r="S70" s="329" t="str">
        <f t="shared" si="8"/>
        <v/>
      </c>
      <c r="T70" s="329" t="str">
        <f t="shared" si="8"/>
        <v/>
      </c>
      <c r="U70" s="329" t="str">
        <f t="shared" si="8"/>
        <v/>
      </c>
      <c r="V70" s="329" t="str">
        <f t="shared" si="8"/>
        <v/>
      </c>
      <c r="W70" s="329" t="str">
        <f t="shared" si="8"/>
        <v/>
      </c>
      <c r="X70" s="329" t="str">
        <f t="shared" si="8"/>
        <v/>
      </c>
      <c r="Y70" s="329" t="str">
        <f t="shared" si="8"/>
        <v/>
      </c>
      <c r="Z70" s="329" t="str">
        <f t="shared" si="8"/>
        <v/>
      </c>
      <c r="AA70" s="329" t="str">
        <f t="shared" si="8"/>
        <v/>
      </c>
      <c r="AB70" s="329" t="str">
        <f t="shared" si="8"/>
        <v/>
      </c>
      <c r="AC70" s="329" t="str">
        <f t="shared" si="8"/>
        <v/>
      </c>
      <c r="AD70" s="329" t="str">
        <f t="shared" si="8"/>
        <v/>
      </c>
      <c r="AE70" s="329" t="str">
        <f t="shared" si="8"/>
        <v/>
      </c>
      <c r="AF70" s="329" t="str">
        <f t="shared" si="8"/>
        <v/>
      </c>
      <c r="AG70" s="329" t="str">
        <f t="shared" si="8"/>
        <v/>
      </c>
      <c r="AH70" s="330" t="str">
        <f t="shared" si="8"/>
        <v/>
      </c>
      <c r="AJ70" s="338" t="s">
        <v>312</v>
      </c>
      <c r="AK70" s="339" t="s">
        <v>183</v>
      </c>
      <c r="AL70" s="338" t="s">
        <v>327</v>
      </c>
      <c r="AM70" s="339" t="s">
        <v>182</v>
      </c>
      <c r="AN70" s="338" t="s">
        <v>364</v>
      </c>
      <c r="AO70" s="339" t="s">
        <v>365</v>
      </c>
      <c r="AQ70" s="220" t="s">
        <v>640</v>
      </c>
      <c r="AR70" s="346" t="str">
        <f t="shared" ref="AR70:BU70" si="9">E70</f>
        <v/>
      </c>
      <c r="AS70" s="347" t="str">
        <f t="shared" si="9"/>
        <v/>
      </c>
      <c r="AT70" s="347" t="str">
        <f t="shared" si="9"/>
        <v/>
      </c>
      <c r="AU70" s="347" t="str">
        <f t="shared" si="9"/>
        <v/>
      </c>
      <c r="AV70" s="347" t="str">
        <f t="shared" si="9"/>
        <v/>
      </c>
      <c r="AW70" s="347" t="str">
        <f t="shared" si="9"/>
        <v/>
      </c>
      <c r="AX70" s="347" t="str">
        <f t="shared" si="9"/>
        <v/>
      </c>
      <c r="AY70" s="347" t="str">
        <f t="shared" si="9"/>
        <v/>
      </c>
      <c r="AZ70" s="347" t="str">
        <f t="shared" si="9"/>
        <v/>
      </c>
      <c r="BA70" s="348" t="str">
        <f t="shared" si="9"/>
        <v/>
      </c>
      <c r="BB70" s="346" t="str">
        <f t="shared" si="9"/>
        <v/>
      </c>
      <c r="BC70" s="347" t="str">
        <f t="shared" si="9"/>
        <v/>
      </c>
      <c r="BD70" s="347" t="str">
        <f t="shared" si="9"/>
        <v/>
      </c>
      <c r="BE70" s="347" t="str">
        <f t="shared" si="9"/>
        <v/>
      </c>
      <c r="BF70" s="347" t="str">
        <f t="shared" si="9"/>
        <v/>
      </c>
      <c r="BG70" s="347" t="str">
        <f t="shared" si="9"/>
        <v/>
      </c>
      <c r="BH70" s="347" t="str">
        <f t="shared" si="9"/>
        <v/>
      </c>
      <c r="BI70" s="347" t="str">
        <f t="shared" si="9"/>
        <v/>
      </c>
      <c r="BJ70" s="347" t="str">
        <f t="shared" si="9"/>
        <v/>
      </c>
      <c r="BK70" s="347" t="str">
        <f t="shared" si="9"/>
        <v/>
      </c>
      <c r="BL70" s="347" t="str">
        <f t="shared" si="9"/>
        <v/>
      </c>
      <c r="BM70" s="347" t="str">
        <f t="shared" si="9"/>
        <v/>
      </c>
      <c r="BN70" s="347" t="str">
        <f t="shared" si="9"/>
        <v/>
      </c>
      <c r="BO70" s="347" t="str">
        <f t="shared" si="9"/>
        <v/>
      </c>
      <c r="BP70" s="347" t="str">
        <f t="shared" si="9"/>
        <v/>
      </c>
      <c r="BQ70" s="347" t="str">
        <f t="shared" si="9"/>
        <v/>
      </c>
      <c r="BR70" s="347" t="str">
        <f t="shared" si="9"/>
        <v/>
      </c>
      <c r="BS70" s="347" t="str">
        <f t="shared" si="9"/>
        <v/>
      </c>
      <c r="BT70" s="347" t="str">
        <f t="shared" si="9"/>
        <v/>
      </c>
      <c r="BU70" s="348" t="str">
        <f t="shared" si="9"/>
        <v/>
      </c>
    </row>
    <row r="71" spans="2:74" ht="12.75" customHeight="1" x14ac:dyDescent="0.35">
      <c r="B71" s="218" t="s">
        <v>201</v>
      </c>
      <c r="C71" s="223">
        <v>1</v>
      </c>
      <c r="D71" s="336" t="str">
        <f t="shared" ref="D71:D80" si="10">D7</f>
        <v/>
      </c>
      <c r="E71" s="331">
        <f t="array" ref="E71:AH100">MINVERSE(E39:AH68)</f>
        <v>1</v>
      </c>
      <c r="F71" s="224">
        <v>0</v>
      </c>
      <c r="G71" s="224">
        <v>0</v>
      </c>
      <c r="H71" s="224">
        <v>0</v>
      </c>
      <c r="I71" s="224">
        <v>0</v>
      </c>
      <c r="J71" s="224">
        <v>0</v>
      </c>
      <c r="K71" s="224">
        <v>0</v>
      </c>
      <c r="L71" s="224">
        <v>0</v>
      </c>
      <c r="M71" s="224">
        <v>0</v>
      </c>
      <c r="N71" s="332">
        <v>0</v>
      </c>
      <c r="O71" s="331">
        <v>0</v>
      </c>
      <c r="P71" s="224">
        <v>0</v>
      </c>
      <c r="Q71" s="224">
        <v>0</v>
      </c>
      <c r="R71" s="224">
        <v>0</v>
      </c>
      <c r="S71" s="224">
        <v>0</v>
      </c>
      <c r="T71" s="224">
        <v>0</v>
      </c>
      <c r="U71" s="224">
        <v>0</v>
      </c>
      <c r="V71" s="224">
        <v>0</v>
      </c>
      <c r="W71" s="224">
        <v>0</v>
      </c>
      <c r="X71" s="224">
        <v>0</v>
      </c>
      <c r="Y71" s="224">
        <v>0</v>
      </c>
      <c r="Z71" s="224">
        <v>0</v>
      </c>
      <c r="AA71" s="224">
        <v>0</v>
      </c>
      <c r="AB71" s="224">
        <v>0</v>
      </c>
      <c r="AC71" s="224">
        <v>0</v>
      </c>
      <c r="AD71" s="224">
        <v>0</v>
      </c>
      <c r="AE71" s="224">
        <v>0</v>
      </c>
      <c r="AF71" s="224">
        <v>0</v>
      </c>
      <c r="AG71" s="224">
        <v>0</v>
      </c>
      <c r="AH71" s="332">
        <v>0</v>
      </c>
      <c r="AJ71" s="340">
        <f>IFERROR(SUMIF(D_Processes!S:S,CONST_CNTR_EmbedEmDir &amp; D71,D_Processes!T:T)/SUMIF(D_Processes!R:R,CONST_CNTR_TotProd &amp; D71,D_Processes!T:T),0)</f>
        <v>0</v>
      </c>
      <c r="AK71" s="341">
        <f t="array" ref="AK71:AK100">MMULT(E71:AH100,AJ71:AJ100)</f>
        <v>0</v>
      </c>
      <c r="AL71" s="344">
        <f>IFERROR(SUMIF(D_Processes!S:S,CONST_CNTR_EmbedEmInDir &amp; D71,D_Processes!T:T)/SUMIF(D_Processes!R:R,CONST_CNTR_TotProd &amp; D71,D_Processes!T:T),0)</f>
        <v>0</v>
      </c>
      <c r="AM71" s="341">
        <f t="array" ref="AM71:AM100">MMULT(E71:AH100,AL71:AL100)</f>
        <v>0</v>
      </c>
      <c r="AN71" s="344">
        <f>IFERROR(SUMIF(D_Processes!R:R,CONST_ElecConsumption &amp; D71,D_Processes!T:T)/SUMIF(D_Processes!R:R,CONST_CNTR_TotProd &amp; D71,D_Processes!T:T),0)</f>
        <v>0</v>
      </c>
      <c r="AO71" s="341">
        <f t="array" ref="AO71:AO100">MMULT(E71:AH100,AN71:AN100)</f>
        <v>0</v>
      </c>
      <c r="AR71" s="349" t="str">
        <f>IF(AND(E71&gt;0,ROWS($D$70:D70)&lt;&gt;COLUMNS($D$70:D70)),MAX($AQ71:AQ71)+1,"")</f>
        <v/>
      </c>
      <c r="AS71" s="225" t="str">
        <f>IF(AND(F71&gt;0,ROWS($D$70:E70)&lt;&gt;COLUMNS($D$70:E70)),MAX($AQ71:AR71)+1,"")</f>
        <v/>
      </c>
      <c r="AT71" s="225" t="str">
        <f>IF(AND(G71&gt;0,ROWS($D$70:F70)&lt;&gt;COLUMNS($D$70:F70)),MAX($AQ71:AS71)+1,"")</f>
        <v/>
      </c>
      <c r="AU71" s="225" t="str">
        <f>IF(AND(H71&gt;0,ROWS($D$70:G70)&lt;&gt;COLUMNS($D$70:G70)),MAX($AQ71:AT71)+1,"")</f>
        <v/>
      </c>
      <c r="AV71" s="225" t="str">
        <f>IF(AND(I71&gt;0,ROWS($D$70:H70)&lt;&gt;COLUMNS($D$70:H70)),MAX($AQ71:AU71)+1,"")</f>
        <v/>
      </c>
      <c r="AW71" s="225" t="str">
        <f>IF(AND(J71&gt;0,ROWS($D$70:I70)&lt;&gt;COLUMNS($D$70:I70)),MAX($AQ71:AV71)+1,"")</f>
        <v/>
      </c>
      <c r="AX71" s="225" t="str">
        <f>IF(AND(K71&gt;0,ROWS($D$70:J70)&lt;&gt;COLUMNS($D$70:J70)),MAX($AQ71:AW71)+1,"")</f>
        <v/>
      </c>
      <c r="AY71" s="225" t="str">
        <f>IF(AND(L71&gt;0,ROWS($D$70:K70)&lt;&gt;COLUMNS($D$70:K70)),MAX($AQ71:AX71)+1,"")</f>
        <v/>
      </c>
      <c r="AZ71" s="225" t="str">
        <f>IF(AND(M71&gt;0,ROWS($D$70:L70)&lt;&gt;COLUMNS($D$70:L70)),MAX($AQ71:AY71)+1,"")</f>
        <v/>
      </c>
      <c r="BA71" s="350" t="str">
        <f>IF(AND(N71&gt;0,ROWS($D$70:M70)&lt;&gt;COLUMNS($D$70:M70)),MAX($AQ71:AZ71)+1,"")</f>
        <v/>
      </c>
      <c r="BB71" s="349" t="str">
        <f>IF(AND(O71&gt;0,ROWS($D$70:N70)&lt;&gt;COLUMNS($D$70:N70)),MAX($AQ71:BA71)+1,"")</f>
        <v/>
      </c>
      <c r="BC71" s="225" t="str">
        <f>IF(AND(P71&gt;0,ROWS($D$70:O70)&lt;&gt;COLUMNS($D$70:O70)),MAX($AQ71:BB71)+1,"")</f>
        <v/>
      </c>
      <c r="BD71" s="225" t="str">
        <f>IF(AND(Q71&gt;0,ROWS($D$70:P70)&lt;&gt;COLUMNS($D$70:P70)),MAX($AQ71:BC71)+1,"")</f>
        <v/>
      </c>
      <c r="BE71" s="225" t="str">
        <f>IF(AND(R71&gt;0,ROWS($D$70:Q70)&lt;&gt;COLUMNS($D$70:Q70)),MAX($AQ71:BD71)+1,"")</f>
        <v/>
      </c>
      <c r="BF71" s="225" t="str">
        <f>IF(AND(S71&gt;0,ROWS($D$70:R70)&lt;&gt;COLUMNS($D$70:R70)),MAX($AQ71:BE71)+1,"")</f>
        <v/>
      </c>
      <c r="BG71" s="225" t="str">
        <f>IF(AND(T71&gt;0,ROWS($D$70:S70)&lt;&gt;COLUMNS($D$70:S70)),MAX($AQ71:BF71)+1,"")</f>
        <v/>
      </c>
      <c r="BH71" s="225" t="str">
        <f>IF(AND(U71&gt;0,ROWS($D$70:T70)&lt;&gt;COLUMNS($D$70:T70)),MAX($AQ71:BG71)+1,"")</f>
        <v/>
      </c>
      <c r="BI71" s="225" t="str">
        <f>IF(AND(V71&gt;0,ROWS($D$70:U70)&lt;&gt;COLUMNS($D$70:U70)),MAX($AQ71:BH71)+1,"")</f>
        <v/>
      </c>
      <c r="BJ71" s="225" t="str">
        <f>IF(AND(W71&gt;0,ROWS($D$70:V70)&lt;&gt;COLUMNS($D$70:V70)),MAX($AQ71:BI71)+1,"")</f>
        <v/>
      </c>
      <c r="BK71" s="225" t="str">
        <f>IF(AND(X71&gt;0,ROWS($D$70:W70)&lt;&gt;COLUMNS($D$70:W70)),MAX($AQ71:BJ71)+1,"")</f>
        <v/>
      </c>
      <c r="BL71" s="225" t="str">
        <f>IF(AND(Y71&gt;0,ROWS($D$70:X70)&lt;&gt;COLUMNS($D$70:X70)),MAX($AQ71:BK71)+1,"")</f>
        <v/>
      </c>
      <c r="BM71" s="225" t="str">
        <f>IF(AND(Z71&gt;0,ROWS($D$70:Y70)&lt;&gt;COLUMNS($D$70:Y70)),MAX($AQ71:BL71)+1,"")</f>
        <v/>
      </c>
      <c r="BN71" s="225" t="str">
        <f>IF(AND(AA71&gt;0,ROWS($D$70:Z70)&lt;&gt;COLUMNS($D$70:Z70)),MAX($AQ71:BM71)+1,"")</f>
        <v/>
      </c>
      <c r="BO71" s="225" t="str">
        <f>IF(AND(AB71&gt;0,ROWS($D$70:AA70)&lt;&gt;COLUMNS($D$70:AA70)),MAX($AQ71:BN71)+1,"")</f>
        <v/>
      </c>
      <c r="BP71" s="225" t="str">
        <f>IF(AND(AC71&gt;0,ROWS($D$70:AB70)&lt;&gt;COLUMNS($D$70:AB70)),MAX($AQ71:BO71)+1,"")</f>
        <v/>
      </c>
      <c r="BQ71" s="225" t="str">
        <f>IF(AND(AD71&gt;0,ROWS($D$70:AC70)&lt;&gt;COLUMNS($D$70:AC70)),MAX($AQ71:BP71)+1,"")</f>
        <v/>
      </c>
      <c r="BR71" s="225" t="str">
        <f>IF(AND(AE71&gt;0,ROWS($D$70:AD70)&lt;&gt;COLUMNS($D$70:AD70)),MAX($AQ71:BQ71)+1,"")</f>
        <v/>
      </c>
      <c r="BS71" s="225" t="str">
        <f>IF(AND(AF71&gt;0,ROWS($D$70:AE70)&lt;&gt;COLUMNS($D$70:AE70)),MAX($AQ71:BR71)+1,"")</f>
        <v/>
      </c>
      <c r="BT71" s="225" t="str">
        <f>IF(AND(AG71&gt;0,ROWS($D$70:AF70)&lt;&gt;COLUMNS($D$70:AF70)),MAX($AQ71:BS71)+1,"")</f>
        <v/>
      </c>
      <c r="BU71" s="350" t="str">
        <f>IF(AND(AH71&gt;0,ROWS($D$70:AG70)&lt;&gt;COLUMNS($D$70:AG70)),MAX($AQ71:BT71)+1,"")</f>
        <v/>
      </c>
      <c r="BV71" s="226"/>
    </row>
    <row r="72" spans="2:74" ht="12.75" customHeight="1" x14ac:dyDescent="0.35">
      <c r="C72" s="223">
        <v>2</v>
      </c>
      <c r="D72" s="336" t="str">
        <f t="shared" si="10"/>
        <v/>
      </c>
      <c r="E72" s="331">
        <v>0</v>
      </c>
      <c r="F72" s="224">
        <v>1</v>
      </c>
      <c r="G72" s="224">
        <v>0</v>
      </c>
      <c r="H72" s="224">
        <v>0</v>
      </c>
      <c r="I72" s="224">
        <v>0</v>
      </c>
      <c r="J72" s="224">
        <v>0</v>
      </c>
      <c r="K72" s="224">
        <v>0</v>
      </c>
      <c r="L72" s="224">
        <v>0</v>
      </c>
      <c r="M72" s="224">
        <v>0</v>
      </c>
      <c r="N72" s="332">
        <v>0</v>
      </c>
      <c r="O72" s="331">
        <v>0</v>
      </c>
      <c r="P72" s="224">
        <v>0</v>
      </c>
      <c r="Q72" s="224">
        <v>0</v>
      </c>
      <c r="R72" s="224">
        <v>0</v>
      </c>
      <c r="S72" s="224">
        <v>0</v>
      </c>
      <c r="T72" s="224">
        <v>0</v>
      </c>
      <c r="U72" s="224">
        <v>0</v>
      </c>
      <c r="V72" s="224">
        <v>0</v>
      </c>
      <c r="W72" s="224">
        <v>0</v>
      </c>
      <c r="X72" s="224">
        <v>0</v>
      </c>
      <c r="Y72" s="224">
        <v>0</v>
      </c>
      <c r="Z72" s="224">
        <v>0</v>
      </c>
      <c r="AA72" s="224">
        <v>0</v>
      </c>
      <c r="AB72" s="224">
        <v>0</v>
      </c>
      <c r="AC72" s="224">
        <v>0</v>
      </c>
      <c r="AD72" s="224">
        <v>0</v>
      </c>
      <c r="AE72" s="224">
        <v>0</v>
      </c>
      <c r="AF72" s="224">
        <v>0</v>
      </c>
      <c r="AG72" s="224">
        <v>0</v>
      </c>
      <c r="AH72" s="332">
        <v>0</v>
      </c>
      <c r="AJ72" s="340">
        <f>IFERROR(SUMIF(D_Processes!S:S,CONST_CNTR_EmbedEmDir &amp; D72,D_Processes!T:T)/SUMIF(D_Processes!R:R,CONST_CNTR_TotProd &amp; D72,D_Processes!T:T),0)</f>
        <v>0</v>
      </c>
      <c r="AK72" s="341">
        <v>0</v>
      </c>
      <c r="AL72" s="344">
        <f>IFERROR(SUMIF(D_Processes!S:S,CONST_CNTR_EmbedEmInDir &amp; D72,D_Processes!T:T)/SUMIF(D_Processes!R:R,CONST_CNTR_TotProd &amp; D72,D_Processes!T:T),0)</f>
        <v>0</v>
      </c>
      <c r="AM72" s="341">
        <v>0</v>
      </c>
      <c r="AN72" s="344">
        <f>IFERROR(SUMIF(D_Processes!R:R,CONST_ElecConsumption &amp; D72,D_Processes!T:T)/SUMIF(D_Processes!R:R,CONST_CNTR_TotProd &amp; D72,D_Processes!T:T),0)</f>
        <v>0</v>
      </c>
      <c r="AO72" s="341">
        <v>0</v>
      </c>
      <c r="AR72" s="349" t="str">
        <f>IF(AND(E72&gt;0,ROWS($D$70:D71)&lt;&gt;COLUMNS($D$70:D71)),MAX($AQ72:AQ72)+1,"")</f>
        <v/>
      </c>
      <c r="AS72" s="225" t="str">
        <f>IF(AND(F72&gt;0,ROWS($D$70:E71)&lt;&gt;COLUMNS($D$70:E71)),MAX($AQ72:AR72)+1,"")</f>
        <v/>
      </c>
      <c r="AT72" s="225" t="str">
        <f>IF(AND(G72&gt;0,ROWS($D$70:F71)&lt;&gt;COLUMNS($D$70:F71)),MAX($AQ72:AS72)+1,"")</f>
        <v/>
      </c>
      <c r="AU72" s="225" t="str">
        <f>IF(AND(H72&gt;0,ROWS($D$70:G71)&lt;&gt;COLUMNS($D$70:G71)),MAX($AQ72:AT72)+1,"")</f>
        <v/>
      </c>
      <c r="AV72" s="225" t="str">
        <f>IF(AND(I72&gt;0,ROWS($D$70:H71)&lt;&gt;COLUMNS($D$70:H71)),MAX($AQ72:AU72)+1,"")</f>
        <v/>
      </c>
      <c r="AW72" s="225" t="str">
        <f>IF(AND(J72&gt;0,ROWS($D$70:I71)&lt;&gt;COLUMNS($D$70:I71)),MAX($AQ72:AV72)+1,"")</f>
        <v/>
      </c>
      <c r="AX72" s="225" t="str">
        <f>IF(AND(K72&gt;0,ROWS($D$70:J71)&lt;&gt;COLUMNS($D$70:J71)),MAX($AQ72:AW72)+1,"")</f>
        <v/>
      </c>
      <c r="AY72" s="225" t="str">
        <f>IF(AND(L72&gt;0,ROWS($D$70:K71)&lt;&gt;COLUMNS($D$70:K71)),MAX($AQ72:AX72)+1,"")</f>
        <v/>
      </c>
      <c r="AZ72" s="225" t="str">
        <f>IF(AND(M72&gt;0,ROWS($D$70:L71)&lt;&gt;COLUMNS($D$70:L71)),MAX($AQ72:AY72)+1,"")</f>
        <v/>
      </c>
      <c r="BA72" s="350" t="str">
        <f>IF(AND(N72&gt;0,ROWS($D$70:M71)&lt;&gt;COLUMNS($D$70:M71)),MAX($AQ72:AZ72)+1,"")</f>
        <v/>
      </c>
      <c r="BB72" s="349" t="str">
        <f>IF(AND(O72&gt;0,ROWS($D$70:N71)&lt;&gt;COLUMNS($D$70:N71)),MAX($AQ72:BA72)+1,"")</f>
        <v/>
      </c>
      <c r="BC72" s="225" t="str">
        <f>IF(AND(P72&gt;0,ROWS($D$70:O71)&lt;&gt;COLUMNS($D$70:O71)),MAX($AQ72:BB72)+1,"")</f>
        <v/>
      </c>
      <c r="BD72" s="225" t="str">
        <f>IF(AND(Q72&gt;0,ROWS($D$70:P71)&lt;&gt;COLUMNS($D$70:P71)),MAX($AQ72:BC72)+1,"")</f>
        <v/>
      </c>
      <c r="BE72" s="225" t="str">
        <f>IF(AND(R72&gt;0,ROWS($D$70:Q71)&lt;&gt;COLUMNS($D$70:Q71)),MAX($AQ72:BD72)+1,"")</f>
        <v/>
      </c>
      <c r="BF72" s="225" t="str">
        <f>IF(AND(S72&gt;0,ROWS($D$70:R71)&lt;&gt;COLUMNS($D$70:R71)),MAX($AQ72:BE72)+1,"")</f>
        <v/>
      </c>
      <c r="BG72" s="225" t="str">
        <f>IF(AND(T72&gt;0,ROWS($D$70:S71)&lt;&gt;COLUMNS($D$70:S71)),MAX($AQ72:BF72)+1,"")</f>
        <v/>
      </c>
      <c r="BH72" s="225" t="str">
        <f>IF(AND(U72&gt;0,ROWS($D$70:T71)&lt;&gt;COLUMNS($D$70:T71)),MAX($AQ72:BG72)+1,"")</f>
        <v/>
      </c>
      <c r="BI72" s="225" t="str">
        <f>IF(AND(V72&gt;0,ROWS($D$70:U71)&lt;&gt;COLUMNS($D$70:U71)),MAX($AQ72:BH72)+1,"")</f>
        <v/>
      </c>
      <c r="BJ72" s="225" t="str">
        <f>IF(AND(W72&gt;0,ROWS($D$70:V71)&lt;&gt;COLUMNS($D$70:V71)),MAX($AQ72:BI72)+1,"")</f>
        <v/>
      </c>
      <c r="BK72" s="225" t="str">
        <f>IF(AND(X72&gt;0,ROWS($D$70:W71)&lt;&gt;COLUMNS($D$70:W71)),MAX($AQ72:BJ72)+1,"")</f>
        <v/>
      </c>
      <c r="BL72" s="225" t="str">
        <f>IF(AND(Y72&gt;0,ROWS($D$70:X71)&lt;&gt;COLUMNS($D$70:X71)),MAX($AQ72:BK72)+1,"")</f>
        <v/>
      </c>
      <c r="BM72" s="225" t="str">
        <f>IF(AND(Z72&gt;0,ROWS($D$70:Y71)&lt;&gt;COLUMNS($D$70:Y71)),MAX($AQ72:BL72)+1,"")</f>
        <v/>
      </c>
      <c r="BN72" s="225" t="str">
        <f>IF(AND(AA72&gt;0,ROWS($D$70:Z71)&lt;&gt;COLUMNS($D$70:Z71)),MAX($AQ72:BM72)+1,"")</f>
        <v/>
      </c>
      <c r="BO72" s="225" t="str">
        <f>IF(AND(AB72&gt;0,ROWS($D$70:AA71)&lt;&gt;COLUMNS($D$70:AA71)),MAX($AQ72:BN72)+1,"")</f>
        <v/>
      </c>
      <c r="BP72" s="225" t="str">
        <f>IF(AND(AC72&gt;0,ROWS($D$70:AB71)&lt;&gt;COLUMNS($D$70:AB71)),MAX($AQ72:BO72)+1,"")</f>
        <v/>
      </c>
      <c r="BQ72" s="225" t="str">
        <f>IF(AND(AD72&gt;0,ROWS($D$70:AC71)&lt;&gt;COLUMNS($D$70:AC71)),MAX($AQ72:BP72)+1,"")</f>
        <v/>
      </c>
      <c r="BR72" s="225" t="str">
        <f>IF(AND(AE72&gt;0,ROWS($D$70:AD71)&lt;&gt;COLUMNS($D$70:AD71)),MAX($AQ72:BQ72)+1,"")</f>
        <v/>
      </c>
      <c r="BS72" s="225" t="str">
        <f>IF(AND(AF72&gt;0,ROWS($D$70:AE71)&lt;&gt;COLUMNS($D$70:AE71)),MAX($AQ72:BR72)+1,"")</f>
        <v/>
      </c>
      <c r="BT72" s="225" t="str">
        <f>IF(AND(AG72&gt;0,ROWS($D$70:AF71)&lt;&gt;COLUMNS($D$70:AF71)),MAX($AQ72:BS72)+1,"")</f>
        <v/>
      </c>
      <c r="BU72" s="350" t="str">
        <f>IF(AND(AH72&gt;0,ROWS($D$70:AG71)&lt;&gt;COLUMNS($D$70:AG71)),MAX($AQ72:BT72)+1,"")</f>
        <v/>
      </c>
      <c r="BV72" s="226"/>
    </row>
    <row r="73" spans="2:74" ht="12.75" customHeight="1" x14ac:dyDescent="0.35">
      <c r="C73" s="223">
        <v>3</v>
      </c>
      <c r="D73" s="336" t="str">
        <f t="shared" si="10"/>
        <v/>
      </c>
      <c r="E73" s="331">
        <v>0</v>
      </c>
      <c r="F73" s="224">
        <v>0</v>
      </c>
      <c r="G73" s="224">
        <v>1</v>
      </c>
      <c r="H73" s="224">
        <v>0</v>
      </c>
      <c r="I73" s="224">
        <v>0</v>
      </c>
      <c r="J73" s="224">
        <v>0</v>
      </c>
      <c r="K73" s="224">
        <v>0</v>
      </c>
      <c r="L73" s="224">
        <v>0</v>
      </c>
      <c r="M73" s="224">
        <v>0</v>
      </c>
      <c r="N73" s="332">
        <v>0</v>
      </c>
      <c r="O73" s="331">
        <v>0</v>
      </c>
      <c r="P73" s="224">
        <v>0</v>
      </c>
      <c r="Q73" s="224">
        <v>0</v>
      </c>
      <c r="R73" s="224">
        <v>0</v>
      </c>
      <c r="S73" s="224">
        <v>0</v>
      </c>
      <c r="T73" s="224">
        <v>0</v>
      </c>
      <c r="U73" s="224">
        <v>0</v>
      </c>
      <c r="V73" s="224">
        <v>0</v>
      </c>
      <c r="W73" s="224">
        <v>0</v>
      </c>
      <c r="X73" s="224">
        <v>0</v>
      </c>
      <c r="Y73" s="224">
        <v>0</v>
      </c>
      <c r="Z73" s="224">
        <v>0</v>
      </c>
      <c r="AA73" s="224">
        <v>0</v>
      </c>
      <c r="AB73" s="224">
        <v>0</v>
      </c>
      <c r="AC73" s="224">
        <v>0</v>
      </c>
      <c r="AD73" s="224">
        <v>0</v>
      </c>
      <c r="AE73" s="224">
        <v>0</v>
      </c>
      <c r="AF73" s="224">
        <v>0</v>
      </c>
      <c r="AG73" s="224">
        <v>0</v>
      </c>
      <c r="AH73" s="332">
        <v>0</v>
      </c>
      <c r="AJ73" s="340">
        <f>IFERROR(SUMIF(D_Processes!S:S,CONST_CNTR_EmbedEmDir &amp; D73,D_Processes!T:T)/SUMIF(D_Processes!R:R,CONST_CNTR_TotProd &amp; D73,D_Processes!T:T),0)</f>
        <v>0</v>
      </c>
      <c r="AK73" s="341">
        <v>0</v>
      </c>
      <c r="AL73" s="344">
        <f>IFERROR(SUMIF(D_Processes!S:S,CONST_CNTR_EmbedEmInDir &amp; D73,D_Processes!T:T)/SUMIF(D_Processes!R:R,CONST_CNTR_TotProd &amp; D73,D_Processes!T:T),0)</f>
        <v>0</v>
      </c>
      <c r="AM73" s="341">
        <v>0</v>
      </c>
      <c r="AN73" s="344">
        <f>IFERROR(SUMIF(D_Processes!R:R,CONST_ElecConsumption &amp; D73,D_Processes!T:T)/SUMIF(D_Processes!R:R,CONST_CNTR_TotProd &amp; D73,D_Processes!T:T),0)</f>
        <v>0</v>
      </c>
      <c r="AO73" s="341">
        <v>0</v>
      </c>
      <c r="AR73" s="349" t="str">
        <f>IF(AND(E73&gt;0,ROWS($D$70:D72)&lt;&gt;COLUMNS($D$70:D72)),MAX($AQ73:AQ73)+1,"")</f>
        <v/>
      </c>
      <c r="AS73" s="225" t="str">
        <f>IF(AND(F73&gt;0,ROWS($D$70:E72)&lt;&gt;COLUMNS($D$70:E72)),MAX($AQ73:AR73)+1,"")</f>
        <v/>
      </c>
      <c r="AT73" s="225" t="str">
        <f>IF(AND(G73&gt;0,ROWS($D$70:F72)&lt;&gt;COLUMNS($D$70:F72)),MAX($AQ73:AS73)+1,"")</f>
        <v/>
      </c>
      <c r="AU73" s="225" t="str">
        <f>IF(AND(H73&gt;0,ROWS($D$70:G72)&lt;&gt;COLUMNS($D$70:G72)),MAX($AQ73:AT73)+1,"")</f>
        <v/>
      </c>
      <c r="AV73" s="225" t="str">
        <f>IF(AND(I73&gt;0,ROWS($D$70:H72)&lt;&gt;COLUMNS($D$70:H72)),MAX($AQ73:AU73)+1,"")</f>
        <v/>
      </c>
      <c r="AW73" s="225" t="str">
        <f>IF(AND(J73&gt;0,ROWS($D$70:I72)&lt;&gt;COLUMNS($D$70:I72)),MAX($AQ73:AV73)+1,"")</f>
        <v/>
      </c>
      <c r="AX73" s="225" t="str">
        <f>IF(AND(K73&gt;0,ROWS($D$70:J72)&lt;&gt;COLUMNS($D$70:J72)),MAX($AQ73:AW73)+1,"")</f>
        <v/>
      </c>
      <c r="AY73" s="225" t="str">
        <f>IF(AND(L73&gt;0,ROWS($D$70:K72)&lt;&gt;COLUMNS($D$70:K72)),MAX($AQ73:AX73)+1,"")</f>
        <v/>
      </c>
      <c r="AZ73" s="225" t="str">
        <f>IF(AND(M73&gt;0,ROWS($D$70:L72)&lt;&gt;COLUMNS($D$70:L72)),MAX($AQ73:AY73)+1,"")</f>
        <v/>
      </c>
      <c r="BA73" s="350" t="str">
        <f>IF(AND(N73&gt;0,ROWS($D$70:M72)&lt;&gt;COLUMNS($D$70:M72)),MAX($AQ73:AZ73)+1,"")</f>
        <v/>
      </c>
      <c r="BB73" s="349" t="str">
        <f>IF(AND(O73&gt;0,ROWS($D$70:N72)&lt;&gt;COLUMNS($D$70:N72)),MAX($AQ73:BA73)+1,"")</f>
        <v/>
      </c>
      <c r="BC73" s="225" t="str">
        <f>IF(AND(P73&gt;0,ROWS($D$70:O72)&lt;&gt;COLUMNS($D$70:O72)),MAX($AQ73:BB73)+1,"")</f>
        <v/>
      </c>
      <c r="BD73" s="225" t="str">
        <f>IF(AND(Q73&gt;0,ROWS($D$70:P72)&lt;&gt;COLUMNS($D$70:P72)),MAX($AQ73:BC73)+1,"")</f>
        <v/>
      </c>
      <c r="BE73" s="225" t="str">
        <f>IF(AND(R73&gt;0,ROWS($D$70:Q72)&lt;&gt;COLUMNS($D$70:Q72)),MAX($AQ73:BD73)+1,"")</f>
        <v/>
      </c>
      <c r="BF73" s="225" t="str">
        <f>IF(AND(S73&gt;0,ROWS($D$70:R72)&lt;&gt;COLUMNS($D$70:R72)),MAX($AQ73:BE73)+1,"")</f>
        <v/>
      </c>
      <c r="BG73" s="225" t="str">
        <f>IF(AND(T73&gt;0,ROWS($D$70:S72)&lt;&gt;COLUMNS($D$70:S72)),MAX($AQ73:BF73)+1,"")</f>
        <v/>
      </c>
      <c r="BH73" s="225" t="str">
        <f>IF(AND(U73&gt;0,ROWS($D$70:T72)&lt;&gt;COLUMNS($D$70:T72)),MAX($AQ73:BG73)+1,"")</f>
        <v/>
      </c>
      <c r="BI73" s="225" t="str">
        <f>IF(AND(V73&gt;0,ROWS($D$70:U72)&lt;&gt;COLUMNS($D$70:U72)),MAX($AQ73:BH73)+1,"")</f>
        <v/>
      </c>
      <c r="BJ73" s="225" t="str">
        <f>IF(AND(W73&gt;0,ROWS($D$70:V72)&lt;&gt;COLUMNS($D$70:V72)),MAX($AQ73:BI73)+1,"")</f>
        <v/>
      </c>
      <c r="BK73" s="225" t="str">
        <f>IF(AND(X73&gt;0,ROWS($D$70:W72)&lt;&gt;COLUMNS($D$70:W72)),MAX($AQ73:BJ73)+1,"")</f>
        <v/>
      </c>
      <c r="BL73" s="225" t="str">
        <f>IF(AND(Y73&gt;0,ROWS($D$70:X72)&lt;&gt;COLUMNS($D$70:X72)),MAX($AQ73:BK73)+1,"")</f>
        <v/>
      </c>
      <c r="BM73" s="225" t="str">
        <f>IF(AND(Z73&gt;0,ROWS($D$70:Y72)&lt;&gt;COLUMNS($D$70:Y72)),MAX($AQ73:BL73)+1,"")</f>
        <v/>
      </c>
      <c r="BN73" s="225" t="str">
        <f>IF(AND(AA73&gt;0,ROWS($D$70:Z72)&lt;&gt;COLUMNS($D$70:Z72)),MAX($AQ73:BM73)+1,"")</f>
        <v/>
      </c>
      <c r="BO73" s="225" t="str">
        <f>IF(AND(AB73&gt;0,ROWS($D$70:AA72)&lt;&gt;COLUMNS($D$70:AA72)),MAX($AQ73:BN73)+1,"")</f>
        <v/>
      </c>
      <c r="BP73" s="225" t="str">
        <f>IF(AND(AC73&gt;0,ROWS($D$70:AB72)&lt;&gt;COLUMNS($D$70:AB72)),MAX($AQ73:BO73)+1,"")</f>
        <v/>
      </c>
      <c r="BQ73" s="225" t="str">
        <f>IF(AND(AD73&gt;0,ROWS($D$70:AC72)&lt;&gt;COLUMNS($D$70:AC72)),MAX($AQ73:BP73)+1,"")</f>
        <v/>
      </c>
      <c r="BR73" s="225" t="str">
        <f>IF(AND(AE73&gt;0,ROWS($D$70:AD72)&lt;&gt;COLUMNS($D$70:AD72)),MAX($AQ73:BQ73)+1,"")</f>
        <v/>
      </c>
      <c r="BS73" s="225" t="str">
        <f>IF(AND(AF73&gt;0,ROWS($D$70:AE72)&lt;&gt;COLUMNS($D$70:AE72)),MAX($AQ73:BR73)+1,"")</f>
        <v/>
      </c>
      <c r="BT73" s="225" t="str">
        <f>IF(AND(AG73&gt;0,ROWS($D$70:AF72)&lt;&gt;COLUMNS($D$70:AF72)),MAX($AQ73:BS73)+1,"")</f>
        <v/>
      </c>
      <c r="BU73" s="350" t="str">
        <f>IF(AND(AH73&gt;0,ROWS($D$70:AG72)&lt;&gt;COLUMNS($D$70:AG72)),MAX($AQ73:BT73)+1,"")</f>
        <v/>
      </c>
      <c r="BV73" s="226"/>
    </row>
    <row r="74" spans="2:74" ht="12.75" customHeight="1" x14ac:dyDescent="0.35">
      <c r="C74" s="223">
        <v>4</v>
      </c>
      <c r="D74" s="336" t="str">
        <f t="shared" si="10"/>
        <v/>
      </c>
      <c r="E74" s="331">
        <v>0</v>
      </c>
      <c r="F74" s="224">
        <v>0</v>
      </c>
      <c r="G74" s="224">
        <v>0</v>
      </c>
      <c r="H74" s="224">
        <v>1</v>
      </c>
      <c r="I74" s="224">
        <v>0</v>
      </c>
      <c r="J74" s="224">
        <v>0</v>
      </c>
      <c r="K74" s="224">
        <v>0</v>
      </c>
      <c r="L74" s="224">
        <v>0</v>
      </c>
      <c r="M74" s="224">
        <v>0</v>
      </c>
      <c r="N74" s="332">
        <v>0</v>
      </c>
      <c r="O74" s="331">
        <v>0</v>
      </c>
      <c r="P74" s="224">
        <v>0</v>
      </c>
      <c r="Q74" s="224">
        <v>0</v>
      </c>
      <c r="R74" s="224">
        <v>0</v>
      </c>
      <c r="S74" s="224">
        <v>0</v>
      </c>
      <c r="T74" s="224">
        <v>0</v>
      </c>
      <c r="U74" s="224">
        <v>0</v>
      </c>
      <c r="V74" s="224">
        <v>0</v>
      </c>
      <c r="W74" s="224">
        <v>0</v>
      </c>
      <c r="X74" s="224">
        <v>0</v>
      </c>
      <c r="Y74" s="224">
        <v>0</v>
      </c>
      <c r="Z74" s="224">
        <v>0</v>
      </c>
      <c r="AA74" s="224">
        <v>0</v>
      </c>
      <c r="AB74" s="224">
        <v>0</v>
      </c>
      <c r="AC74" s="224">
        <v>0</v>
      </c>
      <c r="AD74" s="224">
        <v>0</v>
      </c>
      <c r="AE74" s="224">
        <v>0</v>
      </c>
      <c r="AF74" s="224">
        <v>0</v>
      </c>
      <c r="AG74" s="224">
        <v>0</v>
      </c>
      <c r="AH74" s="332">
        <v>0</v>
      </c>
      <c r="AJ74" s="340">
        <f>IFERROR(SUMIF(D_Processes!S:S,CONST_CNTR_EmbedEmDir &amp; D74,D_Processes!T:T)/SUMIF(D_Processes!R:R,CONST_CNTR_TotProd &amp; D74,D_Processes!T:T),0)</f>
        <v>0</v>
      </c>
      <c r="AK74" s="341">
        <v>0</v>
      </c>
      <c r="AL74" s="344">
        <f>IFERROR(SUMIF(D_Processes!S:S,CONST_CNTR_EmbedEmInDir &amp; D74,D_Processes!T:T)/SUMIF(D_Processes!R:R,CONST_CNTR_TotProd &amp; D74,D_Processes!T:T),0)</f>
        <v>0</v>
      </c>
      <c r="AM74" s="341">
        <v>0</v>
      </c>
      <c r="AN74" s="344">
        <f>IFERROR(SUMIF(D_Processes!R:R,CONST_ElecConsumption &amp; D74,D_Processes!T:T)/SUMIF(D_Processes!R:R,CONST_CNTR_TotProd &amp; D74,D_Processes!T:T),0)</f>
        <v>0</v>
      </c>
      <c r="AO74" s="341">
        <v>0</v>
      </c>
      <c r="AR74" s="349" t="str">
        <f>IF(AND(E74&gt;0,ROWS($D$70:D73)&lt;&gt;COLUMNS($D$70:D73)),MAX($AQ74:AQ74)+1,"")</f>
        <v/>
      </c>
      <c r="AS74" s="225" t="str">
        <f>IF(AND(F74&gt;0,ROWS($D$70:E73)&lt;&gt;COLUMNS($D$70:E73)),MAX($AQ74:AR74)+1,"")</f>
        <v/>
      </c>
      <c r="AT74" s="225" t="str">
        <f>IF(AND(G74&gt;0,ROWS($D$70:F73)&lt;&gt;COLUMNS($D$70:F73)),MAX($AQ74:AS74)+1,"")</f>
        <v/>
      </c>
      <c r="AU74" s="225" t="str">
        <f>IF(AND(H74&gt;0,ROWS($D$70:G73)&lt;&gt;COLUMNS($D$70:G73)),MAX($AQ74:AT74)+1,"")</f>
        <v/>
      </c>
      <c r="AV74" s="225" t="str">
        <f>IF(AND(I74&gt;0,ROWS($D$70:H73)&lt;&gt;COLUMNS($D$70:H73)),MAX($AQ74:AU74)+1,"")</f>
        <v/>
      </c>
      <c r="AW74" s="225" t="str">
        <f>IF(AND(J74&gt;0,ROWS($D$70:I73)&lt;&gt;COLUMNS($D$70:I73)),MAX($AQ74:AV74)+1,"")</f>
        <v/>
      </c>
      <c r="AX74" s="225" t="str">
        <f>IF(AND(K74&gt;0,ROWS($D$70:J73)&lt;&gt;COLUMNS($D$70:J73)),MAX($AQ74:AW74)+1,"")</f>
        <v/>
      </c>
      <c r="AY74" s="225" t="str">
        <f>IF(AND(L74&gt;0,ROWS($D$70:K73)&lt;&gt;COLUMNS($D$70:K73)),MAX($AQ74:AX74)+1,"")</f>
        <v/>
      </c>
      <c r="AZ74" s="225" t="str">
        <f>IF(AND(M74&gt;0,ROWS($D$70:L73)&lt;&gt;COLUMNS($D$70:L73)),MAX($AQ74:AY74)+1,"")</f>
        <v/>
      </c>
      <c r="BA74" s="350" t="str">
        <f>IF(AND(N74&gt;0,ROWS($D$70:M73)&lt;&gt;COLUMNS($D$70:M73)),MAX($AQ74:AZ74)+1,"")</f>
        <v/>
      </c>
      <c r="BB74" s="349" t="str">
        <f>IF(AND(O74&gt;0,ROWS($D$70:N73)&lt;&gt;COLUMNS($D$70:N73)),MAX($AQ74:BA74)+1,"")</f>
        <v/>
      </c>
      <c r="BC74" s="225" t="str">
        <f>IF(AND(P74&gt;0,ROWS($D$70:O73)&lt;&gt;COLUMNS($D$70:O73)),MAX($AQ74:BB74)+1,"")</f>
        <v/>
      </c>
      <c r="BD74" s="225" t="str">
        <f>IF(AND(Q74&gt;0,ROWS($D$70:P73)&lt;&gt;COLUMNS($D$70:P73)),MAX($AQ74:BC74)+1,"")</f>
        <v/>
      </c>
      <c r="BE74" s="225" t="str">
        <f>IF(AND(R74&gt;0,ROWS($D$70:Q73)&lt;&gt;COLUMNS($D$70:Q73)),MAX($AQ74:BD74)+1,"")</f>
        <v/>
      </c>
      <c r="BF74" s="225" t="str">
        <f>IF(AND(S74&gt;0,ROWS($D$70:R73)&lt;&gt;COLUMNS($D$70:R73)),MAX($AQ74:BE74)+1,"")</f>
        <v/>
      </c>
      <c r="BG74" s="225" t="str">
        <f>IF(AND(T74&gt;0,ROWS($D$70:S73)&lt;&gt;COLUMNS($D$70:S73)),MAX($AQ74:BF74)+1,"")</f>
        <v/>
      </c>
      <c r="BH74" s="225" t="str">
        <f>IF(AND(U74&gt;0,ROWS($D$70:T73)&lt;&gt;COLUMNS($D$70:T73)),MAX($AQ74:BG74)+1,"")</f>
        <v/>
      </c>
      <c r="BI74" s="225" t="str">
        <f>IF(AND(V74&gt;0,ROWS($D$70:U73)&lt;&gt;COLUMNS($D$70:U73)),MAX($AQ74:BH74)+1,"")</f>
        <v/>
      </c>
      <c r="BJ74" s="225" t="str">
        <f>IF(AND(W74&gt;0,ROWS($D$70:V73)&lt;&gt;COLUMNS($D$70:V73)),MAX($AQ74:BI74)+1,"")</f>
        <v/>
      </c>
      <c r="BK74" s="225" t="str">
        <f>IF(AND(X74&gt;0,ROWS($D$70:W73)&lt;&gt;COLUMNS($D$70:W73)),MAX($AQ74:BJ74)+1,"")</f>
        <v/>
      </c>
      <c r="BL74" s="225" t="str">
        <f>IF(AND(Y74&gt;0,ROWS($D$70:X73)&lt;&gt;COLUMNS($D$70:X73)),MAX($AQ74:BK74)+1,"")</f>
        <v/>
      </c>
      <c r="BM74" s="225" t="str">
        <f>IF(AND(Z74&gt;0,ROWS($D$70:Y73)&lt;&gt;COLUMNS($D$70:Y73)),MAX($AQ74:BL74)+1,"")</f>
        <v/>
      </c>
      <c r="BN74" s="225" t="str">
        <f>IF(AND(AA74&gt;0,ROWS($D$70:Z73)&lt;&gt;COLUMNS($D$70:Z73)),MAX($AQ74:BM74)+1,"")</f>
        <v/>
      </c>
      <c r="BO74" s="225" t="str">
        <f>IF(AND(AB74&gt;0,ROWS($D$70:AA73)&lt;&gt;COLUMNS($D$70:AA73)),MAX($AQ74:BN74)+1,"")</f>
        <v/>
      </c>
      <c r="BP74" s="225" t="str">
        <f>IF(AND(AC74&gt;0,ROWS($D$70:AB73)&lt;&gt;COLUMNS($D$70:AB73)),MAX($AQ74:BO74)+1,"")</f>
        <v/>
      </c>
      <c r="BQ74" s="225" t="str">
        <f>IF(AND(AD74&gt;0,ROWS($D$70:AC73)&lt;&gt;COLUMNS($D$70:AC73)),MAX($AQ74:BP74)+1,"")</f>
        <v/>
      </c>
      <c r="BR74" s="225" t="str">
        <f>IF(AND(AE74&gt;0,ROWS($D$70:AD73)&lt;&gt;COLUMNS($D$70:AD73)),MAX($AQ74:BQ74)+1,"")</f>
        <v/>
      </c>
      <c r="BS74" s="225" t="str">
        <f>IF(AND(AF74&gt;0,ROWS($D$70:AE73)&lt;&gt;COLUMNS($D$70:AE73)),MAX($AQ74:BR74)+1,"")</f>
        <v/>
      </c>
      <c r="BT74" s="225" t="str">
        <f>IF(AND(AG74&gt;0,ROWS($D$70:AF73)&lt;&gt;COLUMNS($D$70:AF73)),MAX($AQ74:BS74)+1,"")</f>
        <v/>
      </c>
      <c r="BU74" s="350" t="str">
        <f>IF(AND(AH74&gt;0,ROWS($D$70:AG73)&lt;&gt;COLUMNS($D$70:AG73)),MAX($AQ74:BT74)+1,"")</f>
        <v/>
      </c>
      <c r="BV74" s="226"/>
    </row>
    <row r="75" spans="2:74" ht="12.75" customHeight="1" x14ac:dyDescent="0.35">
      <c r="C75" s="223">
        <v>5</v>
      </c>
      <c r="D75" s="336" t="str">
        <f t="shared" si="10"/>
        <v/>
      </c>
      <c r="E75" s="331">
        <v>0</v>
      </c>
      <c r="F75" s="224">
        <v>0</v>
      </c>
      <c r="G75" s="224">
        <v>0</v>
      </c>
      <c r="H75" s="224">
        <v>0</v>
      </c>
      <c r="I75" s="224">
        <v>1</v>
      </c>
      <c r="J75" s="224">
        <v>0</v>
      </c>
      <c r="K75" s="224">
        <v>0</v>
      </c>
      <c r="L75" s="224">
        <v>0</v>
      </c>
      <c r="M75" s="224">
        <v>0</v>
      </c>
      <c r="N75" s="332">
        <v>0</v>
      </c>
      <c r="O75" s="331">
        <v>0</v>
      </c>
      <c r="P75" s="224">
        <v>0</v>
      </c>
      <c r="Q75" s="224">
        <v>0</v>
      </c>
      <c r="R75" s="224">
        <v>0</v>
      </c>
      <c r="S75" s="224">
        <v>0</v>
      </c>
      <c r="T75" s="224">
        <v>0</v>
      </c>
      <c r="U75" s="224">
        <v>0</v>
      </c>
      <c r="V75" s="224">
        <v>0</v>
      </c>
      <c r="W75" s="224">
        <v>0</v>
      </c>
      <c r="X75" s="224">
        <v>0</v>
      </c>
      <c r="Y75" s="224">
        <v>0</v>
      </c>
      <c r="Z75" s="224">
        <v>0</v>
      </c>
      <c r="AA75" s="224">
        <v>0</v>
      </c>
      <c r="AB75" s="224">
        <v>0</v>
      </c>
      <c r="AC75" s="224">
        <v>0</v>
      </c>
      <c r="AD75" s="224">
        <v>0</v>
      </c>
      <c r="AE75" s="224">
        <v>0</v>
      </c>
      <c r="AF75" s="224">
        <v>0</v>
      </c>
      <c r="AG75" s="224">
        <v>0</v>
      </c>
      <c r="AH75" s="332">
        <v>0</v>
      </c>
      <c r="AJ75" s="340">
        <f>IFERROR(SUMIF(D_Processes!S:S,CONST_CNTR_EmbedEmDir &amp; D75,D_Processes!T:T)/SUMIF(D_Processes!R:R,CONST_CNTR_TotProd &amp; D75,D_Processes!T:T),0)</f>
        <v>0</v>
      </c>
      <c r="AK75" s="341">
        <v>0</v>
      </c>
      <c r="AL75" s="344">
        <f>IFERROR(SUMIF(D_Processes!S:S,CONST_CNTR_EmbedEmInDir &amp; D75,D_Processes!T:T)/SUMIF(D_Processes!R:R,CONST_CNTR_TotProd &amp; D75,D_Processes!T:T),0)</f>
        <v>0</v>
      </c>
      <c r="AM75" s="341">
        <v>0</v>
      </c>
      <c r="AN75" s="344">
        <f>IFERROR(SUMIF(D_Processes!R:R,CONST_ElecConsumption &amp; D75,D_Processes!T:T)/SUMIF(D_Processes!R:R,CONST_CNTR_TotProd &amp; D75,D_Processes!T:T),0)</f>
        <v>0</v>
      </c>
      <c r="AO75" s="341">
        <v>0</v>
      </c>
      <c r="AR75" s="349" t="str">
        <f>IF(AND(E75&gt;0,ROWS($D$70:D74)&lt;&gt;COLUMNS($D$70:D74)),MAX($AQ75:AQ75)+1,"")</f>
        <v/>
      </c>
      <c r="AS75" s="225" t="str">
        <f>IF(AND(F75&gt;0,ROWS($D$70:E74)&lt;&gt;COLUMNS($D$70:E74)),MAX($AQ75:AR75)+1,"")</f>
        <v/>
      </c>
      <c r="AT75" s="225" t="str">
        <f>IF(AND(G75&gt;0,ROWS($D$70:F74)&lt;&gt;COLUMNS($D$70:F74)),MAX($AQ75:AS75)+1,"")</f>
        <v/>
      </c>
      <c r="AU75" s="225" t="str">
        <f>IF(AND(H75&gt;0,ROWS($D$70:G74)&lt;&gt;COLUMNS($D$70:G74)),MAX($AQ75:AT75)+1,"")</f>
        <v/>
      </c>
      <c r="AV75" s="225" t="str">
        <f>IF(AND(I75&gt;0,ROWS($D$70:H74)&lt;&gt;COLUMNS($D$70:H74)),MAX($AQ75:AU75)+1,"")</f>
        <v/>
      </c>
      <c r="AW75" s="225" t="str">
        <f>IF(AND(J75&gt;0,ROWS($D$70:I74)&lt;&gt;COLUMNS($D$70:I74)),MAX($AQ75:AV75)+1,"")</f>
        <v/>
      </c>
      <c r="AX75" s="225" t="str">
        <f>IF(AND(K75&gt;0,ROWS($D$70:J74)&lt;&gt;COLUMNS($D$70:J74)),MAX($AQ75:AW75)+1,"")</f>
        <v/>
      </c>
      <c r="AY75" s="225" t="str">
        <f>IF(AND(L75&gt;0,ROWS($D$70:K74)&lt;&gt;COLUMNS($D$70:K74)),MAX($AQ75:AX75)+1,"")</f>
        <v/>
      </c>
      <c r="AZ75" s="225" t="str">
        <f>IF(AND(M75&gt;0,ROWS($D$70:L74)&lt;&gt;COLUMNS($D$70:L74)),MAX($AQ75:AY75)+1,"")</f>
        <v/>
      </c>
      <c r="BA75" s="350" t="str">
        <f>IF(AND(N75&gt;0,ROWS($D$70:M74)&lt;&gt;COLUMNS($D$70:M74)),MAX($AQ75:AZ75)+1,"")</f>
        <v/>
      </c>
      <c r="BB75" s="349" t="str">
        <f>IF(AND(O75&gt;0,ROWS($D$70:N74)&lt;&gt;COLUMNS($D$70:N74)),MAX($AQ75:BA75)+1,"")</f>
        <v/>
      </c>
      <c r="BC75" s="225" t="str">
        <f>IF(AND(P75&gt;0,ROWS($D$70:O74)&lt;&gt;COLUMNS($D$70:O74)),MAX($AQ75:BB75)+1,"")</f>
        <v/>
      </c>
      <c r="BD75" s="225" t="str">
        <f>IF(AND(Q75&gt;0,ROWS($D$70:P74)&lt;&gt;COLUMNS($D$70:P74)),MAX($AQ75:BC75)+1,"")</f>
        <v/>
      </c>
      <c r="BE75" s="225" t="str">
        <f>IF(AND(R75&gt;0,ROWS($D$70:Q74)&lt;&gt;COLUMNS($D$70:Q74)),MAX($AQ75:BD75)+1,"")</f>
        <v/>
      </c>
      <c r="BF75" s="225" t="str">
        <f>IF(AND(S75&gt;0,ROWS($D$70:R74)&lt;&gt;COLUMNS($D$70:R74)),MAX($AQ75:BE75)+1,"")</f>
        <v/>
      </c>
      <c r="BG75" s="225" t="str">
        <f>IF(AND(T75&gt;0,ROWS($D$70:S74)&lt;&gt;COLUMNS($D$70:S74)),MAX($AQ75:BF75)+1,"")</f>
        <v/>
      </c>
      <c r="BH75" s="225" t="str">
        <f>IF(AND(U75&gt;0,ROWS($D$70:T74)&lt;&gt;COLUMNS($D$70:T74)),MAX($AQ75:BG75)+1,"")</f>
        <v/>
      </c>
      <c r="BI75" s="225" t="str">
        <f>IF(AND(V75&gt;0,ROWS($D$70:U74)&lt;&gt;COLUMNS($D$70:U74)),MAX($AQ75:BH75)+1,"")</f>
        <v/>
      </c>
      <c r="BJ75" s="225" t="str">
        <f>IF(AND(W75&gt;0,ROWS($D$70:V74)&lt;&gt;COLUMNS($D$70:V74)),MAX($AQ75:BI75)+1,"")</f>
        <v/>
      </c>
      <c r="BK75" s="225" t="str">
        <f>IF(AND(X75&gt;0,ROWS($D$70:W74)&lt;&gt;COLUMNS($D$70:W74)),MAX($AQ75:BJ75)+1,"")</f>
        <v/>
      </c>
      <c r="BL75" s="225" t="str">
        <f>IF(AND(Y75&gt;0,ROWS($D$70:X74)&lt;&gt;COLUMNS($D$70:X74)),MAX($AQ75:BK75)+1,"")</f>
        <v/>
      </c>
      <c r="BM75" s="225" t="str">
        <f>IF(AND(Z75&gt;0,ROWS($D$70:Y74)&lt;&gt;COLUMNS($D$70:Y74)),MAX($AQ75:BL75)+1,"")</f>
        <v/>
      </c>
      <c r="BN75" s="225" t="str">
        <f>IF(AND(AA75&gt;0,ROWS($D$70:Z74)&lt;&gt;COLUMNS($D$70:Z74)),MAX($AQ75:BM75)+1,"")</f>
        <v/>
      </c>
      <c r="BO75" s="225" t="str">
        <f>IF(AND(AB75&gt;0,ROWS($D$70:AA74)&lt;&gt;COLUMNS($D$70:AA74)),MAX($AQ75:BN75)+1,"")</f>
        <v/>
      </c>
      <c r="BP75" s="225" t="str">
        <f>IF(AND(AC75&gt;0,ROWS($D$70:AB74)&lt;&gt;COLUMNS($D$70:AB74)),MAX($AQ75:BO75)+1,"")</f>
        <v/>
      </c>
      <c r="BQ75" s="225" t="str">
        <f>IF(AND(AD75&gt;0,ROWS($D$70:AC74)&lt;&gt;COLUMNS($D$70:AC74)),MAX($AQ75:BP75)+1,"")</f>
        <v/>
      </c>
      <c r="BR75" s="225" t="str">
        <f>IF(AND(AE75&gt;0,ROWS($D$70:AD74)&lt;&gt;COLUMNS($D$70:AD74)),MAX($AQ75:BQ75)+1,"")</f>
        <v/>
      </c>
      <c r="BS75" s="225" t="str">
        <f>IF(AND(AF75&gt;0,ROWS($D$70:AE74)&lt;&gt;COLUMNS($D$70:AE74)),MAX($AQ75:BR75)+1,"")</f>
        <v/>
      </c>
      <c r="BT75" s="225" t="str">
        <f>IF(AND(AG75&gt;0,ROWS($D$70:AF74)&lt;&gt;COLUMNS($D$70:AF74)),MAX($AQ75:BS75)+1,"")</f>
        <v/>
      </c>
      <c r="BU75" s="350" t="str">
        <f>IF(AND(AH75&gt;0,ROWS($D$70:AG74)&lt;&gt;COLUMNS($D$70:AG74)),MAX($AQ75:BT75)+1,"")</f>
        <v/>
      </c>
      <c r="BV75" s="226"/>
    </row>
    <row r="76" spans="2:74" ht="12.75" customHeight="1" x14ac:dyDescent="0.35">
      <c r="C76" s="223">
        <v>6</v>
      </c>
      <c r="D76" s="336" t="str">
        <f t="shared" si="10"/>
        <v/>
      </c>
      <c r="E76" s="331">
        <v>0</v>
      </c>
      <c r="F76" s="224">
        <v>0</v>
      </c>
      <c r="G76" s="224">
        <v>0</v>
      </c>
      <c r="H76" s="224">
        <v>0</v>
      </c>
      <c r="I76" s="224">
        <v>0</v>
      </c>
      <c r="J76" s="224">
        <v>1</v>
      </c>
      <c r="K76" s="224">
        <v>0</v>
      </c>
      <c r="L76" s="224">
        <v>0</v>
      </c>
      <c r="M76" s="224">
        <v>0</v>
      </c>
      <c r="N76" s="332">
        <v>0</v>
      </c>
      <c r="O76" s="331">
        <v>0</v>
      </c>
      <c r="P76" s="224">
        <v>0</v>
      </c>
      <c r="Q76" s="224">
        <v>0</v>
      </c>
      <c r="R76" s="224">
        <v>0</v>
      </c>
      <c r="S76" s="224">
        <v>0</v>
      </c>
      <c r="T76" s="224">
        <v>0</v>
      </c>
      <c r="U76" s="224">
        <v>0</v>
      </c>
      <c r="V76" s="224">
        <v>0</v>
      </c>
      <c r="W76" s="224">
        <v>0</v>
      </c>
      <c r="X76" s="224">
        <v>0</v>
      </c>
      <c r="Y76" s="224">
        <v>0</v>
      </c>
      <c r="Z76" s="224">
        <v>0</v>
      </c>
      <c r="AA76" s="224">
        <v>0</v>
      </c>
      <c r="AB76" s="224">
        <v>0</v>
      </c>
      <c r="AC76" s="224">
        <v>0</v>
      </c>
      <c r="AD76" s="224">
        <v>0</v>
      </c>
      <c r="AE76" s="224">
        <v>0</v>
      </c>
      <c r="AF76" s="224">
        <v>0</v>
      </c>
      <c r="AG76" s="224">
        <v>0</v>
      </c>
      <c r="AH76" s="332">
        <v>0</v>
      </c>
      <c r="AJ76" s="340">
        <f>IFERROR(SUMIF(D_Processes!S:S,CONST_CNTR_EmbedEmDir &amp; D76,D_Processes!T:T)/SUMIF(D_Processes!R:R,CONST_CNTR_TotProd &amp; D76,D_Processes!T:T),0)</f>
        <v>0</v>
      </c>
      <c r="AK76" s="341">
        <v>0</v>
      </c>
      <c r="AL76" s="344">
        <f>IFERROR(SUMIF(D_Processes!S:S,CONST_CNTR_EmbedEmInDir &amp; D76,D_Processes!T:T)/SUMIF(D_Processes!R:R,CONST_CNTR_TotProd &amp; D76,D_Processes!T:T),0)</f>
        <v>0</v>
      </c>
      <c r="AM76" s="341">
        <v>0</v>
      </c>
      <c r="AN76" s="344">
        <f>IFERROR(SUMIF(D_Processes!R:R,CONST_ElecConsumption &amp; D76,D_Processes!T:T)/SUMIF(D_Processes!R:R,CONST_CNTR_TotProd &amp; D76,D_Processes!T:T),0)</f>
        <v>0</v>
      </c>
      <c r="AO76" s="341">
        <v>0</v>
      </c>
      <c r="AR76" s="349" t="str">
        <f>IF(AND(E76&gt;0,ROWS($D$70:D75)&lt;&gt;COLUMNS($D$70:D75)),MAX($AQ76:AQ76)+1,"")</f>
        <v/>
      </c>
      <c r="AS76" s="225" t="str">
        <f>IF(AND(F76&gt;0,ROWS($D$70:E75)&lt;&gt;COLUMNS($D$70:E75)),MAX($AQ76:AR76)+1,"")</f>
        <v/>
      </c>
      <c r="AT76" s="225" t="str">
        <f>IF(AND(G76&gt;0,ROWS($D$70:F75)&lt;&gt;COLUMNS($D$70:F75)),MAX($AQ76:AS76)+1,"")</f>
        <v/>
      </c>
      <c r="AU76" s="225" t="str">
        <f>IF(AND(H76&gt;0,ROWS($D$70:G75)&lt;&gt;COLUMNS($D$70:G75)),MAX($AQ76:AT76)+1,"")</f>
        <v/>
      </c>
      <c r="AV76" s="225" t="str">
        <f>IF(AND(I76&gt;0,ROWS($D$70:H75)&lt;&gt;COLUMNS($D$70:H75)),MAX($AQ76:AU76)+1,"")</f>
        <v/>
      </c>
      <c r="AW76" s="225" t="str">
        <f>IF(AND(J76&gt;0,ROWS($D$70:I75)&lt;&gt;COLUMNS($D$70:I75)),MAX($AQ76:AV76)+1,"")</f>
        <v/>
      </c>
      <c r="AX76" s="225" t="str">
        <f>IF(AND(K76&gt;0,ROWS($D$70:J75)&lt;&gt;COLUMNS($D$70:J75)),MAX($AQ76:AW76)+1,"")</f>
        <v/>
      </c>
      <c r="AY76" s="225" t="str">
        <f>IF(AND(L76&gt;0,ROWS($D$70:K75)&lt;&gt;COLUMNS($D$70:K75)),MAX($AQ76:AX76)+1,"")</f>
        <v/>
      </c>
      <c r="AZ76" s="225" t="str">
        <f>IF(AND(M76&gt;0,ROWS($D$70:L75)&lt;&gt;COLUMNS($D$70:L75)),MAX($AQ76:AY76)+1,"")</f>
        <v/>
      </c>
      <c r="BA76" s="350" t="str">
        <f>IF(AND(N76&gt;0,ROWS($D$70:M75)&lt;&gt;COLUMNS($D$70:M75)),MAX($AQ76:AZ76)+1,"")</f>
        <v/>
      </c>
      <c r="BB76" s="349" t="str">
        <f>IF(AND(O76&gt;0,ROWS($D$70:N75)&lt;&gt;COLUMNS($D$70:N75)),MAX($AQ76:BA76)+1,"")</f>
        <v/>
      </c>
      <c r="BC76" s="225" t="str">
        <f>IF(AND(P76&gt;0,ROWS($D$70:O75)&lt;&gt;COLUMNS($D$70:O75)),MAX($AQ76:BB76)+1,"")</f>
        <v/>
      </c>
      <c r="BD76" s="225" t="str">
        <f>IF(AND(Q76&gt;0,ROWS($D$70:P75)&lt;&gt;COLUMNS($D$70:P75)),MAX($AQ76:BC76)+1,"")</f>
        <v/>
      </c>
      <c r="BE76" s="225" t="str">
        <f>IF(AND(R76&gt;0,ROWS($D$70:Q75)&lt;&gt;COLUMNS($D$70:Q75)),MAX($AQ76:BD76)+1,"")</f>
        <v/>
      </c>
      <c r="BF76" s="225" t="str">
        <f>IF(AND(S76&gt;0,ROWS($D$70:R75)&lt;&gt;COLUMNS($D$70:R75)),MAX($AQ76:BE76)+1,"")</f>
        <v/>
      </c>
      <c r="BG76" s="225" t="str">
        <f>IF(AND(T76&gt;0,ROWS($D$70:S75)&lt;&gt;COLUMNS($D$70:S75)),MAX($AQ76:BF76)+1,"")</f>
        <v/>
      </c>
      <c r="BH76" s="225" t="str">
        <f>IF(AND(U76&gt;0,ROWS($D$70:T75)&lt;&gt;COLUMNS($D$70:T75)),MAX($AQ76:BG76)+1,"")</f>
        <v/>
      </c>
      <c r="BI76" s="225" t="str">
        <f>IF(AND(V76&gt;0,ROWS($D$70:U75)&lt;&gt;COLUMNS($D$70:U75)),MAX($AQ76:BH76)+1,"")</f>
        <v/>
      </c>
      <c r="BJ76" s="225" t="str">
        <f>IF(AND(W76&gt;0,ROWS($D$70:V75)&lt;&gt;COLUMNS($D$70:V75)),MAX($AQ76:BI76)+1,"")</f>
        <v/>
      </c>
      <c r="BK76" s="225" t="str">
        <f>IF(AND(X76&gt;0,ROWS($D$70:W75)&lt;&gt;COLUMNS($D$70:W75)),MAX($AQ76:BJ76)+1,"")</f>
        <v/>
      </c>
      <c r="BL76" s="225" t="str">
        <f>IF(AND(Y76&gt;0,ROWS($D$70:X75)&lt;&gt;COLUMNS($D$70:X75)),MAX($AQ76:BK76)+1,"")</f>
        <v/>
      </c>
      <c r="BM76" s="225" t="str">
        <f>IF(AND(Z76&gt;0,ROWS($D$70:Y75)&lt;&gt;COLUMNS($D$70:Y75)),MAX($AQ76:BL76)+1,"")</f>
        <v/>
      </c>
      <c r="BN76" s="225" t="str">
        <f>IF(AND(AA76&gt;0,ROWS($D$70:Z75)&lt;&gt;COLUMNS($D$70:Z75)),MAX($AQ76:BM76)+1,"")</f>
        <v/>
      </c>
      <c r="BO76" s="225" t="str">
        <f>IF(AND(AB76&gt;0,ROWS($D$70:AA75)&lt;&gt;COLUMNS($D$70:AA75)),MAX($AQ76:BN76)+1,"")</f>
        <v/>
      </c>
      <c r="BP76" s="225" t="str">
        <f>IF(AND(AC76&gt;0,ROWS($D$70:AB75)&lt;&gt;COLUMNS($D$70:AB75)),MAX($AQ76:BO76)+1,"")</f>
        <v/>
      </c>
      <c r="BQ76" s="225" t="str">
        <f>IF(AND(AD76&gt;0,ROWS($D$70:AC75)&lt;&gt;COLUMNS($D$70:AC75)),MAX($AQ76:BP76)+1,"")</f>
        <v/>
      </c>
      <c r="BR76" s="225" t="str">
        <f>IF(AND(AE76&gt;0,ROWS($D$70:AD75)&lt;&gt;COLUMNS($D$70:AD75)),MAX($AQ76:BQ76)+1,"")</f>
        <v/>
      </c>
      <c r="BS76" s="225" t="str">
        <f>IF(AND(AF76&gt;0,ROWS($D$70:AE75)&lt;&gt;COLUMNS($D$70:AE75)),MAX($AQ76:BR76)+1,"")</f>
        <v/>
      </c>
      <c r="BT76" s="225" t="str">
        <f>IF(AND(AG76&gt;0,ROWS($D$70:AF75)&lt;&gt;COLUMNS($D$70:AF75)),MAX($AQ76:BS76)+1,"")</f>
        <v/>
      </c>
      <c r="BU76" s="350" t="str">
        <f>IF(AND(AH76&gt;0,ROWS($D$70:AG75)&lt;&gt;COLUMNS($D$70:AG75)),MAX($AQ76:BT76)+1,"")</f>
        <v/>
      </c>
      <c r="BV76" s="226"/>
    </row>
    <row r="77" spans="2:74" ht="12.75" customHeight="1" x14ac:dyDescent="0.35">
      <c r="C77" s="223">
        <v>7</v>
      </c>
      <c r="D77" s="336" t="str">
        <f t="shared" si="10"/>
        <v/>
      </c>
      <c r="E77" s="331">
        <v>0</v>
      </c>
      <c r="F77" s="224">
        <v>0</v>
      </c>
      <c r="G77" s="224">
        <v>0</v>
      </c>
      <c r="H77" s="224">
        <v>0</v>
      </c>
      <c r="I77" s="224">
        <v>0</v>
      </c>
      <c r="J77" s="224">
        <v>0</v>
      </c>
      <c r="K77" s="224">
        <v>1</v>
      </c>
      <c r="L77" s="224">
        <v>0</v>
      </c>
      <c r="M77" s="224">
        <v>0</v>
      </c>
      <c r="N77" s="332">
        <v>0</v>
      </c>
      <c r="O77" s="331">
        <v>0</v>
      </c>
      <c r="P77" s="224">
        <v>0</v>
      </c>
      <c r="Q77" s="224">
        <v>0</v>
      </c>
      <c r="R77" s="224">
        <v>0</v>
      </c>
      <c r="S77" s="224">
        <v>0</v>
      </c>
      <c r="T77" s="224">
        <v>0</v>
      </c>
      <c r="U77" s="224">
        <v>0</v>
      </c>
      <c r="V77" s="224">
        <v>0</v>
      </c>
      <c r="W77" s="224">
        <v>0</v>
      </c>
      <c r="X77" s="224">
        <v>0</v>
      </c>
      <c r="Y77" s="224">
        <v>0</v>
      </c>
      <c r="Z77" s="224">
        <v>0</v>
      </c>
      <c r="AA77" s="224">
        <v>0</v>
      </c>
      <c r="AB77" s="224">
        <v>0</v>
      </c>
      <c r="AC77" s="224">
        <v>0</v>
      </c>
      <c r="AD77" s="224">
        <v>0</v>
      </c>
      <c r="AE77" s="224">
        <v>0</v>
      </c>
      <c r="AF77" s="224">
        <v>0</v>
      </c>
      <c r="AG77" s="224">
        <v>0</v>
      </c>
      <c r="AH77" s="332">
        <v>0</v>
      </c>
      <c r="AJ77" s="340">
        <f>IFERROR(SUMIF(D_Processes!S:S,CONST_CNTR_EmbedEmDir &amp; D77,D_Processes!T:T)/SUMIF(D_Processes!R:R,CONST_CNTR_TotProd &amp; D77,D_Processes!T:T),0)</f>
        <v>0</v>
      </c>
      <c r="AK77" s="341">
        <v>0</v>
      </c>
      <c r="AL77" s="344">
        <f>IFERROR(SUMIF(D_Processes!S:S,CONST_CNTR_EmbedEmInDir &amp; D77,D_Processes!T:T)/SUMIF(D_Processes!R:R,CONST_CNTR_TotProd &amp; D77,D_Processes!T:T),0)</f>
        <v>0</v>
      </c>
      <c r="AM77" s="341">
        <v>0</v>
      </c>
      <c r="AN77" s="344">
        <f>IFERROR(SUMIF(D_Processes!R:R,CONST_ElecConsumption &amp; D77,D_Processes!T:T)/SUMIF(D_Processes!R:R,CONST_CNTR_TotProd &amp; D77,D_Processes!T:T),0)</f>
        <v>0</v>
      </c>
      <c r="AO77" s="341">
        <v>0</v>
      </c>
      <c r="AR77" s="349" t="str">
        <f>IF(AND(E77&gt;0,ROWS($D$70:D76)&lt;&gt;COLUMNS($D$70:D76)),MAX($AQ77:AQ77)+1,"")</f>
        <v/>
      </c>
      <c r="AS77" s="225" t="str">
        <f>IF(AND(F77&gt;0,ROWS($D$70:E76)&lt;&gt;COLUMNS($D$70:E76)),MAX($AQ77:AR77)+1,"")</f>
        <v/>
      </c>
      <c r="AT77" s="225" t="str">
        <f>IF(AND(G77&gt;0,ROWS($D$70:F76)&lt;&gt;COLUMNS($D$70:F76)),MAX($AQ77:AS77)+1,"")</f>
        <v/>
      </c>
      <c r="AU77" s="225" t="str">
        <f>IF(AND(H77&gt;0,ROWS($D$70:G76)&lt;&gt;COLUMNS($D$70:G76)),MAX($AQ77:AT77)+1,"")</f>
        <v/>
      </c>
      <c r="AV77" s="225" t="str">
        <f>IF(AND(I77&gt;0,ROWS($D$70:H76)&lt;&gt;COLUMNS($D$70:H76)),MAX($AQ77:AU77)+1,"")</f>
        <v/>
      </c>
      <c r="AW77" s="225" t="str">
        <f>IF(AND(J77&gt;0,ROWS($D$70:I76)&lt;&gt;COLUMNS($D$70:I76)),MAX($AQ77:AV77)+1,"")</f>
        <v/>
      </c>
      <c r="AX77" s="225" t="str">
        <f>IF(AND(K77&gt;0,ROWS($D$70:J76)&lt;&gt;COLUMNS($D$70:J76)),MAX($AQ77:AW77)+1,"")</f>
        <v/>
      </c>
      <c r="AY77" s="225" t="str">
        <f>IF(AND(L77&gt;0,ROWS($D$70:K76)&lt;&gt;COLUMNS($D$70:K76)),MAX($AQ77:AX77)+1,"")</f>
        <v/>
      </c>
      <c r="AZ77" s="225" t="str">
        <f>IF(AND(M77&gt;0,ROWS($D$70:L76)&lt;&gt;COLUMNS($D$70:L76)),MAX($AQ77:AY77)+1,"")</f>
        <v/>
      </c>
      <c r="BA77" s="350" t="str">
        <f>IF(AND(N77&gt;0,ROWS($D$70:M76)&lt;&gt;COLUMNS($D$70:M76)),MAX($AQ77:AZ77)+1,"")</f>
        <v/>
      </c>
      <c r="BB77" s="349" t="str">
        <f>IF(AND(O77&gt;0,ROWS($D$70:N76)&lt;&gt;COLUMNS($D$70:N76)),MAX($AQ77:BA77)+1,"")</f>
        <v/>
      </c>
      <c r="BC77" s="225" t="str">
        <f>IF(AND(P77&gt;0,ROWS($D$70:O76)&lt;&gt;COLUMNS($D$70:O76)),MAX($AQ77:BB77)+1,"")</f>
        <v/>
      </c>
      <c r="BD77" s="225" t="str">
        <f>IF(AND(Q77&gt;0,ROWS($D$70:P76)&lt;&gt;COLUMNS($D$70:P76)),MAX($AQ77:BC77)+1,"")</f>
        <v/>
      </c>
      <c r="BE77" s="225" t="str">
        <f>IF(AND(R77&gt;0,ROWS($D$70:Q76)&lt;&gt;COLUMNS($D$70:Q76)),MAX($AQ77:BD77)+1,"")</f>
        <v/>
      </c>
      <c r="BF77" s="225" t="str">
        <f>IF(AND(S77&gt;0,ROWS($D$70:R76)&lt;&gt;COLUMNS($D$70:R76)),MAX($AQ77:BE77)+1,"")</f>
        <v/>
      </c>
      <c r="BG77" s="225" t="str">
        <f>IF(AND(T77&gt;0,ROWS($D$70:S76)&lt;&gt;COLUMNS($D$70:S76)),MAX($AQ77:BF77)+1,"")</f>
        <v/>
      </c>
      <c r="BH77" s="225" t="str">
        <f>IF(AND(U77&gt;0,ROWS($D$70:T76)&lt;&gt;COLUMNS($D$70:T76)),MAX($AQ77:BG77)+1,"")</f>
        <v/>
      </c>
      <c r="BI77" s="225" t="str">
        <f>IF(AND(V77&gt;0,ROWS($D$70:U76)&lt;&gt;COLUMNS($D$70:U76)),MAX($AQ77:BH77)+1,"")</f>
        <v/>
      </c>
      <c r="BJ77" s="225" t="str">
        <f>IF(AND(W77&gt;0,ROWS($D$70:V76)&lt;&gt;COLUMNS($D$70:V76)),MAX($AQ77:BI77)+1,"")</f>
        <v/>
      </c>
      <c r="BK77" s="225" t="str">
        <f>IF(AND(X77&gt;0,ROWS($D$70:W76)&lt;&gt;COLUMNS($D$70:W76)),MAX($AQ77:BJ77)+1,"")</f>
        <v/>
      </c>
      <c r="BL77" s="225" t="str">
        <f>IF(AND(Y77&gt;0,ROWS($D$70:X76)&lt;&gt;COLUMNS($D$70:X76)),MAX($AQ77:BK77)+1,"")</f>
        <v/>
      </c>
      <c r="BM77" s="225" t="str">
        <f>IF(AND(Z77&gt;0,ROWS($D$70:Y76)&lt;&gt;COLUMNS($D$70:Y76)),MAX($AQ77:BL77)+1,"")</f>
        <v/>
      </c>
      <c r="BN77" s="225" t="str">
        <f>IF(AND(AA77&gt;0,ROWS($D$70:Z76)&lt;&gt;COLUMNS($D$70:Z76)),MAX($AQ77:BM77)+1,"")</f>
        <v/>
      </c>
      <c r="BO77" s="225" t="str">
        <f>IF(AND(AB77&gt;0,ROWS($D$70:AA76)&lt;&gt;COLUMNS($D$70:AA76)),MAX($AQ77:BN77)+1,"")</f>
        <v/>
      </c>
      <c r="BP77" s="225" t="str">
        <f>IF(AND(AC77&gt;0,ROWS($D$70:AB76)&lt;&gt;COLUMNS($D$70:AB76)),MAX($AQ77:BO77)+1,"")</f>
        <v/>
      </c>
      <c r="BQ77" s="225" t="str">
        <f>IF(AND(AD77&gt;0,ROWS($D$70:AC76)&lt;&gt;COLUMNS($D$70:AC76)),MAX($AQ77:BP77)+1,"")</f>
        <v/>
      </c>
      <c r="BR77" s="225" t="str">
        <f>IF(AND(AE77&gt;0,ROWS($D$70:AD76)&lt;&gt;COLUMNS($D$70:AD76)),MAX($AQ77:BQ77)+1,"")</f>
        <v/>
      </c>
      <c r="BS77" s="225" t="str">
        <f>IF(AND(AF77&gt;0,ROWS($D$70:AE76)&lt;&gt;COLUMNS($D$70:AE76)),MAX($AQ77:BR77)+1,"")</f>
        <v/>
      </c>
      <c r="BT77" s="225" t="str">
        <f>IF(AND(AG77&gt;0,ROWS($D$70:AF76)&lt;&gt;COLUMNS($D$70:AF76)),MAX($AQ77:BS77)+1,"")</f>
        <v/>
      </c>
      <c r="BU77" s="350" t="str">
        <f>IF(AND(AH77&gt;0,ROWS($D$70:AG76)&lt;&gt;COLUMNS($D$70:AG76)),MAX($AQ77:BT77)+1,"")</f>
        <v/>
      </c>
      <c r="BV77" s="226"/>
    </row>
    <row r="78" spans="2:74" ht="12.75" customHeight="1" x14ac:dyDescent="0.35">
      <c r="C78" s="223">
        <v>8</v>
      </c>
      <c r="D78" s="336" t="str">
        <f t="shared" si="10"/>
        <v/>
      </c>
      <c r="E78" s="331">
        <v>0</v>
      </c>
      <c r="F78" s="224">
        <v>0</v>
      </c>
      <c r="G78" s="224">
        <v>0</v>
      </c>
      <c r="H78" s="224">
        <v>0</v>
      </c>
      <c r="I78" s="224">
        <v>0</v>
      </c>
      <c r="J78" s="224">
        <v>0</v>
      </c>
      <c r="K78" s="224">
        <v>0</v>
      </c>
      <c r="L78" s="224">
        <v>1</v>
      </c>
      <c r="M78" s="224">
        <v>0</v>
      </c>
      <c r="N78" s="332">
        <v>0</v>
      </c>
      <c r="O78" s="331">
        <v>0</v>
      </c>
      <c r="P78" s="224">
        <v>0</v>
      </c>
      <c r="Q78" s="224">
        <v>0</v>
      </c>
      <c r="R78" s="224">
        <v>0</v>
      </c>
      <c r="S78" s="224">
        <v>0</v>
      </c>
      <c r="T78" s="224">
        <v>0</v>
      </c>
      <c r="U78" s="224">
        <v>0</v>
      </c>
      <c r="V78" s="224">
        <v>0</v>
      </c>
      <c r="W78" s="224">
        <v>0</v>
      </c>
      <c r="X78" s="224">
        <v>0</v>
      </c>
      <c r="Y78" s="224">
        <v>0</v>
      </c>
      <c r="Z78" s="224">
        <v>0</v>
      </c>
      <c r="AA78" s="224">
        <v>0</v>
      </c>
      <c r="AB78" s="224">
        <v>0</v>
      </c>
      <c r="AC78" s="224">
        <v>0</v>
      </c>
      <c r="AD78" s="224">
        <v>0</v>
      </c>
      <c r="AE78" s="224">
        <v>0</v>
      </c>
      <c r="AF78" s="224">
        <v>0</v>
      </c>
      <c r="AG78" s="224">
        <v>0</v>
      </c>
      <c r="AH78" s="332">
        <v>0</v>
      </c>
      <c r="AJ78" s="340">
        <f>IFERROR(SUMIF(D_Processes!S:S,CONST_CNTR_EmbedEmDir &amp; D78,D_Processes!T:T)/SUMIF(D_Processes!R:R,CONST_CNTR_TotProd &amp; D78,D_Processes!T:T),0)</f>
        <v>0</v>
      </c>
      <c r="AK78" s="341">
        <v>0</v>
      </c>
      <c r="AL78" s="344">
        <f>IFERROR(SUMIF(D_Processes!S:S,CONST_CNTR_EmbedEmInDir &amp; D78,D_Processes!T:T)/SUMIF(D_Processes!R:R,CONST_CNTR_TotProd &amp; D78,D_Processes!T:T),0)</f>
        <v>0</v>
      </c>
      <c r="AM78" s="341">
        <v>0</v>
      </c>
      <c r="AN78" s="344">
        <f>IFERROR(SUMIF(D_Processes!R:R,CONST_ElecConsumption &amp; D78,D_Processes!T:T)/SUMIF(D_Processes!R:R,CONST_CNTR_TotProd &amp; D78,D_Processes!T:T),0)</f>
        <v>0</v>
      </c>
      <c r="AO78" s="341">
        <v>0</v>
      </c>
      <c r="AR78" s="349" t="str">
        <f>IF(AND(E78&gt;0,ROWS($D$70:D77)&lt;&gt;COLUMNS($D$70:D77)),MAX($AQ78:AQ78)+1,"")</f>
        <v/>
      </c>
      <c r="AS78" s="225" t="str">
        <f>IF(AND(F78&gt;0,ROWS($D$70:E77)&lt;&gt;COLUMNS($D$70:E77)),MAX($AQ78:AR78)+1,"")</f>
        <v/>
      </c>
      <c r="AT78" s="225" t="str">
        <f>IF(AND(G78&gt;0,ROWS($D$70:F77)&lt;&gt;COLUMNS($D$70:F77)),MAX($AQ78:AS78)+1,"")</f>
        <v/>
      </c>
      <c r="AU78" s="225" t="str">
        <f>IF(AND(H78&gt;0,ROWS($D$70:G77)&lt;&gt;COLUMNS($D$70:G77)),MAX($AQ78:AT78)+1,"")</f>
        <v/>
      </c>
      <c r="AV78" s="225" t="str">
        <f>IF(AND(I78&gt;0,ROWS($D$70:H77)&lt;&gt;COLUMNS($D$70:H77)),MAX($AQ78:AU78)+1,"")</f>
        <v/>
      </c>
      <c r="AW78" s="225" t="str">
        <f>IF(AND(J78&gt;0,ROWS($D$70:I77)&lt;&gt;COLUMNS($D$70:I77)),MAX($AQ78:AV78)+1,"")</f>
        <v/>
      </c>
      <c r="AX78" s="225" t="str">
        <f>IF(AND(K78&gt;0,ROWS($D$70:J77)&lt;&gt;COLUMNS($D$70:J77)),MAX($AQ78:AW78)+1,"")</f>
        <v/>
      </c>
      <c r="AY78" s="225" t="str">
        <f>IF(AND(L78&gt;0,ROWS($D$70:K77)&lt;&gt;COLUMNS($D$70:K77)),MAX($AQ78:AX78)+1,"")</f>
        <v/>
      </c>
      <c r="AZ78" s="225" t="str">
        <f>IF(AND(M78&gt;0,ROWS($D$70:L77)&lt;&gt;COLUMNS($D$70:L77)),MAX($AQ78:AY78)+1,"")</f>
        <v/>
      </c>
      <c r="BA78" s="350" t="str">
        <f>IF(AND(N78&gt;0,ROWS($D$70:M77)&lt;&gt;COLUMNS($D$70:M77)),MAX($AQ78:AZ78)+1,"")</f>
        <v/>
      </c>
      <c r="BB78" s="349" t="str">
        <f>IF(AND(O78&gt;0,ROWS($D$70:N77)&lt;&gt;COLUMNS($D$70:N77)),MAX($AQ78:BA78)+1,"")</f>
        <v/>
      </c>
      <c r="BC78" s="225" t="str">
        <f>IF(AND(P78&gt;0,ROWS($D$70:O77)&lt;&gt;COLUMNS($D$70:O77)),MAX($AQ78:BB78)+1,"")</f>
        <v/>
      </c>
      <c r="BD78" s="225" t="str">
        <f>IF(AND(Q78&gt;0,ROWS($D$70:P77)&lt;&gt;COLUMNS($D$70:P77)),MAX($AQ78:BC78)+1,"")</f>
        <v/>
      </c>
      <c r="BE78" s="225" t="str">
        <f>IF(AND(R78&gt;0,ROWS($D$70:Q77)&lt;&gt;COLUMNS($D$70:Q77)),MAX($AQ78:BD78)+1,"")</f>
        <v/>
      </c>
      <c r="BF78" s="225" t="str">
        <f>IF(AND(S78&gt;0,ROWS($D$70:R77)&lt;&gt;COLUMNS($D$70:R77)),MAX($AQ78:BE78)+1,"")</f>
        <v/>
      </c>
      <c r="BG78" s="225" t="str">
        <f>IF(AND(T78&gt;0,ROWS($D$70:S77)&lt;&gt;COLUMNS($D$70:S77)),MAX($AQ78:BF78)+1,"")</f>
        <v/>
      </c>
      <c r="BH78" s="225" t="str">
        <f>IF(AND(U78&gt;0,ROWS($D$70:T77)&lt;&gt;COLUMNS($D$70:T77)),MAX($AQ78:BG78)+1,"")</f>
        <v/>
      </c>
      <c r="BI78" s="225" t="str">
        <f>IF(AND(V78&gt;0,ROWS($D$70:U77)&lt;&gt;COLUMNS($D$70:U77)),MAX($AQ78:BH78)+1,"")</f>
        <v/>
      </c>
      <c r="BJ78" s="225" t="str">
        <f>IF(AND(W78&gt;0,ROWS($D$70:V77)&lt;&gt;COLUMNS($D$70:V77)),MAX($AQ78:BI78)+1,"")</f>
        <v/>
      </c>
      <c r="BK78" s="225" t="str">
        <f>IF(AND(X78&gt;0,ROWS($D$70:W77)&lt;&gt;COLUMNS($D$70:W77)),MAX($AQ78:BJ78)+1,"")</f>
        <v/>
      </c>
      <c r="BL78" s="225" t="str">
        <f>IF(AND(Y78&gt;0,ROWS($D$70:X77)&lt;&gt;COLUMNS($D$70:X77)),MAX($AQ78:BK78)+1,"")</f>
        <v/>
      </c>
      <c r="BM78" s="225" t="str">
        <f>IF(AND(Z78&gt;0,ROWS($D$70:Y77)&lt;&gt;COLUMNS($D$70:Y77)),MAX($AQ78:BL78)+1,"")</f>
        <v/>
      </c>
      <c r="BN78" s="225" t="str">
        <f>IF(AND(AA78&gt;0,ROWS($D$70:Z77)&lt;&gt;COLUMNS($D$70:Z77)),MAX($AQ78:BM78)+1,"")</f>
        <v/>
      </c>
      <c r="BO78" s="225" t="str">
        <f>IF(AND(AB78&gt;0,ROWS($D$70:AA77)&lt;&gt;COLUMNS($D$70:AA77)),MAX($AQ78:BN78)+1,"")</f>
        <v/>
      </c>
      <c r="BP78" s="225" t="str">
        <f>IF(AND(AC78&gt;0,ROWS($D$70:AB77)&lt;&gt;COLUMNS($D$70:AB77)),MAX($AQ78:BO78)+1,"")</f>
        <v/>
      </c>
      <c r="BQ78" s="225" t="str">
        <f>IF(AND(AD78&gt;0,ROWS($D$70:AC77)&lt;&gt;COLUMNS($D$70:AC77)),MAX($AQ78:BP78)+1,"")</f>
        <v/>
      </c>
      <c r="BR78" s="225" t="str">
        <f>IF(AND(AE78&gt;0,ROWS($D$70:AD77)&lt;&gt;COLUMNS($D$70:AD77)),MAX($AQ78:BQ78)+1,"")</f>
        <v/>
      </c>
      <c r="BS78" s="225" t="str">
        <f>IF(AND(AF78&gt;0,ROWS($D$70:AE77)&lt;&gt;COLUMNS($D$70:AE77)),MAX($AQ78:BR78)+1,"")</f>
        <v/>
      </c>
      <c r="BT78" s="225" t="str">
        <f>IF(AND(AG78&gt;0,ROWS($D$70:AF77)&lt;&gt;COLUMNS($D$70:AF77)),MAX($AQ78:BS78)+1,"")</f>
        <v/>
      </c>
      <c r="BU78" s="350" t="str">
        <f>IF(AND(AH78&gt;0,ROWS($D$70:AG77)&lt;&gt;COLUMNS($D$70:AG77)),MAX($AQ78:BT78)+1,"")</f>
        <v/>
      </c>
      <c r="BV78" s="226"/>
    </row>
    <row r="79" spans="2:74" ht="12.75" customHeight="1" x14ac:dyDescent="0.35">
      <c r="C79" s="223">
        <v>9</v>
      </c>
      <c r="D79" s="336" t="str">
        <f t="shared" si="10"/>
        <v/>
      </c>
      <c r="E79" s="331">
        <v>0</v>
      </c>
      <c r="F79" s="224">
        <v>0</v>
      </c>
      <c r="G79" s="224">
        <v>0</v>
      </c>
      <c r="H79" s="224">
        <v>0</v>
      </c>
      <c r="I79" s="224">
        <v>0</v>
      </c>
      <c r="J79" s="224">
        <v>0</v>
      </c>
      <c r="K79" s="224">
        <v>0</v>
      </c>
      <c r="L79" s="224">
        <v>0</v>
      </c>
      <c r="M79" s="224">
        <v>1</v>
      </c>
      <c r="N79" s="332">
        <v>0</v>
      </c>
      <c r="O79" s="331">
        <v>0</v>
      </c>
      <c r="P79" s="224">
        <v>0</v>
      </c>
      <c r="Q79" s="224">
        <v>0</v>
      </c>
      <c r="R79" s="224">
        <v>0</v>
      </c>
      <c r="S79" s="224">
        <v>0</v>
      </c>
      <c r="T79" s="224">
        <v>0</v>
      </c>
      <c r="U79" s="224">
        <v>0</v>
      </c>
      <c r="V79" s="224">
        <v>0</v>
      </c>
      <c r="W79" s="224">
        <v>0</v>
      </c>
      <c r="X79" s="224">
        <v>0</v>
      </c>
      <c r="Y79" s="224">
        <v>0</v>
      </c>
      <c r="Z79" s="224">
        <v>0</v>
      </c>
      <c r="AA79" s="224">
        <v>0</v>
      </c>
      <c r="AB79" s="224">
        <v>0</v>
      </c>
      <c r="AC79" s="224">
        <v>0</v>
      </c>
      <c r="AD79" s="224">
        <v>0</v>
      </c>
      <c r="AE79" s="224">
        <v>0</v>
      </c>
      <c r="AF79" s="224">
        <v>0</v>
      </c>
      <c r="AG79" s="224">
        <v>0</v>
      </c>
      <c r="AH79" s="332">
        <v>0</v>
      </c>
      <c r="AJ79" s="340">
        <f>IFERROR(SUMIF(D_Processes!S:S,CONST_CNTR_EmbedEmDir &amp; D79,D_Processes!T:T)/SUMIF(D_Processes!R:R,CONST_CNTR_TotProd &amp; D79,D_Processes!T:T),0)</f>
        <v>0</v>
      </c>
      <c r="AK79" s="341">
        <v>0</v>
      </c>
      <c r="AL79" s="344">
        <f>IFERROR(SUMIF(D_Processes!S:S,CONST_CNTR_EmbedEmInDir &amp; D79,D_Processes!T:T)/SUMIF(D_Processes!R:R,CONST_CNTR_TotProd &amp; D79,D_Processes!T:T),0)</f>
        <v>0</v>
      </c>
      <c r="AM79" s="341">
        <v>0</v>
      </c>
      <c r="AN79" s="344">
        <f>IFERROR(SUMIF(D_Processes!R:R,CONST_ElecConsumption &amp; D79,D_Processes!T:T)/SUMIF(D_Processes!R:R,CONST_CNTR_TotProd &amp; D79,D_Processes!T:T),0)</f>
        <v>0</v>
      </c>
      <c r="AO79" s="341">
        <v>0</v>
      </c>
      <c r="AR79" s="349" t="str">
        <f>IF(AND(E79&gt;0,ROWS($D$70:D78)&lt;&gt;COLUMNS($D$70:D78)),MAX($AQ79:AQ79)+1,"")</f>
        <v/>
      </c>
      <c r="AS79" s="225" t="str">
        <f>IF(AND(F79&gt;0,ROWS($D$70:E78)&lt;&gt;COLUMNS($D$70:E78)),MAX($AQ79:AR79)+1,"")</f>
        <v/>
      </c>
      <c r="AT79" s="225" t="str">
        <f>IF(AND(G79&gt;0,ROWS($D$70:F78)&lt;&gt;COLUMNS($D$70:F78)),MAX($AQ79:AS79)+1,"")</f>
        <v/>
      </c>
      <c r="AU79" s="225" t="str">
        <f>IF(AND(H79&gt;0,ROWS($D$70:G78)&lt;&gt;COLUMNS($D$70:G78)),MAX($AQ79:AT79)+1,"")</f>
        <v/>
      </c>
      <c r="AV79" s="225" t="str">
        <f>IF(AND(I79&gt;0,ROWS($D$70:H78)&lt;&gt;COLUMNS($D$70:H78)),MAX($AQ79:AU79)+1,"")</f>
        <v/>
      </c>
      <c r="AW79" s="225" t="str">
        <f>IF(AND(J79&gt;0,ROWS($D$70:I78)&lt;&gt;COLUMNS($D$70:I78)),MAX($AQ79:AV79)+1,"")</f>
        <v/>
      </c>
      <c r="AX79" s="225" t="str">
        <f>IF(AND(K79&gt;0,ROWS($D$70:J78)&lt;&gt;COLUMNS($D$70:J78)),MAX($AQ79:AW79)+1,"")</f>
        <v/>
      </c>
      <c r="AY79" s="225" t="str">
        <f>IF(AND(L79&gt;0,ROWS($D$70:K78)&lt;&gt;COLUMNS($D$70:K78)),MAX($AQ79:AX79)+1,"")</f>
        <v/>
      </c>
      <c r="AZ79" s="225" t="str">
        <f>IF(AND(M79&gt;0,ROWS($D$70:L78)&lt;&gt;COLUMNS($D$70:L78)),MAX($AQ79:AY79)+1,"")</f>
        <v/>
      </c>
      <c r="BA79" s="350" t="str">
        <f>IF(AND(N79&gt;0,ROWS($D$70:M78)&lt;&gt;COLUMNS($D$70:M78)),MAX($AQ79:AZ79)+1,"")</f>
        <v/>
      </c>
      <c r="BB79" s="349" t="str">
        <f>IF(AND(O79&gt;0,ROWS($D$70:N78)&lt;&gt;COLUMNS($D$70:N78)),MAX($AQ79:BA79)+1,"")</f>
        <v/>
      </c>
      <c r="BC79" s="225" t="str">
        <f>IF(AND(P79&gt;0,ROWS($D$70:O78)&lt;&gt;COLUMNS($D$70:O78)),MAX($AQ79:BB79)+1,"")</f>
        <v/>
      </c>
      <c r="BD79" s="225" t="str">
        <f>IF(AND(Q79&gt;0,ROWS($D$70:P78)&lt;&gt;COLUMNS($D$70:P78)),MAX($AQ79:BC79)+1,"")</f>
        <v/>
      </c>
      <c r="BE79" s="225" t="str">
        <f>IF(AND(R79&gt;0,ROWS($D$70:Q78)&lt;&gt;COLUMNS($D$70:Q78)),MAX($AQ79:BD79)+1,"")</f>
        <v/>
      </c>
      <c r="BF79" s="225" t="str">
        <f>IF(AND(S79&gt;0,ROWS($D$70:R78)&lt;&gt;COLUMNS($D$70:R78)),MAX($AQ79:BE79)+1,"")</f>
        <v/>
      </c>
      <c r="BG79" s="225" t="str">
        <f>IF(AND(T79&gt;0,ROWS($D$70:S78)&lt;&gt;COLUMNS($D$70:S78)),MAX($AQ79:BF79)+1,"")</f>
        <v/>
      </c>
      <c r="BH79" s="225" t="str">
        <f>IF(AND(U79&gt;0,ROWS($D$70:T78)&lt;&gt;COLUMNS($D$70:T78)),MAX($AQ79:BG79)+1,"")</f>
        <v/>
      </c>
      <c r="BI79" s="225" t="str">
        <f>IF(AND(V79&gt;0,ROWS($D$70:U78)&lt;&gt;COLUMNS($D$70:U78)),MAX($AQ79:BH79)+1,"")</f>
        <v/>
      </c>
      <c r="BJ79" s="225" t="str">
        <f>IF(AND(W79&gt;0,ROWS($D$70:V78)&lt;&gt;COLUMNS($D$70:V78)),MAX($AQ79:BI79)+1,"")</f>
        <v/>
      </c>
      <c r="BK79" s="225" t="str">
        <f>IF(AND(X79&gt;0,ROWS($D$70:W78)&lt;&gt;COLUMNS($D$70:W78)),MAX($AQ79:BJ79)+1,"")</f>
        <v/>
      </c>
      <c r="BL79" s="225" t="str">
        <f>IF(AND(Y79&gt;0,ROWS($D$70:X78)&lt;&gt;COLUMNS($D$70:X78)),MAX($AQ79:BK79)+1,"")</f>
        <v/>
      </c>
      <c r="BM79" s="225" t="str">
        <f>IF(AND(Z79&gt;0,ROWS($D$70:Y78)&lt;&gt;COLUMNS($D$70:Y78)),MAX($AQ79:BL79)+1,"")</f>
        <v/>
      </c>
      <c r="BN79" s="225" t="str">
        <f>IF(AND(AA79&gt;0,ROWS($D$70:Z78)&lt;&gt;COLUMNS($D$70:Z78)),MAX($AQ79:BM79)+1,"")</f>
        <v/>
      </c>
      <c r="BO79" s="225" t="str">
        <f>IF(AND(AB79&gt;0,ROWS($D$70:AA78)&lt;&gt;COLUMNS($D$70:AA78)),MAX($AQ79:BN79)+1,"")</f>
        <v/>
      </c>
      <c r="BP79" s="225" t="str">
        <f>IF(AND(AC79&gt;0,ROWS($D$70:AB78)&lt;&gt;COLUMNS($D$70:AB78)),MAX($AQ79:BO79)+1,"")</f>
        <v/>
      </c>
      <c r="BQ79" s="225" t="str">
        <f>IF(AND(AD79&gt;0,ROWS($D$70:AC78)&lt;&gt;COLUMNS($D$70:AC78)),MAX($AQ79:BP79)+1,"")</f>
        <v/>
      </c>
      <c r="BR79" s="225" t="str">
        <f>IF(AND(AE79&gt;0,ROWS($D$70:AD78)&lt;&gt;COLUMNS($D$70:AD78)),MAX($AQ79:BQ79)+1,"")</f>
        <v/>
      </c>
      <c r="BS79" s="225" t="str">
        <f>IF(AND(AF79&gt;0,ROWS($D$70:AE78)&lt;&gt;COLUMNS($D$70:AE78)),MAX($AQ79:BR79)+1,"")</f>
        <v/>
      </c>
      <c r="BT79" s="225" t="str">
        <f>IF(AND(AG79&gt;0,ROWS($D$70:AF78)&lt;&gt;COLUMNS($D$70:AF78)),MAX($AQ79:BS79)+1,"")</f>
        <v/>
      </c>
      <c r="BU79" s="350" t="str">
        <f>IF(AND(AH79&gt;0,ROWS($D$70:AG78)&lt;&gt;COLUMNS($D$70:AG78)),MAX($AQ79:BT79)+1,"")</f>
        <v/>
      </c>
      <c r="BV79" s="226"/>
    </row>
    <row r="80" spans="2:74" ht="12.75" customHeight="1" thickBot="1" x14ac:dyDescent="0.4">
      <c r="C80" s="223">
        <v>10</v>
      </c>
      <c r="D80" s="393" t="str">
        <f t="shared" si="10"/>
        <v/>
      </c>
      <c r="E80" s="394">
        <v>0</v>
      </c>
      <c r="F80" s="395">
        <v>0</v>
      </c>
      <c r="G80" s="395">
        <v>0</v>
      </c>
      <c r="H80" s="395">
        <v>0</v>
      </c>
      <c r="I80" s="395">
        <v>0</v>
      </c>
      <c r="J80" s="395">
        <v>0</v>
      </c>
      <c r="K80" s="395">
        <v>0</v>
      </c>
      <c r="L80" s="395">
        <v>0</v>
      </c>
      <c r="M80" s="395">
        <v>0</v>
      </c>
      <c r="N80" s="396">
        <v>1</v>
      </c>
      <c r="O80" s="394">
        <v>0</v>
      </c>
      <c r="P80" s="395">
        <v>0</v>
      </c>
      <c r="Q80" s="395">
        <v>0</v>
      </c>
      <c r="R80" s="395">
        <v>0</v>
      </c>
      <c r="S80" s="395">
        <v>0</v>
      </c>
      <c r="T80" s="395">
        <v>0</v>
      </c>
      <c r="U80" s="395">
        <v>0</v>
      </c>
      <c r="V80" s="395">
        <v>0</v>
      </c>
      <c r="W80" s="395">
        <v>0</v>
      </c>
      <c r="X80" s="395">
        <v>0</v>
      </c>
      <c r="Y80" s="395">
        <v>0</v>
      </c>
      <c r="Z80" s="395">
        <v>0</v>
      </c>
      <c r="AA80" s="395">
        <v>0</v>
      </c>
      <c r="AB80" s="395">
        <v>0</v>
      </c>
      <c r="AC80" s="395">
        <v>0</v>
      </c>
      <c r="AD80" s="395">
        <v>0</v>
      </c>
      <c r="AE80" s="395">
        <v>0</v>
      </c>
      <c r="AF80" s="395">
        <v>0</v>
      </c>
      <c r="AG80" s="395">
        <v>0</v>
      </c>
      <c r="AH80" s="396">
        <v>0</v>
      </c>
      <c r="AJ80" s="387">
        <f>IFERROR(SUMIF(D_Processes!S:S,CONST_CNTR_EmbedEmDir &amp; D80,D_Processes!T:T)/SUMIF(D_Processes!R:R,CONST_CNTR_TotProd &amp; D80,D_Processes!T:T),0)</f>
        <v>0</v>
      </c>
      <c r="AK80" s="388">
        <v>0</v>
      </c>
      <c r="AL80" s="389">
        <f>IFERROR(SUMIF(D_Processes!S:S,CONST_CNTR_EmbedEmInDir &amp; D80,D_Processes!T:T)/SUMIF(D_Processes!R:R,CONST_CNTR_TotProd &amp; D80,D_Processes!T:T),0)</f>
        <v>0</v>
      </c>
      <c r="AM80" s="388">
        <v>0</v>
      </c>
      <c r="AN80" s="389">
        <f>IFERROR(SUMIF(D_Processes!R:R,CONST_ElecConsumption &amp; D80,D_Processes!T:T)/SUMIF(D_Processes!R:R,CONST_CNTR_TotProd &amp; D80,D_Processes!T:T),0)</f>
        <v>0</v>
      </c>
      <c r="AO80" s="388">
        <v>0</v>
      </c>
      <c r="AR80" s="349" t="str">
        <f>IF(AND(E80&gt;0,ROWS($D$70:D79)&lt;&gt;COLUMNS($D$70:D79)),MAX($AQ80:AQ80)+1,"")</f>
        <v/>
      </c>
      <c r="AS80" s="225" t="str">
        <f>IF(AND(F80&gt;0,ROWS($D$70:E79)&lt;&gt;COLUMNS($D$70:E79)),MAX($AQ80:AR80)+1,"")</f>
        <v/>
      </c>
      <c r="AT80" s="225" t="str">
        <f>IF(AND(G80&gt;0,ROWS($D$70:F79)&lt;&gt;COLUMNS($D$70:F79)),MAX($AQ80:AS80)+1,"")</f>
        <v/>
      </c>
      <c r="AU80" s="225" t="str">
        <f>IF(AND(H80&gt;0,ROWS($D$70:G79)&lt;&gt;COLUMNS($D$70:G79)),MAX($AQ80:AT80)+1,"")</f>
        <v/>
      </c>
      <c r="AV80" s="225" t="str">
        <f>IF(AND(I80&gt;0,ROWS($D$70:H79)&lt;&gt;COLUMNS($D$70:H79)),MAX($AQ80:AU80)+1,"")</f>
        <v/>
      </c>
      <c r="AW80" s="225" t="str">
        <f>IF(AND(J80&gt;0,ROWS($D$70:I79)&lt;&gt;COLUMNS($D$70:I79)),MAX($AQ80:AV80)+1,"")</f>
        <v/>
      </c>
      <c r="AX80" s="225" t="str">
        <f>IF(AND(K80&gt;0,ROWS($D$70:J79)&lt;&gt;COLUMNS($D$70:J79)),MAX($AQ80:AW80)+1,"")</f>
        <v/>
      </c>
      <c r="AY80" s="225" t="str">
        <f>IF(AND(L80&gt;0,ROWS($D$70:K79)&lt;&gt;COLUMNS($D$70:K79)),MAX($AQ80:AX80)+1,"")</f>
        <v/>
      </c>
      <c r="AZ80" s="225" t="str">
        <f>IF(AND(M80&gt;0,ROWS($D$70:L79)&lt;&gt;COLUMNS($D$70:L79)),MAX($AQ80:AY80)+1,"")</f>
        <v/>
      </c>
      <c r="BA80" s="350" t="str">
        <f>IF(AND(N80&gt;0,ROWS($D$70:M79)&lt;&gt;COLUMNS($D$70:M79)),MAX($AQ80:AZ80)+1,"")</f>
        <v/>
      </c>
      <c r="BB80" s="349" t="str">
        <f>IF(AND(O80&gt;0,ROWS($D$70:N79)&lt;&gt;COLUMNS($D$70:N79)),MAX($AQ80:BA80)+1,"")</f>
        <v/>
      </c>
      <c r="BC80" s="225" t="str">
        <f>IF(AND(P80&gt;0,ROWS($D$70:O79)&lt;&gt;COLUMNS($D$70:O79)),MAX($AQ80:BB80)+1,"")</f>
        <v/>
      </c>
      <c r="BD80" s="225" t="str">
        <f>IF(AND(Q80&gt;0,ROWS($D$70:P79)&lt;&gt;COLUMNS($D$70:P79)),MAX($AQ80:BC80)+1,"")</f>
        <v/>
      </c>
      <c r="BE80" s="225" t="str">
        <f>IF(AND(R80&gt;0,ROWS($D$70:Q79)&lt;&gt;COLUMNS($D$70:Q79)),MAX($AQ80:BD80)+1,"")</f>
        <v/>
      </c>
      <c r="BF80" s="225" t="str">
        <f>IF(AND(S80&gt;0,ROWS($D$70:R79)&lt;&gt;COLUMNS($D$70:R79)),MAX($AQ80:BE80)+1,"")</f>
        <v/>
      </c>
      <c r="BG80" s="225" t="str">
        <f>IF(AND(T80&gt;0,ROWS($D$70:S79)&lt;&gt;COLUMNS($D$70:S79)),MAX($AQ80:BF80)+1,"")</f>
        <v/>
      </c>
      <c r="BH80" s="225" t="str">
        <f>IF(AND(U80&gt;0,ROWS($D$70:T79)&lt;&gt;COLUMNS($D$70:T79)),MAX($AQ80:BG80)+1,"")</f>
        <v/>
      </c>
      <c r="BI80" s="225" t="str">
        <f>IF(AND(V80&gt;0,ROWS($D$70:U79)&lt;&gt;COLUMNS($D$70:U79)),MAX($AQ80:BH80)+1,"")</f>
        <v/>
      </c>
      <c r="BJ80" s="225" t="str">
        <f>IF(AND(W80&gt;0,ROWS($D$70:V79)&lt;&gt;COLUMNS($D$70:V79)),MAX($AQ80:BI80)+1,"")</f>
        <v/>
      </c>
      <c r="BK80" s="225" t="str">
        <f>IF(AND(X80&gt;0,ROWS($D$70:W79)&lt;&gt;COLUMNS($D$70:W79)),MAX($AQ80:BJ80)+1,"")</f>
        <v/>
      </c>
      <c r="BL80" s="225" t="str">
        <f>IF(AND(Y80&gt;0,ROWS($D$70:X79)&lt;&gt;COLUMNS($D$70:X79)),MAX($AQ80:BK80)+1,"")</f>
        <v/>
      </c>
      <c r="BM80" s="225" t="str">
        <f>IF(AND(Z80&gt;0,ROWS($D$70:Y79)&lt;&gt;COLUMNS($D$70:Y79)),MAX($AQ80:BL80)+1,"")</f>
        <v/>
      </c>
      <c r="BN80" s="225" t="str">
        <f>IF(AND(AA80&gt;0,ROWS($D$70:Z79)&lt;&gt;COLUMNS($D$70:Z79)),MAX($AQ80:BM80)+1,"")</f>
        <v/>
      </c>
      <c r="BO80" s="225" t="str">
        <f>IF(AND(AB80&gt;0,ROWS($D$70:AA79)&lt;&gt;COLUMNS($D$70:AA79)),MAX($AQ80:BN80)+1,"")</f>
        <v/>
      </c>
      <c r="BP80" s="225" t="str">
        <f>IF(AND(AC80&gt;0,ROWS($D$70:AB79)&lt;&gt;COLUMNS($D$70:AB79)),MAX($AQ80:BO80)+1,"")</f>
        <v/>
      </c>
      <c r="BQ80" s="225" t="str">
        <f>IF(AND(AD80&gt;0,ROWS($D$70:AC79)&lt;&gt;COLUMNS($D$70:AC79)),MAX($AQ80:BP80)+1,"")</f>
        <v/>
      </c>
      <c r="BR80" s="225" t="str">
        <f>IF(AND(AE80&gt;0,ROWS($D$70:AD79)&lt;&gt;COLUMNS($D$70:AD79)),MAX($AQ80:BQ80)+1,"")</f>
        <v/>
      </c>
      <c r="BS80" s="225" t="str">
        <f>IF(AND(AF80&gt;0,ROWS($D$70:AE79)&lt;&gt;COLUMNS($D$70:AE79)),MAX($AQ80:BR80)+1,"")</f>
        <v/>
      </c>
      <c r="BT80" s="225" t="str">
        <f>IF(AND(AG80&gt;0,ROWS($D$70:AF79)&lt;&gt;COLUMNS($D$70:AF79)),MAX($AQ80:BS80)+1,"")</f>
        <v/>
      </c>
      <c r="BU80" s="350" t="str">
        <f>IF(AND(AH80&gt;0,ROWS($D$70:AG79)&lt;&gt;COLUMNS($D$70:AG79)),MAX($AQ80:BT80)+1,"")</f>
        <v/>
      </c>
      <c r="BV80" s="226"/>
    </row>
    <row r="81" spans="2:74" ht="12.75" customHeight="1" x14ac:dyDescent="0.35">
      <c r="B81" s="218" t="s">
        <v>589</v>
      </c>
      <c r="C81" s="223">
        <v>1</v>
      </c>
      <c r="D81" s="397" t="str">
        <f t="shared" ref="D81:D100" si="11">D17</f>
        <v/>
      </c>
      <c r="E81" s="398">
        <v>0</v>
      </c>
      <c r="F81" s="399">
        <v>0</v>
      </c>
      <c r="G81" s="399">
        <v>0</v>
      </c>
      <c r="H81" s="399">
        <v>0</v>
      </c>
      <c r="I81" s="399">
        <v>0</v>
      </c>
      <c r="J81" s="399">
        <v>0</v>
      </c>
      <c r="K81" s="399">
        <v>0</v>
      </c>
      <c r="L81" s="399">
        <v>0</v>
      </c>
      <c r="M81" s="399">
        <v>0</v>
      </c>
      <c r="N81" s="400">
        <v>0</v>
      </c>
      <c r="O81" s="398">
        <v>1</v>
      </c>
      <c r="P81" s="399">
        <v>0</v>
      </c>
      <c r="Q81" s="399">
        <v>0</v>
      </c>
      <c r="R81" s="399">
        <v>0</v>
      </c>
      <c r="S81" s="399">
        <v>0</v>
      </c>
      <c r="T81" s="399">
        <v>0</v>
      </c>
      <c r="U81" s="399">
        <v>0</v>
      </c>
      <c r="V81" s="399">
        <v>0</v>
      </c>
      <c r="W81" s="399">
        <v>0</v>
      </c>
      <c r="X81" s="399">
        <v>0</v>
      </c>
      <c r="Y81" s="399">
        <v>0</v>
      </c>
      <c r="Z81" s="399">
        <v>0</v>
      </c>
      <c r="AA81" s="399">
        <v>0</v>
      </c>
      <c r="AB81" s="399">
        <v>0</v>
      </c>
      <c r="AC81" s="399">
        <v>0</v>
      </c>
      <c r="AD81" s="399">
        <v>0</v>
      </c>
      <c r="AE81" s="399">
        <v>0</v>
      </c>
      <c r="AF81" s="399">
        <v>0</v>
      </c>
      <c r="AG81" s="399">
        <v>0</v>
      </c>
      <c r="AH81" s="400">
        <v>0</v>
      </c>
      <c r="AJ81" s="390">
        <f>IFERROR(SUMIF(E_PurchPrec!S:S,CONST_CNTR_EmbedEmDir &amp; D81,E_PurchPrec!T:T)/SUMIF(E_PurchPrec!R:R,CONST_CNTR_TotProd &amp; D81,E_PurchPrec!T:T),0)</f>
        <v>0</v>
      </c>
      <c r="AK81" s="391">
        <v>0</v>
      </c>
      <c r="AL81" s="392">
        <f>IFERROR(SUMIF(E_PurchPrec!S:S,CONST_CNTR_EmbedEmInDir &amp; D81,E_PurchPrec!T:T)/SUMIF(E_PurchPrec!R:R,CONST_CNTR_TotProd &amp; D81,E_PurchPrec!T:T),0)</f>
        <v>0</v>
      </c>
      <c r="AM81" s="391">
        <v>0</v>
      </c>
      <c r="AN81" s="392">
        <f>IFERROR(SUMIF(E_PurchPrec!R:R,CONST_ElecConsumption &amp; D81,E_PurchPrec!T:T)/SUMIF(E_PurchPrec!R:R,CONST_CNTR_TotProd &amp; D81,E_PurchPrec!T:T),0)</f>
        <v>0</v>
      </c>
      <c r="AO81" s="391">
        <v>0</v>
      </c>
      <c r="AR81" s="349" t="str">
        <f>IF(AND(E81&gt;0,ROWS($D$70:D80)&lt;&gt;COLUMNS($D$70:D80)),MAX($AQ81:AQ81)+1,"")</f>
        <v/>
      </c>
      <c r="AS81" s="225" t="str">
        <f>IF(AND(F81&gt;0,ROWS($D$70:E80)&lt;&gt;COLUMNS($D$70:E80)),MAX($AQ81:AR81)+1,"")</f>
        <v/>
      </c>
      <c r="AT81" s="225" t="str">
        <f>IF(AND(G81&gt;0,ROWS($D$70:F80)&lt;&gt;COLUMNS($D$70:F80)),MAX($AQ81:AS81)+1,"")</f>
        <v/>
      </c>
      <c r="AU81" s="225" t="str">
        <f>IF(AND(H81&gt;0,ROWS($D$70:G80)&lt;&gt;COLUMNS($D$70:G80)),MAX($AQ81:AT81)+1,"")</f>
        <v/>
      </c>
      <c r="AV81" s="225" t="str">
        <f>IF(AND(I81&gt;0,ROWS($D$70:H80)&lt;&gt;COLUMNS($D$70:H80)),MAX($AQ81:AU81)+1,"")</f>
        <v/>
      </c>
      <c r="AW81" s="225" t="str">
        <f>IF(AND(J81&gt;0,ROWS($D$70:I80)&lt;&gt;COLUMNS($D$70:I80)),MAX($AQ81:AV81)+1,"")</f>
        <v/>
      </c>
      <c r="AX81" s="225" t="str">
        <f>IF(AND(K81&gt;0,ROWS($D$70:J80)&lt;&gt;COLUMNS($D$70:J80)),MAX($AQ81:AW81)+1,"")</f>
        <v/>
      </c>
      <c r="AY81" s="225" t="str">
        <f>IF(AND(L81&gt;0,ROWS($D$70:K80)&lt;&gt;COLUMNS($D$70:K80)),MAX($AQ81:AX81)+1,"")</f>
        <v/>
      </c>
      <c r="AZ81" s="225" t="str">
        <f>IF(AND(M81&gt;0,ROWS($D$70:L80)&lt;&gt;COLUMNS($D$70:L80)),MAX($AQ81:AY81)+1,"")</f>
        <v/>
      </c>
      <c r="BA81" s="350" t="str">
        <f>IF(AND(N81&gt;0,ROWS($D$70:M80)&lt;&gt;COLUMNS($D$70:M80)),MAX($AQ81:AZ81)+1,"")</f>
        <v/>
      </c>
      <c r="BB81" s="349" t="str">
        <f>IF(AND(O81&gt;0,ROWS($D$70:N80)&lt;&gt;COLUMNS($D$70:N80)),MAX($AQ81:BA81)+1,"")</f>
        <v/>
      </c>
      <c r="BC81" s="225" t="str">
        <f>IF(AND(P81&gt;0,ROWS($D$70:O80)&lt;&gt;COLUMNS($D$70:O80)),MAX($AQ81:BB81)+1,"")</f>
        <v/>
      </c>
      <c r="BD81" s="225" t="str">
        <f>IF(AND(Q81&gt;0,ROWS($D$70:P80)&lt;&gt;COLUMNS($D$70:P80)),MAX($AQ81:BC81)+1,"")</f>
        <v/>
      </c>
      <c r="BE81" s="225" t="str">
        <f>IF(AND(R81&gt;0,ROWS($D$70:Q80)&lt;&gt;COLUMNS($D$70:Q80)),MAX($AQ81:BD81)+1,"")</f>
        <v/>
      </c>
      <c r="BF81" s="225" t="str">
        <f>IF(AND(S81&gt;0,ROWS($D$70:R80)&lt;&gt;COLUMNS($D$70:R80)),MAX($AQ81:BE81)+1,"")</f>
        <v/>
      </c>
      <c r="BG81" s="225" t="str">
        <f>IF(AND(T81&gt;0,ROWS($D$70:S80)&lt;&gt;COLUMNS($D$70:S80)),MAX($AQ81:BF81)+1,"")</f>
        <v/>
      </c>
      <c r="BH81" s="225" t="str">
        <f>IF(AND(U81&gt;0,ROWS($D$70:T80)&lt;&gt;COLUMNS($D$70:T80)),MAX($AQ81:BG81)+1,"")</f>
        <v/>
      </c>
      <c r="BI81" s="225" t="str">
        <f>IF(AND(V81&gt;0,ROWS($D$70:U80)&lt;&gt;COLUMNS($D$70:U80)),MAX($AQ81:BH81)+1,"")</f>
        <v/>
      </c>
      <c r="BJ81" s="225" t="str">
        <f>IF(AND(W81&gt;0,ROWS($D$70:V80)&lt;&gt;COLUMNS($D$70:V80)),MAX($AQ81:BI81)+1,"")</f>
        <v/>
      </c>
      <c r="BK81" s="225" t="str">
        <f>IF(AND(X81&gt;0,ROWS($D$70:W80)&lt;&gt;COLUMNS($D$70:W80)),MAX($AQ81:BJ81)+1,"")</f>
        <v/>
      </c>
      <c r="BL81" s="225" t="str">
        <f>IF(AND(Y81&gt;0,ROWS($D$70:X80)&lt;&gt;COLUMNS($D$70:X80)),MAX($AQ81:BK81)+1,"")</f>
        <v/>
      </c>
      <c r="BM81" s="225" t="str">
        <f>IF(AND(Z81&gt;0,ROWS($D$70:Y80)&lt;&gt;COLUMNS($D$70:Y80)),MAX($AQ81:BL81)+1,"")</f>
        <v/>
      </c>
      <c r="BN81" s="225" t="str">
        <f>IF(AND(AA81&gt;0,ROWS($D$70:Z80)&lt;&gt;COLUMNS($D$70:Z80)),MAX($AQ81:BM81)+1,"")</f>
        <v/>
      </c>
      <c r="BO81" s="225" t="str">
        <f>IF(AND(AB81&gt;0,ROWS($D$70:AA80)&lt;&gt;COLUMNS($D$70:AA80)),MAX($AQ81:BN81)+1,"")</f>
        <v/>
      </c>
      <c r="BP81" s="225" t="str">
        <f>IF(AND(AC81&gt;0,ROWS($D$70:AB80)&lt;&gt;COLUMNS($D$70:AB80)),MAX($AQ81:BO81)+1,"")</f>
        <v/>
      </c>
      <c r="BQ81" s="225" t="str">
        <f>IF(AND(AD81&gt;0,ROWS($D$70:AC80)&lt;&gt;COLUMNS($D$70:AC80)),MAX($AQ81:BP81)+1,"")</f>
        <v/>
      </c>
      <c r="BR81" s="225" t="str">
        <f>IF(AND(AE81&gt;0,ROWS($D$70:AD80)&lt;&gt;COLUMNS($D$70:AD80)),MAX($AQ81:BQ81)+1,"")</f>
        <v/>
      </c>
      <c r="BS81" s="225" t="str">
        <f>IF(AND(AF81&gt;0,ROWS($D$70:AE80)&lt;&gt;COLUMNS($D$70:AE80)),MAX($AQ81:BR81)+1,"")</f>
        <v/>
      </c>
      <c r="BT81" s="225" t="str">
        <f>IF(AND(AG81&gt;0,ROWS($D$70:AF80)&lt;&gt;COLUMNS($D$70:AF80)),MAX($AQ81:BS81)+1,"")</f>
        <v/>
      </c>
      <c r="BU81" s="350" t="str">
        <f>IF(AND(AH81&gt;0,ROWS($D$70:AG80)&lt;&gt;COLUMNS($D$70:AG80)),MAX($AQ81:BT81)+1,"")</f>
        <v/>
      </c>
      <c r="BV81" s="226"/>
    </row>
    <row r="82" spans="2:74" ht="12.75" customHeight="1" x14ac:dyDescent="0.35">
      <c r="C82" s="223">
        <v>2</v>
      </c>
      <c r="D82" s="336" t="str">
        <f t="shared" si="11"/>
        <v/>
      </c>
      <c r="E82" s="331">
        <v>0</v>
      </c>
      <c r="F82" s="224">
        <v>0</v>
      </c>
      <c r="G82" s="224">
        <v>0</v>
      </c>
      <c r="H82" s="224">
        <v>0</v>
      </c>
      <c r="I82" s="224">
        <v>0</v>
      </c>
      <c r="J82" s="224">
        <v>0</v>
      </c>
      <c r="K82" s="224">
        <v>0</v>
      </c>
      <c r="L82" s="224">
        <v>0</v>
      </c>
      <c r="M82" s="224">
        <v>0</v>
      </c>
      <c r="N82" s="332">
        <v>0</v>
      </c>
      <c r="O82" s="331">
        <v>0</v>
      </c>
      <c r="P82" s="224">
        <v>1</v>
      </c>
      <c r="Q82" s="224">
        <v>0</v>
      </c>
      <c r="R82" s="224">
        <v>0</v>
      </c>
      <c r="S82" s="224">
        <v>0</v>
      </c>
      <c r="T82" s="224">
        <v>0</v>
      </c>
      <c r="U82" s="224">
        <v>0</v>
      </c>
      <c r="V82" s="224">
        <v>0</v>
      </c>
      <c r="W82" s="224">
        <v>0</v>
      </c>
      <c r="X82" s="224">
        <v>0</v>
      </c>
      <c r="Y82" s="224">
        <v>0</v>
      </c>
      <c r="Z82" s="224">
        <v>0</v>
      </c>
      <c r="AA82" s="224">
        <v>0</v>
      </c>
      <c r="AB82" s="224">
        <v>0</v>
      </c>
      <c r="AC82" s="224">
        <v>0</v>
      </c>
      <c r="AD82" s="224">
        <v>0</v>
      </c>
      <c r="AE82" s="224">
        <v>0</v>
      </c>
      <c r="AF82" s="224">
        <v>0</v>
      </c>
      <c r="AG82" s="224">
        <v>0</v>
      </c>
      <c r="AH82" s="332">
        <v>0</v>
      </c>
      <c r="AJ82" s="340">
        <f>IFERROR(SUMIF(E_PurchPrec!S:S,CONST_CNTR_EmbedEmDir &amp; D82,E_PurchPrec!T:T)/SUMIF(E_PurchPrec!R:R,CONST_CNTR_TotProd &amp; D82,E_PurchPrec!T:T),0)</f>
        <v>0</v>
      </c>
      <c r="AK82" s="341">
        <v>0</v>
      </c>
      <c r="AL82" s="344">
        <f>IFERROR(SUMIF(E_PurchPrec!S:S,CONST_CNTR_EmbedEmInDir &amp; D82,E_PurchPrec!T:T)/SUMIF(E_PurchPrec!R:R,CONST_CNTR_TotProd &amp; D82,E_PurchPrec!T:T),0)</f>
        <v>0</v>
      </c>
      <c r="AM82" s="341">
        <v>0</v>
      </c>
      <c r="AN82" s="344">
        <f>IFERROR(SUMIF(E_PurchPrec!R:R,CONST_ElecConsumption &amp; D82,E_PurchPrec!T:T)/SUMIF(E_PurchPrec!R:R,CONST_CNTR_TotProd &amp; D82,E_PurchPrec!T:T),0)</f>
        <v>0</v>
      </c>
      <c r="AO82" s="341">
        <v>0</v>
      </c>
      <c r="AR82" s="349" t="str">
        <f>IF(AND(E82&gt;0,ROWS($D$70:D81)&lt;&gt;COLUMNS($D$70:D81)),MAX($AQ82:AQ82)+1,"")</f>
        <v/>
      </c>
      <c r="AS82" s="225" t="str">
        <f>IF(AND(F82&gt;0,ROWS($D$70:E81)&lt;&gt;COLUMNS($D$70:E81)),MAX($AQ82:AR82)+1,"")</f>
        <v/>
      </c>
      <c r="AT82" s="225" t="str">
        <f>IF(AND(G82&gt;0,ROWS($D$70:F81)&lt;&gt;COLUMNS($D$70:F81)),MAX($AQ82:AS82)+1,"")</f>
        <v/>
      </c>
      <c r="AU82" s="225" t="str">
        <f>IF(AND(H82&gt;0,ROWS($D$70:G81)&lt;&gt;COLUMNS($D$70:G81)),MAX($AQ82:AT82)+1,"")</f>
        <v/>
      </c>
      <c r="AV82" s="225" t="str">
        <f>IF(AND(I82&gt;0,ROWS($D$70:H81)&lt;&gt;COLUMNS($D$70:H81)),MAX($AQ82:AU82)+1,"")</f>
        <v/>
      </c>
      <c r="AW82" s="225" t="str">
        <f>IF(AND(J82&gt;0,ROWS($D$70:I81)&lt;&gt;COLUMNS($D$70:I81)),MAX($AQ82:AV82)+1,"")</f>
        <v/>
      </c>
      <c r="AX82" s="225" t="str">
        <f>IF(AND(K82&gt;0,ROWS($D$70:J81)&lt;&gt;COLUMNS($D$70:J81)),MAX($AQ82:AW82)+1,"")</f>
        <v/>
      </c>
      <c r="AY82" s="225" t="str">
        <f>IF(AND(L82&gt;0,ROWS($D$70:K81)&lt;&gt;COLUMNS($D$70:K81)),MAX($AQ82:AX82)+1,"")</f>
        <v/>
      </c>
      <c r="AZ82" s="225" t="str">
        <f>IF(AND(M82&gt;0,ROWS($D$70:L81)&lt;&gt;COLUMNS($D$70:L81)),MAX($AQ82:AY82)+1,"")</f>
        <v/>
      </c>
      <c r="BA82" s="350" t="str">
        <f>IF(AND(N82&gt;0,ROWS($D$70:M81)&lt;&gt;COLUMNS($D$70:M81)),MAX($AQ82:AZ82)+1,"")</f>
        <v/>
      </c>
      <c r="BB82" s="349" t="str">
        <f>IF(AND(O82&gt;0,ROWS($D$70:N81)&lt;&gt;COLUMNS($D$70:N81)),MAX($AQ82:BA82)+1,"")</f>
        <v/>
      </c>
      <c r="BC82" s="225" t="str">
        <f>IF(AND(P82&gt;0,ROWS($D$70:O81)&lt;&gt;COLUMNS($D$70:O81)),MAX($AQ82:BB82)+1,"")</f>
        <v/>
      </c>
      <c r="BD82" s="225" t="str">
        <f>IF(AND(Q82&gt;0,ROWS($D$70:P81)&lt;&gt;COLUMNS($D$70:P81)),MAX($AQ82:BC82)+1,"")</f>
        <v/>
      </c>
      <c r="BE82" s="225" t="str">
        <f>IF(AND(R82&gt;0,ROWS($D$70:Q81)&lt;&gt;COLUMNS($D$70:Q81)),MAX($AQ82:BD82)+1,"")</f>
        <v/>
      </c>
      <c r="BF82" s="225" t="str">
        <f>IF(AND(S82&gt;0,ROWS($D$70:R81)&lt;&gt;COLUMNS($D$70:R81)),MAX($AQ82:BE82)+1,"")</f>
        <v/>
      </c>
      <c r="BG82" s="225" t="str">
        <f>IF(AND(T82&gt;0,ROWS($D$70:S81)&lt;&gt;COLUMNS($D$70:S81)),MAX($AQ82:BF82)+1,"")</f>
        <v/>
      </c>
      <c r="BH82" s="225" t="str">
        <f>IF(AND(U82&gt;0,ROWS($D$70:T81)&lt;&gt;COLUMNS($D$70:T81)),MAX($AQ82:BG82)+1,"")</f>
        <v/>
      </c>
      <c r="BI82" s="225" t="str">
        <f>IF(AND(V82&gt;0,ROWS($D$70:U81)&lt;&gt;COLUMNS($D$70:U81)),MAX($AQ82:BH82)+1,"")</f>
        <v/>
      </c>
      <c r="BJ82" s="225" t="str">
        <f>IF(AND(W82&gt;0,ROWS($D$70:V81)&lt;&gt;COLUMNS($D$70:V81)),MAX($AQ82:BI82)+1,"")</f>
        <v/>
      </c>
      <c r="BK82" s="225" t="str">
        <f>IF(AND(X82&gt;0,ROWS($D$70:W81)&lt;&gt;COLUMNS($D$70:W81)),MAX($AQ82:BJ82)+1,"")</f>
        <v/>
      </c>
      <c r="BL82" s="225" t="str">
        <f>IF(AND(Y82&gt;0,ROWS($D$70:X81)&lt;&gt;COLUMNS($D$70:X81)),MAX($AQ82:BK82)+1,"")</f>
        <v/>
      </c>
      <c r="BM82" s="225" t="str">
        <f>IF(AND(Z82&gt;0,ROWS($D$70:Y81)&lt;&gt;COLUMNS($D$70:Y81)),MAX($AQ82:BL82)+1,"")</f>
        <v/>
      </c>
      <c r="BN82" s="225" t="str">
        <f>IF(AND(AA82&gt;0,ROWS($D$70:Z81)&lt;&gt;COLUMNS($D$70:Z81)),MAX($AQ82:BM82)+1,"")</f>
        <v/>
      </c>
      <c r="BO82" s="225" t="str">
        <f>IF(AND(AB82&gt;0,ROWS($D$70:AA81)&lt;&gt;COLUMNS($D$70:AA81)),MAX($AQ82:BN82)+1,"")</f>
        <v/>
      </c>
      <c r="BP82" s="225" t="str">
        <f>IF(AND(AC82&gt;0,ROWS($D$70:AB81)&lt;&gt;COLUMNS($D$70:AB81)),MAX($AQ82:BO82)+1,"")</f>
        <v/>
      </c>
      <c r="BQ82" s="225" t="str">
        <f>IF(AND(AD82&gt;0,ROWS($D$70:AC81)&lt;&gt;COLUMNS($D$70:AC81)),MAX($AQ82:BP82)+1,"")</f>
        <v/>
      </c>
      <c r="BR82" s="225" t="str">
        <f>IF(AND(AE82&gt;0,ROWS($D$70:AD81)&lt;&gt;COLUMNS($D$70:AD81)),MAX($AQ82:BQ82)+1,"")</f>
        <v/>
      </c>
      <c r="BS82" s="225" t="str">
        <f>IF(AND(AF82&gt;0,ROWS($D$70:AE81)&lt;&gt;COLUMNS($D$70:AE81)),MAX($AQ82:BR82)+1,"")</f>
        <v/>
      </c>
      <c r="BT82" s="225" t="str">
        <f>IF(AND(AG82&gt;0,ROWS($D$70:AF81)&lt;&gt;COLUMNS($D$70:AF81)),MAX($AQ82:BS82)+1,"")</f>
        <v/>
      </c>
      <c r="BU82" s="350" t="str">
        <f>IF(AND(AH82&gt;0,ROWS($D$70:AG81)&lt;&gt;COLUMNS($D$70:AG81)),MAX($AQ82:BT82)+1,"")</f>
        <v/>
      </c>
    </row>
    <row r="83" spans="2:74" ht="12.75" customHeight="1" x14ac:dyDescent="0.35">
      <c r="C83" s="223">
        <v>3</v>
      </c>
      <c r="D83" s="336" t="str">
        <f t="shared" si="11"/>
        <v/>
      </c>
      <c r="E83" s="331">
        <v>0</v>
      </c>
      <c r="F83" s="224">
        <v>0</v>
      </c>
      <c r="G83" s="224">
        <v>0</v>
      </c>
      <c r="H83" s="224">
        <v>0</v>
      </c>
      <c r="I83" s="224">
        <v>0</v>
      </c>
      <c r="J83" s="224">
        <v>0</v>
      </c>
      <c r="K83" s="224">
        <v>0</v>
      </c>
      <c r="L83" s="224">
        <v>0</v>
      </c>
      <c r="M83" s="224">
        <v>0</v>
      </c>
      <c r="N83" s="332">
        <v>0</v>
      </c>
      <c r="O83" s="331">
        <v>0</v>
      </c>
      <c r="P83" s="224">
        <v>0</v>
      </c>
      <c r="Q83" s="224">
        <v>1</v>
      </c>
      <c r="R83" s="224">
        <v>0</v>
      </c>
      <c r="S83" s="224">
        <v>0</v>
      </c>
      <c r="T83" s="224">
        <v>0</v>
      </c>
      <c r="U83" s="224">
        <v>0</v>
      </c>
      <c r="V83" s="224">
        <v>0</v>
      </c>
      <c r="W83" s="224">
        <v>0</v>
      </c>
      <c r="X83" s="224">
        <v>0</v>
      </c>
      <c r="Y83" s="224">
        <v>0</v>
      </c>
      <c r="Z83" s="224">
        <v>0</v>
      </c>
      <c r="AA83" s="224">
        <v>0</v>
      </c>
      <c r="AB83" s="224">
        <v>0</v>
      </c>
      <c r="AC83" s="224">
        <v>0</v>
      </c>
      <c r="AD83" s="224">
        <v>0</v>
      </c>
      <c r="AE83" s="224">
        <v>0</v>
      </c>
      <c r="AF83" s="224">
        <v>0</v>
      </c>
      <c r="AG83" s="224">
        <v>0</v>
      </c>
      <c r="AH83" s="332">
        <v>0</v>
      </c>
      <c r="AJ83" s="340">
        <f>IFERROR(SUMIF(E_PurchPrec!S:S,CONST_CNTR_EmbedEmDir &amp; D83,E_PurchPrec!T:T)/SUMIF(E_PurchPrec!R:R,CONST_CNTR_TotProd &amp; D83,E_PurchPrec!T:T),0)</f>
        <v>0</v>
      </c>
      <c r="AK83" s="341">
        <v>0</v>
      </c>
      <c r="AL83" s="344">
        <f>IFERROR(SUMIF(E_PurchPrec!S:S,CONST_CNTR_EmbedEmInDir &amp; D83,E_PurchPrec!T:T)/SUMIF(E_PurchPrec!R:R,CONST_CNTR_TotProd &amp; D83,E_PurchPrec!T:T),0)</f>
        <v>0</v>
      </c>
      <c r="AM83" s="341">
        <v>0</v>
      </c>
      <c r="AN83" s="344">
        <f>IFERROR(SUMIF(E_PurchPrec!R:R,CONST_ElecConsumption &amp; D83,E_PurchPrec!T:T)/SUMIF(E_PurchPrec!R:R,CONST_CNTR_TotProd &amp; D83,E_PurchPrec!T:T),0)</f>
        <v>0</v>
      </c>
      <c r="AO83" s="341">
        <v>0</v>
      </c>
      <c r="AR83" s="349" t="str">
        <f>IF(AND(E83&gt;0,ROWS($D$70:D82)&lt;&gt;COLUMNS($D$70:D82)),MAX($AQ83:AQ83)+1,"")</f>
        <v/>
      </c>
      <c r="AS83" s="225" t="str">
        <f>IF(AND(F83&gt;0,ROWS($D$70:E82)&lt;&gt;COLUMNS($D$70:E82)),MAX($AQ83:AR83)+1,"")</f>
        <v/>
      </c>
      <c r="AT83" s="225" t="str">
        <f>IF(AND(G83&gt;0,ROWS($D$70:F82)&lt;&gt;COLUMNS($D$70:F82)),MAX($AQ83:AS83)+1,"")</f>
        <v/>
      </c>
      <c r="AU83" s="225" t="str">
        <f>IF(AND(H83&gt;0,ROWS($D$70:G82)&lt;&gt;COLUMNS($D$70:G82)),MAX($AQ83:AT83)+1,"")</f>
        <v/>
      </c>
      <c r="AV83" s="225" t="str">
        <f>IF(AND(I83&gt;0,ROWS($D$70:H82)&lt;&gt;COLUMNS($D$70:H82)),MAX($AQ83:AU83)+1,"")</f>
        <v/>
      </c>
      <c r="AW83" s="225" t="str">
        <f>IF(AND(J83&gt;0,ROWS($D$70:I82)&lt;&gt;COLUMNS($D$70:I82)),MAX($AQ83:AV83)+1,"")</f>
        <v/>
      </c>
      <c r="AX83" s="225" t="str">
        <f>IF(AND(K83&gt;0,ROWS($D$70:J82)&lt;&gt;COLUMNS($D$70:J82)),MAX($AQ83:AW83)+1,"")</f>
        <v/>
      </c>
      <c r="AY83" s="225" t="str">
        <f>IF(AND(L83&gt;0,ROWS($D$70:K82)&lt;&gt;COLUMNS($D$70:K82)),MAX($AQ83:AX83)+1,"")</f>
        <v/>
      </c>
      <c r="AZ83" s="225" t="str">
        <f>IF(AND(M83&gt;0,ROWS($D$70:L82)&lt;&gt;COLUMNS($D$70:L82)),MAX($AQ83:AY83)+1,"")</f>
        <v/>
      </c>
      <c r="BA83" s="350" t="str">
        <f>IF(AND(N83&gt;0,ROWS($D$70:M82)&lt;&gt;COLUMNS($D$70:M82)),MAX($AQ83:AZ83)+1,"")</f>
        <v/>
      </c>
      <c r="BB83" s="349" t="str">
        <f>IF(AND(O83&gt;0,ROWS($D$70:N82)&lt;&gt;COLUMNS($D$70:N82)),MAX($AQ83:BA83)+1,"")</f>
        <v/>
      </c>
      <c r="BC83" s="225" t="str">
        <f>IF(AND(P83&gt;0,ROWS($D$70:O82)&lt;&gt;COLUMNS($D$70:O82)),MAX($AQ83:BB83)+1,"")</f>
        <v/>
      </c>
      <c r="BD83" s="225" t="str">
        <f>IF(AND(Q83&gt;0,ROWS($D$70:P82)&lt;&gt;COLUMNS($D$70:P82)),MAX($AQ83:BC83)+1,"")</f>
        <v/>
      </c>
      <c r="BE83" s="225" t="str">
        <f>IF(AND(R83&gt;0,ROWS($D$70:Q82)&lt;&gt;COLUMNS($D$70:Q82)),MAX($AQ83:BD83)+1,"")</f>
        <v/>
      </c>
      <c r="BF83" s="225" t="str">
        <f>IF(AND(S83&gt;0,ROWS($D$70:R82)&lt;&gt;COLUMNS($D$70:R82)),MAX($AQ83:BE83)+1,"")</f>
        <v/>
      </c>
      <c r="BG83" s="225" t="str">
        <f>IF(AND(T83&gt;0,ROWS($D$70:S82)&lt;&gt;COLUMNS($D$70:S82)),MAX($AQ83:BF83)+1,"")</f>
        <v/>
      </c>
      <c r="BH83" s="225" t="str">
        <f>IF(AND(U83&gt;0,ROWS($D$70:T82)&lt;&gt;COLUMNS($D$70:T82)),MAX($AQ83:BG83)+1,"")</f>
        <v/>
      </c>
      <c r="BI83" s="225" t="str">
        <f>IF(AND(V83&gt;0,ROWS($D$70:U82)&lt;&gt;COLUMNS($D$70:U82)),MAX($AQ83:BH83)+1,"")</f>
        <v/>
      </c>
      <c r="BJ83" s="225" t="str">
        <f>IF(AND(W83&gt;0,ROWS($D$70:V82)&lt;&gt;COLUMNS($D$70:V82)),MAX($AQ83:BI83)+1,"")</f>
        <v/>
      </c>
      <c r="BK83" s="225" t="str">
        <f>IF(AND(X83&gt;0,ROWS($D$70:W82)&lt;&gt;COLUMNS($D$70:W82)),MAX($AQ83:BJ83)+1,"")</f>
        <v/>
      </c>
      <c r="BL83" s="225" t="str">
        <f>IF(AND(Y83&gt;0,ROWS($D$70:X82)&lt;&gt;COLUMNS($D$70:X82)),MAX($AQ83:BK83)+1,"")</f>
        <v/>
      </c>
      <c r="BM83" s="225" t="str">
        <f>IF(AND(Z83&gt;0,ROWS($D$70:Y82)&lt;&gt;COLUMNS($D$70:Y82)),MAX($AQ83:BL83)+1,"")</f>
        <v/>
      </c>
      <c r="BN83" s="225" t="str">
        <f>IF(AND(AA83&gt;0,ROWS($D$70:Z82)&lt;&gt;COLUMNS($D$70:Z82)),MAX($AQ83:BM83)+1,"")</f>
        <v/>
      </c>
      <c r="BO83" s="225" t="str">
        <f>IF(AND(AB83&gt;0,ROWS($D$70:AA82)&lt;&gt;COLUMNS($D$70:AA82)),MAX($AQ83:BN83)+1,"")</f>
        <v/>
      </c>
      <c r="BP83" s="225" t="str">
        <f>IF(AND(AC83&gt;0,ROWS($D$70:AB82)&lt;&gt;COLUMNS($D$70:AB82)),MAX($AQ83:BO83)+1,"")</f>
        <v/>
      </c>
      <c r="BQ83" s="225" t="str">
        <f>IF(AND(AD83&gt;0,ROWS($D$70:AC82)&lt;&gt;COLUMNS($D$70:AC82)),MAX($AQ83:BP83)+1,"")</f>
        <v/>
      </c>
      <c r="BR83" s="225" t="str">
        <f>IF(AND(AE83&gt;0,ROWS($D$70:AD82)&lt;&gt;COLUMNS($D$70:AD82)),MAX($AQ83:BQ83)+1,"")</f>
        <v/>
      </c>
      <c r="BS83" s="225" t="str">
        <f>IF(AND(AF83&gt;0,ROWS($D$70:AE82)&lt;&gt;COLUMNS($D$70:AE82)),MAX($AQ83:BR83)+1,"")</f>
        <v/>
      </c>
      <c r="BT83" s="225" t="str">
        <f>IF(AND(AG83&gt;0,ROWS($D$70:AF82)&lt;&gt;COLUMNS($D$70:AF82)),MAX($AQ83:BS83)+1,"")</f>
        <v/>
      </c>
      <c r="BU83" s="350" t="str">
        <f>IF(AND(AH83&gt;0,ROWS($D$70:AG82)&lt;&gt;COLUMNS($D$70:AG82)),MAX($AQ83:BT83)+1,"")</f>
        <v/>
      </c>
    </row>
    <row r="84" spans="2:74" ht="12.75" customHeight="1" x14ac:dyDescent="0.35">
      <c r="C84" s="223">
        <v>4</v>
      </c>
      <c r="D84" s="336" t="str">
        <f t="shared" si="11"/>
        <v/>
      </c>
      <c r="E84" s="331">
        <v>0</v>
      </c>
      <c r="F84" s="224">
        <v>0</v>
      </c>
      <c r="G84" s="224">
        <v>0</v>
      </c>
      <c r="H84" s="224">
        <v>0</v>
      </c>
      <c r="I84" s="224">
        <v>0</v>
      </c>
      <c r="J84" s="224">
        <v>0</v>
      </c>
      <c r="K84" s="224">
        <v>0</v>
      </c>
      <c r="L84" s="224">
        <v>0</v>
      </c>
      <c r="M84" s="224">
        <v>0</v>
      </c>
      <c r="N84" s="332">
        <v>0</v>
      </c>
      <c r="O84" s="331">
        <v>0</v>
      </c>
      <c r="P84" s="224">
        <v>0</v>
      </c>
      <c r="Q84" s="224">
        <v>0</v>
      </c>
      <c r="R84" s="224">
        <v>1</v>
      </c>
      <c r="S84" s="224">
        <v>0</v>
      </c>
      <c r="T84" s="224">
        <v>0</v>
      </c>
      <c r="U84" s="224">
        <v>0</v>
      </c>
      <c r="V84" s="224">
        <v>0</v>
      </c>
      <c r="W84" s="224">
        <v>0</v>
      </c>
      <c r="X84" s="224">
        <v>0</v>
      </c>
      <c r="Y84" s="224">
        <v>0</v>
      </c>
      <c r="Z84" s="224">
        <v>0</v>
      </c>
      <c r="AA84" s="224">
        <v>0</v>
      </c>
      <c r="AB84" s="224">
        <v>0</v>
      </c>
      <c r="AC84" s="224">
        <v>0</v>
      </c>
      <c r="AD84" s="224">
        <v>0</v>
      </c>
      <c r="AE84" s="224">
        <v>0</v>
      </c>
      <c r="AF84" s="224">
        <v>0</v>
      </c>
      <c r="AG84" s="224">
        <v>0</v>
      </c>
      <c r="AH84" s="332">
        <v>0</v>
      </c>
      <c r="AJ84" s="340">
        <f>IFERROR(SUMIF(E_PurchPrec!S:S,CONST_CNTR_EmbedEmDir &amp; D84,E_PurchPrec!T:T)/SUMIF(E_PurchPrec!R:R,CONST_CNTR_TotProd &amp; D84,E_PurchPrec!T:T),0)</f>
        <v>0</v>
      </c>
      <c r="AK84" s="341">
        <v>0</v>
      </c>
      <c r="AL84" s="344">
        <f>IFERROR(SUMIF(E_PurchPrec!S:S,CONST_CNTR_EmbedEmInDir &amp; D84,E_PurchPrec!T:T)/SUMIF(E_PurchPrec!R:R,CONST_CNTR_TotProd &amp; D84,E_PurchPrec!T:T),0)</f>
        <v>0</v>
      </c>
      <c r="AM84" s="341">
        <v>0</v>
      </c>
      <c r="AN84" s="344">
        <f>IFERROR(SUMIF(E_PurchPrec!R:R,CONST_ElecConsumption &amp; D84,E_PurchPrec!T:T)/SUMIF(E_PurchPrec!R:R,CONST_CNTR_TotProd &amp; D84,E_PurchPrec!T:T),0)</f>
        <v>0</v>
      </c>
      <c r="AO84" s="341">
        <v>0</v>
      </c>
      <c r="AR84" s="349" t="str">
        <f>IF(AND(E84&gt;0,ROWS($D$70:D83)&lt;&gt;COLUMNS($D$70:D83)),MAX($AQ84:AQ84)+1,"")</f>
        <v/>
      </c>
      <c r="AS84" s="225" t="str">
        <f>IF(AND(F84&gt;0,ROWS($D$70:E83)&lt;&gt;COLUMNS($D$70:E83)),MAX($AQ84:AR84)+1,"")</f>
        <v/>
      </c>
      <c r="AT84" s="225" t="str">
        <f>IF(AND(G84&gt;0,ROWS($D$70:F83)&lt;&gt;COLUMNS($D$70:F83)),MAX($AQ84:AS84)+1,"")</f>
        <v/>
      </c>
      <c r="AU84" s="225" t="str">
        <f>IF(AND(H84&gt;0,ROWS($D$70:G83)&lt;&gt;COLUMNS($D$70:G83)),MAX($AQ84:AT84)+1,"")</f>
        <v/>
      </c>
      <c r="AV84" s="225" t="str">
        <f>IF(AND(I84&gt;0,ROWS($D$70:H83)&lt;&gt;COLUMNS($D$70:H83)),MAX($AQ84:AU84)+1,"")</f>
        <v/>
      </c>
      <c r="AW84" s="225" t="str">
        <f>IF(AND(J84&gt;0,ROWS($D$70:I83)&lt;&gt;COLUMNS($D$70:I83)),MAX($AQ84:AV84)+1,"")</f>
        <v/>
      </c>
      <c r="AX84" s="225" t="str">
        <f>IF(AND(K84&gt;0,ROWS($D$70:J83)&lt;&gt;COLUMNS($D$70:J83)),MAX($AQ84:AW84)+1,"")</f>
        <v/>
      </c>
      <c r="AY84" s="225" t="str">
        <f>IF(AND(L84&gt;0,ROWS($D$70:K83)&lt;&gt;COLUMNS($D$70:K83)),MAX($AQ84:AX84)+1,"")</f>
        <v/>
      </c>
      <c r="AZ84" s="225" t="str">
        <f>IF(AND(M84&gt;0,ROWS($D$70:L83)&lt;&gt;COLUMNS($D$70:L83)),MAX($AQ84:AY84)+1,"")</f>
        <v/>
      </c>
      <c r="BA84" s="350" t="str">
        <f>IF(AND(N84&gt;0,ROWS($D$70:M83)&lt;&gt;COLUMNS($D$70:M83)),MAX($AQ84:AZ84)+1,"")</f>
        <v/>
      </c>
      <c r="BB84" s="349" t="str">
        <f>IF(AND(O84&gt;0,ROWS($D$70:N83)&lt;&gt;COLUMNS($D$70:N83)),MAX($AQ84:BA84)+1,"")</f>
        <v/>
      </c>
      <c r="BC84" s="225" t="str">
        <f>IF(AND(P84&gt;0,ROWS($D$70:O83)&lt;&gt;COLUMNS($D$70:O83)),MAX($AQ84:BB84)+1,"")</f>
        <v/>
      </c>
      <c r="BD84" s="225" t="str">
        <f>IF(AND(Q84&gt;0,ROWS($D$70:P83)&lt;&gt;COLUMNS($D$70:P83)),MAX($AQ84:BC84)+1,"")</f>
        <v/>
      </c>
      <c r="BE84" s="225" t="str">
        <f>IF(AND(R84&gt;0,ROWS($D$70:Q83)&lt;&gt;COLUMNS($D$70:Q83)),MAX($AQ84:BD84)+1,"")</f>
        <v/>
      </c>
      <c r="BF84" s="225" t="str">
        <f>IF(AND(S84&gt;0,ROWS($D$70:R83)&lt;&gt;COLUMNS($D$70:R83)),MAX($AQ84:BE84)+1,"")</f>
        <v/>
      </c>
      <c r="BG84" s="225" t="str">
        <f>IF(AND(T84&gt;0,ROWS($D$70:S83)&lt;&gt;COLUMNS($D$70:S83)),MAX($AQ84:BF84)+1,"")</f>
        <v/>
      </c>
      <c r="BH84" s="225" t="str">
        <f>IF(AND(U84&gt;0,ROWS($D$70:T83)&lt;&gt;COLUMNS($D$70:T83)),MAX($AQ84:BG84)+1,"")</f>
        <v/>
      </c>
      <c r="BI84" s="225" t="str">
        <f>IF(AND(V84&gt;0,ROWS($D$70:U83)&lt;&gt;COLUMNS($D$70:U83)),MAX($AQ84:BH84)+1,"")</f>
        <v/>
      </c>
      <c r="BJ84" s="225" t="str">
        <f>IF(AND(W84&gt;0,ROWS($D$70:V83)&lt;&gt;COLUMNS($D$70:V83)),MAX($AQ84:BI84)+1,"")</f>
        <v/>
      </c>
      <c r="BK84" s="225" t="str">
        <f>IF(AND(X84&gt;0,ROWS($D$70:W83)&lt;&gt;COLUMNS($D$70:W83)),MAX($AQ84:BJ84)+1,"")</f>
        <v/>
      </c>
      <c r="BL84" s="225" t="str">
        <f>IF(AND(Y84&gt;0,ROWS($D$70:X83)&lt;&gt;COLUMNS($D$70:X83)),MAX($AQ84:BK84)+1,"")</f>
        <v/>
      </c>
      <c r="BM84" s="225" t="str">
        <f>IF(AND(Z84&gt;0,ROWS($D$70:Y83)&lt;&gt;COLUMNS($D$70:Y83)),MAX($AQ84:BL84)+1,"")</f>
        <v/>
      </c>
      <c r="BN84" s="225" t="str">
        <f>IF(AND(AA84&gt;0,ROWS($D$70:Z83)&lt;&gt;COLUMNS($D$70:Z83)),MAX($AQ84:BM84)+1,"")</f>
        <v/>
      </c>
      <c r="BO84" s="225" t="str">
        <f>IF(AND(AB84&gt;0,ROWS($D$70:AA83)&lt;&gt;COLUMNS($D$70:AA83)),MAX($AQ84:BN84)+1,"")</f>
        <v/>
      </c>
      <c r="BP84" s="225" t="str">
        <f>IF(AND(AC84&gt;0,ROWS($D$70:AB83)&lt;&gt;COLUMNS($D$70:AB83)),MAX($AQ84:BO84)+1,"")</f>
        <v/>
      </c>
      <c r="BQ84" s="225" t="str">
        <f>IF(AND(AD84&gt;0,ROWS($D$70:AC83)&lt;&gt;COLUMNS($D$70:AC83)),MAX($AQ84:BP84)+1,"")</f>
        <v/>
      </c>
      <c r="BR84" s="225" t="str">
        <f>IF(AND(AE84&gt;0,ROWS($D$70:AD83)&lt;&gt;COLUMNS($D$70:AD83)),MAX($AQ84:BQ84)+1,"")</f>
        <v/>
      </c>
      <c r="BS84" s="225" t="str">
        <f>IF(AND(AF84&gt;0,ROWS($D$70:AE83)&lt;&gt;COLUMNS($D$70:AE83)),MAX($AQ84:BR84)+1,"")</f>
        <v/>
      </c>
      <c r="BT84" s="225" t="str">
        <f>IF(AND(AG84&gt;0,ROWS($D$70:AF83)&lt;&gt;COLUMNS($D$70:AF83)),MAX($AQ84:BS84)+1,"")</f>
        <v/>
      </c>
      <c r="BU84" s="350" t="str">
        <f>IF(AND(AH84&gt;0,ROWS($D$70:AG83)&lt;&gt;COLUMNS($D$70:AG83)),MAX($AQ84:BT84)+1,"")</f>
        <v/>
      </c>
    </row>
    <row r="85" spans="2:74" ht="12.75" customHeight="1" x14ac:dyDescent="0.35">
      <c r="C85" s="223">
        <v>5</v>
      </c>
      <c r="D85" s="336" t="str">
        <f t="shared" si="11"/>
        <v/>
      </c>
      <c r="E85" s="331">
        <v>0</v>
      </c>
      <c r="F85" s="224">
        <v>0</v>
      </c>
      <c r="G85" s="224">
        <v>0</v>
      </c>
      <c r="H85" s="224">
        <v>0</v>
      </c>
      <c r="I85" s="224">
        <v>0</v>
      </c>
      <c r="J85" s="224">
        <v>0</v>
      </c>
      <c r="K85" s="224">
        <v>0</v>
      </c>
      <c r="L85" s="224">
        <v>0</v>
      </c>
      <c r="M85" s="224">
        <v>0</v>
      </c>
      <c r="N85" s="332">
        <v>0</v>
      </c>
      <c r="O85" s="331">
        <v>0</v>
      </c>
      <c r="P85" s="224">
        <v>0</v>
      </c>
      <c r="Q85" s="224">
        <v>0</v>
      </c>
      <c r="R85" s="224">
        <v>0</v>
      </c>
      <c r="S85" s="224">
        <v>1</v>
      </c>
      <c r="T85" s="224">
        <v>0</v>
      </c>
      <c r="U85" s="224">
        <v>0</v>
      </c>
      <c r="V85" s="224">
        <v>0</v>
      </c>
      <c r="W85" s="224">
        <v>0</v>
      </c>
      <c r="X85" s="224">
        <v>0</v>
      </c>
      <c r="Y85" s="224">
        <v>0</v>
      </c>
      <c r="Z85" s="224">
        <v>0</v>
      </c>
      <c r="AA85" s="224">
        <v>0</v>
      </c>
      <c r="AB85" s="224">
        <v>0</v>
      </c>
      <c r="AC85" s="224">
        <v>0</v>
      </c>
      <c r="AD85" s="224">
        <v>0</v>
      </c>
      <c r="AE85" s="224">
        <v>0</v>
      </c>
      <c r="AF85" s="224">
        <v>0</v>
      </c>
      <c r="AG85" s="224">
        <v>0</v>
      </c>
      <c r="AH85" s="332">
        <v>0</v>
      </c>
      <c r="AJ85" s="340">
        <f>IFERROR(SUMIF(E_PurchPrec!S:S,CONST_CNTR_EmbedEmDir &amp; D85,E_PurchPrec!T:T)/SUMIF(E_PurchPrec!R:R,CONST_CNTR_TotProd &amp; D85,E_PurchPrec!T:T),0)</f>
        <v>0</v>
      </c>
      <c r="AK85" s="341">
        <v>0</v>
      </c>
      <c r="AL85" s="344">
        <f>IFERROR(SUMIF(E_PurchPrec!S:S,CONST_CNTR_EmbedEmInDir &amp; D85,E_PurchPrec!T:T)/SUMIF(E_PurchPrec!R:R,CONST_CNTR_TotProd &amp; D85,E_PurchPrec!T:T),0)</f>
        <v>0</v>
      </c>
      <c r="AM85" s="341">
        <v>0</v>
      </c>
      <c r="AN85" s="344">
        <f>IFERROR(SUMIF(E_PurchPrec!R:R,CONST_ElecConsumption &amp; D85,E_PurchPrec!T:T)/SUMIF(E_PurchPrec!R:R,CONST_CNTR_TotProd &amp; D85,E_PurchPrec!T:T),0)</f>
        <v>0</v>
      </c>
      <c r="AO85" s="341">
        <v>0</v>
      </c>
      <c r="AR85" s="349" t="str">
        <f>IF(AND(E85&gt;0,ROWS($D$70:D84)&lt;&gt;COLUMNS($D$70:D84)),MAX($AQ85:AQ85)+1,"")</f>
        <v/>
      </c>
      <c r="AS85" s="225" t="str">
        <f>IF(AND(F85&gt;0,ROWS($D$70:E84)&lt;&gt;COLUMNS($D$70:E84)),MAX($AQ85:AR85)+1,"")</f>
        <v/>
      </c>
      <c r="AT85" s="225" t="str">
        <f>IF(AND(G85&gt;0,ROWS($D$70:F84)&lt;&gt;COLUMNS($D$70:F84)),MAX($AQ85:AS85)+1,"")</f>
        <v/>
      </c>
      <c r="AU85" s="225" t="str">
        <f>IF(AND(H85&gt;0,ROWS($D$70:G84)&lt;&gt;COLUMNS($D$70:G84)),MAX($AQ85:AT85)+1,"")</f>
        <v/>
      </c>
      <c r="AV85" s="225" t="str">
        <f>IF(AND(I85&gt;0,ROWS($D$70:H84)&lt;&gt;COLUMNS($D$70:H84)),MAX($AQ85:AU85)+1,"")</f>
        <v/>
      </c>
      <c r="AW85" s="225" t="str">
        <f>IF(AND(J85&gt;0,ROWS($D$70:I84)&lt;&gt;COLUMNS($D$70:I84)),MAX($AQ85:AV85)+1,"")</f>
        <v/>
      </c>
      <c r="AX85" s="225" t="str">
        <f>IF(AND(K85&gt;0,ROWS($D$70:J84)&lt;&gt;COLUMNS($D$70:J84)),MAX($AQ85:AW85)+1,"")</f>
        <v/>
      </c>
      <c r="AY85" s="225" t="str">
        <f>IF(AND(L85&gt;0,ROWS($D$70:K84)&lt;&gt;COLUMNS($D$70:K84)),MAX($AQ85:AX85)+1,"")</f>
        <v/>
      </c>
      <c r="AZ85" s="225" t="str">
        <f>IF(AND(M85&gt;0,ROWS($D$70:L84)&lt;&gt;COLUMNS($D$70:L84)),MAX($AQ85:AY85)+1,"")</f>
        <v/>
      </c>
      <c r="BA85" s="350" t="str">
        <f>IF(AND(N85&gt;0,ROWS($D$70:M84)&lt;&gt;COLUMNS($D$70:M84)),MAX($AQ85:AZ85)+1,"")</f>
        <v/>
      </c>
      <c r="BB85" s="349" t="str">
        <f>IF(AND(O85&gt;0,ROWS($D$70:N84)&lt;&gt;COLUMNS($D$70:N84)),MAX($AQ85:BA85)+1,"")</f>
        <v/>
      </c>
      <c r="BC85" s="225" t="str">
        <f>IF(AND(P85&gt;0,ROWS($D$70:O84)&lt;&gt;COLUMNS($D$70:O84)),MAX($AQ85:BB85)+1,"")</f>
        <v/>
      </c>
      <c r="BD85" s="225" t="str">
        <f>IF(AND(Q85&gt;0,ROWS($D$70:P84)&lt;&gt;COLUMNS($D$70:P84)),MAX($AQ85:BC85)+1,"")</f>
        <v/>
      </c>
      <c r="BE85" s="225" t="str">
        <f>IF(AND(R85&gt;0,ROWS($D$70:Q84)&lt;&gt;COLUMNS($D$70:Q84)),MAX($AQ85:BD85)+1,"")</f>
        <v/>
      </c>
      <c r="BF85" s="225" t="str">
        <f>IF(AND(S85&gt;0,ROWS($D$70:R84)&lt;&gt;COLUMNS($D$70:R84)),MAX($AQ85:BE85)+1,"")</f>
        <v/>
      </c>
      <c r="BG85" s="225" t="str">
        <f>IF(AND(T85&gt;0,ROWS($D$70:S84)&lt;&gt;COLUMNS($D$70:S84)),MAX($AQ85:BF85)+1,"")</f>
        <v/>
      </c>
      <c r="BH85" s="225" t="str">
        <f>IF(AND(U85&gt;0,ROWS($D$70:T84)&lt;&gt;COLUMNS($D$70:T84)),MAX($AQ85:BG85)+1,"")</f>
        <v/>
      </c>
      <c r="BI85" s="225" t="str">
        <f>IF(AND(V85&gt;0,ROWS($D$70:U84)&lt;&gt;COLUMNS($D$70:U84)),MAX($AQ85:BH85)+1,"")</f>
        <v/>
      </c>
      <c r="BJ85" s="225" t="str">
        <f>IF(AND(W85&gt;0,ROWS($D$70:V84)&lt;&gt;COLUMNS($D$70:V84)),MAX($AQ85:BI85)+1,"")</f>
        <v/>
      </c>
      <c r="BK85" s="225" t="str">
        <f>IF(AND(X85&gt;0,ROWS($D$70:W84)&lt;&gt;COLUMNS($D$70:W84)),MAX($AQ85:BJ85)+1,"")</f>
        <v/>
      </c>
      <c r="BL85" s="225" t="str">
        <f>IF(AND(Y85&gt;0,ROWS($D$70:X84)&lt;&gt;COLUMNS($D$70:X84)),MAX($AQ85:BK85)+1,"")</f>
        <v/>
      </c>
      <c r="BM85" s="225" t="str">
        <f>IF(AND(Z85&gt;0,ROWS($D$70:Y84)&lt;&gt;COLUMNS($D$70:Y84)),MAX($AQ85:BL85)+1,"")</f>
        <v/>
      </c>
      <c r="BN85" s="225" t="str">
        <f>IF(AND(AA85&gt;0,ROWS($D$70:Z84)&lt;&gt;COLUMNS($D$70:Z84)),MAX($AQ85:BM85)+1,"")</f>
        <v/>
      </c>
      <c r="BO85" s="225" t="str">
        <f>IF(AND(AB85&gt;0,ROWS($D$70:AA84)&lt;&gt;COLUMNS($D$70:AA84)),MAX($AQ85:BN85)+1,"")</f>
        <v/>
      </c>
      <c r="BP85" s="225" t="str">
        <f>IF(AND(AC85&gt;0,ROWS($D$70:AB84)&lt;&gt;COLUMNS($D$70:AB84)),MAX($AQ85:BO85)+1,"")</f>
        <v/>
      </c>
      <c r="BQ85" s="225" t="str">
        <f>IF(AND(AD85&gt;0,ROWS($D$70:AC84)&lt;&gt;COLUMNS($D$70:AC84)),MAX($AQ85:BP85)+1,"")</f>
        <v/>
      </c>
      <c r="BR85" s="225" t="str">
        <f>IF(AND(AE85&gt;0,ROWS($D$70:AD84)&lt;&gt;COLUMNS($D$70:AD84)),MAX($AQ85:BQ85)+1,"")</f>
        <v/>
      </c>
      <c r="BS85" s="225" t="str">
        <f>IF(AND(AF85&gt;0,ROWS($D$70:AE84)&lt;&gt;COLUMNS($D$70:AE84)),MAX($AQ85:BR85)+1,"")</f>
        <v/>
      </c>
      <c r="BT85" s="225" t="str">
        <f>IF(AND(AG85&gt;0,ROWS($D$70:AF84)&lt;&gt;COLUMNS($D$70:AF84)),MAX($AQ85:BS85)+1,"")</f>
        <v/>
      </c>
      <c r="BU85" s="350" t="str">
        <f>IF(AND(AH85&gt;0,ROWS($D$70:AG84)&lt;&gt;COLUMNS($D$70:AG84)),MAX($AQ85:BT85)+1,"")</f>
        <v/>
      </c>
    </row>
    <row r="86" spans="2:74" ht="12.75" customHeight="1" x14ac:dyDescent="0.35">
      <c r="C86" s="223">
        <v>6</v>
      </c>
      <c r="D86" s="336" t="str">
        <f t="shared" si="11"/>
        <v/>
      </c>
      <c r="E86" s="331">
        <v>0</v>
      </c>
      <c r="F86" s="224">
        <v>0</v>
      </c>
      <c r="G86" s="224">
        <v>0</v>
      </c>
      <c r="H86" s="224">
        <v>0</v>
      </c>
      <c r="I86" s="224">
        <v>0</v>
      </c>
      <c r="J86" s="224">
        <v>0</v>
      </c>
      <c r="K86" s="224">
        <v>0</v>
      </c>
      <c r="L86" s="224">
        <v>0</v>
      </c>
      <c r="M86" s="224">
        <v>0</v>
      </c>
      <c r="N86" s="332">
        <v>0</v>
      </c>
      <c r="O86" s="331">
        <v>0</v>
      </c>
      <c r="P86" s="224">
        <v>0</v>
      </c>
      <c r="Q86" s="224">
        <v>0</v>
      </c>
      <c r="R86" s="224">
        <v>0</v>
      </c>
      <c r="S86" s="224">
        <v>0</v>
      </c>
      <c r="T86" s="224">
        <v>1</v>
      </c>
      <c r="U86" s="224">
        <v>0</v>
      </c>
      <c r="V86" s="224">
        <v>0</v>
      </c>
      <c r="W86" s="224">
        <v>0</v>
      </c>
      <c r="X86" s="224">
        <v>0</v>
      </c>
      <c r="Y86" s="224">
        <v>0</v>
      </c>
      <c r="Z86" s="224">
        <v>0</v>
      </c>
      <c r="AA86" s="224">
        <v>0</v>
      </c>
      <c r="AB86" s="224">
        <v>0</v>
      </c>
      <c r="AC86" s="224">
        <v>0</v>
      </c>
      <c r="AD86" s="224">
        <v>0</v>
      </c>
      <c r="AE86" s="224">
        <v>0</v>
      </c>
      <c r="AF86" s="224">
        <v>0</v>
      </c>
      <c r="AG86" s="224">
        <v>0</v>
      </c>
      <c r="AH86" s="332">
        <v>0</v>
      </c>
      <c r="AJ86" s="340">
        <f>IFERROR(SUMIF(E_PurchPrec!S:S,CONST_CNTR_EmbedEmDir &amp; D86,E_PurchPrec!T:T)/SUMIF(E_PurchPrec!R:R,CONST_CNTR_TotProd &amp; D86,E_PurchPrec!T:T),0)</f>
        <v>0</v>
      </c>
      <c r="AK86" s="341">
        <v>0</v>
      </c>
      <c r="AL86" s="344">
        <f>IFERROR(SUMIF(E_PurchPrec!S:S,CONST_CNTR_EmbedEmInDir &amp; D86,E_PurchPrec!T:T)/SUMIF(E_PurchPrec!R:R,CONST_CNTR_TotProd &amp; D86,E_PurchPrec!T:T),0)</f>
        <v>0</v>
      </c>
      <c r="AM86" s="341">
        <v>0</v>
      </c>
      <c r="AN86" s="344">
        <f>IFERROR(SUMIF(E_PurchPrec!R:R,CONST_ElecConsumption &amp; D86,E_PurchPrec!T:T)/SUMIF(E_PurchPrec!R:R,CONST_CNTR_TotProd &amp; D86,E_PurchPrec!T:T),0)</f>
        <v>0</v>
      </c>
      <c r="AO86" s="341">
        <v>0</v>
      </c>
      <c r="AR86" s="349" t="str">
        <f>IF(AND(E86&gt;0,ROWS($D$70:D85)&lt;&gt;COLUMNS($D$70:D85)),MAX($AQ86:AQ86)+1,"")</f>
        <v/>
      </c>
      <c r="AS86" s="225" t="str">
        <f>IF(AND(F86&gt;0,ROWS($D$70:E85)&lt;&gt;COLUMNS($D$70:E85)),MAX($AQ86:AR86)+1,"")</f>
        <v/>
      </c>
      <c r="AT86" s="225" t="str">
        <f>IF(AND(G86&gt;0,ROWS($D$70:F85)&lt;&gt;COLUMNS($D$70:F85)),MAX($AQ86:AS86)+1,"")</f>
        <v/>
      </c>
      <c r="AU86" s="225" t="str">
        <f>IF(AND(H86&gt;0,ROWS($D$70:G85)&lt;&gt;COLUMNS($D$70:G85)),MAX($AQ86:AT86)+1,"")</f>
        <v/>
      </c>
      <c r="AV86" s="225" t="str">
        <f>IF(AND(I86&gt;0,ROWS($D$70:H85)&lt;&gt;COLUMNS($D$70:H85)),MAX($AQ86:AU86)+1,"")</f>
        <v/>
      </c>
      <c r="AW86" s="225" t="str">
        <f>IF(AND(J86&gt;0,ROWS($D$70:I85)&lt;&gt;COLUMNS($D$70:I85)),MAX($AQ86:AV86)+1,"")</f>
        <v/>
      </c>
      <c r="AX86" s="225" t="str">
        <f>IF(AND(K86&gt;0,ROWS($D$70:J85)&lt;&gt;COLUMNS($D$70:J85)),MAX($AQ86:AW86)+1,"")</f>
        <v/>
      </c>
      <c r="AY86" s="225" t="str">
        <f>IF(AND(L86&gt;0,ROWS($D$70:K85)&lt;&gt;COLUMNS($D$70:K85)),MAX($AQ86:AX86)+1,"")</f>
        <v/>
      </c>
      <c r="AZ86" s="225" t="str">
        <f>IF(AND(M86&gt;0,ROWS($D$70:L85)&lt;&gt;COLUMNS($D$70:L85)),MAX($AQ86:AY86)+1,"")</f>
        <v/>
      </c>
      <c r="BA86" s="350" t="str">
        <f>IF(AND(N86&gt;0,ROWS($D$70:M85)&lt;&gt;COLUMNS($D$70:M85)),MAX($AQ86:AZ86)+1,"")</f>
        <v/>
      </c>
      <c r="BB86" s="349" t="str">
        <f>IF(AND(O86&gt;0,ROWS($D$70:N85)&lt;&gt;COLUMNS($D$70:N85)),MAX($AQ86:BA86)+1,"")</f>
        <v/>
      </c>
      <c r="BC86" s="225" t="str">
        <f>IF(AND(P86&gt;0,ROWS($D$70:O85)&lt;&gt;COLUMNS($D$70:O85)),MAX($AQ86:BB86)+1,"")</f>
        <v/>
      </c>
      <c r="BD86" s="225" t="str">
        <f>IF(AND(Q86&gt;0,ROWS($D$70:P85)&lt;&gt;COLUMNS($D$70:P85)),MAX($AQ86:BC86)+1,"")</f>
        <v/>
      </c>
      <c r="BE86" s="225" t="str">
        <f>IF(AND(R86&gt;0,ROWS($D$70:Q85)&lt;&gt;COLUMNS($D$70:Q85)),MAX($AQ86:BD86)+1,"")</f>
        <v/>
      </c>
      <c r="BF86" s="225" t="str">
        <f>IF(AND(S86&gt;0,ROWS($D$70:R85)&lt;&gt;COLUMNS($D$70:R85)),MAX($AQ86:BE86)+1,"")</f>
        <v/>
      </c>
      <c r="BG86" s="225" t="str">
        <f>IF(AND(T86&gt;0,ROWS($D$70:S85)&lt;&gt;COLUMNS($D$70:S85)),MAX($AQ86:BF86)+1,"")</f>
        <v/>
      </c>
      <c r="BH86" s="225" t="str">
        <f>IF(AND(U86&gt;0,ROWS($D$70:T85)&lt;&gt;COLUMNS($D$70:T85)),MAX($AQ86:BG86)+1,"")</f>
        <v/>
      </c>
      <c r="BI86" s="225" t="str">
        <f>IF(AND(V86&gt;0,ROWS($D$70:U85)&lt;&gt;COLUMNS($D$70:U85)),MAX($AQ86:BH86)+1,"")</f>
        <v/>
      </c>
      <c r="BJ86" s="225" t="str">
        <f>IF(AND(W86&gt;0,ROWS($D$70:V85)&lt;&gt;COLUMNS($D$70:V85)),MAX($AQ86:BI86)+1,"")</f>
        <v/>
      </c>
      <c r="BK86" s="225" t="str">
        <f>IF(AND(X86&gt;0,ROWS($D$70:W85)&lt;&gt;COLUMNS($D$70:W85)),MAX($AQ86:BJ86)+1,"")</f>
        <v/>
      </c>
      <c r="BL86" s="225" t="str">
        <f>IF(AND(Y86&gt;0,ROWS($D$70:X85)&lt;&gt;COLUMNS($D$70:X85)),MAX($AQ86:BK86)+1,"")</f>
        <v/>
      </c>
      <c r="BM86" s="225" t="str">
        <f>IF(AND(Z86&gt;0,ROWS($D$70:Y85)&lt;&gt;COLUMNS($D$70:Y85)),MAX($AQ86:BL86)+1,"")</f>
        <v/>
      </c>
      <c r="BN86" s="225" t="str">
        <f>IF(AND(AA86&gt;0,ROWS($D$70:Z85)&lt;&gt;COLUMNS($D$70:Z85)),MAX($AQ86:BM86)+1,"")</f>
        <v/>
      </c>
      <c r="BO86" s="225" t="str">
        <f>IF(AND(AB86&gt;0,ROWS($D$70:AA85)&lt;&gt;COLUMNS($D$70:AA85)),MAX($AQ86:BN86)+1,"")</f>
        <v/>
      </c>
      <c r="BP86" s="225" t="str">
        <f>IF(AND(AC86&gt;0,ROWS($D$70:AB85)&lt;&gt;COLUMNS($D$70:AB85)),MAX($AQ86:BO86)+1,"")</f>
        <v/>
      </c>
      <c r="BQ86" s="225" t="str">
        <f>IF(AND(AD86&gt;0,ROWS($D$70:AC85)&lt;&gt;COLUMNS($D$70:AC85)),MAX($AQ86:BP86)+1,"")</f>
        <v/>
      </c>
      <c r="BR86" s="225" t="str">
        <f>IF(AND(AE86&gt;0,ROWS($D$70:AD85)&lt;&gt;COLUMNS($D$70:AD85)),MAX($AQ86:BQ86)+1,"")</f>
        <v/>
      </c>
      <c r="BS86" s="225" t="str">
        <f>IF(AND(AF86&gt;0,ROWS($D$70:AE85)&lt;&gt;COLUMNS($D$70:AE85)),MAX($AQ86:BR86)+1,"")</f>
        <v/>
      </c>
      <c r="BT86" s="225" t="str">
        <f>IF(AND(AG86&gt;0,ROWS($D$70:AF85)&lt;&gt;COLUMNS($D$70:AF85)),MAX($AQ86:BS86)+1,"")</f>
        <v/>
      </c>
      <c r="BU86" s="350" t="str">
        <f>IF(AND(AH86&gt;0,ROWS($D$70:AG85)&lt;&gt;COLUMNS($D$70:AG85)),MAX($AQ86:BT86)+1,"")</f>
        <v/>
      </c>
    </row>
    <row r="87" spans="2:74" ht="12.75" customHeight="1" x14ac:dyDescent="0.35">
      <c r="C87" s="223">
        <v>7</v>
      </c>
      <c r="D87" s="336" t="str">
        <f t="shared" si="11"/>
        <v/>
      </c>
      <c r="E87" s="331">
        <v>0</v>
      </c>
      <c r="F87" s="224">
        <v>0</v>
      </c>
      <c r="G87" s="224">
        <v>0</v>
      </c>
      <c r="H87" s="224">
        <v>0</v>
      </c>
      <c r="I87" s="224">
        <v>0</v>
      </c>
      <c r="J87" s="224">
        <v>0</v>
      </c>
      <c r="K87" s="224">
        <v>0</v>
      </c>
      <c r="L87" s="224">
        <v>0</v>
      </c>
      <c r="M87" s="224">
        <v>0</v>
      </c>
      <c r="N87" s="332">
        <v>0</v>
      </c>
      <c r="O87" s="331">
        <v>0</v>
      </c>
      <c r="P87" s="224">
        <v>0</v>
      </c>
      <c r="Q87" s="224">
        <v>0</v>
      </c>
      <c r="R87" s="224">
        <v>0</v>
      </c>
      <c r="S87" s="224">
        <v>0</v>
      </c>
      <c r="T87" s="224">
        <v>0</v>
      </c>
      <c r="U87" s="224">
        <v>1</v>
      </c>
      <c r="V87" s="224">
        <v>0</v>
      </c>
      <c r="W87" s="224">
        <v>0</v>
      </c>
      <c r="X87" s="224">
        <v>0</v>
      </c>
      <c r="Y87" s="224">
        <v>0</v>
      </c>
      <c r="Z87" s="224">
        <v>0</v>
      </c>
      <c r="AA87" s="224">
        <v>0</v>
      </c>
      <c r="AB87" s="224">
        <v>0</v>
      </c>
      <c r="AC87" s="224">
        <v>0</v>
      </c>
      <c r="AD87" s="224">
        <v>0</v>
      </c>
      <c r="AE87" s="224">
        <v>0</v>
      </c>
      <c r="AF87" s="224">
        <v>0</v>
      </c>
      <c r="AG87" s="224">
        <v>0</v>
      </c>
      <c r="AH87" s="332">
        <v>0</v>
      </c>
      <c r="AJ87" s="340">
        <f>IFERROR(SUMIF(E_PurchPrec!S:S,CONST_CNTR_EmbedEmDir &amp; D87,E_PurchPrec!T:T)/SUMIF(E_PurchPrec!R:R,CONST_CNTR_TotProd &amp; D87,E_PurchPrec!T:T),0)</f>
        <v>0</v>
      </c>
      <c r="AK87" s="341">
        <v>0</v>
      </c>
      <c r="AL87" s="344">
        <f>IFERROR(SUMIF(E_PurchPrec!S:S,CONST_CNTR_EmbedEmInDir &amp; D87,E_PurchPrec!T:T)/SUMIF(E_PurchPrec!R:R,CONST_CNTR_TotProd &amp; D87,E_PurchPrec!T:T),0)</f>
        <v>0</v>
      </c>
      <c r="AM87" s="341">
        <v>0</v>
      </c>
      <c r="AN87" s="344">
        <f>IFERROR(SUMIF(E_PurchPrec!R:R,CONST_ElecConsumption &amp; D87,E_PurchPrec!T:T)/SUMIF(E_PurchPrec!R:R,CONST_CNTR_TotProd &amp; D87,E_PurchPrec!T:T),0)</f>
        <v>0</v>
      </c>
      <c r="AO87" s="341">
        <v>0</v>
      </c>
      <c r="AR87" s="349" t="str">
        <f>IF(AND(E87&gt;0,ROWS($D$70:D86)&lt;&gt;COLUMNS($D$70:D86)),MAX($AQ87:AQ87)+1,"")</f>
        <v/>
      </c>
      <c r="AS87" s="225" t="str">
        <f>IF(AND(F87&gt;0,ROWS($D$70:E86)&lt;&gt;COLUMNS($D$70:E86)),MAX($AQ87:AR87)+1,"")</f>
        <v/>
      </c>
      <c r="AT87" s="225" t="str">
        <f>IF(AND(G87&gt;0,ROWS($D$70:F86)&lt;&gt;COLUMNS($D$70:F86)),MAX($AQ87:AS87)+1,"")</f>
        <v/>
      </c>
      <c r="AU87" s="225" t="str">
        <f>IF(AND(H87&gt;0,ROWS($D$70:G86)&lt;&gt;COLUMNS($D$70:G86)),MAX($AQ87:AT87)+1,"")</f>
        <v/>
      </c>
      <c r="AV87" s="225" t="str">
        <f>IF(AND(I87&gt;0,ROWS($D$70:H86)&lt;&gt;COLUMNS($D$70:H86)),MAX($AQ87:AU87)+1,"")</f>
        <v/>
      </c>
      <c r="AW87" s="225" t="str">
        <f>IF(AND(J87&gt;0,ROWS($D$70:I86)&lt;&gt;COLUMNS($D$70:I86)),MAX($AQ87:AV87)+1,"")</f>
        <v/>
      </c>
      <c r="AX87" s="225" t="str">
        <f>IF(AND(K87&gt;0,ROWS($D$70:J86)&lt;&gt;COLUMNS($D$70:J86)),MAX($AQ87:AW87)+1,"")</f>
        <v/>
      </c>
      <c r="AY87" s="225" t="str">
        <f>IF(AND(L87&gt;0,ROWS($D$70:K86)&lt;&gt;COLUMNS($D$70:K86)),MAX($AQ87:AX87)+1,"")</f>
        <v/>
      </c>
      <c r="AZ87" s="225" t="str">
        <f>IF(AND(M87&gt;0,ROWS($D$70:L86)&lt;&gt;COLUMNS($D$70:L86)),MAX($AQ87:AY87)+1,"")</f>
        <v/>
      </c>
      <c r="BA87" s="350" t="str">
        <f>IF(AND(N87&gt;0,ROWS($D$70:M86)&lt;&gt;COLUMNS($D$70:M86)),MAX($AQ87:AZ87)+1,"")</f>
        <v/>
      </c>
      <c r="BB87" s="349" t="str">
        <f>IF(AND(O87&gt;0,ROWS($D$70:N86)&lt;&gt;COLUMNS($D$70:N86)),MAX($AQ87:BA87)+1,"")</f>
        <v/>
      </c>
      <c r="BC87" s="225" t="str">
        <f>IF(AND(P87&gt;0,ROWS($D$70:O86)&lt;&gt;COLUMNS($D$70:O86)),MAX($AQ87:BB87)+1,"")</f>
        <v/>
      </c>
      <c r="BD87" s="225" t="str">
        <f>IF(AND(Q87&gt;0,ROWS($D$70:P86)&lt;&gt;COLUMNS($D$70:P86)),MAX($AQ87:BC87)+1,"")</f>
        <v/>
      </c>
      <c r="BE87" s="225" t="str">
        <f>IF(AND(R87&gt;0,ROWS($D$70:Q86)&lt;&gt;COLUMNS($D$70:Q86)),MAX($AQ87:BD87)+1,"")</f>
        <v/>
      </c>
      <c r="BF87" s="225" t="str">
        <f>IF(AND(S87&gt;0,ROWS($D$70:R86)&lt;&gt;COLUMNS($D$70:R86)),MAX($AQ87:BE87)+1,"")</f>
        <v/>
      </c>
      <c r="BG87" s="225" t="str">
        <f>IF(AND(T87&gt;0,ROWS($D$70:S86)&lt;&gt;COLUMNS($D$70:S86)),MAX($AQ87:BF87)+1,"")</f>
        <v/>
      </c>
      <c r="BH87" s="225" t="str">
        <f>IF(AND(U87&gt;0,ROWS($D$70:T86)&lt;&gt;COLUMNS($D$70:T86)),MAX($AQ87:BG87)+1,"")</f>
        <v/>
      </c>
      <c r="BI87" s="225" t="str">
        <f>IF(AND(V87&gt;0,ROWS($D$70:U86)&lt;&gt;COLUMNS($D$70:U86)),MAX($AQ87:BH87)+1,"")</f>
        <v/>
      </c>
      <c r="BJ87" s="225" t="str">
        <f>IF(AND(W87&gt;0,ROWS($D$70:V86)&lt;&gt;COLUMNS($D$70:V86)),MAX($AQ87:BI87)+1,"")</f>
        <v/>
      </c>
      <c r="BK87" s="225" t="str">
        <f>IF(AND(X87&gt;0,ROWS($D$70:W86)&lt;&gt;COLUMNS($D$70:W86)),MAX($AQ87:BJ87)+1,"")</f>
        <v/>
      </c>
      <c r="BL87" s="225" t="str">
        <f>IF(AND(Y87&gt;0,ROWS($D$70:X86)&lt;&gt;COLUMNS($D$70:X86)),MAX($AQ87:BK87)+1,"")</f>
        <v/>
      </c>
      <c r="BM87" s="225" t="str">
        <f>IF(AND(Z87&gt;0,ROWS($D$70:Y86)&lt;&gt;COLUMNS($D$70:Y86)),MAX($AQ87:BL87)+1,"")</f>
        <v/>
      </c>
      <c r="BN87" s="225" t="str">
        <f>IF(AND(AA87&gt;0,ROWS($D$70:Z86)&lt;&gt;COLUMNS($D$70:Z86)),MAX($AQ87:BM87)+1,"")</f>
        <v/>
      </c>
      <c r="BO87" s="225" t="str">
        <f>IF(AND(AB87&gt;0,ROWS($D$70:AA86)&lt;&gt;COLUMNS($D$70:AA86)),MAX($AQ87:BN87)+1,"")</f>
        <v/>
      </c>
      <c r="BP87" s="225" t="str">
        <f>IF(AND(AC87&gt;0,ROWS($D$70:AB86)&lt;&gt;COLUMNS($D$70:AB86)),MAX($AQ87:BO87)+1,"")</f>
        <v/>
      </c>
      <c r="BQ87" s="225" t="str">
        <f>IF(AND(AD87&gt;0,ROWS($D$70:AC86)&lt;&gt;COLUMNS($D$70:AC86)),MAX($AQ87:BP87)+1,"")</f>
        <v/>
      </c>
      <c r="BR87" s="225" t="str">
        <f>IF(AND(AE87&gt;0,ROWS($D$70:AD86)&lt;&gt;COLUMNS($D$70:AD86)),MAX($AQ87:BQ87)+1,"")</f>
        <v/>
      </c>
      <c r="BS87" s="225" t="str">
        <f>IF(AND(AF87&gt;0,ROWS($D$70:AE86)&lt;&gt;COLUMNS($D$70:AE86)),MAX($AQ87:BR87)+1,"")</f>
        <v/>
      </c>
      <c r="BT87" s="225" t="str">
        <f>IF(AND(AG87&gt;0,ROWS($D$70:AF86)&lt;&gt;COLUMNS($D$70:AF86)),MAX($AQ87:BS87)+1,"")</f>
        <v/>
      </c>
      <c r="BU87" s="350" t="str">
        <f>IF(AND(AH87&gt;0,ROWS($D$70:AG86)&lt;&gt;COLUMNS($D$70:AG86)),MAX($AQ87:BT87)+1,"")</f>
        <v/>
      </c>
    </row>
    <row r="88" spans="2:74" ht="12.75" customHeight="1" x14ac:dyDescent="0.35">
      <c r="C88" s="223">
        <v>8</v>
      </c>
      <c r="D88" s="336" t="str">
        <f t="shared" si="11"/>
        <v/>
      </c>
      <c r="E88" s="331">
        <v>0</v>
      </c>
      <c r="F88" s="224">
        <v>0</v>
      </c>
      <c r="G88" s="224">
        <v>0</v>
      </c>
      <c r="H88" s="224">
        <v>0</v>
      </c>
      <c r="I88" s="224">
        <v>0</v>
      </c>
      <c r="J88" s="224">
        <v>0</v>
      </c>
      <c r="K88" s="224">
        <v>0</v>
      </c>
      <c r="L88" s="224">
        <v>0</v>
      </c>
      <c r="M88" s="224">
        <v>0</v>
      </c>
      <c r="N88" s="332">
        <v>0</v>
      </c>
      <c r="O88" s="331">
        <v>0</v>
      </c>
      <c r="P88" s="224">
        <v>0</v>
      </c>
      <c r="Q88" s="224">
        <v>0</v>
      </c>
      <c r="R88" s="224">
        <v>0</v>
      </c>
      <c r="S88" s="224">
        <v>0</v>
      </c>
      <c r="T88" s="224">
        <v>0</v>
      </c>
      <c r="U88" s="224">
        <v>0</v>
      </c>
      <c r="V88" s="224">
        <v>1</v>
      </c>
      <c r="W88" s="224">
        <v>0</v>
      </c>
      <c r="X88" s="224">
        <v>0</v>
      </c>
      <c r="Y88" s="224">
        <v>0</v>
      </c>
      <c r="Z88" s="224">
        <v>0</v>
      </c>
      <c r="AA88" s="224">
        <v>0</v>
      </c>
      <c r="AB88" s="224">
        <v>0</v>
      </c>
      <c r="AC88" s="224">
        <v>0</v>
      </c>
      <c r="AD88" s="224">
        <v>0</v>
      </c>
      <c r="AE88" s="224">
        <v>0</v>
      </c>
      <c r="AF88" s="224">
        <v>0</v>
      </c>
      <c r="AG88" s="224">
        <v>0</v>
      </c>
      <c r="AH88" s="332">
        <v>0</v>
      </c>
      <c r="AJ88" s="340">
        <f>IFERROR(SUMIF(E_PurchPrec!S:S,CONST_CNTR_EmbedEmDir &amp; D88,E_PurchPrec!T:T)/SUMIF(E_PurchPrec!R:R,CONST_CNTR_TotProd &amp; D88,E_PurchPrec!T:T),0)</f>
        <v>0</v>
      </c>
      <c r="AK88" s="341">
        <v>0</v>
      </c>
      <c r="AL88" s="344">
        <f>IFERROR(SUMIF(E_PurchPrec!S:S,CONST_CNTR_EmbedEmInDir &amp; D88,E_PurchPrec!T:T)/SUMIF(E_PurchPrec!R:R,CONST_CNTR_TotProd &amp; D88,E_PurchPrec!T:T),0)</f>
        <v>0</v>
      </c>
      <c r="AM88" s="341">
        <v>0</v>
      </c>
      <c r="AN88" s="344">
        <f>IFERROR(SUMIF(E_PurchPrec!R:R,CONST_ElecConsumption &amp; D88,E_PurchPrec!T:T)/SUMIF(E_PurchPrec!R:R,CONST_CNTR_TotProd &amp; D88,E_PurchPrec!T:T),0)</f>
        <v>0</v>
      </c>
      <c r="AO88" s="341">
        <v>0</v>
      </c>
      <c r="AR88" s="349" t="str">
        <f>IF(AND(E88&gt;0,ROWS($D$70:D87)&lt;&gt;COLUMNS($D$70:D87)),MAX($AQ88:AQ88)+1,"")</f>
        <v/>
      </c>
      <c r="AS88" s="225" t="str">
        <f>IF(AND(F88&gt;0,ROWS($D$70:E87)&lt;&gt;COLUMNS($D$70:E87)),MAX($AQ88:AR88)+1,"")</f>
        <v/>
      </c>
      <c r="AT88" s="225" t="str">
        <f>IF(AND(G88&gt;0,ROWS($D$70:F87)&lt;&gt;COLUMNS($D$70:F87)),MAX($AQ88:AS88)+1,"")</f>
        <v/>
      </c>
      <c r="AU88" s="225" t="str">
        <f>IF(AND(H88&gt;0,ROWS($D$70:G87)&lt;&gt;COLUMNS($D$70:G87)),MAX($AQ88:AT88)+1,"")</f>
        <v/>
      </c>
      <c r="AV88" s="225" t="str">
        <f>IF(AND(I88&gt;0,ROWS($D$70:H87)&lt;&gt;COLUMNS($D$70:H87)),MAX($AQ88:AU88)+1,"")</f>
        <v/>
      </c>
      <c r="AW88" s="225" t="str">
        <f>IF(AND(J88&gt;0,ROWS($D$70:I87)&lt;&gt;COLUMNS($D$70:I87)),MAX($AQ88:AV88)+1,"")</f>
        <v/>
      </c>
      <c r="AX88" s="225" t="str">
        <f>IF(AND(K88&gt;0,ROWS($D$70:J87)&lt;&gt;COLUMNS($D$70:J87)),MAX($AQ88:AW88)+1,"")</f>
        <v/>
      </c>
      <c r="AY88" s="225" t="str">
        <f>IF(AND(L88&gt;0,ROWS($D$70:K87)&lt;&gt;COLUMNS($D$70:K87)),MAX($AQ88:AX88)+1,"")</f>
        <v/>
      </c>
      <c r="AZ88" s="225" t="str">
        <f>IF(AND(M88&gt;0,ROWS($D$70:L87)&lt;&gt;COLUMNS($D$70:L87)),MAX($AQ88:AY88)+1,"")</f>
        <v/>
      </c>
      <c r="BA88" s="350" t="str">
        <f>IF(AND(N88&gt;0,ROWS($D$70:M87)&lt;&gt;COLUMNS($D$70:M87)),MAX($AQ88:AZ88)+1,"")</f>
        <v/>
      </c>
      <c r="BB88" s="349" t="str">
        <f>IF(AND(O88&gt;0,ROWS($D$70:N87)&lt;&gt;COLUMNS($D$70:N87)),MAX($AQ88:BA88)+1,"")</f>
        <v/>
      </c>
      <c r="BC88" s="225" t="str">
        <f>IF(AND(P88&gt;0,ROWS($D$70:O87)&lt;&gt;COLUMNS($D$70:O87)),MAX($AQ88:BB88)+1,"")</f>
        <v/>
      </c>
      <c r="BD88" s="225" t="str">
        <f>IF(AND(Q88&gt;0,ROWS($D$70:P87)&lt;&gt;COLUMNS($D$70:P87)),MAX($AQ88:BC88)+1,"")</f>
        <v/>
      </c>
      <c r="BE88" s="225" t="str">
        <f>IF(AND(R88&gt;0,ROWS($D$70:Q87)&lt;&gt;COLUMNS($D$70:Q87)),MAX($AQ88:BD88)+1,"")</f>
        <v/>
      </c>
      <c r="BF88" s="225" t="str">
        <f>IF(AND(S88&gt;0,ROWS($D$70:R87)&lt;&gt;COLUMNS($D$70:R87)),MAX($AQ88:BE88)+1,"")</f>
        <v/>
      </c>
      <c r="BG88" s="225" t="str">
        <f>IF(AND(T88&gt;0,ROWS($D$70:S87)&lt;&gt;COLUMNS($D$70:S87)),MAX($AQ88:BF88)+1,"")</f>
        <v/>
      </c>
      <c r="BH88" s="225" t="str">
        <f>IF(AND(U88&gt;0,ROWS($D$70:T87)&lt;&gt;COLUMNS($D$70:T87)),MAX($AQ88:BG88)+1,"")</f>
        <v/>
      </c>
      <c r="BI88" s="225" t="str">
        <f>IF(AND(V88&gt;0,ROWS($D$70:U87)&lt;&gt;COLUMNS($D$70:U87)),MAX($AQ88:BH88)+1,"")</f>
        <v/>
      </c>
      <c r="BJ88" s="225" t="str">
        <f>IF(AND(W88&gt;0,ROWS($D$70:V87)&lt;&gt;COLUMNS($D$70:V87)),MAX($AQ88:BI88)+1,"")</f>
        <v/>
      </c>
      <c r="BK88" s="225" t="str">
        <f>IF(AND(X88&gt;0,ROWS($D$70:W87)&lt;&gt;COLUMNS($D$70:W87)),MAX($AQ88:BJ88)+1,"")</f>
        <v/>
      </c>
      <c r="BL88" s="225" t="str">
        <f>IF(AND(Y88&gt;0,ROWS($D$70:X87)&lt;&gt;COLUMNS($D$70:X87)),MAX($AQ88:BK88)+1,"")</f>
        <v/>
      </c>
      <c r="BM88" s="225" t="str">
        <f>IF(AND(Z88&gt;0,ROWS($D$70:Y87)&lt;&gt;COLUMNS($D$70:Y87)),MAX($AQ88:BL88)+1,"")</f>
        <v/>
      </c>
      <c r="BN88" s="225" t="str">
        <f>IF(AND(AA88&gt;0,ROWS($D$70:Z87)&lt;&gt;COLUMNS($D$70:Z87)),MAX($AQ88:BM88)+1,"")</f>
        <v/>
      </c>
      <c r="BO88" s="225" t="str">
        <f>IF(AND(AB88&gt;0,ROWS($D$70:AA87)&lt;&gt;COLUMNS($D$70:AA87)),MAX($AQ88:BN88)+1,"")</f>
        <v/>
      </c>
      <c r="BP88" s="225" t="str">
        <f>IF(AND(AC88&gt;0,ROWS($D$70:AB87)&lt;&gt;COLUMNS($D$70:AB87)),MAX($AQ88:BO88)+1,"")</f>
        <v/>
      </c>
      <c r="BQ88" s="225" t="str">
        <f>IF(AND(AD88&gt;0,ROWS($D$70:AC87)&lt;&gt;COLUMNS($D$70:AC87)),MAX($AQ88:BP88)+1,"")</f>
        <v/>
      </c>
      <c r="BR88" s="225" t="str">
        <f>IF(AND(AE88&gt;0,ROWS($D$70:AD87)&lt;&gt;COLUMNS($D$70:AD87)),MAX($AQ88:BQ88)+1,"")</f>
        <v/>
      </c>
      <c r="BS88" s="225" t="str">
        <f>IF(AND(AF88&gt;0,ROWS($D$70:AE87)&lt;&gt;COLUMNS($D$70:AE87)),MAX($AQ88:BR88)+1,"")</f>
        <v/>
      </c>
      <c r="BT88" s="225" t="str">
        <f>IF(AND(AG88&gt;0,ROWS($D$70:AF87)&lt;&gt;COLUMNS($D$70:AF87)),MAX($AQ88:BS88)+1,"")</f>
        <v/>
      </c>
      <c r="BU88" s="350" t="str">
        <f>IF(AND(AH88&gt;0,ROWS($D$70:AG87)&lt;&gt;COLUMNS($D$70:AG87)),MAX($AQ88:BT88)+1,"")</f>
        <v/>
      </c>
    </row>
    <row r="89" spans="2:74" ht="12.75" customHeight="1" x14ac:dyDescent="0.35">
      <c r="C89" s="223">
        <v>9</v>
      </c>
      <c r="D89" s="336" t="str">
        <f t="shared" si="11"/>
        <v/>
      </c>
      <c r="E89" s="331">
        <v>0</v>
      </c>
      <c r="F89" s="224">
        <v>0</v>
      </c>
      <c r="G89" s="224">
        <v>0</v>
      </c>
      <c r="H89" s="224">
        <v>0</v>
      </c>
      <c r="I89" s="224">
        <v>0</v>
      </c>
      <c r="J89" s="224">
        <v>0</v>
      </c>
      <c r="K89" s="224">
        <v>0</v>
      </c>
      <c r="L89" s="224">
        <v>0</v>
      </c>
      <c r="M89" s="224">
        <v>0</v>
      </c>
      <c r="N89" s="332">
        <v>0</v>
      </c>
      <c r="O89" s="331">
        <v>0</v>
      </c>
      <c r="P89" s="224">
        <v>0</v>
      </c>
      <c r="Q89" s="224">
        <v>0</v>
      </c>
      <c r="R89" s="224">
        <v>0</v>
      </c>
      <c r="S89" s="224">
        <v>0</v>
      </c>
      <c r="T89" s="224">
        <v>0</v>
      </c>
      <c r="U89" s="224">
        <v>0</v>
      </c>
      <c r="V89" s="224">
        <v>0</v>
      </c>
      <c r="W89" s="224">
        <v>1</v>
      </c>
      <c r="X89" s="224">
        <v>0</v>
      </c>
      <c r="Y89" s="224">
        <v>0</v>
      </c>
      <c r="Z89" s="224">
        <v>0</v>
      </c>
      <c r="AA89" s="224">
        <v>0</v>
      </c>
      <c r="AB89" s="224">
        <v>0</v>
      </c>
      <c r="AC89" s="224">
        <v>0</v>
      </c>
      <c r="AD89" s="224">
        <v>0</v>
      </c>
      <c r="AE89" s="224">
        <v>0</v>
      </c>
      <c r="AF89" s="224">
        <v>0</v>
      </c>
      <c r="AG89" s="224">
        <v>0</v>
      </c>
      <c r="AH89" s="332">
        <v>0</v>
      </c>
      <c r="AJ89" s="340">
        <f>IFERROR(SUMIF(E_PurchPrec!S:S,CONST_CNTR_EmbedEmDir &amp; D89,E_PurchPrec!T:T)/SUMIF(E_PurchPrec!R:R,CONST_CNTR_TotProd &amp; D89,E_PurchPrec!T:T),0)</f>
        <v>0</v>
      </c>
      <c r="AK89" s="341">
        <v>0</v>
      </c>
      <c r="AL89" s="344">
        <f>IFERROR(SUMIF(E_PurchPrec!S:S,CONST_CNTR_EmbedEmInDir &amp; D89,E_PurchPrec!T:T)/SUMIF(E_PurchPrec!R:R,CONST_CNTR_TotProd &amp; D89,E_PurchPrec!T:T),0)</f>
        <v>0</v>
      </c>
      <c r="AM89" s="341">
        <v>0</v>
      </c>
      <c r="AN89" s="344">
        <f>IFERROR(SUMIF(E_PurchPrec!R:R,CONST_ElecConsumption &amp; D89,E_PurchPrec!T:T)/SUMIF(E_PurchPrec!R:R,CONST_CNTR_TotProd &amp; D89,E_PurchPrec!T:T),0)</f>
        <v>0</v>
      </c>
      <c r="AO89" s="341">
        <v>0</v>
      </c>
      <c r="AR89" s="349" t="str">
        <f>IF(AND(E89&gt;0,ROWS($D$70:D88)&lt;&gt;COLUMNS($D$70:D88)),MAX($AQ89:AQ89)+1,"")</f>
        <v/>
      </c>
      <c r="AS89" s="225" t="str">
        <f>IF(AND(F89&gt;0,ROWS($D$70:E88)&lt;&gt;COLUMNS($D$70:E88)),MAX($AQ89:AR89)+1,"")</f>
        <v/>
      </c>
      <c r="AT89" s="225" t="str">
        <f>IF(AND(G89&gt;0,ROWS($D$70:F88)&lt;&gt;COLUMNS($D$70:F88)),MAX($AQ89:AS89)+1,"")</f>
        <v/>
      </c>
      <c r="AU89" s="225" t="str">
        <f>IF(AND(H89&gt;0,ROWS($D$70:G88)&lt;&gt;COLUMNS($D$70:G88)),MAX($AQ89:AT89)+1,"")</f>
        <v/>
      </c>
      <c r="AV89" s="225" t="str">
        <f>IF(AND(I89&gt;0,ROWS($D$70:H88)&lt;&gt;COLUMNS($D$70:H88)),MAX($AQ89:AU89)+1,"")</f>
        <v/>
      </c>
      <c r="AW89" s="225" t="str">
        <f>IF(AND(J89&gt;0,ROWS($D$70:I88)&lt;&gt;COLUMNS($D$70:I88)),MAX($AQ89:AV89)+1,"")</f>
        <v/>
      </c>
      <c r="AX89" s="225" t="str">
        <f>IF(AND(K89&gt;0,ROWS($D$70:J88)&lt;&gt;COLUMNS($D$70:J88)),MAX($AQ89:AW89)+1,"")</f>
        <v/>
      </c>
      <c r="AY89" s="225" t="str">
        <f>IF(AND(L89&gt;0,ROWS($D$70:K88)&lt;&gt;COLUMNS($D$70:K88)),MAX($AQ89:AX89)+1,"")</f>
        <v/>
      </c>
      <c r="AZ89" s="225" t="str">
        <f>IF(AND(M89&gt;0,ROWS($D$70:L88)&lt;&gt;COLUMNS($D$70:L88)),MAX($AQ89:AY89)+1,"")</f>
        <v/>
      </c>
      <c r="BA89" s="350" t="str">
        <f>IF(AND(N89&gt;0,ROWS($D$70:M88)&lt;&gt;COLUMNS($D$70:M88)),MAX($AQ89:AZ89)+1,"")</f>
        <v/>
      </c>
      <c r="BB89" s="349" t="str">
        <f>IF(AND(O89&gt;0,ROWS($D$70:N88)&lt;&gt;COLUMNS($D$70:N88)),MAX($AQ89:BA89)+1,"")</f>
        <v/>
      </c>
      <c r="BC89" s="225" t="str">
        <f>IF(AND(P89&gt;0,ROWS($D$70:O88)&lt;&gt;COLUMNS($D$70:O88)),MAX($AQ89:BB89)+1,"")</f>
        <v/>
      </c>
      <c r="BD89" s="225" t="str">
        <f>IF(AND(Q89&gt;0,ROWS($D$70:P88)&lt;&gt;COLUMNS($D$70:P88)),MAX($AQ89:BC89)+1,"")</f>
        <v/>
      </c>
      <c r="BE89" s="225" t="str">
        <f>IF(AND(R89&gt;0,ROWS($D$70:Q88)&lt;&gt;COLUMNS($D$70:Q88)),MAX($AQ89:BD89)+1,"")</f>
        <v/>
      </c>
      <c r="BF89" s="225" t="str">
        <f>IF(AND(S89&gt;0,ROWS($D$70:R88)&lt;&gt;COLUMNS($D$70:R88)),MAX($AQ89:BE89)+1,"")</f>
        <v/>
      </c>
      <c r="BG89" s="225" t="str">
        <f>IF(AND(T89&gt;0,ROWS($D$70:S88)&lt;&gt;COLUMNS($D$70:S88)),MAX($AQ89:BF89)+1,"")</f>
        <v/>
      </c>
      <c r="BH89" s="225" t="str">
        <f>IF(AND(U89&gt;0,ROWS($D$70:T88)&lt;&gt;COLUMNS($D$70:T88)),MAX($AQ89:BG89)+1,"")</f>
        <v/>
      </c>
      <c r="BI89" s="225" t="str">
        <f>IF(AND(V89&gt;0,ROWS($D$70:U88)&lt;&gt;COLUMNS($D$70:U88)),MAX($AQ89:BH89)+1,"")</f>
        <v/>
      </c>
      <c r="BJ89" s="225" t="str">
        <f>IF(AND(W89&gt;0,ROWS($D$70:V88)&lt;&gt;COLUMNS($D$70:V88)),MAX($AQ89:BI89)+1,"")</f>
        <v/>
      </c>
      <c r="BK89" s="225" t="str">
        <f>IF(AND(X89&gt;0,ROWS($D$70:W88)&lt;&gt;COLUMNS($D$70:W88)),MAX($AQ89:BJ89)+1,"")</f>
        <v/>
      </c>
      <c r="BL89" s="225" t="str">
        <f>IF(AND(Y89&gt;0,ROWS($D$70:X88)&lt;&gt;COLUMNS($D$70:X88)),MAX($AQ89:BK89)+1,"")</f>
        <v/>
      </c>
      <c r="BM89" s="225" t="str">
        <f>IF(AND(Z89&gt;0,ROWS($D$70:Y88)&lt;&gt;COLUMNS($D$70:Y88)),MAX($AQ89:BL89)+1,"")</f>
        <v/>
      </c>
      <c r="BN89" s="225" t="str">
        <f>IF(AND(AA89&gt;0,ROWS($D$70:Z88)&lt;&gt;COLUMNS($D$70:Z88)),MAX($AQ89:BM89)+1,"")</f>
        <v/>
      </c>
      <c r="BO89" s="225" t="str">
        <f>IF(AND(AB89&gt;0,ROWS($D$70:AA88)&lt;&gt;COLUMNS($D$70:AA88)),MAX($AQ89:BN89)+1,"")</f>
        <v/>
      </c>
      <c r="BP89" s="225" t="str">
        <f>IF(AND(AC89&gt;0,ROWS($D$70:AB88)&lt;&gt;COLUMNS($D$70:AB88)),MAX($AQ89:BO89)+1,"")</f>
        <v/>
      </c>
      <c r="BQ89" s="225" t="str">
        <f>IF(AND(AD89&gt;0,ROWS($D$70:AC88)&lt;&gt;COLUMNS($D$70:AC88)),MAX($AQ89:BP89)+1,"")</f>
        <v/>
      </c>
      <c r="BR89" s="225" t="str">
        <f>IF(AND(AE89&gt;0,ROWS($D$70:AD88)&lt;&gt;COLUMNS($D$70:AD88)),MAX($AQ89:BQ89)+1,"")</f>
        <v/>
      </c>
      <c r="BS89" s="225" t="str">
        <f>IF(AND(AF89&gt;0,ROWS($D$70:AE88)&lt;&gt;COLUMNS($D$70:AE88)),MAX($AQ89:BR89)+1,"")</f>
        <v/>
      </c>
      <c r="BT89" s="225" t="str">
        <f>IF(AND(AG89&gt;0,ROWS($D$70:AF88)&lt;&gt;COLUMNS($D$70:AF88)),MAX($AQ89:BS89)+1,"")</f>
        <v/>
      </c>
      <c r="BU89" s="350" t="str">
        <f>IF(AND(AH89&gt;0,ROWS($D$70:AG88)&lt;&gt;COLUMNS($D$70:AG88)),MAX($AQ89:BT89)+1,"")</f>
        <v/>
      </c>
    </row>
    <row r="90" spans="2:74" ht="12.75" customHeight="1" x14ac:dyDescent="0.35">
      <c r="C90" s="223">
        <v>10</v>
      </c>
      <c r="D90" s="336" t="str">
        <f t="shared" si="11"/>
        <v/>
      </c>
      <c r="E90" s="331">
        <v>0</v>
      </c>
      <c r="F90" s="224">
        <v>0</v>
      </c>
      <c r="G90" s="224">
        <v>0</v>
      </c>
      <c r="H90" s="224">
        <v>0</v>
      </c>
      <c r="I90" s="224">
        <v>0</v>
      </c>
      <c r="J90" s="224">
        <v>0</v>
      </c>
      <c r="K90" s="224">
        <v>0</v>
      </c>
      <c r="L90" s="224">
        <v>0</v>
      </c>
      <c r="M90" s="224">
        <v>0</v>
      </c>
      <c r="N90" s="332">
        <v>0</v>
      </c>
      <c r="O90" s="331">
        <v>0</v>
      </c>
      <c r="P90" s="224">
        <v>0</v>
      </c>
      <c r="Q90" s="224">
        <v>0</v>
      </c>
      <c r="R90" s="224">
        <v>0</v>
      </c>
      <c r="S90" s="224">
        <v>0</v>
      </c>
      <c r="T90" s="224">
        <v>0</v>
      </c>
      <c r="U90" s="224">
        <v>0</v>
      </c>
      <c r="V90" s="224">
        <v>0</v>
      </c>
      <c r="W90" s="224">
        <v>0</v>
      </c>
      <c r="X90" s="224">
        <v>1</v>
      </c>
      <c r="Y90" s="224">
        <v>0</v>
      </c>
      <c r="Z90" s="224">
        <v>0</v>
      </c>
      <c r="AA90" s="224">
        <v>0</v>
      </c>
      <c r="AB90" s="224">
        <v>0</v>
      </c>
      <c r="AC90" s="224">
        <v>0</v>
      </c>
      <c r="AD90" s="224">
        <v>0</v>
      </c>
      <c r="AE90" s="224">
        <v>0</v>
      </c>
      <c r="AF90" s="224">
        <v>0</v>
      </c>
      <c r="AG90" s="224">
        <v>0</v>
      </c>
      <c r="AH90" s="332">
        <v>0</v>
      </c>
      <c r="AJ90" s="340">
        <f>IFERROR(SUMIF(E_PurchPrec!S:S,CONST_CNTR_EmbedEmDir &amp; D90,E_PurchPrec!T:T)/SUMIF(E_PurchPrec!R:R,CONST_CNTR_TotProd &amp; D90,E_PurchPrec!T:T),0)</f>
        <v>0</v>
      </c>
      <c r="AK90" s="341">
        <v>0</v>
      </c>
      <c r="AL90" s="344">
        <f>IFERROR(SUMIF(E_PurchPrec!S:S,CONST_CNTR_EmbedEmInDir &amp; D90,E_PurchPrec!T:T)/SUMIF(E_PurchPrec!R:R,CONST_CNTR_TotProd &amp; D90,E_PurchPrec!T:T),0)</f>
        <v>0</v>
      </c>
      <c r="AM90" s="341">
        <v>0</v>
      </c>
      <c r="AN90" s="344">
        <f>IFERROR(SUMIF(E_PurchPrec!R:R,CONST_ElecConsumption &amp; D90,E_PurchPrec!T:T)/SUMIF(E_PurchPrec!R:R,CONST_CNTR_TotProd &amp; D90,E_PurchPrec!T:T),0)</f>
        <v>0</v>
      </c>
      <c r="AO90" s="341">
        <v>0</v>
      </c>
      <c r="AR90" s="349" t="str">
        <f>IF(AND(E90&gt;0,ROWS($D$70:D89)&lt;&gt;COLUMNS($D$70:D89)),MAX($AQ90:AQ90)+1,"")</f>
        <v/>
      </c>
      <c r="AS90" s="225" t="str">
        <f>IF(AND(F90&gt;0,ROWS($D$70:E89)&lt;&gt;COLUMNS($D$70:E89)),MAX($AQ90:AR90)+1,"")</f>
        <v/>
      </c>
      <c r="AT90" s="225" t="str">
        <f>IF(AND(G90&gt;0,ROWS($D$70:F89)&lt;&gt;COLUMNS($D$70:F89)),MAX($AQ90:AS90)+1,"")</f>
        <v/>
      </c>
      <c r="AU90" s="225" t="str">
        <f>IF(AND(H90&gt;0,ROWS($D$70:G89)&lt;&gt;COLUMNS($D$70:G89)),MAX($AQ90:AT90)+1,"")</f>
        <v/>
      </c>
      <c r="AV90" s="225" t="str">
        <f>IF(AND(I90&gt;0,ROWS($D$70:H89)&lt;&gt;COLUMNS($D$70:H89)),MAX($AQ90:AU90)+1,"")</f>
        <v/>
      </c>
      <c r="AW90" s="225" t="str">
        <f>IF(AND(J90&gt;0,ROWS($D$70:I89)&lt;&gt;COLUMNS($D$70:I89)),MAX($AQ90:AV90)+1,"")</f>
        <v/>
      </c>
      <c r="AX90" s="225" t="str">
        <f>IF(AND(K90&gt;0,ROWS($D$70:J89)&lt;&gt;COLUMNS($D$70:J89)),MAX($AQ90:AW90)+1,"")</f>
        <v/>
      </c>
      <c r="AY90" s="225" t="str">
        <f>IF(AND(L90&gt;0,ROWS($D$70:K89)&lt;&gt;COLUMNS($D$70:K89)),MAX($AQ90:AX90)+1,"")</f>
        <v/>
      </c>
      <c r="AZ90" s="225" t="str">
        <f>IF(AND(M90&gt;0,ROWS($D$70:L89)&lt;&gt;COLUMNS($D$70:L89)),MAX($AQ90:AY90)+1,"")</f>
        <v/>
      </c>
      <c r="BA90" s="350" t="str">
        <f>IF(AND(N90&gt;0,ROWS($D$70:M89)&lt;&gt;COLUMNS($D$70:M89)),MAX($AQ90:AZ90)+1,"")</f>
        <v/>
      </c>
      <c r="BB90" s="349" t="str">
        <f>IF(AND(O90&gt;0,ROWS($D$70:N89)&lt;&gt;COLUMNS($D$70:N89)),MAX($AQ90:BA90)+1,"")</f>
        <v/>
      </c>
      <c r="BC90" s="225" t="str">
        <f>IF(AND(P90&gt;0,ROWS($D$70:O89)&lt;&gt;COLUMNS($D$70:O89)),MAX($AQ90:BB90)+1,"")</f>
        <v/>
      </c>
      <c r="BD90" s="225" t="str">
        <f>IF(AND(Q90&gt;0,ROWS($D$70:P89)&lt;&gt;COLUMNS($D$70:P89)),MAX($AQ90:BC90)+1,"")</f>
        <v/>
      </c>
      <c r="BE90" s="225" t="str">
        <f>IF(AND(R90&gt;0,ROWS($D$70:Q89)&lt;&gt;COLUMNS($D$70:Q89)),MAX($AQ90:BD90)+1,"")</f>
        <v/>
      </c>
      <c r="BF90" s="225" t="str">
        <f>IF(AND(S90&gt;0,ROWS($D$70:R89)&lt;&gt;COLUMNS($D$70:R89)),MAX($AQ90:BE90)+1,"")</f>
        <v/>
      </c>
      <c r="BG90" s="225" t="str">
        <f>IF(AND(T90&gt;0,ROWS($D$70:S89)&lt;&gt;COLUMNS($D$70:S89)),MAX($AQ90:BF90)+1,"")</f>
        <v/>
      </c>
      <c r="BH90" s="225" t="str">
        <f>IF(AND(U90&gt;0,ROWS($D$70:T89)&lt;&gt;COLUMNS($D$70:T89)),MAX($AQ90:BG90)+1,"")</f>
        <v/>
      </c>
      <c r="BI90" s="225" t="str">
        <f>IF(AND(V90&gt;0,ROWS($D$70:U89)&lt;&gt;COLUMNS($D$70:U89)),MAX($AQ90:BH90)+1,"")</f>
        <v/>
      </c>
      <c r="BJ90" s="225" t="str">
        <f>IF(AND(W90&gt;0,ROWS($D$70:V89)&lt;&gt;COLUMNS($D$70:V89)),MAX($AQ90:BI90)+1,"")</f>
        <v/>
      </c>
      <c r="BK90" s="225" t="str">
        <f>IF(AND(X90&gt;0,ROWS($D$70:W89)&lt;&gt;COLUMNS($D$70:W89)),MAX($AQ90:BJ90)+1,"")</f>
        <v/>
      </c>
      <c r="BL90" s="225" t="str">
        <f>IF(AND(Y90&gt;0,ROWS($D$70:X89)&lt;&gt;COLUMNS($D$70:X89)),MAX($AQ90:BK90)+1,"")</f>
        <v/>
      </c>
      <c r="BM90" s="225" t="str">
        <f>IF(AND(Z90&gt;0,ROWS($D$70:Y89)&lt;&gt;COLUMNS($D$70:Y89)),MAX($AQ90:BL90)+1,"")</f>
        <v/>
      </c>
      <c r="BN90" s="225" t="str">
        <f>IF(AND(AA90&gt;0,ROWS($D$70:Z89)&lt;&gt;COLUMNS($D$70:Z89)),MAX($AQ90:BM90)+1,"")</f>
        <v/>
      </c>
      <c r="BO90" s="225" t="str">
        <f>IF(AND(AB90&gt;0,ROWS($D$70:AA89)&lt;&gt;COLUMNS($D$70:AA89)),MAX($AQ90:BN90)+1,"")</f>
        <v/>
      </c>
      <c r="BP90" s="225" t="str">
        <f>IF(AND(AC90&gt;0,ROWS($D$70:AB89)&lt;&gt;COLUMNS($D$70:AB89)),MAX($AQ90:BO90)+1,"")</f>
        <v/>
      </c>
      <c r="BQ90" s="225" t="str">
        <f>IF(AND(AD90&gt;0,ROWS($D$70:AC89)&lt;&gt;COLUMNS($D$70:AC89)),MAX($AQ90:BP90)+1,"")</f>
        <v/>
      </c>
      <c r="BR90" s="225" t="str">
        <f>IF(AND(AE90&gt;0,ROWS($D$70:AD89)&lt;&gt;COLUMNS($D$70:AD89)),MAX($AQ90:BQ90)+1,"")</f>
        <v/>
      </c>
      <c r="BS90" s="225" t="str">
        <f>IF(AND(AF90&gt;0,ROWS($D$70:AE89)&lt;&gt;COLUMNS($D$70:AE89)),MAX($AQ90:BR90)+1,"")</f>
        <v/>
      </c>
      <c r="BT90" s="225" t="str">
        <f>IF(AND(AG90&gt;0,ROWS($D$70:AF89)&lt;&gt;COLUMNS($D$70:AF89)),MAX($AQ90:BS90)+1,"")</f>
        <v/>
      </c>
      <c r="BU90" s="350" t="str">
        <f>IF(AND(AH90&gt;0,ROWS($D$70:AG89)&lt;&gt;COLUMNS($D$70:AG89)),MAX($AQ90:BT90)+1,"")</f>
        <v/>
      </c>
    </row>
    <row r="91" spans="2:74" ht="12.75" customHeight="1" x14ac:dyDescent="0.35">
      <c r="C91" s="223">
        <v>11</v>
      </c>
      <c r="D91" s="336" t="str">
        <f t="shared" si="11"/>
        <v/>
      </c>
      <c r="E91" s="331">
        <v>0</v>
      </c>
      <c r="F91" s="224">
        <v>0</v>
      </c>
      <c r="G91" s="224">
        <v>0</v>
      </c>
      <c r="H91" s="224">
        <v>0</v>
      </c>
      <c r="I91" s="224">
        <v>0</v>
      </c>
      <c r="J91" s="224">
        <v>0</v>
      </c>
      <c r="K91" s="224">
        <v>0</v>
      </c>
      <c r="L91" s="224">
        <v>0</v>
      </c>
      <c r="M91" s="224">
        <v>0</v>
      </c>
      <c r="N91" s="332">
        <v>0</v>
      </c>
      <c r="O91" s="331">
        <v>0</v>
      </c>
      <c r="P91" s="224">
        <v>0</v>
      </c>
      <c r="Q91" s="224">
        <v>0</v>
      </c>
      <c r="R91" s="224">
        <v>0</v>
      </c>
      <c r="S91" s="224">
        <v>0</v>
      </c>
      <c r="T91" s="224">
        <v>0</v>
      </c>
      <c r="U91" s="224">
        <v>0</v>
      </c>
      <c r="V91" s="224">
        <v>0</v>
      </c>
      <c r="W91" s="224">
        <v>0</v>
      </c>
      <c r="X91" s="224">
        <v>0</v>
      </c>
      <c r="Y91" s="224">
        <v>1</v>
      </c>
      <c r="Z91" s="224">
        <v>0</v>
      </c>
      <c r="AA91" s="224">
        <v>0</v>
      </c>
      <c r="AB91" s="224">
        <v>0</v>
      </c>
      <c r="AC91" s="224">
        <v>0</v>
      </c>
      <c r="AD91" s="224">
        <v>0</v>
      </c>
      <c r="AE91" s="224">
        <v>0</v>
      </c>
      <c r="AF91" s="224">
        <v>0</v>
      </c>
      <c r="AG91" s="224">
        <v>0</v>
      </c>
      <c r="AH91" s="332">
        <v>0</v>
      </c>
      <c r="AJ91" s="340">
        <f>IFERROR(SUMIF(E_PurchPrec!S:S,CONST_CNTR_EmbedEmDir &amp; D91,E_PurchPrec!T:T)/SUMIF(E_PurchPrec!R:R,CONST_CNTR_TotProd &amp; D91,E_PurchPrec!T:T),0)</f>
        <v>0</v>
      </c>
      <c r="AK91" s="341">
        <v>0</v>
      </c>
      <c r="AL91" s="344">
        <f>IFERROR(SUMIF(E_PurchPrec!S:S,CONST_CNTR_EmbedEmInDir &amp; D91,E_PurchPrec!T:T)/SUMIF(E_PurchPrec!R:R,CONST_CNTR_TotProd &amp; D91,E_PurchPrec!T:T),0)</f>
        <v>0</v>
      </c>
      <c r="AM91" s="341">
        <v>0</v>
      </c>
      <c r="AN91" s="344">
        <f>IFERROR(SUMIF(E_PurchPrec!R:R,CONST_ElecConsumption &amp; D91,E_PurchPrec!T:T)/SUMIF(E_PurchPrec!R:R,CONST_CNTR_TotProd &amp; D91,E_PurchPrec!T:T),0)</f>
        <v>0</v>
      </c>
      <c r="AO91" s="341">
        <v>0</v>
      </c>
      <c r="AR91" s="349" t="str">
        <f>IF(AND(E91&gt;0,ROWS($D$70:D90)&lt;&gt;COLUMNS($D$70:D90)),MAX($AQ91:AQ91)+1,"")</f>
        <v/>
      </c>
      <c r="AS91" s="225" t="str">
        <f>IF(AND(F91&gt;0,ROWS($D$70:E90)&lt;&gt;COLUMNS($D$70:E90)),MAX($AQ91:AR91)+1,"")</f>
        <v/>
      </c>
      <c r="AT91" s="225" t="str">
        <f>IF(AND(G91&gt;0,ROWS($D$70:F90)&lt;&gt;COLUMNS($D$70:F90)),MAX($AQ91:AS91)+1,"")</f>
        <v/>
      </c>
      <c r="AU91" s="225" t="str">
        <f>IF(AND(H91&gt;0,ROWS($D$70:G90)&lt;&gt;COLUMNS($D$70:G90)),MAX($AQ91:AT91)+1,"")</f>
        <v/>
      </c>
      <c r="AV91" s="225" t="str">
        <f>IF(AND(I91&gt;0,ROWS($D$70:H90)&lt;&gt;COLUMNS($D$70:H90)),MAX($AQ91:AU91)+1,"")</f>
        <v/>
      </c>
      <c r="AW91" s="225" t="str">
        <f>IF(AND(J91&gt;0,ROWS($D$70:I90)&lt;&gt;COLUMNS($D$70:I90)),MAX($AQ91:AV91)+1,"")</f>
        <v/>
      </c>
      <c r="AX91" s="225" t="str">
        <f>IF(AND(K91&gt;0,ROWS($D$70:J90)&lt;&gt;COLUMNS($D$70:J90)),MAX($AQ91:AW91)+1,"")</f>
        <v/>
      </c>
      <c r="AY91" s="225" t="str">
        <f>IF(AND(L91&gt;0,ROWS($D$70:K90)&lt;&gt;COLUMNS($D$70:K90)),MAX($AQ91:AX91)+1,"")</f>
        <v/>
      </c>
      <c r="AZ91" s="225" t="str">
        <f>IF(AND(M91&gt;0,ROWS($D$70:L90)&lt;&gt;COLUMNS($D$70:L90)),MAX($AQ91:AY91)+1,"")</f>
        <v/>
      </c>
      <c r="BA91" s="350" t="str">
        <f>IF(AND(N91&gt;0,ROWS($D$70:M90)&lt;&gt;COLUMNS($D$70:M90)),MAX($AQ91:AZ91)+1,"")</f>
        <v/>
      </c>
      <c r="BB91" s="349" t="str">
        <f>IF(AND(O91&gt;0,ROWS($D$70:N90)&lt;&gt;COLUMNS($D$70:N90)),MAX($AQ91:BA91)+1,"")</f>
        <v/>
      </c>
      <c r="BC91" s="225" t="str">
        <f>IF(AND(P91&gt;0,ROWS($D$70:O90)&lt;&gt;COLUMNS($D$70:O90)),MAX($AQ91:BB91)+1,"")</f>
        <v/>
      </c>
      <c r="BD91" s="225" t="str">
        <f>IF(AND(Q91&gt;0,ROWS($D$70:P90)&lt;&gt;COLUMNS($D$70:P90)),MAX($AQ91:BC91)+1,"")</f>
        <v/>
      </c>
      <c r="BE91" s="225" t="str">
        <f>IF(AND(R91&gt;0,ROWS($D$70:Q90)&lt;&gt;COLUMNS($D$70:Q90)),MAX($AQ91:BD91)+1,"")</f>
        <v/>
      </c>
      <c r="BF91" s="225" t="str">
        <f>IF(AND(S91&gt;0,ROWS($D$70:R90)&lt;&gt;COLUMNS($D$70:R90)),MAX($AQ91:BE91)+1,"")</f>
        <v/>
      </c>
      <c r="BG91" s="225" t="str">
        <f>IF(AND(T91&gt;0,ROWS($D$70:S90)&lt;&gt;COLUMNS($D$70:S90)),MAX($AQ91:BF91)+1,"")</f>
        <v/>
      </c>
      <c r="BH91" s="225" t="str">
        <f>IF(AND(U91&gt;0,ROWS($D$70:T90)&lt;&gt;COLUMNS($D$70:T90)),MAX($AQ91:BG91)+1,"")</f>
        <v/>
      </c>
      <c r="BI91" s="225" t="str">
        <f>IF(AND(V91&gt;0,ROWS($D$70:U90)&lt;&gt;COLUMNS($D$70:U90)),MAX($AQ91:BH91)+1,"")</f>
        <v/>
      </c>
      <c r="BJ91" s="225" t="str">
        <f>IF(AND(W91&gt;0,ROWS($D$70:V90)&lt;&gt;COLUMNS($D$70:V90)),MAX($AQ91:BI91)+1,"")</f>
        <v/>
      </c>
      <c r="BK91" s="225" t="str">
        <f>IF(AND(X91&gt;0,ROWS($D$70:W90)&lt;&gt;COLUMNS($D$70:W90)),MAX($AQ91:BJ91)+1,"")</f>
        <v/>
      </c>
      <c r="BL91" s="225" t="str">
        <f>IF(AND(Y91&gt;0,ROWS($D$70:X90)&lt;&gt;COLUMNS($D$70:X90)),MAX($AQ91:BK91)+1,"")</f>
        <v/>
      </c>
      <c r="BM91" s="225" t="str">
        <f>IF(AND(Z91&gt;0,ROWS($D$70:Y90)&lt;&gt;COLUMNS($D$70:Y90)),MAX($AQ91:BL91)+1,"")</f>
        <v/>
      </c>
      <c r="BN91" s="225" t="str">
        <f>IF(AND(AA91&gt;0,ROWS($D$70:Z90)&lt;&gt;COLUMNS($D$70:Z90)),MAX($AQ91:BM91)+1,"")</f>
        <v/>
      </c>
      <c r="BO91" s="225" t="str">
        <f>IF(AND(AB91&gt;0,ROWS($D$70:AA90)&lt;&gt;COLUMNS($D$70:AA90)),MAX($AQ91:BN91)+1,"")</f>
        <v/>
      </c>
      <c r="BP91" s="225" t="str">
        <f>IF(AND(AC91&gt;0,ROWS($D$70:AB90)&lt;&gt;COLUMNS($D$70:AB90)),MAX($AQ91:BO91)+1,"")</f>
        <v/>
      </c>
      <c r="BQ91" s="225" t="str">
        <f>IF(AND(AD91&gt;0,ROWS($D$70:AC90)&lt;&gt;COLUMNS($D$70:AC90)),MAX($AQ91:BP91)+1,"")</f>
        <v/>
      </c>
      <c r="BR91" s="225" t="str">
        <f>IF(AND(AE91&gt;0,ROWS($D$70:AD90)&lt;&gt;COLUMNS($D$70:AD90)),MAX($AQ91:BQ91)+1,"")</f>
        <v/>
      </c>
      <c r="BS91" s="225" t="str">
        <f>IF(AND(AF91&gt;0,ROWS($D$70:AE90)&lt;&gt;COLUMNS($D$70:AE90)),MAX($AQ91:BR91)+1,"")</f>
        <v/>
      </c>
      <c r="BT91" s="225" t="str">
        <f>IF(AND(AG91&gt;0,ROWS($D$70:AF90)&lt;&gt;COLUMNS($D$70:AF90)),MAX($AQ91:BS91)+1,"")</f>
        <v/>
      </c>
      <c r="BU91" s="350" t="str">
        <f>IF(AND(AH91&gt;0,ROWS($D$70:AG90)&lt;&gt;COLUMNS($D$70:AG90)),MAX($AQ91:BT91)+1,"")</f>
        <v/>
      </c>
    </row>
    <row r="92" spans="2:74" ht="12.75" customHeight="1" x14ac:dyDescent="0.35">
      <c r="C92" s="223">
        <v>12</v>
      </c>
      <c r="D92" s="336" t="str">
        <f t="shared" si="11"/>
        <v/>
      </c>
      <c r="E92" s="331">
        <v>0</v>
      </c>
      <c r="F92" s="224">
        <v>0</v>
      </c>
      <c r="G92" s="224">
        <v>0</v>
      </c>
      <c r="H92" s="224">
        <v>0</v>
      </c>
      <c r="I92" s="224">
        <v>0</v>
      </c>
      <c r="J92" s="224">
        <v>0</v>
      </c>
      <c r="K92" s="224">
        <v>0</v>
      </c>
      <c r="L92" s="224">
        <v>0</v>
      </c>
      <c r="M92" s="224">
        <v>0</v>
      </c>
      <c r="N92" s="332">
        <v>0</v>
      </c>
      <c r="O92" s="331">
        <v>0</v>
      </c>
      <c r="P92" s="224">
        <v>0</v>
      </c>
      <c r="Q92" s="224">
        <v>0</v>
      </c>
      <c r="R92" s="224">
        <v>0</v>
      </c>
      <c r="S92" s="224">
        <v>0</v>
      </c>
      <c r="T92" s="224">
        <v>0</v>
      </c>
      <c r="U92" s="224">
        <v>0</v>
      </c>
      <c r="V92" s="224">
        <v>0</v>
      </c>
      <c r="W92" s="224">
        <v>0</v>
      </c>
      <c r="X92" s="224">
        <v>0</v>
      </c>
      <c r="Y92" s="224">
        <v>0</v>
      </c>
      <c r="Z92" s="224">
        <v>1</v>
      </c>
      <c r="AA92" s="224">
        <v>0</v>
      </c>
      <c r="AB92" s="224">
        <v>0</v>
      </c>
      <c r="AC92" s="224">
        <v>0</v>
      </c>
      <c r="AD92" s="224">
        <v>0</v>
      </c>
      <c r="AE92" s="224">
        <v>0</v>
      </c>
      <c r="AF92" s="224">
        <v>0</v>
      </c>
      <c r="AG92" s="224">
        <v>0</v>
      </c>
      <c r="AH92" s="332">
        <v>0</v>
      </c>
      <c r="AJ92" s="340">
        <f>IFERROR(SUMIF(E_PurchPrec!S:S,CONST_CNTR_EmbedEmDir &amp; D92,E_PurchPrec!T:T)/SUMIF(E_PurchPrec!R:R,CONST_CNTR_TotProd &amp; D92,E_PurchPrec!T:T),0)</f>
        <v>0</v>
      </c>
      <c r="AK92" s="341">
        <v>0</v>
      </c>
      <c r="AL92" s="344">
        <f>IFERROR(SUMIF(E_PurchPrec!S:S,CONST_CNTR_EmbedEmInDir &amp; D92,E_PurchPrec!T:T)/SUMIF(E_PurchPrec!R:R,CONST_CNTR_TotProd &amp; D92,E_PurchPrec!T:T),0)</f>
        <v>0</v>
      </c>
      <c r="AM92" s="341">
        <v>0</v>
      </c>
      <c r="AN92" s="344">
        <f>IFERROR(SUMIF(E_PurchPrec!R:R,CONST_ElecConsumption &amp; D92,E_PurchPrec!T:T)/SUMIF(E_PurchPrec!R:R,CONST_CNTR_TotProd &amp; D92,E_PurchPrec!T:T),0)</f>
        <v>0</v>
      </c>
      <c r="AO92" s="341">
        <v>0</v>
      </c>
      <c r="AR92" s="349" t="str">
        <f>IF(AND(E92&gt;0,ROWS($D$70:D91)&lt;&gt;COLUMNS($D$70:D91)),MAX($AQ92:AQ92)+1,"")</f>
        <v/>
      </c>
      <c r="AS92" s="225" t="str">
        <f>IF(AND(F92&gt;0,ROWS($D$70:E91)&lt;&gt;COLUMNS($D$70:E91)),MAX($AQ92:AR92)+1,"")</f>
        <v/>
      </c>
      <c r="AT92" s="225" t="str">
        <f>IF(AND(G92&gt;0,ROWS($D$70:F91)&lt;&gt;COLUMNS($D$70:F91)),MAX($AQ92:AS92)+1,"")</f>
        <v/>
      </c>
      <c r="AU92" s="225" t="str">
        <f>IF(AND(H92&gt;0,ROWS($D$70:G91)&lt;&gt;COLUMNS($D$70:G91)),MAX($AQ92:AT92)+1,"")</f>
        <v/>
      </c>
      <c r="AV92" s="225" t="str">
        <f>IF(AND(I92&gt;0,ROWS($D$70:H91)&lt;&gt;COLUMNS($D$70:H91)),MAX($AQ92:AU92)+1,"")</f>
        <v/>
      </c>
      <c r="AW92" s="225" t="str">
        <f>IF(AND(J92&gt;0,ROWS($D$70:I91)&lt;&gt;COLUMNS($D$70:I91)),MAX($AQ92:AV92)+1,"")</f>
        <v/>
      </c>
      <c r="AX92" s="225" t="str">
        <f>IF(AND(K92&gt;0,ROWS($D$70:J91)&lt;&gt;COLUMNS($D$70:J91)),MAX($AQ92:AW92)+1,"")</f>
        <v/>
      </c>
      <c r="AY92" s="225" t="str">
        <f>IF(AND(L92&gt;0,ROWS($D$70:K91)&lt;&gt;COLUMNS($D$70:K91)),MAX($AQ92:AX92)+1,"")</f>
        <v/>
      </c>
      <c r="AZ92" s="225" t="str">
        <f>IF(AND(M92&gt;0,ROWS($D$70:L91)&lt;&gt;COLUMNS($D$70:L91)),MAX($AQ92:AY92)+1,"")</f>
        <v/>
      </c>
      <c r="BA92" s="350" t="str">
        <f>IF(AND(N92&gt;0,ROWS($D$70:M91)&lt;&gt;COLUMNS($D$70:M91)),MAX($AQ92:AZ92)+1,"")</f>
        <v/>
      </c>
      <c r="BB92" s="349" t="str">
        <f>IF(AND(O92&gt;0,ROWS($D$70:N91)&lt;&gt;COLUMNS($D$70:N91)),MAX($AQ92:BA92)+1,"")</f>
        <v/>
      </c>
      <c r="BC92" s="225" t="str">
        <f>IF(AND(P92&gt;0,ROWS($D$70:O91)&lt;&gt;COLUMNS($D$70:O91)),MAX($AQ92:BB92)+1,"")</f>
        <v/>
      </c>
      <c r="BD92" s="225" t="str">
        <f>IF(AND(Q92&gt;0,ROWS($D$70:P91)&lt;&gt;COLUMNS($D$70:P91)),MAX($AQ92:BC92)+1,"")</f>
        <v/>
      </c>
      <c r="BE92" s="225" t="str">
        <f>IF(AND(R92&gt;0,ROWS($D$70:Q91)&lt;&gt;COLUMNS($D$70:Q91)),MAX($AQ92:BD92)+1,"")</f>
        <v/>
      </c>
      <c r="BF92" s="225" t="str">
        <f>IF(AND(S92&gt;0,ROWS($D$70:R91)&lt;&gt;COLUMNS($D$70:R91)),MAX($AQ92:BE92)+1,"")</f>
        <v/>
      </c>
      <c r="BG92" s="225" t="str">
        <f>IF(AND(T92&gt;0,ROWS($D$70:S91)&lt;&gt;COLUMNS($D$70:S91)),MAX($AQ92:BF92)+1,"")</f>
        <v/>
      </c>
      <c r="BH92" s="225" t="str">
        <f>IF(AND(U92&gt;0,ROWS($D$70:T91)&lt;&gt;COLUMNS($D$70:T91)),MAX($AQ92:BG92)+1,"")</f>
        <v/>
      </c>
      <c r="BI92" s="225" t="str">
        <f>IF(AND(V92&gt;0,ROWS($D$70:U91)&lt;&gt;COLUMNS($D$70:U91)),MAX($AQ92:BH92)+1,"")</f>
        <v/>
      </c>
      <c r="BJ92" s="225" t="str">
        <f>IF(AND(W92&gt;0,ROWS($D$70:V91)&lt;&gt;COLUMNS($D$70:V91)),MAX($AQ92:BI92)+1,"")</f>
        <v/>
      </c>
      <c r="BK92" s="225" t="str">
        <f>IF(AND(X92&gt;0,ROWS($D$70:W91)&lt;&gt;COLUMNS($D$70:W91)),MAX($AQ92:BJ92)+1,"")</f>
        <v/>
      </c>
      <c r="BL92" s="225" t="str">
        <f>IF(AND(Y92&gt;0,ROWS($D$70:X91)&lt;&gt;COLUMNS($D$70:X91)),MAX($AQ92:BK92)+1,"")</f>
        <v/>
      </c>
      <c r="BM92" s="225" t="str">
        <f>IF(AND(Z92&gt;0,ROWS($D$70:Y91)&lt;&gt;COLUMNS($D$70:Y91)),MAX($AQ92:BL92)+1,"")</f>
        <v/>
      </c>
      <c r="BN92" s="225" t="str">
        <f>IF(AND(AA92&gt;0,ROWS($D$70:Z91)&lt;&gt;COLUMNS($D$70:Z91)),MAX($AQ92:BM92)+1,"")</f>
        <v/>
      </c>
      <c r="BO92" s="225" t="str">
        <f>IF(AND(AB92&gt;0,ROWS($D$70:AA91)&lt;&gt;COLUMNS($D$70:AA91)),MAX($AQ92:BN92)+1,"")</f>
        <v/>
      </c>
      <c r="BP92" s="225" t="str">
        <f>IF(AND(AC92&gt;0,ROWS($D$70:AB91)&lt;&gt;COLUMNS($D$70:AB91)),MAX($AQ92:BO92)+1,"")</f>
        <v/>
      </c>
      <c r="BQ92" s="225" t="str">
        <f>IF(AND(AD92&gt;0,ROWS($D$70:AC91)&lt;&gt;COLUMNS($D$70:AC91)),MAX($AQ92:BP92)+1,"")</f>
        <v/>
      </c>
      <c r="BR92" s="225" t="str">
        <f>IF(AND(AE92&gt;0,ROWS($D$70:AD91)&lt;&gt;COLUMNS($D$70:AD91)),MAX($AQ92:BQ92)+1,"")</f>
        <v/>
      </c>
      <c r="BS92" s="225" t="str">
        <f>IF(AND(AF92&gt;0,ROWS($D$70:AE91)&lt;&gt;COLUMNS($D$70:AE91)),MAX($AQ92:BR92)+1,"")</f>
        <v/>
      </c>
      <c r="BT92" s="225" t="str">
        <f>IF(AND(AG92&gt;0,ROWS($D$70:AF91)&lt;&gt;COLUMNS($D$70:AF91)),MAX($AQ92:BS92)+1,"")</f>
        <v/>
      </c>
      <c r="BU92" s="350" t="str">
        <f>IF(AND(AH92&gt;0,ROWS($D$70:AG91)&lt;&gt;COLUMNS($D$70:AG91)),MAX($AQ92:BT92)+1,"")</f>
        <v/>
      </c>
    </row>
    <row r="93" spans="2:74" ht="12.75" customHeight="1" x14ac:dyDescent="0.35">
      <c r="C93" s="223">
        <v>13</v>
      </c>
      <c r="D93" s="336" t="str">
        <f t="shared" si="11"/>
        <v/>
      </c>
      <c r="E93" s="331">
        <v>0</v>
      </c>
      <c r="F93" s="224">
        <v>0</v>
      </c>
      <c r="G93" s="224">
        <v>0</v>
      </c>
      <c r="H93" s="224">
        <v>0</v>
      </c>
      <c r="I93" s="224">
        <v>0</v>
      </c>
      <c r="J93" s="224">
        <v>0</v>
      </c>
      <c r="K93" s="224">
        <v>0</v>
      </c>
      <c r="L93" s="224">
        <v>0</v>
      </c>
      <c r="M93" s="224">
        <v>0</v>
      </c>
      <c r="N93" s="332">
        <v>0</v>
      </c>
      <c r="O93" s="331">
        <v>0</v>
      </c>
      <c r="P93" s="224">
        <v>0</v>
      </c>
      <c r="Q93" s="224">
        <v>0</v>
      </c>
      <c r="R93" s="224">
        <v>0</v>
      </c>
      <c r="S93" s="224">
        <v>0</v>
      </c>
      <c r="T93" s="224">
        <v>0</v>
      </c>
      <c r="U93" s="224">
        <v>0</v>
      </c>
      <c r="V93" s="224">
        <v>0</v>
      </c>
      <c r="W93" s="224">
        <v>0</v>
      </c>
      <c r="X93" s="224">
        <v>0</v>
      </c>
      <c r="Y93" s="224">
        <v>0</v>
      </c>
      <c r="Z93" s="224">
        <v>0</v>
      </c>
      <c r="AA93" s="224">
        <v>1</v>
      </c>
      <c r="AB93" s="224">
        <v>0</v>
      </c>
      <c r="AC93" s="224">
        <v>0</v>
      </c>
      <c r="AD93" s="224">
        <v>0</v>
      </c>
      <c r="AE93" s="224">
        <v>0</v>
      </c>
      <c r="AF93" s="224">
        <v>0</v>
      </c>
      <c r="AG93" s="224">
        <v>0</v>
      </c>
      <c r="AH93" s="332">
        <v>0</v>
      </c>
      <c r="AJ93" s="340">
        <f>IFERROR(SUMIF(E_PurchPrec!S:S,CONST_CNTR_EmbedEmDir &amp; D93,E_PurchPrec!T:T)/SUMIF(E_PurchPrec!R:R,CONST_CNTR_TotProd &amp; D93,E_PurchPrec!T:T),0)</f>
        <v>0</v>
      </c>
      <c r="AK93" s="341">
        <v>0</v>
      </c>
      <c r="AL93" s="344">
        <f>IFERROR(SUMIF(E_PurchPrec!S:S,CONST_CNTR_EmbedEmInDir &amp; D93,E_PurchPrec!T:T)/SUMIF(E_PurchPrec!R:R,CONST_CNTR_TotProd &amp; D93,E_PurchPrec!T:T),0)</f>
        <v>0</v>
      </c>
      <c r="AM93" s="341">
        <v>0</v>
      </c>
      <c r="AN93" s="344">
        <f>IFERROR(SUMIF(E_PurchPrec!R:R,CONST_ElecConsumption &amp; D93,E_PurchPrec!T:T)/SUMIF(E_PurchPrec!R:R,CONST_CNTR_TotProd &amp; D93,E_PurchPrec!T:T),0)</f>
        <v>0</v>
      </c>
      <c r="AO93" s="341">
        <v>0</v>
      </c>
      <c r="AR93" s="349" t="str">
        <f>IF(AND(E93&gt;0,ROWS($D$70:D92)&lt;&gt;COLUMNS($D$70:D92)),MAX($AQ93:AQ93)+1,"")</f>
        <v/>
      </c>
      <c r="AS93" s="225" t="str">
        <f>IF(AND(F93&gt;0,ROWS($D$70:E92)&lt;&gt;COLUMNS($D$70:E92)),MAX($AQ93:AR93)+1,"")</f>
        <v/>
      </c>
      <c r="AT93" s="225" t="str">
        <f>IF(AND(G93&gt;0,ROWS($D$70:F92)&lt;&gt;COLUMNS($D$70:F92)),MAX($AQ93:AS93)+1,"")</f>
        <v/>
      </c>
      <c r="AU93" s="225" t="str">
        <f>IF(AND(H93&gt;0,ROWS($D$70:G92)&lt;&gt;COLUMNS($D$70:G92)),MAX($AQ93:AT93)+1,"")</f>
        <v/>
      </c>
      <c r="AV93" s="225" t="str">
        <f>IF(AND(I93&gt;0,ROWS($D$70:H92)&lt;&gt;COLUMNS($D$70:H92)),MAX($AQ93:AU93)+1,"")</f>
        <v/>
      </c>
      <c r="AW93" s="225" t="str">
        <f>IF(AND(J93&gt;0,ROWS($D$70:I92)&lt;&gt;COLUMNS($D$70:I92)),MAX($AQ93:AV93)+1,"")</f>
        <v/>
      </c>
      <c r="AX93" s="225" t="str">
        <f>IF(AND(K93&gt;0,ROWS($D$70:J92)&lt;&gt;COLUMNS($D$70:J92)),MAX($AQ93:AW93)+1,"")</f>
        <v/>
      </c>
      <c r="AY93" s="225" t="str">
        <f>IF(AND(L93&gt;0,ROWS($D$70:K92)&lt;&gt;COLUMNS($D$70:K92)),MAX($AQ93:AX93)+1,"")</f>
        <v/>
      </c>
      <c r="AZ93" s="225" t="str">
        <f>IF(AND(M93&gt;0,ROWS($D$70:L92)&lt;&gt;COLUMNS($D$70:L92)),MAX($AQ93:AY93)+1,"")</f>
        <v/>
      </c>
      <c r="BA93" s="350" t="str">
        <f>IF(AND(N93&gt;0,ROWS($D$70:M92)&lt;&gt;COLUMNS($D$70:M92)),MAX($AQ93:AZ93)+1,"")</f>
        <v/>
      </c>
      <c r="BB93" s="349" t="str">
        <f>IF(AND(O93&gt;0,ROWS($D$70:N92)&lt;&gt;COLUMNS($D$70:N92)),MAX($AQ93:BA93)+1,"")</f>
        <v/>
      </c>
      <c r="BC93" s="225" t="str">
        <f>IF(AND(P93&gt;0,ROWS($D$70:O92)&lt;&gt;COLUMNS($D$70:O92)),MAX($AQ93:BB93)+1,"")</f>
        <v/>
      </c>
      <c r="BD93" s="225" t="str">
        <f>IF(AND(Q93&gt;0,ROWS($D$70:P92)&lt;&gt;COLUMNS($D$70:P92)),MAX($AQ93:BC93)+1,"")</f>
        <v/>
      </c>
      <c r="BE93" s="225" t="str">
        <f>IF(AND(R93&gt;0,ROWS($D$70:Q92)&lt;&gt;COLUMNS($D$70:Q92)),MAX($AQ93:BD93)+1,"")</f>
        <v/>
      </c>
      <c r="BF93" s="225" t="str">
        <f>IF(AND(S93&gt;0,ROWS($D$70:R92)&lt;&gt;COLUMNS($D$70:R92)),MAX($AQ93:BE93)+1,"")</f>
        <v/>
      </c>
      <c r="BG93" s="225" t="str">
        <f>IF(AND(T93&gt;0,ROWS($D$70:S92)&lt;&gt;COLUMNS($D$70:S92)),MAX($AQ93:BF93)+1,"")</f>
        <v/>
      </c>
      <c r="BH93" s="225" t="str">
        <f>IF(AND(U93&gt;0,ROWS($D$70:T92)&lt;&gt;COLUMNS($D$70:T92)),MAX($AQ93:BG93)+1,"")</f>
        <v/>
      </c>
      <c r="BI93" s="225" t="str">
        <f>IF(AND(V93&gt;0,ROWS($D$70:U92)&lt;&gt;COLUMNS($D$70:U92)),MAX($AQ93:BH93)+1,"")</f>
        <v/>
      </c>
      <c r="BJ93" s="225" t="str">
        <f>IF(AND(W93&gt;0,ROWS($D$70:V92)&lt;&gt;COLUMNS($D$70:V92)),MAX($AQ93:BI93)+1,"")</f>
        <v/>
      </c>
      <c r="BK93" s="225" t="str">
        <f>IF(AND(X93&gt;0,ROWS($D$70:W92)&lt;&gt;COLUMNS($D$70:W92)),MAX($AQ93:BJ93)+1,"")</f>
        <v/>
      </c>
      <c r="BL93" s="225" t="str">
        <f>IF(AND(Y93&gt;0,ROWS($D$70:X92)&lt;&gt;COLUMNS($D$70:X92)),MAX($AQ93:BK93)+1,"")</f>
        <v/>
      </c>
      <c r="BM93" s="225" t="str">
        <f>IF(AND(Z93&gt;0,ROWS($D$70:Y92)&lt;&gt;COLUMNS($D$70:Y92)),MAX($AQ93:BL93)+1,"")</f>
        <v/>
      </c>
      <c r="BN93" s="225" t="str">
        <f>IF(AND(AA93&gt;0,ROWS($D$70:Z92)&lt;&gt;COLUMNS($D$70:Z92)),MAX($AQ93:BM93)+1,"")</f>
        <v/>
      </c>
      <c r="BO93" s="225" t="str">
        <f>IF(AND(AB93&gt;0,ROWS($D$70:AA92)&lt;&gt;COLUMNS($D$70:AA92)),MAX($AQ93:BN93)+1,"")</f>
        <v/>
      </c>
      <c r="BP93" s="225" t="str">
        <f>IF(AND(AC93&gt;0,ROWS($D$70:AB92)&lt;&gt;COLUMNS($D$70:AB92)),MAX($AQ93:BO93)+1,"")</f>
        <v/>
      </c>
      <c r="BQ93" s="225" t="str">
        <f>IF(AND(AD93&gt;0,ROWS($D$70:AC92)&lt;&gt;COLUMNS($D$70:AC92)),MAX($AQ93:BP93)+1,"")</f>
        <v/>
      </c>
      <c r="BR93" s="225" t="str">
        <f>IF(AND(AE93&gt;0,ROWS($D$70:AD92)&lt;&gt;COLUMNS($D$70:AD92)),MAX($AQ93:BQ93)+1,"")</f>
        <v/>
      </c>
      <c r="BS93" s="225" t="str">
        <f>IF(AND(AF93&gt;0,ROWS($D$70:AE92)&lt;&gt;COLUMNS($D$70:AE92)),MAX($AQ93:BR93)+1,"")</f>
        <v/>
      </c>
      <c r="BT93" s="225" t="str">
        <f>IF(AND(AG93&gt;0,ROWS($D$70:AF92)&lt;&gt;COLUMNS($D$70:AF92)),MAX($AQ93:BS93)+1,"")</f>
        <v/>
      </c>
      <c r="BU93" s="350" t="str">
        <f>IF(AND(AH93&gt;0,ROWS($D$70:AG92)&lt;&gt;COLUMNS($D$70:AG92)),MAX($AQ93:BT93)+1,"")</f>
        <v/>
      </c>
    </row>
    <row r="94" spans="2:74" ht="12.75" customHeight="1" x14ac:dyDescent="0.35">
      <c r="C94" s="223">
        <v>14</v>
      </c>
      <c r="D94" s="336" t="str">
        <f t="shared" si="11"/>
        <v/>
      </c>
      <c r="E94" s="331">
        <v>0</v>
      </c>
      <c r="F94" s="224">
        <v>0</v>
      </c>
      <c r="G94" s="224">
        <v>0</v>
      </c>
      <c r="H94" s="224">
        <v>0</v>
      </c>
      <c r="I94" s="224">
        <v>0</v>
      </c>
      <c r="J94" s="224">
        <v>0</v>
      </c>
      <c r="K94" s="224">
        <v>0</v>
      </c>
      <c r="L94" s="224">
        <v>0</v>
      </c>
      <c r="M94" s="224">
        <v>0</v>
      </c>
      <c r="N94" s="332">
        <v>0</v>
      </c>
      <c r="O94" s="331">
        <v>0</v>
      </c>
      <c r="P94" s="224">
        <v>0</v>
      </c>
      <c r="Q94" s="224">
        <v>0</v>
      </c>
      <c r="R94" s="224">
        <v>0</v>
      </c>
      <c r="S94" s="224">
        <v>0</v>
      </c>
      <c r="T94" s="224">
        <v>0</v>
      </c>
      <c r="U94" s="224">
        <v>0</v>
      </c>
      <c r="V94" s="224">
        <v>0</v>
      </c>
      <c r="W94" s="224">
        <v>0</v>
      </c>
      <c r="X94" s="224">
        <v>0</v>
      </c>
      <c r="Y94" s="224">
        <v>0</v>
      </c>
      <c r="Z94" s="224">
        <v>0</v>
      </c>
      <c r="AA94" s="224">
        <v>0</v>
      </c>
      <c r="AB94" s="224">
        <v>1</v>
      </c>
      <c r="AC94" s="224">
        <v>0</v>
      </c>
      <c r="AD94" s="224">
        <v>0</v>
      </c>
      <c r="AE94" s="224">
        <v>0</v>
      </c>
      <c r="AF94" s="224">
        <v>0</v>
      </c>
      <c r="AG94" s="224">
        <v>0</v>
      </c>
      <c r="AH94" s="332">
        <v>0</v>
      </c>
      <c r="AJ94" s="340">
        <f>IFERROR(SUMIF(E_PurchPrec!S:S,CONST_CNTR_EmbedEmDir &amp; D94,E_PurchPrec!T:T)/SUMIF(E_PurchPrec!R:R,CONST_CNTR_TotProd &amp; D94,E_PurchPrec!T:T),0)</f>
        <v>0</v>
      </c>
      <c r="AK94" s="341">
        <v>0</v>
      </c>
      <c r="AL94" s="344">
        <f>IFERROR(SUMIF(E_PurchPrec!S:S,CONST_CNTR_EmbedEmInDir &amp; D94,E_PurchPrec!T:T)/SUMIF(E_PurchPrec!R:R,CONST_CNTR_TotProd &amp; D94,E_PurchPrec!T:T),0)</f>
        <v>0</v>
      </c>
      <c r="AM94" s="341">
        <v>0</v>
      </c>
      <c r="AN94" s="344">
        <f>IFERROR(SUMIF(E_PurchPrec!R:R,CONST_ElecConsumption &amp; D94,E_PurchPrec!T:T)/SUMIF(E_PurchPrec!R:R,CONST_CNTR_TotProd &amp; D94,E_PurchPrec!T:T),0)</f>
        <v>0</v>
      </c>
      <c r="AO94" s="341">
        <v>0</v>
      </c>
      <c r="AR94" s="349" t="str">
        <f>IF(AND(E94&gt;0,ROWS($D$70:D93)&lt;&gt;COLUMNS($D$70:D93)),MAX($AQ94:AQ94)+1,"")</f>
        <v/>
      </c>
      <c r="AS94" s="225" t="str">
        <f>IF(AND(F94&gt;0,ROWS($D$70:E93)&lt;&gt;COLUMNS($D$70:E93)),MAX($AQ94:AR94)+1,"")</f>
        <v/>
      </c>
      <c r="AT94" s="225" t="str">
        <f>IF(AND(G94&gt;0,ROWS($D$70:F93)&lt;&gt;COLUMNS($D$70:F93)),MAX($AQ94:AS94)+1,"")</f>
        <v/>
      </c>
      <c r="AU94" s="225" t="str">
        <f>IF(AND(H94&gt;0,ROWS($D$70:G93)&lt;&gt;COLUMNS($D$70:G93)),MAX($AQ94:AT94)+1,"")</f>
        <v/>
      </c>
      <c r="AV94" s="225" t="str">
        <f>IF(AND(I94&gt;0,ROWS($D$70:H93)&lt;&gt;COLUMNS($D$70:H93)),MAX($AQ94:AU94)+1,"")</f>
        <v/>
      </c>
      <c r="AW94" s="225" t="str">
        <f>IF(AND(J94&gt;0,ROWS($D$70:I93)&lt;&gt;COLUMNS($D$70:I93)),MAX($AQ94:AV94)+1,"")</f>
        <v/>
      </c>
      <c r="AX94" s="225" t="str">
        <f>IF(AND(K94&gt;0,ROWS($D$70:J93)&lt;&gt;COLUMNS($D$70:J93)),MAX($AQ94:AW94)+1,"")</f>
        <v/>
      </c>
      <c r="AY94" s="225" t="str">
        <f>IF(AND(L94&gt;0,ROWS($D$70:K93)&lt;&gt;COLUMNS($D$70:K93)),MAX($AQ94:AX94)+1,"")</f>
        <v/>
      </c>
      <c r="AZ94" s="225" t="str">
        <f>IF(AND(M94&gt;0,ROWS($D$70:L93)&lt;&gt;COLUMNS($D$70:L93)),MAX($AQ94:AY94)+1,"")</f>
        <v/>
      </c>
      <c r="BA94" s="350" t="str">
        <f>IF(AND(N94&gt;0,ROWS($D$70:M93)&lt;&gt;COLUMNS($D$70:M93)),MAX($AQ94:AZ94)+1,"")</f>
        <v/>
      </c>
      <c r="BB94" s="349" t="str">
        <f>IF(AND(O94&gt;0,ROWS($D$70:N93)&lt;&gt;COLUMNS($D$70:N93)),MAX($AQ94:BA94)+1,"")</f>
        <v/>
      </c>
      <c r="BC94" s="225" t="str">
        <f>IF(AND(P94&gt;0,ROWS($D$70:O93)&lt;&gt;COLUMNS($D$70:O93)),MAX($AQ94:BB94)+1,"")</f>
        <v/>
      </c>
      <c r="BD94" s="225" t="str">
        <f>IF(AND(Q94&gt;0,ROWS($D$70:P93)&lt;&gt;COLUMNS($D$70:P93)),MAX($AQ94:BC94)+1,"")</f>
        <v/>
      </c>
      <c r="BE94" s="225" t="str">
        <f>IF(AND(R94&gt;0,ROWS($D$70:Q93)&lt;&gt;COLUMNS($D$70:Q93)),MAX($AQ94:BD94)+1,"")</f>
        <v/>
      </c>
      <c r="BF94" s="225" t="str">
        <f>IF(AND(S94&gt;0,ROWS($D$70:R93)&lt;&gt;COLUMNS($D$70:R93)),MAX($AQ94:BE94)+1,"")</f>
        <v/>
      </c>
      <c r="BG94" s="225" t="str">
        <f>IF(AND(T94&gt;0,ROWS($D$70:S93)&lt;&gt;COLUMNS($D$70:S93)),MAX($AQ94:BF94)+1,"")</f>
        <v/>
      </c>
      <c r="BH94" s="225" t="str">
        <f>IF(AND(U94&gt;0,ROWS($D$70:T93)&lt;&gt;COLUMNS($D$70:T93)),MAX($AQ94:BG94)+1,"")</f>
        <v/>
      </c>
      <c r="BI94" s="225" t="str">
        <f>IF(AND(V94&gt;0,ROWS($D$70:U93)&lt;&gt;COLUMNS($D$70:U93)),MAX($AQ94:BH94)+1,"")</f>
        <v/>
      </c>
      <c r="BJ94" s="225" t="str">
        <f>IF(AND(W94&gt;0,ROWS($D$70:V93)&lt;&gt;COLUMNS($D$70:V93)),MAX($AQ94:BI94)+1,"")</f>
        <v/>
      </c>
      <c r="BK94" s="225" t="str">
        <f>IF(AND(X94&gt;0,ROWS($D$70:W93)&lt;&gt;COLUMNS($D$70:W93)),MAX($AQ94:BJ94)+1,"")</f>
        <v/>
      </c>
      <c r="BL94" s="225" t="str">
        <f>IF(AND(Y94&gt;0,ROWS($D$70:X93)&lt;&gt;COLUMNS($D$70:X93)),MAX($AQ94:BK94)+1,"")</f>
        <v/>
      </c>
      <c r="BM94" s="225" t="str">
        <f>IF(AND(Z94&gt;0,ROWS($D$70:Y93)&lt;&gt;COLUMNS($D$70:Y93)),MAX($AQ94:BL94)+1,"")</f>
        <v/>
      </c>
      <c r="BN94" s="225" t="str">
        <f>IF(AND(AA94&gt;0,ROWS($D$70:Z93)&lt;&gt;COLUMNS($D$70:Z93)),MAX($AQ94:BM94)+1,"")</f>
        <v/>
      </c>
      <c r="BO94" s="225" t="str">
        <f>IF(AND(AB94&gt;0,ROWS($D$70:AA93)&lt;&gt;COLUMNS($D$70:AA93)),MAX($AQ94:BN94)+1,"")</f>
        <v/>
      </c>
      <c r="BP94" s="225" t="str">
        <f>IF(AND(AC94&gt;0,ROWS($D$70:AB93)&lt;&gt;COLUMNS($D$70:AB93)),MAX($AQ94:BO94)+1,"")</f>
        <v/>
      </c>
      <c r="BQ94" s="225" t="str">
        <f>IF(AND(AD94&gt;0,ROWS($D$70:AC93)&lt;&gt;COLUMNS($D$70:AC93)),MAX($AQ94:BP94)+1,"")</f>
        <v/>
      </c>
      <c r="BR94" s="225" t="str">
        <f>IF(AND(AE94&gt;0,ROWS($D$70:AD93)&lt;&gt;COLUMNS($D$70:AD93)),MAX($AQ94:BQ94)+1,"")</f>
        <v/>
      </c>
      <c r="BS94" s="225" t="str">
        <f>IF(AND(AF94&gt;0,ROWS($D$70:AE93)&lt;&gt;COLUMNS($D$70:AE93)),MAX($AQ94:BR94)+1,"")</f>
        <v/>
      </c>
      <c r="BT94" s="225" t="str">
        <f>IF(AND(AG94&gt;0,ROWS($D$70:AF93)&lt;&gt;COLUMNS($D$70:AF93)),MAX($AQ94:BS94)+1,"")</f>
        <v/>
      </c>
      <c r="BU94" s="350" t="str">
        <f>IF(AND(AH94&gt;0,ROWS($D$70:AG93)&lt;&gt;COLUMNS($D$70:AG93)),MAX($AQ94:BT94)+1,"")</f>
        <v/>
      </c>
    </row>
    <row r="95" spans="2:74" ht="12.75" customHeight="1" x14ac:dyDescent="0.35">
      <c r="C95" s="223">
        <v>15</v>
      </c>
      <c r="D95" s="336" t="str">
        <f t="shared" si="11"/>
        <v/>
      </c>
      <c r="E95" s="331">
        <v>0</v>
      </c>
      <c r="F95" s="224">
        <v>0</v>
      </c>
      <c r="G95" s="224">
        <v>0</v>
      </c>
      <c r="H95" s="224">
        <v>0</v>
      </c>
      <c r="I95" s="224">
        <v>0</v>
      </c>
      <c r="J95" s="224">
        <v>0</v>
      </c>
      <c r="K95" s="224">
        <v>0</v>
      </c>
      <c r="L95" s="224">
        <v>0</v>
      </c>
      <c r="M95" s="224">
        <v>0</v>
      </c>
      <c r="N95" s="332">
        <v>0</v>
      </c>
      <c r="O95" s="331">
        <v>0</v>
      </c>
      <c r="P95" s="224">
        <v>0</v>
      </c>
      <c r="Q95" s="224">
        <v>0</v>
      </c>
      <c r="R95" s="224">
        <v>0</v>
      </c>
      <c r="S95" s="224">
        <v>0</v>
      </c>
      <c r="T95" s="224">
        <v>0</v>
      </c>
      <c r="U95" s="224">
        <v>0</v>
      </c>
      <c r="V95" s="224">
        <v>0</v>
      </c>
      <c r="W95" s="224">
        <v>0</v>
      </c>
      <c r="X95" s="224">
        <v>0</v>
      </c>
      <c r="Y95" s="224">
        <v>0</v>
      </c>
      <c r="Z95" s="224">
        <v>0</v>
      </c>
      <c r="AA95" s="224">
        <v>0</v>
      </c>
      <c r="AB95" s="224">
        <v>0</v>
      </c>
      <c r="AC95" s="224">
        <v>1</v>
      </c>
      <c r="AD95" s="224">
        <v>0</v>
      </c>
      <c r="AE95" s="224">
        <v>0</v>
      </c>
      <c r="AF95" s="224">
        <v>0</v>
      </c>
      <c r="AG95" s="224">
        <v>0</v>
      </c>
      <c r="AH95" s="332">
        <v>0</v>
      </c>
      <c r="AJ95" s="340">
        <f>IFERROR(SUMIF(E_PurchPrec!S:S,CONST_CNTR_EmbedEmDir &amp; D95,E_PurchPrec!T:T)/SUMIF(E_PurchPrec!R:R,CONST_CNTR_TotProd &amp; D95,E_PurchPrec!T:T),0)</f>
        <v>0</v>
      </c>
      <c r="AK95" s="341">
        <v>0</v>
      </c>
      <c r="AL95" s="344">
        <f>IFERROR(SUMIF(E_PurchPrec!S:S,CONST_CNTR_EmbedEmInDir &amp; D95,E_PurchPrec!T:T)/SUMIF(E_PurchPrec!R:R,CONST_CNTR_TotProd &amp; D95,E_PurchPrec!T:T),0)</f>
        <v>0</v>
      </c>
      <c r="AM95" s="341">
        <v>0</v>
      </c>
      <c r="AN95" s="344">
        <f>IFERROR(SUMIF(E_PurchPrec!R:R,CONST_ElecConsumption &amp; D95,E_PurchPrec!T:T)/SUMIF(E_PurchPrec!R:R,CONST_CNTR_TotProd &amp; D95,E_PurchPrec!T:T),0)</f>
        <v>0</v>
      </c>
      <c r="AO95" s="341">
        <v>0</v>
      </c>
      <c r="AR95" s="349" t="str">
        <f>IF(AND(E95&gt;0,ROWS($D$70:D94)&lt;&gt;COLUMNS($D$70:D94)),MAX($AQ95:AQ95)+1,"")</f>
        <v/>
      </c>
      <c r="AS95" s="225" t="str">
        <f>IF(AND(F95&gt;0,ROWS($D$70:E94)&lt;&gt;COLUMNS($D$70:E94)),MAX($AQ95:AR95)+1,"")</f>
        <v/>
      </c>
      <c r="AT95" s="225" t="str">
        <f>IF(AND(G95&gt;0,ROWS($D$70:F94)&lt;&gt;COLUMNS($D$70:F94)),MAX($AQ95:AS95)+1,"")</f>
        <v/>
      </c>
      <c r="AU95" s="225" t="str">
        <f>IF(AND(H95&gt;0,ROWS($D$70:G94)&lt;&gt;COLUMNS($D$70:G94)),MAX($AQ95:AT95)+1,"")</f>
        <v/>
      </c>
      <c r="AV95" s="225" t="str">
        <f>IF(AND(I95&gt;0,ROWS($D$70:H94)&lt;&gt;COLUMNS($D$70:H94)),MAX($AQ95:AU95)+1,"")</f>
        <v/>
      </c>
      <c r="AW95" s="225" t="str">
        <f>IF(AND(J95&gt;0,ROWS($D$70:I94)&lt;&gt;COLUMNS($D$70:I94)),MAX($AQ95:AV95)+1,"")</f>
        <v/>
      </c>
      <c r="AX95" s="225" t="str">
        <f>IF(AND(K95&gt;0,ROWS($D$70:J94)&lt;&gt;COLUMNS($D$70:J94)),MAX($AQ95:AW95)+1,"")</f>
        <v/>
      </c>
      <c r="AY95" s="225" t="str">
        <f>IF(AND(L95&gt;0,ROWS($D$70:K94)&lt;&gt;COLUMNS($D$70:K94)),MAX($AQ95:AX95)+1,"")</f>
        <v/>
      </c>
      <c r="AZ95" s="225" t="str">
        <f>IF(AND(M95&gt;0,ROWS($D$70:L94)&lt;&gt;COLUMNS($D$70:L94)),MAX($AQ95:AY95)+1,"")</f>
        <v/>
      </c>
      <c r="BA95" s="350" t="str">
        <f>IF(AND(N95&gt;0,ROWS($D$70:M94)&lt;&gt;COLUMNS($D$70:M94)),MAX($AQ95:AZ95)+1,"")</f>
        <v/>
      </c>
      <c r="BB95" s="349" t="str">
        <f>IF(AND(O95&gt;0,ROWS($D$70:N94)&lt;&gt;COLUMNS($D$70:N94)),MAX($AQ95:BA95)+1,"")</f>
        <v/>
      </c>
      <c r="BC95" s="225" t="str">
        <f>IF(AND(P95&gt;0,ROWS($D$70:O94)&lt;&gt;COLUMNS($D$70:O94)),MAX($AQ95:BB95)+1,"")</f>
        <v/>
      </c>
      <c r="BD95" s="225" t="str">
        <f>IF(AND(Q95&gt;0,ROWS($D$70:P94)&lt;&gt;COLUMNS($D$70:P94)),MAX($AQ95:BC95)+1,"")</f>
        <v/>
      </c>
      <c r="BE95" s="225" t="str">
        <f>IF(AND(R95&gt;0,ROWS($D$70:Q94)&lt;&gt;COLUMNS($D$70:Q94)),MAX($AQ95:BD95)+1,"")</f>
        <v/>
      </c>
      <c r="BF95" s="225" t="str">
        <f>IF(AND(S95&gt;0,ROWS($D$70:R94)&lt;&gt;COLUMNS($D$70:R94)),MAX($AQ95:BE95)+1,"")</f>
        <v/>
      </c>
      <c r="BG95" s="225" t="str">
        <f>IF(AND(T95&gt;0,ROWS($D$70:S94)&lt;&gt;COLUMNS($D$70:S94)),MAX($AQ95:BF95)+1,"")</f>
        <v/>
      </c>
      <c r="BH95" s="225" t="str">
        <f>IF(AND(U95&gt;0,ROWS($D$70:T94)&lt;&gt;COLUMNS($D$70:T94)),MAX($AQ95:BG95)+1,"")</f>
        <v/>
      </c>
      <c r="BI95" s="225" t="str">
        <f>IF(AND(V95&gt;0,ROWS($D$70:U94)&lt;&gt;COLUMNS($D$70:U94)),MAX($AQ95:BH95)+1,"")</f>
        <v/>
      </c>
      <c r="BJ95" s="225" t="str">
        <f>IF(AND(W95&gt;0,ROWS($D$70:V94)&lt;&gt;COLUMNS($D$70:V94)),MAX($AQ95:BI95)+1,"")</f>
        <v/>
      </c>
      <c r="BK95" s="225" t="str">
        <f>IF(AND(X95&gt;0,ROWS($D$70:W94)&lt;&gt;COLUMNS($D$70:W94)),MAX($AQ95:BJ95)+1,"")</f>
        <v/>
      </c>
      <c r="BL95" s="225" t="str">
        <f>IF(AND(Y95&gt;0,ROWS($D$70:X94)&lt;&gt;COLUMNS($D$70:X94)),MAX($AQ95:BK95)+1,"")</f>
        <v/>
      </c>
      <c r="BM95" s="225" t="str">
        <f>IF(AND(Z95&gt;0,ROWS($D$70:Y94)&lt;&gt;COLUMNS($D$70:Y94)),MAX($AQ95:BL95)+1,"")</f>
        <v/>
      </c>
      <c r="BN95" s="225" t="str">
        <f>IF(AND(AA95&gt;0,ROWS($D$70:Z94)&lt;&gt;COLUMNS($D$70:Z94)),MAX($AQ95:BM95)+1,"")</f>
        <v/>
      </c>
      <c r="BO95" s="225" t="str">
        <f>IF(AND(AB95&gt;0,ROWS($D$70:AA94)&lt;&gt;COLUMNS($D$70:AA94)),MAX($AQ95:BN95)+1,"")</f>
        <v/>
      </c>
      <c r="BP95" s="225" t="str">
        <f>IF(AND(AC95&gt;0,ROWS($D$70:AB94)&lt;&gt;COLUMNS($D$70:AB94)),MAX($AQ95:BO95)+1,"")</f>
        <v/>
      </c>
      <c r="BQ95" s="225" t="str">
        <f>IF(AND(AD95&gt;0,ROWS($D$70:AC94)&lt;&gt;COLUMNS($D$70:AC94)),MAX($AQ95:BP95)+1,"")</f>
        <v/>
      </c>
      <c r="BR95" s="225" t="str">
        <f>IF(AND(AE95&gt;0,ROWS($D$70:AD94)&lt;&gt;COLUMNS($D$70:AD94)),MAX($AQ95:BQ95)+1,"")</f>
        <v/>
      </c>
      <c r="BS95" s="225" t="str">
        <f>IF(AND(AF95&gt;0,ROWS($D$70:AE94)&lt;&gt;COLUMNS($D$70:AE94)),MAX($AQ95:BR95)+1,"")</f>
        <v/>
      </c>
      <c r="BT95" s="225" t="str">
        <f>IF(AND(AG95&gt;0,ROWS($D$70:AF94)&lt;&gt;COLUMNS($D$70:AF94)),MAX($AQ95:BS95)+1,"")</f>
        <v/>
      </c>
      <c r="BU95" s="350" t="str">
        <f>IF(AND(AH95&gt;0,ROWS($D$70:AG94)&lt;&gt;COLUMNS($D$70:AG94)),MAX($AQ95:BT95)+1,"")</f>
        <v/>
      </c>
    </row>
    <row r="96" spans="2:74" ht="12.75" customHeight="1" x14ac:dyDescent="0.35">
      <c r="C96" s="223">
        <v>16</v>
      </c>
      <c r="D96" s="336" t="str">
        <f t="shared" si="11"/>
        <v/>
      </c>
      <c r="E96" s="331">
        <v>0</v>
      </c>
      <c r="F96" s="224">
        <v>0</v>
      </c>
      <c r="G96" s="224">
        <v>0</v>
      </c>
      <c r="H96" s="224">
        <v>0</v>
      </c>
      <c r="I96" s="224">
        <v>0</v>
      </c>
      <c r="J96" s="224">
        <v>0</v>
      </c>
      <c r="K96" s="224">
        <v>0</v>
      </c>
      <c r="L96" s="224">
        <v>0</v>
      </c>
      <c r="M96" s="224">
        <v>0</v>
      </c>
      <c r="N96" s="332">
        <v>0</v>
      </c>
      <c r="O96" s="331">
        <v>0</v>
      </c>
      <c r="P96" s="224">
        <v>0</v>
      </c>
      <c r="Q96" s="224">
        <v>0</v>
      </c>
      <c r="R96" s="224">
        <v>0</v>
      </c>
      <c r="S96" s="224">
        <v>0</v>
      </c>
      <c r="T96" s="224">
        <v>0</v>
      </c>
      <c r="U96" s="224">
        <v>0</v>
      </c>
      <c r="V96" s="224">
        <v>0</v>
      </c>
      <c r="W96" s="224">
        <v>0</v>
      </c>
      <c r="X96" s="224">
        <v>0</v>
      </c>
      <c r="Y96" s="224">
        <v>0</v>
      </c>
      <c r="Z96" s="224">
        <v>0</v>
      </c>
      <c r="AA96" s="224">
        <v>0</v>
      </c>
      <c r="AB96" s="224">
        <v>0</v>
      </c>
      <c r="AC96" s="224">
        <v>0</v>
      </c>
      <c r="AD96" s="224">
        <v>1</v>
      </c>
      <c r="AE96" s="224">
        <v>0</v>
      </c>
      <c r="AF96" s="224">
        <v>0</v>
      </c>
      <c r="AG96" s="224">
        <v>0</v>
      </c>
      <c r="AH96" s="332">
        <v>0</v>
      </c>
      <c r="AJ96" s="340">
        <f>IFERROR(SUMIF(E_PurchPrec!S:S,CONST_CNTR_EmbedEmDir &amp; D96,E_PurchPrec!T:T)/SUMIF(E_PurchPrec!R:R,CONST_CNTR_TotProd &amp; D96,E_PurchPrec!T:T),0)</f>
        <v>0</v>
      </c>
      <c r="AK96" s="341">
        <v>0</v>
      </c>
      <c r="AL96" s="344">
        <f>IFERROR(SUMIF(E_PurchPrec!S:S,CONST_CNTR_EmbedEmInDir &amp; D96,E_PurchPrec!T:T)/SUMIF(E_PurchPrec!R:R,CONST_CNTR_TotProd &amp; D96,E_PurchPrec!T:T),0)</f>
        <v>0</v>
      </c>
      <c r="AM96" s="341">
        <v>0</v>
      </c>
      <c r="AN96" s="344">
        <f>IFERROR(SUMIF(E_PurchPrec!R:R,CONST_ElecConsumption &amp; D96,E_PurchPrec!T:T)/SUMIF(E_PurchPrec!R:R,CONST_CNTR_TotProd &amp; D96,E_PurchPrec!T:T),0)</f>
        <v>0</v>
      </c>
      <c r="AO96" s="341">
        <v>0</v>
      </c>
      <c r="AR96" s="349" t="str">
        <f>IF(AND(E96&gt;0,ROWS($D$70:D95)&lt;&gt;COLUMNS($D$70:D95)),MAX($AQ96:AQ96)+1,"")</f>
        <v/>
      </c>
      <c r="AS96" s="225" t="str">
        <f>IF(AND(F96&gt;0,ROWS($D$70:E95)&lt;&gt;COLUMNS($D$70:E95)),MAX($AQ96:AR96)+1,"")</f>
        <v/>
      </c>
      <c r="AT96" s="225" t="str">
        <f>IF(AND(G96&gt;0,ROWS($D$70:F95)&lt;&gt;COLUMNS($D$70:F95)),MAX($AQ96:AS96)+1,"")</f>
        <v/>
      </c>
      <c r="AU96" s="225" t="str">
        <f>IF(AND(H96&gt;0,ROWS($D$70:G95)&lt;&gt;COLUMNS($D$70:G95)),MAX($AQ96:AT96)+1,"")</f>
        <v/>
      </c>
      <c r="AV96" s="225" t="str">
        <f>IF(AND(I96&gt;0,ROWS($D$70:H95)&lt;&gt;COLUMNS($D$70:H95)),MAX($AQ96:AU96)+1,"")</f>
        <v/>
      </c>
      <c r="AW96" s="225" t="str">
        <f>IF(AND(J96&gt;0,ROWS($D$70:I95)&lt;&gt;COLUMNS($D$70:I95)),MAX($AQ96:AV96)+1,"")</f>
        <v/>
      </c>
      <c r="AX96" s="225" t="str">
        <f>IF(AND(K96&gt;0,ROWS($D$70:J95)&lt;&gt;COLUMNS($D$70:J95)),MAX($AQ96:AW96)+1,"")</f>
        <v/>
      </c>
      <c r="AY96" s="225" t="str">
        <f>IF(AND(L96&gt;0,ROWS($D$70:K95)&lt;&gt;COLUMNS($D$70:K95)),MAX($AQ96:AX96)+1,"")</f>
        <v/>
      </c>
      <c r="AZ96" s="225" t="str">
        <f>IF(AND(M96&gt;0,ROWS($D$70:L95)&lt;&gt;COLUMNS($D$70:L95)),MAX($AQ96:AY96)+1,"")</f>
        <v/>
      </c>
      <c r="BA96" s="350" t="str">
        <f>IF(AND(N96&gt;0,ROWS($D$70:M95)&lt;&gt;COLUMNS($D$70:M95)),MAX($AQ96:AZ96)+1,"")</f>
        <v/>
      </c>
      <c r="BB96" s="349" t="str">
        <f>IF(AND(O96&gt;0,ROWS($D$70:N95)&lt;&gt;COLUMNS($D$70:N95)),MAX($AQ96:BA96)+1,"")</f>
        <v/>
      </c>
      <c r="BC96" s="225" t="str">
        <f>IF(AND(P96&gt;0,ROWS($D$70:O95)&lt;&gt;COLUMNS($D$70:O95)),MAX($AQ96:BB96)+1,"")</f>
        <v/>
      </c>
      <c r="BD96" s="225" t="str">
        <f>IF(AND(Q96&gt;0,ROWS($D$70:P95)&lt;&gt;COLUMNS($D$70:P95)),MAX($AQ96:BC96)+1,"")</f>
        <v/>
      </c>
      <c r="BE96" s="225" t="str">
        <f>IF(AND(R96&gt;0,ROWS($D$70:Q95)&lt;&gt;COLUMNS($D$70:Q95)),MAX($AQ96:BD96)+1,"")</f>
        <v/>
      </c>
      <c r="BF96" s="225" t="str">
        <f>IF(AND(S96&gt;0,ROWS($D$70:R95)&lt;&gt;COLUMNS($D$70:R95)),MAX($AQ96:BE96)+1,"")</f>
        <v/>
      </c>
      <c r="BG96" s="225" t="str">
        <f>IF(AND(T96&gt;0,ROWS($D$70:S95)&lt;&gt;COLUMNS($D$70:S95)),MAX($AQ96:BF96)+1,"")</f>
        <v/>
      </c>
      <c r="BH96" s="225" t="str">
        <f>IF(AND(U96&gt;0,ROWS($D$70:T95)&lt;&gt;COLUMNS($D$70:T95)),MAX($AQ96:BG96)+1,"")</f>
        <v/>
      </c>
      <c r="BI96" s="225" t="str">
        <f>IF(AND(V96&gt;0,ROWS($D$70:U95)&lt;&gt;COLUMNS($D$70:U95)),MAX($AQ96:BH96)+1,"")</f>
        <v/>
      </c>
      <c r="BJ96" s="225" t="str">
        <f>IF(AND(W96&gt;0,ROWS($D$70:V95)&lt;&gt;COLUMNS($D$70:V95)),MAX($AQ96:BI96)+1,"")</f>
        <v/>
      </c>
      <c r="BK96" s="225" t="str">
        <f>IF(AND(X96&gt;0,ROWS($D$70:W95)&lt;&gt;COLUMNS($D$70:W95)),MAX($AQ96:BJ96)+1,"")</f>
        <v/>
      </c>
      <c r="BL96" s="225" t="str">
        <f>IF(AND(Y96&gt;0,ROWS($D$70:X95)&lt;&gt;COLUMNS($D$70:X95)),MAX($AQ96:BK96)+1,"")</f>
        <v/>
      </c>
      <c r="BM96" s="225" t="str">
        <f>IF(AND(Z96&gt;0,ROWS($D$70:Y95)&lt;&gt;COLUMNS($D$70:Y95)),MAX($AQ96:BL96)+1,"")</f>
        <v/>
      </c>
      <c r="BN96" s="225" t="str">
        <f>IF(AND(AA96&gt;0,ROWS($D$70:Z95)&lt;&gt;COLUMNS($D$70:Z95)),MAX($AQ96:BM96)+1,"")</f>
        <v/>
      </c>
      <c r="BO96" s="225" t="str">
        <f>IF(AND(AB96&gt;0,ROWS($D$70:AA95)&lt;&gt;COLUMNS($D$70:AA95)),MAX($AQ96:BN96)+1,"")</f>
        <v/>
      </c>
      <c r="BP96" s="225" t="str">
        <f>IF(AND(AC96&gt;0,ROWS($D$70:AB95)&lt;&gt;COLUMNS($D$70:AB95)),MAX($AQ96:BO96)+1,"")</f>
        <v/>
      </c>
      <c r="BQ96" s="225" t="str">
        <f>IF(AND(AD96&gt;0,ROWS($D$70:AC95)&lt;&gt;COLUMNS($D$70:AC95)),MAX($AQ96:BP96)+1,"")</f>
        <v/>
      </c>
      <c r="BR96" s="225" t="str">
        <f>IF(AND(AE96&gt;0,ROWS($D$70:AD95)&lt;&gt;COLUMNS($D$70:AD95)),MAX($AQ96:BQ96)+1,"")</f>
        <v/>
      </c>
      <c r="BS96" s="225" t="str">
        <f>IF(AND(AF96&gt;0,ROWS($D$70:AE95)&lt;&gt;COLUMNS($D$70:AE95)),MAX($AQ96:BR96)+1,"")</f>
        <v/>
      </c>
      <c r="BT96" s="225" t="str">
        <f>IF(AND(AG96&gt;0,ROWS($D$70:AF95)&lt;&gt;COLUMNS($D$70:AF95)),MAX($AQ96:BS96)+1,"")</f>
        <v/>
      </c>
      <c r="BU96" s="350" t="str">
        <f>IF(AND(AH96&gt;0,ROWS($D$70:AG95)&lt;&gt;COLUMNS($D$70:AG95)),MAX($AQ96:BT96)+1,"")</f>
        <v/>
      </c>
    </row>
    <row r="97" spans="3:73" ht="12.75" customHeight="1" x14ac:dyDescent="0.35">
      <c r="C97" s="223">
        <v>17</v>
      </c>
      <c r="D97" s="336" t="str">
        <f t="shared" si="11"/>
        <v/>
      </c>
      <c r="E97" s="331">
        <v>0</v>
      </c>
      <c r="F97" s="224">
        <v>0</v>
      </c>
      <c r="G97" s="224">
        <v>0</v>
      </c>
      <c r="H97" s="224">
        <v>0</v>
      </c>
      <c r="I97" s="224">
        <v>0</v>
      </c>
      <c r="J97" s="224">
        <v>0</v>
      </c>
      <c r="K97" s="224">
        <v>0</v>
      </c>
      <c r="L97" s="224">
        <v>0</v>
      </c>
      <c r="M97" s="224">
        <v>0</v>
      </c>
      <c r="N97" s="332">
        <v>0</v>
      </c>
      <c r="O97" s="331">
        <v>0</v>
      </c>
      <c r="P97" s="224">
        <v>0</v>
      </c>
      <c r="Q97" s="224">
        <v>0</v>
      </c>
      <c r="R97" s="224">
        <v>0</v>
      </c>
      <c r="S97" s="224">
        <v>0</v>
      </c>
      <c r="T97" s="224">
        <v>0</v>
      </c>
      <c r="U97" s="224">
        <v>0</v>
      </c>
      <c r="V97" s="224">
        <v>0</v>
      </c>
      <c r="W97" s="224">
        <v>0</v>
      </c>
      <c r="X97" s="224">
        <v>0</v>
      </c>
      <c r="Y97" s="224">
        <v>0</v>
      </c>
      <c r="Z97" s="224">
        <v>0</v>
      </c>
      <c r="AA97" s="224">
        <v>0</v>
      </c>
      <c r="AB97" s="224">
        <v>0</v>
      </c>
      <c r="AC97" s="224">
        <v>0</v>
      </c>
      <c r="AD97" s="224">
        <v>0</v>
      </c>
      <c r="AE97" s="224">
        <v>1</v>
      </c>
      <c r="AF97" s="224">
        <v>0</v>
      </c>
      <c r="AG97" s="224">
        <v>0</v>
      </c>
      <c r="AH97" s="332">
        <v>0</v>
      </c>
      <c r="AJ97" s="340">
        <f>IFERROR(SUMIF(E_PurchPrec!S:S,CONST_CNTR_EmbedEmDir &amp; D97,E_PurchPrec!T:T)/SUMIF(E_PurchPrec!R:R,CONST_CNTR_TotProd &amp; D97,E_PurchPrec!T:T),0)</f>
        <v>0</v>
      </c>
      <c r="AK97" s="341">
        <v>0</v>
      </c>
      <c r="AL97" s="344">
        <f>IFERROR(SUMIF(E_PurchPrec!S:S,CONST_CNTR_EmbedEmInDir &amp; D97,E_PurchPrec!T:T)/SUMIF(E_PurchPrec!R:R,CONST_CNTR_TotProd &amp; D97,E_PurchPrec!T:T),0)</f>
        <v>0</v>
      </c>
      <c r="AM97" s="341">
        <v>0</v>
      </c>
      <c r="AN97" s="344">
        <f>IFERROR(SUMIF(E_PurchPrec!R:R,CONST_ElecConsumption &amp; D97,E_PurchPrec!T:T)/SUMIF(E_PurchPrec!R:R,CONST_CNTR_TotProd &amp; D97,E_PurchPrec!T:T),0)</f>
        <v>0</v>
      </c>
      <c r="AO97" s="341">
        <v>0</v>
      </c>
      <c r="AR97" s="349" t="str">
        <f>IF(AND(E97&gt;0,ROWS($D$70:D96)&lt;&gt;COLUMNS($D$70:D96)),MAX($AQ97:AQ97)+1,"")</f>
        <v/>
      </c>
      <c r="AS97" s="225" t="str">
        <f>IF(AND(F97&gt;0,ROWS($D$70:E96)&lt;&gt;COLUMNS($D$70:E96)),MAX($AQ97:AR97)+1,"")</f>
        <v/>
      </c>
      <c r="AT97" s="225" t="str">
        <f>IF(AND(G97&gt;0,ROWS($D$70:F96)&lt;&gt;COLUMNS($D$70:F96)),MAX($AQ97:AS97)+1,"")</f>
        <v/>
      </c>
      <c r="AU97" s="225" t="str">
        <f>IF(AND(H97&gt;0,ROWS($D$70:G96)&lt;&gt;COLUMNS($D$70:G96)),MAX($AQ97:AT97)+1,"")</f>
        <v/>
      </c>
      <c r="AV97" s="225" t="str">
        <f>IF(AND(I97&gt;0,ROWS($D$70:H96)&lt;&gt;COLUMNS($D$70:H96)),MAX($AQ97:AU97)+1,"")</f>
        <v/>
      </c>
      <c r="AW97" s="225" t="str">
        <f>IF(AND(J97&gt;0,ROWS($D$70:I96)&lt;&gt;COLUMNS($D$70:I96)),MAX($AQ97:AV97)+1,"")</f>
        <v/>
      </c>
      <c r="AX97" s="225" t="str">
        <f>IF(AND(K97&gt;0,ROWS($D$70:J96)&lt;&gt;COLUMNS($D$70:J96)),MAX($AQ97:AW97)+1,"")</f>
        <v/>
      </c>
      <c r="AY97" s="225" t="str">
        <f>IF(AND(L97&gt;0,ROWS($D$70:K96)&lt;&gt;COLUMNS($D$70:K96)),MAX($AQ97:AX97)+1,"")</f>
        <v/>
      </c>
      <c r="AZ97" s="225" t="str">
        <f>IF(AND(M97&gt;0,ROWS($D$70:L96)&lt;&gt;COLUMNS($D$70:L96)),MAX($AQ97:AY97)+1,"")</f>
        <v/>
      </c>
      <c r="BA97" s="350" t="str">
        <f>IF(AND(N97&gt;0,ROWS($D$70:M96)&lt;&gt;COLUMNS($D$70:M96)),MAX($AQ97:AZ97)+1,"")</f>
        <v/>
      </c>
      <c r="BB97" s="349" t="str">
        <f>IF(AND(O97&gt;0,ROWS($D$70:N96)&lt;&gt;COLUMNS($D$70:N96)),MAX($AQ97:BA97)+1,"")</f>
        <v/>
      </c>
      <c r="BC97" s="225" t="str">
        <f>IF(AND(P97&gt;0,ROWS($D$70:O96)&lt;&gt;COLUMNS($D$70:O96)),MAX($AQ97:BB97)+1,"")</f>
        <v/>
      </c>
      <c r="BD97" s="225" t="str">
        <f>IF(AND(Q97&gt;0,ROWS($D$70:P96)&lt;&gt;COLUMNS($D$70:P96)),MAX($AQ97:BC97)+1,"")</f>
        <v/>
      </c>
      <c r="BE97" s="225" t="str">
        <f>IF(AND(R97&gt;0,ROWS($D$70:Q96)&lt;&gt;COLUMNS($D$70:Q96)),MAX($AQ97:BD97)+1,"")</f>
        <v/>
      </c>
      <c r="BF97" s="225" t="str">
        <f>IF(AND(S97&gt;0,ROWS($D$70:R96)&lt;&gt;COLUMNS($D$70:R96)),MAX($AQ97:BE97)+1,"")</f>
        <v/>
      </c>
      <c r="BG97" s="225" t="str">
        <f>IF(AND(T97&gt;0,ROWS($D$70:S96)&lt;&gt;COLUMNS($D$70:S96)),MAX($AQ97:BF97)+1,"")</f>
        <v/>
      </c>
      <c r="BH97" s="225" t="str">
        <f>IF(AND(U97&gt;0,ROWS($D$70:T96)&lt;&gt;COLUMNS($D$70:T96)),MAX($AQ97:BG97)+1,"")</f>
        <v/>
      </c>
      <c r="BI97" s="225" t="str">
        <f>IF(AND(V97&gt;0,ROWS($D$70:U96)&lt;&gt;COLUMNS($D$70:U96)),MAX($AQ97:BH97)+1,"")</f>
        <v/>
      </c>
      <c r="BJ97" s="225" t="str">
        <f>IF(AND(W97&gt;0,ROWS($D$70:V96)&lt;&gt;COLUMNS($D$70:V96)),MAX($AQ97:BI97)+1,"")</f>
        <v/>
      </c>
      <c r="BK97" s="225" t="str">
        <f>IF(AND(X97&gt;0,ROWS($D$70:W96)&lt;&gt;COLUMNS($D$70:W96)),MAX($AQ97:BJ97)+1,"")</f>
        <v/>
      </c>
      <c r="BL97" s="225" t="str">
        <f>IF(AND(Y97&gt;0,ROWS($D$70:X96)&lt;&gt;COLUMNS($D$70:X96)),MAX($AQ97:BK97)+1,"")</f>
        <v/>
      </c>
      <c r="BM97" s="225" t="str">
        <f>IF(AND(Z97&gt;0,ROWS($D$70:Y96)&lt;&gt;COLUMNS($D$70:Y96)),MAX($AQ97:BL97)+1,"")</f>
        <v/>
      </c>
      <c r="BN97" s="225" t="str">
        <f>IF(AND(AA97&gt;0,ROWS($D$70:Z96)&lt;&gt;COLUMNS($D$70:Z96)),MAX($AQ97:BM97)+1,"")</f>
        <v/>
      </c>
      <c r="BO97" s="225" t="str">
        <f>IF(AND(AB97&gt;0,ROWS($D$70:AA96)&lt;&gt;COLUMNS($D$70:AA96)),MAX($AQ97:BN97)+1,"")</f>
        <v/>
      </c>
      <c r="BP97" s="225" t="str">
        <f>IF(AND(AC97&gt;0,ROWS($D$70:AB96)&lt;&gt;COLUMNS($D$70:AB96)),MAX($AQ97:BO97)+1,"")</f>
        <v/>
      </c>
      <c r="BQ97" s="225" t="str">
        <f>IF(AND(AD97&gt;0,ROWS($D$70:AC96)&lt;&gt;COLUMNS($D$70:AC96)),MAX($AQ97:BP97)+1,"")</f>
        <v/>
      </c>
      <c r="BR97" s="225" t="str">
        <f>IF(AND(AE97&gt;0,ROWS($D$70:AD96)&lt;&gt;COLUMNS($D$70:AD96)),MAX($AQ97:BQ97)+1,"")</f>
        <v/>
      </c>
      <c r="BS97" s="225" t="str">
        <f>IF(AND(AF97&gt;0,ROWS($D$70:AE96)&lt;&gt;COLUMNS($D$70:AE96)),MAX($AQ97:BR97)+1,"")</f>
        <v/>
      </c>
      <c r="BT97" s="225" t="str">
        <f>IF(AND(AG97&gt;0,ROWS($D$70:AF96)&lt;&gt;COLUMNS($D$70:AF96)),MAX($AQ97:BS97)+1,"")</f>
        <v/>
      </c>
      <c r="BU97" s="350" t="str">
        <f>IF(AND(AH97&gt;0,ROWS($D$70:AG96)&lt;&gt;COLUMNS($D$70:AG96)),MAX($AQ97:BT97)+1,"")</f>
        <v/>
      </c>
    </row>
    <row r="98" spans="3:73" ht="12.75" customHeight="1" x14ac:dyDescent="0.35">
      <c r="C98" s="223">
        <v>18</v>
      </c>
      <c r="D98" s="336" t="str">
        <f t="shared" si="11"/>
        <v/>
      </c>
      <c r="E98" s="331">
        <v>0</v>
      </c>
      <c r="F98" s="224">
        <v>0</v>
      </c>
      <c r="G98" s="224">
        <v>0</v>
      </c>
      <c r="H98" s="224">
        <v>0</v>
      </c>
      <c r="I98" s="224">
        <v>0</v>
      </c>
      <c r="J98" s="224">
        <v>0</v>
      </c>
      <c r="K98" s="224">
        <v>0</v>
      </c>
      <c r="L98" s="224">
        <v>0</v>
      </c>
      <c r="M98" s="224">
        <v>0</v>
      </c>
      <c r="N98" s="332">
        <v>0</v>
      </c>
      <c r="O98" s="331">
        <v>0</v>
      </c>
      <c r="P98" s="224">
        <v>0</v>
      </c>
      <c r="Q98" s="224">
        <v>0</v>
      </c>
      <c r="R98" s="224">
        <v>0</v>
      </c>
      <c r="S98" s="224">
        <v>0</v>
      </c>
      <c r="T98" s="224">
        <v>0</v>
      </c>
      <c r="U98" s="224">
        <v>0</v>
      </c>
      <c r="V98" s="224">
        <v>0</v>
      </c>
      <c r="W98" s="224">
        <v>0</v>
      </c>
      <c r="X98" s="224">
        <v>0</v>
      </c>
      <c r="Y98" s="224">
        <v>0</v>
      </c>
      <c r="Z98" s="224">
        <v>0</v>
      </c>
      <c r="AA98" s="224">
        <v>0</v>
      </c>
      <c r="AB98" s="224">
        <v>0</v>
      </c>
      <c r="AC98" s="224">
        <v>0</v>
      </c>
      <c r="AD98" s="224">
        <v>0</v>
      </c>
      <c r="AE98" s="224">
        <v>0</v>
      </c>
      <c r="AF98" s="224">
        <v>1</v>
      </c>
      <c r="AG98" s="224">
        <v>0</v>
      </c>
      <c r="AH98" s="332">
        <v>0</v>
      </c>
      <c r="AJ98" s="340">
        <f>IFERROR(SUMIF(E_PurchPrec!S:S,CONST_CNTR_EmbedEmDir &amp; D98,E_PurchPrec!T:T)/SUMIF(E_PurchPrec!R:R,CONST_CNTR_TotProd &amp; D98,E_PurchPrec!T:T),0)</f>
        <v>0</v>
      </c>
      <c r="AK98" s="341">
        <v>0</v>
      </c>
      <c r="AL98" s="344">
        <f>IFERROR(SUMIF(E_PurchPrec!S:S,CONST_CNTR_EmbedEmInDir &amp; D98,E_PurchPrec!T:T)/SUMIF(E_PurchPrec!R:R,CONST_CNTR_TotProd &amp; D98,E_PurchPrec!T:T),0)</f>
        <v>0</v>
      </c>
      <c r="AM98" s="341">
        <v>0</v>
      </c>
      <c r="AN98" s="344">
        <f>IFERROR(SUMIF(E_PurchPrec!R:R,CONST_ElecConsumption &amp; D98,E_PurchPrec!T:T)/SUMIF(E_PurchPrec!R:R,CONST_CNTR_TotProd &amp; D98,E_PurchPrec!T:T),0)</f>
        <v>0</v>
      </c>
      <c r="AO98" s="341">
        <v>0</v>
      </c>
      <c r="AR98" s="349" t="str">
        <f>IF(AND(E98&gt;0,ROWS($D$70:D97)&lt;&gt;COLUMNS($D$70:D97)),MAX($AQ98:AQ98)+1,"")</f>
        <v/>
      </c>
      <c r="AS98" s="225" t="str">
        <f>IF(AND(F98&gt;0,ROWS($D$70:E97)&lt;&gt;COLUMNS($D$70:E97)),MAX($AQ98:AR98)+1,"")</f>
        <v/>
      </c>
      <c r="AT98" s="225" t="str">
        <f>IF(AND(G98&gt;0,ROWS($D$70:F97)&lt;&gt;COLUMNS($D$70:F97)),MAX($AQ98:AS98)+1,"")</f>
        <v/>
      </c>
      <c r="AU98" s="225" t="str">
        <f>IF(AND(H98&gt;0,ROWS($D$70:G97)&lt;&gt;COLUMNS($D$70:G97)),MAX($AQ98:AT98)+1,"")</f>
        <v/>
      </c>
      <c r="AV98" s="225" t="str">
        <f>IF(AND(I98&gt;0,ROWS($D$70:H97)&lt;&gt;COLUMNS($D$70:H97)),MAX($AQ98:AU98)+1,"")</f>
        <v/>
      </c>
      <c r="AW98" s="225" t="str">
        <f>IF(AND(J98&gt;0,ROWS($D$70:I97)&lt;&gt;COLUMNS($D$70:I97)),MAX($AQ98:AV98)+1,"")</f>
        <v/>
      </c>
      <c r="AX98" s="225" t="str">
        <f>IF(AND(K98&gt;0,ROWS($D$70:J97)&lt;&gt;COLUMNS($D$70:J97)),MAX($AQ98:AW98)+1,"")</f>
        <v/>
      </c>
      <c r="AY98" s="225" t="str">
        <f>IF(AND(L98&gt;0,ROWS($D$70:K97)&lt;&gt;COLUMNS($D$70:K97)),MAX($AQ98:AX98)+1,"")</f>
        <v/>
      </c>
      <c r="AZ98" s="225" t="str">
        <f>IF(AND(M98&gt;0,ROWS($D$70:L97)&lt;&gt;COLUMNS($D$70:L97)),MAX($AQ98:AY98)+1,"")</f>
        <v/>
      </c>
      <c r="BA98" s="350" t="str">
        <f>IF(AND(N98&gt;0,ROWS($D$70:M97)&lt;&gt;COLUMNS($D$70:M97)),MAX($AQ98:AZ98)+1,"")</f>
        <v/>
      </c>
      <c r="BB98" s="349" t="str">
        <f>IF(AND(O98&gt;0,ROWS($D$70:N97)&lt;&gt;COLUMNS($D$70:N97)),MAX($AQ98:BA98)+1,"")</f>
        <v/>
      </c>
      <c r="BC98" s="225" t="str">
        <f>IF(AND(P98&gt;0,ROWS($D$70:O97)&lt;&gt;COLUMNS($D$70:O97)),MAX($AQ98:BB98)+1,"")</f>
        <v/>
      </c>
      <c r="BD98" s="225" t="str">
        <f>IF(AND(Q98&gt;0,ROWS($D$70:P97)&lt;&gt;COLUMNS($D$70:P97)),MAX($AQ98:BC98)+1,"")</f>
        <v/>
      </c>
      <c r="BE98" s="225" t="str">
        <f>IF(AND(R98&gt;0,ROWS($D$70:Q97)&lt;&gt;COLUMNS($D$70:Q97)),MAX($AQ98:BD98)+1,"")</f>
        <v/>
      </c>
      <c r="BF98" s="225" t="str">
        <f>IF(AND(S98&gt;0,ROWS($D$70:R97)&lt;&gt;COLUMNS($D$70:R97)),MAX($AQ98:BE98)+1,"")</f>
        <v/>
      </c>
      <c r="BG98" s="225" t="str">
        <f>IF(AND(T98&gt;0,ROWS($D$70:S97)&lt;&gt;COLUMNS($D$70:S97)),MAX($AQ98:BF98)+1,"")</f>
        <v/>
      </c>
      <c r="BH98" s="225" t="str">
        <f>IF(AND(U98&gt;0,ROWS($D$70:T97)&lt;&gt;COLUMNS($D$70:T97)),MAX($AQ98:BG98)+1,"")</f>
        <v/>
      </c>
      <c r="BI98" s="225" t="str">
        <f>IF(AND(V98&gt;0,ROWS($D$70:U97)&lt;&gt;COLUMNS($D$70:U97)),MAX($AQ98:BH98)+1,"")</f>
        <v/>
      </c>
      <c r="BJ98" s="225" t="str">
        <f>IF(AND(W98&gt;0,ROWS($D$70:V97)&lt;&gt;COLUMNS($D$70:V97)),MAX($AQ98:BI98)+1,"")</f>
        <v/>
      </c>
      <c r="BK98" s="225" t="str">
        <f>IF(AND(X98&gt;0,ROWS($D$70:W97)&lt;&gt;COLUMNS($D$70:W97)),MAX($AQ98:BJ98)+1,"")</f>
        <v/>
      </c>
      <c r="BL98" s="225" t="str">
        <f>IF(AND(Y98&gt;0,ROWS($D$70:X97)&lt;&gt;COLUMNS($D$70:X97)),MAX($AQ98:BK98)+1,"")</f>
        <v/>
      </c>
      <c r="BM98" s="225" t="str">
        <f>IF(AND(Z98&gt;0,ROWS($D$70:Y97)&lt;&gt;COLUMNS($D$70:Y97)),MAX($AQ98:BL98)+1,"")</f>
        <v/>
      </c>
      <c r="BN98" s="225" t="str">
        <f>IF(AND(AA98&gt;0,ROWS($D$70:Z97)&lt;&gt;COLUMNS($D$70:Z97)),MAX($AQ98:BM98)+1,"")</f>
        <v/>
      </c>
      <c r="BO98" s="225" t="str">
        <f>IF(AND(AB98&gt;0,ROWS($D$70:AA97)&lt;&gt;COLUMNS($D$70:AA97)),MAX($AQ98:BN98)+1,"")</f>
        <v/>
      </c>
      <c r="BP98" s="225" t="str">
        <f>IF(AND(AC98&gt;0,ROWS($D$70:AB97)&lt;&gt;COLUMNS($D$70:AB97)),MAX($AQ98:BO98)+1,"")</f>
        <v/>
      </c>
      <c r="BQ98" s="225" t="str">
        <f>IF(AND(AD98&gt;0,ROWS($D$70:AC97)&lt;&gt;COLUMNS($D$70:AC97)),MAX($AQ98:BP98)+1,"")</f>
        <v/>
      </c>
      <c r="BR98" s="225" t="str">
        <f>IF(AND(AE98&gt;0,ROWS($D$70:AD97)&lt;&gt;COLUMNS($D$70:AD97)),MAX($AQ98:BQ98)+1,"")</f>
        <v/>
      </c>
      <c r="BS98" s="225" t="str">
        <f>IF(AND(AF98&gt;0,ROWS($D$70:AE97)&lt;&gt;COLUMNS($D$70:AE97)),MAX($AQ98:BR98)+1,"")</f>
        <v/>
      </c>
      <c r="BT98" s="225" t="str">
        <f>IF(AND(AG98&gt;0,ROWS($D$70:AF97)&lt;&gt;COLUMNS($D$70:AF97)),MAX($AQ98:BS98)+1,"")</f>
        <v/>
      </c>
      <c r="BU98" s="350" t="str">
        <f>IF(AND(AH98&gt;0,ROWS($D$70:AG97)&lt;&gt;COLUMNS($D$70:AG97)),MAX($AQ98:BT98)+1,"")</f>
        <v/>
      </c>
    </row>
    <row r="99" spans="3:73" ht="12.75" customHeight="1" x14ac:dyDescent="0.35">
      <c r="C99" s="223">
        <v>19</v>
      </c>
      <c r="D99" s="336" t="str">
        <f t="shared" si="11"/>
        <v/>
      </c>
      <c r="E99" s="331">
        <v>0</v>
      </c>
      <c r="F99" s="224">
        <v>0</v>
      </c>
      <c r="G99" s="224">
        <v>0</v>
      </c>
      <c r="H99" s="224">
        <v>0</v>
      </c>
      <c r="I99" s="224">
        <v>0</v>
      </c>
      <c r="J99" s="224">
        <v>0</v>
      </c>
      <c r="K99" s="224">
        <v>0</v>
      </c>
      <c r="L99" s="224">
        <v>0</v>
      </c>
      <c r="M99" s="224">
        <v>0</v>
      </c>
      <c r="N99" s="332">
        <v>0</v>
      </c>
      <c r="O99" s="331">
        <v>0</v>
      </c>
      <c r="P99" s="224">
        <v>0</v>
      </c>
      <c r="Q99" s="224">
        <v>0</v>
      </c>
      <c r="R99" s="224">
        <v>0</v>
      </c>
      <c r="S99" s="224">
        <v>0</v>
      </c>
      <c r="T99" s="224">
        <v>0</v>
      </c>
      <c r="U99" s="224">
        <v>0</v>
      </c>
      <c r="V99" s="224">
        <v>0</v>
      </c>
      <c r="W99" s="224">
        <v>0</v>
      </c>
      <c r="X99" s="224">
        <v>0</v>
      </c>
      <c r="Y99" s="224">
        <v>0</v>
      </c>
      <c r="Z99" s="224">
        <v>0</v>
      </c>
      <c r="AA99" s="224">
        <v>0</v>
      </c>
      <c r="AB99" s="224">
        <v>0</v>
      </c>
      <c r="AC99" s="224">
        <v>0</v>
      </c>
      <c r="AD99" s="224">
        <v>0</v>
      </c>
      <c r="AE99" s="224">
        <v>0</v>
      </c>
      <c r="AF99" s="224">
        <v>0</v>
      </c>
      <c r="AG99" s="224">
        <v>1</v>
      </c>
      <c r="AH99" s="332">
        <v>0</v>
      </c>
      <c r="AJ99" s="340">
        <f>IFERROR(SUMIF(E_PurchPrec!S:S,CONST_CNTR_EmbedEmDir &amp; D99,E_PurchPrec!T:T)/SUMIF(E_PurchPrec!R:R,CONST_CNTR_TotProd &amp; D99,E_PurchPrec!T:T),0)</f>
        <v>0</v>
      </c>
      <c r="AK99" s="341">
        <v>0</v>
      </c>
      <c r="AL99" s="344">
        <f>IFERROR(SUMIF(E_PurchPrec!S:S,CONST_CNTR_EmbedEmInDir &amp; D99,E_PurchPrec!T:T)/SUMIF(E_PurchPrec!R:R,CONST_CNTR_TotProd &amp; D99,E_PurchPrec!T:T),0)</f>
        <v>0</v>
      </c>
      <c r="AM99" s="341">
        <v>0</v>
      </c>
      <c r="AN99" s="344">
        <f>IFERROR(SUMIF(E_PurchPrec!R:R,CONST_ElecConsumption &amp; D99,E_PurchPrec!T:T)/SUMIF(E_PurchPrec!R:R,CONST_CNTR_TotProd &amp; D99,E_PurchPrec!T:T),0)</f>
        <v>0</v>
      </c>
      <c r="AO99" s="341">
        <v>0</v>
      </c>
      <c r="AR99" s="349" t="str">
        <f>IF(AND(E99&gt;0,ROWS($D$70:D98)&lt;&gt;COLUMNS($D$70:D98)),MAX($AQ99:AQ99)+1,"")</f>
        <v/>
      </c>
      <c r="AS99" s="225" t="str">
        <f>IF(AND(F99&gt;0,ROWS($D$70:E98)&lt;&gt;COLUMNS($D$70:E98)),MAX($AQ99:AR99)+1,"")</f>
        <v/>
      </c>
      <c r="AT99" s="225" t="str">
        <f>IF(AND(G99&gt;0,ROWS($D$70:F98)&lt;&gt;COLUMNS($D$70:F98)),MAX($AQ99:AS99)+1,"")</f>
        <v/>
      </c>
      <c r="AU99" s="225" t="str">
        <f>IF(AND(H99&gt;0,ROWS($D$70:G98)&lt;&gt;COLUMNS($D$70:G98)),MAX($AQ99:AT99)+1,"")</f>
        <v/>
      </c>
      <c r="AV99" s="225" t="str">
        <f>IF(AND(I99&gt;0,ROWS($D$70:H98)&lt;&gt;COLUMNS($D$70:H98)),MAX($AQ99:AU99)+1,"")</f>
        <v/>
      </c>
      <c r="AW99" s="225" t="str">
        <f>IF(AND(J99&gt;0,ROWS($D$70:I98)&lt;&gt;COLUMNS($D$70:I98)),MAX($AQ99:AV99)+1,"")</f>
        <v/>
      </c>
      <c r="AX99" s="225" t="str">
        <f>IF(AND(K99&gt;0,ROWS($D$70:J98)&lt;&gt;COLUMNS($D$70:J98)),MAX($AQ99:AW99)+1,"")</f>
        <v/>
      </c>
      <c r="AY99" s="225" t="str">
        <f>IF(AND(L99&gt;0,ROWS($D$70:K98)&lt;&gt;COLUMNS($D$70:K98)),MAX($AQ99:AX99)+1,"")</f>
        <v/>
      </c>
      <c r="AZ99" s="225" t="str">
        <f>IF(AND(M99&gt;0,ROWS($D$70:L98)&lt;&gt;COLUMNS($D$70:L98)),MAX($AQ99:AY99)+1,"")</f>
        <v/>
      </c>
      <c r="BA99" s="350" t="str">
        <f>IF(AND(N99&gt;0,ROWS($D$70:M98)&lt;&gt;COLUMNS($D$70:M98)),MAX($AQ99:AZ99)+1,"")</f>
        <v/>
      </c>
      <c r="BB99" s="349" t="str">
        <f>IF(AND(O99&gt;0,ROWS($D$70:N98)&lt;&gt;COLUMNS($D$70:N98)),MAX($AQ99:BA99)+1,"")</f>
        <v/>
      </c>
      <c r="BC99" s="225" t="str">
        <f>IF(AND(P99&gt;0,ROWS($D$70:O98)&lt;&gt;COLUMNS($D$70:O98)),MAX($AQ99:BB99)+1,"")</f>
        <v/>
      </c>
      <c r="BD99" s="225" t="str">
        <f>IF(AND(Q99&gt;0,ROWS($D$70:P98)&lt;&gt;COLUMNS($D$70:P98)),MAX($AQ99:BC99)+1,"")</f>
        <v/>
      </c>
      <c r="BE99" s="225" t="str">
        <f>IF(AND(R99&gt;0,ROWS($D$70:Q98)&lt;&gt;COLUMNS($D$70:Q98)),MAX($AQ99:BD99)+1,"")</f>
        <v/>
      </c>
      <c r="BF99" s="225" t="str">
        <f>IF(AND(S99&gt;0,ROWS($D$70:R98)&lt;&gt;COLUMNS($D$70:R98)),MAX($AQ99:BE99)+1,"")</f>
        <v/>
      </c>
      <c r="BG99" s="225" t="str">
        <f>IF(AND(T99&gt;0,ROWS($D$70:S98)&lt;&gt;COLUMNS($D$70:S98)),MAX($AQ99:BF99)+1,"")</f>
        <v/>
      </c>
      <c r="BH99" s="225" t="str">
        <f>IF(AND(U99&gt;0,ROWS($D$70:T98)&lt;&gt;COLUMNS($D$70:T98)),MAX($AQ99:BG99)+1,"")</f>
        <v/>
      </c>
      <c r="BI99" s="225" t="str">
        <f>IF(AND(V99&gt;0,ROWS($D$70:U98)&lt;&gt;COLUMNS($D$70:U98)),MAX($AQ99:BH99)+1,"")</f>
        <v/>
      </c>
      <c r="BJ99" s="225" t="str">
        <f>IF(AND(W99&gt;0,ROWS($D$70:V98)&lt;&gt;COLUMNS($D$70:V98)),MAX($AQ99:BI99)+1,"")</f>
        <v/>
      </c>
      <c r="BK99" s="225" t="str">
        <f>IF(AND(X99&gt;0,ROWS($D$70:W98)&lt;&gt;COLUMNS($D$70:W98)),MAX($AQ99:BJ99)+1,"")</f>
        <v/>
      </c>
      <c r="BL99" s="225" t="str">
        <f>IF(AND(Y99&gt;0,ROWS($D$70:X98)&lt;&gt;COLUMNS($D$70:X98)),MAX($AQ99:BK99)+1,"")</f>
        <v/>
      </c>
      <c r="BM99" s="225" t="str">
        <f>IF(AND(Z99&gt;0,ROWS($D$70:Y98)&lt;&gt;COLUMNS($D$70:Y98)),MAX($AQ99:BL99)+1,"")</f>
        <v/>
      </c>
      <c r="BN99" s="225" t="str">
        <f>IF(AND(AA99&gt;0,ROWS($D$70:Z98)&lt;&gt;COLUMNS($D$70:Z98)),MAX($AQ99:BM99)+1,"")</f>
        <v/>
      </c>
      <c r="BO99" s="225" t="str">
        <f>IF(AND(AB99&gt;0,ROWS($D$70:AA98)&lt;&gt;COLUMNS($D$70:AA98)),MAX($AQ99:BN99)+1,"")</f>
        <v/>
      </c>
      <c r="BP99" s="225" t="str">
        <f>IF(AND(AC99&gt;0,ROWS($D$70:AB98)&lt;&gt;COLUMNS($D$70:AB98)),MAX($AQ99:BO99)+1,"")</f>
        <v/>
      </c>
      <c r="BQ99" s="225" t="str">
        <f>IF(AND(AD99&gt;0,ROWS($D$70:AC98)&lt;&gt;COLUMNS($D$70:AC98)),MAX($AQ99:BP99)+1,"")</f>
        <v/>
      </c>
      <c r="BR99" s="225" t="str">
        <f>IF(AND(AE99&gt;0,ROWS($D$70:AD98)&lt;&gt;COLUMNS($D$70:AD98)),MAX($AQ99:BQ99)+1,"")</f>
        <v/>
      </c>
      <c r="BS99" s="225" t="str">
        <f>IF(AND(AF99&gt;0,ROWS($D$70:AE98)&lt;&gt;COLUMNS($D$70:AE98)),MAX($AQ99:BR99)+1,"")</f>
        <v/>
      </c>
      <c r="BT99" s="225" t="str">
        <f>IF(AND(AG99&gt;0,ROWS($D$70:AF98)&lt;&gt;COLUMNS($D$70:AF98)),MAX($AQ99:BS99)+1,"")</f>
        <v/>
      </c>
      <c r="BU99" s="350" t="str">
        <f>IF(AND(AH99&gt;0,ROWS($D$70:AG98)&lt;&gt;COLUMNS($D$70:AG98)),MAX($AQ99:BT99)+1,"")</f>
        <v/>
      </c>
    </row>
    <row r="100" spans="3:73" ht="12.75" customHeight="1" thickBot="1" x14ac:dyDescent="0.4">
      <c r="C100" s="223">
        <v>20</v>
      </c>
      <c r="D100" s="337" t="str">
        <f t="shared" si="11"/>
        <v/>
      </c>
      <c r="E100" s="333">
        <v>0</v>
      </c>
      <c r="F100" s="334">
        <v>0</v>
      </c>
      <c r="G100" s="334">
        <v>0</v>
      </c>
      <c r="H100" s="334">
        <v>0</v>
      </c>
      <c r="I100" s="334">
        <v>0</v>
      </c>
      <c r="J100" s="334">
        <v>0</v>
      </c>
      <c r="K100" s="334">
        <v>0</v>
      </c>
      <c r="L100" s="334">
        <v>0</v>
      </c>
      <c r="M100" s="334">
        <v>0</v>
      </c>
      <c r="N100" s="335">
        <v>0</v>
      </c>
      <c r="O100" s="333">
        <v>0</v>
      </c>
      <c r="P100" s="334">
        <v>0</v>
      </c>
      <c r="Q100" s="334">
        <v>0</v>
      </c>
      <c r="R100" s="334">
        <v>0</v>
      </c>
      <c r="S100" s="334">
        <v>0</v>
      </c>
      <c r="T100" s="334">
        <v>0</v>
      </c>
      <c r="U100" s="334">
        <v>0</v>
      </c>
      <c r="V100" s="334">
        <v>0</v>
      </c>
      <c r="W100" s="334">
        <v>0</v>
      </c>
      <c r="X100" s="334">
        <v>0</v>
      </c>
      <c r="Y100" s="334">
        <v>0</v>
      </c>
      <c r="Z100" s="334">
        <v>0</v>
      </c>
      <c r="AA100" s="334">
        <v>0</v>
      </c>
      <c r="AB100" s="334">
        <v>0</v>
      </c>
      <c r="AC100" s="334">
        <v>0</v>
      </c>
      <c r="AD100" s="334">
        <v>0</v>
      </c>
      <c r="AE100" s="334">
        <v>0</v>
      </c>
      <c r="AF100" s="334">
        <v>0</v>
      </c>
      <c r="AG100" s="334">
        <v>0</v>
      </c>
      <c r="AH100" s="335">
        <v>1</v>
      </c>
      <c r="AJ100" s="342">
        <f>IFERROR(SUMIF(E_PurchPrec!S:S,CONST_CNTR_EmbedEmDir &amp; D100,E_PurchPrec!T:T)/SUMIF(E_PurchPrec!R:R,CONST_CNTR_TotProd &amp; D100,E_PurchPrec!T:T),0)</f>
        <v>0</v>
      </c>
      <c r="AK100" s="343">
        <v>0</v>
      </c>
      <c r="AL100" s="345">
        <f>IFERROR(SUMIF(E_PurchPrec!S:S,CONST_CNTR_EmbedEmInDir &amp; D100,E_PurchPrec!T:T)/SUMIF(E_PurchPrec!R:R,CONST_CNTR_TotProd &amp; D100,E_PurchPrec!T:T),0)</f>
        <v>0</v>
      </c>
      <c r="AM100" s="343">
        <v>0</v>
      </c>
      <c r="AN100" s="345">
        <f>IFERROR(SUMIF(E_PurchPrec!R:R,CONST_ElecConsumption &amp; D100,E_PurchPrec!T:T)/SUMIF(E_PurchPrec!R:R,CONST_CNTR_TotProd &amp; D100,E_PurchPrec!T:T),0)</f>
        <v>0</v>
      </c>
      <c r="AO100" s="343">
        <v>0</v>
      </c>
      <c r="AR100" s="351" t="str">
        <f>IF(AND(E100&gt;0,ROWS($D$70:D99)&lt;&gt;COLUMNS($D$70:D99)),MAX($AQ100:AQ100)+1,"")</f>
        <v/>
      </c>
      <c r="AS100" s="352" t="str">
        <f>IF(AND(F100&gt;0,ROWS($D$70:E99)&lt;&gt;COLUMNS($D$70:E99)),MAX($AQ100:AR100)+1,"")</f>
        <v/>
      </c>
      <c r="AT100" s="352" t="str">
        <f>IF(AND(G100&gt;0,ROWS($D$70:F99)&lt;&gt;COLUMNS($D$70:F99)),MAX($AQ100:AS100)+1,"")</f>
        <v/>
      </c>
      <c r="AU100" s="352" t="str">
        <f>IF(AND(H100&gt;0,ROWS($D$70:G99)&lt;&gt;COLUMNS($D$70:G99)),MAX($AQ100:AT100)+1,"")</f>
        <v/>
      </c>
      <c r="AV100" s="352" t="str">
        <f>IF(AND(I100&gt;0,ROWS($D$70:H99)&lt;&gt;COLUMNS($D$70:H99)),MAX($AQ100:AU100)+1,"")</f>
        <v/>
      </c>
      <c r="AW100" s="352" t="str">
        <f>IF(AND(J100&gt;0,ROWS($D$70:I99)&lt;&gt;COLUMNS($D$70:I99)),MAX($AQ100:AV100)+1,"")</f>
        <v/>
      </c>
      <c r="AX100" s="352" t="str">
        <f>IF(AND(K100&gt;0,ROWS($D$70:J99)&lt;&gt;COLUMNS($D$70:J99)),MAX($AQ100:AW100)+1,"")</f>
        <v/>
      </c>
      <c r="AY100" s="352" t="str">
        <f>IF(AND(L100&gt;0,ROWS($D$70:K99)&lt;&gt;COLUMNS($D$70:K99)),MAX($AQ100:AX100)+1,"")</f>
        <v/>
      </c>
      <c r="AZ100" s="352" t="str">
        <f>IF(AND(M100&gt;0,ROWS($D$70:L99)&lt;&gt;COLUMNS($D$70:L99)),MAX($AQ100:AY100)+1,"")</f>
        <v/>
      </c>
      <c r="BA100" s="353" t="str">
        <f>IF(AND(N100&gt;0,ROWS($D$70:M99)&lt;&gt;COLUMNS($D$70:M99)),MAX($AQ100:AZ100)+1,"")</f>
        <v/>
      </c>
      <c r="BB100" s="351" t="str">
        <f>IF(AND(O100&gt;0,ROWS($D$70:N99)&lt;&gt;COLUMNS($D$70:N99)),MAX($AQ100:BA100)+1,"")</f>
        <v/>
      </c>
      <c r="BC100" s="352" t="str">
        <f>IF(AND(P100&gt;0,ROWS($D$70:O99)&lt;&gt;COLUMNS($D$70:O99)),MAX($AQ100:BB100)+1,"")</f>
        <v/>
      </c>
      <c r="BD100" s="352" t="str">
        <f>IF(AND(Q100&gt;0,ROWS($D$70:P99)&lt;&gt;COLUMNS($D$70:P99)),MAX($AQ100:BC100)+1,"")</f>
        <v/>
      </c>
      <c r="BE100" s="352" t="str">
        <f>IF(AND(R100&gt;0,ROWS($D$70:Q99)&lt;&gt;COLUMNS($D$70:Q99)),MAX($AQ100:BD100)+1,"")</f>
        <v/>
      </c>
      <c r="BF100" s="352" t="str">
        <f>IF(AND(S100&gt;0,ROWS($D$70:R99)&lt;&gt;COLUMNS($D$70:R99)),MAX($AQ100:BE100)+1,"")</f>
        <v/>
      </c>
      <c r="BG100" s="352" t="str">
        <f>IF(AND(T100&gt;0,ROWS($D$70:S99)&lt;&gt;COLUMNS($D$70:S99)),MAX($AQ100:BF100)+1,"")</f>
        <v/>
      </c>
      <c r="BH100" s="352" t="str">
        <f>IF(AND(U100&gt;0,ROWS($D$70:T99)&lt;&gt;COLUMNS($D$70:T99)),MAX($AQ100:BG100)+1,"")</f>
        <v/>
      </c>
      <c r="BI100" s="352" t="str">
        <f>IF(AND(V100&gt;0,ROWS($D$70:U99)&lt;&gt;COLUMNS($D$70:U99)),MAX($AQ100:BH100)+1,"")</f>
        <v/>
      </c>
      <c r="BJ100" s="352" t="str">
        <f>IF(AND(W100&gt;0,ROWS($D$70:V99)&lt;&gt;COLUMNS($D$70:V99)),MAX($AQ100:BI100)+1,"")</f>
        <v/>
      </c>
      <c r="BK100" s="352" t="str">
        <f>IF(AND(X100&gt;0,ROWS($D$70:W99)&lt;&gt;COLUMNS($D$70:W99)),MAX($AQ100:BJ100)+1,"")</f>
        <v/>
      </c>
      <c r="BL100" s="352" t="str">
        <f>IF(AND(Y100&gt;0,ROWS($D$70:X99)&lt;&gt;COLUMNS($D$70:X99)),MAX($AQ100:BK100)+1,"")</f>
        <v/>
      </c>
      <c r="BM100" s="352" t="str">
        <f>IF(AND(Z100&gt;0,ROWS($D$70:Y99)&lt;&gt;COLUMNS($D$70:Y99)),MAX($AQ100:BL100)+1,"")</f>
        <v/>
      </c>
      <c r="BN100" s="352" t="str">
        <f>IF(AND(AA100&gt;0,ROWS($D$70:Z99)&lt;&gt;COLUMNS($D$70:Z99)),MAX($AQ100:BM100)+1,"")</f>
        <v/>
      </c>
      <c r="BO100" s="352" t="str">
        <f>IF(AND(AB100&gt;0,ROWS($D$70:AA99)&lt;&gt;COLUMNS($D$70:AA99)),MAX($AQ100:BN100)+1,"")</f>
        <v/>
      </c>
      <c r="BP100" s="352" t="str">
        <f>IF(AND(AC100&gt;0,ROWS($D$70:AB99)&lt;&gt;COLUMNS($D$70:AB99)),MAX($AQ100:BO100)+1,"")</f>
        <v/>
      </c>
      <c r="BQ100" s="352" t="str">
        <f>IF(AND(AD100&gt;0,ROWS($D$70:AC99)&lt;&gt;COLUMNS($D$70:AC99)),MAX($AQ100:BP100)+1,"")</f>
        <v/>
      </c>
      <c r="BR100" s="352" t="str">
        <f>IF(AND(AE100&gt;0,ROWS($D$70:AD99)&lt;&gt;COLUMNS($D$70:AD99)),MAX($AQ100:BQ100)+1,"")</f>
        <v/>
      </c>
      <c r="BS100" s="352" t="str">
        <f>IF(AND(AF100&gt;0,ROWS($D$70:AE99)&lt;&gt;COLUMNS($D$70:AE99)),MAX($AQ100:BR100)+1,"")</f>
        <v/>
      </c>
      <c r="BT100" s="352" t="str">
        <f>IF(AND(AG100&gt;0,ROWS($D$70:AF99)&lt;&gt;COLUMNS($D$70:AF99)),MAX($AQ100:BS100)+1,"")</f>
        <v/>
      </c>
      <c r="BU100" s="353" t="str">
        <f>IF(AND(AH100&gt;0,ROWS($D$70:AG99)&lt;&gt;COLUMNS($D$70:AG99)),MAX($AQ100:BT100)+1,"")</f>
        <v/>
      </c>
    </row>
  </sheetData>
  <sheetProtection sheet="1" objects="1" scenarios="1" formatCells="0" formatColumns="0" formatRows="0"/>
  <mergeCells count="1">
    <mergeCell ref="D3:AH3"/>
  </mergeCells>
  <conditionalFormatting sqref="E7:N36 E39:AH68 E71:AH100">
    <cfRule type="cellIs" dxfId="1" priority="2" operator="equal">
      <formula>0</formula>
    </cfRule>
  </conditionalFormatting>
  <conditionalFormatting sqref="E17:N36 O7:AH36">
    <cfRule type="cellIs" dxfId="0" priority="1" operator="equal">
      <formula>0</formula>
    </cfRule>
  </conditionalFormatting>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9">
    <tabColor theme="2"/>
  </sheetPr>
  <dimension ref="A1:BQ733"/>
  <sheetViews>
    <sheetView zoomScaleNormal="100" workbookViewId="0">
      <pane xSplit="1" topLeftCell="B1" activePane="topRight" state="frozen"/>
      <selection activeCell="B2" sqref="B2:F2"/>
      <selection pane="topRight" activeCell="B2" sqref="B2:F2"/>
    </sheetView>
  </sheetViews>
  <sheetFormatPr defaultColWidth="11.453125" defaultRowHeight="12.5" x14ac:dyDescent="0.25"/>
  <cols>
    <col min="1" max="2" width="20.7265625" style="7" customWidth="1"/>
    <col min="3" max="29" width="12.7265625" style="7" customWidth="1"/>
    <col min="30" max="16384" width="11.453125" style="7"/>
  </cols>
  <sheetData>
    <row r="1" spans="1:8" ht="13" thickBot="1" x14ac:dyDescent="0.3">
      <c r="A1" s="885" t="s">
        <v>134</v>
      </c>
      <c r="B1" s="889" t="str">
        <f>Translations!$B$2091</f>
        <v>Transitional</v>
      </c>
      <c r="E1" s="370" t="str">
        <f>Translations!$B$1885</f>
        <v>Name of this sheet:</v>
      </c>
      <c r="F1" s="888" t="str">
        <f ca="1">IF(ISERROR(CELL("filename",G1)),"Parameters_Constants",MID(CELL("filename",G1),FIND("]",CELL("filename",G1))+1,1024))</f>
        <v>Parameters_Constants</v>
      </c>
    </row>
    <row r="2" spans="1:8" x14ac:dyDescent="0.25">
      <c r="A2" s="2" t="s">
        <v>141</v>
      </c>
      <c r="B2" s="110" t="s">
        <v>142</v>
      </c>
    </row>
    <row r="3" spans="1:8" x14ac:dyDescent="0.25">
      <c r="A3" s="2" t="s">
        <v>354</v>
      </c>
      <c r="B3" s="110" t="s">
        <v>113</v>
      </c>
    </row>
    <row r="4" spans="1:8" x14ac:dyDescent="0.25">
      <c r="A4" s="2" t="s">
        <v>355</v>
      </c>
      <c r="B4" s="110" t="s">
        <v>112</v>
      </c>
    </row>
    <row r="5" spans="1:8" x14ac:dyDescent="0.25">
      <c r="A5" s="2" t="s">
        <v>356</v>
      </c>
      <c r="B5" s="110" t="s">
        <v>357</v>
      </c>
    </row>
    <row r="6" spans="1:8" x14ac:dyDescent="0.25">
      <c r="A6" s="2" t="s">
        <v>358</v>
      </c>
      <c r="B6" s="110" t="str">
        <f>CONST_CNTR_SUM_CO2</f>
        <v>SUM_CO2</v>
      </c>
      <c r="C6" s="110" t="str">
        <f>B5</f>
        <v>SUM_N2O</v>
      </c>
    </row>
    <row r="7" spans="1:8" x14ac:dyDescent="0.25">
      <c r="A7" s="2" t="s">
        <v>332</v>
      </c>
      <c r="B7" s="110" t="s">
        <v>329</v>
      </c>
    </row>
    <row r="8" spans="1:8" x14ac:dyDescent="0.25">
      <c r="A8" s="2" t="s">
        <v>333</v>
      </c>
      <c r="B8" s="110" t="s">
        <v>330</v>
      </c>
    </row>
    <row r="9" spans="1:8" x14ac:dyDescent="0.25">
      <c r="A9" s="2" t="s">
        <v>334</v>
      </c>
      <c r="B9" s="110" t="s">
        <v>331</v>
      </c>
    </row>
    <row r="10" spans="1:8" x14ac:dyDescent="0.25">
      <c r="A10" s="2" t="s">
        <v>609</v>
      </c>
      <c r="B10" s="110" t="s">
        <v>608</v>
      </c>
    </row>
    <row r="11" spans="1:8" x14ac:dyDescent="0.25">
      <c r="A11" s="2" t="s">
        <v>143</v>
      </c>
      <c r="B11" s="110" t="s">
        <v>144</v>
      </c>
    </row>
    <row r="12" spans="1:8" x14ac:dyDescent="0.25">
      <c r="A12" s="2" t="s">
        <v>139</v>
      </c>
      <c r="B12" s="2" t="s">
        <v>140</v>
      </c>
    </row>
    <row r="13" spans="1:8" x14ac:dyDescent="0.25">
      <c r="A13" s="110" t="s">
        <v>597</v>
      </c>
      <c r="B13" s="110">
        <v>56.1</v>
      </c>
    </row>
    <row r="14" spans="1:8" x14ac:dyDescent="0.25">
      <c r="A14" s="110" t="s">
        <v>149</v>
      </c>
      <c r="B14" s="110" t="s">
        <v>148</v>
      </c>
    </row>
    <row r="15" spans="1:8" x14ac:dyDescent="0.25">
      <c r="A15" s="110" t="s">
        <v>592</v>
      </c>
      <c r="B15" s="110" t="s">
        <v>3925</v>
      </c>
      <c r="C15" s="110" t="s">
        <v>3926</v>
      </c>
      <c r="D15" s="110" t="s">
        <v>3927</v>
      </c>
      <c r="E15" s="110" t="s">
        <v>3928</v>
      </c>
      <c r="F15" s="110" t="s">
        <v>3929</v>
      </c>
      <c r="G15" s="110" t="s">
        <v>3930</v>
      </c>
      <c r="H15" s="110" t="str">
        <f>Translations!$B$460</f>
        <v>Mix</v>
      </c>
    </row>
    <row r="16" spans="1:8" x14ac:dyDescent="0.25">
      <c r="A16" s="110" t="s">
        <v>150</v>
      </c>
      <c r="B16" s="110" t="s">
        <v>151</v>
      </c>
    </row>
    <row r="17" spans="1:4" x14ac:dyDescent="0.25">
      <c r="A17" s="110" t="s">
        <v>145</v>
      </c>
      <c r="B17" s="110" t="s">
        <v>146</v>
      </c>
    </row>
    <row r="18" spans="1:4" x14ac:dyDescent="0.25">
      <c r="A18" s="2" t="s">
        <v>27</v>
      </c>
      <c r="B18" s="2" t="str">
        <f>Translations!$B$631</f>
        <v>n.a.</v>
      </c>
    </row>
    <row r="19" spans="1:4" x14ac:dyDescent="0.25">
      <c r="A19" s="110" t="s">
        <v>147</v>
      </c>
      <c r="B19" s="110" t="s">
        <v>266</v>
      </c>
    </row>
    <row r="20" spans="1:4" x14ac:dyDescent="0.25">
      <c r="A20" s="2" t="s">
        <v>39</v>
      </c>
      <c r="B20" s="2" t="str">
        <f>Translations!$B$632</f>
        <v>tonnes</v>
      </c>
    </row>
    <row r="21" spans="1:4" x14ac:dyDescent="0.25">
      <c r="A21" s="2" t="s">
        <v>133</v>
      </c>
      <c r="B21" s="2" t="str">
        <f>Translations!$B$2091</f>
        <v>Transitional</v>
      </c>
      <c r="C21" s="1" t="str">
        <f>Translations!$B$2092</f>
        <v>Definitive</v>
      </c>
    </row>
    <row r="22" spans="1:4" x14ac:dyDescent="0.25">
      <c r="A22" s="2" t="s">
        <v>33</v>
      </c>
      <c r="B22" s="2" t="b">
        <v>1</v>
      </c>
      <c r="C22" s="110" t="b">
        <v>0</v>
      </c>
    </row>
    <row r="23" spans="1:4" x14ac:dyDescent="0.25">
      <c r="A23" s="110" t="s">
        <v>156</v>
      </c>
      <c r="B23" s="110" t="str">
        <f>CONST_t</f>
        <v>t</v>
      </c>
      <c r="C23" s="110" t="str">
        <f>CONST_kNm3</f>
        <v>1000Nm3</v>
      </c>
    </row>
    <row r="24" spans="1:4" x14ac:dyDescent="0.25">
      <c r="A24" s="1" t="s">
        <v>158</v>
      </c>
      <c r="B24" s="6" t="s">
        <v>118</v>
      </c>
    </row>
    <row r="25" spans="1:4" x14ac:dyDescent="0.25">
      <c r="A25" s="1" t="s">
        <v>159</v>
      </c>
      <c r="B25" s="6" t="s">
        <v>157</v>
      </c>
    </row>
    <row r="26" spans="1:4" x14ac:dyDescent="0.25">
      <c r="A26" s="8" t="s">
        <v>160</v>
      </c>
      <c r="B26" s="110" t="s">
        <v>95</v>
      </c>
    </row>
    <row r="27" spans="1:4" x14ac:dyDescent="0.25">
      <c r="A27" s="1" t="s">
        <v>161</v>
      </c>
      <c r="B27" s="3" t="s">
        <v>155</v>
      </c>
      <c r="C27" s="4"/>
      <c r="D27" s="9"/>
    </row>
    <row r="28" spans="1:4" x14ac:dyDescent="0.25">
      <c r="A28" s="1" t="s">
        <v>162</v>
      </c>
      <c r="B28" s="6" t="str">
        <f>CONST_GJ &amp; "/" &amp;CONST_t</f>
        <v>GJ/t</v>
      </c>
    </row>
    <row r="29" spans="1:4" x14ac:dyDescent="0.25">
      <c r="A29" s="1" t="s">
        <v>257</v>
      </c>
      <c r="B29" s="6" t="s">
        <v>256</v>
      </c>
    </row>
    <row r="30" spans="1:4" x14ac:dyDescent="0.25">
      <c r="A30" s="1" t="s">
        <v>335</v>
      </c>
      <c r="B30" s="6" t="s">
        <v>51</v>
      </c>
    </row>
    <row r="31" spans="1:4" x14ac:dyDescent="0.25">
      <c r="A31" s="1" t="s">
        <v>258</v>
      </c>
      <c r="B31" s="6" t="s">
        <v>259</v>
      </c>
    </row>
    <row r="32" spans="1:4" x14ac:dyDescent="0.25">
      <c r="A32" s="1" t="s">
        <v>260</v>
      </c>
      <c r="B32" s="6" t="s">
        <v>2988</v>
      </c>
    </row>
    <row r="33" spans="1:9" x14ac:dyDescent="0.25">
      <c r="A33" s="1" t="s">
        <v>163</v>
      </c>
      <c r="B33" s="6" t="str">
        <f>CONST_tCO2&amp;"/"&amp;CONST_t</f>
        <v>tCO2/t</v>
      </c>
    </row>
    <row r="34" spans="1:9" x14ac:dyDescent="0.25">
      <c r="A34" s="1" t="s">
        <v>164</v>
      </c>
      <c r="B34" s="6" t="str">
        <f>CONST_tCO2&amp;"/"&amp;CONST_TJ</f>
        <v>tCO2/TJ</v>
      </c>
    </row>
    <row r="35" spans="1:9" x14ac:dyDescent="0.25">
      <c r="A35" s="1" t="s">
        <v>165</v>
      </c>
      <c r="B35" s="6" t="str">
        <f>CONST_tCO2&amp;"/"&amp;CONST_kNm3</f>
        <v>tCO2/1000Nm3</v>
      </c>
    </row>
    <row r="36" spans="1:9" x14ac:dyDescent="0.25">
      <c r="A36" s="1" t="s">
        <v>166</v>
      </c>
      <c r="B36" s="3" t="str">
        <f>CONST_GJ &amp; "/" &amp;CONST_kNm3</f>
        <v>GJ/1000Nm3</v>
      </c>
      <c r="C36" s="4"/>
      <c r="D36" s="9"/>
    </row>
    <row r="37" spans="1:9" x14ac:dyDescent="0.25">
      <c r="A37" s="1" t="s">
        <v>167</v>
      </c>
      <c r="B37" s="3" t="s">
        <v>178</v>
      </c>
      <c r="C37" s="4"/>
      <c r="D37" s="9"/>
    </row>
    <row r="38" spans="1:9" x14ac:dyDescent="0.25">
      <c r="A38" s="1" t="s">
        <v>168</v>
      </c>
      <c r="B38" s="3" t="str">
        <f>CONST_tC &amp; "/" &amp; CONST_t</f>
        <v>tC/t</v>
      </c>
      <c r="C38" s="4"/>
      <c r="D38" s="9"/>
    </row>
    <row r="39" spans="1:9" x14ac:dyDescent="0.25">
      <c r="A39" s="1" t="s">
        <v>169</v>
      </c>
      <c r="B39" s="3" t="str">
        <f>CONST_tC &amp; "/" &amp; CONST_kNm3</f>
        <v>tC/1000Nm3</v>
      </c>
      <c r="C39" s="4"/>
      <c r="D39" s="9"/>
    </row>
    <row r="40" spans="1:9" x14ac:dyDescent="0.25">
      <c r="A40" s="1" t="s">
        <v>156</v>
      </c>
      <c r="B40" s="3" t="str">
        <f>CONST_t</f>
        <v>t</v>
      </c>
      <c r="C40" s="3" t="str">
        <f>CONST_kNm3</f>
        <v>1000Nm3</v>
      </c>
      <c r="D40" s="9"/>
    </row>
    <row r="41" spans="1:9" x14ac:dyDescent="0.25">
      <c r="A41" s="1" t="s">
        <v>170</v>
      </c>
      <c r="B41" s="3" t="str">
        <f>CONST_t</f>
        <v>t</v>
      </c>
      <c r="C41" s="3" t="str">
        <f>CONST_kNm3</f>
        <v>1000Nm3</v>
      </c>
      <c r="D41" s="3" t="str">
        <f>CONST_NA</f>
        <v>n.a.</v>
      </c>
    </row>
    <row r="42" spans="1:9" x14ac:dyDescent="0.25">
      <c r="A42" s="1" t="s">
        <v>3040</v>
      </c>
      <c r="B42" s="3" t="str">
        <f>Translations!$B$1875</f>
        <v>Mostly measurements &amp; analyses</v>
      </c>
      <c r="C42" s="3" t="str">
        <f>Translations!$B$1876</f>
        <v>Mostly measurements &amp; national standard factors for e.g. the emission factor</v>
      </c>
      <c r="D42" s="3" t="str">
        <f>Translations!$B$1877</f>
        <v>Mostly measurements &amp; sector-specific standard factors for e.g. the emission factor</v>
      </c>
      <c r="E42" s="3" t="str">
        <f>Translations!$B$1878</f>
        <v>Mostly measurements &amp; international standard factors for e.g. the emission factor</v>
      </c>
      <c r="F42" s="3" t="str">
        <f>Translations!$B$1879</f>
        <v>Mostly default values provided by the European Commission</v>
      </c>
    </row>
    <row r="43" spans="1:9" x14ac:dyDescent="0.25">
      <c r="A43" s="1" t="s">
        <v>3047</v>
      </c>
      <c r="B43" s="3" t="str">
        <f>Translations!$B$1880</f>
        <v>Third-party verification</v>
      </c>
      <c r="C43" s="3" t="str">
        <f>Translations!$B$1881</f>
        <v>Internal audits</v>
      </c>
      <c r="D43" s="3" t="str">
        <f>Translations!$B$1882</f>
        <v>Four eyes principle</v>
      </c>
      <c r="E43" s="3" t="str">
        <f>Translations!$B$634</f>
        <v>None</v>
      </c>
    </row>
    <row r="44" spans="1:9" x14ac:dyDescent="0.25">
      <c r="A44" s="1" t="s">
        <v>3041</v>
      </c>
      <c r="B44" s="3" t="str">
        <f>Translations!$B$1883</f>
        <v>Unreasonable costs for more accurate monitoring</v>
      </c>
      <c r="C44" s="3" t="str">
        <f>Translations!$B$1884</f>
        <v>Data gaps</v>
      </c>
      <c r="D44" s="3" t="str">
        <f>Translations!$B$638</f>
        <v>Other</v>
      </c>
    </row>
    <row r="45" spans="1:9" x14ac:dyDescent="0.25">
      <c r="A45" s="1" t="s">
        <v>604</v>
      </c>
      <c r="B45" s="110" t="str">
        <f>Translations!$B$634</f>
        <v>None</v>
      </c>
      <c r="C45" s="3" t="str">
        <f>Translations!$B$636</f>
        <v>Carbon Tax</v>
      </c>
      <c r="D45" s="3" t="str">
        <f>Translations!$B$2106</f>
        <v>Carbon Levy</v>
      </c>
      <c r="E45" s="3" t="str">
        <f>Translations!$B$2107</f>
        <v>Carbon Fee</v>
      </c>
      <c r="F45" s="3" t="str">
        <f>Translations!$B$635</f>
        <v>National Emissions Trading System</v>
      </c>
      <c r="G45" s="3" t="str">
        <f>Translations!$C$2105</f>
        <v>Regional Emissions Trading System</v>
      </c>
      <c r="H45" s="3" t="str">
        <f>Translations!$B$637</f>
        <v>Combination</v>
      </c>
      <c r="I45" s="3" t="str">
        <f>Translations!$B$638</f>
        <v>Other</v>
      </c>
    </row>
    <row r="46" spans="1:9" x14ac:dyDescent="0.25">
      <c r="A46" s="1" t="s">
        <v>2751</v>
      </c>
      <c r="B46" s="110" t="str">
        <f>Translations!$B$634</f>
        <v>None</v>
      </c>
      <c r="C46" s="3" t="str">
        <f>Translations!$B$639</f>
        <v>Free allocation</v>
      </c>
      <c r="D46" s="3" t="str">
        <f>Translations!$B$640</f>
        <v>Financial compensation</v>
      </c>
      <c r="E46" s="3" t="str">
        <f>Translations!$B$641</f>
        <v>Tax deduction</v>
      </c>
      <c r="F46" s="3" t="str">
        <f>Translations!$B$637</f>
        <v>Combination</v>
      </c>
      <c r="G46" s="3" t="str">
        <f>Translations!$B$638</f>
        <v>Other</v>
      </c>
    </row>
    <row r="47" spans="1:9" x14ac:dyDescent="0.25">
      <c r="A47" s="1" t="s">
        <v>171</v>
      </c>
      <c r="B47" s="3" t="str">
        <f>CONST_tCO2pTJ</f>
        <v>tCO2/TJ</v>
      </c>
      <c r="C47" s="3" t="str">
        <f>CONST_tCO2pt</f>
        <v>tCO2/t</v>
      </c>
      <c r="D47" s="3" t="str">
        <f>CONST_tCO2pkNm3</f>
        <v>tCO2/1000Nm3</v>
      </c>
    </row>
    <row r="48" spans="1:9" x14ac:dyDescent="0.25">
      <c r="A48" s="1" t="s">
        <v>172</v>
      </c>
      <c r="B48" s="3" t="str">
        <f>CONST_tC&amp;"/"&amp;CONST_t</f>
        <v>tC/t</v>
      </c>
      <c r="C48" s="3" t="str">
        <f>CONST_tC&amp;"/"&amp;CONST_kNm3</f>
        <v>tC/1000Nm3</v>
      </c>
      <c r="D48" s="3" t="str">
        <f>CONST_NA</f>
        <v>n.a.</v>
      </c>
    </row>
    <row r="49" spans="1:5" x14ac:dyDescent="0.25">
      <c r="A49" s="1" t="s">
        <v>173</v>
      </c>
      <c r="B49" s="3" t="str">
        <f>CONST_tC&amp;"/"&amp;CONST_t</f>
        <v>tC/t</v>
      </c>
      <c r="C49" s="3" t="str">
        <f>CONST_tC&amp;"/"&amp;CONST_kNm3</f>
        <v>tC/1000Nm3</v>
      </c>
    </row>
    <row r="50" spans="1:5" x14ac:dyDescent="0.25">
      <c r="A50" s="1" t="s">
        <v>174</v>
      </c>
      <c r="B50" s="5" t="str">
        <f>Translations!$B$2093</f>
        <v>h/period</v>
      </c>
    </row>
    <row r="51" spans="1:5" x14ac:dyDescent="0.25">
      <c r="A51" s="1" t="s">
        <v>175</v>
      </c>
      <c r="B51" s="5" t="s">
        <v>110</v>
      </c>
    </row>
    <row r="52" spans="1:5" x14ac:dyDescent="0.25">
      <c r="A52" s="1" t="s">
        <v>176</v>
      </c>
      <c r="B52" s="5" t="s">
        <v>109</v>
      </c>
    </row>
    <row r="53" spans="1:5" x14ac:dyDescent="0.25">
      <c r="A53" s="1" t="s">
        <v>177</v>
      </c>
      <c r="B53" s="3" t="str">
        <f>CONST_kNm3 &amp; "/" &amp; CONST_Year</f>
        <v>1000Nm3/Year</v>
      </c>
    </row>
    <row r="54" spans="1:5" x14ac:dyDescent="0.25">
      <c r="A54" s="1" t="s">
        <v>264</v>
      </c>
      <c r="B54" s="5" t="str">
        <f>Translations!$B$645</f>
        <v>Year</v>
      </c>
    </row>
    <row r="55" spans="1:5" x14ac:dyDescent="0.25">
      <c r="A55" s="110" t="s">
        <v>180</v>
      </c>
      <c r="B55" s="110" t="s">
        <v>31</v>
      </c>
      <c r="C55" s="110" t="s">
        <v>108</v>
      </c>
    </row>
    <row r="56" spans="1:5" x14ac:dyDescent="0.25">
      <c r="A56" s="110" t="s">
        <v>338</v>
      </c>
      <c r="B56" s="110" t="str">
        <f>Translations!$B$181</f>
        <v>Combustion</v>
      </c>
      <c r="C56" s="110" t="str">
        <f>Translations!$B$646</f>
        <v>Process emissions</v>
      </c>
      <c r="D56" s="110" t="str">
        <f>Translations!$B$194</f>
        <v>Mass Balance</v>
      </c>
    </row>
    <row r="57" spans="1:5" x14ac:dyDescent="0.25">
      <c r="A57" s="110" t="s">
        <v>350</v>
      </c>
      <c r="B57" s="110" t="str">
        <f>Translations!$B$647</f>
        <v>Slope method</v>
      </c>
      <c r="C57" s="110" t="str">
        <f>Translations!$B$203</f>
        <v>Overvoltage method</v>
      </c>
    </row>
    <row r="58" spans="1:5" x14ac:dyDescent="0.25">
      <c r="A58" s="1" t="s">
        <v>301</v>
      </c>
      <c r="B58" s="3" t="str">
        <f>Translations!$B$615</f>
        <v>Coal or coke</v>
      </c>
      <c r="C58" s="3" t="str">
        <f>Translations!$B$648</f>
        <v>Natural gas</v>
      </c>
      <c r="D58" s="3" t="str">
        <f>Translations!$B$649</f>
        <v>Biogas</v>
      </c>
      <c r="E58" s="3" t="str">
        <f>Translations!$B$650</f>
        <v>Hydrogen</v>
      </c>
    </row>
    <row r="59" spans="1:5" x14ac:dyDescent="0.25">
      <c r="A59" s="1" t="s">
        <v>396</v>
      </c>
      <c r="B59" s="3" t="str">
        <f>Translations!$B$651</f>
        <v>Missing! Please assign ALL relevant aggregated goods categories to a 'production process'.</v>
      </c>
    </row>
    <row r="60" spans="1:5" x14ac:dyDescent="0.25">
      <c r="A60" s="110" t="s">
        <v>397</v>
      </c>
      <c r="B60" s="110" t="str">
        <f>Translations!$B$652</f>
        <v>Click here to proceed to next sheet</v>
      </c>
    </row>
    <row r="61" spans="1:5" x14ac:dyDescent="0.25">
      <c r="A61" s="110" t="s">
        <v>419</v>
      </c>
      <c r="B61" s="110" t="s">
        <v>420</v>
      </c>
    </row>
    <row r="62" spans="1:5" x14ac:dyDescent="0.25">
      <c r="A62" s="110" t="s">
        <v>426</v>
      </c>
      <c r="B62" s="110" t="str">
        <f>Translations!$B$653</f>
        <v>Only direct production</v>
      </c>
    </row>
    <row r="63" spans="1:5" x14ac:dyDescent="0.25">
      <c r="A63" s="110" t="s">
        <v>427</v>
      </c>
      <c r="B63" s="110" t="str">
        <f>Translations!$B$654</f>
        <v>All production routes</v>
      </c>
    </row>
    <row r="64" spans="1:5" x14ac:dyDescent="0.25">
      <c r="A64" s="110" t="s">
        <v>428</v>
      </c>
      <c r="B64" s="110" t="str">
        <f>Translations!$B$655</f>
        <v>Please select…</v>
      </c>
    </row>
    <row r="65" spans="1:4" x14ac:dyDescent="0.25">
      <c r="A65" s="110" t="s">
        <v>2802</v>
      </c>
      <c r="B65" s="110" t="str">
        <f>Translations!$B$656</f>
        <v>Incomplete!</v>
      </c>
    </row>
    <row r="66" spans="1:4" x14ac:dyDescent="0.25">
      <c r="A66" s="110" t="s">
        <v>4063</v>
      </c>
      <c r="B66" s="110" t="str">
        <f>Translations!$B$2094</f>
        <v>Inconsistent!</v>
      </c>
    </row>
    <row r="67" spans="1:4" x14ac:dyDescent="0.25">
      <c r="A67" s="110" t="s">
        <v>2803</v>
      </c>
      <c r="B67" s="110" t="str">
        <f>Translations!$B$657</f>
        <v>Duplicate!</v>
      </c>
    </row>
    <row r="68" spans="1:4" x14ac:dyDescent="0.25">
      <c r="A68" s="110" t="s">
        <v>2764</v>
      </c>
      <c r="B68" s="110" t="str">
        <f>Translations!$B$658</f>
        <v>Measured</v>
      </c>
      <c r="C68" s="110" t="str">
        <f>Translations!$B$659</f>
        <v>Default</v>
      </c>
    </row>
    <row r="69" spans="1:4" x14ac:dyDescent="0.25">
      <c r="A69" s="110" t="s">
        <v>4027</v>
      </c>
      <c r="B69" s="110" t="str">
        <f>Translations!$B$658</f>
        <v>Measured</v>
      </c>
      <c r="C69" s="110" t="str">
        <f>Translations!$B$659</f>
        <v>Default</v>
      </c>
      <c r="D69" s="110" t="str">
        <f>Translations!$B$2095</f>
        <v>Unknown</v>
      </c>
    </row>
    <row r="70" spans="1:4" x14ac:dyDescent="0.25">
      <c r="A70" s="110" t="s">
        <v>2989</v>
      </c>
      <c r="B70" s="110" t="str">
        <f>Translations!$B$120</f>
        <v>Production process</v>
      </c>
      <c r="C70" s="110"/>
    </row>
    <row r="71" spans="1:4" x14ac:dyDescent="0.25">
      <c r="A71" s="110" t="s">
        <v>2990</v>
      </c>
      <c r="B71" s="110" t="str">
        <f>Translations!$B$553</f>
        <v>Purchased precursor</v>
      </c>
      <c r="C71" s="110"/>
    </row>
    <row r="72" spans="1:4" x14ac:dyDescent="0.25">
      <c r="A72" s="110" t="s">
        <v>2768</v>
      </c>
      <c r="B72" s="110" t="str">
        <f>Translations!$B$660</f>
        <v>Please click on this link for further guidance on how to complete this section.</v>
      </c>
    </row>
    <row r="73" spans="1:4" x14ac:dyDescent="0.25">
      <c r="A73" s="110" t="s">
        <v>2769</v>
      </c>
      <c r="B73" s="110" t="str">
        <f>Translations!$B$661</f>
        <v>Please click on this link if you want to go back to the relevant section for data entry.</v>
      </c>
    </row>
    <row r="74" spans="1:4" x14ac:dyDescent="0.25">
      <c r="A74" s="110" t="s">
        <v>2885</v>
      </c>
      <c r="B74" s="110" t="str">
        <f>Translations!$B$662</f>
        <v>Please click on this link to go to the "tool for calculation of the carbon price due".</v>
      </c>
    </row>
    <row r="75" spans="1:4" x14ac:dyDescent="0.25">
      <c r="A75" s="110" t="s">
        <v>2901</v>
      </c>
      <c r="B75" s="110" t="str">
        <f>Translations!$B$663</f>
        <v>Please click on this link to go to the "CHP Tool for attributing emissions between heat and electricity".</v>
      </c>
    </row>
    <row r="76" spans="1:4" x14ac:dyDescent="0.25">
      <c r="A76" s="110" t="s">
        <v>3968</v>
      </c>
      <c r="B76" s="798">
        <v>265</v>
      </c>
    </row>
    <row r="77" spans="1:4" x14ac:dyDescent="0.25">
      <c r="A77" s="110" t="s">
        <v>3967</v>
      </c>
      <c r="B77" s="798">
        <v>6630</v>
      </c>
    </row>
    <row r="78" spans="1:4" x14ac:dyDescent="0.25">
      <c r="A78" s="110" t="s">
        <v>3969</v>
      </c>
      <c r="B78" s="798">
        <v>11100</v>
      </c>
    </row>
    <row r="79" spans="1:4" x14ac:dyDescent="0.25">
      <c r="A79" s="110"/>
      <c r="B79" s="110"/>
    </row>
    <row r="80" spans="1:4" x14ac:dyDescent="0.25">
      <c r="A80" s="110"/>
      <c r="B80" s="110"/>
    </row>
    <row r="81" spans="1:69" x14ac:dyDescent="0.25">
      <c r="A81" s="110"/>
      <c r="B81" s="110"/>
    </row>
    <row r="82" spans="1:69" x14ac:dyDescent="0.25">
      <c r="A82" s="110"/>
      <c r="B82" s="110"/>
    </row>
    <row r="84" spans="1:69" s="281" customFormat="1" ht="13" thickBot="1" x14ac:dyDescent="0.3"/>
    <row r="85" spans="1:69" s="110" customFormat="1" ht="13" thickBot="1" x14ac:dyDescent="0.3">
      <c r="A85" s="370" t="str">
        <f>Translations!$B$1885</f>
        <v>Name of this sheet:</v>
      </c>
      <c r="B85" s="371" t="str">
        <f ca="1">$F$1</f>
        <v>Parameters_Constants</v>
      </c>
      <c r="BH85" s="874" t="s">
        <v>4069</v>
      </c>
      <c r="BI85" s="874"/>
      <c r="BJ85" s="874"/>
      <c r="BK85" s="874"/>
      <c r="BL85" s="874"/>
      <c r="BM85" s="874"/>
      <c r="BN85" s="874"/>
      <c r="BO85" s="874"/>
      <c r="BP85" s="874"/>
      <c r="BQ85" s="874"/>
    </row>
    <row r="86" spans="1:69" s="110" customFormat="1" x14ac:dyDescent="0.25">
      <c r="BH86" s="874"/>
      <c r="BI86" s="874"/>
      <c r="BJ86" s="874"/>
      <c r="BK86" s="874"/>
      <c r="BL86" s="874"/>
      <c r="BM86" s="874"/>
      <c r="BN86" s="874"/>
      <c r="BO86" s="874"/>
      <c r="BP86" s="874"/>
      <c r="BQ86" s="874"/>
    </row>
    <row r="87" spans="1:69" s="110" customFormat="1" ht="13" x14ac:dyDescent="0.3">
      <c r="C87" s="372" t="str">
        <f>Translations!$B$2096</f>
        <v>Indirect emissions relevant?</v>
      </c>
      <c r="F87" s="372" t="str">
        <f>Translations!$B$244</f>
        <v>Production route</v>
      </c>
      <c r="Q87" s="372" t="str">
        <f>Translations!$B$2097</f>
        <v>Relevant precursors</v>
      </c>
      <c r="BH87" s="874"/>
      <c r="BI87" s="874"/>
      <c r="BJ87" s="874"/>
      <c r="BK87" s="874"/>
      <c r="BL87" s="875" t="s">
        <v>2962</v>
      </c>
      <c r="BM87" s="874"/>
      <c r="BN87" s="874"/>
      <c r="BO87" s="874"/>
      <c r="BP87" s="874"/>
      <c r="BQ87" s="874"/>
    </row>
    <row r="88" spans="1:69" s="110" customFormat="1" ht="39" x14ac:dyDescent="0.3">
      <c r="A88" s="373" t="str">
        <f>Translations!$B$2098</f>
        <v>CBAM good</v>
      </c>
      <c r="B88" s="374" t="str">
        <f>Translations!$B$221</f>
        <v>Unit</v>
      </c>
      <c r="C88" s="809" t="str">
        <f>Translations!$B$2099</f>
        <v>Indir.em relevant? (definitive)</v>
      </c>
      <c r="D88" s="809" t="str">
        <f>Translations!$B$2100</f>
        <v>Indir.em relevant? (transitional</v>
      </c>
      <c r="E88" s="373" t="str">
        <f>Translations!$B$2101</f>
        <v>Production route relevant?</v>
      </c>
      <c r="F88" s="373" t="str">
        <f>Translations!$B$2102</f>
        <v>Address</v>
      </c>
      <c r="G88" s="375">
        <v>1</v>
      </c>
      <c r="H88" s="375">
        <v>2</v>
      </c>
      <c r="I88" s="375">
        <v>3</v>
      </c>
      <c r="J88" s="375">
        <v>4</v>
      </c>
      <c r="K88" s="375">
        <v>5</v>
      </c>
      <c r="L88" s="375">
        <v>6</v>
      </c>
      <c r="M88" s="375">
        <v>7</v>
      </c>
      <c r="N88" s="375">
        <v>8</v>
      </c>
      <c r="O88" s="375">
        <v>9</v>
      </c>
      <c r="P88" s="375">
        <v>10</v>
      </c>
      <c r="Q88" s="373" t="str">
        <f>Translations!$B$2102</f>
        <v>Address</v>
      </c>
      <c r="R88" s="375">
        <v>1</v>
      </c>
      <c r="S88" s="375">
        <v>2</v>
      </c>
      <c r="T88" s="375">
        <v>3</v>
      </c>
      <c r="U88" s="375">
        <v>4</v>
      </c>
      <c r="V88" s="375">
        <v>5</v>
      </c>
      <c r="W88" s="375">
        <v>6</v>
      </c>
      <c r="X88" s="375">
        <v>7</v>
      </c>
      <c r="Y88" s="375">
        <v>8</v>
      </c>
      <c r="Z88" s="375">
        <v>9</v>
      </c>
      <c r="AA88" s="375">
        <v>10</v>
      </c>
      <c r="AD88" s="375">
        <v>1</v>
      </c>
      <c r="AE88" s="375">
        <v>2</v>
      </c>
      <c r="AF88" s="375">
        <v>3</v>
      </c>
      <c r="AG88" s="375">
        <v>4</v>
      </c>
      <c r="AH88" s="375">
        <v>5</v>
      </c>
      <c r="AI88" s="375">
        <v>6</v>
      </c>
      <c r="AJ88" s="375">
        <v>7</v>
      </c>
      <c r="AK88" s="375">
        <v>8</v>
      </c>
      <c r="AL88" s="375">
        <v>9</v>
      </c>
      <c r="AM88" s="375">
        <v>10</v>
      </c>
      <c r="AO88" s="376" t="str">
        <f>INDEX(CONST_LIST_Goods,COLUMNS($AO88:AO88))</f>
        <v>Cement</v>
      </c>
      <c r="AP88" s="376" t="str">
        <f>INDEX(CONST_LIST_Goods,COLUMNS($AO88:AP88))</f>
        <v>Cement clinker</v>
      </c>
      <c r="AQ88" s="376" t="str">
        <f>INDEX(CONST_LIST_Goods,COLUMNS($AO88:AQ88))</f>
        <v xml:space="preserve">Calcined clays </v>
      </c>
      <c r="AR88" s="376" t="str">
        <f>INDEX(CONST_LIST_Goods,COLUMNS($AO88:AR88))</f>
        <v>Aluminous cement</v>
      </c>
      <c r="AS88" s="376" t="str">
        <f>INDEX(CONST_LIST_Goods,COLUMNS($AO88:AS88))</f>
        <v>Iron or steel products</v>
      </c>
      <c r="AT88" s="376" t="str">
        <f>INDEX(CONST_LIST_Goods,COLUMNS($AO88:AT88))</f>
        <v>Crude steel</v>
      </c>
      <c r="AU88" s="376" t="str">
        <f>INDEX(CONST_LIST_Goods,COLUMNS($AO88:AU88))</f>
        <v>Direct reduced iron</v>
      </c>
      <c r="AV88" s="376" t="str">
        <f>INDEX(CONST_LIST_Goods,COLUMNS($AO88:AV88))</f>
        <v>Pig iron</v>
      </c>
      <c r="AW88" s="376" t="str">
        <f>INDEX(CONST_LIST_Goods,COLUMNS($AO88:AW88))</f>
        <v>Alloys (FeMn, FeCr, FeNi)</v>
      </c>
      <c r="AX88" s="376" t="str">
        <f>INDEX(CONST_LIST_Goods,COLUMNS($AO88:AX88))</f>
        <v>Sintered Ore</v>
      </c>
      <c r="AY88" s="376" t="str">
        <f>INDEX(CONST_LIST_Goods,COLUMNS($AO88:AY88))</f>
        <v>Hydrogen</v>
      </c>
      <c r="AZ88" s="376" t="str">
        <f>INDEX(CONST_LIST_Goods,COLUMNS($AO88:AZ88))</f>
        <v>Ammonia</v>
      </c>
      <c r="BA88" s="376" t="str">
        <f>INDEX(CONST_LIST_Goods,COLUMNS($AO88:BA88))</f>
        <v>Nitric acid</v>
      </c>
      <c r="BB88" s="376" t="str">
        <f>INDEX(CONST_LIST_Goods,COLUMNS($AO88:BB88))</f>
        <v>Urea</v>
      </c>
      <c r="BC88" s="376" t="str">
        <f>INDEX(CONST_LIST_Goods,COLUMNS($AO88:BC88))</f>
        <v>Mixed fertilisers</v>
      </c>
      <c r="BD88" s="376" t="str">
        <f>INDEX(CONST_LIST_Goods,COLUMNS($AO88:BD88))</f>
        <v>Aluminium products</v>
      </c>
      <c r="BE88" s="376" t="str">
        <f>INDEX(CONST_LIST_Goods,COLUMNS($AO88:BE88))</f>
        <v>Unwrought aluminium</v>
      </c>
      <c r="BF88" s="376" t="str">
        <f>INDEX(CONST_LIST_Goods,COLUMNS($AO88:BF88))</f>
        <v>Electricity (export to EU)</v>
      </c>
      <c r="BH88" s="876" t="s">
        <v>2958</v>
      </c>
      <c r="BI88" s="874"/>
      <c r="BJ88" s="876" t="s">
        <v>2959</v>
      </c>
      <c r="BK88" s="874"/>
      <c r="BL88" s="876" t="s">
        <v>2960</v>
      </c>
      <c r="BM88" s="874"/>
      <c r="BN88" s="877" t="s">
        <v>3906</v>
      </c>
      <c r="BO88" s="874"/>
      <c r="BP88" s="874"/>
      <c r="BQ88" s="874"/>
    </row>
    <row r="89" spans="1:69" s="110" customFormat="1" x14ac:dyDescent="0.25">
      <c r="A89" s="114" t="str">
        <f>Translations!$B$664</f>
        <v>Cement</v>
      </c>
      <c r="B89" s="376" t="str">
        <f t="shared" ref="B89:B105" si="0">CONST_t</f>
        <v>t</v>
      </c>
      <c r="C89" s="114" t="b">
        <v>1</v>
      </c>
      <c r="D89" s="114" t="b">
        <f t="shared" ref="D89:D104" si="1">IF(MATCH(CNTR_CBAMPeriod,CONST_TransitionalOrDefinitive,0)=1,TRUE,C89)</f>
        <v>1</v>
      </c>
      <c r="E89" s="114" t="b">
        <f t="shared" ref="E89:E106" si="2">COUNTIF(G89:P89,CONST_NA)&lt;9</f>
        <v>0</v>
      </c>
      <c r="F89" s="377" t="str">
        <f t="shared" ref="F89:F106" ca="1" si="3">ADDRESS(ROW(),COLUMN(G89),,,$B$85)&amp;":"&amp;ADDRESS(ROW(),COLUMN(G89)+MAX(0,9-COUNTIF(G89:P89,CONST_NA)-COUNTIF(G89:P89,"")))</f>
        <v>Parameters_Constants!$G$89:$G$89</v>
      </c>
      <c r="G89" s="377" t="str">
        <f>CONST_AllProdRoutes</f>
        <v>All production routes</v>
      </c>
      <c r="H89" s="377" t="str">
        <f t="shared" ref="H89:P95" si="4">CONST_NA</f>
        <v>n.a.</v>
      </c>
      <c r="I89" s="377" t="str">
        <f t="shared" si="4"/>
        <v>n.a.</v>
      </c>
      <c r="J89" s="377" t="str">
        <f t="shared" si="4"/>
        <v>n.a.</v>
      </c>
      <c r="K89" s="377" t="str">
        <f t="shared" si="4"/>
        <v>n.a.</v>
      </c>
      <c r="L89" s="377" t="str">
        <f t="shared" si="4"/>
        <v>n.a.</v>
      </c>
      <c r="M89" s="377" t="str">
        <f t="shared" si="4"/>
        <v>n.a.</v>
      </c>
      <c r="N89" s="377" t="str">
        <f t="shared" si="4"/>
        <v>n.a.</v>
      </c>
      <c r="O89" s="377" t="str">
        <f t="shared" si="4"/>
        <v>n.a.</v>
      </c>
      <c r="P89" s="377" t="str">
        <f t="shared" si="4"/>
        <v>n.a.</v>
      </c>
      <c r="Q89" s="377" t="str">
        <f t="shared" ref="Q89:Q106" ca="1" si="5">ADDRESS(ROW(),COLUMN(R89),,,$B$85)&amp;":"&amp;ADDRESS(ROW(),COLUMN(R89)+MAX(0,9-COUNTIF(R89:AA89,CONST_NA)-COUNTIF(R89:AA89,"")))</f>
        <v>Parameters_Constants!$R$89:$S$89</v>
      </c>
      <c r="R89" s="114" t="str">
        <f>Translations!$B$665</f>
        <v>Cement clinker</v>
      </c>
      <c r="S89" s="114" t="str">
        <f>Translations!$B$666</f>
        <v xml:space="preserve">Calcined clays </v>
      </c>
      <c r="T89" s="114" t="str">
        <f t="shared" ref="T89:AA93" si="6">CONST_NA</f>
        <v>n.a.</v>
      </c>
      <c r="U89" s="114" t="str">
        <f t="shared" si="6"/>
        <v>n.a.</v>
      </c>
      <c r="V89" s="114" t="str">
        <f t="shared" si="6"/>
        <v>n.a.</v>
      </c>
      <c r="W89" s="114" t="str">
        <f t="shared" si="6"/>
        <v>n.a.</v>
      </c>
      <c r="X89" s="114" t="str">
        <f t="shared" si="6"/>
        <v>n.a.</v>
      </c>
      <c r="Y89" s="114" t="str">
        <f t="shared" si="6"/>
        <v>n.a.</v>
      </c>
      <c r="Z89" s="114" t="str">
        <f t="shared" si="6"/>
        <v>n.a.</v>
      </c>
      <c r="AA89" s="114" t="str">
        <f t="shared" si="6"/>
        <v>n.a.</v>
      </c>
      <c r="AC89" s="114" t="str">
        <f>A89</f>
        <v>Cement</v>
      </c>
      <c r="AD89" s="114" t="str">
        <f>R89</f>
        <v>Cement clinker</v>
      </c>
      <c r="AE89" s="114" t="str">
        <f>S89</f>
        <v xml:space="preserve">Calcined clays </v>
      </c>
      <c r="AF89" s="114" t="str">
        <f t="shared" ref="AF89:AM89" si="7">CONST_NA</f>
        <v>n.a.</v>
      </c>
      <c r="AG89" s="114" t="str">
        <f t="shared" si="7"/>
        <v>n.a.</v>
      </c>
      <c r="AH89" s="114" t="str">
        <f t="shared" si="7"/>
        <v>n.a.</v>
      </c>
      <c r="AI89" s="114" t="str">
        <f t="shared" si="7"/>
        <v>n.a.</v>
      </c>
      <c r="AJ89" s="114" t="str">
        <f t="shared" si="7"/>
        <v>n.a.</v>
      </c>
      <c r="AK89" s="114" t="str">
        <f t="shared" si="7"/>
        <v>n.a.</v>
      </c>
      <c r="AL89" s="114" t="str">
        <f t="shared" si="7"/>
        <v>n.a.</v>
      </c>
      <c r="AM89" s="114" t="str">
        <f t="shared" si="7"/>
        <v>n.a.</v>
      </c>
      <c r="AO89" s="376">
        <f t="shared" ref="AO89:AX98" si="8">COUNTIF(INDEX($AD$89:$AM$106,MATCH(AO$88,CONST_LIST_Goods,0),),$A89)</f>
        <v>0</v>
      </c>
      <c r="AP89" s="376">
        <f t="shared" si="8"/>
        <v>0</v>
      </c>
      <c r="AQ89" s="376">
        <f t="shared" si="8"/>
        <v>0</v>
      </c>
      <c r="AR89" s="376">
        <f t="shared" si="8"/>
        <v>0</v>
      </c>
      <c r="AS89" s="376">
        <f t="shared" si="8"/>
        <v>0</v>
      </c>
      <c r="AT89" s="376">
        <f t="shared" si="8"/>
        <v>0</v>
      </c>
      <c r="AU89" s="376">
        <f t="shared" si="8"/>
        <v>0</v>
      </c>
      <c r="AV89" s="376">
        <f t="shared" si="8"/>
        <v>0</v>
      </c>
      <c r="AW89" s="376">
        <f t="shared" si="8"/>
        <v>0</v>
      </c>
      <c r="AX89" s="376">
        <f t="shared" si="8"/>
        <v>0</v>
      </c>
      <c r="AY89" s="376">
        <f t="shared" ref="AY89:BF98" si="9">COUNTIF(INDEX($AD$89:$AM$106,MATCH(AY$88,CONST_LIST_Goods,0),),$A89)</f>
        <v>0</v>
      </c>
      <c r="AZ89" s="376">
        <f t="shared" si="9"/>
        <v>0</v>
      </c>
      <c r="BA89" s="376">
        <f t="shared" si="9"/>
        <v>0</v>
      </c>
      <c r="BB89" s="376">
        <f t="shared" si="9"/>
        <v>0</v>
      </c>
      <c r="BC89" s="376">
        <f t="shared" si="9"/>
        <v>0</v>
      </c>
      <c r="BD89" s="376">
        <f t="shared" si="9"/>
        <v>0</v>
      </c>
      <c r="BE89" s="376">
        <f t="shared" si="9"/>
        <v>0</v>
      </c>
      <c r="BF89" s="376">
        <f t="shared" si="9"/>
        <v>0</v>
      </c>
      <c r="BH89" s="878">
        <f>IF(COUNTIF(A_InstData!$E$62:$F$71,$A89)&gt;0,1,0)</f>
        <v>0</v>
      </c>
      <c r="BI89" s="874"/>
      <c r="BJ89" s="878">
        <f t="array" ref="BJ89:BJ106">MMULT(AO89:BF106,BH89:BH106)</f>
        <v>0</v>
      </c>
      <c r="BK89" s="874"/>
      <c r="BL89" s="878" t="str">
        <f>IF(BJ89&gt;0,MAX($BL$88:BL88)+1,"")</f>
        <v/>
      </c>
      <c r="BM89" s="874"/>
      <c r="BN89" s="878" t="b">
        <v>0</v>
      </c>
      <c r="BO89" s="874"/>
      <c r="BP89" s="874"/>
      <c r="BQ89" s="874"/>
    </row>
    <row r="90" spans="1:69" s="110" customFormat="1" x14ac:dyDescent="0.25">
      <c r="A90" s="114" t="str">
        <f>Translations!$B$665</f>
        <v>Cement clinker</v>
      </c>
      <c r="B90" s="376" t="str">
        <f t="shared" si="0"/>
        <v>t</v>
      </c>
      <c r="C90" s="114" t="b">
        <v>1</v>
      </c>
      <c r="D90" s="114" t="b">
        <f t="shared" si="1"/>
        <v>1</v>
      </c>
      <c r="E90" s="114" t="b">
        <f t="shared" si="2"/>
        <v>0</v>
      </c>
      <c r="F90" s="377" t="str">
        <f t="shared" ca="1" si="3"/>
        <v>Parameters_Constants!$G$90:$G$90</v>
      </c>
      <c r="G90" s="377" t="str">
        <f>CONST_AllProdRoutes</f>
        <v>All production routes</v>
      </c>
      <c r="H90" s="377" t="str">
        <f t="shared" si="4"/>
        <v>n.a.</v>
      </c>
      <c r="I90" s="377" t="str">
        <f t="shared" si="4"/>
        <v>n.a.</v>
      </c>
      <c r="J90" s="377" t="str">
        <f t="shared" si="4"/>
        <v>n.a.</v>
      </c>
      <c r="K90" s="377" t="str">
        <f t="shared" si="4"/>
        <v>n.a.</v>
      </c>
      <c r="L90" s="377" t="str">
        <f t="shared" si="4"/>
        <v>n.a.</v>
      </c>
      <c r="M90" s="377" t="str">
        <f t="shared" si="4"/>
        <v>n.a.</v>
      </c>
      <c r="N90" s="377" t="str">
        <f t="shared" si="4"/>
        <v>n.a.</v>
      </c>
      <c r="O90" s="377" t="str">
        <f t="shared" si="4"/>
        <v>n.a.</v>
      </c>
      <c r="P90" s="377" t="str">
        <f t="shared" si="4"/>
        <v>n.a.</v>
      </c>
      <c r="Q90" s="377" t="str">
        <f t="shared" ca="1" si="5"/>
        <v>Parameters_Constants!$R$90:$R$90</v>
      </c>
      <c r="R90" s="114" t="str">
        <f t="shared" ref="R90:S92" si="10">CONST_NA</f>
        <v>n.a.</v>
      </c>
      <c r="S90" s="114" t="str">
        <f t="shared" si="10"/>
        <v>n.a.</v>
      </c>
      <c r="T90" s="114" t="str">
        <f t="shared" si="6"/>
        <v>n.a.</v>
      </c>
      <c r="U90" s="114" t="str">
        <f t="shared" si="6"/>
        <v>n.a.</v>
      </c>
      <c r="V90" s="114" t="str">
        <f t="shared" si="6"/>
        <v>n.a.</v>
      </c>
      <c r="W90" s="114" t="str">
        <f t="shared" si="6"/>
        <v>n.a.</v>
      </c>
      <c r="X90" s="114" t="str">
        <f t="shared" si="6"/>
        <v>n.a.</v>
      </c>
      <c r="Y90" s="114" t="str">
        <f t="shared" si="6"/>
        <v>n.a.</v>
      </c>
      <c r="Z90" s="114" t="str">
        <f t="shared" si="6"/>
        <v>n.a.</v>
      </c>
      <c r="AA90" s="114" t="str">
        <f t="shared" si="6"/>
        <v>n.a.</v>
      </c>
      <c r="AC90" s="114" t="str">
        <f t="shared" ref="AC90:AC106" si="11">A90</f>
        <v>Cement clinker</v>
      </c>
      <c r="AD90" s="114" t="str">
        <f t="shared" ref="AD90:AM93" si="12">CONST_NA</f>
        <v>n.a.</v>
      </c>
      <c r="AE90" s="114" t="str">
        <f t="shared" si="12"/>
        <v>n.a.</v>
      </c>
      <c r="AF90" s="114" t="str">
        <f t="shared" si="12"/>
        <v>n.a.</v>
      </c>
      <c r="AG90" s="114" t="str">
        <f t="shared" si="12"/>
        <v>n.a.</v>
      </c>
      <c r="AH90" s="114" t="str">
        <f t="shared" si="12"/>
        <v>n.a.</v>
      </c>
      <c r="AI90" s="114" t="str">
        <f t="shared" si="12"/>
        <v>n.a.</v>
      </c>
      <c r="AJ90" s="114" t="str">
        <f t="shared" si="12"/>
        <v>n.a.</v>
      </c>
      <c r="AK90" s="114" t="str">
        <f t="shared" si="12"/>
        <v>n.a.</v>
      </c>
      <c r="AL90" s="114" t="str">
        <f t="shared" si="12"/>
        <v>n.a.</v>
      </c>
      <c r="AM90" s="114" t="str">
        <f t="shared" si="12"/>
        <v>n.a.</v>
      </c>
      <c r="AO90" s="376">
        <f t="shared" si="8"/>
        <v>1</v>
      </c>
      <c r="AP90" s="376">
        <f t="shared" si="8"/>
        <v>0</v>
      </c>
      <c r="AQ90" s="376">
        <f t="shared" si="8"/>
        <v>0</v>
      </c>
      <c r="AR90" s="376">
        <f t="shared" si="8"/>
        <v>0</v>
      </c>
      <c r="AS90" s="376">
        <f t="shared" si="8"/>
        <v>0</v>
      </c>
      <c r="AT90" s="376">
        <f t="shared" si="8"/>
        <v>0</v>
      </c>
      <c r="AU90" s="376">
        <f t="shared" si="8"/>
        <v>0</v>
      </c>
      <c r="AV90" s="376">
        <f t="shared" si="8"/>
        <v>0</v>
      </c>
      <c r="AW90" s="376">
        <f t="shared" si="8"/>
        <v>0</v>
      </c>
      <c r="AX90" s="376">
        <f t="shared" si="8"/>
        <v>0</v>
      </c>
      <c r="AY90" s="376">
        <f t="shared" si="9"/>
        <v>0</v>
      </c>
      <c r="AZ90" s="376">
        <f t="shared" si="9"/>
        <v>0</v>
      </c>
      <c r="BA90" s="376">
        <f t="shared" si="9"/>
        <v>0</v>
      </c>
      <c r="BB90" s="376">
        <f t="shared" si="9"/>
        <v>0</v>
      </c>
      <c r="BC90" s="376">
        <f t="shared" si="9"/>
        <v>0</v>
      </c>
      <c r="BD90" s="376">
        <f t="shared" si="9"/>
        <v>0</v>
      </c>
      <c r="BE90" s="376">
        <f t="shared" si="9"/>
        <v>0</v>
      </c>
      <c r="BF90" s="376">
        <f t="shared" si="9"/>
        <v>0</v>
      </c>
      <c r="BH90" s="878">
        <f>IF(COUNTIF(A_InstData!$E$62:$F$71,$A90)&gt;0,1,0)</f>
        <v>0</v>
      </c>
      <c r="BI90" s="874"/>
      <c r="BJ90" s="878">
        <v>0</v>
      </c>
      <c r="BK90" s="874"/>
      <c r="BL90" s="878" t="str">
        <f>IF(BJ90&gt;0,MAX($BL$88:BL89)+1,"")</f>
        <v/>
      </c>
      <c r="BM90" s="874"/>
      <c r="BN90" s="878" t="b">
        <v>0</v>
      </c>
      <c r="BO90" s="874"/>
      <c r="BP90" s="874"/>
      <c r="BQ90" s="874"/>
    </row>
    <row r="91" spans="1:69" s="110" customFormat="1" x14ac:dyDescent="0.25">
      <c r="A91" s="114" t="str">
        <f>Translations!$B$666</f>
        <v xml:space="preserve">Calcined clays </v>
      </c>
      <c r="B91" s="376" t="str">
        <f t="shared" si="0"/>
        <v>t</v>
      </c>
      <c r="C91" s="114" t="b">
        <v>1</v>
      </c>
      <c r="D91" s="114" t="b">
        <f t="shared" si="1"/>
        <v>1</v>
      </c>
      <c r="E91" s="114" t="b">
        <f t="shared" si="2"/>
        <v>0</v>
      </c>
      <c r="F91" s="377" t="str">
        <f t="shared" ca="1" si="3"/>
        <v>Parameters_Constants!$G$91:$G$91</v>
      </c>
      <c r="G91" s="377" t="str">
        <f>CONST_AllProdRoutes</f>
        <v>All production routes</v>
      </c>
      <c r="H91" s="377" t="str">
        <f t="shared" si="4"/>
        <v>n.a.</v>
      </c>
      <c r="I91" s="377" t="str">
        <f t="shared" si="4"/>
        <v>n.a.</v>
      </c>
      <c r="J91" s="377" t="str">
        <f t="shared" si="4"/>
        <v>n.a.</v>
      </c>
      <c r="K91" s="377" t="str">
        <f t="shared" si="4"/>
        <v>n.a.</v>
      </c>
      <c r="L91" s="377" t="str">
        <f t="shared" si="4"/>
        <v>n.a.</v>
      </c>
      <c r="M91" s="377" t="str">
        <f t="shared" si="4"/>
        <v>n.a.</v>
      </c>
      <c r="N91" s="377" t="str">
        <f t="shared" si="4"/>
        <v>n.a.</v>
      </c>
      <c r="O91" s="377" t="str">
        <f t="shared" si="4"/>
        <v>n.a.</v>
      </c>
      <c r="P91" s="377" t="str">
        <f t="shared" si="4"/>
        <v>n.a.</v>
      </c>
      <c r="Q91" s="377" t="str">
        <f t="shared" ca="1" si="5"/>
        <v>Parameters_Constants!$R$91:$R$91</v>
      </c>
      <c r="R91" s="114" t="str">
        <f t="shared" si="10"/>
        <v>n.a.</v>
      </c>
      <c r="S91" s="114" t="str">
        <f t="shared" si="10"/>
        <v>n.a.</v>
      </c>
      <c r="T91" s="114" t="str">
        <f t="shared" si="6"/>
        <v>n.a.</v>
      </c>
      <c r="U91" s="114" t="str">
        <f t="shared" si="6"/>
        <v>n.a.</v>
      </c>
      <c r="V91" s="114" t="str">
        <f t="shared" si="6"/>
        <v>n.a.</v>
      </c>
      <c r="W91" s="114" t="str">
        <f t="shared" si="6"/>
        <v>n.a.</v>
      </c>
      <c r="X91" s="114" t="str">
        <f t="shared" si="6"/>
        <v>n.a.</v>
      </c>
      <c r="Y91" s="114" t="str">
        <f t="shared" si="6"/>
        <v>n.a.</v>
      </c>
      <c r="Z91" s="114" t="str">
        <f t="shared" si="6"/>
        <v>n.a.</v>
      </c>
      <c r="AA91" s="114" t="str">
        <f t="shared" si="6"/>
        <v>n.a.</v>
      </c>
      <c r="AC91" s="114" t="str">
        <f t="shared" si="11"/>
        <v xml:space="preserve">Calcined clays </v>
      </c>
      <c r="AD91" s="114" t="str">
        <f t="shared" si="12"/>
        <v>n.a.</v>
      </c>
      <c r="AE91" s="114" t="str">
        <f t="shared" si="12"/>
        <v>n.a.</v>
      </c>
      <c r="AF91" s="114" t="str">
        <f t="shared" si="12"/>
        <v>n.a.</v>
      </c>
      <c r="AG91" s="114" t="str">
        <f t="shared" si="12"/>
        <v>n.a.</v>
      </c>
      <c r="AH91" s="114" t="str">
        <f t="shared" si="12"/>
        <v>n.a.</v>
      </c>
      <c r="AI91" s="114" t="str">
        <f t="shared" si="12"/>
        <v>n.a.</v>
      </c>
      <c r="AJ91" s="114" t="str">
        <f t="shared" si="12"/>
        <v>n.a.</v>
      </c>
      <c r="AK91" s="114" t="str">
        <f t="shared" si="12"/>
        <v>n.a.</v>
      </c>
      <c r="AL91" s="114" t="str">
        <f t="shared" si="12"/>
        <v>n.a.</v>
      </c>
      <c r="AM91" s="114" t="str">
        <f t="shared" si="12"/>
        <v>n.a.</v>
      </c>
      <c r="AO91" s="376">
        <f t="shared" si="8"/>
        <v>1</v>
      </c>
      <c r="AP91" s="376">
        <f t="shared" si="8"/>
        <v>0</v>
      </c>
      <c r="AQ91" s="376">
        <f t="shared" si="8"/>
        <v>0</v>
      </c>
      <c r="AR91" s="376">
        <f t="shared" si="8"/>
        <v>0</v>
      </c>
      <c r="AS91" s="376">
        <f t="shared" si="8"/>
        <v>0</v>
      </c>
      <c r="AT91" s="376">
        <f t="shared" si="8"/>
        <v>0</v>
      </c>
      <c r="AU91" s="376">
        <f t="shared" si="8"/>
        <v>0</v>
      </c>
      <c r="AV91" s="376">
        <f t="shared" si="8"/>
        <v>0</v>
      </c>
      <c r="AW91" s="376">
        <f t="shared" si="8"/>
        <v>0</v>
      </c>
      <c r="AX91" s="376">
        <f t="shared" si="8"/>
        <v>0</v>
      </c>
      <c r="AY91" s="376">
        <f t="shared" si="9"/>
        <v>0</v>
      </c>
      <c r="AZ91" s="376">
        <f t="shared" si="9"/>
        <v>0</v>
      </c>
      <c r="BA91" s="376">
        <f t="shared" si="9"/>
        <v>0</v>
      </c>
      <c r="BB91" s="376">
        <f t="shared" si="9"/>
        <v>0</v>
      </c>
      <c r="BC91" s="376">
        <f t="shared" si="9"/>
        <v>0</v>
      </c>
      <c r="BD91" s="376">
        <f t="shared" si="9"/>
        <v>0</v>
      </c>
      <c r="BE91" s="376">
        <f t="shared" si="9"/>
        <v>0</v>
      </c>
      <c r="BF91" s="376">
        <f t="shared" si="9"/>
        <v>0</v>
      </c>
      <c r="BH91" s="878">
        <f>IF(COUNTIF(A_InstData!$E$62:$F$71,$A91)&gt;0,1,0)</f>
        <v>0</v>
      </c>
      <c r="BI91" s="874"/>
      <c r="BJ91" s="878">
        <v>0</v>
      </c>
      <c r="BK91" s="874"/>
      <c r="BL91" s="878" t="str">
        <f>IF(BJ91&gt;0,MAX($BL$88:BL90)+1,"")</f>
        <v/>
      </c>
      <c r="BM91" s="874"/>
      <c r="BN91" s="878" t="b">
        <v>0</v>
      </c>
      <c r="BO91" s="874"/>
      <c r="BP91" s="874"/>
      <c r="BQ91" s="874"/>
    </row>
    <row r="92" spans="1:69" s="110" customFormat="1" x14ac:dyDescent="0.25">
      <c r="A92" s="114" t="str">
        <f>Translations!$B$667</f>
        <v>Aluminous cement</v>
      </c>
      <c r="B92" s="376" t="str">
        <f t="shared" si="0"/>
        <v>t</v>
      </c>
      <c r="C92" s="114" t="b">
        <v>1</v>
      </c>
      <c r="D92" s="114" t="b">
        <f t="shared" si="1"/>
        <v>1</v>
      </c>
      <c r="E92" s="114" t="b">
        <f t="shared" si="2"/>
        <v>0</v>
      </c>
      <c r="F92" s="377" t="str">
        <f t="shared" ca="1" si="3"/>
        <v>Parameters_Constants!$G$92:$G$92</v>
      </c>
      <c r="G92" s="377" t="str">
        <f>CONST_AllProdRoutes</f>
        <v>All production routes</v>
      </c>
      <c r="H92" s="377" t="str">
        <f t="shared" si="4"/>
        <v>n.a.</v>
      </c>
      <c r="I92" s="377" t="str">
        <f t="shared" si="4"/>
        <v>n.a.</v>
      </c>
      <c r="J92" s="377" t="str">
        <f t="shared" si="4"/>
        <v>n.a.</v>
      </c>
      <c r="K92" s="377" t="str">
        <f t="shared" si="4"/>
        <v>n.a.</v>
      </c>
      <c r="L92" s="377" t="str">
        <f t="shared" si="4"/>
        <v>n.a.</v>
      </c>
      <c r="M92" s="377" t="str">
        <f t="shared" si="4"/>
        <v>n.a.</v>
      </c>
      <c r="N92" s="377" t="str">
        <f t="shared" si="4"/>
        <v>n.a.</v>
      </c>
      <c r="O92" s="377" t="str">
        <f t="shared" si="4"/>
        <v>n.a.</v>
      </c>
      <c r="P92" s="377" t="str">
        <f t="shared" si="4"/>
        <v>n.a.</v>
      </c>
      <c r="Q92" s="377" t="str">
        <f t="shared" ca="1" si="5"/>
        <v>Parameters_Constants!$R$92:$R$92</v>
      </c>
      <c r="R92" s="114" t="str">
        <f t="shared" si="10"/>
        <v>n.a.</v>
      </c>
      <c r="S92" s="114" t="str">
        <f t="shared" si="10"/>
        <v>n.a.</v>
      </c>
      <c r="T92" s="114" t="str">
        <f t="shared" si="6"/>
        <v>n.a.</v>
      </c>
      <c r="U92" s="114" t="str">
        <f t="shared" si="6"/>
        <v>n.a.</v>
      </c>
      <c r="V92" s="114" t="str">
        <f t="shared" si="6"/>
        <v>n.a.</v>
      </c>
      <c r="W92" s="114" t="str">
        <f t="shared" si="6"/>
        <v>n.a.</v>
      </c>
      <c r="X92" s="114" t="str">
        <f t="shared" si="6"/>
        <v>n.a.</v>
      </c>
      <c r="Y92" s="114" t="str">
        <f t="shared" si="6"/>
        <v>n.a.</v>
      </c>
      <c r="Z92" s="114" t="str">
        <f t="shared" si="6"/>
        <v>n.a.</v>
      </c>
      <c r="AA92" s="114" t="str">
        <f t="shared" si="6"/>
        <v>n.a.</v>
      </c>
      <c r="AC92" s="114" t="str">
        <f t="shared" si="11"/>
        <v>Aluminous cement</v>
      </c>
      <c r="AD92" s="114" t="str">
        <f t="shared" si="12"/>
        <v>n.a.</v>
      </c>
      <c r="AE92" s="114" t="str">
        <f t="shared" si="12"/>
        <v>n.a.</v>
      </c>
      <c r="AF92" s="114" t="str">
        <f t="shared" si="12"/>
        <v>n.a.</v>
      </c>
      <c r="AG92" s="114" t="str">
        <f t="shared" si="12"/>
        <v>n.a.</v>
      </c>
      <c r="AH92" s="114" t="str">
        <f t="shared" si="12"/>
        <v>n.a.</v>
      </c>
      <c r="AI92" s="114" t="str">
        <f t="shared" si="12"/>
        <v>n.a.</v>
      </c>
      <c r="AJ92" s="114" t="str">
        <f t="shared" si="12"/>
        <v>n.a.</v>
      </c>
      <c r="AK92" s="114" t="str">
        <f t="shared" si="12"/>
        <v>n.a.</v>
      </c>
      <c r="AL92" s="114" t="str">
        <f t="shared" si="12"/>
        <v>n.a.</v>
      </c>
      <c r="AM92" s="114" t="str">
        <f t="shared" si="12"/>
        <v>n.a.</v>
      </c>
      <c r="AO92" s="376">
        <f t="shared" si="8"/>
        <v>0</v>
      </c>
      <c r="AP92" s="376">
        <f t="shared" si="8"/>
        <v>0</v>
      </c>
      <c r="AQ92" s="376">
        <f t="shared" si="8"/>
        <v>0</v>
      </c>
      <c r="AR92" s="376">
        <f t="shared" si="8"/>
        <v>0</v>
      </c>
      <c r="AS92" s="376">
        <f t="shared" si="8"/>
        <v>0</v>
      </c>
      <c r="AT92" s="376">
        <f t="shared" si="8"/>
        <v>0</v>
      </c>
      <c r="AU92" s="376">
        <f t="shared" si="8"/>
        <v>0</v>
      </c>
      <c r="AV92" s="376">
        <f t="shared" si="8"/>
        <v>0</v>
      </c>
      <c r="AW92" s="376">
        <f t="shared" si="8"/>
        <v>0</v>
      </c>
      <c r="AX92" s="376">
        <f t="shared" si="8"/>
        <v>0</v>
      </c>
      <c r="AY92" s="376">
        <f t="shared" si="9"/>
        <v>0</v>
      </c>
      <c r="AZ92" s="376">
        <f t="shared" si="9"/>
        <v>0</v>
      </c>
      <c r="BA92" s="376">
        <f t="shared" si="9"/>
        <v>0</v>
      </c>
      <c r="BB92" s="376">
        <f t="shared" si="9"/>
        <v>0</v>
      </c>
      <c r="BC92" s="376">
        <f t="shared" si="9"/>
        <v>0</v>
      </c>
      <c r="BD92" s="376">
        <f t="shared" si="9"/>
        <v>0</v>
      </c>
      <c r="BE92" s="376">
        <f t="shared" si="9"/>
        <v>0</v>
      </c>
      <c r="BF92" s="376">
        <f t="shared" si="9"/>
        <v>0</v>
      </c>
      <c r="BH92" s="878">
        <f>IF(COUNTIF(A_InstData!$E$62:$F$71,$A92)&gt;0,1,0)</f>
        <v>0</v>
      </c>
      <c r="BI92" s="874"/>
      <c r="BJ92" s="878">
        <v>0</v>
      </c>
      <c r="BK92" s="874"/>
      <c r="BL92" s="878" t="str">
        <f>IF(BJ92&gt;0,MAX($BL$88:BL91)+1,"")</f>
        <v/>
      </c>
      <c r="BM92" s="874"/>
      <c r="BN92" s="878" t="b">
        <v>0</v>
      </c>
      <c r="BO92" s="874"/>
      <c r="BP92" s="874"/>
      <c r="BQ92" s="874"/>
    </row>
    <row r="93" spans="1:69" s="110" customFormat="1" x14ac:dyDescent="0.25">
      <c r="A93" s="114" t="str">
        <f>Translations!$B$611</f>
        <v>Iron or steel products</v>
      </c>
      <c r="B93" s="376" t="str">
        <f t="shared" si="0"/>
        <v>t</v>
      </c>
      <c r="C93" s="114" t="b">
        <v>0</v>
      </c>
      <c r="D93" s="114" t="b">
        <f t="shared" si="1"/>
        <v>1</v>
      </c>
      <c r="E93" s="114" t="b">
        <f t="shared" si="2"/>
        <v>0</v>
      </c>
      <c r="F93" s="377" t="str">
        <f t="shared" ca="1" si="3"/>
        <v>Parameters_Constants!$G$93:$G$93</v>
      </c>
      <c r="G93" s="377" t="str">
        <f>CONST_AllProdRoutes</f>
        <v>All production routes</v>
      </c>
      <c r="H93" s="377" t="str">
        <f t="shared" si="4"/>
        <v>n.a.</v>
      </c>
      <c r="I93" s="377" t="str">
        <f t="shared" si="4"/>
        <v>n.a.</v>
      </c>
      <c r="J93" s="377" t="str">
        <f t="shared" si="4"/>
        <v>n.a.</v>
      </c>
      <c r="K93" s="377" t="str">
        <f t="shared" si="4"/>
        <v>n.a.</v>
      </c>
      <c r="L93" s="377" t="str">
        <f t="shared" si="4"/>
        <v>n.a.</v>
      </c>
      <c r="M93" s="377" t="str">
        <f t="shared" si="4"/>
        <v>n.a.</v>
      </c>
      <c r="N93" s="377" t="str">
        <f t="shared" si="4"/>
        <v>n.a.</v>
      </c>
      <c r="O93" s="377" t="str">
        <f t="shared" si="4"/>
        <v>n.a.</v>
      </c>
      <c r="P93" s="377" t="str">
        <f t="shared" si="4"/>
        <v>n.a.</v>
      </c>
      <c r="Q93" s="377" t="str">
        <f t="shared" ca="1" si="5"/>
        <v>Parameters_Constants!$R$93:$R$93</v>
      </c>
      <c r="R93" s="114" t="str">
        <f>Translations!$B$668</f>
        <v>Crude steel</v>
      </c>
      <c r="S93" s="114" t="str">
        <f>CONST_NA</f>
        <v>n.a.</v>
      </c>
      <c r="T93" s="114" t="str">
        <f t="shared" si="6"/>
        <v>n.a.</v>
      </c>
      <c r="U93" s="114" t="str">
        <f t="shared" si="6"/>
        <v>n.a.</v>
      </c>
      <c r="V93" s="114" t="str">
        <f t="shared" si="6"/>
        <v>n.a.</v>
      </c>
      <c r="W93" s="114" t="str">
        <f t="shared" si="6"/>
        <v>n.a.</v>
      </c>
      <c r="X93" s="114" t="str">
        <f t="shared" si="6"/>
        <v>n.a.</v>
      </c>
      <c r="Y93" s="114" t="str">
        <f t="shared" si="6"/>
        <v>n.a.</v>
      </c>
      <c r="Z93" s="114" t="str">
        <f t="shared" si="6"/>
        <v>n.a.</v>
      </c>
      <c r="AA93" s="114" t="str">
        <f t="shared" si="6"/>
        <v>n.a.</v>
      </c>
      <c r="AC93" s="114" t="str">
        <f t="shared" si="11"/>
        <v>Iron or steel products</v>
      </c>
      <c r="AD93" s="114" t="str">
        <f>R93</f>
        <v>Crude steel</v>
      </c>
      <c r="AE93" s="114" t="str">
        <f>R94</f>
        <v>Pig iron</v>
      </c>
      <c r="AF93" s="114" t="str">
        <f>T94</f>
        <v>Alloys (FeMn, FeCr, FeNi)</v>
      </c>
      <c r="AG93" s="114" t="str">
        <f>R95</f>
        <v>Sintered Ore</v>
      </c>
      <c r="AH93" s="114" t="str">
        <f>S94</f>
        <v>Direct reduced iron</v>
      </c>
      <c r="AI93" s="114" t="str">
        <f>S95</f>
        <v>Hydrogen</v>
      </c>
      <c r="AJ93" s="114" t="str">
        <f t="shared" si="12"/>
        <v>n.a.</v>
      </c>
      <c r="AK93" s="114" t="str">
        <f t="shared" si="12"/>
        <v>n.a.</v>
      </c>
      <c r="AL93" s="114" t="str">
        <f t="shared" si="12"/>
        <v>n.a.</v>
      </c>
      <c r="AM93" s="114" t="str">
        <f t="shared" si="12"/>
        <v>n.a.</v>
      </c>
      <c r="AO93" s="376">
        <f t="shared" si="8"/>
        <v>0</v>
      </c>
      <c r="AP93" s="376">
        <f t="shared" si="8"/>
        <v>0</v>
      </c>
      <c r="AQ93" s="376">
        <f t="shared" si="8"/>
        <v>0</v>
      </c>
      <c r="AR93" s="376">
        <f t="shared" si="8"/>
        <v>0</v>
      </c>
      <c r="AS93" s="376">
        <f t="shared" si="8"/>
        <v>0</v>
      </c>
      <c r="AT93" s="376">
        <f t="shared" si="8"/>
        <v>0</v>
      </c>
      <c r="AU93" s="376">
        <f t="shared" si="8"/>
        <v>0</v>
      </c>
      <c r="AV93" s="376">
        <f t="shared" si="8"/>
        <v>0</v>
      </c>
      <c r="AW93" s="376">
        <f t="shared" si="8"/>
        <v>0</v>
      </c>
      <c r="AX93" s="376">
        <f t="shared" si="8"/>
        <v>0</v>
      </c>
      <c r="AY93" s="376">
        <f t="shared" si="9"/>
        <v>0</v>
      </c>
      <c r="AZ93" s="376">
        <f t="shared" si="9"/>
        <v>0</v>
      </c>
      <c r="BA93" s="376">
        <f t="shared" si="9"/>
        <v>0</v>
      </c>
      <c r="BB93" s="376">
        <f t="shared" si="9"/>
        <v>0</v>
      </c>
      <c r="BC93" s="376">
        <f t="shared" si="9"/>
        <v>0</v>
      </c>
      <c r="BD93" s="376">
        <f t="shared" si="9"/>
        <v>0</v>
      </c>
      <c r="BE93" s="376">
        <f t="shared" si="9"/>
        <v>0</v>
      </c>
      <c r="BF93" s="376">
        <f t="shared" si="9"/>
        <v>0</v>
      </c>
      <c r="BH93" s="878">
        <f>IF(COUNTIF(A_InstData!$E$62:$F$71,$A93)&gt;0,1,0)</f>
        <v>0</v>
      </c>
      <c r="BI93" s="874"/>
      <c r="BJ93" s="878">
        <v>0</v>
      </c>
      <c r="BK93" s="874"/>
      <c r="BL93" s="878" t="str">
        <f>IF(BJ93&gt;0,MAX($BL$88:BL92)+1,"")</f>
        <v/>
      </c>
      <c r="BM93" s="874"/>
      <c r="BN93" s="878" t="b">
        <v>0</v>
      </c>
      <c r="BO93" s="874"/>
      <c r="BP93" s="874"/>
      <c r="BQ93" s="874"/>
    </row>
    <row r="94" spans="1:69" s="110" customFormat="1" x14ac:dyDescent="0.25">
      <c r="A94" s="114" t="str">
        <f>Translations!$B$668</f>
        <v>Crude steel</v>
      </c>
      <c r="B94" s="376" t="str">
        <f t="shared" si="0"/>
        <v>t</v>
      </c>
      <c r="C94" s="114" t="b">
        <v>0</v>
      </c>
      <c r="D94" s="114" t="b">
        <f t="shared" si="1"/>
        <v>1</v>
      </c>
      <c r="E94" s="114" t="b">
        <f t="shared" si="2"/>
        <v>1</v>
      </c>
      <c r="F94" s="377" t="str">
        <f t="shared" ca="1" si="3"/>
        <v>Parameters_Constants!$G$94:$J$94</v>
      </c>
      <c r="G94" s="377" t="str">
        <f>Translations!$B$669</f>
        <v>Basic oxygen steelmaking</v>
      </c>
      <c r="H94" s="377" t="str">
        <f>Translations!$B$670</f>
        <v>Electric arc furnace</v>
      </c>
      <c r="I94" s="377" t="str">
        <f>Translations!$B$671</f>
        <v>Other production routes</v>
      </c>
      <c r="J94" s="377" t="str">
        <f>Translations!$B$672</f>
        <v>Unknown production routes</v>
      </c>
      <c r="K94" s="377" t="str">
        <f t="shared" ref="J94:P98" si="13">CONST_NA</f>
        <v>n.a.</v>
      </c>
      <c r="L94" s="377" t="str">
        <f t="shared" si="13"/>
        <v>n.a.</v>
      </c>
      <c r="M94" s="377" t="str">
        <f t="shared" si="13"/>
        <v>n.a.</v>
      </c>
      <c r="N94" s="377" t="str">
        <f t="shared" si="13"/>
        <v>n.a.</v>
      </c>
      <c r="O94" s="377" t="str">
        <f t="shared" si="13"/>
        <v>n.a.</v>
      </c>
      <c r="P94" s="377" t="str">
        <f t="shared" si="13"/>
        <v>n.a.</v>
      </c>
      <c r="Q94" s="377" t="str">
        <f t="shared" ca="1" si="5"/>
        <v>Parameters_Constants!$R$94:$T$94</v>
      </c>
      <c r="R94" s="114" t="str">
        <f>A96</f>
        <v>Pig iron</v>
      </c>
      <c r="S94" s="114" t="str">
        <f>A95</f>
        <v>Direct reduced iron</v>
      </c>
      <c r="T94" s="114" t="str">
        <f>A97</f>
        <v>Alloys (FeMn, FeCr, FeNi)</v>
      </c>
      <c r="U94" s="114" t="str">
        <f t="shared" ref="U94:AA106" si="14">CONST_NA</f>
        <v>n.a.</v>
      </c>
      <c r="V94" s="114" t="str">
        <f t="shared" si="14"/>
        <v>n.a.</v>
      </c>
      <c r="W94" s="114" t="str">
        <f t="shared" si="14"/>
        <v>n.a.</v>
      </c>
      <c r="X94" s="114" t="str">
        <f t="shared" si="14"/>
        <v>n.a.</v>
      </c>
      <c r="Y94" s="114" t="str">
        <f t="shared" si="14"/>
        <v>n.a.</v>
      </c>
      <c r="Z94" s="114" t="str">
        <f t="shared" si="14"/>
        <v>n.a.</v>
      </c>
      <c r="AA94" s="114" t="str">
        <f t="shared" si="14"/>
        <v>n.a.</v>
      </c>
      <c r="AC94" s="114" t="str">
        <f t="shared" si="11"/>
        <v>Crude steel</v>
      </c>
      <c r="AD94" s="114" t="str">
        <f>AE93</f>
        <v>Pig iron</v>
      </c>
      <c r="AE94" s="114" t="str">
        <f>AF93</f>
        <v>Alloys (FeMn, FeCr, FeNi)</v>
      </c>
      <c r="AF94" s="114" t="str">
        <f>AG93</f>
        <v>Sintered Ore</v>
      </c>
      <c r="AG94" s="114" t="str">
        <f>AH93</f>
        <v>Direct reduced iron</v>
      </c>
      <c r="AH94" s="114" t="str">
        <f>AI93</f>
        <v>Hydrogen</v>
      </c>
      <c r="AI94" s="114" t="str">
        <f>CONST_NA</f>
        <v>n.a.</v>
      </c>
      <c r="AJ94" s="114" t="str">
        <f>CONST_NA</f>
        <v>n.a.</v>
      </c>
      <c r="AK94" s="114" t="str">
        <f>CONST_NA</f>
        <v>n.a.</v>
      </c>
      <c r="AL94" s="114" t="str">
        <f>CONST_NA</f>
        <v>n.a.</v>
      </c>
      <c r="AM94" s="114" t="str">
        <f>CONST_NA</f>
        <v>n.a.</v>
      </c>
      <c r="AO94" s="376">
        <f t="shared" si="8"/>
        <v>0</v>
      </c>
      <c r="AP94" s="376">
        <f t="shared" si="8"/>
        <v>0</v>
      </c>
      <c r="AQ94" s="376">
        <f t="shared" si="8"/>
        <v>0</v>
      </c>
      <c r="AR94" s="376">
        <f t="shared" si="8"/>
        <v>0</v>
      </c>
      <c r="AS94" s="376">
        <f t="shared" si="8"/>
        <v>1</v>
      </c>
      <c r="AT94" s="376">
        <f t="shared" si="8"/>
        <v>0</v>
      </c>
      <c r="AU94" s="376">
        <f t="shared" si="8"/>
        <v>0</v>
      </c>
      <c r="AV94" s="376">
        <f t="shared" si="8"/>
        <v>0</v>
      </c>
      <c r="AW94" s="376">
        <f t="shared" si="8"/>
        <v>0</v>
      </c>
      <c r="AX94" s="376">
        <f t="shared" si="8"/>
        <v>0</v>
      </c>
      <c r="AY94" s="376">
        <f t="shared" si="9"/>
        <v>0</v>
      </c>
      <c r="AZ94" s="376">
        <f t="shared" si="9"/>
        <v>0</v>
      </c>
      <c r="BA94" s="376">
        <f t="shared" si="9"/>
        <v>0</v>
      </c>
      <c r="BB94" s="376">
        <f t="shared" si="9"/>
        <v>0</v>
      </c>
      <c r="BC94" s="376">
        <f t="shared" si="9"/>
        <v>0</v>
      </c>
      <c r="BD94" s="376">
        <f t="shared" si="9"/>
        <v>0</v>
      </c>
      <c r="BE94" s="376">
        <f t="shared" si="9"/>
        <v>0</v>
      </c>
      <c r="BF94" s="376">
        <f t="shared" si="9"/>
        <v>0</v>
      </c>
      <c r="BH94" s="878">
        <f>IF(COUNTIF(A_InstData!$E$62:$F$71,$A94)&gt;0,1,0)</f>
        <v>0</v>
      </c>
      <c r="BI94" s="874"/>
      <c r="BJ94" s="878">
        <v>0</v>
      </c>
      <c r="BK94" s="874"/>
      <c r="BL94" s="878" t="str">
        <f>IF(BJ94&gt;0,MAX($BL$88:BL93)+1,"")</f>
        <v/>
      </c>
      <c r="BM94" s="874"/>
      <c r="BN94" s="878" t="b">
        <v>0</v>
      </c>
      <c r="BO94" s="874"/>
      <c r="BP94" s="874"/>
      <c r="BQ94" s="874"/>
    </row>
    <row r="95" spans="1:69" s="110" customFormat="1" x14ac:dyDescent="0.25">
      <c r="A95" s="114" t="str">
        <f>Translations!$B$673</f>
        <v>Direct reduced iron</v>
      </c>
      <c r="B95" s="376" t="str">
        <f t="shared" si="0"/>
        <v>t</v>
      </c>
      <c r="C95" s="114" t="b">
        <v>0</v>
      </c>
      <c r="D95" s="114" t="b">
        <f t="shared" si="1"/>
        <v>1</v>
      </c>
      <c r="E95" s="114" t="b">
        <f t="shared" si="2"/>
        <v>0</v>
      </c>
      <c r="F95" s="377" t="str">
        <f t="shared" ca="1" si="3"/>
        <v>Parameters_Constants!$G$95:$G$95</v>
      </c>
      <c r="G95" s="377" t="str">
        <f>CONST_AllProdRoutes</f>
        <v>All production routes</v>
      </c>
      <c r="H95" s="377" t="str">
        <f t="shared" si="4"/>
        <v>n.a.</v>
      </c>
      <c r="I95" s="377" t="str">
        <f t="shared" si="4"/>
        <v>n.a.</v>
      </c>
      <c r="J95" s="377" t="str">
        <f t="shared" si="4"/>
        <v>n.a.</v>
      </c>
      <c r="K95" s="377" t="str">
        <f t="shared" si="13"/>
        <v>n.a.</v>
      </c>
      <c r="L95" s="377" t="str">
        <f t="shared" si="13"/>
        <v>n.a.</v>
      </c>
      <c r="M95" s="377" t="str">
        <f t="shared" si="13"/>
        <v>n.a.</v>
      </c>
      <c r="N95" s="377" t="str">
        <f t="shared" si="13"/>
        <v>n.a.</v>
      </c>
      <c r="O95" s="377" t="str">
        <f t="shared" si="13"/>
        <v>n.a.</v>
      </c>
      <c r="P95" s="377" t="str">
        <f t="shared" si="13"/>
        <v>n.a.</v>
      </c>
      <c r="Q95" s="377" t="str">
        <f t="shared" ca="1" si="5"/>
        <v>Parameters_Constants!$R$95:$S$95</v>
      </c>
      <c r="R95" s="114" t="str">
        <f>A98</f>
        <v>Sintered Ore</v>
      </c>
      <c r="S95" s="114" t="str">
        <f>A99</f>
        <v>Hydrogen</v>
      </c>
      <c r="T95" s="114" t="str">
        <f t="shared" ref="T95:T102" si="15">CONST_NA</f>
        <v>n.a.</v>
      </c>
      <c r="U95" s="114" t="str">
        <f t="shared" si="14"/>
        <v>n.a.</v>
      </c>
      <c r="V95" s="114" t="str">
        <f t="shared" si="14"/>
        <v>n.a.</v>
      </c>
      <c r="W95" s="114" t="str">
        <f t="shared" si="14"/>
        <v>n.a.</v>
      </c>
      <c r="X95" s="114" t="str">
        <f t="shared" si="14"/>
        <v>n.a.</v>
      </c>
      <c r="Y95" s="114" t="str">
        <f t="shared" si="14"/>
        <v>n.a.</v>
      </c>
      <c r="Z95" s="114" t="str">
        <f t="shared" si="14"/>
        <v>n.a.</v>
      </c>
      <c r="AA95" s="114" t="str">
        <f t="shared" si="14"/>
        <v>n.a.</v>
      </c>
      <c r="AC95" s="114" t="str">
        <f t="shared" si="11"/>
        <v>Direct reduced iron</v>
      </c>
      <c r="AD95" s="114" t="str">
        <f>AF94</f>
        <v>Sintered Ore</v>
      </c>
      <c r="AE95" s="114" t="str">
        <f>AH94</f>
        <v>Hydrogen</v>
      </c>
      <c r="AF95" s="114" t="str">
        <f t="shared" ref="AF95:AM97" si="16">CONST_NA</f>
        <v>n.a.</v>
      </c>
      <c r="AG95" s="114" t="str">
        <f t="shared" si="16"/>
        <v>n.a.</v>
      </c>
      <c r="AH95" s="114" t="str">
        <f t="shared" si="16"/>
        <v>n.a.</v>
      </c>
      <c r="AI95" s="114" t="str">
        <f t="shared" si="16"/>
        <v>n.a.</v>
      </c>
      <c r="AJ95" s="114" t="str">
        <f t="shared" si="16"/>
        <v>n.a.</v>
      </c>
      <c r="AK95" s="114" t="str">
        <f t="shared" si="16"/>
        <v>n.a.</v>
      </c>
      <c r="AL95" s="114" t="str">
        <f t="shared" si="16"/>
        <v>n.a.</v>
      </c>
      <c r="AM95" s="114" t="str">
        <f t="shared" si="16"/>
        <v>n.a.</v>
      </c>
      <c r="AO95" s="376">
        <f t="shared" si="8"/>
        <v>0</v>
      </c>
      <c r="AP95" s="376">
        <f t="shared" si="8"/>
        <v>0</v>
      </c>
      <c r="AQ95" s="376">
        <f t="shared" si="8"/>
        <v>0</v>
      </c>
      <c r="AR95" s="376">
        <f t="shared" si="8"/>
        <v>0</v>
      </c>
      <c r="AS95" s="376">
        <f t="shared" si="8"/>
        <v>1</v>
      </c>
      <c r="AT95" s="376">
        <f t="shared" si="8"/>
        <v>1</v>
      </c>
      <c r="AU95" s="376">
        <f t="shared" si="8"/>
        <v>0</v>
      </c>
      <c r="AV95" s="376">
        <f t="shared" si="8"/>
        <v>0</v>
      </c>
      <c r="AW95" s="376">
        <f t="shared" si="8"/>
        <v>0</v>
      </c>
      <c r="AX95" s="376">
        <f t="shared" si="8"/>
        <v>0</v>
      </c>
      <c r="AY95" s="376">
        <f t="shared" si="9"/>
        <v>0</v>
      </c>
      <c r="AZ95" s="376">
        <f t="shared" si="9"/>
        <v>0</v>
      </c>
      <c r="BA95" s="376">
        <f t="shared" si="9"/>
        <v>0</v>
      </c>
      <c r="BB95" s="376">
        <f t="shared" si="9"/>
        <v>0</v>
      </c>
      <c r="BC95" s="376">
        <f t="shared" si="9"/>
        <v>0</v>
      </c>
      <c r="BD95" s="376">
        <f t="shared" si="9"/>
        <v>0</v>
      </c>
      <c r="BE95" s="376">
        <f t="shared" si="9"/>
        <v>0</v>
      </c>
      <c r="BF95" s="376">
        <f t="shared" si="9"/>
        <v>0</v>
      </c>
      <c r="BH95" s="878">
        <f>IF(COUNTIF(A_InstData!$E$62:$F$71,$A95)&gt;0,1,0)</f>
        <v>0</v>
      </c>
      <c r="BI95" s="874"/>
      <c r="BJ95" s="878">
        <v>0</v>
      </c>
      <c r="BK95" s="874"/>
      <c r="BL95" s="878" t="str">
        <f>IF(BJ95&gt;0,MAX($BL$88:BL94)+1,"")</f>
        <v/>
      </c>
      <c r="BM95" s="874"/>
      <c r="BN95" s="878" t="b">
        <v>0</v>
      </c>
      <c r="BO95" s="874"/>
      <c r="BP95" s="874"/>
      <c r="BQ95" s="874"/>
    </row>
    <row r="96" spans="1:69" s="110" customFormat="1" x14ac:dyDescent="0.25">
      <c r="A96" s="114" t="str">
        <f>Translations!$B$674</f>
        <v>Pig iron</v>
      </c>
      <c r="B96" s="376" t="str">
        <f t="shared" si="0"/>
        <v>t</v>
      </c>
      <c r="C96" s="114" t="b">
        <v>0</v>
      </c>
      <c r="D96" s="114" t="b">
        <f t="shared" si="1"/>
        <v>1</v>
      </c>
      <c r="E96" s="114" t="b">
        <f t="shared" si="2"/>
        <v>1</v>
      </c>
      <c r="F96" s="377" t="str">
        <f t="shared" ca="1" si="3"/>
        <v>Parameters_Constants!$G$96:$J$96</v>
      </c>
      <c r="G96" s="377" t="str">
        <f>Translations!$B$675</f>
        <v>Blast furnace route</v>
      </c>
      <c r="H96" s="377" t="str">
        <f>Translations!$B$676</f>
        <v>Smelting reduction</v>
      </c>
      <c r="I96" s="377" t="str">
        <f>Translations!$B$671</f>
        <v>Other production routes</v>
      </c>
      <c r="J96" s="377" t="str">
        <f>Translations!$B$672</f>
        <v>Unknown production routes</v>
      </c>
      <c r="K96" s="377" t="str">
        <f t="shared" si="13"/>
        <v>n.a.</v>
      </c>
      <c r="L96" s="377" t="str">
        <f t="shared" si="13"/>
        <v>n.a.</v>
      </c>
      <c r="M96" s="377" t="str">
        <f t="shared" si="13"/>
        <v>n.a.</v>
      </c>
      <c r="N96" s="377" t="str">
        <f t="shared" si="13"/>
        <v>n.a.</v>
      </c>
      <c r="O96" s="377" t="str">
        <f t="shared" si="13"/>
        <v>n.a.</v>
      </c>
      <c r="P96" s="377" t="str">
        <f t="shared" si="13"/>
        <v>n.a.</v>
      </c>
      <c r="Q96" s="377" t="str">
        <f t="shared" ca="1" si="5"/>
        <v>Parameters_Constants!$R$96:$S$96</v>
      </c>
      <c r="R96" s="114" t="str">
        <f>A98</f>
        <v>Sintered Ore</v>
      </c>
      <c r="S96" s="114" t="str">
        <f>A97</f>
        <v>Alloys (FeMn, FeCr, FeNi)</v>
      </c>
      <c r="T96" s="114" t="str">
        <f t="shared" si="15"/>
        <v>n.a.</v>
      </c>
      <c r="U96" s="114" t="str">
        <f t="shared" si="14"/>
        <v>n.a.</v>
      </c>
      <c r="V96" s="114" t="str">
        <f t="shared" si="14"/>
        <v>n.a.</v>
      </c>
      <c r="W96" s="114" t="str">
        <f t="shared" si="14"/>
        <v>n.a.</v>
      </c>
      <c r="X96" s="114" t="str">
        <f t="shared" si="14"/>
        <v>n.a.</v>
      </c>
      <c r="Y96" s="114" t="str">
        <f t="shared" si="14"/>
        <v>n.a.</v>
      </c>
      <c r="Z96" s="114" t="str">
        <f t="shared" si="14"/>
        <v>n.a.</v>
      </c>
      <c r="AA96" s="114" t="str">
        <f t="shared" si="14"/>
        <v>n.a.</v>
      </c>
      <c r="AC96" s="114" t="str">
        <f t="shared" si="11"/>
        <v>Pig iron</v>
      </c>
      <c r="AD96" s="114" t="str">
        <f>AE94</f>
        <v>Alloys (FeMn, FeCr, FeNi)</v>
      </c>
      <c r="AE96" s="114" t="str">
        <f>AF94</f>
        <v>Sintered Ore</v>
      </c>
      <c r="AF96" s="114" t="str">
        <f t="shared" si="16"/>
        <v>n.a.</v>
      </c>
      <c r="AG96" s="114" t="str">
        <f t="shared" si="16"/>
        <v>n.a.</v>
      </c>
      <c r="AH96" s="114" t="str">
        <f t="shared" si="16"/>
        <v>n.a.</v>
      </c>
      <c r="AI96" s="114" t="str">
        <f t="shared" si="16"/>
        <v>n.a.</v>
      </c>
      <c r="AJ96" s="114" t="str">
        <f t="shared" si="16"/>
        <v>n.a.</v>
      </c>
      <c r="AK96" s="114" t="str">
        <f t="shared" si="16"/>
        <v>n.a.</v>
      </c>
      <c r="AL96" s="114" t="str">
        <f t="shared" si="16"/>
        <v>n.a.</v>
      </c>
      <c r="AM96" s="114" t="str">
        <f t="shared" si="16"/>
        <v>n.a.</v>
      </c>
      <c r="AO96" s="376">
        <f t="shared" si="8"/>
        <v>0</v>
      </c>
      <c r="AP96" s="376">
        <f t="shared" si="8"/>
        <v>0</v>
      </c>
      <c r="AQ96" s="376">
        <f t="shared" si="8"/>
        <v>0</v>
      </c>
      <c r="AR96" s="376">
        <f t="shared" si="8"/>
        <v>0</v>
      </c>
      <c r="AS96" s="376">
        <f t="shared" si="8"/>
        <v>1</v>
      </c>
      <c r="AT96" s="376">
        <f t="shared" si="8"/>
        <v>1</v>
      </c>
      <c r="AU96" s="376">
        <f t="shared" si="8"/>
        <v>0</v>
      </c>
      <c r="AV96" s="376">
        <f t="shared" si="8"/>
        <v>0</v>
      </c>
      <c r="AW96" s="376">
        <f t="shared" si="8"/>
        <v>0</v>
      </c>
      <c r="AX96" s="376">
        <f t="shared" si="8"/>
        <v>0</v>
      </c>
      <c r="AY96" s="376">
        <f t="shared" si="9"/>
        <v>0</v>
      </c>
      <c r="AZ96" s="376">
        <f t="shared" si="9"/>
        <v>0</v>
      </c>
      <c r="BA96" s="376">
        <f t="shared" si="9"/>
        <v>0</v>
      </c>
      <c r="BB96" s="376">
        <f t="shared" si="9"/>
        <v>0</v>
      </c>
      <c r="BC96" s="376">
        <f t="shared" si="9"/>
        <v>0</v>
      </c>
      <c r="BD96" s="376">
        <f t="shared" si="9"/>
        <v>0</v>
      </c>
      <c r="BE96" s="376">
        <f t="shared" si="9"/>
        <v>0</v>
      </c>
      <c r="BF96" s="376">
        <f t="shared" si="9"/>
        <v>0</v>
      </c>
      <c r="BH96" s="878">
        <f>IF(COUNTIF(A_InstData!$E$62:$F$71,$A96)&gt;0,1,0)</f>
        <v>0</v>
      </c>
      <c r="BI96" s="874"/>
      <c r="BJ96" s="878">
        <v>0</v>
      </c>
      <c r="BK96" s="874"/>
      <c r="BL96" s="878" t="str">
        <f>IF(BJ96&gt;0,MAX($BL$88:BL95)+1,"")</f>
        <v/>
      </c>
      <c r="BM96" s="874"/>
      <c r="BN96" s="878" t="b">
        <v>0</v>
      </c>
      <c r="BO96" s="874"/>
      <c r="BP96" s="874"/>
      <c r="BQ96" s="874"/>
    </row>
    <row r="97" spans="1:69" s="110" customFormat="1" x14ac:dyDescent="0.25">
      <c r="A97" s="114" t="str">
        <f>Translations!$B$677</f>
        <v>Alloys (FeMn, FeCr, FeNi)</v>
      </c>
      <c r="B97" s="376" t="str">
        <f t="shared" si="0"/>
        <v>t</v>
      </c>
      <c r="C97" s="114" t="b">
        <v>0</v>
      </c>
      <c r="D97" s="114" t="b">
        <f t="shared" si="1"/>
        <v>1</v>
      </c>
      <c r="E97" s="114" t="b">
        <f t="shared" si="2"/>
        <v>0</v>
      </c>
      <c r="F97" s="377" t="str">
        <f t="shared" ca="1" si="3"/>
        <v>Parameters_Constants!$G$97:$G$97</v>
      </c>
      <c r="G97" s="377" t="str">
        <f>CONST_AllProdRoutes</f>
        <v>All production routes</v>
      </c>
      <c r="H97" s="377" t="str">
        <f>CONST_NA</f>
        <v>n.a.</v>
      </c>
      <c r="I97" s="377" t="str">
        <f>CONST_NA</f>
        <v>n.a.</v>
      </c>
      <c r="J97" s="377" t="str">
        <f t="shared" si="13"/>
        <v>n.a.</v>
      </c>
      <c r="K97" s="377" t="str">
        <f t="shared" si="13"/>
        <v>n.a.</v>
      </c>
      <c r="L97" s="377" t="str">
        <f t="shared" si="13"/>
        <v>n.a.</v>
      </c>
      <c r="M97" s="377" t="str">
        <f t="shared" si="13"/>
        <v>n.a.</v>
      </c>
      <c r="N97" s="377" t="str">
        <f t="shared" si="13"/>
        <v>n.a.</v>
      </c>
      <c r="O97" s="377" t="str">
        <f t="shared" si="13"/>
        <v>n.a.</v>
      </c>
      <c r="P97" s="377" t="str">
        <f t="shared" si="13"/>
        <v>n.a.</v>
      </c>
      <c r="Q97" s="377" t="str">
        <f t="shared" ca="1" si="5"/>
        <v>Parameters_Constants!$R$97:$R$97</v>
      </c>
      <c r="R97" s="114" t="str">
        <f>A98</f>
        <v>Sintered Ore</v>
      </c>
      <c r="S97" s="114" t="str">
        <f t="shared" ref="S97:S102" si="17">CONST_NA</f>
        <v>n.a.</v>
      </c>
      <c r="T97" s="114" t="str">
        <f t="shared" si="15"/>
        <v>n.a.</v>
      </c>
      <c r="U97" s="114" t="str">
        <f t="shared" si="14"/>
        <v>n.a.</v>
      </c>
      <c r="V97" s="114" t="str">
        <f t="shared" si="14"/>
        <v>n.a.</v>
      </c>
      <c r="W97" s="114" t="str">
        <f t="shared" si="14"/>
        <v>n.a.</v>
      </c>
      <c r="X97" s="114" t="str">
        <f t="shared" si="14"/>
        <v>n.a.</v>
      </c>
      <c r="Y97" s="114" t="str">
        <f t="shared" si="14"/>
        <v>n.a.</v>
      </c>
      <c r="Z97" s="114" t="str">
        <f t="shared" si="14"/>
        <v>n.a.</v>
      </c>
      <c r="AA97" s="114" t="str">
        <f t="shared" si="14"/>
        <v>n.a.</v>
      </c>
      <c r="AC97" s="114" t="str">
        <f t="shared" si="11"/>
        <v>Alloys (FeMn, FeCr, FeNi)</v>
      </c>
      <c r="AD97" s="114" t="str">
        <f>AE96</f>
        <v>Sintered Ore</v>
      </c>
      <c r="AE97" s="114" t="str">
        <f t="shared" ref="AD97:AM104" si="18">CONST_NA</f>
        <v>n.a.</v>
      </c>
      <c r="AF97" s="114" t="str">
        <f t="shared" si="16"/>
        <v>n.a.</v>
      </c>
      <c r="AG97" s="114" t="str">
        <f t="shared" si="16"/>
        <v>n.a.</v>
      </c>
      <c r="AH97" s="114" t="str">
        <f t="shared" si="16"/>
        <v>n.a.</v>
      </c>
      <c r="AI97" s="114" t="str">
        <f t="shared" si="16"/>
        <v>n.a.</v>
      </c>
      <c r="AJ97" s="114" t="str">
        <f t="shared" si="16"/>
        <v>n.a.</v>
      </c>
      <c r="AK97" s="114" t="str">
        <f t="shared" si="16"/>
        <v>n.a.</v>
      </c>
      <c r="AL97" s="114" t="str">
        <f t="shared" si="16"/>
        <v>n.a.</v>
      </c>
      <c r="AM97" s="114" t="str">
        <f t="shared" si="16"/>
        <v>n.a.</v>
      </c>
      <c r="AO97" s="376">
        <f t="shared" si="8"/>
        <v>0</v>
      </c>
      <c r="AP97" s="376">
        <f t="shared" si="8"/>
        <v>0</v>
      </c>
      <c r="AQ97" s="376">
        <f t="shared" si="8"/>
        <v>0</v>
      </c>
      <c r="AR97" s="376">
        <f t="shared" si="8"/>
        <v>0</v>
      </c>
      <c r="AS97" s="376">
        <f t="shared" si="8"/>
        <v>1</v>
      </c>
      <c r="AT97" s="376">
        <f t="shared" si="8"/>
        <v>1</v>
      </c>
      <c r="AU97" s="376">
        <f t="shared" si="8"/>
        <v>0</v>
      </c>
      <c r="AV97" s="376">
        <f t="shared" si="8"/>
        <v>1</v>
      </c>
      <c r="AW97" s="376">
        <f t="shared" si="8"/>
        <v>0</v>
      </c>
      <c r="AX97" s="376">
        <f t="shared" si="8"/>
        <v>0</v>
      </c>
      <c r="AY97" s="376">
        <f t="shared" si="9"/>
        <v>0</v>
      </c>
      <c r="AZ97" s="376">
        <f t="shared" si="9"/>
        <v>0</v>
      </c>
      <c r="BA97" s="376">
        <f t="shared" si="9"/>
        <v>0</v>
      </c>
      <c r="BB97" s="376">
        <f t="shared" si="9"/>
        <v>0</v>
      </c>
      <c r="BC97" s="376">
        <f t="shared" si="9"/>
        <v>0</v>
      </c>
      <c r="BD97" s="376">
        <f t="shared" si="9"/>
        <v>0</v>
      </c>
      <c r="BE97" s="376">
        <f t="shared" si="9"/>
        <v>0</v>
      </c>
      <c r="BF97" s="376">
        <f t="shared" si="9"/>
        <v>0</v>
      </c>
      <c r="BH97" s="878">
        <f>IF(COUNTIF(A_InstData!$E$62:$F$71,$A97)&gt;0,1,0)</f>
        <v>0</v>
      </c>
      <c r="BI97" s="874"/>
      <c r="BJ97" s="878">
        <v>0</v>
      </c>
      <c r="BK97" s="874"/>
      <c r="BL97" s="878" t="str">
        <f>IF(BJ97&gt;0,MAX($BL$88:BL96)+1,"")</f>
        <v/>
      </c>
      <c r="BM97" s="874"/>
      <c r="BN97" s="878" t="b">
        <v>0</v>
      </c>
      <c r="BO97" s="874"/>
      <c r="BP97" s="874"/>
      <c r="BQ97" s="874"/>
    </row>
    <row r="98" spans="1:69" s="110" customFormat="1" x14ac:dyDescent="0.25">
      <c r="A98" s="114" t="str">
        <f>Translations!$B$678</f>
        <v>Sintered Ore</v>
      </c>
      <c r="B98" s="376" t="str">
        <f t="shared" si="0"/>
        <v>t</v>
      </c>
      <c r="C98" s="114" t="b">
        <v>1</v>
      </c>
      <c r="D98" s="114" t="b">
        <f t="shared" si="1"/>
        <v>1</v>
      </c>
      <c r="E98" s="114" t="b">
        <f t="shared" si="2"/>
        <v>0</v>
      </c>
      <c r="F98" s="377" t="str">
        <f t="shared" ca="1" si="3"/>
        <v>Parameters_Constants!$G$98:$G$98</v>
      </c>
      <c r="G98" s="377" t="str">
        <f>CONST_AllProdRoutes</f>
        <v>All production routes</v>
      </c>
      <c r="H98" s="377" t="str">
        <f>CONST_NA</f>
        <v>n.a.</v>
      </c>
      <c r="I98" s="377" t="str">
        <f>CONST_NA</f>
        <v>n.a.</v>
      </c>
      <c r="J98" s="377" t="str">
        <f t="shared" si="13"/>
        <v>n.a.</v>
      </c>
      <c r="K98" s="377" t="str">
        <f t="shared" si="13"/>
        <v>n.a.</v>
      </c>
      <c r="L98" s="377" t="str">
        <f t="shared" si="13"/>
        <v>n.a.</v>
      </c>
      <c r="M98" s="377" t="str">
        <f t="shared" si="13"/>
        <v>n.a.</v>
      </c>
      <c r="N98" s="377" t="str">
        <f t="shared" si="13"/>
        <v>n.a.</v>
      </c>
      <c r="O98" s="377" t="str">
        <f t="shared" si="13"/>
        <v>n.a.</v>
      </c>
      <c r="P98" s="377" t="str">
        <f t="shared" si="13"/>
        <v>n.a.</v>
      </c>
      <c r="Q98" s="377" t="str">
        <f t="shared" ca="1" si="5"/>
        <v>Parameters_Constants!$R$98:$R$98</v>
      </c>
      <c r="R98" s="114" t="str">
        <f>CONST_NA</f>
        <v>n.a.</v>
      </c>
      <c r="S98" s="114" t="str">
        <f t="shared" si="17"/>
        <v>n.a.</v>
      </c>
      <c r="T98" s="114" t="str">
        <f t="shared" si="15"/>
        <v>n.a.</v>
      </c>
      <c r="U98" s="114" t="str">
        <f t="shared" si="14"/>
        <v>n.a.</v>
      </c>
      <c r="V98" s="114" t="str">
        <f t="shared" si="14"/>
        <v>n.a.</v>
      </c>
      <c r="W98" s="114" t="str">
        <f t="shared" si="14"/>
        <v>n.a.</v>
      </c>
      <c r="X98" s="114" t="str">
        <f t="shared" si="14"/>
        <v>n.a.</v>
      </c>
      <c r="Y98" s="114" t="str">
        <f t="shared" si="14"/>
        <v>n.a.</v>
      </c>
      <c r="Z98" s="114" t="str">
        <f t="shared" si="14"/>
        <v>n.a.</v>
      </c>
      <c r="AA98" s="114" t="str">
        <f t="shared" si="14"/>
        <v>n.a.</v>
      </c>
      <c r="AC98" s="114" t="str">
        <f t="shared" si="11"/>
        <v>Sintered Ore</v>
      </c>
      <c r="AD98" s="114" t="str">
        <f t="shared" si="18"/>
        <v>n.a.</v>
      </c>
      <c r="AE98" s="114" t="str">
        <f t="shared" si="18"/>
        <v>n.a.</v>
      </c>
      <c r="AF98" s="114" t="str">
        <f t="shared" si="18"/>
        <v>n.a.</v>
      </c>
      <c r="AG98" s="114" t="str">
        <f t="shared" si="18"/>
        <v>n.a.</v>
      </c>
      <c r="AH98" s="114" t="str">
        <f t="shared" si="18"/>
        <v>n.a.</v>
      </c>
      <c r="AI98" s="114" t="str">
        <f t="shared" si="18"/>
        <v>n.a.</v>
      </c>
      <c r="AJ98" s="114" t="str">
        <f t="shared" si="18"/>
        <v>n.a.</v>
      </c>
      <c r="AK98" s="114" t="str">
        <f t="shared" si="18"/>
        <v>n.a.</v>
      </c>
      <c r="AL98" s="114" t="str">
        <f t="shared" si="18"/>
        <v>n.a.</v>
      </c>
      <c r="AM98" s="114" t="str">
        <f t="shared" si="18"/>
        <v>n.a.</v>
      </c>
      <c r="AO98" s="376">
        <f t="shared" si="8"/>
        <v>0</v>
      </c>
      <c r="AP98" s="376">
        <f t="shared" si="8"/>
        <v>0</v>
      </c>
      <c r="AQ98" s="376">
        <f t="shared" si="8"/>
        <v>0</v>
      </c>
      <c r="AR98" s="376">
        <f t="shared" si="8"/>
        <v>0</v>
      </c>
      <c r="AS98" s="376">
        <f t="shared" si="8"/>
        <v>1</v>
      </c>
      <c r="AT98" s="376">
        <f t="shared" si="8"/>
        <v>1</v>
      </c>
      <c r="AU98" s="376">
        <f t="shared" si="8"/>
        <v>1</v>
      </c>
      <c r="AV98" s="376">
        <f t="shared" si="8"/>
        <v>1</v>
      </c>
      <c r="AW98" s="376">
        <f t="shared" si="8"/>
        <v>1</v>
      </c>
      <c r="AX98" s="376">
        <f t="shared" si="8"/>
        <v>0</v>
      </c>
      <c r="AY98" s="376">
        <f t="shared" si="9"/>
        <v>0</v>
      </c>
      <c r="AZ98" s="376">
        <f t="shared" si="9"/>
        <v>0</v>
      </c>
      <c r="BA98" s="376">
        <f t="shared" si="9"/>
        <v>0</v>
      </c>
      <c r="BB98" s="376">
        <f t="shared" si="9"/>
        <v>0</v>
      </c>
      <c r="BC98" s="376">
        <f t="shared" si="9"/>
        <v>0</v>
      </c>
      <c r="BD98" s="376">
        <f t="shared" si="9"/>
        <v>0</v>
      </c>
      <c r="BE98" s="376">
        <f t="shared" si="9"/>
        <v>0</v>
      </c>
      <c r="BF98" s="376">
        <f t="shared" si="9"/>
        <v>0</v>
      </c>
      <c r="BH98" s="878">
        <f>IF(COUNTIF(A_InstData!$E$62:$F$71,$A98)&gt;0,1,0)</f>
        <v>0</v>
      </c>
      <c r="BI98" s="874"/>
      <c r="BJ98" s="878">
        <v>0</v>
      </c>
      <c r="BK98" s="874"/>
      <c r="BL98" s="878" t="str">
        <f>IF(BJ98&gt;0,MAX($BL$88:BL97)+1,"")</f>
        <v/>
      </c>
      <c r="BM98" s="874"/>
      <c r="BN98" s="878" t="b">
        <v>0</v>
      </c>
      <c r="BO98" s="874"/>
      <c r="BP98" s="874"/>
      <c r="BQ98" s="874"/>
    </row>
    <row r="99" spans="1:69" s="110" customFormat="1" x14ac:dyDescent="0.25">
      <c r="A99" s="114" t="str">
        <f>Translations!$B$650</f>
        <v>Hydrogen</v>
      </c>
      <c r="B99" s="376" t="str">
        <f t="shared" si="0"/>
        <v>t</v>
      </c>
      <c r="C99" s="114" t="b">
        <v>0</v>
      </c>
      <c r="D99" s="114" t="b">
        <f t="shared" si="1"/>
        <v>1</v>
      </c>
      <c r="E99" s="114" t="b">
        <f t="shared" si="2"/>
        <v>1</v>
      </c>
      <c r="F99" s="377" t="str">
        <f t="shared" ca="1" si="3"/>
        <v>Parameters_Constants!$G$99:$K$99</v>
      </c>
      <c r="G99" s="377" t="str">
        <f>Translations!$B$679</f>
        <v>Steam reforming and partial oxidation</v>
      </c>
      <c r="H99" s="377" t="str">
        <f>Translations!$B$680</f>
        <v>Electrolysis of water</v>
      </c>
      <c r="I99" s="377" t="str">
        <f>Translations!$B$681</f>
        <v>Chlor-Alkali electrolysis and production of chlorates</v>
      </c>
      <c r="J99" s="377" t="str">
        <f>Translations!$B$671</f>
        <v>Other production routes</v>
      </c>
      <c r="K99" s="377" t="str">
        <f>Translations!$B$672</f>
        <v>Unknown production routes</v>
      </c>
      <c r="L99" s="377" t="str">
        <f t="shared" ref="L99:P106" si="19">CONST_NA</f>
        <v>n.a.</v>
      </c>
      <c r="M99" s="377" t="str">
        <f t="shared" si="19"/>
        <v>n.a.</v>
      </c>
      <c r="N99" s="377" t="str">
        <f t="shared" si="19"/>
        <v>n.a.</v>
      </c>
      <c r="O99" s="377" t="str">
        <f t="shared" si="19"/>
        <v>n.a.</v>
      </c>
      <c r="P99" s="377" t="str">
        <f t="shared" si="19"/>
        <v>n.a.</v>
      </c>
      <c r="Q99" s="377" t="str">
        <f t="shared" ca="1" si="5"/>
        <v>Parameters_Constants!$R$99:$R$99</v>
      </c>
      <c r="R99" s="114" t="str">
        <f>CONST_NA</f>
        <v>n.a.</v>
      </c>
      <c r="S99" s="114" t="str">
        <f t="shared" si="17"/>
        <v>n.a.</v>
      </c>
      <c r="T99" s="114" t="str">
        <f t="shared" si="15"/>
        <v>n.a.</v>
      </c>
      <c r="U99" s="114" t="str">
        <f t="shared" si="14"/>
        <v>n.a.</v>
      </c>
      <c r="V99" s="114" t="str">
        <f t="shared" si="14"/>
        <v>n.a.</v>
      </c>
      <c r="W99" s="114" t="str">
        <f t="shared" si="14"/>
        <v>n.a.</v>
      </c>
      <c r="X99" s="114" t="str">
        <f t="shared" si="14"/>
        <v>n.a.</v>
      </c>
      <c r="Y99" s="114" t="str">
        <f t="shared" si="14"/>
        <v>n.a.</v>
      </c>
      <c r="Z99" s="114" t="str">
        <f t="shared" si="14"/>
        <v>n.a.</v>
      </c>
      <c r="AA99" s="114" t="str">
        <f t="shared" si="14"/>
        <v>n.a.</v>
      </c>
      <c r="AC99" s="114" t="str">
        <f t="shared" si="11"/>
        <v>Hydrogen</v>
      </c>
      <c r="AD99" s="114" t="str">
        <f t="shared" si="18"/>
        <v>n.a.</v>
      </c>
      <c r="AE99" s="114" t="str">
        <f t="shared" si="18"/>
        <v>n.a.</v>
      </c>
      <c r="AF99" s="114" t="str">
        <f t="shared" si="18"/>
        <v>n.a.</v>
      </c>
      <c r="AG99" s="114" t="str">
        <f t="shared" si="18"/>
        <v>n.a.</v>
      </c>
      <c r="AH99" s="114" t="str">
        <f t="shared" si="18"/>
        <v>n.a.</v>
      </c>
      <c r="AI99" s="114" t="str">
        <f t="shared" si="18"/>
        <v>n.a.</v>
      </c>
      <c r="AJ99" s="114" t="str">
        <f t="shared" si="18"/>
        <v>n.a.</v>
      </c>
      <c r="AK99" s="114" t="str">
        <f t="shared" si="18"/>
        <v>n.a.</v>
      </c>
      <c r="AL99" s="114" t="str">
        <f t="shared" si="18"/>
        <v>n.a.</v>
      </c>
      <c r="AM99" s="114" t="str">
        <f t="shared" si="18"/>
        <v>n.a.</v>
      </c>
      <c r="AO99" s="376">
        <f t="shared" ref="AO99:AX106" si="20">COUNTIF(INDEX($AD$89:$AM$106,MATCH(AO$88,CONST_LIST_Goods,0),),$A99)</f>
        <v>0</v>
      </c>
      <c r="AP99" s="376">
        <f t="shared" si="20"/>
        <v>0</v>
      </c>
      <c r="AQ99" s="376">
        <f t="shared" si="20"/>
        <v>0</v>
      </c>
      <c r="AR99" s="376">
        <f t="shared" si="20"/>
        <v>0</v>
      </c>
      <c r="AS99" s="376">
        <f t="shared" si="20"/>
        <v>1</v>
      </c>
      <c r="AT99" s="376">
        <f t="shared" si="20"/>
        <v>1</v>
      </c>
      <c r="AU99" s="376">
        <f t="shared" si="20"/>
        <v>1</v>
      </c>
      <c r="AV99" s="376">
        <f t="shared" si="20"/>
        <v>0</v>
      </c>
      <c r="AW99" s="376">
        <f t="shared" si="20"/>
        <v>0</v>
      </c>
      <c r="AX99" s="376">
        <f t="shared" si="20"/>
        <v>0</v>
      </c>
      <c r="AY99" s="376">
        <f t="shared" ref="AY99:BF106" si="21">COUNTIF(INDEX($AD$89:$AM$106,MATCH(AY$88,CONST_LIST_Goods,0),),$A99)</f>
        <v>0</v>
      </c>
      <c r="AZ99" s="376">
        <f t="shared" si="21"/>
        <v>1</v>
      </c>
      <c r="BA99" s="376">
        <f t="shared" si="21"/>
        <v>1</v>
      </c>
      <c r="BB99" s="376">
        <f t="shared" si="21"/>
        <v>1</v>
      </c>
      <c r="BC99" s="376">
        <f t="shared" si="21"/>
        <v>1</v>
      </c>
      <c r="BD99" s="376">
        <f t="shared" si="21"/>
        <v>0</v>
      </c>
      <c r="BE99" s="376">
        <f t="shared" si="21"/>
        <v>0</v>
      </c>
      <c r="BF99" s="376">
        <f t="shared" si="21"/>
        <v>0</v>
      </c>
      <c r="BH99" s="878">
        <f>IF(COUNTIF(A_InstData!$E$62:$F$71,$A99)&gt;0,1,0)</f>
        <v>0</v>
      </c>
      <c r="BI99" s="874"/>
      <c r="BJ99" s="878">
        <v>0</v>
      </c>
      <c r="BK99" s="874"/>
      <c r="BL99" s="878" t="str">
        <f>IF(BJ99&gt;0,MAX($BL$88:BL98)+1,"")</f>
        <v/>
      </c>
      <c r="BM99" s="874"/>
      <c r="BN99" s="878" t="b">
        <v>0</v>
      </c>
      <c r="BO99" s="874"/>
      <c r="BP99" s="874"/>
      <c r="BQ99" s="874"/>
    </row>
    <row r="100" spans="1:69" s="110" customFormat="1" x14ac:dyDescent="0.25">
      <c r="A100" s="114" t="str">
        <f>Translations!$B$682</f>
        <v>Ammonia</v>
      </c>
      <c r="B100" s="376" t="str">
        <f t="shared" si="0"/>
        <v>t</v>
      </c>
      <c r="C100" s="114" t="b">
        <v>0</v>
      </c>
      <c r="D100" s="114" t="b">
        <f t="shared" si="1"/>
        <v>1</v>
      </c>
      <c r="E100" s="114" t="b">
        <f t="shared" si="2"/>
        <v>1</v>
      </c>
      <c r="F100" s="377" t="str">
        <f t="shared" ca="1" si="3"/>
        <v>Parameters_Constants!$G$100:$J$100</v>
      </c>
      <c r="G100" s="377" t="str">
        <f>Translations!$B$683</f>
        <v>Haber-Bosch process with steam reforming of natural gas or biogas</v>
      </c>
      <c r="H100" s="377" t="str">
        <f>Translations!$B$684</f>
        <v>Haber-Bosch process with gasification of coal or other fuels</v>
      </c>
      <c r="I100" s="377" t="str">
        <f>Translations!$B$671</f>
        <v>Other production routes</v>
      </c>
      <c r="J100" s="377" t="str">
        <f>Translations!$B$672</f>
        <v>Unknown production routes</v>
      </c>
      <c r="K100" s="377" t="str">
        <f t="shared" ref="J100:K105" si="22">CONST_NA</f>
        <v>n.a.</v>
      </c>
      <c r="L100" s="377" t="str">
        <f t="shared" si="19"/>
        <v>n.a.</v>
      </c>
      <c r="M100" s="377" t="str">
        <f t="shared" si="19"/>
        <v>n.a.</v>
      </c>
      <c r="N100" s="377" t="str">
        <f t="shared" si="19"/>
        <v>n.a.</v>
      </c>
      <c r="O100" s="377" t="str">
        <f t="shared" si="19"/>
        <v>n.a.</v>
      </c>
      <c r="P100" s="377" t="str">
        <f t="shared" si="19"/>
        <v>n.a.</v>
      </c>
      <c r="Q100" s="377" t="str">
        <f t="shared" ca="1" si="5"/>
        <v>Parameters_Constants!$R$100:$R$100</v>
      </c>
      <c r="R100" s="379" t="str">
        <f>A99</f>
        <v>Hydrogen</v>
      </c>
      <c r="S100" s="114" t="str">
        <f t="shared" si="17"/>
        <v>n.a.</v>
      </c>
      <c r="T100" s="114" t="str">
        <f t="shared" si="15"/>
        <v>n.a.</v>
      </c>
      <c r="U100" s="114" t="str">
        <f t="shared" si="14"/>
        <v>n.a.</v>
      </c>
      <c r="V100" s="114" t="str">
        <f t="shared" si="14"/>
        <v>n.a.</v>
      </c>
      <c r="W100" s="114" t="str">
        <f t="shared" si="14"/>
        <v>n.a.</v>
      </c>
      <c r="X100" s="114" t="str">
        <f t="shared" si="14"/>
        <v>n.a.</v>
      </c>
      <c r="Y100" s="114" t="str">
        <f t="shared" si="14"/>
        <v>n.a.</v>
      </c>
      <c r="Z100" s="114" t="str">
        <f t="shared" si="14"/>
        <v>n.a.</v>
      </c>
      <c r="AA100" s="114" t="str">
        <f t="shared" si="14"/>
        <v>n.a.</v>
      </c>
      <c r="AC100" s="114" t="str">
        <f t="shared" si="11"/>
        <v>Ammonia</v>
      </c>
      <c r="AD100" s="114" t="str">
        <f>AC99</f>
        <v>Hydrogen</v>
      </c>
      <c r="AE100" s="114" t="str">
        <f t="shared" si="18"/>
        <v>n.a.</v>
      </c>
      <c r="AF100" s="114" t="str">
        <f t="shared" si="18"/>
        <v>n.a.</v>
      </c>
      <c r="AG100" s="114" t="str">
        <f t="shared" si="18"/>
        <v>n.a.</v>
      </c>
      <c r="AH100" s="114" t="str">
        <f t="shared" si="18"/>
        <v>n.a.</v>
      </c>
      <c r="AI100" s="114" t="str">
        <f t="shared" si="18"/>
        <v>n.a.</v>
      </c>
      <c r="AJ100" s="114" t="str">
        <f t="shared" si="18"/>
        <v>n.a.</v>
      </c>
      <c r="AK100" s="114" t="str">
        <f t="shared" si="18"/>
        <v>n.a.</v>
      </c>
      <c r="AL100" s="114" t="str">
        <f t="shared" si="18"/>
        <v>n.a.</v>
      </c>
      <c r="AM100" s="114" t="str">
        <f t="shared" si="18"/>
        <v>n.a.</v>
      </c>
      <c r="AO100" s="376">
        <f t="shared" si="20"/>
        <v>0</v>
      </c>
      <c r="AP100" s="376">
        <f t="shared" si="20"/>
        <v>0</v>
      </c>
      <c r="AQ100" s="376">
        <f t="shared" si="20"/>
        <v>0</v>
      </c>
      <c r="AR100" s="376">
        <f t="shared" si="20"/>
        <v>0</v>
      </c>
      <c r="AS100" s="376">
        <f t="shared" si="20"/>
        <v>0</v>
      </c>
      <c r="AT100" s="376">
        <f t="shared" si="20"/>
        <v>0</v>
      </c>
      <c r="AU100" s="376">
        <f t="shared" si="20"/>
        <v>0</v>
      </c>
      <c r="AV100" s="376">
        <f t="shared" si="20"/>
        <v>0</v>
      </c>
      <c r="AW100" s="376">
        <f t="shared" si="20"/>
        <v>0</v>
      </c>
      <c r="AX100" s="376">
        <f t="shared" si="20"/>
        <v>0</v>
      </c>
      <c r="AY100" s="376">
        <f t="shared" si="21"/>
        <v>0</v>
      </c>
      <c r="AZ100" s="376">
        <f t="shared" si="21"/>
        <v>0</v>
      </c>
      <c r="BA100" s="376">
        <f t="shared" si="21"/>
        <v>1</v>
      </c>
      <c r="BB100" s="376">
        <f t="shared" si="21"/>
        <v>1</v>
      </c>
      <c r="BC100" s="376">
        <f t="shared" si="21"/>
        <v>1</v>
      </c>
      <c r="BD100" s="376">
        <f t="shared" si="21"/>
        <v>0</v>
      </c>
      <c r="BE100" s="376">
        <f t="shared" si="21"/>
        <v>0</v>
      </c>
      <c r="BF100" s="376">
        <f t="shared" si="21"/>
        <v>0</v>
      </c>
      <c r="BH100" s="878">
        <f>IF(COUNTIF(A_InstData!$E$62:$F$71,$A100)&gt;0,1,0)</f>
        <v>0</v>
      </c>
      <c r="BI100" s="874"/>
      <c r="BJ100" s="878">
        <v>0</v>
      </c>
      <c r="BK100" s="874"/>
      <c r="BL100" s="878" t="str">
        <f>IF(BJ100&gt;0,MAX($BL$88:BL99)+1,"")</f>
        <v/>
      </c>
      <c r="BM100" s="874"/>
      <c r="BN100" s="878" t="b">
        <v>0</v>
      </c>
      <c r="BO100" s="874"/>
      <c r="BP100" s="874"/>
      <c r="BQ100" s="874"/>
    </row>
    <row r="101" spans="1:69" s="110" customFormat="1" x14ac:dyDescent="0.25">
      <c r="A101" s="114" t="str">
        <f>Translations!$B$685</f>
        <v>Nitric acid</v>
      </c>
      <c r="B101" s="376" t="str">
        <f t="shared" si="0"/>
        <v>t</v>
      </c>
      <c r="C101" s="114" t="b">
        <v>1</v>
      </c>
      <c r="D101" s="114" t="b">
        <f t="shared" si="1"/>
        <v>1</v>
      </c>
      <c r="E101" s="114" t="b">
        <f t="shared" si="2"/>
        <v>0</v>
      </c>
      <c r="F101" s="377" t="str">
        <f t="shared" ca="1" si="3"/>
        <v>Parameters_Constants!$G$101:$G$101</v>
      </c>
      <c r="G101" s="377" t="str">
        <f>CONST_AllProdRoutes</f>
        <v>All production routes</v>
      </c>
      <c r="H101" s="377" t="str">
        <f t="shared" ref="H101:I104" si="23">CONST_NA</f>
        <v>n.a.</v>
      </c>
      <c r="I101" s="377" t="str">
        <f t="shared" si="23"/>
        <v>n.a.</v>
      </c>
      <c r="J101" s="377" t="str">
        <f t="shared" si="22"/>
        <v>n.a.</v>
      </c>
      <c r="K101" s="377" t="str">
        <f t="shared" si="22"/>
        <v>n.a.</v>
      </c>
      <c r="L101" s="377" t="str">
        <f t="shared" si="19"/>
        <v>n.a.</v>
      </c>
      <c r="M101" s="377" t="str">
        <f t="shared" si="19"/>
        <v>n.a.</v>
      </c>
      <c r="N101" s="377" t="str">
        <f t="shared" si="19"/>
        <v>n.a.</v>
      </c>
      <c r="O101" s="377" t="str">
        <f t="shared" si="19"/>
        <v>n.a.</v>
      </c>
      <c r="P101" s="377" t="str">
        <f t="shared" si="19"/>
        <v>n.a.</v>
      </c>
      <c r="Q101" s="377" t="str">
        <f t="shared" ca="1" si="5"/>
        <v>Parameters_Constants!$R$101:$R$101</v>
      </c>
      <c r="R101" s="114" t="str">
        <f>A100</f>
        <v>Ammonia</v>
      </c>
      <c r="S101" s="114" t="str">
        <f t="shared" si="17"/>
        <v>n.a.</v>
      </c>
      <c r="T101" s="114" t="str">
        <f t="shared" si="15"/>
        <v>n.a.</v>
      </c>
      <c r="U101" s="114" t="str">
        <f t="shared" si="14"/>
        <v>n.a.</v>
      </c>
      <c r="V101" s="114" t="str">
        <f t="shared" si="14"/>
        <v>n.a.</v>
      </c>
      <c r="W101" s="114" t="str">
        <f t="shared" si="14"/>
        <v>n.a.</v>
      </c>
      <c r="X101" s="114" t="str">
        <f t="shared" si="14"/>
        <v>n.a.</v>
      </c>
      <c r="Y101" s="114" t="str">
        <f t="shared" si="14"/>
        <v>n.a.</v>
      </c>
      <c r="Z101" s="114" t="str">
        <f t="shared" si="14"/>
        <v>n.a.</v>
      </c>
      <c r="AA101" s="114" t="str">
        <f t="shared" si="14"/>
        <v>n.a.</v>
      </c>
      <c r="AC101" s="114" t="str">
        <f t="shared" si="11"/>
        <v>Nitric acid</v>
      </c>
      <c r="AD101" s="114" t="str">
        <f>AC100</f>
        <v>Ammonia</v>
      </c>
      <c r="AE101" s="114" t="str">
        <f>AD100</f>
        <v>Hydrogen</v>
      </c>
      <c r="AF101" s="114" t="str">
        <f t="shared" si="18"/>
        <v>n.a.</v>
      </c>
      <c r="AG101" s="114" t="str">
        <f t="shared" si="18"/>
        <v>n.a.</v>
      </c>
      <c r="AH101" s="114" t="str">
        <f t="shared" si="18"/>
        <v>n.a.</v>
      </c>
      <c r="AI101" s="114" t="str">
        <f t="shared" si="18"/>
        <v>n.a.</v>
      </c>
      <c r="AJ101" s="114" t="str">
        <f t="shared" si="18"/>
        <v>n.a.</v>
      </c>
      <c r="AK101" s="114" t="str">
        <f t="shared" si="18"/>
        <v>n.a.</v>
      </c>
      <c r="AL101" s="114" t="str">
        <f t="shared" si="18"/>
        <v>n.a.</v>
      </c>
      <c r="AM101" s="114" t="str">
        <f t="shared" si="18"/>
        <v>n.a.</v>
      </c>
      <c r="AO101" s="376">
        <f t="shared" si="20"/>
        <v>0</v>
      </c>
      <c r="AP101" s="376">
        <f t="shared" si="20"/>
        <v>0</v>
      </c>
      <c r="AQ101" s="376">
        <f t="shared" si="20"/>
        <v>0</v>
      </c>
      <c r="AR101" s="376">
        <f t="shared" si="20"/>
        <v>0</v>
      </c>
      <c r="AS101" s="376">
        <f t="shared" si="20"/>
        <v>0</v>
      </c>
      <c r="AT101" s="376">
        <f t="shared" si="20"/>
        <v>0</v>
      </c>
      <c r="AU101" s="376">
        <f t="shared" si="20"/>
        <v>0</v>
      </c>
      <c r="AV101" s="376">
        <f t="shared" si="20"/>
        <v>0</v>
      </c>
      <c r="AW101" s="376">
        <f t="shared" si="20"/>
        <v>0</v>
      </c>
      <c r="AX101" s="376">
        <f t="shared" si="20"/>
        <v>0</v>
      </c>
      <c r="AY101" s="376">
        <f t="shared" si="21"/>
        <v>0</v>
      </c>
      <c r="AZ101" s="376">
        <f t="shared" si="21"/>
        <v>0</v>
      </c>
      <c r="BA101" s="376">
        <f t="shared" si="21"/>
        <v>0</v>
      </c>
      <c r="BB101" s="376">
        <f t="shared" si="21"/>
        <v>0</v>
      </c>
      <c r="BC101" s="376">
        <f t="shared" si="21"/>
        <v>1</v>
      </c>
      <c r="BD101" s="376">
        <f t="shared" si="21"/>
        <v>0</v>
      </c>
      <c r="BE101" s="376">
        <f t="shared" si="21"/>
        <v>0</v>
      </c>
      <c r="BF101" s="376">
        <f t="shared" si="21"/>
        <v>0</v>
      </c>
      <c r="BH101" s="878">
        <f>IF(COUNTIF(A_InstData!$E$62:$F$71,$A101)&gt;0,1,0)</f>
        <v>0</v>
      </c>
      <c r="BI101" s="874"/>
      <c r="BJ101" s="878">
        <v>0</v>
      </c>
      <c r="BK101" s="874"/>
      <c r="BL101" s="878" t="str">
        <f>IF(BJ101&gt;0,MAX($BL$88:BL100)+1,"")</f>
        <v/>
      </c>
      <c r="BM101" s="874"/>
      <c r="BN101" s="878" t="b">
        <v>0</v>
      </c>
      <c r="BO101" s="874"/>
      <c r="BP101" s="874"/>
      <c r="BQ101" s="874"/>
    </row>
    <row r="102" spans="1:69" s="110" customFormat="1" x14ac:dyDescent="0.25">
      <c r="A102" s="114" t="str">
        <f>Translations!$B$686</f>
        <v>Urea</v>
      </c>
      <c r="B102" s="376" t="str">
        <f t="shared" si="0"/>
        <v>t</v>
      </c>
      <c r="C102" s="114" t="b">
        <v>1</v>
      </c>
      <c r="D102" s="114" t="b">
        <f t="shared" si="1"/>
        <v>1</v>
      </c>
      <c r="E102" s="114" t="b">
        <f t="shared" si="2"/>
        <v>0</v>
      </c>
      <c r="F102" s="377" t="str">
        <f t="shared" ca="1" si="3"/>
        <v>Parameters_Constants!$G$102:$G$102</v>
      </c>
      <c r="G102" s="377" t="str">
        <f>CONST_AllProdRoutes</f>
        <v>All production routes</v>
      </c>
      <c r="H102" s="377" t="str">
        <f t="shared" si="23"/>
        <v>n.a.</v>
      </c>
      <c r="I102" s="377" t="str">
        <f t="shared" si="23"/>
        <v>n.a.</v>
      </c>
      <c r="J102" s="377" t="str">
        <f t="shared" si="22"/>
        <v>n.a.</v>
      </c>
      <c r="K102" s="377" t="str">
        <f t="shared" si="22"/>
        <v>n.a.</v>
      </c>
      <c r="L102" s="377" t="str">
        <f t="shared" si="19"/>
        <v>n.a.</v>
      </c>
      <c r="M102" s="377" t="str">
        <f t="shared" si="19"/>
        <v>n.a.</v>
      </c>
      <c r="N102" s="377" t="str">
        <f t="shared" si="19"/>
        <v>n.a.</v>
      </c>
      <c r="O102" s="377" t="str">
        <f t="shared" si="19"/>
        <v>n.a.</v>
      </c>
      <c r="P102" s="377" t="str">
        <f t="shared" si="19"/>
        <v>n.a.</v>
      </c>
      <c r="Q102" s="377" t="str">
        <f t="shared" ca="1" si="5"/>
        <v>Parameters_Constants!$R$102:$R$102</v>
      </c>
      <c r="R102" s="114" t="str">
        <f>A100</f>
        <v>Ammonia</v>
      </c>
      <c r="S102" s="114" t="str">
        <f t="shared" si="17"/>
        <v>n.a.</v>
      </c>
      <c r="T102" s="114" t="str">
        <f t="shared" si="15"/>
        <v>n.a.</v>
      </c>
      <c r="U102" s="114" t="str">
        <f t="shared" si="14"/>
        <v>n.a.</v>
      </c>
      <c r="V102" s="114" t="str">
        <f t="shared" si="14"/>
        <v>n.a.</v>
      </c>
      <c r="W102" s="114" t="str">
        <f t="shared" si="14"/>
        <v>n.a.</v>
      </c>
      <c r="X102" s="114" t="str">
        <f t="shared" si="14"/>
        <v>n.a.</v>
      </c>
      <c r="Y102" s="114" t="str">
        <f t="shared" si="14"/>
        <v>n.a.</v>
      </c>
      <c r="Z102" s="114" t="str">
        <f t="shared" si="14"/>
        <v>n.a.</v>
      </c>
      <c r="AA102" s="114" t="str">
        <f t="shared" si="14"/>
        <v>n.a.</v>
      </c>
      <c r="AC102" s="114" t="str">
        <f t="shared" si="11"/>
        <v>Urea</v>
      </c>
      <c r="AD102" s="114" t="str">
        <f>AD101</f>
        <v>Ammonia</v>
      </c>
      <c r="AE102" s="114" t="str">
        <f>AE101</f>
        <v>Hydrogen</v>
      </c>
      <c r="AF102" s="114" t="str">
        <f t="shared" si="18"/>
        <v>n.a.</v>
      </c>
      <c r="AG102" s="114" t="str">
        <f t="shared" si="18"/>
        <v>n.a.</v>
      </c>
      <c r="AH102" s="114" t="str">
        <f t="shared" si="18"/>
        <v>n.a.</v>
      </c>
      <c r="AI102" s="114" t="str">
        <f t="shared" si="18"/>
        <v>n.a.</v>
      </c>
      <c r="AJ102" s="114" t="str">
        <f t="shared" si="18"/>
        <v>n.a.</v>
      </c>
      <c r="AK102" s="114" t="str">
        <f t="shared" si="18"/>
        <v>n.a.</v>
      </c>
      <c r="AL102" s="114" t="str">
        <f t="shared" si="18"/>
        <v>n.a.</v>
      </c>
      <c r="AM102" s="114" t="str">
        <f t="shared" si="18"/>
        <v>n.a.</v>
      </c>
      <c r="AO102" s="376">
        <f t="shared" si="20"/>
        <v>0</v>
      </c>
      <c r="AP102" s="376">
        <f t="shared" si="20"/>
        <v>0</v>
      </c>
      <c r="AQ102" s="376">
        <f t="shared" si="20"/>
        <v>0</v>
      </c>
      <c r="AR102" s="376">
        <f t="shared" si="20"/>
        <v>0</v>
      </c>
      <c r="AS102" s="376">
        <f t="shared" si="20"/>
        <v>0</v>
      </c>
      <c r="AT102" s="376">
        <f t="shared" si="20"/>
        <v>0</v>
      </c>
      <c r="AU102" s="376">
        <f t="shared" si="20"/>
        <v>0</v>
      </c>
      <c r="AV102" s="376">
        <f t="shared" si="20"/>
        <v>0</v>
      </c>
      <c r="AW102" s="376">
        <f t="shared" si="20"/>
        <v>0</v>
      </c>
      <c r="AX102" s="376">
        <f t="shared" si="20"/>
        <v>0</v>
      </c>
      <c r="AY102" s="376">
        <f t="shared" si="21"/>
        <v>0</v>
      </c>
      <c r="AZ102" s="376">
        <f t="shared" si="21"/>
        <v>0</v>
      </c>
      <c r="BA102" s="376">
        <f t="shared" si="21"/>
        <v>0</v>
      </c>
      <c r="BB102" s="376">
        <f t="shared" si="21"/>
        <v>0</v>
      </c>
      <c r="BC102" s="376">
        <f t="shared" si="21"/>
        <v>1</v>
      </c>
      <c r="BD102" s="376">
        <f t="shared" si="21"/>
        <v>0</v>
      </c>
      <c r="BE102" s="376">
        <f t="shared" si="21"/>
        <v>0</v>
      </c>
      <c r="BF102" s="376">
        <f t="shared" si="21"/>
        <v>0</v>
      </c>
      <c r="BH102" s="878">
        <f>IF(COUNTIF(A_InstData!$E$62:$F$71,$A102)&gt;0,1,0)</f>
        <v>0</v>
      </c>
      <c r="BI102" s="874"/>
      <c r="BJ102" s="878">
        <v>0</v>
      </c>
      <c r="BK102" s="874"/>
      <c r="BL102" s="878" t="str">
        <f>IF(BJ102&gt;0,MAX($BL$88:BL101)+1,"")</f>
        <v/>
      </c>
      <c r="BM102" s="874"/>
      <c r="BN102" s="878" t="b">
        <v>0</v>
      </c>
      <c r="BO102" s="874"/>
      <c r="BP102" s="874"/>
      <c r="BQ102" s="874"/>
    </row>
    <row r="103" spans="1:69" s="110" customFormat="1" x14ac:dyDescent="0.25">
      <c r="A103" s="114" t="str">
        <f>Translations!$B$687</f>
        <v>Mixed fertilisers</v>
      </c>
      <c r="B103" s="376" t="str">
        <f t="shared" si="0"/>
        <v>t</v>
      </c>
      <c r="C103" s="114" t="b">
        <v>1</v>
      </c>
      <c r="D103" s="114" t="b">
        <f t="shared" si="1"/>
        <v>1</v>
      </c>
      <c r="E103" s="114" t="b">
        <f t="shared" si="2"/>
        <v>0</v>
      </c>
      <c r="F103" s="377" t="str">
        <f t="shared" ca="1" si="3"/>
        <v>Parameters_Constants!$G$103:$G$103</v>
      </c>
      <c r="G103" s="377" t="str">
        <f>CONST_AllProdRoutes</f>
        <v>All production routes</v>
      </c>
      <c r="H103" s="377" t="str">
        <f t="shared" si="23"/>
        <v>n.a.</v>
      </c>
      <c r="I103" s="377" t="str">
        <f t="shared" si="23"/>
        <v>n.a.</v>
      </c>
      <c r="J103" s="377" t="str">
        <f t="shared" si="22"/>
        <v>n.a.</v>
      </c>
      <c r="K103" s="377" t="str">
        <f t="shared" si="22"/>
        <v>n.a.</v>
      </c>
      <c r="L103" s="377" t="str">
        <f t="shared" si="19"/>
        <v>n.a.</v>
      </c>
      <c r="M103" s="377" t="str">
        <f t="shared" si="19"/>
        <v>n.a.</v>
      </c>
      <c r="N103" s="377" t="str">
        <f t="shared" si="19"/>
        <v>n.a.</v>
      </c>
      <c r="O103" s="377" t="str">
        <f t="shared" si="19"/>
        <v>n.a.</v>
      </c>
      <c r="P103" s="377" t="str">
        <f t="shared" si="19"/>
        <v>n.a.</v>
      </c>
      <c r="Q103" s="377" t="str">
        <f t="shared" ca="1" si="5"/>
        <v>Parameters_Constants!$R$103:$T$103</v>
      </c>
      <c r="R103" s="114" t="str">
        <f>A100</f>
        <v>Ammonia</v>
      </c>
      <c r="S103" s="114" t="str">
        <f>A101</f>
        <v>Nitric acid</v>
      </c>
      <c r="T103" s="114" t="str">
        <f>A102</f>
        <v>Urea</v>
      </c>
      <c r="U103" s="114" t="str">
        <f t="shared" si="14"/>
        <v>n.a.</v>
      </c>
      <c r="V103" s="114" t="str">
        <f t="shared" si="14"/>
        <v>n.a.</v>
      </c>
      <c r="W103" s="114" t="str">
        <f t="shared" si="14"/>
        <v>n.a.</v>
      </c>
      <c r="X103" s="114" t="str">
        <f t="shared" si="14"/>
        <v>n.a.</v>
      </c>
      <c r="Y103" s="114" t="str">
        <f t="shared" si="14"/>
        <v>n.a.</v>
      </c>
      <c r="Z103" s="114" t="str">
        <f t="shared" si="14"/>
        <v>n.a.</v>
      </c>
      <c r="AA103" s="114" t="str">
        <f t="shared" si="14"/>
        <v>n.a.</v>
      </c>
      <c r="AC103" s="114" t="str">
        <f t="shared" si="11"/>
        <v>Mixed fertilisers</v>
      </c>
      <c r="AD103" s="114" t="str">
        <f>AC102</f>
        <v>Urea</v>
      </c>
      <c r="AE103" s="114" t="str">
        <f>AC101</f>
        <v>Nitric acid</v>
      </c>
      <c r="AF103" s="114" t="str">
        <f>AD101</f>
        <v>Ammonia</v>
      </c>
      <c r="AG103" s="114" t="str">
        <f>AE101</f>
        <v>Hydrogen</v>
      </c>
      <c r="AH103" s="114" t="str">
        <f t="shared" si="18"/>
        <v>n.a.</v>
      </c>
      <c r="AI103" s="114" t="str">
        <f t="shared" si="18"/>
        <v>n.a.</v>
      </c>
      <c r="AJ103" s="114" t="str">
        <f t="shared" si="18"/>
        <v>n.a.</v>
      </c>
      <c r="AK103" s="114" t="str">
        <f t="shared" si="18"/>
        <v>n.a.</v>
      </c>
      <c r="AL103" s="114" t="str">
        <f t="shared" si="18"/>
        <v>n.a.</v>
      </c>
      <c r="AM103" s="114" t="str">
        <f t="shared" si="18"/>
        <v>n.a.</v>
      </c>
      <c r="AO103" s="376">
        <f t="shared" si="20"/>
        <v>0</v>
      </c>
      <c r="AP103" s="376">
        <f t="shared" si="20"/>
        <v>0</v>
      </c>
      <c r="AQ103" s="376">
        <f t="shared" si="20"/>
        <v>0</v>
      </c>
      <c r="AR103" s="376">
        <f t="shared" si="20"/>
        <v>0</v>
      </c>
      <c r="AS103" s="376">
        <f t="shared" si="20"/>
        <v>0</v>
      </c>
      <c r="AT103" s="376">
        <f t="shared" si="20"/>
        <v>0</v>
      </c>
      <c r="AU103" s="376">
        <f t="shared" si="20"/>
        <v>0</v>
      </c>
      <c r="AV103" s="376">
        <f t="shared" si="20"/>
        <v>0</v>
      </c>
      <c r="AW103" s="376">
        <f t="shared" si="20"/>
        <v>0</v>
      </c>
      <c r="AX103" s="376">
        <f t="shared" si="20"/>
        <v>0</v>
      </c>
      <c r="AY103" s="376">
        <f t="shared" si="21"/>
        <v>0</v>
      </c>
      <c r="AZ103" s="376">
        <f t="shared" si="21"/>
        <v>0</v>
      </c>
      <c r="BA103" s="376">
        <f t="shared" si="21"/>
        <v>0</v>
      </c>
      <c r="BB103" s="376">
        <f t="shared" si="21"/>
        <v>0</v>
      </c>
      <c r="BC103" s="376">
        <f t="shared" si="21"/>
        <v>0</v>
      </c>
      <c r="BD103" s="376">
        <f t="shared" si="21"/>
        <v>0</v>
      </c>
      <c r="BE103" s="376">
        <f t="shared" si="21"/>
        <v>0</v>
      </c>
      <c r="BF103" s="376">
        <f t="shared" si="21"/>
        <v>0</v>
      </c>
      <c r="BH103" s="878">
        <f>IF(COUNTIF(A_InstData!$E$62:$F$71,$A103)&gt;0,1,0)</f>
        <v>0</v>
      </c>
      <c r="BI103" s="874"/>
      <c r="BJ103" s="878">
        <v>0</v>
      </c>
      <c r="BK103" s="874"/>
      <c r="BL103" s="878" t="str">
        <f>IF(BJ103&gt;0,MAX($BL$88:BL102)+1,"")</f>
        <v/>
      </c>
      <c r="BM103" s="874"/>
      <c r="BN103" s="878" t="b">
        <v>0</v>
      </c>
      <c r="BO103" s="874"/>
      <c r="BP103" s="874"/>
      <c r="BQ103" s="874"/>
    </row>
    <row r="104" spans="1:69" s="110" customFormat="1" x14ac:dyDescent="0.25">
      <c r="A104" s="114" t="str">
        <f>Translations!$B$688</f>
        <v>Aluminium products</v>
      </c>
      <c r="B104" s="376" t="str">
        <f t="shared" si="0"/>
        <v>t</v>
      </c>
      <c r="C104" s="114" t="b">
        <v>0</v>
      </c>
      <c r="D104" s="114" t="b">
        <f t="shared" si="1"/>
        <v>1</v>
      </c>
      <c r="E104" s="114" t="b">
        <f t="shared" si="2"/>
        <v>0</v>
      </c>
      <c r="F104" s="377" t="str">
        <f t="shared" ca="1" si="3"/>
        <v>Parameters_Constants!$G$104:$G$104</v>
      </c>
      <c r="G104" s="377" t="str">
        <f>CONST_AllProdRoutes</f>
        <v>All production routes</v>
      </c>
      <c r="H104" s="377" t="str">
        <f t="shared" si="23"/>
        <v>n.a.</v>
      </c>
      <c r="I104" s="377" t="str">
        <f t="shared" si="23"/>
        <v>n.a.</v>
      </c>
      <c r="J104" s="377" t="str">
        <f t="shared" si="22"/>
        <v>n.a.</v>
      </c>
      <c r="K104" s="377" t="str">
        <f t="shared" si="22"/>
        <v>n.a.</v>
      </c>
      <c r="L104" s="377" t="str">
        <f t="shared" si="19"/>
        <v>n.a.</v>
      </c>
      <c r="M104" s="377" t="str">
        <f t="shared" si="19"/>
        <v>n.a.</v>
      </c>
      <c r="N104" s="377" t="str">
        <f t="shared" si="19"/>
        <v>n.a.</v>
      </c>
      <c r="O104" s="377" t="str">
        <f t="shared" si="19"/>
        <v>n.a.</v>
      </c>
      <c r="P104" s="377" t="str">
        <f t="shared" si="19"/>
        <v>n.a.</v>
      </c>
      <c r="Q104" s="377" t="str">
        <f t="shared" ca="1" si="5"/>
        <v>Parameters_Constants!$R$104:$R$104</v>
      </c>
      <c r="R104" s="114" t="str">
        <f>A105</f>
        <v>Unwrought aluminium</v>
      </c>
      <c r="S104" s="114"/>
      <c r="T104" s="114" t="str">
        <f>CONST_NA</f>
        <v>n.a.</v>
      </c>
      <c r="U104" s="114" t="str">
        <f t="shared" si="14"/>
        <v>n.a.</v>
      </c>
      <c r="V104" s="114" t="str">
        <f t="shared" si="14"/>
        <v>n.a.</v>
      </c>
      <c r="W104" s="114" t="str">
        <f t="shared" si="14"/>
        <v>n.a.</v>
      </c>
      <c r="X104" s="114" t="str">
        <f t="shared" si="14"/>
        <v>n.a.</v>
      </c>
      <c r="Y104" s="114" t="str">
        <f t="shared" si="14"/>
        <v>n.a.</v>
      </c>
      <c r="Z104" s="114" t="str">
        <f t="shared" si="14"/>
        <v>n.a.</v>
      </c>
      <c r="AA104" s="114" t="str">
        <f t="shared" si="14"/>
        <v>n.a.</v>
      </c>
      <c r="AC104" s="114" t="str">
        <f t="shared" si="11"/>
        <v>Aluminium products</v>
      </c>
      <c r="AD104" s="114" t="str">
        <f>AC105</f>
        <v>Unwrought aluminium</v>
      </c>
      <c r="AE104" s="114" t="str">
        <f t="shared" si="18"/>
        <v>n.a.</v>
      </c>
      <c r="AF104" s="114" t="str">
        <f t="shared" si="18"/>
        <v>n.a.</v>
      </c>
      <c r="AG104" s="114" t="str">
        <f t="shared" si="18"/>
        <v>n.a.</v>
      </c>
      <c r="AH104" s="114" t="str">
        <f t="shared" si="18"/>
        <v>n.a.</v>
      </c>
      <c r="AI104" s="114" t="str">
        <f t="shared" si="18"/>
        <v>n.a.</v>
      </c>
      <c r="AJ104" s="114" t="str">
        <f t="shared" si="18"/>
        <v>n.a.</v>
      </c>
      <c r="AK104" s="114" t="str">
        <f t="shared" si="18"/>
        <v>n.a.</v>
      </c>
      <c r="AL104" s="114" t="str">
        <f t="shared" si="18"/>
        <v>n.a.</v>
      </c>
      <c r="AM104" s="114" t="str">
        <f t="shared" si="18"/>
        <v>n.a.</v>
      </c>
      <c r="AO104" s="376">
        <f t="shared" si="20"/>
        <v>0</v>
      </c>
      <c r="AP104" s="376">
        <f t="shared" si="20"/>
        <v>0</v>
      </c>
      <c r="AQ104" s="376">
        <f t="shared" si="20"/>
        <v>0</v>
      </c>
      <c r="AR104" s="376">
        <f t="shared" si="20"/>
        <v>0</v>
      </c>
      <c r="AS104" s="376">
        <f t="shared" si="20"/>
        <v>0</v>
      </c>
      <c r="AT104" s="376">
        <f t="shared" si="20"/>
        <v>0</v>
      </c>
      <c r="AU104" s="376">
        <f t="shared" si="20"/>
        <v>0</v>
      </c>
      <c r="AV104" s="376">
        <f t="shared" si="20"/>
        <v>0</v>
      </c>
      <c r="AW104" s="376">
        <f t="shared" si="20"/>
        <v>0</v>
      </c>
      <c r="AX104" s="376">
        <f t="shared" si="20"/>
        <v>0</v>
      </c>
      <c r="AY104" s="376">
        <f t="shared" si="21"/>
        <v>0</v>
      </c>
      <c r="AZ104" s="376">
        <f t="shared" si="21"/>
        <v>0</v>
      </c>
      <c r="BA104" s="376">
        <f t="shared" si="21"/>
        <v>0</v>
      </c>
      <c r="BB104" s="376">
        <f t="shared" si="21"/>
        <v>0</v>
      </c>
      <c r="BC104" s="376">
        <f t="shared" si="21"/>
        <v>0</v>
      </c>
      <c r="BD104" s="376">
        <f t="shared" si="21"/>
        <v>0</v>
      </c>
      <c r="BE104" s="376">
        <f t="shared" si="21"/>
        <v>0</v>
      </c>
      <c r="BF104" s="376">
        <f t="shared" si="21"/>
        <v>0</v>
      </c>
      <c r="BH104" s="878">
        <f>IF(COUNTIF(A_InstData!$E$62:$F$71,$A104)&gt;0,1,0)</f>
        <v>0</v>
      </c>
      <c r="BI104" s="874"/>
      <c r="BJ104" s="878">
        <v>0</v>
      </c>
      <c r="BK104" s="874"/>
      <c r="BL104" s="878" t="str">
        <f>IF(BJ104&gt;0,MAX($BL$88:BL103)+1,"")</f>
        <v/>
      </c>
      <c r="BM104" s="874"/>
      <c r="BN104" s="878" t="b">
        <v>1</v>
      </c>
      <c r="BO104" s="874"/>
      <c r="BP104" s="874"/>
      <c r="BQ104" s="874"/>
    </row>
    <row r="105" spans="1:69" s="110" customFormat="1" x14ac:dyDescent="0.25">
      <c r="A105" s="114" t="str">
        <f>Translations!$B$689</f>
        <v>Unwrought aluminium</v>
      </c>
      <c r="B105" s="376" t="str">
        <f t="shared" si="0"/>
        <v>t</v>
      </c>
      <c r="C105" s="114" t="b">
        <v>0</v>
      </c>
      <c r="D105" s="114" t="b">
        <f>IF(MATCH(CNTR_CBAMPeriod,CONST_TransitionalOrDefinitive,0)=1,TRUE,C105)</f>
        <v>1</v>
      </c>
      <c r="E105" s="114" t="b">
        <f t="shared" si="2"/>
        <v>1</v>
      </c>
      <c r="F105" s="377" t="str">
        <f ca="1">ADDRESS(ROW(),COLUMN(G105),,,$B$85)&amp;":"&amp;ADDRESS(ROW(),COLUMN(G105)+MAX(0,9-COUNTIF(G105:P105,CONST_NA)-COUNTIF(G105:P105,"")))</f>
        <v>Parameters_Constants!$G$105:$J$105</v>
      </c>
      <c r="G105" s="377" t="str">
        <f>Translations!$B$690</f>
        <v>Primary (electrolytic) smelting</v>
      </c>
      <c r="H105" s="377" t="str">
        <f>Translations!$B$691</f>
        <v>Secondary melting (recycling)</v>
      </c>
      <c r="I105" s="377" t="str">
        <f>Translations!$B$671</f>
        <v>Other production routes</v>
      </c>
      <c r="J105" s="377" t="str">
        <f>Translations!$B$672</f>
        <v>Unknown production routes</v>
      </c>
      <c r="K105" s="377" t="str">
        <f t="shared" si="22"/>
        <v>n.a.</v>
      </c>
      <c r="L105" s="377" t="str">
        <f t="shared" si="19"/>
        <v>n.a.</v>
      </c>
      <c r="M105" s="377" t="str">
        <f t="shared" si="19"/>
        <v>n.a.</v>
      </c>
      <c r="N105" s="377" t="str">
        <f t="shared" si="19"/>
        <v>n.a.</v>
      </c>
      <c r="O105" s="377" t="str">
        <f t="shared" si="19"/>
        <v>n.a.</v>
      </c>
      <c r="P105" s="377" t="str">
        <f t="shared" si="19"/>
        <v>n.a.</v>
      </c>
      <c r="Q105" s="377" t="str">
        <f ca="1">ADDRESS(ROW(),COLUMN(R105),,,$B$85)&amp;":"&amp;ADDRESS(ROW(),COLUMN(R105)+MAX(0,9-COUNTIF(R105:AA105,CONST_NA)-COUNTIF(R105:AA105,"")))</f>
        <v>Parameters_Constants!$R$105:$R$105</v>
      </c>
      <c r="R105" s="114" t="str">
        <f>CONST_NA</f>
        <v>n.a.</v>
      </c>
      <c r="S105" s="114" t="str">
        <f>CONST_NA</f>
        <v>n.a.</v>
      </c>
      <c r="T105" s="114" t="str">
        <f>CONST_NA</f>
        <v>n.a.</v>
      </c>
      <c r="U105" s="114" t="str">
        <f t="shared" si="14"/>
        <v>n.a.</v>
      </c>
      <c r="V105" s="114" t="str">
        <f t="shared" si="14"/>
        <v>n.a.</v>
      </c>
      <c r="W105" s="114" t="str">
        <f t="shared" si="14"/>
        <v>n.a.</v>
      </c>
      <c r="X105" s="114" t="str">
        <f t="shared" si="14"/>
        <v>n.a.</v>
      </c>
      <c r="Y105" s="114" t="str">
        <f t="shared" si="14"/>
        <v>n.a.</v>
      </c>
      <c r="Z105" s="114" t="str">
        <f t="shared" si="14"/>
        <v>n.a.</v>
      </c>
      <c r="AA105" s="114" t="str">
        <f t="shared" si="14"/>
        <v>n.a.</v>
      </c>
      <c r="AC105" s="114" t="str">
        <f t="shared" si="11"/>
        <v>Unwrought aluminium</v>
      </c>
      <c r="AD105" s="114" t="str">
        <f t="shared" ref="AD105:AM106" si="24">CONST_NA</f>
        <v>n.a.</v>
      </c>
      <c r="AE105" s="114" t="str">
        <f t="shared" si="24"/>
        <v>n.a.</v>
      </c>
      <c r="AF105" s="114" t="str">
        <f t="shared" si="24"/>
        <v>n.a.</v>
      </c>
      <c r="AG105" s="114" t="str">
        <f t="shared" si="24"/>
        <v>n.a.</v>
      </c>
      <c r="AH105" s="114" t="str">
        <f t="shared" si="24"/>
        <v>n.a.</v>
      </c>
      <c r="AI105" s="114" t="str">
        <f t="shared" si="24"/>
        <v>n.a.</v>
      </c>
      <c r="AJ105" s="114" t="str">
        <f t="shared" si="24"/>
        <v>n.a.</v>
      </c>
      <c r="AK105" s="114" t="str">
        <f t="shared" si="24"/>
        <v>n.a.</v>
      </c>
      <c r="AL105" s="114" t="str">
        <f t="shared" si="24"/>
        <v>n.a.</v>
      </c>
      <c r="AM105" s="114" t="str">
        <f t="shared" si="24"/>
        <v>n.a.</v>
      </c>
      <c r="AO105" s="376">
        <f t="shared" si="20"/>
        <v>0</v>
      </c>
      <c r="AP105" s="376">
        <f t="shared" si="20"/>
        <v>0</v>
      </c>
      <c r="AQ105" s="376">
        <f t="shared" si="20"/>
        <v>0</v>
      </c>
      <c r="AR105" s="376">
        <f t="shared" si="20"/>
        <v>0</v>
      </c>
      <c r="AS105" s="376">
        <f t="shared" si="20"/>
        <v>0</v>
      </c>
      <c r="AT105" s="376">
        <f t="shared" si="20"/>
        <v>0</v>
      </c>
      <c r="AU105" s="376">
        <f t="shared" si="20"/>
        <v>0</v>
      </c>
      <c r="AV105" s="376">
        <f t="shared" si="20"/>
        <v>0</v>
      </c>
      <c r="AW105" s="376">
        <f t="shared" si="20"/>
        <v>0</v>
      </c>
      <c r="AX105" s="376">
        <f t="shared" si="20"/>
        <v>0</v>
      </c>
      <c r="AY105" s="376">
        <f t="shared" si="21"/>
        <v>0</v>
      </c>
      <c r="AZ105" s="376">
        <f t="shared" si="21"/>
        <v>0</v>
      </c>
      <c r="BA105" s="376">
        <f t="shared" si="21"/>
        <v>0</v>
      </c>
      <c r="BB105" s="376">
        <f t="shared" si="21"/>
        <v>0</v>
      </c>
      <c r="BC105" s="376">
        <f t="shared" si="21"/>
        <v>0</v>
      </c>
      <c r="BD105" s="376">
        <f t="shared" si="21"/>
        <v>1</v>
      </c>
      <c r="BE105" s="376">
        <f t="shared" si="21"/>
        <v>0</v>
      </c>
      <c r="BF105" s="376">
        <f t="shared" si="21"/>
        <v>0</v>
      </c>
      <c r="BH105" s="878">
        <f>IF(COUNTIF(A_InstData!$E$62:$F$71,$A105)&gt;0,1,0)</f>
        <v>0</v>
      </c>
      <c r="BI105" s="874"/>
      <c r="BJ105" s="878">
        <v>0</v>
      </c>
      <c r="BK105" s="874"/>
      <c r="BL105" s="878" t="str">
        <f>IF(BJ105&gt;0,MAX($BL$88:BL104)+1,"")</f>
        <v/>
      </c>
      <c r="BM105" s="874"/>
      <c r="BN105" s="878" t="b">
        <v>1</v>
      </c>
      <c r="BO105" s="874"/>
      <c r="BP105" s="874"/>
      <c r="BQ105" s="874"/>
    </row>
    <row r="106" spans="1:69" s="110" customFormat="1" x14ac:dyDescent="0.25">
      <c r="A106" s="114" t="str">
        <f>Translations!$B$692</f>
        <v>Electricity (export to EU)</v>
      </c>
      <c r="B106" s="376" t="str">
        <f>CONST_MWh</f>
        <v>MWh</v>
      </c>
      <c r="C106" s="114" t="b">
        <v>0</v>
      </c>
      <c r="D106" s="808" t="b">
        <v>0</v>
      </c>
      <c r="E106" s="114" t="b">
        <f t="shared" si="2"/>
        <v>0</v>
      </c>
      <c r="F106" s="377" t="str">
        <f t="shared" ca="1" si="3"/>
        <v>Parameters_Constants!$G$106:$G$106</v>
      </c>
      <c r="G106" s="377" t="str">
        <f>CONST_AllProdRoutes</f>
        <v>All production routes</v>
      </c>
      <c r="H106" s="377" t="str">
        <f>CONST_NA</f>
        <v>n.a.</v>
      </c>
      <c r="I106" s="377" t="str">
        <f>CONST_NA</f>
        <v>n.a.</v>
      </c>
      <c r="J106" s="377" t="str">
        <f>CONST_NA</f>
        <v>n.a.</v>
      </c>
      <c r="K106" s="377" t="str">
        <f>CONST_NA</f>
        <v>n.a.</v>
      </c>
      <c r="L106" s="377" t="str">
        <f t="shared" si="19"/>
        <v>n.a.</v>
      </c>
      <c r="M106" s="377" t="str">
        <f t="shared" si="19"/>
        <v>n.a.</v>
      </c>
      <c r="N106" s="377" t="str">
        <f t="shared" si="19"/>
        <v>n.a.</v>
      </c>
      <c r="O106" s="377" t="str">
        <f t="shared" si="19"/>
        <v>n.a.</v>
      </c>
      <c r="P106" s="377" t="str">
        <f t="shared" si="19"/>
        <v>n.a.</v>
      </c>
      <c r="Q106" s="377" t="str">
        <f t="shared" ca="1" si="5"/>
        <v>Parameters_Constants!$R$106:$R$106</v>
      </c>
      <c r="R106" s="114" t="str">
        <f>CONST_NA</f>
        <v>n.a.</v>
      </c>
      <c r="S106" s="114" t="str">
        <f>CONST_NA</f>
        <v>n.a.</v>
      </c>
      <c r="T106" s="114" t="str">
        <f>CONST_NA</f>
        <v>n.a.</v>
      </c>
      <c r="U106" s="114" t="str">
        <f t="shared" si="14"/>
        <v>n.a.</v>
      </c>
      <c r="V106" s="114" t="str">
        <f t="shared" si="14"/>
        <v>n.a.</v>
      </c>
      <c r="W106" s="114" t="str">
        <f t="shared" si="14"/>
        <v>n.a.</v>
      </c>
      <c r="X106" s="114" t="str">
        <f t="shared" si="14"/>
        <v>n.a.</v>
      </c>
      <c r="Y106" s="114" t="str">
        <f t="shared" si="14"/>
        <v>n.a.</v>
      </c>
      <c r="Z106" s="114" t="str">
        <f t="shared" si="14"/>
        <v>n.a.</v>
      </c>
      <c r="AA106" s="114" t="str">
        <f t="shared" si="14"/>
        <v>n.a.</v>
      </c>
      <c r="AC106" s="114" t="str">
        <f t="shared" si="11"/>
        <v>Electricity (export to EU)</v>
      </c>
      <c r="AD106" s="114" t="str">
        <f t="shared" si="24"/>
        <v>n.a.</v>
      </c>
      <c r="AE106" s="114" t="str">
        <f t="shared" si="24"/>
        <v>n.a.</v>
      </c>
      <c r="AF106" s="114" t="str">
        <f t="shared" si="24"/>
        <v>n.a.</v>
      </c>
      <c r="AG106" s="114" t="str">
        <f t="shared" si="24"/>
        <v>n.a.</v>
      </c>
      <c r="AH106" s="114" t="str">
        <f t="shared" si="24"/>
        <v>n.a.</v>
      </c>
      <c r="AI106" s="114" t="str">
        <f t="shared" si="24"/>
        <v>n.a.</v>
      </c>
      <c r="AJ106" s="114" t="str">
        <f t="shared" si="24"/>
        <v>n.a.</v>
      </c>
      <c r="AK106" s="114" t="str">
        <f t="shared" si="24"/>
        <v>n.a.</v>
      </c>
      <c r="AL106" s="114" t="str">
        <f t="shared" si="24"/>
        <v>n.a.</v>
      </c>
      <c r="AM106" s="114" t="str">
        <f t="shared" si="24"/>
        <v>n.a.</v>
      </c>
      <c r="AO106" s="376">
        <f t="shared" si="20"/>
        <v>0</v>
      </c>
      <c r="AP106" s="376">
        <f t="shared" si="20"/>
        <v>0</v>
      </c>
      <c r="AQ106" s="376">
        <f t="shared" si="20"/>
        <v>0</v>
      </c>
      <c r="AR106" s="376">
        <f t="shared" si="20"/>
        <v>0</v>
      </c>
      <c r="AS106" s="376">
        <f t="shared" si="20"/>
        <v>0</v>
      </c>
      <c r="AT106" s="376">
        <f t="shared" si="20"/>
        <v>0</v>
      </c>
      <c r="AU106" s="376">
        <f t="shared" si="20"/>
        <v>0</v>
      </c>
      <c r="AV106" s="376">
        <f t="shared" si="20"/>
        <v>0</v>
      </c>
      <c r="AW106" s="376">
        <f t="shared" si="20"/>
        <v>0</v>
      </c>
      <c r="AX106" s="376">
        <f t="shared" si="20"/>
        <v>0</v>
      </c>
      <c r="AY106" s="376">
        <f t="shared" si="21"/>
        <v>0</v>
      </c>
      <c r="AZ106" s="376">
        <f t="shared" si="21"/>
        <v>0</v>
      </c>
      <c r="BA106" s="376">
        <f t="shared" si="21"/>
        <v>0</v>
      </c>
      <c r="BB106" s="376">
        <f t="shared" si="21"/>
        <v>0</v>
      </c>
      <c r="BC106" s="376">
        <f t="shared" si="21"/>
        <v>0</v>
      </c>
      <c r="BD106" s="376">
        <f t="shared" si="21"/>
        <v>0</v>
      </c>
      <c r="BE106" s="376">
        <f t="shared" si="21"/>
        <v>0</v>
      </c>
      <c r="BF106" s="376">
        <f t="shared" si="21"/>
        <v>0</v>
      </c>
      <c r="BH106" s="878">
        <f>IF(COUNTIF(A_InstData!$E$62:$F$71,$A106)&gt;0,1,0)</f>
        <v>0</v>
      </c>
      <c r="BI106" s="874"/>
      <c r="BJ106" s="878">
        <v>0</v>
      </c>
      <c r="BK106" s="874"/>
      <c r="BL106" s="878" t="str">
        <f>IF(BJ106&gt;0,MAX($BL$88:BL105)+1,"")</f>
        <v/>
      </c>
      <c r="BM106" s="874"/>
      <c r="BN106" s="878" t="b">
        <v>0</v>
      </c>
      <c r="BO106" s="874"/>
      <c r="BP106" s="874"/>
      <c r="BQ106" s="874"/>
    </row>
    <row r="107" spans="1:69" s="110" customFormat="1" x14ac:dyDescent="0.25">
      <c r="BH107" s="874"/>
      <c r="BI107" s="874"/>
      <c r="BJ107" s="874"/>
      <c r="BK107" s="874"/>
      <c r="BL107" s="874"/>
      <c r="BM107" s="874"/>
      <c r="BN107" s="874"/>
      <c r="BO107" s="874"/>
      <c r="BP107" s="874"/>
      <c r="BQ107" s="874"/>
    </row>
    <row r="108" spans="1:69" s="110" customFormat="1" ht="13" x14ac:dyDescent="0.3">
      <c r="B108" s="372" t="str">
        <f>Translations!$B$2103</f>
        <v>Special parameters to be reported</v>
      </c>
      <c r="BH108" s="874"/>
      <c r="BI108" s="874"/>
      <c r="BJ108" s="874"/>
      <c r="BK108" s="874"/>
      <c r="BL108" s="874"/>
      <c r="BM108" s="874"/>
      <c r="BN108" s="874"/>
      <c r="BO108" s="874"/>
      <c r="BP108" s="874"/>
      <c r="BQ108" s="874"/>
    </row>
    <row r="109" spans="1:69" s="110" customFormat="1" ht="13" x14ac:dyDescent="0.3">
      <c r="A109" s="373" t="str">
        <f>Translations!$B$2098</f>
        <v>CBAM good</v>
      </c>
      <c r="B109" s="375">
        <v>1</v>
      </c>
      <c r="C109" s="375">
        <v>2</v>
      </c>
      <c r="D109" s="375">
        <v>3</v>
      </c>
      <c r="E109" s="375">
        <v>4</v>
      </c>
      <c r="F109" s="375">
        <v>5</v>
      </c>
      <c r="G109" s="375">
        <v>6</v>
      </c>
      <c r="H109" s="375">
        <v>7</v>
      </c>
      <c r="I109" s="375">
        <v>8</v>
      </c>
      <c r="K109" s="372" t="str">
        <f>Translations!$B$483</f>
        <v>The main reducing agent of the precursor, if known</v>
      </c>
      <c r="L109" s="372" t="str">
        <f>Translations!$B$485</f>
        <v>Steel mill identification number</v>
      </c>
      <c r="M109" s="372" t="str">
        <f>Translations!$B$487</f>
        <v>% Mn</v>
      </c>
      <c r="N109" s="372" t="str">
        <f>Translations!$B$489</f>
        <v>% Cr</v>
      </c>
      <c r="O109" s="372" t="str">
        <f>Translations!$B$491</f>
        <v>% Ni</v>
      </c>
      <c r="P109" s="372" t="str">
        <f>Translations!$B$493</f>
        <v>% other alloys</v>
      </c>
      <c r="Q109" s="372" t="str">
        <f>Translations!$B$495</f>
        <v>% carbon</v>
      </c>
      <c r="R109" s="372" t="str">
        <f>Translations!$B$497</f>
        <v>t scrap per t steel</v>
      </c>
      <c r="S109" s="372" t="str">
        <f>Translations!$B$503</f>
        <v>% pre-consumer scrap</v>
      </c>
      <c r="T109" s="372" t="str">
        <f>Translations!$B$499</f>
        <v>% other materials</v>
      </c>
      <c r="U109" s="372" t="str">
        <f>Translations!$B$501</f>
        <v>t scrap per t aluminium</v>
      </c>
      <c r="V109" s="372" t="str">
        <f>Translations!$B$505</f>
        <v>% non-aluminium elements</v>
      </c>
      <c r="W109" s="372" t="str">
        <f>Translations!$B$507</f>
        <v>Clinker factor</v>
      </c>
      <c r="X109" s="372" t="str">
        <f>Translations!$B$509</f>
        <v>Calcined or not</v>
      </c>
      <c r="Y109" s="372" t="str">
        <f>Translations!$B$511</f>
        <v>Concentration, if hydrous solution</v>
      </c>
      <c r="Z109" s="372" t="str">
        <f>Translations!$B$513</f>
        <v>% nitric acid</v>
      </c>
      <c r="AA109" s="372" t="str">
        <f>Translations!$B$515</f>
        <v>% urea</v>
      </c>
      <c r="AB109" s="372" t="str">
        <f>Translations!$B$517</f>
        <v>% N contained</v>
      </c>
      <c r="AC109" s="372" t="str">
        <f>Translations!$B$519</f>
        <v>% N as ammonium (NH4+)</v>
      </c>
      <c r="AD109" s="372" t="str">
        <f>Translations!$B$521</f>
        <v>% N as nitrate (NO3–)</v>
      </c>
      <c r="AE109" s="372" t="str">
        <f>Translations!$B$523</f>
        <v>% N as Urea</v>
      </c>
      <c r="AF109" s="372" t="str">
        <f>Translations!$B$525</f>
        <v>% N in other (organic) forms</v>
      </c>
    </row>
    <row r="110" spans="1:69" s="110" customFormat="1" x14ac:dyDescent="0.25">
      <c r="A110" s="114" t="str">
        <f t="shared" ref="A110:A127" si="25">A89</f>
        <v>Cement</v>
      </c>
      <c r="B110" s="377" t="str">
        <f t="shared" ref="B110:G112" si="26">CONST_NA</f>
        <v>n.a.</v>
      </c>
      <c r="C110" s="110" t="str">
        <f>Translations!$B$507</f>
        <v>Clinker factor</v>
      </c>
      <c r="D110" s="377" t="str">
        <f t="shared" ref="D110:I110" si="27">CONST_NA</f>
        <v>n.a.</v>
      </c>
      <c r="E110" s="377" t="str">
        <f t="shared" si="27"/>
        <v>n.a.</v>
      </c>
      <c r="F110" s="377" t="str">
        <f t="shared" si="27"/>
        <v>n.a.</v>
      </c>
      <c r="G110" s="377" t="str">
        <f t="shared" si="27"/>
        <v>n.a.</v>
      </c>
      <c r="H110" s="377" t="str">
        <f t="shared" si="27"/>
        <v>n.a.</v>
      </c>
      <c r="I110" s="377" t="str">
        <f t="shared" si="27"/>
        <v>n.a.</v>
      </c>
      <c r="J110" s="1150"/>
      <c r="K110" s="114" t="b">
        <f t="shared" ref="K110:AF110" si="28">COUNTIF($B110:$I110,K$109)&gt;0</f>
        <v>0</v>
      </c>
      <c r="L110" s="114" t="b">
        <f t="shared" si="28"/>
        <v>0</v>
      </c>
      <c r="M110" s="114" t="b">
        <f t="shared" si="28"/>
        <v>0</v>
      </c>
      <c r="N110" s="114" t="b">
        <f t="shared" si="28"/>
        <v>0</v>
      </c>
      <c r="O110" s="114" t="b">
        <f t="shared" si="28"/>
        <v>0</v>
      </c>
      <c r="P110" s="114" t="b">
        <f t="shared" si="28"/>
        <v>0</v>
      </c>
      <c r="Q110" s="114" t="b">
        <f t="shared" si="28"/>
        <v>0</v>
      </c>
      <c r="R110" s="114" t="b">
        <f t="shared" si="28"/>
        <v>0</v>
      </c>
      <c r="S110" s="114" t="b">
        <f t="shared" si="28"/>
        <v>0</v>
      </c>
      <c r="T110" s="114" t="b">
        <f t="shared" si="28"/>
        <v>0</v>
      </c>
      <c r="U110" s="114" t="b">
        <f t="shared" si="28"/>
        <v>0</v>
      </c>
      <c r="V110" s="114" t="b">
        <f t="shared" si="28"/>
        <v>0</v>
      </c>
      <c r="W110" s="114" t="b">
        <f t="shared" si="28"/>
        <v>1</v>
      </c>
      <c r="X110" s="114" t="b">
        <f t="shared" si="28"/>
        <v>0</v>
      </c>
      <c r="Y110" s="114" t="b">
        <f t="shared" si="28"/>
        <v>0</v>
      </c>
      <c r="Z110" s="114" t="b">
        <f t="shared" si="28"/>
        <v>0</v>
      </c>
      <c r="AA110" s="114" t="b">
        <f t="shared" si="28"/>
        <v>0</v>
      </c>
      <c r="AB110" s="114" t="b">
        <f t="shared" si="28"/>
        <v>0</v>
      </c>
      <c r="AC110" s="114" t="b">
        <f t="shared" si="28"/>
        <v>0</v>
      </c>
      <c r="AD110" s="114" t="b">
        <f t="shared" si="28"/>
        <v>0</v>
      </c>
      <c r="AE110" s="114" t="b">
        <f t="shared" si="28"/>
        <v>0</v>
      </c>
      <c r="AF110" s="114" t="b">
        <f t="shared" si="28"/>
        <v>0</v>
      </c>
    </row>
    <row r="111" spans="1:69" s="110" customFormat="1" x14ac:dyDescent="0.25">
      <c r="A111" s="114" t="str">
        <f t="shared" si="25"/>
        <v>Cement clinker</v>
      </c>
      <c r="B111" s="377" t="str">
        <f t="shared" si="26"/>
        <v>n.a.</v>
      </c>
      <c r="C111" s="377" t="str">
        <f t="shared" si="26"/>
        <v>n.a.</v>
      </c>
      <c r="D111" s="377" t="str">
        <f t="shared" si="26"/>
        <v>n.a.</v>
      </c>
      <c r="E111" s="377" t="str">
        <f t="shared" si="26"/>
        <v>n.a.</v>
      </c>
      <c r="F111" s="377" t="str">
        <f t="shared" si="26"/>
        <v>n.a.</v>
      </c>
      <c r="G111" s="377" t="str">
        <f t="shared" si="26"/>
        <v>n.a.</v>
      </c>
      <c r="H111" s="377" t="str">
        <f t="shared" ref="H111:I113" si="29">CONST_NA</f>
        <v>n.a.</v>
      </c>
      <c r="I111" s="377" t="str">
        <f t="shared" si="29"/>
        <v>n.a.</v>
      </c>
      <c r="J111" s="1150"/>
      <c r="K111" s="114" t="b">
        <f t="shared" ref="K111:K125" si="30">COUNTIF($B111:$I111,K$109)&gt;0</f>
        <v>0</v>
      </c>
      <c r="L111" s="114" t="b">
        <f t="shared" ref="L111:U120" si="31">COUNTIF($B111:$I111,L$109)&gt;0</f>
        <v>0</v>
      </c>
      <c r="M111" s="114" t="b">
        <f t="shared" si="31"/>
        <v>0</v>
      </c>
      <c r="N111" s="114" t="b">
        <f t="shared" si="31"/>
        <v>0</v>
      </c>
      <c r="O111" s="114" t="b">
        <f t="shared" si="31"/>
        <v>0</v>
      </c>
      <c r="P111" s="114" t="b">
        <f t="shared" si="31"/>
        <v>0</v>
      </c>
      <c r="Q111" s="114" t="b">
        <f t="shared" si="31"/>
        <v>0</v>
      </c>
      <c r="R111" s="114" t="b">
        <f t="shared" si="31"/>
        <v>0</v>
      </c>
      <c r="S111" s="114" t="b">
        <f t="shared" si="31"/>
        <v>0</v>
      </c>
      <c r="T111" s="114" t="b">
        <f t="shared" si="31"/>
        <v>0</v>
      </c>
      <c r="U111" s="114" t="b">
        <f t="shared" si="31"/>
        <v>0</v>
      </c>
      <c r="V111" s="114" t="b">
        <f t="shared" ref="V111:AF120" si="32">COUNTIF($B111:$I111,V$109)&gt;0</f>
        <v>0</v>
      </c>
      <c r="W111" s="114" t="b">
        <f t="shared" si="32"/>
        <v>0</v>
      </c>
      <c r="X111" s="114" t="b">
        <f t="shared" si="32"/>
        <v>0</v>
      </c>
      <c r="Y111" s="114" t="b">
        <f t="shared" si="32"/>
        <v>0</v>
      </c>
      <c r="Z111" s="114" t="b">
        <f t="shared" si="32"/>
        <v>0</v>
      </c>
      <c r="AA111" s="114" t="b">
        <f t="shared" si="32"/>
        <v>0</v>
      </c>
      <c r="AB111" s="114" t="b">
        <f t="shared" si="32"/>
        <v>0</v>
      </c>
      <c r="AC111" s="114" t="b">
        <f t="shared" si="32"/>
        <v>0</v>
      </c>
      <c r="AD111" s="114" t="b">
        <f t="shared" si="32"/>
        <v>0</v>
      </c>
      <c r="AE111" s="114" t="b">
        <f t="shared" si="32"/>
        <v>0</v>
      </c>
      <c r="AF111" s="114" t="b">
        <f t="shared" si="32"/>
        <v>0</v>
      </c>
    </row>
    <row r="112" spans="1:69" s="110" customFormat="1" x14ac:dyDescent="0.25">
      <c r="A112" s="114" t="str">
        <f t="shared" si="25"/>
        <v xml:space="preserve">Calcined clays </v>
      </c>
      <c r="B112" s="377" t="str">
        <f t="shared" si="26"/>
        <v>n.a.</v>
      </c>
      <c r="C112" s="114" t="str">
        <f>Translations!$B$509</f>
        <v>Calcined or not</v>
      </c>
      <c r="D112" s="377" t="str">
        <f t="shared" si="26"/>
        <v>n.a.</v>
      </c>
      <c r="E112" s="377" t="str">
        <f t="shared" si="26"/>
        <v>n.a.</v>
      </c>
      <c r="F112" s="377" t="str">
        <f t="shared" si="26"/>
        <v>n.a.</v>
      </c>
      <c r="G112" s="377" t="str">
        <f t="shared" si="26"/>
        <v>n.a.</v>
      </c>
      <c r="H112" s="377" t="str">
        <f t="shared" si="29"/>
        <v>n.a.</v>
      </c>
      <c r="I112" s="377" t="str">
        <f t="shared" si="29"/>
        <v>n.a.</v>
      </c>
      <c r="J112" s="1150"/>
      <c r="K112" s="114" t="b">
        <f t="shared" si="30"/>
        <v>0</v>
      </c>
      <c r="L112" s="114" t="b">
        <f t="shared" si="31"/>
        <v>0</v>
      </c>
      <c r="M112" s="114" t="b">
        <f t="shared" si="31"/>
        <v>0</v>
      </c>
      <c r="N112" s="114" t="b">
        <f t="shared" si="31"/>
        <v>0</v>
      </c>
      <c r="O112" s="114" t="b">
        <f t="shared" si="31"/>
        <v>0</v>
      </c>
      <c r="P112" s="114" t="b">
        <f t="shared" si="31"/>
        <v>0</v>
      </c>
      <c r="Q112" s="114" t="b">
        <f t="shared" si="31"/>
        <v>0</v>
      </c>
      <c r="R112" s="114" t="b">
        <f t="shared" si="31"/>
        <v>0</v>
      </c>
      <c r="S112" s="114" t="b">
        <f t="shared" si="31"/>
        <v>0</v>
      </c>
      <c r="T112" s="114" t="b">
        <f t="shared" si="31"/>
        <v>0</v>
      </c>
      <c r="U112" s="114" t="b">
        <f t="shared" si="31"/>
        <v>0</v>
      </c>
      <c r="V112" s="114" t="b">
        <f t="shared" si="32"/>
        <v>0</v>
      </c>
      <c r="W112" s="114" t="b">
        <f t="shared" si="32"/>
        <v>0</v>
      </c>
      <c r="X112" s="114" t="b">
        <f t="shared" si="32"/>
        <v>1</v>
      </c>
      <c r="Y112" s="114" t="b">
        <f t="shared" si="32"/>
        <v>0</v>
      </c>
      <c r="Z112" s="114" t="b">
        <f t="shared" si="32"/>
        <v>0</v>
      </c>
      <c r="AA112" s="114" t="b">
        <f t="shared" si="32"/>
        <v>0</v>
      </c>
      <c r="AB112" s="114" t="b">
        <f t="shared" si="32"/>
        <v>0</v>
      </c>
      <c r="AC112" s="114" t="b">
        <f t="shared" si="32"/>
        <v>0</v>
      </c>
      <c r="AD112" s="114" t="b">
        <f t="shared" si="32"/>
        <v>0</v>
      </c>
      <c r="AE112" s="114" t="b">
        <f t="shared" si="32"/>
        <v>0</v>
      </c>
      <c r="AF112" s="114" t="b">
        <f t="shared" si="32"/>
        <v>0</v>
      </c>
    </row>
    <row r="113" spans="1:32" s="110" customFormat="1" x14ac:dyDescent="0.25">
      <c r="A113" s="114" t="str">
        <f t="shared" si="25"/>
        <v>Aluminous cement</v>
      </c>
      <c r="B113" s="377" t="str">
        <f t="shared" ref="B113:G113" si="33">CONST_NA</f>
        <v>n.a.</v>
      </c>
      <c r="C113" s="377" t="str">
        <f t="shared" si="33"/>
        <v>n.a.</v>
      </c>
      <c r="D113" s="377" t="str">
        <f t="shared" si="33"/>
        <v>n.a.</v>
      </c>
      <c r="E113" s="377" t="str">
        <f t="shared" si="33"/>
        <v>n.a.</v>
      </c>
      <c r="F113" s="377" t="str">
        <f t="shared" si="33"/>
        <v>n.a.</v>
      </c>
      <c r="G113" s="377" t="str">
        <f t="shared" si="33"/>
        <v>n.a.</v>
      </c>
      <c r="H113" s="377" t="str">
        <f t="shared" si="29"/>
        <v>n.a.</v>
      </c>
      <c r="I113" s="377" t="str">
        <f t="shared" si="29"/>
        <v>n.a.</v>
      </c>
      <c r="J113" s="1150"/>
      <c r="K113" s="114" t="b">
        <f t="shared" si="30"/>
        <v>0</v>
      </c>
      <c r="L113" s="114" t="b">
        <f t="shared" si="31"/>
        <v>0</v>
      </c>
      <c r="M113" s="114" t="b">
        <f t="shared" si="31"/>
        <v>0</v>
      </c>
      <c r="N113" s="114" t="b">
        <f t="shared" si="31"/>
        <v>0</v>
      </c>
      <c r="O113" s="114" t="b">
        <f t="shared" si="31"/>
        <v>0</v>
      </c>
      <c r="P113" s="114" t="b">
        <f t="shared" si="31"/>
        <v>0</v>
      </c>
      <c r="Q113" s="114" t="b">
        <f t="shared" si="31"/>
        <v>0</v>
      </c>
      <c r="R113" s="114" t="b">
        <f t="shared" si="31"/>
        <v>0</v>
      </c>
      <c r="S113" s="114" t="b">
        <f t="shared" si="31"/>
        <v>0</v>
      </c>
      <c r="T113" s="114" t="b">
        <f t="shared" si="31"/>
        <v>0</v>
      </c>
      <c r="U113" s="114" t="b">
        <f t="shared" si="31"/>
        <v>0</v>
      </c>
      <c r="V113" s="114" t="b">
        <f t="shared" si="32"/>
        <v>0</v>
      </c>
      <c r="W113" s="114" t="b">
        <f t="shared" si="32"/>
        <v>0</v>
      </c>
      <c r="X113" s="114" t="b">
        <f t="shared" si="32"/>
        <v>0</v>
      </c>
      <c r="Y113" s="114" t="b">
        <f t="shared" si="32"/>
        <v>0</v>
      </c>
      <c r="Z113" s="114" t="b">
        <f t="shared" si="32"/>
        <v>0</v>
      </c>
      <c r="AA113" s="114" t="b">
        <f t="shared" si="32"/>
        <v>0</v>
      </c>
      <c r="AB113" s="114" t="b">
        <f t="shared" si="32"/>
        <v>0</v>
      </c>
      <c r="AC113" s="114" t="b">
        <f t="shared" si="32"/>
        <v>0</v>
      </c>
      <c r="AD113" s="114" t="b">
        <f t="shared" si="32"/>
        <v>0</v>
      </c>
      <c r="AE113" s="114" t="b">
        <f t="shared" si="32"/>
        <v>0</v>
      </c>
      <c r="AF113" s="114" t="b">
        <f t="shared" si="32"/>
        <v>0</v>
      </c>
    </row>
    <row r="114" spans="1:32" s="110" customFormat="1" x14ac:dyDescent="0.25">
      <c r="A114" s="114" t="str">
        <f t="shared" si="25"/>
        <v>Iron or steel products</v>
      </c>
      <c r="B114" s="114" t="str">
        <f>Translations!$B$483</f>
        <v>The main reducing agent of the precursor, if known</v>
      </c>
      <c r="C114" s="114" t="str">
        <f>Translations!$B$485</f>
        <v>Steel mill identification number</v>
      </c>
      <c r="D114" s="114" t="str">
        <f>Translations!$B$487</f>
        <v>% Mn</v>
      </c>
      <c r="E114" s="114" t="str">
        <f>Translations!$B$489</f>
        <v>% Cr</v>
      </c>
      <c r="F114" s="114" t="str">
        <f>Translations!$B$491</f>
        <v>% Ni</v>
      </c>
      <c r="G114" s="114" t="str">
        <f>Translations!$B$493</f>
        <v>% other alloys</v>
      </c>
      <c r="H114" s="114" t="str">
        <f>Translations!$B$499</f>
        <v>% other materials</v>
      </c>
      <c r="I114" s="377" t="str">
        <f t="shared" ref="I114:I124" si="34">CONST_NA</f>
        <v>n.a.</v>
      </c>
      <c r="J114" s="1150"/>
      <c r="K114" s="114" t="b">
        <f t="shared" si="30"/>
        <v>1</v>
      </c>
      <c r="L114" s="114" t="b">
        <f t="shared" si="31"/>
        <v>1</v>
      </c>
      <c r="M114" s="114" t="b">
        <f t="shared" si="31"/>
        <v>1</v>
      </c>
      <c r="N114" s="114" t="b">
        <f t="shared" si="31"/>
        <v>1</v>
      </c>
      <c r="O114" s="114" t="b">
        <f t="shared" si="31"/>
        <v>1</v>
      </c>
      <c r="P114" s="114" t="b">
        <f t="shared" si="31"/>
        <v>1</v>
      </c>
      <c r="Q114" s="114" t="b">
        <f t="shared" si="31"/>
        <v>0</v>
      </c>
      <c r="R114" s="114" t="b">
        <f t="shared" si="31"/>
        <v>0</v>
      </c>
      <c r="S114" s="114" t="b">
        <f t="shared" si="31"/>
        <v>0</v>
      </c>
      <c r="T114" s="114" t="b">
        <f t="shared" si="31"/>
        <v>1</v>
      </c>
      <c r="U114" s="114" t="b">
        <f t="shared" si="31"/>
        <v>0</v>
      </c>
      <c r="V114" s="114" t="b">
        <f t="shared" si="32"/>
        <v>0</v>
      </c>
      <c r="W114" s="114" t="b">
        <f t="shared" si="32"/>
        <v>0</v>
      </c>
      <c r="X114" s="114" t="b">
        <f t="shared" si="32"/>
        <v>0</v>
      </c>
      <c r="Y114" s="114" t="b">
        <f t="shared" si="32"/>
        <v>0</v>
      </c>
      <c r="Z114" s="114" t="b">
        <f t="shared" si="32"/>
        <v>0</v>
      </c>
      <c r="AA114" s="114" t="b">
        <f t="shared" si="32"/>
        <v>0</v>
      </c>
      <c r="AB114" s="114" t="b">
        <f t="shared" si="32"/>
        <v>0</v>
      </c>
      <c r="AC114" s="114" t="b">
        <f t="shared" si="32"/>
        <v>0</v>
      </c>
      <c r="AD114" s="114" t="b">
        <f t="shared" si="32"/>
        <v>0</v>
      </c>
      <c r="AE114" s="114" t="b">
        <f t="shared" si="32"/>
        <v>0</v>
      </c>
      <c r="AF114" s="114" t="b">
        <f t="shared" si="32"/>
        <v>0</v>
      </c>
    </row>
    <row r="115" spans="1:32" s="110" customFormat="1" x14ac:dyDescent="0.25">
      <c r="A115" s="114" t="str">
        <f t="shared" si="25"/>
        <v>Crude steel</v>
      </c>
      <c r="B115" s="114" t="str">
        <f>Translations!$B$483</f>
        <v>The main reducing agent of the precursor, if known</v>
      </c>
      <c r="C115" s="114" t="str">
        <f>Translations!$B$487</f>
        <v>% Mn</v>
      </c>
      <c r="D115" s="114" t="str">
        <f>Translations!$B$489</f>
        <v>% Cr</v>
      </c>
      <c r="E115" s="114" t="str">
        <f>Translations!$B$491</f>
        <v>% Ni</v>
      </c>
      <c r="F115" s="114" t="str">
        <f>Translations!$B$493</f>
        <v>% other alloys</v>
      </c>
      <c r="G115" s="114" t="str">
        <f>Translations!$B$497</f>
        <v>t scrap per t steel</v>
      </c>
      <c r="H115" s="377" t="str">
        <f>Translations!$B$503</f>
        <v>% pre-consumer scrap</v>
      </c>
      <c r="I115" s="377" t="str">
        <f t="shared" si="34"/>
        <v>n.a.</v>
      </c>
      <c r="J115" s="1150"/>
      <c r="K115" s="114" t="b">
        <f t="shared" si="30"/>
        <v>1</v>
      </c>
      <c r="L115" s="114" t="b">
        <f t="shared" si="31"/>
        <v>0</v>
      </c>
      <c r="M115" s="114" t="b">
        <f t="shared" si="31"/>
        <v>1</v>
      </c>
      <c r="N115" s="114" t="b">
        <f t="shared" si="31"/>
        <v>1</v>
      </c>
      <c r="O115" s="114" t="b">
        <f t="shared" si="31"/>
        <v>1</v>
      </c>
      <c r="P115" s="114" t="b">
        <f t="shared" si="31"/>
        <v>1</v>
      </c>
      <c r="Q115" s="114" t="b">
        <f t="shared" si="31"/>
        <v>0</v>
      </c>
      <c r="R115" s="114" t="b">
        <f t="shared" si="31"/>
        <v>1</v>
      </c>
      <c r="S115" s="114" t="b">
        <f t="shared" si="31"/>
        <v>1</v>
      </c>
      <c r="T115" s="114" t="b">
        <f t="shared" si="31"/>
        <v>0</v>
      </c>
      <c r="U115" s="114" t="b">
        <f t="shared" si="31"/>
        <v>0</v>
      </c>
      <c r="V115" s="114" t="b">
        <f t="shared" si="32"/>
        <v>0</v>
      </c>
      <c r="W115" s="114" t="b">
        <f t="shared" si="32"/>
        <v>0</v>
      </c>
      <c r="X115" s="114" t="b">
        <f t="shared" si="32"/>
        <v>0</v>
      </c>
      <c r="Y115" s="114" t="b">
        <f t="shared" si="32"/>
        <v>0</v>
      </c>
      <c r="Z115" s="114" t="b">
        <f t="shared" si="32"/>
        <v>0</v>
      </c>
      <c r="AA115" s="114" t="b">
        <f t="shared" si="32"/>
        <v>0</v>
      </c>
      <c r="AB115" s="114" t="b">
        <f t="shared" si="32"/>
        <v>0</v>
      </c>
      <c r="AC115" s="114" t="b">
        <f t="shared" si="32"/>
        <v>0</v>
      </c>
      <c r="AD115" s="114" t="b">
        <f t="shared" si="32"/>
        <v>0</v>
      </c>
      <c r="AE115" s="114" t="b">
        <f t="shared" si="32"/>
        <v>0</v>
      </c>
      <c r="AF115" s="114" t="b">
        <f t="shared" si="32"/>
        <v>0</v>
      </c>
    </row>
    <row r="116" spans="1:32" s="110" customFormat="1" x14ac:dyDescent="0.25">
      <c r="A116" s="114" t="str">
        <f t="shared" si="25"/>
        <v>Direct reduced iron</v>
      </c>
      <c r="B116" s="114" t="str">
        <f>Translations!$B$483</f>
        <v>The main reducing agent of the precursor, if known</v>
      </c>
      <c r="C116" s="114" t="str">
        <f>Translations!$B$487</f>
        <v>% Mn</v>
      </c>
      <c r="D116" s="114" t="str">
        <f>Translations!$B$489</f>
        <v>% Cr</v>
      </c>
      <c r="E116" s="114" t="str">
        <f>Translations!$B$491</f>
        <v>% Ni</v>
      </c>
      <c r="F116" s="114" t="str">
        <f>Translations!$B$493</f>
        <v>% other alloys</v>
      </c>
      <c r="G116" s="377" t="str">
        <f t="shared" ref="G116:H121" si="35">CONST_NA</f>
        <v>n.a.</v>
      </c>
      <c r="H116" s="377" t="str">
        <f t="shared" si="35"/>
        <v>n.a.</v>
      </c>
      <c r="I116" s="377" t="str">
        <f t="shared" si="34"/>
        <v>n.a.</v>
      </c>
      <c r="J116" s="1150"/>
      <c r="K116" s="114" t="b">
        <f t="shared" si="30"/>
        <v>1</v>
      </c>
      <c r="L116" s="114" t="b">
        <f t="shared" si="31"/>
        <v>0</v>
      </c>
      <c r="M116" s="114" t="b">
        <f t="shared" si="31"/>
        <v>1</v>
      </c>
      <c r="N116" s="114" t="b">
        <f t="shared" si="31"/>
        <v>1</v>
      </c>
      <c r="O116" s="114" t="b">
        <f t="shared" si="31"/>
        <v>1</v>
      </c>
      <c r="P116" s="114" t="b">
        <f t="shared" si="31"/>
        <v>1</v>
      </c>
      <c r="Q116" s="114" t="b">
        <f t="shared" si="31"/>
        <v>0</v>
      </c>
      <c r="R116" s="114" t="b">
        <f t="shared" si="31"/>
        <v>0</v>
      </c>
      <c r="S116" s="114" t="b">
        <f t="shared" si="31"/>
        <v>0</v>
      </c>
      <c r="T116" s="114" t="b">
        <f t="shared" si="31"/>
        <v>0</v>
      </c>
      <c r="U116" s="114" t="b">
        <f t="shared" si="31"/>
        <v>0</v>
      </c>
      <c r="V116" s="114" t="b">
        <f t="shared" si="32"/>
        <v>0</v>
      </c>
      <c r="W116" s="114" t="b">
        <f t="shared" si="32"/>
        <v>0</v>
      </c>
      <c r="X116" s="114" t="b">
        <f t="shared" si="32"/>
        <v>0</v>
      </c>
      <c r="Y116" s="114" t="b">
        <f t="shared" si="32"/>
        <v>0</v>
      </c>
      <c r="Z116" s="114" t="b">
        <f t="shared" si="32"/>
        <v>0</v>
      </c>
      <c r="AA116" s="114" t="b">
        <f t="shared" si="32"/>
        <v>0</v>
      </c>
      <c r="AB116" s="114" t="b">
        <f t="shared" si="32"/>
        <v>0</v>
      </c>
      <c r="AC116" s="114" t="b">
        <f t="shared" si="32"/>
        <v>0</v>
      </c>
      <c r="AD116" s="114" t="b">
        <f t="shared" si="32"/>
        <v>0</v>
      </c>
      <c r="AE116" s="114" t="b">
        <f t="shared" si="32"/>
        <v>0</v>
      </c>
      <c r="AF116" s="114" t="b">
        <f t="shared" si="32"/>
        <v>0</v>
      </c>
    </row>
    <row r="117" spans="1:32" s="110" customFormat="1" x14ac:dyDescent="0.25">
      <c r="A117" s="114" t="str">
        <f t="shared" si="25"/>
        <v>Pig iron</v>
      </c>
      <c r="B117" s="114" t="str">
        <f>Translations!$B$483</f>
        <v>The main reducing agent of the precursor, if known</v>
      </c>
      <c r="C117" s="114" t="str">
        <f>Translations!$B$487</f>
        <v>% Mn</v>
      </c>
      <c r="D117" s="114" t="str">
        <f>Translations!$B$489</f>
        <v>% Cr</v>
      </c>
      <c r="E117" s="114" t="str">
        <f>Translations!$B$491</f>
        <v>% Ni</v>
      </c>
      <c r="F117" s="114" t="str">
        <f>Translations!$B$493</f>
        <v>% other alloys</v>
      </c>
      <c r="G117" s="377" t="str">
        <f t="shared" si="35"/>
        <v>n.a.</v>
      </c>
      <c r="H117" s="377" t="str">
        <f t="shared" si="35"/>
        <v>n.a.</v>
      </c>
      <c r="I117" s="377" t="str">
        <f t="shared" si="34"/>
        <v>n.a.</v>
      </c>
      <c r="J117" s="1150"/>
      <c r="K117" s="114" t="b">
        <f t="shared" si="30"/>
        <v>1</v>
      </c>
      <c r="L117" s="114" t="b">
        <f t="shared" si="31"/>
        <v>0</v>
      </c>
      <c r="M117" s="114" t="b">
        <f t="shared" si="31"/>
        <v>1</v>
      </c>
      <c r="N117" s="114" t="b">
        <f t="shared" si="31"/>
        <v>1</v>
      </c>
      <c r="O117" s="114" t="b">
        <f t="shared" si="31"/>
        <v>1</v>
      </c>
      <c r="P117" s="114" t="b">
        <f t="shared" si="31"/>
        <v>1</v>
      </c>
      <c r="Q117" s="114" t="b">
        <f t="shared" si="31"/>
        <v>0</v>
      </c>
      <c r="R117" s="114" t="b">
        <f t="shared" si="31"/>
        <v>0</v>
      </c>
      <c r="S117" s="114" t="b">
        <f t="shared" si="31"/>
        <v>0</v>
      </c>
      <c r="T117" s="114" t="b">
        <f t="shared" si="31"/>
        <v>0</v>
      </c>
      <c r="U117" s="114" t="b">
        <f t="shared" si="31"/>
        <v>0</v>
      </c>
      <c r="V117" s="114" t="b">
        <f t="shared" si="32"/>
        <v>0</v>
      </c>
      <c r="W117" s="114" t="b">
        <f t="shared" si="32"/>
        <v>0</v>
      </c>
      <c r="X117" s="114" t="b">
        <f t="shared" si="32"/>
        <v>0</v>
      </c>
      <c r="Y117" s="114" t="b">
        <f t="shared" si="32"/>
        <v>0</v>
      </c>
      <c r="Z117" s="114" t="b">
        <f t="shared" si="32"/>
        <v>0</v>
      </c>
      <c r="AA117" s="114" t="b">
        <f t="shared" si="32"/>
        <v>0</v>
      </c>
      <c r="AB117" s="114" t="b">
        <f t="shared" si="32"/>
        <v>0</v>
      </c>
      <c r="AC117" s="114" t="b">
        <f t="shared" si="32"/>
        <v>0</v>
      </c>
      <c r="AD117" s="114" t="b">
        <f t="shared" si="32"/>
        <v>0</v>
      </c>
      <c r="AE117" s="114" t="b">
        <f t="shared" si="32"/>
        <v>0</v>
      </c>
      <c r="AF117" s="114" t="b">
        <f t="shared" si="32"/>
        <v>0</v>
      </c>
    </row>
    <row r="118" spans="1:32" s="110" customFormat="1" x14ac:dyDescent="0.25">
      <c r="A118" s="114" t="str">
        <f t="shared" si="25"/>
        <v>Alloys (FeMn, FeCr, FeNi)</v>
      </c>
      <c r="B118" s="377" t="str">
        <f t="shared" ref="B118:B126" si="36">CONST_NA</f>
        <v>n.a.</v>
      </c>
      <c r="C118" s="114" t="str">
        <f>Translations!$B$487</f>
        <v>% Mn</v>
      </c>
      <c r="D118" s="114" t="str">
        <f>Translations!$B$489</f>
        <v>% Cr</v>
      </c>
      <c r="E118" s="114" t="str">
        <f>Translations!$B$491</f>
        <v>% Ni</v>
      </c>
      <c r="F118" s="377" t="str">
        <f>Translations!$B$495</f>
        <v>% carbon</v>
      </c>
      <c r="G118" s="377" t="str">
        <f t="shared" si="35"/>
        <v>n.a.</v>
      </c>
      <c r="H118" s="377" t="str">
        <f t="shared" si="35"/>
        <v>n.a.</v>
      </c>
      <c r="I118" s="377" t="str">
        <f t="shared" si="34"/>
        <v>n.a.</v>
      </c>
      <c r="J118" s="1150"/>
      <c r="K118" s="114" t="b">
        <f t="shared" si="30"/>
        <v>0</v>
      </c>
      <c r="L118" s="114" t="b">
        <f t="shared" si="31"/>
        <v>0</v>
      </c>
      <c r="M118" s="114" t="b">
        <f t="shared" si="31"/>
        <v>1</v>
      </c>
      <c r="N118" s="114" t="b">
        <f t="shared" si="31"/>
        <v>1</v>
      </c>
      <c r="O118" s="114" t="b">
        <f t="shared" si="31"/>
        <v>1</v>
      </c>
      <c r="P118" s="114" t="b">
        <f t="shared" si="31"/>
        <v>0</v>
      </c>
      <c r="Q118" s="114" t="b">
        <f t="shared" si="31"/>
        <v>1</v>
      </c>
      <c r="R118" s="114" t="b">
        <f t="shared" si="31"/>
        <v>0</v>
      </c>
      <c r="S118" s="114" t="b">
        <f t="shared" si="31"/>
        <v>0</v>
      </c>
      <c r="T118" s="114" t="b">
        <f t="shared" si="31"/>
        <v>0</v>
      </c>
      <c r="U118" s="114" t="b">
        <f t="shared" si="31"/>
        <v>0</v>
      </c>
      <c r="V118" s="114" t="b">
        <f t="shared" si="32"/>
        <v>0</v>
      </c>
      <c r="W118" s="114" t="b">
        <f t="shared" si="32"/>
        <v>0</v>
      </c>
      <c r="X118" s="114" t="b">
        <f t="shared" si="32"/>
        <v>0</v>
      </c>
      <c r="Y118" s="114" t="b">
        <f t="shared" si="32"/>
        <v>0</v>
      </c>
      <c r="Z118" s="114" t="b">
        <f t="shared" si="32"/>
        <v>0</v>
      </c>
      <c r="AA118" s="114" t="b">
        <f t="shared" si="32"/>
        <v>0</v>
      </c>
      <c r="AB118" s="114" t="b">
        <f t="shared" si="32"/>
        <v>0</v>
      </c>
      <c r="AC118" s="114" t="b">
        <f t="shared" si="32"/>
        <v>0</v>
      </c>
      <c r="AD118" s="114" t="b">
        <f t="shared" si="32"/>
        <v>0</v>
      </c>
      <c r="AE118" s="114" t="b">
        <f t="shared" si="32"/>
        <v>0</v>
      </c>
      <c r="AF118" s="114" t="b">
        <f t="shared" si="32"/>
        <v>0</v>
      </c>
    </row>
    <row r="119" spans="1:32" s="110" customFormat="1" x14ac:dyDescent="0.25">
      <c r="A119" s="114" t="str">
        <f t="shared" si="25"/>
        <v>Sintered Ore</v>
      </c>
      <c r="B119" s="377" t="str">
        <f t="shared" si="36"/>
        <v>n.a.</v>
      </c>
      <c r="C119" s="377" t="str">
        <f t="shared" ref="C119:F120" si="37">CONST_NA</f>
        <v>n.a.</v>
      </c>
      <c r="D119" s="377" t="str">
        <f t="shared" si="37"/>
        <v>n.a.</v>
      </c>
      <c r="E119" s="377" t="str">
        <f t="shared" si="37"/>
        <v>n.a.</v>
      </c>
      <c r="F119" s="377" t="str">
        <f t="shared" si="37"/>
        <v>n.a.</v>
      </c>
      <c r="G119" s="377" t="str">
        <f t="shared" si="35"/>
        <v>n.a.</v>
      </c>
      <c r="H119" s="377" t="str">
        <f t="shared" si="35"/>
        <v>n.a.</v>
      </c>
      <c r="I119" s="377" t="str">
        <f t="shared" si="34"/>
        <v>n.a.</v>
      </c>
      <c r="J119" s="1150"/>
      <c r="K119" s="114" t="b">
        <f t="shared" si="30"/>
        <v>0</v>
      </c>
      <c r="L119" s="114" t="b">
        <f t="shared" si="31"/>
        <v>0</v>
      </c>
      <c r="M119" s="114" t="b">
        <f t="shared" si="31"/>
        <v>0</v>
      </c>
      <c r="N119" s="114" t="b">
        <f t="shared" si="31"/>
        <v>0</v>
      </c>
      <c r="O119" s="114" t="b">
        <f t="shared" si="31"/>
        <v>0</v>
      </c>
      <c r="P119" s="114" t="b">
        <f t="shared" si="31"/>
        <v>0</v>
      </c>
      <c r="Q119" s="114" t="b">
        <f t="shared" si="31"/>
        <v>0</v>
      </c>
      <c r="R119" s="114" t="b">
        <f t="shared" si="31"/>
        <v>0</v>
      </c>
      <c r="S119" s="114" t="b">
        <f t="shared" si="31"/>
        <v>0</v>
      </c>
      <c r="T119" s="114" t="b">
        <f t="shared" si="31"/>
        <v>0</v>
      </c>
      <c r="U119" s="114" t="b">
        <f t="shared" si="31"/>
        <v>0</v>
      </c>
      <c r="V119" s="114" t="b">
        <f t="shared" si="32"/>
        <v>0</v>
      </c>
      <c r="W119" s="114" t="b">
        <f t="shared" si="32"/>
        <v>0</v>
      </c>
      <c r="X119" s="114" t="b">
        <f t="shared" si="32"/>
        <v>0</v>
      </c>
      <c r="Y119" s="114" t="b">
        <f t="shared" si="32"/>
        <v>0</v>
      </c>
      <c r="Z119" s="114" t="b">
        <f t="shared" si="32"/>
        <v>0</v>
      </c>
      <c r="AA119" s="114" t="b">
        <f t="shared" si="32"/>
        <v>0</v>
      </c>
      <c r="AB119" s="114" t="b">
        <f t="shared" si="32"/>
        <v>0</v>
      </c>
      <c r="AC119" s="114" t="b">
        <f t="shared" si="32"/>
        <v>0</v>
      </c>
      <c r="AD119" s="114" t="b">
        <f t="shared" si="32"/>
        <v>0</v>
      </c>
      <c r="AE119" s="114" t="b">
        <f t="shared" si="32"/>
        <v>0</v>
      </c>
      <c r="AF119" s="114" t="b">
        <f t="shared" si="32"/>
        <v>0</v>
      </c>
    </row>
    <row r="120" spans="1:32" s="110" customFormat="1" x14ac:dyDescent="0.25">
      <c r="A120" s="114" t="str">
        <f t="shared" si="25"/>
        <v>Hydrogen</v>
      </c>
      <c r="B120" s="377" t="str">
        <f t="shared" si="36"/>
        <v>n.a.</v>
      </c>
      <c r="C120" s="377" t="str">
        <f t="shared" si="37"/>
        <v>n.a.</v>
      </c>
      <c r="D120" s="377" t="str">
        <f t="shared" si="37"/>
        <v>n.a.</v>
      </c>
      <c r="E120" s="377" t="str">
        <f t="shared" si="37"/>
        <v>n.a.</v>
      </c>
      <c r="F120" s="377" t="str">
        <f t="shared" si="37"/>
        <v>n.a.</v>
      </c>
      <c r="G120" s="377" t="str">
        <f t="shared" si="35"/>
        <v>n.a.</v>
      </c>
      <c r="H120" s="377" t="str">
        <f t="shared" si="35"/>
        <v>n.a.</v>
      </c>
      <c r="I120" s="377" t="str">
        <f t="shared" si="34"/>
        <v>n.a.</v>
      </c>
      <c r="J120" s="1150"/>
      <c r="K120" s="114" t="b">
        <f t="shared" si="30"/>
        <v>0</v>
      </c>
      <c r="L120" s="114" t="b">
        <f t="shared" si="31"/>
        <v>0</v>
      </c>
      <c r="M120" s="114" t="b">
        <f t="shared" si="31"/>
        <v>0</v>
      </c>
      <c r="N120" s="114" t="b">
        <f t="shared" si="31"/>
        <v>0</v>
      </c>
      <c r="O120" s="114" t="b">
        <f t="shared" si="31"/>
        <v>0</v>
      </c>
      <c r="P120" s="114" t="b">
        <f t="shared" si="31"/>
        <v>0</v>
      </c>
      <c r="Q120" s="114" t="b">
        <f t="shared" si="31"/>
        <v>0</v>
      </c>
      <c r="R120" s="114" t="b">
        <f t="shared" si="31"/>
        <v>0</v>
      </c>
      <c r="S120" s="114" t="b">
        <f t="shared" si="31"/>
        <v>0</v>
      </c>
      <c r="T120" s="114" t="b">
        <f t="shared" si="31"/>
        <v>0</v>
      </c>
      <c r="U120" s="114" t="b">
        <f t="shared" si="31"/>
        <v>0</v>
      </c>
      <c r="V120" s="114" t="b">
        <f t="shared" si="32"/>
        <v>0</v>
      </c>
      <c r="W120" s="114" t="b">
        <f t="shared" si="32"/>
        <v>0</v>
      </c>
      <c r="X120" s="114" t="b">
        <f t="shared" si="32"/>
        <v>0</v>
      </c>
      <c r="Y120" s="114" t="b">
        <f t="shared" si="32"/>
        <v>0</v>
      </c>
      <c r="Z120" s="114" t="b">
        <f t="shared" si="32"/>
        <v>0</v>
      </c>
      <c r="AA120" s="114" t="b">
        <f t="shared" si="32"/>
        <v>0</v>
      </c>
      <c r="AB120" s="114" t="b">
        <f t="shared" si="32"/>
        <v>0</v>
      </c>
      <c r="AC120" s="114" t="b">
        <f t="shared" si="32"/>
        <v>0</v>
      </c>
      <c r="AD120" s="114" t="b">
        <f t="shared" si="32"/>
        <v>0</v>
      </c>
      <c r="AE120" s="114" t="b">
        <f t="shared" si="32"/>
        <v>0</v>
      </c>
      <c r="AF120" s="114" t="b">
        <f t="shared" si="32"/>
        <v>0</v>
      </c>
    </row>
    <row r="121" spans="1:32" s="110" customFormat="1" x14ac:dyDescent="0.25">
      <c r="A121" s="114" t="str">
        <f t="shared" si="25"/>
        <v>Ammonia</v>
      </c>
      <c r="B121" s="377" t="str">
        <f t="shared" si="36"/>
        <v>n.a.</v>
      </c>
      <c r="C121" s="114" t="str">
        <f>Translations!$B$511</f>
        <v>Concentration, if hydrous solution</v>
      </c>
      <c r="D121" s="377" t="str">
        <f>CONST_NA</f>
        <v>n.a.</v>
      </c>
      <c r="E121" s="377" t="str">
        <f>CONST_NA</f>
        <v>n.a.</v>
      </c>
      <c r="F121" s="377" t="str">
        <f>CONST_NA</f>
        <v>n.a.</v>
      </c>
      <c r="G121" s="377" t="str">
        <f t="shared" si="35"/>
        <v>n.a.</v>
      </c>
      <c r="H121" s="377" t="str">
        <f t="shared" si="35"/>
        <v>n.a.</v>
      </c>
      <c r="I121" s="377" t="str">
        <f t="shared" si="34"/>
        <v>n.a.</v>
      </c>
      <c r="J121" s="1150"/>
      <c r="K121" s="114" t="b">
        <f t="shared" si="30"/>
        <v>0</v>
      </c>
      <c r="L121" s="114" t="b">
        <f t="shared" ref="L121:U127" si="38">COUNTIF($B121:$I121,L$109)&gt;0</f>
        <v>0</v>
      </c>
      <c r="M121" s="114" t="b">
        <f t="shared" si="38"/>
        <v>0</v>
      </c>
      <c r="N121" s="114" t="b">
        <f t="shared" si="38"/>
        <v>0</v>
      </c>
      <c r="O121" s="114" t="b">
        <f t="shared" si="38"/>
        <v>0</v>
      </c>
      <c r="P121" s="114" t="b">
        <f t="shared" si="38"/>
        <v>0</v>
      </c>
      <c r="Q121" s="114" t="b">
        <f t="shared" si="38"/>
        <v>0</v>
      </c>
      <c r="R121" s="114" t="b">
        <f t="shared" si="38"/>
        <v>0</v>
      </c>
      <c r="S121" s="114" t="b">
        <f t="shared" si="38"/>
        <v>0</v>
      </c>
      <c r="T121" s="114" t="b">
        <f t="shared" si="38"/>
        <v>0</v>
      </c>
      <c r="U121" s="114" t="b">
        <f t="shared" si="38"/>
        <v>0</v>
      </c>
      <c r="V121" s="114" t="b">
        <f t="shared" ref="V121:AF127" si="39">COUNTIF($B121:$I121,V$109)&gt;0</f>
        <v>0</v>
      </c>
      <c r="W121" s="114" t="b">
        <f t="shared" si="39"/>
        <v>0</v>
      </c>
      <c r="X121" s="114" t="b">
        <f t="shared" si="39"/>
        <v>0</v>
      </c>
      <c r="Y121" s="114" t="b">
        <f t="shared" si="39"/>
        <v>1</v>
      </c>
      <c r="Z121" s="114" t="b">
        <f t="shared" si="39"/>
        <v>0</v>
      </c>
      <c r="AA121" s="114" t="b">
        <f t="shared" si="39"/>
        <v>0</v>
      </c>
      <c r="AB121" s="114" t="b">
        <f t="shared" si="39"/>
        <v>0</v>
      </c>
      <c r="AC121" s="114" t="b">
        <f t="shared" si="39"/>
        <v>0</v>
      </c>
      <c r="AD121" s="114" t="b">
        <f t="shared" si="39"/>
        <v>0</v>
      </c>
      <c r="AE121" s="114" t="b">
        <f t="shared" si="39"/>
        <v>0</v>
      </c>
      <c r="AF121" s="114" t="b">
        <f t="shared" si="39"/>
        <v>0</v>
      </c>
    </row>
    <row r="122" spans="1:32" s="110" customFormat="1" x14ac:dyDescent="0.25">
      <c r="A122" s="114" t="str">
        <f t="shared" si="25"/>
        <v>Nitric acid</v>
      </c>
      <c r="B122" s="377" t="str">
        <f t="shared" si="36"/>
        <v>n.a.</v>
      </c>
      <c r="C122" s="114" t="str">
        <f>Translations!$B$513</f>
        <v>% nitric acid</v>
      </c>
      <c r="D122" s="377" t="str">
        <f t="shared" ref="D122:G123" si="40">CONST_NA</f>
        <v>n.a.</v>
      </c>
      <c r="E122" s="377" t="str">
        <f t="shared" si="40"/>
        <v>n.a.</v>
      </c>
      <c r="F122" s="377" t="str">
        <f t="shared" si="40"/>
        <v>n.a.</v>
      </c>
      <c r="G122" s="377" t="str">
        <f t="shared" si="40"/>
        <v>n.a.</v>
      </c>
      <c r="H122" s="377" t="str">
        <f>CONST_NA</f>
        <v>n.a.</v>
      </c>
      <c r="I122" s="377" t="str">
        <f t="shared" si="34"/>
        <v>n.a.</v>
      </c>
      <c r="J122" s="1150"/>
      <c r="K122" s="114" t="b">
        <f t="shared" si="30"/>
        <v>0</v>
      </c>
      <c r="L122" s="114" t="b">
        <f t="shared" si="38"/>
        <v>0</v>
      </c>
      <c r="M122" s="114" t="b">
        <f t="shared" si="38"/>
        <v>0</v>
      </c>
      <c r="N122" s="114" t="b">
        <f t="shared" si="38"/>
        <v>0</v>
      </c>
      <c r="O122" s="114" t="b">
        <f t="shared" si="38"/>
        <v>0</v>
      </c>
      <c r="P122" s="114" t="b">
        <f t="shared" si="38"/>
        <v>0</v>
      </c>
      <c r="Q122" s="114" t="b">
        <f t="shared" si="38"/>
        <v>0</v>
      </c>
      <c r="R122" s="114" t="b">
        <f t="shared" si="38"/>
        <v>0</v>
      </c>
      <c r="S122" s="114" t="b">
        <f t="shared" si="38"/>
        <v>0</v>
      </c>
      <c r="T122" s="114" t="b">
        <f t="shared" si="38"/>
        <v>0</v>
      </c>
      <c r="U122" s="114" t="b">
        <f t="shared" si="38"/>
        <v>0</v>
      </c>
      <c r="V122" s="114" t="b">
        <f t="shared" si="39"/>
        <v>0</v>
      </c>
      <c r="W122" s="114" t="b">
        <f t="shared" si="39"/>
        <v>0</v>
      </c>
      <c r="X122" s="114" t="b">
        <f t="shared" si="39"/>
        <v>0</v>
      </c>
      <c r="Y122" s="114" t="b">
        <f t="shared" si="39"/>
        <v>0</v>
      </c>
      <c r="Z122" s="114" t="b">
        <f t="shared" si="39"/>
        <v>1</v>
      </c>
      <c r="AA122" s="114" t="b">
        <f t="shared" si="39"/>
        <v>0</v>
      </c>
      <c r="AB122" s="114" t="b">
        <f t="shared" si="39"/>
        <v>0</v>
      </c>
      <c r="AC122" s="114" t="b">
        <f t="shared" si="39"/>
        <v>0</v>
      </c>
      <c r="AD122" s="114" t="b">
        <f t="shared" si="39"/>
        <v>0</v>
      </c>
      <c r="AE122" s="114" t="b">
        <f t="shared" si="39"/>
        <v>0</v>
      </c>
      <c r="AF122" s="114" t="b">
        <f t="shared" si="39"/>
        <v>0</v>
      </c>
    </row>
    <row r="123" spans="1:32" s="110" customFormat="1" x14ac:dyDescent="0.25">
      <c r="A123" s="114" t="str">
        <f t="shared" si="25"/>
        <v>Urea</v>
      </c>
      <c r="B123" s="377" t="str">
        <f t="shared" si="36"/>
        <v>n.a.</v>
      </c>
      <c r="C123" s="114" t="str">
        <f>Translations!$B$515</f>
        <v>% urea</v>
      </c>
      <c r="D123" s="114" t="str">
        <f>Translations!$B$517</f>
        <v>% N contained</v>
      </c>
      <c r="E123" s="377" t="str">
        <f t="shared" si="40"/>
        <v>n.a.</v>
      </c>
      <c r="F123" s="377" t="str">
        <f t="shared" si="40"/>
        <v>n.a.</v>
      </c>
      <c r="G123" s="377" t="str">
        <f t="shared" si="40"/>
        <v>n.a.</v>
      </c>
      <c r="H123" s="377" t="str">
        <f>CONST_NA</f>
        <v>n.a.</v>
      </c>
      <c r="I123" s="377" t="str">
        <f t="shared" si="34"/>
        <v>n.a.</v>
      </c>
      <c r="J123" s="1150"/>
      <c r="K123" s="114" t="b">
        <f t="shared" si="30"/>
        <v>0</v>
      </c>
      <c r="L123" s="114" t="b">
        <f t="shared" si="38"/>
        <v>0</v>
      </c>
      <c r="M123" s="114" t="b">
        <f t="shared" si="38"/>
        <v>0</v>
      </c>
      <c r="N123" s="114" t="b">
        <f t="shared" si="38"/>
        <v>0</v>
      </c>
      <c r="O123" s="114" t="b">
        <f t="shared" si="38"/>
        <v>0</v>
      </c>
      <c r="P123" s="114" t="b">
        <f t="shared" si="38"/>
        <v>0</v>
      </c>
      <c r="Q123" s="114" t="b">
        <f t="shared" si="38"/>
        <v>0</v>
      </c>
      <c r="R123" s="114" t="b">
        <f t="shared" si="38"/>
        <v>0</v>
      </c>
      <c r="S123" s="114" t="b">
        <f t="shared" si="38"/>
        <v>0</v>
      </c>
      <c r="T123" s="114" t="b">
        <f t="shared" si="38"/>
        <v>0</v>
      </c>
      <c r="U123" s="114" t="b">
        <f t="shared" si="38"/>
        <v>0</v>
      </c>
      <c r="V123" s="114" t="b">
        <f t="shared" si="39"/>
        <v>0</v>
      </c>
      <c r="W123" s="114" t="b">
        <f t="shared" si="39"/>
        <v>0</v>
      </c>
      <c r="X123" s="114" t="b">
        <f t="shared" si="39"/>
        <v>0</v>
      </c>
      <c r="Y123" s="114" t="b">
        <f t="shared" si="39"/>
        <v>0</v>
      </c>
      <c r="Z123" s="114" t="b">
        <f t="shared" si="39"/>
        <v>0</v>
      </c>
      <c r="AA123" s="114" t="b">
        <f t="shared" si="39"/>
        <v>1</v>
      </c>
      <c r="AB123" s="114" t="b">
        <f t="shared" si="39"/>
        <v>1</v>
      </c>
      <c r="AC123" s="114" t="b">
        <f t="shared" si="39"/>
        <v>0</v>
      </c>
      <c r="AD123" s="114" t="b">
        <f t="shared" si="39"/>
        <v>0</v>
      </c>
      <c r="AE123" s="114" t="b">
        <f t="shared" si="39"/>
        <v>0</v>
      </c>
      <c r="AF123" s="114" t="b">
        <f t="shared" si="39"/>
        <v>0</v>
      </c>
    </row>
    <row r="124" spans="1:32" s="110" customFormat="1" x14ac:dyDescent="0.25">
      <c r="A124" s="114" t="str">
        <f t="shared" si="25"/>
        <v>Mixed fertilisers</v>
      </c>
      <c r="B124" s="377" t="str">
        <f t="shared" si="36"/>
        <v>n.a.</v>
      </c>
      <c r="C124" s="114" t="str">
        <f>Translations!$B$519</f>
        <v>% N as ammonium (NH4+)</v>
      </c>
      <c r="D124" s="114" t="str">
        <f>Translations!$B$521</f>
        <v>% N as nitrate (NO3–)</v>
      </c>
      <c r="E124" s="114" t="str">
        <f>Translations!$B$523</f>
        <v>% N as Urea</v>
      </c>
      <c r="F124" s="114" t="str">
        <f>Translations!$B$525</f>
        <v>% N in other (organic) forms</v>
      </c>
      <c r="G124" s="377" t="str">
        <f>CONST_NA</f>
        <v>n.a.</v>
      </c>
      <c r="H124" s="377" t="str">
        <f>CONST_NA</f>
        <v>n.a.</v>
      </c>
      <c r="I124" s="377" t="str">
        <f t="shared" si="34"/>
        <v>n.a.</v>
      </c>
      <c r="J124" s="1150"/>
      <c r="K124" s="114" t="b">
        <f t="shared" si="30"/>
        <v>0</v>
      </c>
      <c r="L124" s="114" t="b">
        <f t="shared" si="38"/>
        <v>0</v>
      </c>
      <c r="M124" s="114" t="b">
        <f t="shared" si="38"/>
        <v>0</v>
      </c>
      <c r="N124" s="114" t="b">
        <f t="shared" si="38"/>
        <v>0</v>
      </c>
      <c r="O124" s="114" t="b">
        <f t="shared" si="38"/>
        <v>0</v>
      </c>
      <c r="P124" s="114" t="b">
        <f t="shared" si="38"/>
        <v>0</v>
      </c>
      <c r="Q124" s="114" t="b">
        <f t="shared" si="38"/>
        <v>0</v>
      </c>
      <c r="R124" s="114" t="b">
        <f t="shared" si="38"/>
        <v>0</v>
      </c>
      <c r="S124" s="114" t="b">
        <f t="shared" si="38"/>
        <v>0</v>
      </c>
      <c r="T124" s="114" t="b">
        <f t="shared" si="38"/>
        <v>0</v>
      </c>
      <c r="U124" s="114" t="b">
        <f t="shared" si="38"/>
        <v>0</v>
      </c>
      <c r="V124" s="114" t="b">
        <f t="shared" si="39"/>
        <v>0</v>
      </c>
      <c r="W124" s="114" t="b">
        <f t="shared" si="39"/>
        <v>0</v>
      </c>
      <c r="X124" s="114" t="b">
        <f t="shared" si="39"/>
        <v>0</v>
      </c>
      <c r="Y124" s="114" t="b">
        <f t="shared" si="39"/>
        <v>0</v>
      </c>
      <c r="Z124" s="114" t="b">
        <f t="shared" si="39"/>
        <v>0</v>
      </c>
      <c r="AA124" s="114" t="b">
        <f t="shared" si="39"/>
        <v>0</v>
      </c>
      <c r="AB124" s="114" t="b">
        <f t="shared" si="39"/>
        <v>0</v>
      </c>
      <c r="AC124" s="114" t="b">
        <f t="shared" si="39"/>
        <v>1</v>
      </c>
      <c r="AD124" s="114" t="b">
        <f t="shared" si="39"/>
        <v>1</v>
      </c>
      <c r="AE124" s="114" t="b">
        <f t="shared" si="39"/>
        <v>1</v>
      </c>
      <c r="AF124" s="114" t="b">
        <f t="shared" si="39"/>
        <v>1</v>
      </c>
    </row>
    <row r="125" spans="1:32" s="110" customFormat="1" x14ac:dyDescent="0.25">
      <c r="A125" s="114" t="str">
        <f t="shared" si="25"/>
        <v>Aluminium products</v>
      </c>
      <c r="B125" s="377" t="str">
        <f t="shared" si="36"/>
        <v>n.a.</v>
      </c>
      <c r="C125" s="114" t="str">
        <f>Translations!$B$501</f>
        <v>t scrap per t aluminium</v>
      </c>
      <c r="D125" s="114" t="str">
        <f>Translations!$B$505</f>
        <v>% non-aluminium elements</v>
      </c>
      <c r="E125" s="377" t="str">
        <f>Translations!$B$503</f>
        <v>% pre-consumer scrap</v>
      </c>
      <c r="F125" s="377" t="str">
        <f t="shared" ref="F125:I127" si="41">CONST_NA</f>
        <v>n.a.</v>
      </c>
      <c r="G125" s="377" t="str">
        <f t="shared" si="41"/>
        <v>n.a.</v>
      </c>
      <c r="H125" s="377" t="str">
        <f t="shared" si="41"/>
        <v>n.a.</v>
      </c>
      <c r="I125" s="377" t="str">
        <f t="shared" si="41"/>
        <v>n.a.</v>
      </c>
      <c r="J125" s="1150"/>
      <c r="K125" s="114" t="b">
        <f t="shared" si="30"/>
        <v>0</v>
      </c>
      <c r="L125" s="114" t="b">
        <f t="shared" si="38"/>
        <v>0</v>
      </c>
      <c r="M125" s="114" t="b">
        <f t="shared" si="38"/>
        <v>0</v>
      </c>
      <c r="N125" s="114" t="b">
        <f t="shared" si="38"/>
        <v>0</v>
      </c>
      <c r="O125" s="114" t="b">
        <f t="shared" si="38"/>
        <v>0</v>
      </c>
      <c r="P125" s="114" t="b">
        <f t="shared" si="38"/>
        <v>0</v>
      </c>
      <c r="Q125" s="114" t="b">
        <f t="shared" si="38"/>
        <v>0</v>
      </c>
      <c r="R125" s="114" t="b">
        <f t="shared" si="38"/>
        <v>0</v>
      </c>
      <c r="S125" s="114" t="b">
        <f t="shared" si="38"/>
        <v>1</v>
      </c>
      <c r="T125" s="114" t="b">
        <f t="shared" si="38"/>
        <v>0</v>
      </c>
      <c r="U125" s="114" t="b">
        <f t="shared" si="38"/>
        <v>1</v>
      </c>
      <c r="V125" s="114" t="b">
        <f t="shared" si="39"/>
        <v>1</v>
      </c>
      <c r="W125" s="114" t="b">
        <f t="shared" si="39"/>
        <v>0</v>
      </c>
      <c r="X125" s="114" t="b">
        <f t="shared" si="39"/>
        <v>0</v>
      </c>
      <c r="Y125" s="114" t="b">
        <f t="shared" si="39"/>
        <v>0</v>
      </c>
      <c r="Z125" s="114" t="b">
        <f t="shared" si="39"/>
        <v>0</v>
      </c>
      <c r="AA125" s="114" t="b">
        <f t="shared" si="39"/>
        <v>0</v>
      </c>
      <c r="AB125" s="114" t="b">
        <f t="shared" si="39"/>
        <v>0</v>
      </c>
      <c r="AC125" s="114" t="b">
        <f t="shared" si="39"/>
        <v>0</v>
      </c>
      <c r="AD125" s="114" t="b">
        <f t="shared" si="39"/>
        <v>0</v>
      </c>
      <c r="AE125" s="114" t="b">
        <f t="shared" si="39"/>
        <v>0</v>
      </c>
      <c r="AF125" s="114" t="b">
        <f t="shared" si="39"/>
        <v>0</v>
      </c>
    </row>
    <row r="126" spans="1:32" s="110" customFormat="1" x14ac:dyDescent="0.25">
      <c r="A126" s="114" t="str">
        <f t="shared" si="25"/>
        <v>Unwrought aluminium</v>
      </c>
      <c r="B126" s="377" t="str">
        <f t="shared" si="36"/>
        <v>n.a.</v>
      </c>
      <c r="C126" s="114" t="str">
        <f>Translations!$B$501</f>
        <v>t scrap per t aluminium</v>
      </c>
      <c r="D126" s="114" t="str">
        <f>Translations!$B$505</f>
        <v>% non-aluminium elements</v>
      </c>
      <c r="E126" s="377" t="str">
        <f>Translations!$B$503</f>
        <v>% pre-consumer scrap</v>
      </c>
      <c r="F126" s="377" t="str">
        <f t="shared" si="41"/>
        <v>n.a.</v>
      </c>
      <c r="G126" s="377" t="str">
        <f t="shared" si="41"/>
        <v>n.a.</v>
      </c>
      <c r="H126" s="377" t="str">
        <f t="shared" si="41"/>
        <v>n.a.</v>
      </c>
      <c r="I126" s="377" t="str">
        <f t="shared" si="41"/>
        <v>n.a.</v>
      </c>
      <c r="J126" s="1150"/>
      <c r="K126" s="114" t="b">
        <f>COUNTIF($B126:$I126,K$109)&gt;0</f>
        <v>0</v>
      </c>
      <c r="L126" s="114" t="b">
        <f t="shared" si="38"/>
        <v>0</v>
      </c>
      <c r="M126" s="114" t="b">
        <f t="shared" si="38"/>
        <v>0</v>
      </c>
      <c r="N126" s="114" t="b">
        <f t="shared" si="38"/>
        <v>0</v>
      </c>
      <c r="O126" s="114" t="b">
        <f t="shared" si="38"/>
        <v>0</v>
      </c>
      <c r="P126" s="114" t="b">
        <f t="shared" si="38"/>
        <v>0</v>
      </c>
      <c r="Q126" s="114" t="b">
        <f t="shared" si="38"/>
        <v>0</v>
      </c>
      <c r="R126" s="114" t="b">
        <f t="shared" si="38"/>
        <v>0</v>
      </c>
      <c r="S126" s="114" t="b">
        <f t="shared" si="38"/>
        <v>1</v>
      </c>
      <c r="T126" s="114" t="b">
        <f t="shared" si="38"/>
        <v>0</v>
      </c>
      <c r="U126" s="114" t="b">
        <f t="shared" si="38"/>
        <v>1</v>
      </c>
      <c r="V126" s="114" t="b">
        <f t="shared" si="39"/>
        <v>1</v>
      </c>
      <c r="W126" s="114" t="b">
        <f t="shared" si="39"/>
        <v>0</v>
      </c>
      <c r="X126" s="114" t="b">
        <f t="shared" si="39"/>
        <v>0</v>
      </c>
      <c r="Y126" s="114" t="b">
        <f t="shared" si="39"/>
        <v>0</v>
      </c>
      <c r="Z126" s="114" t="b">
        <f t="shared" si="39"/>
        <v>0</v>
      </c>
      <c r="AA126" s="114" t="b">
        <f t="shared" si="39"/>
        <v>0</v>
      </c>
      <c r="AB126" s="114" t="b">
        <f t="shared" si="39"/>
        <v>0</v>
      </c>
      <c r="AC126" s="114" t="b">
        <f t="shared" si="39"/>
        <v>0</v>
      </c>
      <c r="AD126" s="114" t="b">
        <f t="shared" si="39"/>
        <v>0</v>
      </c>
      <c r="AE126" s="114" t="b">
        <f t="shared" si="39"/>
        <v>0</v>
      </c>
      <c r="AF126" s="114" t="b">
        <f t="shared" si="39"/>
        <v>0</v>
      </c>
    </row>
    <row r="127" spans="1:32" s="110" customFormat="1" x14ac:dyDescent="0.25">
      <c r="A127" s="114" t="str">
        <f t="shared" si="25"/>
        <v>Electricity (export to EU)</v>
      </c>
      <c r="B127" s="377" t="str">
        <f t="shared" ref="B127:G127" si="42">CONST_NA</f>
        <v>n.a.</v>
      </c>
      <c r="C127" s="377" t="str">
        <f t="shared" si="42"/>
        <v>n.a.</v>
      </c>
      <c r="D127" s="377" t="str">
        <f t="shared" si="42"/>
        <v>n.a.</v>
      </c>
      <c r="E127" s="377" t="str">
        <f t="shared" si="42"/>
        <v>n.a.</v>
      </c>
      <c r="F127" s="377" t="str">
        <f t="shared" si="42"/>
        <v>n.a.</v>
      </c>
      <c r="G127" s="377" t="str">
        <f t="shared" si="42"/>
        <v>n.a.</v>
      </c>
      <c r="H127" s="377" t="str">
        <f t="shared" si="41"/>
        <v>n.a.</v>
      </c>
      <c r="I127" s="377" t="str">
        <f t="shared" si="41"/>
        <v>n.a.</v>
      </c>
      <c r="J127" s="1150"/>
      <c r="K127" s="114" t="b">
        <f>COUNTIF($B127:$I127,K$109)&gt;0</f>
        <v>0</v>
      </c>
      <c r="L127" s="114" t="b">
        <f t="shared" si="38"/>
        <v>0</v>
      </c>
      <c r="M127" s="114" t="b">
        <f t="shared" si="38"/>
        <v>0</v>
      </c>
      <c r="N127" s="114" t="b">
        <f t="shared" si="38"/>
        <v>0</v>
      </c>
      <c r="O127" s="114" t="b">
        <f t="shared" si="38"/>
        <v>0</v>
      </c>
      <c r="P127" s="114" t="b">
        <f t="shared" si="38"/>
        <v>0</v>
      </c>
      <c r="Q127" s="114" t="b">
        <f t="shared" si="38"/>
        <v>0</v>
      </c>
      <c r="R127" s="114" t="b">
        <f t="shared" si="38"/>
        <v>0</v>
      </c>
      <c r="S127" s="114" t="b">
        <f t="shared" si="38"/>
        <v>0</v>
      </c>
      <c r="T127" s="114" t="b">
        <f t="shared" si="38"/>
        <v>0</v>
      </c>
      <c r="U127" s="114" t="b">
        <f t="shared" si="38"/>
        <v>0</v>
      </c>
      <c r="V127" s="114" t="b">
        <f t="shared" si="39"/>
        <v>0</v>
      </c>
      <c r="W127" s="114" t="b">
        <f t="shared" si="39"/>
        <v>0</v>
      </c>
      <c r="X127" s="114" t="b">
        <f t="shared" si="39"/>
        <v>0</v>
      </c>
      <c r="Y127" s="114" t="b">
        <f t="shared" si="39"/>
        <v>0</v>
      </c>
      <c r="Z127" s="114" t="b">
        <f t="shared" si="39"/>
        <v>0</v>
      </c>
      <c r="AA127" s="114" t="b">
        <f t="shared" si="39"/>
        <v>0</v>
      </c>
      <c r="AB127" s="114" t="b">
        <f t="shared" si="39"/>
        <v>0</v>
      </c>
      <c r="AC127" s="114" t="b">
        <f t="shared" si="39"/>
        <v>0</v>
      </c>
      <c r="AD127" s="114" t="b">
        <f t="shared" si="39"/>
        <v>0</v>
      </c>
      <c r="AE127" s="114" t="b">
        <f t="shared" si="39"/>
        <v>0</v>
      </c>
      <c r="AF127" s="114" t="b">
        <f t="shared" si="39"/>
        <v>0</v>
      </c>
    </row>
    <row r="129" spans="1:19" s="281" customFormat="1" x14ac:dyDescent="0.25"/>
    <row r="130" spans="1:19" s="110" customFormat="1" x14ac:dyDescent="0.25">
      <c r="A130" s="378" t="s">
        <v>2712</v>
      </c>
      <c r="B130" s="376" t="str">
        <f t="shared" ref="B130:S130" si="43">IFERROR(INDEX(CNCodes_ListKey,MATCH($A130&amp;"_"&amp;B$132,CNCodes_ListNumbering,0)),CONST_NA)</f>
        <v>n.a.</v>
      </c>
      <c r="C130" s="376" t="str">
        <f t="shared" si="43"/>
        <v>n.a.</v>
      </c>
      <c r="D130" s="376" t="str">
        <f t="shared" si="43"/>
        <v>n.a.</v>
      </c>
      <c r="E130" s="376" t="str">
        <f t="shared" si="43"/>
        <v>n.a.</v>
      </c>
      <c r="F130" s="376" t="str">
        <f t="shared" si="43"/>
        <v>n.a.</v>
      </c>
      <c r="G130" s="376" t="str">
        <f t="shared" si="43"/>
        <v>n.a.</v>
      </c>
      <c r="H130" s="376" t="str">
        <f t="shared" si="43"/>
        <v>n.a.</v>
      </c>
      <c r="I130" s="376" t="str">
        <f t="shared" si="43"/>
        <v>n.a.</v>
      </c>
      <c r="J130" s="376" t="str">
        <f t="shared" si="43"/>
        <v>n.a.</v>
      </c>
      <c r="K130" s="376" t="str">
        <f t="shared" si="43"/>
        <v>n.a.</v>
      </c>
      <c r="L130" s="376" t="str">
        <f t="shared" si="43"/>
        <v>n.a.</v>
      </c>
      <c r="M130" s="376" t="str">
        <f t="shared" si="43"/>
        <v>n.a.</v>
      </c>
      <c r="N130" s="376" t="str">
        <f t="shared" si="43"/>
        <v>n.a.</v>
      </c>
      <c r="O130" s="376" t="str">
        <f t="shared" si="43"/>
        <v>n.a.</v>
      </c>
      <c r="P130" s="376" t="str">
        <f t="shared" si="43"/>
        <v>n.a.</v>
      </c>
      <c r="Q130" s="376" t="str">
        <f t="shared" si="43"/>
        <v>n.a.</v>
      </c>
      <c r="R130" s="376" t="str">
        <f t="shared" si="43"/>
        <v>n.a.</v>
      </c>
      <c r="S130" s="376" t="str">
        <f t="shared" si="43"/>
        <v>n.a.</v>
      </c>
    </row>
    <row r="131" spans="1:19" s="110" customFormat="1" x14ac:dyDescent="0.25"/>
    <row r="132" spans="1:19" s="110" customFormat="1" ht="13" x14ac:dyDescent="0.3">
      <c r="B132" s="373" t="str">
        <f>INDEX(CONST_LIST_Goods,COLUMNS($B132:B132))</f>
        <v>Cement</v>
      </c>
      <c r="C132" s="373" t="str">
        <f>INDEX(CONST_LIST_Goods,COLUMNS($B132:C132))</f>
        <v>Cement clinker</v>
      </c>
      <c r="D132" s="373" t="str">
        <f>INDEX(CONST_LIST_Goods,COLUMNS($B132:D132))</f>
        <v xml:space="preserve">Calcined clays </v>
      </c>
      <c r="E132" s="373" t="str">
        <f>INDEX(CONST_LIST_Goods,COLUMNS($B132:E132))</f>
        <v>Aluminous cement</v>
      </c>
      <c r="F132" s="373" t="str">
        <f>INDEX(CONST_LIST_Goods,COLUMNS($B132:F132))</f>
        <v>Iron or steel products</v>
      </c>
      <c r="G132" s="373" t="str">
        <f>INDEX(CONST_LIST_Goods,COLUMNS($B132:G132))</f>
        <v>Crude steel</v>
      </c>
      <c r="H132" s="373" t="str">
        <f>INDEX(CONST_LIST_Goods,COLUMNS($B132:H132))</f>
        <v>Direct reduced iron</v>
      </c>
      <c r="I132" s="373" t="str">
        <f>INDEX(CONST_LIST_Goods,COLUMNS($B132:I132))</f>
        <v>Pig iron</v>
      </c>
      <c r="J132" s="373" t="str">
        <f>INDEX(CONST_LIST_Goods,COLUMNS($B132:J132))</f>
        <v>Alloys (FeMn, FeCr, FeNi)</v>
      </c>
      <c r="K132" s="373" t="str">
        <f>INDEX(CONST_LIST_Goods,COLUMNS($B132:K132))</f>
        <v>Sintered Ore</v>
      </c>
      <c r="L132" s="373" t="str">
        <f>INDEX(CONST_LIST_Goods,COLUMNS($B132:L132))</f>
        <v>Hydrogen</v>
      </c>
      <c r="M132" s="373" t="str">
        <f>INDEX(CONST_LIST_Goods,COLUMNS($B132:M132))</f>
        <v>Ammonia</v>
      </c>
      <c r="N132" s="373" t="str">
        <f>INDEX(CONST_LIST_Goods,COLUMNS($B132:N132))</f>
        <v>Nitric acid</v>
      </c>
      <c r="O132" s="373" t="str">
        <f>INDEX(CONST_LIST_Goods,COLUMNS($B132:O132))</f>
        <v>Urea</v>
      </c>
      <c r="P132" s="373" t="str">
        <f>INDEX(CONST_LIST_Goods,COLUMNS($B132:P132))</f>
        <v>Mixed fertilisers</v>
      </c>
      <c r="Q132" s="373" t="str">
        <f>INDEX(CONST_LIST_Goods,COLUMNS($B132:Q132))</f>
        <v>Aluminium products</v>
      </c>
      <c r="R132" s="373" t="str">
        <f>INDEX(CONST_LIST_Goods,COLUMNS($B132:R132))</f>
        <v>Unwrought aluminium</v>
      </c>
      <c r="S132" s="373" t="str">
        <f>INDEX(CONST_LIST_Goods,COLUMNS($B132:S132))</f>
        <v>Electricity (export to EU)</v>
      </c>
    </row>
    <row r="133" spans="1:19" s="110" customFormat="1" ht="13" x14ac:dyDescent="0.3">
      <c r="A133" s="372" t="s">
        <v>2979</v>
      </c>
      <c r="B133" s="114" t="str">
        <f t="shared" ref="B133:S133" ca="1" si="44">ADDRESS(ROW(B134),COLUMN(),,,$B$85)&amp;":"&amp;ADDRESS(ROW(B134)+MAX(0,599-COUNTIF(B134:B733,CONST_NA)),COLUMN(B134))</f>
        <v>Parameters_Constants!$B$134:$B$136</v>
      </c>
      <c r="C133" s="114" t="str">
        <f t="shared" ca="1" si="44"/>
        <v>Parameters_Constants!$C$134:$C$134</v>
      </c>
      <c r="D133" s="114" t="str">
        <f t="shared" ca="1" si="44"/>
        <v>Parameters_Constants!$D$134:$D$134</v>
      </c>
      <c r="E133" s="114" t="str">
        <f t="shared" ca="1" si="44"/>
        <v>Parameters_Constants!$E$134:$E$134</v>
      </c>
      <c r="F133" s="114" t="str">
        <f t="shared" ca="1" si="44"/>
        <v>Parameters_Constants!$F$134:$F$554</v>
      </c>
      <c r="G133" s="114" t="str">
        <f t="shared" ca="1" si="44"/>
        <v>Parameters_Constants!$G$134:$G$171</v>
      </c>
      <c r="H133" s="114" t="str">
        <f t="shared" ca="1" si="44"/>
        <v>Parameters_Constants!$H$134:$H$135</v>
      </c>
      <c r="I133" s="114" t="str">
        <f t="shared" ca="1" si="44"/>
        <v>Parameters_Constants!$I$134:$I$140</v>
      </c>
      <c r="J133" s="114" t="str">
        <f t="shared" ca="1" si="44"/>
        <v>Parameters_Constants!$J$134:$J$142</v>
      </c>
      <c r="K133" s="114" t="str">
        <f t="shared" ca="1" si="44"/>
        <v>Parameters_Constants!$K$134:$K$134</v>
      </c>
      <c r="L133" s="114" t="str">
        <f t="shared" ca="1" si="44"/>
        <v>Parameters_Constants!$L$134:$L$134</v>
      </c>
      <c r="M133" s="114" t="str">
        <f t="shared" ca="1" si="44"/>
        <v>Parameters_Constants!$M$134:$M$135</v>
      </c>
      <c r="N133" s="114" t="str">
        <f t="shared" ca="1" si="44"/>
        <v>Parameters_Constants!$N$134:$N$134</v>
      </c>
      <c r="O133" s="114" t="str">
        <f t="shared" ca="1" si="44"/>
        <v>Parameters_Constants!$O$134:$O$135</v>
      </c>
      <c r="P133" s="114" t="str">
        <f t="shared" ca="1" si="44"/>
        <v>Parameters_Constants!$P$134:$P$153</v>
      </c>
      <c r="Q133" s="114" t="str">
        <f t="shared" ca="1" si="44"/>
        <v>Parameters_Constants!$Q$134:$Q$186</v>
      </c>
      <c r="R133" s="114" t="str">
        <f t="shared" ca="1" si="44"/>
        <v>Parameters_Constants!$R$134:$R$138</v>
      </c>
      <c r="S133" s="114" t="str">
        <f t="shared" ca="1" si="44"/>
        <v>Parameters_Constants!$S$134:$S$134</v>
      </c>
    </row>
    <row r="134" spans="1:19" s="110" customFormat="1" x14ac:dyDescent="0.25">
      <c r="A134" s="785">
        <v>1</v>
      </c>
      <c r="B134" s="524" t="str">
        <f t="shared" ref="B134:K143" si="45">IFERROR(INDEX(CNCodes_ListKey,MATCH($A134&amp;"_"&amp;B$132,CNCodes_ListNumbering,0)),CONST_NA)</f>
        <v>25232100</v>
      </c>
      <c r="C134" s="524" t="str">
        <f t="shared" si="45"/>
        <v>25231000</v>
      </c>
      <c r="D134" s="524" t="str">
        <f t="shared" si="45"/>
        <v>25070080</v>
      </c>
      <c r="E134" s="524" t="str">
        <f t="shared" si="45"/>
        <v>25233000</v>
      </c>
      <c r="F134" s="524" t="str">
        <f t="shared" si="45"/>
        <v>72051000</v>
      </c>
      <c r="G134" s="524" t="str">
        <f t="shared" si="45"/>
        <v>72061000</v>
      </c>
      <c r="H134" s="524" t="str">
        <f t="shared" si="45"/>
        <v>72031000</v>
      </c>
      <c r="I134" s="524" t="str">
        <f t="shared" si="45"/>
        <v>72011011</v>
      </c>
      <c r="J134" s="524" t="str">
        <f t="shared" si="45"/>
        <v>72021120</v>
      </c>
      <c r="K134" s="524" t="str">
        <f t="shared" si="45"/>
        <v>26011200</v>
      </c>
      <c r="L134" s="524" t="str">
        <f t="shared" ref="L134:S143" si="46">IFERROR(INDEX(CNCodes_ListKey,MATCH($A134&amp;"_"&amp;L$132,CNCodes_ListNumbering,0)),CONST_NA)</f>
        <v>28041000</v>
      </c>
      <c r="M134" s="524" t="str">
        <f t="shared" si="46"/>
        <v>28141000</v>
      </c>
      <c r="N134" s="524" t="str">
        <f t="shared" si="46"/>
        <v>28080000</v>
      </c>
      <c r="O134" s="524" t="str">
        <f t="shared" si="46"/>
        <v>31021010</v>
      </c>
      <c r="P134" s="524" t="str">
        <f t="shared" si="46"/>
        <v>28342100</v>
      </c>
      <c r="Q134" s="524" t="str">
        <f t="shared" si="46"/>
        <v>76031000</v>
      </c>
      <c r="R134" s="524" t="str">
        <f t="shared" si="46"/>
        <v>76011010</v>
      </c>
      <c r="S134" s="524" t="str">
        <f t="shared" si="46"/>
        <v>27160000</v>
      </c>
    </row>
    <row r="135" spans="1:19" s="110" customFormat="1" x14ac:dyDescent="0.25">
      <c r="A135" s="785">
        <v>2</v>
      </c>
      <c r="B135" s="525" t="str">
        <f t="shared" si="45"/>
        <v>25232900</v>
      </c>
      <c r="C135" s="525" t="str">
        <f t="shared" si="45"/>
        <v>n.a.</v>
      </c>
      <c r="D135" s="525" t="str">
        <f t="shared" si="45"/>
        <v>n.a.</v>
      </c>
      <c r="E135" s="525" t="str">
        <f t="shared" si="45"/>
        <v>n.a.</v>
      </c>
      <c r="F135" s="525" t="str">
        <f t="shared" si="45"/>
        <v>72052100</v>
      </c>
      <c r="G135" s="525" t="str">
        <f t="shared" si="45"/>
        <v>72069000</v>
      </c>
      <c r="H135" s="525" t="str">
        <f t="shared" si="45"/>
        <v>72039000</v>
      </c>
      <c r="I135" s="525" t="str">
        <f t="shared" si="45"/>
        <v>72011019</v>
      </c>
      <c r="J135" s="525" t="str">
        <f t="shared" si="45"/>
        <v>72021180</v>
      </c>
      <c r="K135" s="525" t="str">
        <f t="shared" si="45"/>
        <v>n.a.</v>
      </c>
      <c r="L135" s="525" t="str">
        <f t="shared" si="46"/>
        <v>n.a.</v>
      </c>
      <c r="M135" s="525" t="str">
        <f t="shared" si="46"/>
        <v>28142000</v>
      </c>
      <c r="N135" s="525" t="str">
        <f t="shared" si="46"/>
        <v>n.a.</v>
      </c>
      <c r="O135" s="525" t="str">
        <f t="shared" si="46"/>
        <v>31021090</v>
      </c>
      <c r="P135" s="525" t="str">
        <f t="shared" si="46"/>
        <v>31022100</v>
      </c>
      <c r="Q135" s="525" t="str">
        <f t="shared" si="46"/>
        <v>76032000</v>
      </c>
      <c r="R135" s="525" t="str">
        <f t="shared" si="46"/>
        <v>76011090</v>
      </c>
      <c r="S135" s="525" t="str">
        <f t="shared" si="46"/>
        <v>n.a.</v>
      </c>
    </row>
    <row r="136" spans="1:19" s="110" customFormat="1" x14ac:dyDescent="0.25">
      <c r="A136" s="785">
        <v>3</v>
      </c>
      <c r="B136" s="525" t="str">
        <f t="shared" si="45"/>
        <v>25239000</v>
      </c>
      <c r="C136" s="525" t="str">
        <f t="shared" si="45"/>
        <v>n.a.</v>
      </c>
      <c r="D136" s="525" t="str">
        <f t="shared" si="45"/>
        <v>n.a.</v>
      </c>
      <c r="E136" s="525" t="str">
        <f t="shared" si="45"/>
        <v>n.a.</v>
      </c>
      <c r="F136" s="525" t="str">
        <f t="shared" si="45"/>
        <v>72052900</v>
      </c>
      <c r="G136" s="525" t="str">
        <f t="shared" si="45"/>
        <v>72071111</v>
      </c>
      <c r="H136" s="525" t="str">
        <f t="shared" si="45"/>
        <v>n.a.</v>
      </c>
      <c r="I136" s="525" t="str">
        <f t="shared" si="45"/>
        <v>72011030</v>
      </c>
      <c r="J136" s="525" t="str">
        <f t="shared" si="45"/>
        <v>72021900</v>
      </c>
      <c r="K136" s="525" t="str">
        <f t="shared" si="45"/>
        <v>n.a.</v>
      </c>
      <c r="L136" s="525" t="str">
        <f t="shared" si="46"/>
        <v>n.a.</v>
      </c>
      <c r="M136" s="525" t="str">
        <f t="shared" si="46"/>
        <v>n.a.</v>
      </c>
      <c r="N136" s="525" t="str">
        <f t="shared" si="46"/>
        <v>n.a.</v>
      </c>
      <c r="O136" s="525" t="str">
        <f t="shared" si="46"/>
        <v>n.a.</v>
      </c>
      <c r="P136" s="525" t="str">
        <f t="shared" si="46"/>
        <v>31022900</v>
      </c>
      <c r="Q136" s="525" t="str">
        <f t="shared" si="46"/>
        <v>76041010</v>
      </c>
      <c r="R136" s="525" t="str">
        <f t="shared" si="46"/>
        <v>76012030</v>
      </c>
      <c r="S136" s="525" t="str">
        <f t="shared" si="46"/>
        <v>n.a.</v>
      </c>
    </row>
    <row r="137" spans="1:19" s="110" customFormat="1" x14ac:dyDescent="0.25">
      <c r="A137" s="785">
        <v>4</v>
      </c>
      <c r="B137" s="525" t="str">
        <f t="shared" si="45"/>
        <v>n.a.</v>
      </c>
      <c r="C137" s="525" t="str">
        <f t="shared" si="45"/>
        <v>n.a.</v>
      </c>
      <c r="D137" s="525" t="str">
        <f t="shared" si="45"/>
        <v>n.a.</v>
      </c>
      <c r="E137" s="525" t="str">
        <f t="shared" si="45"/>
        <v>n.a.</v>
      </c>
      <c r="F137" s="525" t="str">
        <f t="shared" si="45"/>
        <v>72081000</v>
      </c>
      <c r="G137" s="525" t="str">
        <f t="shared" si="45"/>
        <v>72071114</v>
      </c>
      <c r="H137" s="525" t="str">
        <f t="shared" si="45"/>
        <v>n.a.</v>
      </c>
      <c r="I137" s="525" t="str">
        <f t="shared" si="45"/>
        <v>72011090</v>
      </c>
      <c r="J137" s="525" t="str">
        <f t="shared" si="45"/>
        <v>72024110</v>
      </c>
      <c r="K137" s="525" t="str">
        <f t="shared" si="45"/>
        <v>n.a.</v>
      </c>
      <c r="L137" s="525" t="str">
        <f t="shared" si="46"/>
        <v>n.a.</v>
      </c>
      <c r="M137" s="525" t="str">
        <f t="shared" si="46"/>
        <v>n.a.</v>
      </c>
      <c r="N137" s="525" t="str">
        <f t="shared" si="46"/>
        <v>n.a.</v>
      </c>
      <c r="O137" s="525" t="str">
        <f t="shared" si="46"/>
        <v>n.a.</v>
      </c>
      <c r="P137" s="525" t="str">
        <f t="shared" si="46"/>
        <v>31023010</v>
      </c>
      <c r="Q137" s="525" t="str">
        <f t="shared" si="46"/>
        <v>76041090</v>
      </c>
      <c r="R137" s="525" t="str">
        <f t="shared" si="46"/>
        <v>76012040</v>
      </c>
      <c r="S137" s="525" t="str">
        <f t="shared" si="46"/>
        <v>n.a.</v>
      </c>
    </row>
    <row r="138" spans="1:19" s="110" customFormat="1" x14ac:dyDescent="0.25">
      <c r="A138" s="785">
        <v>5</v>
      </c>
      <c r="B138" s="525" t="str">
        <f t="shared" si="45"/>
        <v>n.a.</v>
      </c>
      <c r="C138" s="525" t="str">
        <f t="shared" si="45"/>
        <v>n.a.</v>
      </c>
      <c r="D138" s="525" t="str">
        <f t="shared" si="45"/>
        <v>n.a.</v>
      </c>
      <c r="E138" s="525" t="str">
        <f t="shared" si="45"/>
        <v>n.a.</v>
      </c>
      <c r="F138" s="525" t="str">
        <f t="shared" si="45"/>
        <v>72082500</v>
      </c>
      <c r="G138" s="525" t="str">
        <f t="shared" si="45"/>
        <v>72071116</v>
      </c>
      <c r="H138" s="525" t="str">
        <f t="shared" si="45"/>
        <v>n.a.</v>
      </c>
      <c r="I138" s="525" t="str">
        <f t="shared" si="45"/>
        <v>72012000</v>
      </c>
      <c r="J138" s="525" t="str">
        <f t="shared" si="45"/>
        <v>72024190</v>
      </c>
      <c r="K138" s="525" t="str">
        <f t="shared" si="45"/>
        <v>n.a.</v>
      </c>
      <c r="L138" s="525" t="str">
        <f t="shared" si="46"/>
        <v>n.a.</v>
      </c>
      <c r="M138" s="525" t="str">
        <f t="shared" si="46"/>
        <v>n.a.</v>
      </c>
      <c r="N138" s="525" t="str">
        <f t="shared" si="46"/>
        <v>n.a.</v>
      </c>
      <c r="O138" s="525" t="str">
        <f t="shared" si="46"/>
        <v>n.a.</v>
      </c>
      <c r="P138" s="525" t="str">
        <f t="shared" si="46"/>
        <v>31023090</v>
      </c>
      <c r="Q138" s="525" t="str">
        <f t="shared" si="46"/>
        <v>76042100</v>
      </c>
      <c r="R138" s="525" t="str">
        <f t="shared" si="46"/>
        <v>76012080</v>
      </c>
      <c r="S138" s="525" t="str">
        <f t="shared" si="46"/>
        <v>n.a.</v>
      </c>
    </row>
    <row r="139" spans="1:19" s="110" customFormat="1" x14ac:dyDescent="0.25">
      <c r="A139" s="785">
        <v>6</v>
      </c>
      <c r="B139" s="525" t="str">
        <f t="shared" si="45"/>
        <v>n.a.</v>
      </c>
      <c r="C139" s="525" t="str">
        <f t="shared" si="45"/>
        <v>n.a.</v>
      </c>
      <c r="D139" s="525" t="str">
        <f t="shared" si="45"/>
        <v>n.a.</v>
      </c>
      <c r="E139" s="525" t="str">
        <f t="shared" si="45"/>
        <v>n.a.</v>
      </c>
      <c r="F139" s="525" t="str">
        <f t="shared" si="45"/>
        <v>72082600</v>
      </c>
      <c r="G139" s="525" t="str">
        <f t="shared" si="45"/>
        <v>72071190</v>
      </c>
      <c r="H139" s="525" t="str">
        <f t="shared" si="45"/>
        <v>n.a.</v>
      </c>
      <c r="I139" s="525" t="str">
        <f t="shared" si="45"/>
        <v>72015010</v>
      </c>
      <c r="J139" s="525" t="str">
        <f t="shared" si="45"/>
        <v>72024910</v>
      </c>
      <c r="K139" s="525" t="str">
        <f t="shared" si="45"/>
        <v>n.a.</v>
      </c>
      <c r="L139" s="525" t="str">
        <f t="shared" si="46"/>
        <v>n.a.</v>
      </c>
      <c r="M139" s="525" t="str">
        <f t="shared" si="46"/>
        <v>n.a.</v>
      </c>
      <c r="N139" s="525" t="str">
        <f t="shared" si="46"/>
        <v>n.a.</v>
      </c>
      <c r="O139" s="525" t="str">
        <f t="shared" si="46"/>
        <v>n.a.</v>
      </c>
      <c r="P139" s="525" t="str">
        <f t="shared" si="46"/>
        <v>31024010</v>
      </c>
      <c r="Q139" s="525" t="str">
        <f t="shared" si="46"/>
        <v>76042910</v>
      </c>
      <c r="R139" s="525" t="str">
        <f t="shared" si="46"/>
        <v>n.a.</v>
      </c>
      <c r="S139" s="525" t="str">
        <f t="shared" si="46"/>
        <v>n.a.</v>
      </c>
    </row>
    <row r="140" spans="1:19" s="110" customFormat="1" x14ac:dyDescent="0.25">
      <c r="A140" s="785">
        <v>7</v>
      </c>
      <c r="B140" s="525" t="str">
        <f t="shared" si="45"/>
        <v>n.a.</v>
      </c>
      <c r="C140" s="525" t="str">
        <f t="shared" si="45"/>
        <v>n.a.</v>
      </c>
      <c r="D140" s="525" t="str">
        <f t="shared" si="45"/>
        <v>n.a.</v>
      </c>
      <c r="E140" s="525" t="str">
        <f t="shared" si="45"/>
        <v>n.a.</v>
      </c>
      <c r="F140" s="525" t="str">
        <f t="shared" si="45"/>
        <v>72082700</v>
      </c>
      <c r="G140" s="525" t="str">
        <f t="shared" si="45"/>
        <v>72071210</v>
      </c>
      <c r="H140" s="525" t="str">
        <f t="shared" si="45"/>
        <v>n.a.</v>
      </c>
      <c r="I140" s="525" t="str">
        <f t="shared" si="45"/>
        <v>72015090</v>
      </c>
      <c r="J140" s="525" t="str">
        <f t="shared" si="45"/>
        <v>72024950</v>
      </c>
      <c r="K140" s="525" t="str">
        <f t="shared" si="45"/>
        <v>n.a.</v>
      </c>
      <c r="L140" s="525" t="str">
        <f t="shared" si="46"/>
        <v>n.a.</v>
      </c>
      <c r="M140" s="525" t="str">
        <f t="shared" si="46"/>
        <v>n.a.</v>
      </c>
      <c r="N140" s="525" t="str">
        <f t="shared" si="46"/>
        <v>n.a.</v>
      </c>
      <c r="O140" s="525" t="str">
        <f t="shared" si="46"/>
        <v>n.a.</v>
      </c>
      <c r="P140" s="525" t="str">
        <f t="shared" si="46"/>
        <v>31024090</v>
      </c>
      <c r="Q140" s="525" t="str">
        <f t="shared" si="46"/>
        <v>76042990</v>
      </c>
      <c r="R140" s="525" t="str">
        <f t="shared" si="46"/>
        <v>n.a.</v>
      </c>
      <c r="S140" s="525" t="str">
        <f t="shared" si="46"/>
        <v>n.a.</v>
      </c>
    </row>
    <row r="141" spans="1:19" s="110" customFormat="1" x14ac:dyDescent="0.25">
      <c r="A141" s="785">
        <v>8</v>
      </c>
      <c r="B141" s="525" t="str">
        <f t="shared" si="45"/>
        <v>n.a.</v>
      </c>
      <c r="C141" s="525" t="str">
        <f t="shared" si="45"/>
        <v>n.a.</v>
      </c>
      <c r="D141" s="525" t="str">
        <f t="shared" si="45"/>
        <v>n.a.</v>
      </c>
      <c r="E141" s="525" t="str">
        <f t="shared" si="45"/>
        <v>n.a.</v>
      </c>
      <c r="F141" s="525" t="str">
        <f t="shared" si="45"/>
        <v>72083600</v>
      </c>
      <c r="G141" s="525" t="str">
        <f t="shared" si="45"/>
        <v>72071290</v>
      </c>
      <c r="H141" s="525" t="str">
        <f t="shared" si="45"/>
        <v>n.a.</v>
      </c>
      <c r="I141" s="525" t="str">
        <f t="shared" si="45"/>
        <v>n.a.</v>
      </c>
      <c r="J141" s="525" t="str">
        <f t="shared" si="45"/>
        <v>72024990</v>
      </c>
      <c r="K141" s="525" t="str">
        <f t="shared" si="45"/>
        <v>n.a.</v>
      </c>
      <c r="L141" s="525" t="str">
        <f t="shared" si="46"/>
        <v>n.a.</v>
      </c>
      <c r="M141" s="525" t="str">
        <f t="shared" si="46"/>
        <v>n.a.</v>
      </c>
      <c r="N141" s="525" t="str">
        <f t="shared" si="46"/>
        <v>n.a.</v>
      </c>
      <c r="O141" s="525" t="str">
        <f t="shared" si="46"/>
        <v>n.a.</v>
      </c>
      <c r="P141" s="525" t="str">
        <f t="shared" si="46"/>
        <v>31025000</v>
      </c>
      <c r="Q141" s="525" t="str">
        <f t="shared" si="46"/>
        <v>76051100</v>
      </c>
      <c r="R141" s="525" t="str">
        <f t="shared" si="46"/>
        <v>n.a.</v>
      </c>
      <c r="S141" s="525" t="str">
        <f t="shared" si="46"/>
        <v>n.a.</v>
      </c>
    </row>
    <row r="142" spans="1:19" s="110" customFormat="1" x14ac:dyDescent="0.25">
      <c r="A142" s="785">
        <v>9</v>
      </c>
      <c r="B142" s="525" t="str">
        <f t="shared" si="45"/>
        <v>n.a.</v>
      </c>
      <c r="C142" s="525" t="str">
        <f t="shared" si="45"/>
        <v>n.a.</v>
      </c>
      <c r="D142" s="525" t="str">
        <f t="shared" si="45"/>
        <v>n.a.</v>
      </c>
      <c r="E142" s="525" t="str">
        <f t="shared" si="45"/>
        <v>n.a.</v>
      </c>
      <c r="F142" s="525" t="str">
        <f t="shared" si="45"/>
        <v>72083700</v>
      </c>
      <c r="G142" s="525" t="str">
        <f t="shared" si="45"/>
        <v>72071912</v>
      </c>
      <c r="H142" s="525" t="str">
        <f t="shared" si="45"/>
        <v>n.a.</v>
      </c>
      <c r="I142" s="525" t="str">
        <f t="shared" si="45"/>
        <v>n.a.</v>
      </c>
      <c r="J142" s="525" t="str">
        <f t="shared" si="45"/>
        <v>72026000</v>
      </c>
      <c r="K142" s="525" t="str">
        <f t="shared" si="45"/>
        <v>n.a.</v>
      </c>
      <c r="L142" s="525" t="str">
        <f t="shared" si="46"/>
        <v>n.a.</v>
      </c>
      <c r="M142" s="525" t="str">
        <f t="shared" si="46"/>
        <v>n.a.</v>
      </c>
      <c r="N142" s="525" t="str">
        <f t="shared" si="46"/>
        <v>n.a.</v>
      </c>
      <c r="O142" s="525" t="str">
        <f t="shared" si="46"/>
        <v>n.a.</v>
      </c>
      <c r="P142" s="525" t="str">
        <f t="shared" si="46"/>
        <v>31026000</v>
      </c>
      <c r="Q142" s="525" t="str">
        <f t="shared" si="46"/>
        <v>76051900</v>
      </c>
      <c r="R142" s="525" t="str">
        <f t="shared" si="46"/>
        <v>n.a.</v>
      </c>
      <c r="S142" s="525" t="str">
        <f t="shared" si="46"/>
        <v>n.a.</v>
      </c>
    </row>
    <row r="143" spans="1:19" s="110" customFormat="1" x14ac:dyDescent="0.25">
      <c r="A143" s="785">
        <v>10</v>
      </c>
      <c r="B143" s="525" t="str">
        <f t="shared" si="45"/>
        <v>n.a.</v>
      </c>
      <c r="C143" s="525" t="str">
        <f t="shared" si="45"/>
        <v>n.a.</v>
      </c>
      <c r="D143" s="525" t="str">
        <f t="shared" si="45"/>
        <v>n.a.</v>
      </c>
      <c r="E143" s="525" t="str">
        <f t="shared" si="45"/>
        <v>n.a.</v>
      </c>
      <c r="F143" s="525" t="str">
        <f t="shared" si="45"/>
        <v>72083800</v>
      </c>
      <c r="G143" s="525" t="str">
        <f t="shared" si="45"/>
        <v>72071919</v>
      </c>
      <c r="H143" s="525" t="str">
        <f t="shared" si="45"/>
        <v>n.a.</v>
      </c>
      <c r="I143" s="525" t="str">
        <f t="shared" si="45"/>
        <v>n.a.</v>
      </c>
      <c r="J143" s="525" t="str">
        <f t="shared" si="45"/>
        <v>n.a.</v>
      </c>
      <c r="K143" s="525" t="str">
        <f t="shared" si="45"/>
        <v>n.a.</v>
      </c>
      <c r="L143" s="525" t="str">
        <f t="shared" si="46"/>
        <v>n.a.</v>
      </c>
      <c r="M143" s="525" t="str">
        <f t="shared" si="46"/>
        <v>n.a.</v>
      </c>
      <c r="N143" s="525" t="str">
        <f t="shared" si="46"/>
        <v>n.a.</v>
      </c>
      <c r="O143" s="525" t="str">
        <f t="shared" si="46"/>
        <v>n.a.</v>
      </c>
      <c r="P143" s="525" t="str">
        <f t="shared" si="46"/>
        <v>31028000</v>
      </c>
      <c r="Q143" s="525" t="str">
        <f t="shared" si="46"/>
        <v>76052100</v>
      </c>
      <c r="R143" s="525" t="str">
        <f t="shared" si="46"/>
        <v>n.a.</v>
      </c>
      <c r="S143" s="525" t="str">
        <f t="shared" si="46"/>
        <v>n.a.</v>
      </c>
    </row>
    <row r="144" spans="1:19" s="110" customFormat="1" x14ac:dyDescent="0.25">
      <c r="A144" s="785">
        <v>11</v>
      </c>
      <c r="B144" s="525" t="str">
        <f t="shared" ref="B144:K153" si="47">IFERROR(INDEX(CNCodes_ListKey,MATCH($A144&amp;"_"&amp;B$132,CNCodes_ListNumbering,0)),CONST_NA)</f>
        <v>n.a.</v>
      </c>
      <c r="C144" s="525" t="str">
        <f t="shared" si="47"/>
        <v>n.a.</v>
      </c>
      <c r="D144" s="525" t="str">
        <f t="shared" si="47"/>
        <v>n.a.</v>
      </c>
      <c r="E144" s="525" t="str">
        <f t="shared" si="47"/>
        <v>n.a.</v>
      </c>
      <c r="F144" s="525" t="str">
        <f t="shared" si="47"/>
        <v>72083900</v>
      </c>
      <c r="G144" s="525" t="str">
        <f t="shared" si="47"/>
        <v>72071980</v>
      </c>
      <c r="H144" s="525" t="str">
        <f t="shared" si="47"/>
        <v>n.a.</v>
      </c>
      <c r="I144" s="525" t="str">
        <f t="shared" si="47"/>
        <v>n.a.</v>
      </c>
      <c r="J144" s="525" t="str">
        <f t="shared" si="47"/>
        <v>n.a.</v>
      </c>
      <c r="K144" s="525" t="str">
        <f t="shared" si="47"/>
        <v>n.a.</v>
      </c>
      <c r="L144" s="525" t="str">
        <f t="shared" ref="L144:S153" si="48">IFERROR(INDEX(CNCodes_ListKey,MATCH($A144&amp;"_"&amp;L$132,CNCodes_ListNumbering,0)),CONST_NA)</f>
        <v>n.a.</v>
      </c>
      <c r="M144" s="525" t="str">
        <f t="shared" si="48"/>
        <v>n.a.</v>
      </c>
      <c r="N144" s="525" t="str">
        <f t="shared" si="48"/>
        <v>n.a.</v>
      </c>
      <c r="O144" s="525" t="str">
        <f t="shared" si="48"/>
        <v>n.a.</v>
      </c>
      <c r="P144" s="525" t="str">
        <f t="shared" si="48"/>
        <v>31029000</v>
      </c>
      <c r="Q144" s="525" t="str">
        <f t="shared" si="48"/>
        <v>76052900</v>
      </c>
      <c r="R144" s="525" t="str">
        <f t="shared" si="48"/>
        <v>n.a.</v>
      </c>
      <c r="S144" s="525" t="str">
        <f t="shared" si="48"/>
        <v>n.a.</v>
      </c>
    </row>
    <row r="145" spans="1:19" s="110" customFormat="1" x14ac:dyDescent="0.25">
      <c r="A145" s="785">
        <v>12</v>
      </c>
      <c r="B145" s="525" t="str">
        <f t="shared" si="47"/>
        <v>n.a.</v>
      </c>
      <c r="C145" s="525" t="str">
        <f t="shared" si="47"/>
        <v>n.a.</v>
      </c>
      <c r="D145" s="525" t="str">
        <f t="shared" si="47"/>
        <v>n.a.</v>
      </c>
      <c r="E145" s="525" t="str">
        <f t="shared" si="47"/>
        <v>n.a.</v>
      </c>
      <c r="F145" s="525" t="str">
        <f t="shared" si="47"/>
        <v>72084000</v>
      </c>
      <c r="G145" s="525" t="str">
        <f t="shared" si="47"/>
        <v>72072011</v>
      </c>
      <c r="H145" s="525" t="str">
        <f t="shared" si="47"/>
        <v>n.a.</v>
      </c>
      <c r="I145" s="525" t="str">
        <f t="shared" si="47"/>
        <v>n.a.</v>
      </c>
      <c r="J145" s="525" t="str">
        <f t="shared" si="47"/>
        <v>n.a.</v>
      </c>
      <c r="K145" s="525" t="str">
        <f t="shared" si="47"/>
        <v>n.a.</v>
      </c>
      <c r="L145" s="525" t="str">
        <f t="shared" si="48"/>
        <v>n.a.</v>
      </c>
      <c r="M145" s="525" t="str">
        <f t="shared" si="48"/>
        <v>n.a.</v>
      </c>
      <c r="N145" s="525" t="str">
        <f t="shared" si="48"/>
        <v>n.a.</v>
      </c>
      <c r="O145" s="525" t="str">
        <f t="shared" si="48"/>
        <v>n.a.</v>
      </c>
      <c r="P145" s="525" t="str">
        <f t="shared" si="48"/>
        <v>31051000</v>
      </c>
      <c r="Q145" s="525" t="str">
        <f t="shared" si="48"/>
        <v>76061130</v>
      </c>
      <c r="R145" s="525" t="str">
        <f t="shared" si="48"/>
        <v>n.a.</v>
      </c>
      <c r="S145" s="525" t="str">
        <f t="shared" si="48"/>
        <v>n.a.</v>
      </c>
    </row>
    <row r="146" spans="1:19" s="110" customFormat="1" x14ac:dyDescent="0.25">
      <c r="A146" s="785">
        <v>13</v>
      </c>
      <c r="B146" s="525" t="str">
        <f t="shared" si="47"/>
        <v>n.a.</v>
      </c>
      <c r="C146" s="525" t="str">
        <f t="shared" si="47"/>
        <v>n.a.</v>
      </c>
      <c r="D146" s="525" t="str">
        <f t="shared" si="47"/>
        <v>n.a.</v>
      </c>
      <c r="E146" s="525" t="str">
        <f t="shared" si="47"/>
        <v>n.a.</v>
      </c>
      <c r="F146" s="525" t="str">
        <f t="shared" si="47"/>
        <v>72085120</v>
      </c>
      <c r="G146" s="525" t="str">
        <f t="shared" si="47"/>
        <v>72072015</v>
      </c>
      <c r="H146" s="525" t="str">
        <f t="shared" si="47"/>
        <v>n.a.</v>
      </c>
      <c r="I146" s="525" t="str">
        <f t="shared" si="47"/>
        <v>n.a.</v>
      </c>
      <c r="J146" s="525" t="str">
        <f t="shared" si="47"/>
        <v>n.a.</v>
      </c>
      <c r="K146" s="525" t="str">
        <f t="shared" si="47"/>
        <v>n.a.</v>
      </c>
      <c r="L146" s="525" t="str">
        <f t="shared" si="48"/>
        <v>n.a.</v>
      </c>
      <c r="M146" s="525" t="str">
        <f t="shared" si="48"/>
        <v>n.a.</v>
      </c>
      <c r="N146" s="525" t="str">
        <f t="shared" si="48"/>
        <v>n.a.</v>
      </c>
      <c r="O146" s="525" t="str">
        <f t="shared" si="48"/>
        <v>n.a.</v>
      </c>
      <c r="P146" s="525" t="str">
        <f t="shared" si="48"/>
        <v>31052010</v>
      </c>
      <c r="Q146" s="525" t="str">
        <f t="shared" si="48"/>
        <v>76061150</v>
      </c>
      <c r="R146" s="525" t="str">
        <f t="shared" si="48"/>
        <v>n.a.</v>
      </c>
      <c r="S146" s="525" t="str">
        <f t="shared" si="48"/>
        <v>n.a.</v>
      </c>
    </row>
    <row r="147" spans="1:19" s="110" customFormat="1" x14ac:dyDescent="0.25">
      <c r="A147" s="785">
        <v>14</v>
      </c>
      <c r="B147" s="525" t="str">
        <f t="shared" si="47"/>
        <v>n.a.</v>
      </c>
      <c r="C147" s="525" t="str">
        <f t="shared" si="47"/>
        <v>n.a.</v>
      </c>
      <c r="D147" s="525" t="str">
        <f t="shared" si="47"/>
        <v>n.a.</v>
      </c>
      <c r="E147" s="525" t="str">
        <f t="shared" si="47"/>
        <v>n.a.</v>
      </c>
      <c r="F147" s="525" t="str">
        <f t="shared" si="47"/>
        <v>72085191</v>
      </c>
      <c r="G147" s="525" t="str">
        <f t="shared" si="47"/>
        <v>72072017</v>
      </c>
      <c r="H147" s="525" t="str">
        <f t="shared" si="47"/>
        <v>n.a.</v>
      </c>
      <c r="I147" s="525" t="str">
        <f t="shared" si="47"/>
        <v>n.a.</v>
      </c>
      <c r="J147" s="525" t="str">
        <f t="shared" si="47"/>
        <v>n.a.</v>
      </c>
      <c r="K147" s="525" t="str">
        <f t="shared" si="47"/>
        <v>n.a.</v>
      </c>
      <c r="L147" s="525" t="str">
        <f t="shared" si="48"/>
        <v>n.a.</v>
      </c>
      <c r="M147" s="525" t="str">
        <f t="shared" si="48"/>
        <v>n.a.</v>
      </c>
      <c r="N147" s="525" t="str">
        <f t="shared" si="48"/>
        <v>n.a.</v>
      </c>
      <c r="O147" s="525" t="str">
        <f t="shared" si="48"/>
        <v>n.a.</v>
      </c>
      <c r="P147" s="525" t="str">
        <f t="shared" si="48"/>
        <v>31052090</v>
      </c>
      <c r="Q147" s="525" t="str">
        <f t="shared" si="48"/>
        <v>76061191</v>
      </c>
      <c r="R147" s="525" t="str">
        <f t="shared" si="48"/>
        <v>n.a.</v>
      </c>
      <c r="S147" s="525" t="str">
        <f t="shared" si="48"/>
        <v>n.a.</v>
      </c>
    </row>
    <row r="148" spans="1:19" s="110" customFormat="1" x14ac:dyDescent="0.25">
      <c r="A148" s="785">
        <v>15</v>
      </c>
      <c r="B148" s="525" t="str">
        <f t="shared" si="47"/>
        <v>n.a.</v>
      </c>
      <c r="C148" s="525" t="str">
        <f t="shared" si="47"/>
        <v>n.a.</v>
      </c>
      <c r="D148" s="525" t="str">
        <f t="shared" si="47"/>
        <v>n.a.</v>
      </c>
      <c r="E148" s="525" t="str">
        <f t="shared" si="47"/>
        <v>n.a.</v>
      </c>
      <c r="F148" s="525" t="str">
        <f t="shared" si="47"/>
        <v>72085198</v>
      </c>
      <c r="G148" s="525" t="str">
        <f t="shared" si="47"/>
        <v>72072019</v>
      </c>
      <c r="H148" s="525" t="str">
        <f t="shared" si="47"/>
        <v>n.a.</v>
      </c>
      <c r="I148" s="525" t="str">
        <f t="shared" si="47"/>
        <v>n.a.</v>
      </c>
      <c r="J148" s="525" t="str">
        <f t="shared" si="47"/>
        <v>n.a.</v>
      </c>
      <c r="K148" s="525" t="str">
        <f t="shared" si="47"/>
        <v>n.a.</v>
      </c>
      <c r="L148" s="525" t="str">
        <f t="shared" si="48"/>
        <v>n.a.</v>
      </c>
      <c r="M148" s="525" t="str">
        <f t="shared" si="48"/>
        <v>n.a.</v>
      </c>
      <c r="N148" s="525" t="str">
        <f t="shared" si="48"/>
        <v>n.a.</v>
      </c>
      <c r="O148" s="525" t="str">
        <f t="shared" si="48"/>
        <v>n.a.</v>
      </c>
      <c r="P148" s="525" t="str">
        <f t="shared" si="48"/>
        <v>31053000</v>
      </c>
      <c r="Q148" s="525" t="str">
        <f t="shared" si="48"/>
        <v>76061193</v>
      </c>
      <c r="R148" s="525" t="str">
        <f t="shared" si="48"/>
        <v>n.a.</v>
      </c>
      <c r="S148" s="525" t="str">
        <f t="shared" si="48"/>
        <v>n.a.</v>
      </c>
    </row>
    <row r="149" spans="1:19" s="110" customFormat="1" x14ac:dyDescent="0.25">
      <c r="A149" s="785">
        <v>16</v>
      </c>
      <c r="B149" s="525" t="str">
        <f t="shared" si="47"/>
        <v>n.a.</v>
      </c>
      <c r="C149" s="525" t="str">
        <f t="shared" si="47"/>
        <v>n.a.</v>
      </c>
      <c r="D149" s="525" t="str">
        <f t="shared" si="47"/>
        <v>n.a.</v>
      </c>
      <c r="E149" s="525" t="str">
        <f t="shared" si="47"/>
        <v>n.a.</v>
      </c>
      <c r="F149" s="525" t="str">
        <f t="shared" si="47"/>
        <v>72085210</v>
      </c>
      <c r="G149" s="525" t="str">
        <f t="shared" si="47"/>
        <v>72072032</v>
      </c>
      <c r="H149" s="525" t="str">
        <f t="shared" si="47"/>
        <v>n.a.</v>
      </c>
      <c r="I149" s="525" t="str">
        <f t="shared" si="47"/>
        <v>n.a.</v>
      </c>
      <c r="J149" s="525" t="str">
        <f t="shared" si="47"/>
        <v>n.a.</v>
      </c>
      <c r="K149" s="525" t="str">
        <f t="shared" si="47"/>
        <v>n.a.</v>
      </c>
      <c r="L149" s="525" t="str">
        <f t="shared" si="48"/>
        <v>n.a.</v>
      </c>
      <c r="M149" s="525" t="str">
        <f t="shared" si="48"/>
        <v>n.a.</v>
      </c>
      <c r="N149" s="525" t="str">
        <f t="shared" si="48"/>
        <v>n.a.</v>
      </c>
      <c r="O149" s="525" t="str">
        <f t="shared" si="48"/>
        <v>n.a.</v>
      </c>
      <c r="P149" s="525" t="str">
        <f t="shared" si="48"/>
        <v>31054000</v>
      </c>
      <c r="Q149" s="525" t="str">
        <f t="shared" si="48"/>
        <v>76061199</v>
      </c>
      <c r="R149" s="525" t="str">
        <f t="shared" si="48"/>
        <v>n.a.</v>
      </c>
      <c r="S149" s="525" t="str">
        <f t="shared" si="48"/>
        <v>n.a.</v>
      </c>
    </row>
    <row r="150" spans="1:19" s="110" customFormat="1" x14ac:dyDescent="0.25">
      <c r="A150" s="785">
        <v>17</v>
      </c>
      <c r="B150" s="525" t="str">
        <f t="shared" si="47"/>
        <v>n.a.</v>
      </c>
      <c r="C150" s="525" t="str">
        <f t="shared" si="47"/>
        <v>n.a.</v>
      </c>
      <c r="D150" s="525" t="str">
        <f t="shared" si="47"/>
        <v>n.a.</v>
      </c>
      <c r="E150" s="525" t="str">
        <f t="shared" si="47"/>
        <v>n.a.</v>
      </c>
      <c r="F150" s="525" t="str">
        <f t="shared" si="47"/>
        <v>72085291</v>
      </c>
      <c r="G150" s="525" t="str">
        <f t="shared" si="47"/>
        <v>72072039</v>
      </c>
      <c r="H150" s="525" t="str">
        <f t="shared" si="47"/>
        <v>n.a.</v>
      </c>
      <c r="I150" s="525" t="str">
        <f t="shared" si="47"/>
        <v>n.a.</v>
      </c>
      <c r="J150" s="525" t="str">
        <f t="shared" si="47"/>
        <v>n.a.</v>
      </c>
      <c r="K150" s="525" t="str">
        <f t="shared" si="47"/>
        <v>n.a.</v>
      </c>
      <c r="L150" s="525" t="str">
        <f t="shared" si="48"/>
        <v>n.a.</v>
      </c>
      <c r="M150" s="525" t="str">
        <f t="shared" si="48"/>
        <v>n.a.</v>
      </c>
      <c r="N150" s="525" t="str">
        <f t="shared" si="48"/>
        <v>n.a.</v>
      </c>
      <c r="O150" s="525" t="str">
        <f t="shared" si="48"/>
        <v>n.a.</v>
      </c>
      <c r="P150" s="525" t="str">
        <f t="shared" si="48"/>
        <v>31055100</v>
      </c>
      <c r="Q150" s="525" t="str">
        <f t="shared" si="48"/>
        <v>76061211</v>
      </c>
      <c r="R150" s="525" t="str">
        <f t="shared" si="48"/>
        <v>n.a.</v>
      </c>
      <c r="S150" s="525" t="str">
        <f t="shared" si="48"/>
        <v>n.a.</v>
      </c>
    </row>
    <row r="151" spans="1:19" s="110" customFormat="1" x14ac:dyDescent="0.25">
      <c r="A151" s="785">
        <v>18</v>
      </c>
      <c r="B151" s="525" t="str">
        <f t="shared" si="47"/>
        <v>n.a.</v>
      </c>
      <c r="C151" s="525" t="str">
        <f t="shared" si="47"/>
        <v>n.a.</v>
      </c>
      <c r="D151" s="525" t="str">
        <f t="shared" si="47"/>
        <v>n.a.</v>
      </c>
      <c r="E151" s="525" t="str">
        <f t="shared" si="47"/>
        <v>n.a.</v>
      </c>
      <c r="F151" s="525" t="str">
        <f t="shared" si="47"/>
        <v>72085299</v>
      </c>
      <c r="G151" s="525" t="str">
        <f t="shared" si="47"/>
        <v>72072052</v>
      </c>
      <c r="H151" s="525" t="str">
        <f t="shared" si="47"/>
        <v>n.a.</v>
      </c>
      <c r="I151" s="525" t="str">
        <f t="shared" si="47"/>
        <v>n.a.</v>
      </c>
      <c r="J151" s="525" t="str">
        <f t="shared" si="47"/>
        <v>n.a.</v>
      </c>
      <c r="K151" s="525" t="str">
        <f t="shared" si="47"/>
        <v>n.a.</v>
      </c>
      <c r="L151" s="525" t="str">
        <f t="shared" si="48"/>
        <v>n.a.</v>
      </c>
      <c r="M151" s="525" t="str">
        <f t="shared" si="48"/>
        <v>n.a.</v>
      </c>
      <c r="N151" s="525" t="str">
        <f t="shared" si="48"/>
        <v>n.a.</v>
      </c>
      <c r="O151" s="525" t="str">
        <f t="shared" si="48"/>
        <v>n.a.</v>
      </c>
      <c r="P151" s="525" t="str">
        <f t="shared" si="48"/>
        <v>31055900</v>
      </c>
      <c r="Q151" s="525" t="str">
        <f t="shared" si="48"/>
        <v>76061219</v>
      </c>
      <c r="R151" s="525" t="str">
        <f t="shared" si="48"/>
        <v>n.a.</v>
      </c>
      <c r="S151" s="525" t="str">
        <f t="shared" si="48"/>
        <v>n.a.</v>
      </c>
    </row>
    <row r="152" spans="1:19" s="110" customFormat="1" x14ac:dyDescent="0.25">
      <c r="A152" s="785">
        <v>19</v>
      </c>
      <c r="B152" s="525" t="str">
        <f t="shared" si="47"/>
        <v>n.a.</v>
      </c>
      <c r="C152" s="525" t="str">
        <f t="shared" si="47"/>
        <v>n.a.</v>
      </c>
      <c r="D152" s="525" t="str">
        <f t="shared" si="47"/>
        <v>n.a.</v>
      </c>
      <c r="E152" s="525" t="str">
        <f t="shared" si="47"/>
        <v>n.a.</v>
      </c>
      <c r="F152" s="525" t="str">
        <f t="shared" si="47"/>
        <v>72085310</v>
      </c>
      <c r="G152" s="525" t="str">
        <f t="shared" si="47"/>
        <v>72072059</v>
      </c>
      <c r="H152" s="525" t="str">
        <f t="shared" si="47"/>
        <v>n.a.</v>
      </c>
      <c r="I152" s="525" t="str">
        <f t="shared" si="47"/>
        <v>n.a.</v>
      </c>
      <c r="J152" s="525" t="str">
        <f t="shared" si="47"/>
        <v>n.a.</v>
      </c>
      <c r="K152" s="525" t="str">
        <f t="shared" si="47"/>
        <v>n.a.</v>
      </c>
      <c r="L152" s="525" t="str">
        <f t="shared" si="48"/>
        <v>n.a.</v>
      </c>
      <c r="M152" s="525" t="str">
        <f t="shared" si="48"/>
        <v>n.a.</v>
      </c>
      <c r="N152" s="525" t="str">
        <f t="shared" si="48"/>
        <v>n.a.</v>
      </c>
      <c r="O152" s="525" t="str">
        <f t="shared" si="48"/>
        <v>n.a.</v>
      </c>
      <c r="P152" s="525" t="str">
        <f t="shared" si="48"/>
        <v>31059020</v>
      </c>
      <c r="Q152" s="525" t="str">
        <f t="shared" si="48"/>
        <v>76061230</v>
      </c>
      <c r="R152" s="525" t="str">
        <f t="shared" si="48"/>
        <v>n.a.</v>
      </c>
      <c r="S152" s="525" t="str">
        <f t="shared" si="48"/>
        <v>n.a.</v>
      </c>
    </row>
    <row r="153" spans="1:19" s="110" customFormat="1" x14ac:dyDescent="0.25">
      <c r="A153" s="785">
        <v>20</v>
      </c>
      <c r="B153" s="525" t="str">
        <f t="shared" si="47"/>
        <v>n.a.</v>
      </c>
      <c r="C153" s="525" t="str">
        <f t="shared" si="47"/>
        <v>n.a.</v>
      </c>
      <c r="D153" s="525" t="str">
        <f t="shared" si="47"/>
        <v>n.a.</v>
      </c>
      <c r="E153" s="525" t="str">
        <f t="shared" si="47"/>
        <v>n.a.</v>
      </c>
      <c r="F153" s="525" t="str">
        <f t="shared" si="47"/>
        <v>72085390</v>
      </c>
      <c r="G153" s="525" t="str">
        <f t="shared" si="47"/>
        <v>72072080</v>
      </c>
      <c r="H153" s="525" t="str">
        <f t="shared" si="47"/>
        <v>n.a.</v>
      </c>
      <c r="I153" s="525" t="str">
        <f t="shared" si="47"/>
        <v>n.a.</v>
      </c>
      <c r="J153" s="525" t="str">
        <f t="shared" si="47"/>
        <v>n.a.</v>
      </c>
      <c r="K153" s="525" t="str">
        <f t="shared" si="47"/>
        <v>n.a.</v>
      </c>
      <c r="L153" s="525" t="str">
        <f t="shared" si="48"/>
        <v>n.a.</v>
      </c>
      <c r="M153" s="525" t="str">
        <f t="shared" si="48"/>
        <v>n.a.</v>
      </c>
      <c r="N153" s="525" t="str">
        <f t="shared" si="48"/>
        <v>n.a.</v>
      </c>
      <c r="O153" s="525" t="str">
        <f t="shared" si="48"/>
        <v>n.a.</v>
      </c>
      <c r="P153" s="525" t="str">
        <f t="shared" si="48"/>
        <v>31059080</v>
      </c>
      <c r="Q153" s="525" t="str">
        <f t="shared" si="48"/>
        <v>76061250</v>
      </c>
      <c r="R153" s="525" t="str">
        <f t="shared" si="48"/>
        <v>n.a.</v>
      </c>
      <c r="S153" s="525" t="str">
        <f t="shared" si="48"/>
        <v>n.a.</v>
      </c>
    </row>
    <row r="154" spans="1:19" s="110" customFormat="1" x14ac:dyDescent="0.25">
      <c r="A154" s="785">
        <v>21</v>
      </c>
      <c r="B154" s="525" t="str">
        <f t="shared" ref="B154:K163" si="49">IFERROR(INDEX(CNCodes_ListKey,MATCH($A154&amp;"_"&amp;B$132,CNCodes_ListNumbering,0)),CONST_NA)</f>
        <v>n.a.</v>
      </c>
      <c r="C154" s="525" t="str">
        <f t="shared" si="49"/>
        <v>n.a.</v>
      </c>
      <c r="D154" s="525" t="str">
        <f t="shared" si="49"/>
        <v>n.a.</v>
      </c>
      <c r="E154" s="525" t="str">
        <f t="shared" si="49"/>
        <v>n.a.</v>
      </c>
      <c r="F154" s="525" t="str">
        <f t="shared" si="49"/>
        <v>72085400</v>
      </c>
      <c r="G154" s="525" t="str">
        <f t="shared" si="49"/>
        <v>72181000</v>
      </c>
      <c r="H154" s="525" t="str">
        <f t="shared" si="49"/>
        <v>n.a.</v>
      </c>
      <c r="I154" s="525" t="str">
        <f t="shared" si="49"/>
        <v>n.a.</v>
      </c>
      <c r="J154" s="525" t="str">
        <f t="shared" si="49"/>
        <v>n.a.</v>
      </c>
      <c r="K154" s="525" t="str">
        <f t="shared" si="49"/>
        <v>n.a.</v>
      </c>
      <c r="L154" s="525" t="str">
        <f t="shared" ref="L154:S163" si="50">IFERROR(INDEX(CNCodes_ListKey,MATCH($A154&amp;"_"&amp;L$132,CNCodes_ListNumbering,0)),CONST_NA)</f>
        <v>n.a.</v>
      </c>
      <c r="M154" s="525" t="str">
        <f t="shared" si="50"/>
        <v>n.a.</v>
      </c>
      <c r="N154" s="525" t="str">
        <f t="shared" si="50"/>
        <v>n.a.</v>
      </c>
      <c r="O154" s="525" t="str">
        <f t="shared" si="50"/>
        <v>n.a.</v>
      </c>
      <c r="P154" s="525" t="str">
        <f t="shared" si="50"/>
        <v>n.a.</v>
      </c>
      <c r="Q154" s="525" t="str">
        <f t="shared" si="50"/>
        <v>76061292</v>
      </c>
      <c r="R154" s="525" t="str">
        <f t="shared" si="50"/>
        <v>n.a.</v>
      </c>
      <c r="S154" s="525" t="str">
        <f t="shared" si="50"/>
        <v>n.a.</v>
      </c>
    </row>
    <row r="155" spans="1:19" s="110" customFormat="1" x14ac:dyDescent="0.25">
      <c r="A155" s="785">
        <v>22</v>
      </c>
      <c r="B155" s="525" t="str">
        <f t="shared" si="49"/>
        <v>n.a.</v>
      </c>
      <c r="C155" s="525" t="str">
        <f t="shared" si="49"/>
        <v>n.a.</v>
      </c>
      <c r="D155" s="525" t="str">
        <f t="shared" si="49"/>
        <v>n.a.</v>
      </c>
      <c r="E155" s="525" t="str">
        <f t="shared" si="49"/>
        <v>n.a.</v>
      </c>
      <c r="F155" s="525" t="str">
        <f t="shared" si="49"/>
        <v>72089020</v>
      </c>
      <c r="G155" s="525" t="str">
        <f t="shared" si="49"/>
        <v>72189110</v>
      </c>
      <c r="H155" s="525" t="str">
        <f t="shared" si="49"/>
        <v>n.a.</v>
      </c>
      <c r="I155" s="525" t="str">
        <f t="shared" si="49"/>
        <v>n.a.</v>
      </c>
      <c r="J155" s="525" t="str">
        <f t="shared" si="49"/>
        <v>n.a.</v>
      </c>
      <c r="K155" s="525" t="str">
        <f t="shared" si="49"/>
        <v>n.a.</v>
      </c>
      <c r="L155" s="525" t="str">
        <f t="shared" si="50"/>
        <v>n.a.</v>
      </c>
      <c r="M155" s="525" t="str">
        <f t="shared" si="50"/>
        <v>n.a.</v>
      </c>
      <c r="N155" s="525" t="str">
        <f t="shared" si="50"/>
        <v>n.a.</v>
      </c>
      <c r="O155" s="525" t="str">
        <f t="shared" si="50"/>
        <v>n.a.</v>
      </c>
      <c r="P155" s="525" t="str">
        <f t="shared" si="50"/>
        <v>n.a.</v>
      </c>
      <c r="Q155" s="525" t="str">
        <f t="shared" si="50"/>
        <v>76061293</v>
      </c>
      <c r="R155" s="525" t="str">
        <f t="shared" si="50"/>
        <v>n.a.</v>
      </c>
      <c r="S155" s="525" t="str">
        <f t="shared" si="50"/>
        <v>n.a.</v>
      </c>
    </row>
    <row r="156" spans="1:19" s="110" customFormat="1" x14ac:dyDescent="0.25">
      <c r="A156" s="785">
        <v>23</v>
      </c>
      <c r="B156" s="525" t="str">
        <f t="shared" si="49"/>
        <v>n.a.</v>
      </c>
      <c r="C156" s="525" t="str">
        <f t="shared" si="49"/>
        <v>n.a.</v>
      </c>
      <c r="D156" s="525" t="str">
        <f t="shared" si="49"/>
        <v>n.a.</v>
      </c>
      <c r="E156" s="525" t="str">
        <f t="shared" si="49"/>
        <v>n.a.</v>
      </c>
      <c r="F156" s="525" t="str">
        <f t="shared" si="49"/>
        <v>72089080</v>
      </c>
      <c r="G156" s="525" t="str">
        <f t="shared" si="49"/>
        <v>72189180</v>
      </c>
      <c r="H156" s="525" t="str">
        <f t="shared" si="49"/>
        <v>n.a.</v>
      </c>
      <c r="I156" s="525" t="str">
        <f t="shared" si="49"/>
        <v>n.a.</v>
      </c>
      <c r="J156" s="525" t="str">
        <f t="shared" si="49"/>
        <v>n.a.</v>
      </c>
      <c r="K156" s="525" t="str">
        <f t="shared" si="49"/>
        <v>n.a.</v>
      </c>
      <c r="L156" s="525" t="str">
        <f t="shared" si="50"/>
        <v>n.a.</v>
      </c>
      <c r="M156" s="525" t="str">
        <f t="shared" si="50"/>
        <v>n.a.</v>
      </c>
      <c r="N156" s="525" t="str">
        <f t="shared" si="50"/>
        <v>n.a.</v>
      </c>
      <c r="O156" s="525" t="str">
        <f t="shared" si="50"/>
        <v>n.a.</v>
      </c>
      <c r="P156" s="525" t="str">
        <f t="shared" si="50"/>
        <v>n.a.</v>
      </c>
      <c r="Q156" s="525" t="str">
        <f t="shared" si="50"/>
        <v>76061299</v>
      </c>
      <c r="R156" s="525" t="str">
        <f t="shared" si="50"/>
        <v>n.a.</v>
      </c>
      <c r="S156" s="525" t="str">
        <f t="shared" si="50"/>
        <v>n.a.</v>
      </c>
    </row>
    <row r="157" spans="1:19" s="110" customFormat="1" x14ac:dyDescent="0.25">
      <c r="A157" s="785">
        <v>24</v>
      </c>
      <c r="B157" s="525" t="str">
        <f t="shared" si="49"/>
        <v>n.a.</v>
      </c>
      <c r="C157" s="525" t="str">
        <f t="shared" si="49"/>
        <v>n.a.</v>
      </c>
      <c r="D157" s="525" t="str">
        <f t="shared" si="49"/>
        <v>n.a.</v>
      </c>
      <c r="E157" s="525" t="str">
        <f t="shared" si="49"/>
        <v>n.a.</v>
      </c>
      <c r="F157" s="525" t="str">
        <f t="shared" si="49"/>
        <v>72091500</v>
      </c>
      <c r="G157" s="525" t="str">
        <f t="shared" si="49"/>
        <v>72189911</v>
      </c>
      <c r="H157" s="525" t="str">
        <f t="shared" si="49"/>
        <v>n.a.</v>
      </c>
      <c r="I157" s="525" t="str">
        <f t="shared" si="49"/>
        <v>n.a.</v>
      </c>
      <c r="J157" s="525" t="str">
        <f t="shared" si="49"/>
        <v>n.a.</v>
      </c>
      <c r="K157" s="525" t="str">
        <f t="shared" si="49"/>
        <v>n.a.</v>
      </c>
      <c r="L157" s="525" t="str">
        <f t="shared" si="50"/>
        <v>n.a.</v>
      </c>
      <c r="M157" s="525" t="str">
        <f t="shared" si="50"/>
        <v>n.a.</v>
      </c>
      <c r="N157" s="525" t="str">
        <f t="shared" si="50"/>
        <v>n.a.</v>
      </c>
      <c r="O157" s="525" t="str">
        <f t="shared" si="50"/>
        <v>n.a.</v>
      </c>
      <c r="P157" s="525" t="str">
        <f t="shared" si="50"/>
        <v>n.a.</v>
      </c>
      <c r="Q157" s="525" t="str">
        <f t="shared" si="50"/>
        <v>76069100</v>
      </c>
      <c r="R157" s="525" t="str">
        <f t="shared" si="50"/>
        <v>n.a.</v>
      </c>
      <c r="S157" s="525" t="str">
        <f t="shared" si="50"/>
        <v>n.a.</v>
      </c>
    </row>
    <row r="158" spans="1:19" s="110" customFormat="1" x14ac:dyDescent="0.25">
      <c r="A158" s="785">
        <v>25</v>
      </c>
      <c r="B158" s="525" t="str">
        <f t="shared" si="49"/>
        <v>n.a.</v>
      </c>
      <c r="C158" s="525" t="str">
        <f t="shared" si="49"/>
        <v>n.a.</v>
      </c>
      <c r="D158" s="525" t="str">
        <f t="shared" si="49"/>
        <v>n.a.</v>
      </c>
      <c r="E158" s="525" t="str">
        <f t="shared" si="49"/>
        <v>n.a.</v>
      </c>
      <c r="F158" s="525" t="str">
        <f t="shared" si="49"/>
        <v>72091610</v>
      </c>
      <c r="G158" s="525" t="str">
        <f t="shared" si="49"/>
        <v>72189919</v>
      </c>
      <c r="H158" s="525" t="str">
        <f t="shared" si="49"/>
        <v>n.a.</v>
      </c>
      <c r="I158" s="525" t="str">
        <f t="shared" si="49"/>
        <v>n.a.</v>
      </c>
      <c r="J158" s="525" t="str">
        <f t="shared" si="49"/>
        <v>n.a.</v>
      </c>
      <c r="K158" s="525" t="str">
        <f t="shared" si="49"/>
        <v>n.a.</v>
      </c>
      <c r="L158" s="525" t="str">
        <f t="shared" si="50"/>
        <v>n.a.</v>
      </c>
      <c r="M158" s="525" t="str">
        <f t="shared" si="50"/>
        <v>n.a.</v>
      </c>
      <c r="N158" s="525" t="str">
        <f t="shared" si="50"/>
        <v>n.a.</v>
      </c>
      <c r="O158" s="525" t="str">
        <f t="shared" si="50"/>
        <v>n.a.</v>
      </c>
      <c r="P158" s="525" t="str">
        <f t="shared" si="50"/>
        <v>n.a.</v>
      </c>
      <c r="Q158" s="525" t="str">
        <f t="shared" si="50"/>
        <v>76069200</v>
      </c>
      <c r="R158" s="525" t="str">
        <f t="shared" si="50"/>
        <v>n.a.</v>
      </c>
      <c r="S158" s="525" t="str">
        <f t="shared" si="50"/>
        <v>n.a.</v>
      </c>
    </row>
    <row r="159" spans="1:19" s="110" customFormat="1" x14ac:dyDescent="0.25">
      <c r="A159" s="785">
        <v>26</v>
      </c>
      <c r="B159" s="525" t="str">
        <f t="shared" si="49"/>
        <v>n.a.</v>
      </c>
      <c r="C159" s="525" t="str">
        <f t="shared" si="49"/>
        <v>n.a.</v>
      </c>
      <c r="D159" s="525" t="str">
        <f t="shared" si="49"/>
        <v>n.a.</v>
      </c>
      <c r="E159" s="525" t="str">
        <f t="shared" si="49"/>
        <v>n.a.</v>
      </c>
      <c r="F159" s="525" t="str">
        <f t="shared" si="49"/>
        <v>72091690</v>
      </c>
      <c r="G159" s="525" t="str">
        <f t="shared" si="49"/>
        <v>72189920</v>
      </c>
      <c r="H159" s="525" t="str">
        <f t="shared" si="49"/>
        <v>n.a.</v>
      </c>
      <c r="I159" s="525" t="str">
        <f t="shared" si="49"/>
        <v>n.a.</v>
      </c>
      <c r="J159" s="525" t="str">
        <f t="shared" si="49"/>
        <v>n.a.</v>
      </c>
      <c r="K159" s="525" t="str">
        <f t="shared" si="49"/>
        <v>n.a.</v>
      </c>
      <c r="L159" s="525" t="str">
        <f t="shared" si="50"/>
        <v>n.a.</v>
      </c>
      <c r="M159" s="525" t="str">
        <f t="shared" si="50"/>
        <v>n.a.</v>
      </c>
      <c r="N159" s="525" t="str">
        <f t="shared" si="50"/>
        <v>n.a.</v>
      </c>
      <c r="O159" s="525" t="str">
        <f t="shared" si="50"/>
        <v>n.a.</v>
      </c>
      <c r="P159" s="525" t="str">
        <f t="shared" si="50"/>
        <v>n.a.</v>
      </c>
      <c r="Q159" s="525" t="str">
        <f t="shared" si="50"/>
        <v>76071111</v>
      </c>
      <c r="R159" s="525" t="str">
        <f t="shared" si="50"/>
        <v>n.a.</v>
      </c>
      <c r="S159" s="525" t="str">
        <f t="shared" si="50"/>
        <v>n.a.</v>
      </c>
    </row>
    <row r="160" spans="1:19" s="110" customFormat="1" x14ac:dyDescent="0.25">
      <c r="A160" s="785">
        <v>27</v>
      </c>
      <c r="B160" s="525" t="str">
        <f t="shared" si="49"/>
        <v>n.a.</v>
      </c>
      <c r="C160" s="525" t="str">
        <f t="shared" si="49"/>
        <v>n.a.</v>
      </c>
      <c r="D160" s="525" t="str">
        <f t="shared" si="49"/>
        <v>n.a.</v>
      </c>
      <c r="E160" s="525" t="str">
        <f t="shared" si="49"/>
        <v>n.a.</v>
      </c>
      <c r="F160" s="525" t="str">
        <f t="shared" si="49"/>
        <v>72091710</v>
      </c>
      <c r="G160" s="525" t="str">
        <f t="shared" si="49"/>
        <v>72189980</v>
      </c>
      <c r="H160" s="525" t="str">
        <f t="shared" si="49"/>
        <v>n.a.</v>
      </c>
      <c r="I160" s="525" t="str">
        <f t="shared" si="49"/>
        <v>n.a.</v>
      </c>
      <c r="J160" s="525" t="str">
        <f t="shared" si="49"/>
        <v>n.a.</v>
      </c>
      <c r="K160" s="525" t="str">
        <f t="shared" si="49"/>
        <v>n.a.</v>
      </c>
      <c r="L160" s="525" t="str">
        <f t="shared" si="50"/>
        <v>n.a.</v>
      </c>
      <c r="M160" s="525" t="str">
        <f t="shared" si="50"/>
        <v>n.a.</v>
      </c>
      <c r="N160" s="525" t="str">
        <f t="shared" si="50"/>
        <v>n.a.</v>
      </c>
      <c r="O160" s="525" t="str">
        <f t="shared" si="50"/>
        <v>n.a.</v>
      </c>
      <c r="P160" s="525" t="str">
        <f t="shared" si="50"/>
        <v>n.a.</v>
      </c>
      <c r="Q160" s="525" t="str">
        <f t="shared" si="50"/>
        <v>76071119</v>
      </c>
      <c r="R160" s="525" t="str">
        <f t="shared" si="50"/>
        <v>n.a.</v>
      </c>
      <c r="S160" s="525" t="str">
        <f t="shared" si="50"/>
        <v>n.a.</v>
      </c>
    </row>
    <row r="161" spans="1:19" s="110" customFormat="1" x14ac:dyDescent="0.25">
      <c r="A161" s="785">
        <v>28</v>
      </c>
      <c r="B161" s="525" t="str">
        <f t="shared" si="49"/>
        <v>n.a.</v>
      </c>
      <c r="C161" s="525" t="str">
        <f t="shared" si="49"/>
        <v>n.a.</v>
      </c>
      <c r="D161" s="525" t="str">
        <f t="shared" si="49"/>
        <v>n.a.</v>
      </c>
      <c r="E161" s="525" t="str">
        <f t="shared" si="49"/>
        <v>n.a.</v>
      </c>
      <c r="F161" s="525" t="str">
        <f t="shared" si="49"/>
        <v>72091790</v>
      </c>
      <c r="G161" s="525" t="str">
        <f t="shared" si="49"/>
        <v>72241010</v>
      </c>
      <c r="H161" s="525" t="str">
        <f t="shared" si="49"/>
        <v>n.a.</v>
      </c>
      <c r="I161" s="525" t="str">
        <f t="shared" si="49"/>
        <v>n.a.</v>
      </c>
      <c r="J161" s="525" t="str">
        <f t="shared" si="49"/>
        <v>n.a.</v>
      </c>
      <c r="K161" s="525" t="str">
        <f t="shared" si="49"/>
        <v>n.a.</v>
      </c>
      <c r="L161" s="525" t="str">
        <f t="shared" si="50"/>
        <v>n.a.</v>
      </c>
      <c r="M161" s="525" t="str">
        <f t="shared" si="50"/>
        <v>n.a.</v>
      </c>
      <c r="N161" s="525" t="str">
        <f t="shared" si="50"/>
        <v>n.a.</v>
      </c>
      <c r="O161" s="525" t="str">
        <f t="shared" si="50"/>
        <v>n.a.</v>
      </c>
      <c r="P161" s="525" t="str">
        <f t="shared" si="50"/>
        <v>n.a.</v>
      </c>
      <c r="Q161" s="525" t="str">
        <f t="shared" si="50"/>
        <v>76071190</v>
      </c>
      <c r="R161" s="525" t="str">
        <f t="shared" si="50"/>
        <v>n.a.</v>
      </c>
      <c r="S161" s="525" t="str">
        <f t="shared" si="50"/>
        <v>n.a.</v>
      </c>
    </row>
    <row r="162" spans="1:19" s="110" customFormat="1" x14ac:dyDescent="0.25">
      <c r="A162" s="785">
        <v>29</v>
      </c>
      <c r="B162" s="525" t="str">
        <f t="shared" si="49"/>
        <v>n.a.</v>
      </c>
      <c r="C162" s="525" t="str">
        <f t="shared" si="49"/>
        <v>n.a.</v>
      </c>
      <c r="D162" s="525" t="str">
        <f t="shared" si="49"/>
        <v>n.a.</v>
      </c>
      <c r="E162" s="525" t="str">
        <f t="shared" si="49"/>
        <v>n.a.</v>
      </c>
      <c r="F162" s="525" t="str">
        <f t="shared" si="49"/>
        <v>72091810</v>
      </c>
      <c r="G162" s="525" t="str">
        <f t="shared" si="49"/>
        <v>72241090</v>
      </c>
      <c r="H162" s="525" t="str">
        <f t="shared" si="49"/>
        <v>n.a.</v>
      </c>
      <c r="I162" s="525" t="str">
        <f t="shared" si="49"/>
        <v>n.a.</v>
      </c>
      <c r="J162" s="525" t="str">
        <f t="shared" si="49"/>
        <v>n.a.</v>
      </c>
      <c r="K162" s="525" t="str">
        <f t="shared" si="49"/>
        <v>n.a.</v>
      </c>
      <c r="L162" s="525" t="str">
        <f t="shared" si="50"/>
        <v>n.a.</v>
      </c>
      <c r="M162" s="525" t="str">
        <f t="shared" si="50"/>
        <v>n.a.</v>
      </c>
      <c r="N162" s="525" t="str">
        <f t="shared" si="50"/>
        <v>n.a.</v>
      </c>
      <c r="O162" s="525" t="str">
        <f t="shared" si="50"/>
        <v>n.a.</v>
      </c>
      <c r="P162" s="525" t="str">
        <f t="shared" si="50"/>
        <v>n.a.</v>
      </c>
      <c r="Q162" s="525" t="str">
        <f t="shared" si="50"/>
        <v>76071910</v>
      </c>
      <c r="R162" s="525" t="str">
        <f t="shared" si="50"/>
        <v>n.a.</v>
      </c>
      <c r="S162" s="525" t="str">
        <f t="shared" si="50"/>
        <v>n.a.</v>
      </c>
    </row>
    <row r="163" spans="1:19" s="110" customFormat="1" x14ac:dyDescent="0.25">
      <c r="A163" s="785">
        <v>30</v>
      </c>
      <c r="B163" s="525" t="str">
        <f t="shared" si="49"/>
        <v>n.a.</v>
      </c>
      <c r="C163" s="525" t="str">
        <f t="shared" si="49"/>
        <v>n.a.</v>
      </c>
      <c r="D163" s="525" t="str">
        <f t="shared" si="49"/>
        <v>n.a.</v>
      </c>
      <c r="E163" s="525" t="str">
        <f t="shared" si="49"/>
        <v>n.a.</v>
      </c>
      <c r="F163" s="525" t="str">
        <f t="shared" si="49"/>
        <v>72091891</v>
      </c>
      <c r="G163" s="525" t="str">
        <f t="shared" si="49"/>
        <v>72249002</v>
      </c>
      <c r="H163" s="525" t="str">
        <f t="shared" si="49"/>
        <v>n.a.</v>
      </c>
      <c r="I163" s="525" t="str">
        <f t="shared" si="49"/>
        <v>n.a.</v>
      </c>
      <c r="J163" s="525" t="str">
        <f t="shared" si="49"/>
        <v>n.a.</v>
      </c>
      <c r="K163" s="525" t="str">
        <f t="shared" si="49"/>
        <v>n.a.</v>
      </c>
      <c r="L163" s="525" t="str">
        <f t="shared" si="50"/>
        <v>n.a.</v>
      </c>
      <c r="M163" s="525" t="str">
        <f t="shared" si="50"/>
        <v>n.a.</v>
      </c>
      <c r="N163" s="525" t="str">
        <f t="shared" si="50"/>
        <v>n.a.</v>
      </c>
      <c r="O163" s="525" t="str">
        <f t="shared" si="50"/>
        <v>n.a.</v>
      </c>
      <c r="P163" s="525" t="str">
        <f t="shared" si="50"/>
        <v>n.a.</v>
      </c>
      <c r="Q163" s="525" t="str">
        <f t="shared" si="50"/>
        <v>76071990</v>
      </c>
      <c r="R163" s="525" t="str">
        <f t="shared" si="50"/>
        <v>n.a.</v>
      </c>
      <c r="S163" s="525" t="str">
        <f t="shared" si="50"/>
        <v>n.a.</v>
      </c>
    </row>
    <row r="164" spans="1:19" s="110" customFormat="1" x14ac:dyDescent="0.25">
      <c r="A164" s="785">
        <v>31</v>
      </c>
      <c r="B164" s="525" t="str">
        <f t="shared" ref="B164:K173" si="51">IFERROR(INDEX(CNCodes_ListKey,MATCH($A164&amp;"_"&amp;B$132,CNCodes_ListNumbering,0)),CONST_NA)</f>
        <v>n.a.</v>
      </c>
      <c r="C164" s="525" t="str">
        <f t="shared" si="51"/>
        <v>n.a.</v>
      </c>
      <c r="D164" s="525" t="str">
        <f t="shared" si="51"/>
        <v>n.a.</v>
      </c>
      <c r="E164" s="525" t="str">
        <f t="shared" si="51"/>
        <v>n.a.</v>
      </c>
      <c r="F164" s="525" t="str">
        <f t="shared" si="51"/>
        <v>72091899</v>
      </c>
      <c r="G164" s="525" t="str">
        <f t="shared" si="51"/>
        <v>72249003</v>
      </c>
      <c r="H164" s="525" t="str">
        <f t="shared" si="51"/>
        <v>n.a.</v>
      </c>
      <c r="I164" s="525" t="str">
        <f t="shared" si="51"/>
        <v>n.a.</v>
      </c>
      <c r="J164" s="525" t="str">
        <f t="shared" si="51"/>
        <v>n.a.</v>
      </c>
      <c r="K164" s="525" t="str">
        <f t="shared" si="51"/>
        <v>n.a.</v>
      </c>
      <c r="L164" s="525" t="str">
        <f t="shared" ref="L164:S173" si="52">IFERROR(INDEX(CNCodes_ListKey,MATCH($A164&amp;"_"&amp;L$132,CNCodes_ListNumbering,0)),CONST_NA)</f>
        <v>n.a.</v>
      </c>
      <c r="M164" s="525" t="str">
        <f t="shared" si="52"/>
        <v>n.a.</v>
      </c>
      <c r="N164" s="525" t="str">
        <f t="shared" si="52"/>
        <v>n.a.</v>
      </c>
      <c r="O164" s="525" t="str">
        <f t="shared" si="52"/>
        <v>n.a.</v>
      </c>
      <c r="P164" s="525" t="str">
        <f t="shared" si="52"/>
        <v>n.a.</v>
      </c>
      <c r="Q164" s="525" t="str">
        <f t="shared" si="52"/>
        <v>76072010</v>
      </c>
      <c r="R164" s="525" t="str">
        <f t="shared" si="52"/>
        <v>n.a.</v>
      </c>
      <c r="S164" s="525" t="str">
        <f t="shared" si="52"/>
        <v>n.a.</v>
      </c>
    </row>
    <row r="165" spans="1:19" s="110" customFormat="1" x14ac:dyDescent="0.25">
      <c r="A165" s="785">
        <v>32</v>
      </c>
      <c r="B165" s="525" t="str">
        <f t="shared" si="51"/>
        <v>n.a.</v>
      </c>
      <c r="C165" s="525" t="str">
        <f t="shared" si="51"/>
        <v>n.a.</v>
      </c>
      <c r="D165" s="525" t="str">
        <f t="shared" si="51"/>
        <v>n.a.</v>
      </c>
      <c r="E165" s="525" t="str">
        <f t="shared" si="51"/>
        <v>n.a.</v>
      </c>
      <c r="F165" s="525" t="str">
        <f t="shared" si="51"/>
        <v>72092500</v>
      </c>
      <c r="G165" s="525" t="str">
        <f t="shared" si="51"/>
        <v>72249005</v>
      </c>
      <c r="H165" s="525" t="str">
        <f t="shared" si="51"/>
        <v>n.a.</v>
      </c>
      <c r="I165" s="525" t="str">
        <f t="shared" si="51"/>
        <v>n.a.</v>
      </c>
      <c r="J165" s="525" t="str">
        <f t="shared" si="51"/>
        <v>n.a.</v>
      </c>
      <c r="K165" s="525" t="str">
        <f t="shared" si="51"/>
        <v>n.a.</v>
      </c>
      <c r="L165" s="525" t="str">
        <f t="shared" si="52"/>
        <v>n.a.</v>
      </c>
      <c r="M165" s="525" t="str">
        <f t="shared" si="52"/>
        <v>n.a.</v>
      </c>
      <c r="N165" s="525" t="str">
        <f t="shared" si="52"/>
        <v>n.a.</v>
      </c>
      <c r="O165" s="525" t="str">
        <f t="shared" si="52"/>
        <v>n.a.</v>
      </c>
      <c r="P165" s="525" t="str">
        <f t="shared" si="52"/>
        <v>n.a.</v>
      </c>
      <c r="Q165" s="525" t="str">
        <f t="shared" si="52"/>
        <v>76072091</v>
      </c>
      <c r="R165" s="525" t="str">
        <f t="shared" si="52"/>
        <v>n.a.</v>
      </c>
      <c r="S165" s="525" t="str">
        <f t="shared" si="52"/>
        <v>n.a.</v>
      </c>
    </row>
    <row r="166" spans="1:19" s="110" customFormat="1" x14ac:dyDescent="0.25">
      <c r="A166" s="785">
        <v>33</v>
      </c>
      <c r="B166" s="525" t="str">
        <f t="shared" si="51"/>
        <v>n.a.</v>
      </c>
      <c r="C166" s="525" t="str">
        <f t="shared" si="51"/>
        <v>n.a.</v>
      </c>
      <c r="D166" s="525" t="str">
        <f t="shared" si="51"/>
        <v>n.a.</v>
      </c>
      <c r="E166" s="525" t="str">
        <f t="shared" si="51"/>
        <v>n.a.</v>
      </c>
      <c r="F166" s="525" t="str">
        <f t="shared" si="51"/>
        <v>72092610</v>
      </c>
      <c r="G166" s="525" t="str">
        <f t="shared" si="51"/>
        <v>72249007</v>
      </c>
      <c r="H166" s="525" t="str">
        <f t="shared" si="51"/>
        <v>n.a.</v>
      </c>
      <c r="I166" s="525" t="str">
        <f t="shared" si="51"/>
        <v>n.a.</v>
      </c>
      <c r="J166" s="525" t="str">
        <f t="shared" si="51"/>
        <v>n.a.</v>
      </c>
      <c r="K166" s="525" t="str">
        <f t="shared" si="51"/>
        <v>n.a.</v>
      </c>
      <c r="L166" s="525" t="str">
        <f t="shared" si="52"/>
        <v>n.a.</v>
      </c>
      <c r="M166" s="525" t="str">
        <f t="shared" si="52"/>
        <v>n.a.</v>
      </c>
      <c r="N166" s="525" t="str">
        <f t="shared" si="52"/>
        <v>n.a.</v>
      </c>
      <c r="O166" s="525" t="str">
        <f t="shared" si="52"/>
        <v>n.a.</v>
      </c>
      <c r="P166" s="525" t="str">
        <f t="shared" si="52"/>
        <v>n.a.</v>
      </c>
      <c r="Q166" s="525" t="str">
        <f t="shared" si="52"/>
        <v>76072099</v>
      </c>
      <c r="R166" s="525" t="str">
        <f t="shared" si="52"/>
        <v>n.a.</v>
      </c>
      <c r="S166" s="525" t="str">
        <f t="shared" si="52"/>
        <v>n.a.</v>
      </c>
    </row>
    <row r="167" spans="1:19" s="110" customFormat="1" x14ac:dyDescent="0.25">
      <c r="A167" s="785">
        <v>34</v>
      </c>
      <c r="B167" s="525" t="str">
        <f t="shared" si="51"/>
        <v>n.a.</v>
      </c>
      <c r="C167" s="525" t="str">
        <f t="shared" si="51"/>
        <v>n.a.</v>
      </c>
      <c r="D167" s="525" t="str">
        <f t="shared" si="51"/>
        <v>n.a.</v>
      </c>
      <c r="E167" s="525" t="str">
        <f t="shared" si="51"/>
        <v>n.a.</v>
      </c>
      <c r="F167" s="525" t="str">
        <f t="shared" si="51"/>
        <v>72092690</v>
      </c>
      <c r="G167" s="525" t="str">
        <f t="shared" si="51"/>
        <v>72249014</v>
      </c>
      <c r="H167" s="525" t="str">
        <f t="shared" si="51"/>
        <v>n.a.</v>
      </c>
      <c r="I167" s="525" t="str">
        <f t="shared" si="51"/>
        <v>n.a.</v>
      </c>
      <c r="J167" s="525" t="str">
        <f t="shared" si="51"/>
        <v>n.a.</v>
      </c>
      <c r="K167" s="525" t="str">
        <f t="shared" si="51"/>
        <v>n.a.</v>
      </c>
      <c r="L167" s="525" t="str">
        <f t="shared" si="52"/>
        <v>n.a.</v>
      </c>
      <c r="M167" s="525" t="str">
        <f t="shared" si="52"/>
        <v>n.a.</v>
      </c>
      <c r="N167" s="525" t="str">
        <f t="shared" si="52"/>
        <v>n.a.</v>
      </c>
      <c r="O167" s="525" t="str">
        <f t="shared" si="52"/>
        <v>n.a.</v>
      </c>
      <c r="P167" s="525" t="str">
        <f t="shared" si="52"/>
        <v>n.a.</v>
      </c>
      <c r="Q167" s="525" t="str">
        <f t="shared" si="52"/>
        <v>76081000</v>
      </c>
      <c r="R167" s="525" t="str">
        <f t="shared" si="52"/>
        <v>n.a.</v>
      </c>
      <c r="S167" s="525" t="str">
        <f t="shared" si="52"/>
        <v>n.a.</v>
      </c>
    </row>
    <row r="168" spans="1:19" s="110" customFormat="1" x14ac:dyDescent="0.25">
      <c r="A168" s="785">
        <v>35</v>
      </c>
      <c r="B168" s="525" t="str">
        <f t="shared" si="51"/>
        <v>n.a.</v>
      </c>
      <c r="C168" s="525" t="str">
        <f t="shared" si="51"/>
        <v>n.a.</v>
      </c>
      <c r="D168" s="525" t="str">
        <f t="shared" si="51"/>
        <v>n.a.</v>
      </c>
      <c r="E168" s="525" t="str">
        <f t="shared" si="51"/>
        <v>n.a.</v>
      </c>
      <c r="F168" s="525" t="str">
        <f t="shared" si="51"/>
        <v>72092710</v>
      </c>
      <c r="G168" s="525" t="str">
        <f t="shared" si="51"/>
        <v>72249018</v>
      </c>
      <c r="H168" s="525" t="str">
        <f t="shared" si="51"/>
        <v>n.a.</v>
      </c>
      <c r="I168" s="525" t="str">
        <f t="shared" si="51"/>
        <v>n.a.</v>
      </c>
      <c r="J168" s="525" t="str">
        <f t="shared" si="51"/>
        <v>n.a.</v>
      </c>
      <c r="K168" s="525" t="str">
        <f t="shared" si="51"/>
        <v>n.a.</v>
      </c>
      <c r="L168" s="525" t="str">
        <f t="shared" si="52"/>
        <v>n.a.</v>
      </c>
      <c r="M168" s="525" t="str">
        <f t="shared" si="52"/>
        <v>n.a.</v>
      </c>
      <c r="N168" s="525" t="str">
        <f t="shared" si="52"/>
        <v>n.a.</v>
      </c>
      <c r="O168" s="525" t="str">
        <f t="shared" si="52"/>
        <v>n.a.</v>
      </c>
      <c r="P168" s="525" t="str">
        <f t="shared" si="52"/>
        <v>n.a.</v>
      </c>
      <c r="Q168" s="525" t="str">
        <f t="shared" si="52"/>
        <v>76082020</v>
      </c>
      <c r="R168" s="525" t="str">
        <f t="shared" si="52"/>
        <v>n.a.</v>
      </c>
      <c r="S168" s="525" t="str">
        <f t="shared" si="52"/>
        <v>n.a.</v>
      </c>
    </row>
    <row r="169" spans="1:19" s="110" customFormat="1" x14ac:dyDescent="0.25">
      <c r="A169" s="785">
        <v>36</v>
      </c>
      <c r="B169" s="525" t="str">
        <f t="shared" si="51"/>
        <v>n.a.</v>
      </c>
      <c r="C169" s="525" t="str">
        <f t="shared" si="51"/>
        <v>n.a.</v>
      </c>
      <c r="D169" s="525" t="str">
        <f t="shared" si="51"/>
        <v>n.a.</v>
      </c>
      <c r="E169" s="525" t="str">
        <f t="shared" si="51"/>
        <v>n.a.</v>
      </c>
      <c r="F169" s="525" t="str">
        <f t="shared" si="51"/>
        <v>72092790</v>
      </c>
      <c r="G169" s="525" t="str">
        <f t="shared" si="51"/>
        <v>72249031</v>
      </c>
      <c r="H169" s="525" t="str">
        <f t="shared" si="51"/>
        <v>n.a.</v>
      </c>
      <c r="I169" s="525" t="str">
        <f t="shared" si="51"/>
        <v>n.a.</v>
      </c>
      <c r="J169" s="525" t="str">
        <f t="shared" si="51"/>
        <v>n.a.</v>
      </c>
      <c r="K169" s="525" t="str">
        <f t="shared" si="51"/>
        <v>n.a.</v>
      </c>
      <c r="L169" s="525" t="str">
        <f t="shared" si="52"/>
        <v>n.a.</v>
      </c>
      <c r="M169" s="525" t="str">
        <f t="shared" si="52"/>
        <v>n.a.</v>
      </c>
      <c r="N169" s="525" t="str">
        <f t="shared" si="52"/>
        <v>n.a.</v>
      </c>
      <c r="O169" s="525" t="str">
        <f t="shared" si="52"/>
        <v>n.a.</v>
      </c>
      <c r="P169" s="525" t="str">
        <f t="shared" si="52"/>
        <v>n.a.</v>
      </c>
      <c r="Q169" s="525" t="str">
        <f t="shared" si="52"/>
        <v>76082081</v>
      </c>
      <c r="R169" s="525" t="str">
        <f t="shared" si="52"/>
        <v>n.a.</v>
      </c>
      <c r="S169" s="525" t="str">
        <f t="shared" si="52"/>
        <v>n.a.</v>
      </c>
    </row>
    <row r="170" spans="1:19" s="110" customFormat="1" x14ac:dyDescent="0.25">
      <c r="A170" s="785">
        <v>37</v>
      </c>
      <c r="B170" s="525" t="str">
        <f t="shared" si="51"/>
        <v>n.a.</v>
      </c>
      <c r="C170" s="525" t="str">
        <f t="shared" si="51"/>
        <v>n.a.</v>
      </c>
      <c r="D170" s="525" t="str">
        <f t="shared" si="51"/>
        <v>n.a.</v>
      </c>
      <c r="E170" s="525" t="str">
        <f t="shared" si="51"/>
        <v>n.a.</v>
      </c>
      <c r="F170" s="525" t="str">
        <f t="shared" si="51"/>
        <v>72092810</v>
      </c>
      <c r="G170" s="525" t="str">
        <f t="shared" si="51"/>
        <v>72249038</v>
      </c>
      <c r="H170" s="525" t="str">
        <f t="shared" si="51"/>
        <v>n.a.</v>
      </c>
      <c r="I170" s="525" t="str">
        <f t="shared" si="51"/>
        <v>n.a.</v>
      </c>
      <c r="J170" s="525" t="str">
        <f t="shared" si="51"/>
        <v>n.a.</v>
      </c>
      <c r="K170" s="525" t="str">
        <f t="shared" si="51"/>
        <v>n.a.</v>
      </c>
      <c r="L170" s="525" t="str">
        <f t="shared" si="52"/>
        <v>n.a.</v>
      </c>
      <c r="M170" s="525" t="str">
        <f t="shared" si="52"/>
        <v>n.a.</v>
      </c>
      <c r="N170" s="525" t="str">
        <f t="shared" si="52"/>
        <v>n.a.</v>
      </c>
      <c r="O170" s="525" t="str">
        <f t="shared" si="52"/>
        <v>n.a.</v>
      </c>
      <c r="P170" s="525" t="str">
        <f t="shared" si="52"/>
        <v>n.a.</v>
      </c>
      <c r="Q170" s="525" t="str">
        <f t="shared" si="52"/>
        <v>76082089</v>
      </c>
      <c r="R170" s="525" t="str">
        <f t="shared" si="52"/>
        <v>n.a.</v>
      </c>
      <c r="S170" s="525" t="str">
        <f t="shared" si="52"/>
        <v>n.a.</v>
      </c>
    </row>
    <row r="171" spans="1:19" s="110" customFormat="1" x14ac:dyDescent="0.25">
      <c r="A171" s="785">
        <v>38</v>
      </c>
      <c r="B171" s="525" t="str">
        <f t="shared" si="51"/>
        <v>n.a.</v>
      </c>
      <c r="C171" s="525" t="str">
        <f t="shared" si="51"/>
        <v>n.a.</v>
      </c>
      <c r="D171" s="525" t="str">
        <f t="shared" si="51"/>
        <v>n.a.</v>
      </c>
      <c r="E171" s="525" t="str">
        <f t="shared" si="51"/>
        <v>n.a.</v>
      </c>
      <c r="F171" s="525" t="str">
        <f t="shared" si="51"/>
        <v>72092890</v>
      </c>
      <c r="G171" s="525" t="str">
        <f t="shared" si="51"/>
        <v>72249090</v>
      </c>
      <c r="H171" s="525" t="str">
        <f t="shared" si="51"/>
        <v>n.a.</v>
      </c>
      <c r="I171" s="525" t="str">
        <f t="shared" si="51"/>
        <v>n.a.</v>
      </c>
      <c r="J171" s="525" t="str">
        <f t="shared" si="51"/>
        <v>n.a.</v>
      </c>
      <c r="K171" s="525" t="str">
        <f t="shared" si="51"/>
        <v>n.a.</v>
      </c>
      <c r="L171" s="525" t="str">
        <f t="shared" si="52"/>
        <v>n.a.</v>
      </c>
      <c r="M171" s="525" t="str">
        <f t="shared" si="52"/>
        <v>n.a.</v>
      </c>
      <c r="N171" s="525" t="str">
        <f t="shared" si="52"/>
        <v>n.a.</v>
      </c>
      <c r="O171" s="525" t="str">
        <f t="shared" si="52"/>
        <v>n.a.</v>
      </c>
      <c r="P171" s="525" t="str">
        <f t="shared" si="52"/>
        <v>n.a.</v>
      </c>
      <c r="Q171" s="525" t="str">
        <f t="shared" si="52"/>
        <v>76090000</v>
      </c>
      <c r="R171" s="525" t="str">
        <f t="shared" si="52"/>
        <v>n.a.</v>
      </c>
      <c r="S171" s="525" t="str">
        <f t="shared" si="52"/>
        <v>n.a.</v>
      </c>
    </row>
    <row r="172" spans="1:19" s="110" customFormat="1" x14ac:dyDescent="0.25">
      <c r="A172" s="785">
        <v>39</v>
      </c>
      <c r="B172" s="525" t="str">
        <f t="shared" si="51"/>
        <v>n.a.</v>
      </c>
      <c r="C172" s="525" t="str">
        <f t="shared" si="51"/>
        <v>n.a.</v>
      </c>
      <c r="D172" s="525" t="str">
        <f t="shared" si="51"/>
        <v>n.a.</v>
      </c>
      <c r="E172" s="525" t="str">
        <f t="shared" si="51"/>
        <v>n.a.</v>
      </c>
      <c r="F172" s="525" t="str">
        <f t="shared" si="51"/>
        <v>72099020</v>
      </c>
      <c r="G172" s="525" t="str">
        <f t="shared" si="51"/>
        <v>n.a.</v>
      </c>
      <c r="H172" s="525" t="str">
        <f t="shared" si="51"/>
        <v>n.a.</v>
      </c>
      <c r="I172" s="525" t="str">
        <f t="shared" si="51"/>
        <v>n.a.</v>
      </c>
      <c r="J172" s="525" t="str">
        <f t="shared" si="51"/>
        <v>n.a.</v>
      </c>
      <c r="K172" s="525" t="str">
        <f t="shared" si="51"/>
        <v>n.a.</v>
      </c>
      <c r="L172" s="525" t="str">
        <f t="shared" si="52"/>
        <v>n.a.</v>
      </c>
      <c r="M172" s="525" t="str">
        <f t="shared" si="52"/>
        <v>n.a.</v>
      </c>
      <c r="N172" s="525" t="str">
        <f t="shared" si="52"/>
        <v>n.a.</v>
      </c>
      <c r="O172" s="525" t="str">
        <f t="shared" si="52"/>
        <v>n.a.</v>
      </c>
      <c r="P172" s="525" t="str">
        <f t="shared" si="52"/>
        <v>n.a.</v>
      </c>
      <c r="Q172" s="525" t="str">
        <f t="shared" si="52"/>
        <v>76101000</v>
      </c>
      <c r="R172" s="525" t="str">
        <f t="shared" si="52"/>
        <v>n.a.</v>
      </c>
      <c r="S172" s="525" t="str">
        <f t="shared" si="52"/>
        <v>n.a.</v>
      </c>
    </row>
    <row r="173" spans="1:19" s="110" customFormat="1" x14ac:dyDescent="0.25">
      <c r="A173" s="785">
        <v>40</v>
      </c>
      <c r="B173" s="525" t="str">
        <f t="shared" si="51"/>
        <v>n.a.</v>
      </c>
      <c r="C173" s="525" t="str">
        <f t="shared" si="51"/>
        <v>n.a.</v>
      </c>
      <c r="D173" s="525" t="str">
        <f t="shared" si="51"/>
        <v>n.a.</v>
      </c>
      <c r="E173" s="525" t="str">
        <f t="shared" si="51"/>
        <v>n.a.</v>
      </c>
      <c r="F173" s="525" t="str">
        <f t="shared" si="51"/>
        <v>72099080</v>
      </c>
      <c r="G173" s="525" t="str">
        <f t="shared" si="51"/>
        <v>n.a.</v>
      </c>
      <c r="H173" s="525" t="str">
        <f t="shared" si="51"/>
        <v>n.a.</v>
      </c>
      <c r="I173" s="525" t="str">
        <f t="shared" si="51"/>
        <v>n.a.</v>
      </c>
      <c r="J173" s="525" t="str">
        <f t="shared" si="51"/>
        <v>n.a.</v>
      </c>
      <c r="K173" s="525" t="str">
        <f t="shared" si="51"/>
        <v>n.a.</v>
      </c>
      <c r="L173" s="525" t="str">
        <f t="shared" si="52"/>
        <v>n.a.</v>
      </c>
      <c r="M173" s="525" t="str">
        <f t="shared" si="52"/>
        <v>n.a.</v>
      </c>
      <c r="N173" s="525" t="str">
        <f t="shared" si="52"/>
        <v>n.a.</v>
      </c>
      <c r="O173" s="525" t="str">
        <f t="shared" si="52"/>
        <v>n.a.</v>
      </c>
      <c r="P173" s="525" t="str">
        <f t="shared" si="52"/>
        <v>n.a.</v>
      </c>
      <c r="Q173" s="525" t="str">
        <f t="shared" si="52"/>
        <v>76109010</v>
      </c>
      <c r="R173" s="525" t="str">
        <f t="shared" si="52"/>
        <v>n.a.</v>
      </c>
      <c r="S173" s="525" t="str">
        <f t="shared" si="52"/>
        <v>n.a.</v>
      </c>
    </row>
    <row r="174" spans="1:19" s="110" customFormat="1" x14ac:dyDescent="0.25">
      <c r="A174" s="785">
        <v>41</v>
      </c>
      <c r="B174" s="525" t="str">
        <f t="shared" ref="B174:K183" si="53">IFERROR(INDEX(CNCodes_ListKey,MATCH($A174&amp;"_"&amp;B$132,CNCodes_ListNumbering,0)),CONST_NA)</f>
        <v>n.a.</v>
      </c>
      <c r="C174" s="525" t="str">
        <f t="shared" si="53"/>
        <v>n.a.</v>
      </c>
      <c r="D174" s="525" t="str">
        <f t="shared" si="53"/>
        <v>n.a.</v>
      </c>
      <c r="E174" s="525" t="str">
        <f t="shared" si="53"/>
        <v>n.a.</v>
      </c>
      <c r="F174" s="525" t="str">
        <f t="shared" si="53"/>
        <v>72101100</v>
      </c>
      <c r="G174" s="525" t="str">
        <f t="shared" si="53"/>
        <v>n.a.</v>
      </c>
      <c r="H174" s="525" t="str">
        <f t="shared" si="53"/>
        <v>n.a.</v>
      </c>
      <c r="I174" s="525" t="str">
        <f t="shared" si="53"/>
        <v>n.a.</v>
      </c>
      <c r="J174" s="525" t="str">
        <f t="shared" si="53"/>
        <v>n.a.</v>
      </c>
      <c r="K174" s="525" t="str">
        <f t="shared" si="53"/>
        <v>n.a.</v>
      </c>
      <c r="L174" s="525" t="str">
        <f t="shared" ref="L174:S183" si="54">IFERROR(INDEX(CNCodes_ListKey,MATCH($A174&amp;"_"&amp;L$132,CNCodes_ListNumbering,0)),CONST_NA)</f>
        <v>n.a.</v>
      </c>
      <c r="M174" s="525" t="str">
        <f t="shared" si="54"/>
        <v>n.a.</v>
      </c>
      <c r="N174" s="525" t="str">
        <f t="shared" si="54"/>
        <v>n.a.</v>
      </c>
      <c r="O174" s="525" t="str">
        <f t="shared" si="54"/>
        <v>n.a.</v>
      </c>
      <c r="P174" s="525" t="str">
        <f t="shared" si="54"/>
        <v>n.a.</v>
      </c>
      <c r="Q174" s="525" t="str">
        <f t="shared" si="54"/>
        <v>76109090</v>
      </c>
      <c r="R174" s="525" t="str">
        <f t="shared" si="54"/>
        <v>n.a.</v>
      </c>
      <c r="S174" s="525" t="str">
        <f t="shared" si="54"/>
        <v>n.a.</v>
      </c>
    </row>
    <row r="175" spans="1:19" s="110" customFormat="1" x14ac:dyDescent="0.25">
      <c r="A175" s="785">
        <v>42</v>
      </c>
      <c r="B175" s="525" t="str">
        <f t="shared" si="53"/>
        <v>n.a.</v>
      </c>
      <c r="C175" s="525" t="str">
        <f t="shared" si="53"/>
        <v>n.a.</v>
      </c>
      <c r="D175" s="525" t="str">
        <f t="shared" si="53"/>
        <v>n.a.</v>
      </c>
      <c r="E175" s="525" t="str">
        <f t="shared" si="53"/>
        <v>n.a.</v>
      </c>
      <c r="F175" s="525" t="str">
        <f t="shared" si="53"/>
        <v>72101220</v>
      </c>
      <c r="G175" s="525" t="str">
        <f t="shared" si="53"/>
        <v>n.a.</v>
      </c>
      <c r="H175" s="525" t="str">
        <f t="shared" si="53"/>
        <v>n.a.</v>
      </c>
      <c r="I175" s="525" t="str">
        <f t="shared" si="53"/>
        <v>n.a.</v>
      </c>
      <c r="J175" s="525" t="str">
        <f t="shared" si="53"/>
        <v>n.a.</v>
      </c>
      <c r="K175" s="525" t="str">
        <f t="shared" si="53"/>
        <v>n.a.</v>
      </c>
      <c r="L175" s="525" t="str">
        <f t="shared" si="54"/>
        <v>n.a.</v>
      </c>
      <c r="M175" s="525" t="str">
        <f t="shared" si="54"/>
        <v>n.a.</v>
      </c>
      <c r="N175" s="525" t="str">
        <f t="shared" si="54"/>
        <v>n.a.</v>
      </c>
      <c r="O175" s="525" t="str">
        <f t="shared" si="54"/>
        <v>n.a.</v>
      </c>
      <c r="P175" s="525" t="str">
        <f t="shared" si="54"/>
        <v>n.a.</v>
      </c>
      <c r="Q175" s="525" t="str">
        <f t="shared" si="54"/>
        <v>76110000</v>
      </c>
      <c r="R175" s="525" t="str">
        <f t="shared" si="54"/>
        <v>n.a.</v>
      </c>
      <c r="S175" s="525" t="str">
        <f t="shared" si="54"/>
        <v>n.a.</v>
      </c>
    </row>
    <row r="176" spans="1:19" s="110" customFormat="1" x14ac:dyDescent="0.25">
      <c r="A176" s="785">
        <v>43</v>
      </c>
      <c r="B176" s="525" t="str">
        <f t="shared" si="53"/>
        <v>n.a.</v>
      </c>
      <c r="C176" s="525" t="str">
        <f t="shared" si="53"/>
        <v>n.a.</v>
      </c>
      <c r="D176" s="525" t="str">
        <f t="shared" si="53"/>
        <v>n.a.</v>
      </c>
      <c r="E176" s="525" t="str">
        <f t="shared" si="53"/>
        <v>n.a.</v>
      </c>
      <c r="F176" s="525" t="str">
        <f t="shared" si="53"/>
        <v>72101280</v>
      </c>
      <c r="G176" s="525" t="str">
        <f t="shared" si="53"/>
        <v>n.a.</v>
      </c>
      <c r="H176" s="525" t="str">
        <f t="shared" si="53"/>
        <v>n.a.</v>
      </c>
      <c r="I176" s="525" t="str">
        <f t="shared" si="53"/>
        <v>n.a.</v>
      </c>
      <c r="J176" s="525" t="str">
        <f t="shared" si="53"/>
        <v>n.a.</v>
      </c>
      <c r="K176" s="525" t="str">
        <f t="shared" si="53"/>
        <v>n.a.</v>
      </c>
      <c r="L176" s="525" t="str">
        <f t="shared" si="54"/>
        <v>n.a.</v>
      </c>
      <c r="M176" s="525" t="str">
        <f t="shared" si="54"/>
        <v>n.a.</v>
      </c>
      <c r="N176" s="525" t="str">
        <f t="shared" si="54"/>
        <v>n.a.</v>
      </c>
      <c r="O176" s="525" t="str">
        <f t="shared" si="54"/>
        <v>n.a.</v>
      </c>
      <c r="P176" s="525" t="str">
        <f t="shared" si="54"/>
        <v>n.a.</v>
      </c>
      <c r="Q176" s="525" t="str">
        <f t="shared" si="54"/>
        <v>76121000</v>
      </c>
      <c r="R176" s="525" t="str">
        <f t="shared" si="54"/>
        <v>n.a.</v>
      </c>
      <c r="S176" s="525" t="str">
        <f t="shared" si="54"/>
        <v>n.a.</v>
      </c>
    </row>
    <row r="177" spans="1:19" s="110" customFormat="1" x14ac:dyDescent="0.25">
      <c r="A177" s="785">
        <v>44</v>
      </c>
      <c r="B177" s="525" t="str">
        <f t="shared" si="53"/>
        <v>n.a.</v>
      </c>
      <c r="C177" s="525" t="str">
        <f t="shared" si="53"/>
        <v>n.a.</v>
      </c>
      <c r="D177" s="525" t="str">
        <f t="shared" si="53"/>
        <v>n.a.</v>
      </c>
      <c r="E177" s="525" t="str">
        <f t="shared" si="53"/>
        <v>n.a.</v>
      </c>
      <c r="F177" s="525" t="str">
        <f t="shared" si="53"/>
        <v>72102000</v>
      </c>
      <c r="G177" s="525" t="str">
        <f t="shared" si="53"/>
        <v>n.a.</v>
      </c>
      <c r="H177" s="525" t="str">
        <f t="shared" si="53"/>
        <v>n.a.</v>
      </c>
      <c r="I177" s="525" t="str">
        <f t="shared" si="53"/>
        <v>n.a.</v>
      </c>
      <c r="J177" s="525" t="str">
        <f t="shared" si="53"/>
        <v>n.a.</v>
      </c>
      <c r="K177" s="525" t="str">
        <f t="shared" si="53"/>
        <v>n.a.</v>
      </c>
      <c r="L177" s="525" t="str">
        <f t="shared" si="54"/>
        <v>n.a.</v>
      </c>
      <c r="M177" s="525" t="str">
        <f t="shared" si="54"/>
        <v>n.a.</v>
      </c>
      <c r="N177" s="525" t="str">
        <f t="shared" si="54"/>
        <v>n.a.</v>
      </c>
      <c r="O177" s="525" t="str">
        <f t="shared" si="54"/>
        <v>n.a.</v>
      </c>
      <c r="P177" s="525" t="str">
        <f t="shared" si="54"/>
        <v>n.a.</v>
      </c>
      <c r="Q177" s="525" t="str">
        <f t="shared" si="54"/>
        <v>76129020</v>
      </c>
      <c r="R177" s="525" t="str">
        <f t="shared" si="54"/>
        <v>n.a.</v>
      </c>
      <c r="S177" s="525" t="str">
        <f t="shared" si="54"/>
        <v>n.a.</v>
      </c>
    </row>
    <row r="178" spans="1:19" s="110" customFormat="1" x14ac:dyDescent="0.25">
      <c r="A178" s="785">
        <v>45</v>
      </c>
      <c r="B178" s="525" t="str">
        <f t="shared" si="53"/>
        <v>n.a.</v>
      </c>
      <c r="C178" s="525" t="str">
        <f t="shared" si="53"/>
        <v>n.a.</v>
      </c>
      <c r="D178" s="525" t="str">
        <f t="shared" si="53"/>
        <v>n.a.</v>
      </c>
      <c r="E178" s="525" t="str">
        <f t="shared" si="53"/>
        <v>n.a.</v>
      </c>
      <c r="F178" s="525" t="str">
        <f t="shared" si="53"/>
        <v>72103000</v>
      </c>
      <c r="G178" s="525" t="str">
        <f t="shared" si="53"/>
        <v>n.a.</v>
      </c>
      <c r="H178" s="525" t="str">
        <f t="shared" si="53"/>
        <v>n.a.</v>
      </c>
      <c r="I178" s="525" t="str">
        <f t="shared" si="53"/>
        <v>n.a.</v>
      </c>
      <c r="J178" s="525" t="str">
        <f t="shared" si="53"/>
        <v>n.a.</v>
      </c>
      <c r="K178" s="525" t="str">
        <f t="shared" si="53"/>
        <v>n.a.</v>
      </c>
      <c r="L178" s="525" t="str">
        <f t="shared" si="54"/>
        <v>n.a.</v>
      </c>
      <c r="M178" s="525" t="str">
        <f t="shared" si="54"/>
        <v>n.a.</v>
      </c>
      <c r="N178" s="525" t="str">
        <f t="shared" si="54"/>
        <v>n.a.</v>
      </c>
      <c r="O178" s="525" t="str">
        <f t="shared" si="54"/>
        <v>n.a.</v>
      </c>
      <c r="P178" s="525" t="str">
        <f t="shared" si="54"/>
        <v>n.a.</v>
      </c>
      <c r="Q178" s="525" t="str">
        <f t="shared" si="54"/>
        <v>76129030</v>
      </c>
      <c r="R178" s="525" t="str">
        <f t="shared" si="54"/>
        <v>n.a.</v>
      </c>
      <c r="S178" s="525" t="str">
        <f t="shared" si="54"/>
        <v>n.a.</v>
      </c>
    </row>
    <row r="179" spans="1:19" s="110" customFormat="1" x14ac:dyDescent="0.25">
      <c r="A179" s="785">
        <v>46</v>
      </c>
      <c r="B179" s="525" t="str">
        <f t="shared" si="53"/>
        <v>n.a.</v>
      </c>
      <c r="C179" s="525" t="str">
        <f t="shared" si="53"/>
        <v>n.a.</v>
      </c>
      <c r="D179" s="525" t="str">
        <f t="shared" si="53"/>
        <v>n.a.</v>
      </c>
      <c r="E179" s="525" t="str">
        <f t="shared" si="53"/>
        <v>n.a.</v>
      </c>
      <c r="F179" s="525" t="str">
        <f t="shared" si="53"/>
        <v>72104100</v>
      </c>
      <c r="G179" s="525" t="str">
        <f t="shared" si="53"/>
        <v>n.a.</v>
      </c>
      <c r="H179" s="525" t="str">
        <f t="shared" si="53"/>
        <v>n.a.</v>
      </c>
      <c r="I179" s="525" t="str">
        <f t="shared" si="53"/>
        <v>n.a.</v>
      </c>
      <c r="J179" s="525" t="str">
        <f t="shared" si="53"/>
        <v>n.a.</v>
      </c>
      <c r="K179" s="525" t="str">
        <f t="shared" si="53"/>
        <v>n.a.</v>
      </c>
      <c r="L179" s="525" t="str">
        <f t="shared" si="54"/>
        <v>n.a.</v>
      </c>
      <c r="M179" s="525" t="str">
        <f t="shared" si="54"/>
        <v>n.a.</v>
      </c>
      <c r="N179" s="525" t="str">
        <f t="shared" si="54"/>
        <v>n.a.</v>
      </c>
      <c r="O179" s="525" t="str">
        <f t="shared" si="54"/>
        <v>n.a.</v>
      </c>
      <c r="P179" s="525" t="str">
        <f t="shared" si="54"/>
        <v>n.a.</v>
      </c>
      <c r="Q179" s="525" t="str">
        <f t="shared" si="54"/>
        <v>76129080</v>
      </c>
      <c r="R179" s="525" t="str">
        <f t="shared" si="54"/>
        <v>n.a.</v>
      </c>
      <c r="S179" s="525" t="str">
        <f t="shared" si="54"/>
        <v>n.a.</v>
      </c>
    </row>
    <row r="180" spans="1:19" s="110" customFormat="1" x14ac:dyDescent="0.25">
      <c r="A180" s="785">
        <v>47</v>
      </c>
      <c r="B180" s="525" t="str">
        <f t="shared" si="53"/>
        <v>n.a.</v>
      </c>
      <c r="C180" s="525" t="str">
        <f t="shared" si="53"/>
        <v>n.a.</v>
      </c>
      <c r="D180" s="525" t="str">
        <f t="shared" si="53"/>
        <v>n.a.</v>
      </c>
      <c r="E180" s="525" t="str">
        <f t="shared" si="53"/>
        <v>n.a.</v>
      </c>
      <c r="F180" s="525" t="str">
        <f t="shared" si="53"/>
        <v>72104900</v>
      </c>
      <c r="G180" s="525" t="str">
        <f t="shared" si="53"/>
        <v>n.a.</v>
      </c>
      <c r="H180" s="525" t="str">
        <f t="shared" si="53"/>
        <v>n.a.</v>
      </c>
      <c r="I180" s="525" t="str">
        <f t="shared" si="53"/>
        <v>n.a.</v>
      </c>
      <c r="J180" s="525" t="str">
        <f t="shared" si="53"/>
        <v>n.a.</v>
      </c>
      <c r="K180" s="525" t="str">
        <f t="shared" si="53"/>
        <v>n.a.</v>
      </c>
      <c r="L180" s="525" t="str">
        <f t="shared" si="54"/>
        <v>n.a.</v>
      </c>
      <c r="M180" s="525" t="str">
        <f t="shared" si="54"/>
        <v>n.a.</v>
      </c>
      <c r="N180" s="525" t="str">
        <f t="shared" si="54"/>
        <v>n.a.</v>
      </c>
      <c r="O180" s="525" t="str">
        <f t="shared" si="54"/>
        <v>n.a.</v>
      </c>
      <c r="P180" s="525" t="str">
        <f t="shared" si="54"/>
        <v>n.a.</v>
      </c>
      <c r="Q180" s="525" t="str">
        <f t="shared" si="54"/>
        <v>76130000</v>
      </c>
      <c r="R180" s="525" t="str">
        <f t="shared" si="54"/>
        <v>n.a.</v>
      </c>
      <c r="S180" s="525" t="str">
        <f t="shared" si="54"/>
        <v>n.a.</v>
      </c>
    </row>
    <row r="181" spans="1:19" s="110" customFormat="1" x14ac:dyDescent="0.25">
      <c r="A181" s="785">
        <v>48</v>
      </c>
      <c r="B181" s="525" t="str">
        <f t="shared" si="53"/>
        <v>n.a.</v>
      </c>
      <c r="C181" s="525" t="str">
        <f t="shared" si="53"/>
        <v>n.a.</v>
      </c>
      <c r="D181" s="525" t="str">
        <f t="shared" si="53"/>
        <v>n.a.</v>
      </c>
      <c r="E181" s="525" t="str">
        <f t="shared" si="53"/>
        <v>n.a.</v>
      </c>
      <c r="F181" s="525" t="str">
        <f t="shared" si="53"/>
        <v>72105000</v>
      </c>
      <c r="G181" s="525" t="str">
        <f t="shared" si="53"/>
        <v>n.a.</v>
      </c>
      <c r="H181" s="525" t="str">
        <f t="shared" si="53"/>
        <v>n.a.</v>
      </c>
      <c r="I181" s="525" t="str">
        <f t="shared" si="53"/>
        <v>n.a.</v>
      </c>
      <c r="J181" s="525" t="str">
        <f t="shared" si="53"/>
        <v>n.a.</v>
      </c>
      <c r="K181" s="525" t="str">
        <f t="shared" si="53"/>
        <v>n.a.</v>
      </c>
      <c r="L181" s="525" t="str">
        <f t="shared" si="54"/>
        <v>n.a.</v>
      </c>
      <c r="M181" s="525" t="str">
        <f t="shared" si="54"/>
        <v>n.a.</v>
      </c>
      <c r="N181" s="525" t="str">
        <f t="shared" si="54"/>
        <v>n.a.</v>
      </c>
      <c r="O181" s="525" t="str">
        <f t="shared" si="54"/>
        <v>n.a.</v>
      </c>
      <c r="P181" s="525" t="str">
        <f t="shared" si="54"/>
        <v>n.a.</v>
      </c>
      <c r="Q181" s="525" t="str">
        <f t="shared" si="54"/>
        <v>76141000</v>
      </c>
      <c r="R181" s="525" t="str">
        <f t="shared" si="54"/>
        <v>n.a.</v>
      </c>
      <c r="S181" s="525" t="str">
        <f t="shared" si="54"/>
        <v>n.a.</v>
      </c>
    </row>
    <row r="182" spans="1:19" s="110" customFormat="1" x14ac:dyDescent="0.25">
      <c r="A182" s="785">
        <v>49</v>
      </c>
      <c r="B182" s="525" t="str">
        <f t="shared" si="53"/>
        <v>n.a.</v>
      </c>
      <c r="C182" s="525" t="str">
        <f t="shared" si="53"/>
        <v>n.a.</v>
      </c>
      <c r="D182" s="525" t="str">
        <f t="shared" si="53"/>
        <v>n.a.</v>
      </c>
      <c r="E182" s="525" t="str">
        <f t="shared" si="53"/>
        <v>n.a.</v>
      </c>
      <c r="F182" s="525" t="str">
        <f t="shared" si="53"/>
        <v>72106100</v>
      </c>
      <c r="G182" s="525" t="str">
        <f t="shared" si="53"/>
        <v>n.a.</v>
      </c>
      <c r="H182" s="525" t="str">
        <f t="shared" si="53"/>
        <v>n.a.</v>
      </c>
      <c r="I182" s="525" t="str">
        <f t="shared" si="53"/>
        <v>n.a.</v>
      </c>
      <c r="J182" s="525" t="str">
        <f t="shared" si="53"/>
        <v>n.a.</v>
      </c>
      <c r="K182" s="525" t="str">
        <f t="shared" si="53"/>
        <v>n.a.</v>
      </c>
      <c r="L182" s="525" t="str">
        <f t="shared" si="54"/>
        <v>n.a.</v>
      </c>
      <c r="M182" s="525" t="str">
        <f t="shared" si="54"/>
        <v>n.a.</v>
      </c>
      <c r="N182" s="525" t="str">
        <f t="shared" si="54"/>
        <v>n.a.</v>
      </c>
      <c r="O182" s="525" t="str">
        <f t="shared" si="54"/>
        <v>n.a.</v>
      </c>
      <c r="P182" s="525" t="str">
        <f t="shared" si="54"/>
        <v>n.a.</v>
      </c>
      <c r="Q182" s="525" t="str">
        <f t="shared" si="54"/>
        <v>76149000</v>
      </c>
      <c r="R182" s="525" t="str">
        <f t="shared" si="54"/>
        <v>n.a.</v>
      </c>
      <c r="S182" s="525" t="str">
        <f t="shared" si="54"/>
        <v>n.a.</v>
      </c>
    </row>
    <row r="183" spans="1:19" s="110" customFormat="1" x14ac:dyDescent="0.25">
      <c r="A183" s="785">
        <v>50</v>
      </c>
      <c r="B183" s="525" t="str">
        <f t="shared" si="53"/>
        <v>n.a.</v>
      </c>
      <c r="C183" s="525" t="str">
        <f t="shared" si="53"/>
        <v>n.a.</v>
      </c>
      <c r="D183" s="525" t="str">
        <f t="shared" si="53"/>
        <v>n.a.</v>
      </c>
      <c r="E183" s="525" t="str">
        <f t="shared" si="53"/>
        <v>n.a.</v>
      </c>
      <c r="F183" s="525" t="str">
        <f t="shared" si="53"/>
        <v>72106900</v>
      </c>
      <c r="G183" s="525" t="str">
        <f t="shared" si="53"/>
        <v>n.a.</v>
      </c>
      <c r="H183" s="525" t="str">
        <f t="shared" si="53"/>
        <v>n.a.</v>
      </c>
      <c r="I183" s="525" t="str">
        <f t="shared" si="53"/>
        <v>n.a.</v>
      </c>
      <c r="J183" s="525" t="str">
        <f t="shared" si="53"/>
        <v>n.a.</v>
      </c>
      <c r="K183" s="525" t="str">
        <f t="shared" si="53"/>
        <v>n.a.</v>
      </c>
      <c r="L183" s="525" t="str">
        <f t="shared" si="54"/>
        <v>n.a.</v>
      </c>
      <c r="M183" s="525" t="str">
        <f t="shared" si="54"/>
        <v>n.a.</v>
      </c>
      <c r="N183" s="525" t="str">
        <f t="shared" si="54"/>
        <v>n.a.</v>
      </c>
      <c r="O183" s="525" t="str">
        <f t="shared" si="54"/>
        <v>n.a.</v>
      </c>
      <c r="P183" s="525" t="str">
        <f t="shared" si="54"/>
        <v>n.a.</v>
      </c>
      <c r="Q183" s="525" t="str">
        <f t="shared" si="54"/>
        <v>76161000</v>
      </c>
      <c r="R183" s="525" t="str">
        <f t="shared" si="54"/>
        <v>n.a.</v>
      </c>
      <c r="S183" s="525" t="str">
        <f t="shared" si="54"/>
        <v>n.a.</v>
      </c>
    </row>
    <row r="184" spans="1:19" s="110" customFormat="1" x14ac:dyDescent="0.25">
      <c r="A184" s="785">
        <v>51</v>
      </c>
      <c r="B184" s="525" t="str">
        <f t="shared" ref="B184:K193" si="55">IFERROR(INDEX(CNCodes_ListKey,MATCH($A184&amp;"_"&amp;B$132,CNCodes_ListNumbering,0)),CONST_NA)</f>
        <v>n.a.</v>
      </c>
      <c r="C184" s="525" t="str">
        <f t="shared" si="55"/>
        <v>n.a.</v>
      </c>
      <c r="D184" s="525" t="str">
        <f t="shared" si="55"/>
        <v>n.a.</v>
      </c>
      <c r="E184" s="525" t="str">
        <f t="shared" si="55"/>
        <v>n.a.</v>
      </c>
      <c r="F184" s="525" t="str">
        <f t="shared" si="55"/>
        <v>72107010</v>
      </c>
      <c r="G184" s="525" t="str">
        <f t="shared" si="55"/>
        <v>n.a.</v>
      </c>
      <c r="H184" s="525" t="str">
        <f t="shared" si="55"/>
        <v>n.a.</v>
      </c>
      <c r="I184" s="525" t="str">
        <f t="shared" si="55"/>
        <v>n.a.</v>
      </c>
      <c r="J184" s="525" t="str">
        <f t="shared" si="55"/>
        <v>n.a.</v>
      </c>
      <c r="K184" s="525" t="str">
        <f t="shared" si="55"/>
        <v>n.a.</v>
      </c>
      <c r="L184" s="525" t="str">
        <f t="shared" ref="L184:S193" si="56">IFERROR(INDEX(CNCodes_ListKey,MATCH($A184&amp;"_"&amp;L$132,CNCodes_ListNumbering,0)),CONST_NA)</f>
        <v>n.a.</v>
      </c>
      <c r="M184" s="525" t="str">
        <f t="shared" si="56"/>
        <v>n.a.</v>
      </c>
      <c r="N184" s="525" t="str">
        <f t="shared" si="56"/>
        <v>n.a.</v>
      </c>
      <c r="O184" s="525" t="str">
        <f t="shared" si="56"/>
        <v>n.a.</v>
      </c>
      <c r="P184" s="525" t="str">
        <f t="shared" si="56"/>
        <v>n.a.</v>
      </c>
      <c r="Q184" s="525" t="str">
        <f t="shared" si="56"/>
        <v>76169100</v>
      </c>
      <c r="R184" s="525" t="str">
        <f t="shared" si="56"/>
        <v>n.a.</v>
      </c>
      <c r="S184" s="525" t="str">
        <f t="shared" si="56"/>
        <v>n.a.</v>
      </c>
    </row>
    <row r="185" spans="1:19" s="110" customFormat="1" x14ac:dyDescent="0.25">
      <c r="A185" s="785">
        <v>52</v>
      </c>
      <c r="B185" s="525" t="str">
        <f t="shared" si="55"/>
        <v>n.a.</v>
      </c>
      <c r="C185" s="525" t="str">
        <f t="shared" si="55"/>
        <v>n.a.</v>
      </c>
      <c r="D185" s="525" t="str">
        <f t="shared" si="55"/>
        <v>n.a.</v>
      </c>
      <c r="E185" s="525" t="str">
        <f t="shared" si="55"/>
        <v>n.a.</v>
      </c>
      <c r="F185" s="525" t="str">
        <f t="shared" si="55"/>
        <v>72107080</v>
      </c>
      <c r="G185" s="525" t="str">
        <f t="shared" si="55"/>
        <v>n.a.</v>
      </c>
      <c r="H185" s="525" t="str">
        <f t="shared" si="55"/>
        <v>n.a.</v>
      </c>
      <c r="I185" s="525" t="str">
        <f t="shared" si="55"/>
        <v>n.a.</v>
      </c>
      <c r="J185" s="525" t="str">
        <f t="shared" si="55"/>
        <v>n.a.</v>
      </c>
      <c r="K185" s="525" t="str">
        <f t="shared" si="55"/>
        <v>n.a.</v>
      </c>
      <c r="L185" s="525" t="str">
        <f t="shared" si="56"/>
        <v>n.a.</v>
      </c>
      <c r="M185" s="525" t="str">
        <f t="shared" si="56"/>
        <v>n.a.</v>
      </c>
      <c r="N185" s="525" t="str">
        <f t="shared" si="56"/>
        <v>n.a.</v>
      </c>
      <c r="O185" s="525" t="str">
        <f t="shared" si="56"/>
        <v>n.a.</v>
      </c>
      <c r="P185" s="525" t="str">
        <f t="shared" si="56"/>
        <v>n.a.</v>
      </c>
      <c r="Q185" s="525" t="str">
        <f t="shared" si="56"/>
        <v>76169910</v>
      </c>
      <c r="R185" s="525" t="str">
        <f t="shared" si="56"/>
        <v>n.a.</v>
      </c>
      <c r="S185" s="525" t="str">
        <f t="shared" si="56"/>
        <v>n.a.</v>
      </c>
    </row>
    <row r="186" spans="1:19" s="110" customFormat="1" x14ac:dyDescent="0.25">
      <c r="A186" s="785">
        <v>53</v>
      </c>
      <c r="B186" s="525" t="str">
        <f t="shared" si="55"/>
        <v>n.a.</v>
      </c>
      <c r="C186" s="525" t="str">
        <f t="shared" si="55"/>
        <v>n.a.</v>
      </c>
      <c r="D186" s="525" t="str">
        <f t="shared" si="55"/>
        <v>n.a.</v>
      </c>
      <c r="E186" s="525" t="str">
        <f t="shared" si="55"/>
        <v>n.a.</v>
      </c>
      <c r="F186" s="525" t="str">
        <f t="shared" si="55"/>
        <v>72109030</v>
      </c>
      <c r="G186" s="525" t="str">
        <f t="shared" si="55"/>
        <v>n.a.</v>
      </c>
      <c r="H186" s="525" t="str">
        <f t="shared" si="55"/>
        <v>n.a.</v>
      </c>
      <c r="I186" s="525" t="str">
        <f t="shared" si="55"/>
        <v>n.a.</v>
      </c>
      <c r="J186" s="525" t="str">
        <f t="shared" si="55"/>
        <v>n.a.</v>
      </c>
      <c r="K186" s="525" t="str">
        <f t="shared" si="55"/>
        <v>n.a.</v>
      </c>
      <c r="L186" s="525" t="str">
        <f t="shared" si="56"/>
        <v>n.a.</v>
      </c>
      <c r="M186" s="525" t="str">
        <f t="shared" si="56"/>
        <v>n.a.</v>
      </c>
      <c r="N186" s="525" t="str">
        <f t="shared" si="56"/>
        <v>n.a.</v>
      </c>
      <c r="O186" s="525" t="str">
        <f t="shared" si="56"/>
        <v>n.a.</v>
      </c>
      <c r="P186" s="525" t="str">
        <f t="shared" si="56"/>
        <v>n.a.</v>
      </c>
      <c r="Q186" s="525" t="str">
        <f t="shared" si="56"/>
        <v>76169990</v>
      </c>
      <c r="R186" s="525" t="str">
        <f t="shared" si="56"/>
        <v>n.a.</v>
      </c>
      <c r="S186" s="525" t="str">
        <f t="shared" si="56"/>
        <v>n.a.</v>
      </c>
    </row>
    <row r="187" spans="1:19" s="110" customFormat="1" x14ac:dyDescent="0.25">
      <c r="A187" s="785">
        <v>54</v>
      </c>
      <c r="B187" s="525" t="str">
        <f t="shared" si="55"/>
        <v>n.a.</v>
      </c>
      <c r="C187" s="525" t="str">
        <f t="shared" si="55"/>
        <v>n.a.</v>
      </c>
      <c r="D187" s="525" t="str">
        <f t="shared" si="55"/>
        <v>n.a.</v>
      </c>
      <c r="E187" s="525" t="str">
        <f t="shared" si="55"/>
        <v>n.a.</v>
      </c>
      <c r="F187" s="525" t="str">
        <f t="shared" si="55"/>
        <v>72109040</v>
      </c>
      <c r="G187" s="525" t="str">
        <f t="shared" si="55"/>
        <v>n.a.</v>
      </c>
      <c r="H187" s="525" t="str">
        <f t="shared" si="55"/>
        <v>n.a.</v>
      </c>
      <c r="I187" s="525" t="str">
        <f t="shared" si="55"/>
        <v>n.a.</v>
      </c>
      <c r="J187" s="525" t="str">
        <f t="shared" si="55"/>
        <v>n.a.</v>
      </c>
      <c r="K187" s="525" t="str">
        <f t="shared" si="55"/>
        <v>n.a.</v>
      </c>
      <c r="L187" s="525" t="str">
        <f t="shared" si="56"/>
        <v>n.a.</v>
      </c>
      <c r="M187" s="525" t="str">
        <f t="shared" si="56"/>
        <v>n.a.</v>
      </c>
      <c r="N187" s="525" t="str">
        <f t="shared" si="56"/>
        <v>n.a.</v>
      </c>
      <c r="O187" s="525" t="str">
        <f t="shared" si="56"/>
        <v>n.a.</v>
      </c>
      <c r="P187" s="525" t="str">
        <f t="shared" si="56"/>
        <v>n.a.</v>
      </c>
      <c r="Q187" s="525" t="str">
        <f t="shared" si="56"/>
        <v>n.a.</v>
      </c>
      <c r="R187" s="525" t="str">
        <f t="shared" si="56"/>
        <v>n.a.</v>
      </c>
      <c r="S187" s="525" t="str">
        <f t="shared" si="56"/>
        <v>n.a.</v>
      </c>
    </row>
    <row r="188" spans="1:19" s="110" customFormat="1" x14ac:dyDescent="0.25">
      <c r="A188" s="785">
        <v>55</v>
      </c>
      <c r="B188" s="525" t="str">
        <f t="shared" si="55"/>
        <v>n.a.</v>
      </c>
      <c r="C188" s="525" t="str">
        <f t="shared" si="55"/>
        <v>n.a.</v>
      </c>
      <c r="D188" s="525" t="str">
        <f t="shared" si="55"/>
        <v>n.a.</v>
      </c>
      <c r="E188" s="525" t="str">
        <f t="shared" si="55"/>
        <v>n.a.</v>
      </c>
      <c r="F188" s="525" t="str">
        <f t="shared" si="55"/>
        <v>72109080</v>
      </c>
      <c r="G188" s="525" t="str">
        <f t="shared" si="55"/>
        <v>n.a.</v>
      </c>
      <c r="H188" s="525" t="str">
        <f t="shared" si="55"/>
        <v>n.a.</v>
      </c>
      <c r="I188" s="525" t="str">
        <f t="shared" si="55"/>
        <v>n.a.</v>
      </c>
      <c r="J188" s="525" t="str">
        <f t="shared" si="55"/>
        <v>n.a.</v>
      </c>
      <c r="K188" s="525" t="str">
        <f t="shared" si="55"/>
        <v>n.a.</v>
      </c>
      <c r="L188" s="525" t="str">
        <f t="shared" si="56"/>
        <v>n.a.</v>
      </c>
      <c r="M188" s="525" t="str">
        <f t="shared" si="56"/>
        <v>n.a.</v>
      </c>
      <c r="N188" s="525" t="str">
        <f t="shared" si="56"/>
        <v>n.a.</v>
      </c>
      <c r="O188" s="525" t="str">
        <f t="shared" si="56"/>
        <v>n.a.</v>
      </c>
      <c r="P188" s="525" t="str">
        <f t="shared" si="56"/>
        <v>n.a.</v>
      </c>
      <c r="Q188" s="525" t="str">
        <f t="shared" si="56"/>
        <v>n.a.</v>
      </c>
      <c r="R188" s="525" t="str">
        <f t="shared" si="56"/>
        <v>n.a.</v>
      </c>
      <c r="S188" s="525" t="str">
        <f t="shared" si="56"/>
        <v>n.a.</v>
      </c>
    </row>
    <row r="189" spans="1:19" s="110" customFormat="1" x14ac:dyDescent="0.25">
      <c r="A189" s="785">
        <v>56</v>
      </c>
      <c r="B189" s="525" t="str">
        <f t="shared" si="55"/>
        <v>n.a.</v>
      </c>
      <c r="C189" s="525" t="str">
        <f t="shared" si="55"/>
        <v>n.a.</v>
      </c>
      <c r="D189" s="525" t="str">
        <f t="shared" si="55"/>
        <v>n.a.</v>
      </c>
      <c r="E189" s="525" t="str">
        <f t="shared" si="55"/>
        <v>n.a.</v>
      </c>
      <c r="F189" s="525" t="str">
        <f t="shared" si="55"/>
        <v>72111300</v>
      </c>
      <c r="G189" s="525" t="str">
        <f t="shared" si="55"/>
        <v>n.a.</v>
      </c>
      <c r="H189" s="525" t="str">
        <f t="shared" si="55"/>
        <v>n.a.</v>
      </c>
      <c r="I189" s="525" t="str">
        <f t="shared" si="55"/>
        <v>n.a.</v>
      </c>
      <c r="J189" s="525" t="str">
        <f t="shared" si="55"/>
        <v>n.a.</v>
      </c>
      <c r="K189" s="525" t="str">
        <f t="shared" si="55"/>
        <v>n.a.</v>
      </c>
      <c r="L189" s="525" t="str">
        <f t="shared" si="56"/>
        <v>n.a.</v>
      </c>
      <c r="M189" s="525" t="str">
        <f t="shared" si="56"/>
        <v>n.a.</v>
      </c>
      <c r="N189" s="525" t="str">
        <f t="shared" si="56"/>
        <v>n.a.</v>
      </c>
      <c r="O189" s="525" t="str">
        <f t="shared" si="56"/>
        <v>n.a.</v>
      </c>
      <c r="P189" s="525" t="str">
        <f t="shared" si="56"/>
        <v>n.a.</v>
      </c>
      <c r="Q189" s="525" t="str">
        <f t="shared" si="56"/>
        <v>n.a.</v>
      </c>
      <c r="R189" s="525" t="str">
        <f t="shared" si="56"/>
        <v>n.a.</v>
      </c>
      <c r="S189" s="525" t="str">
        <f t="shared" si="56"/>
        <v>n.a.</v>
      </c>
    </row>
    <row r="190" spans="1:19" s="110" customFormat="1" x14ac:dyDescent="0.25">
      <c r="A190" s="785">
        <v>57</v>
      </c>
      <c r="B190" s="525" t="str">
        <f t="shared" si="55"/>
        <v>n.a.</v>
      </c>
      <c r="C190" s="525" t="str">
        <f t="shared" si="55"/>
        <v>n.a.</v>
      </c>
      <c r="D190" s="525" t="str">
        <f t="shared" si="55"/>
        <v>n.a.</v>
      </c>
      <c r="E190" s="525" t="str">
        <f t="shared" si="55"/>
        <v>n.a.</v>
      </c>
      <c r="F190" s="525" t="str">
        <f t="shared" si="55"/>
        <v>72111400</v>
      </c>
      <c r="G190" s="525" t="str">
        <f t="shared" si="55"/>
        <v>n.a.</v>
      </c>
      <c r="H190" s="525" t="str">
        <f t="shared" si="55"/>
        <v>n.a.</v>
      </c>
      <c r="I190" s="525" t="str">
        <f t="shared" si="55"/>
        <v>n.a.</v>
      </c>
      <c r="J190" s="525" t="str">
        <f t="shared" si="55"/>
        <v>n.a.</v>
      </c>
      <c r="K190" s="525" t="str">
        <f t="shared" si="55"/>
        <v>n.a.</v>
      </c>
      <c r="L190" s="525" t="str">
        <f t="shared" si="56"/>
        <v>n.a.</v>
      </c>
      <c r="M190" s="525" t="str">
        <f t="shared" si="56"/>
        <v>n.a.</v>
      </c>
      <c r="N190" s="525" t="str">
        <f t="shared" si="56"/>
        <v>n.a.</v>
      </c>
      <c r="O190" s="525" t="str">
        <f t="shared" si="56"/>
        <v>n.a.</v>
      </c>
      <c r="P190" s="525" t="str">
        <f t="shared" si="56"/>
        <v>n.a.</v>
      </c>
      <c r="Q190" s="525" t="str">
        <f t="shared" si="56"/>
        <v>n.a.</v>
      </c>
      <c r="R190" s="525" t="str">
        <f t="shared" si="56"/>
        <v>n.a.</v>
      </c>
      <c r="S190" s="525" t="str">
        <f t="shared" si="56"/>
        <v>n.a.</v>
      </c>
    </row>
    <row r="191" spans="1:19" s="110" customFormat="1" x14ac:dyDescent="0.25">
      <c r="A191" s="785">
        <v>58</v>
      </c>
      <c r="B191" s="525" t="str">
        <f t="shared" si="55"/>
        <v>n.a.</v>
      </c>
      <c r="C191" s="525" t="str">
        <f t="shared" si="55"/>
        <v>n.a.</v>
      </c>
      <c r="D191" s="525" t="str">
        <f t="shared" si="55"/>
        <v>n.a.</v>
      </c>
      <c r="E191" s="525" t="str">
        <f t="shared" si="55"/>
        <v>n.a.</v>
      </c>
      <c r="F191" s="525" t="str">
        <f t="shared" si="55"/>
        <v>72111900</v>
      </c>
      <c r="G191" s="525" t="str">
        <f t="shared" si="55"/>
        <v>n.a.</v>
      </c>
      <c r="H191" s="525" t="str">
        <f t="shared" si="55"/>
        <v>n.a.</v>
      </c>
      <c r="I191" s="525" t="str">
        <f t="shared" si="55"/>
        <v>n.a.</v>
      </c>
      <c r="J191" s="525" t="str">
        <f t="shared" si="55"/>
        <v>n.a.</v>
      </c>
      <c r="K191" s="525" t="str">
        <f t="shared" si="55"/>
        <v>n.a.</v>
      </c>
      <c r="L191" s="525" t="str">
        <f t="shared" si="56"/>
        <v>n.a.</v>
      </c>
      <c r="M191" s="525" t="str">
        <f t="shared" si="56"/>
        <v>n.a.</v>
      </c>
      <c r="N191" s="525" t="str">
        <f t="shared" si="56"/>
        <v>n.a.</v>
      </c>
      <c r="O191" s="525" t="str">
        <f t="shared" si="56"/>
        <v>n.a.</v>
      </c>
      <c r="P191" s="525" t="str">
        <f t="shared" si="56"/>
        <v>n.a.</v>
      </c>
      <c r="Q191" s="525" t="str">
        <f t="shared" si="56"/>
        <v>n.a.</v>
      </c>
      <c r="R191" s="525" t="str">
        <f t="shared" si="56"/>
        <v>n.a.</v>
      </c>
      <c r="S191" s="525" t="str">
        <f t="shared" si="56"/>
        <v>n.a.</v>
      </c>
    </row>
    <row r="192" spans="1:19" s="110" customFormat="1" x14ac:dyDescent="0.25">
      <c r="A192" s="785">
        <v>59</v>
      </c>
      <c r="B192" s="525" t="str">
        <f t="shared" si="55"/>
        <v>n.a.</v>
      </c>
      <c r="C192" s="525" t="str">
        <f t="shared" si="55"/>
        <v>n.a.</v>
      </c>
      <c r="D192" s="525" t="str">
        <f t="shared" si="55"/>
        <v>n.a.</v>
      </c>
      <c r="E192" s="525" t="str">
        <f t="shared" si="55"/>
        <v>n.a.</v>
      </c>
      <c r="F192" s="525" t="str">
        <f t="shared" si="55"/>
        <v>72112320</v>
      </c>
      <c r="G192" s="525" t="str">
        <f t="shared" si="55"/>
        <v>n.a.</v>
      </c>
      <c r="H192" s="525" t="str">
        <f t="shared" si="55"/>
        <v>n.a.</v>
      </c>
      <c r="I192" s="525" t="str">
        <f t="shared" si="55"/>
        <v>n.a.</v>
      </c>
      <c r="J192" s="525" t="str">
        <f t="shared" si="55"/>
        <v>n.a.</v>
      </c>
      <c r="K192" s="525" t="str">
        <f t="shared" si="55"/>
        <v>n.a.</v>
      </c>
      <c r="L192" s="525" t="str">
        <f t="shared" si="56"/>
        <v>n.a.</v>
      </c>
      <c r="M192" s="525" t="str">
        <f t="shared" si="56"/>
        <v>n.a.</v>
      </c>
      <c r="N192" s="525" t="str">
        <f t="shared" si="56"/>
        <v>n.a.</v>
      </c>
      <c r="O192" s="525" t="str">
        <f t="shared" si="56"/>
        <v>n.a.</v>
      </c>
      <c r="P192" s="525" t="str">
        <f t="shared" si="56"/>
        <v>n.a.</v>
      </c>
      <c r="Q192" s="525" t="str">
        <f t="shared" si="56"/>
        <v>n.a.</v>
      </c>
      <c r="R192" s="525" t="str">
        <f t="shared" si="56"/>
        <v>n.a.</v>
      </c>
      <c r="S192" s="525" t="str">
        <f t="shared" si="56"/>
        <v>n.a.</v>
      </c>
    </row>
    <row r="193" spans="1:19" s="110" customFormat="1" x14ac:dyDescent="0.25">
      <c r="A193" s="785">
        <v>60</v>
      </c>
      <c r="B193" s="525" t="str">
        <f t="shared" si="55"/>
        <v>n.a.</v>
      </c>
      <c r="C193" s="525" t="str">
        <f t="shared" si="55"/>
        <v>n.a.</v>
      </c>
      <c r="D193" s="525" t="str">
        <f t="shared" si="55"/>
        <v>n.a.</v>
      </c>
      <c r="E193" s="525" t="str">
        <f t="shared" si="55"/>
        <v>n.a.</v>
      </c>
      <c r="F193" s="525" t="str">
        <f t="shared" si="55"/>
        <v>72112330</v>
      </c>
      <c r="G193" s="525" t="str">
        <f t="shared" si="55"/>
        <v>n.a.</v>
      </c>
      <c r="H193" s="525" t="str">
        <f t="shared" si="55"/>
        <v>n.a.</v>
      </c>
      <c r="I193" s="525" t="str">
        <f t="shared" si="55"/>
        <v>n.a.</v>
      </c>
      <c r="J193" s="525" t="str">
        <f t="shared" si="55"/>
        <v>n.a.</v>
      </c>
      <c r="K193" s="525" t="str">
        <f t="shared" si="55"/>
        <v>n.a.</v>
      </c>
      <c r="L193" s="525" t="str">
        <f t="shared" si="56"/>
        <v>n.a.</v>
      </c>
      <c r="M193" s="525" t="str">
        <f t="shared" si="56"/>
        <v>n.a.</v>
      </c>
      <c r="N193" s="525" t="str">
        <f t="shared" si="56"/>
        <v>n.a.</v>
      </c>
      <c r="O193" s="525" t="str">
        <f t="shared" si="56"/>
        <v>n.a.</v>
      </c>
      <c r="P193" s="525" t="str">
        <f t="shared" si="56"/>
        <v>n.a.</v>
      </c>
      <c r="Q193" s="525" t="str">
        <f t="shared" si="56"/>
        <v>n.a.</v>
      </c>
      <c r="R193" s="525" t="str">
        <f t="shared" si="56"/>
        <v>n.a.</v>
      </c>
      <c r="S193" s="525" t="str">
        <f t="shared" si="56"/>
        <v>n.a.</v>
      </c>
    </row>
    <row r="194" spans="1:19" s="110" customFormat="1" x14ac:dyDescent="0.25">
      <c r="A194" s="785">
        <v>61</v>
      </c>
      <c r="B194" s="525" t="str">
        <f t="shared" ref="B194:K203" si="57">IFERROR(INDEX(CNCodes_ListKey,MATCH($A194&amp;"_"&amp;B$132,CNCodes_ListNumbering,0)),CONST_NA)</f>
        <v>n.a.</v>
      </c>
      <c r="C194" s="525" t="str">
        <f t="shared" si="57"/>
        <v>n.a.</v>
      </c>
      <c r="D194" s="525" t="str">
        <f t="shared" si="57"/>
        <v>n.a.</v>
      </c>
      <c r="E194" s="525" t="str">
        <f t="shared" si="57"/>
        <v>n.a.</v>
      </c>
      <c r="F194" s="525" t="str">
        <f t="shared" si="57"/>
        <v>72112380</v>
      </c>
      <c r="G194" s="525" t="str">
        <f t="shared" si="57"/>
        <v>n.a.</v>
      </c>
      <c r="H194" s="525" t="str">
        <f t="shared" si="57"/>
        <v>n.a.</v>
      </c>
      <c r="I194" s="525" t="str">
        <f t="shared" si="57"/>
        <v>n.a.</v>
      </c>
      <c r="J194" s="525" t="str">
        <f t="shared" si="57"/>
        <v>n.a.</v>
      </c>
      <c r="K194" s="525" t="str">
        <f t="shared" si="57"/>
        <v>n.a.</v>
      </c>
      <c r="L194" s="525" t="str">
        <f t="shared" ref="L194:S203" si="58">IFERROR(INDEX(CNCodes_ListKey,MATCH($A194&amp;"_"&amp;L$132,CNCodes_ListNumbering,0)),CONST_NA)</f>
        <v>n.a.</v>
      </c>
      <c r="M194" s="525" t="str">
        <f t="shared" si="58"/>
        <v>n.a.</v>
      </c>
      <c r="N194" s="525" t="str">
        <f t="shared" si="58"/>
        <v>n.a.</v>
      </c>
      <c r="O194" s="525" t="str">
        <f t="shared" si="58"/>
        <v>n.a.</v>
      </c>
      <c r="P194" s="525" t="str">
        <f t="shared" si="58"/>
        <v>n.a.</v>
      </c>
      <c r="Q194" s="525" t="str">
        <f t="shared" si="58"/>
        <v>n.a.</v>
      </c>
      <c r="R194" s="525" t="str">
        <f t="shared" si="58"/>
        <v>n.a.</v>
      </c>
      <c r="S194" s="525" t="str">
        <f t="shared" si="58"/>
        <v>n.a.</v>
      </c>
    </row>
    <row r="195" spans="1:19" s="110" customFormat="1" x14ac:dyDescent="0.25">
      <c r="A195" s="785">
        <v>62</v>
      </c>
      <c r="B195" s="525" t="str">
        <f t="shared" si="57"/>
        <v>n.a.</v>
      </c>
      <c r="C195" s="525" t="str">
        <f t="shared" si="57"/>
        <v>n.a.</v>
      </c>
      <c r="D195" s="525" t="str">
        <f t="shared" si="57"/>
        <v>n.a.</v>
      </c>
      <c r="E195" s="525" t="str">
        <f t="shared" si="57"/>
        <v>n.a.</v>
      </c>
      <c r="F195" s="525" t="str">
        <f t="shared" si="57"/>
        <v>72112900</v>
      </c>
      <c r="G195" s="525" t="str">
        <f t="shared" si="57"/>
        <v>n.a.</v>
      </c>
      <c r="H195" s="525" t="str">
        <f t="shared" si="57"/>
        <v>n.a.</v>
      </c>
      <c r="I195" s="525" t="str">
        <f t="shared" si="57"/>
        <v>n.a.</v>
      </c>
      <c r="J195" s="525" t="str">
        <f t="shared" si="57"/>
        <v>n.a.</v>
      </c>
      <c r="K195" s="525" t="str">
        <f t="shared" si="57"/>
        <v>n.a.</v>
      </c>
      <c r="L195" s="525" t="str">
        <f t="shared" si="58"/>
        <v>n.a.</v>
      </c>
      <c r="M195" s="525" t="str">
        <f t="shared" si="58"/>
        <v>n.a.</v>
      </c>
      <c r="N195" s="525" t="str">
        <f t="shared" si="58"/>
        <v>n.a.</v>
      </c>
      <c r="O195" s="525" t="str">
        <f t="shared" si="58"/>
        <v>n.a.</v>
      </c>
      <c r="P195" s="525" t="str">
        <f t="shared" si="58"/>
        <v>n.a.</v>
      </c>
      <c r="Q195" s="525" t="str">
        <f t="shared" si="58"/>
        <v>n.a.</v>
      </c>
      <c r="R195" s="525" t="str">
        <f t="shared" si="58"/>
        <v>n.a.</v>
      </c>
      <c r="S195" s="525" t="str">
        <f t="shared" si="58"/>
        <v>n.a.</v>
      </c>
    </row>
    <row r="196" spans="1:19" s="110" customFormat="1" x14ac:dyDescent="0.25">
      <c r="A196" s="785">
        <v>63</v>
      </c>
      <c r="B196" s="525" t="str">
        <f t="shared" si="57"/>
        <v>n.a.</v>
      </c>
      <c r="C196" s="525" t="str">
        <f t="shared" si="57"/>
        <v>n.a.</v>
      </c>
      <c r="D196" s="525" t="str">
        <f t="shared" si="57"/>
        <v>n.a.</v>
      </c>
      <c r="E196" s="525" t="str">
        <f t="shared" si="57"/>
        <v>n.a.</v>
      </c>
      <c r="F196" s="525" t="str">
        <f t="shared" si="57"/>
        <v>72119020</v>
      </c>
      <c r="G196" s="525" t="str">
        <f t="shared" si="57"/>
        <v>n.a.</v>
      </c>
      <c r="H196" s="525" t="str">
        <f t="shared" si="57"/>
        <v>n.a.</v>
      </c>
      <c r="I196" s="525" t="str">
        <f t="shared" si="57"/>
        <v>n.a.</v>
      </c>
      <c r="J196" s="525" t="str">
        <f t="shared" si="57"/>
        <v>n.a.</v>
      </c>
      <c r="K196" s="525" t="str">
        <f t="shared" si="57"/>
        <v>n.a.</v>
      </c>
      <c r="L196" s="525" t="str">
        <f t="shared" si="58"/>
        <v>n.a.</v>
      </c>
      <c r="M196" s="525" t="str">
        <f t="shared" si="58"/>
        <v>n.a.</v>
      </c>
      <c r="N196" s="525" t="str">
        <f t="shared" si="58"/>
        <v>n.a.</v>
      </c>
      <c r="O196" s="525" t="str">
        <f t="shared" si="58"/>
        <v>n.a.</v>
      </c>
      <c r="P196" s="525" t="str">
        <f t="shared" si="58"/>
        <v>n.a.</v>
      </c>
      <c r="Q196" s="525" t="str">
        <f t="shared" si="58"/>
        <v>n.a.</v>
      </c>
      <c r="R196" s="525" t="str">
        <f t="shared" si="58"/>
        <v>n.a.</v>
      </c>
      <c r="S196" s="525" t="str">
        <f t="shared" si="58"/>
        <v>n.a.</v>
      </c>
    </row>
    <row r="197" spans="1:19" s="110" customFormat="1" x14ac:dyDescent="0.25">
      <c r="A197" s="785">
        <v>64</v>
      </c>
      <c r="B197" s="525" t="str">
        <f t="shared" si="57"/>
        <v>n.a.</v>
      </c>
      <c r="C197" s="525" t="str">
        <f t="shared" si="57"/>
        <v>n.a.</v>
      </c>
      <c r="D197" s="525" t="str">
        <f t="shared" si="57"/>
        <v>n.a.</v>
      </c>
      <c r="E197" s="525" t="str">
        <f t="shared" si="57"/>
        <v>n.a.</v>
      </c>
      <c r="F197" s="525" t="str">
        <f t="shared" si="57"/>
        <v>72119080</v>
      </c>
      <c r="G197" s="525" t="str">
        <f t="shared" si="57"/>
        <v>n.a.</v>
      </c>
      <c r="H197" s="525" t="str">
        <f t="shared" si="57"/>
        <v>n.a.</v>
      </c>
      <c r="I197" s="525" t="str">
        <f t="shared" si="57"/>
        <v>n.a.</v>
      </c>
      <c r="J197" s="525" t="str">
        <f t="shared" si="57"/>
        <v>n.a.</v>
      </c>
      <c r="K197" s="525" t="str">
        <f t="shared" si="57"/>
        <v>n.a.</v>
      </c>
      <c r="L197" s="525" t="str">
        <f t="shared" si="58"/>
        <v>n.a.</v>
      </c>
      <c r="M197" s="525" t="str">
        <f t="shared" si="58"/>
        <v>n.a.</v>
      </c>
      <c r="N197" s="525" t="str">
        <f t="shared" si="58"/>
        <v>n.a.</v>
      </c>
      <c r="O197" s="525" t="str">
        <f t="shared" si="58"/>
        <v>n.a.</v>
      </c>
      <c r="P197" s="525" t="str">
        <f t="shared" si="58"/>
        <v>n.a.</v>
      </c>
      <c r="Q197" s="525" t="str">
        <f t="shared" si="58"/>
        <v>n.a.</v>
      </c>
      <c r="R197" s="525" t="str">
        <f t="shared" si="58"/>
        <v>n.a.</v>
      </c>
      <c r="S197" s="525" t="str">
        <f t="shared" si="58"/>
        <v>n.a.</v>
      </c>
    </row>
    <row r="198" spans="1:19" s="110" customFormat="1" x14ac:dyDescent="0.25">
      <c r="A198" s="785">
        <v>65</v>
      </c>
      <c r="B198" s="525" t="str">
        <f t="shared" si="57"/>
        <v>n.a.</v>
      </c>
      <c r="C198" s="525" t="str">
        <f t="shared" si="57"/>
        <v>n.a.</v>
      </c>
      <c r="D198" s="525" t="str">
        <f t="shared" si="57"/>
        <v>n.a.</v>
      </c>
      <c r="E198" s="525" t="str">
        <f t="shared" si="57"/>
        <v>n.a.</v>
      </c>
      <c r="F198" s="525" t="str">
        <f t="shared" si="57"/>
        <v>72121010</v>
      </c>
      <c r="G198" s="525" t="str">
        <f t="shared" si="57"/>
        <v>n.a.</v>
      </c>
      <c r="H198" s="525" t="str">
        <f t="shared" si="57"/>
        <v>n.a.</v>
      </c>
      <c r="I198" s="525" t="str">
        <f t="shared" si="57"/>
        <v>n.a.</v>
      </c>
      <c r="J198" s="525" t="str">
        <f t="shared" si="57"/>
        <v>n.a.</v>
      </c>
      <c r="K198" s="525" t="str">
        <f t="shared" si="57"/>
        <v>n.a.</v>
      </c>
      <c r="L198" s="525" t="str">
        <f t="shared" si="58"/>
        <v>n.a.</v>
      </c>
      <c r="M198" s="525" t="str">
        <f t="shared" si="58"/>
        <v>n.a.</v>
      </c>
      <c r="N198" s="525" t="str">
        <f t="shared" si="58"/>
        <v>n.a.</v>
      </c>
      <c r="O198" s="525" t="str">
        <f t="shared" si="58"/>
        <v>n.a.</v>
      </c>
      <c r="P198" s="525" t="str">
        <f t="shared" si="58"/>
        <v>n.a.</v>
      </c>
      <c r="Q198" s="525" t="str">
        <f t="shared" si="58"/>
        <v>n.a.</v>
      </c>
      <c r="R198" s="525" t="str">
        <f t="shared" si="58"/>
        <v>n.a.</v>
      </c>
      <c r="S198" s="525" t="str">
        <f t="shared" si="58"/>
        <v>n.a.</v>
      </c>
    </row>
    <row r="199" spans="1:19" s="110" customFormat="1" x14ac:dyDescent="0.25">
      <c r="A199" s="785">
        <v>66</v>
      </c>
      <c r="B199" s="525" t="str">
        <f t="shared" si="57"/>
        <v>n.a.</v>
      </c>
      <c r="C199" s="525" t="str">
        <f t="shared" si="57"/>
        <v>n.a.</v>
      </c>
      <c r="D199" s="525" t="str">
        <f t="shared" si="57"/>
        <v>n.a.</v>
      </c>
      <c r="E199" s="525" t="str">
        <f t="shared" si="57"/>
        <v>n.a.</v>
      </c>
      <c r="F199" s="525" t="str">
        <f t="shared" si="57"/>
        <v>72121090</v>
      </c>
      <c r="G199" s="525" t="str">
        <f t="shared" si="57"/>
        <v>n.a.</v>
      </c>
      <c r="H199" s="525" t="str">
        <f t="shared" si="57"/>
        <v>n.a.</v>
      </c>
      <c r="I199" s="525" t="str">
        <f t="shared" si="57"/>
        <v>n.a.</v>
      </c>
      <c r="J199" s="525" t="str">
        <f t="shared" si="57"/>
        <v>n.a.</v>
      </c>
      <c r="K199" s="525" t="str">
        <f t="shared" si="57"/>
        <v>n.a.</v>
      </c>
      <c r="L199" s="525" t="str">
        <f t="shared" si="58"/>
        <v>n.a.</v>
      </c>
      <c r="M199" s="525" t="str">
        <f t="shared" si="58"/>
        <v>n.a.</v>
      </c>
      <c r="N199" s="525" t="str">
        <f t="shared" si="58"/>
        <v>n.a.</v>
      </c>
      <c r="O199" s="525" t="str">
        <f t="shared" si="58"/>
        <v>n.a.</v>
      </c>
      <c r="P199" s="525" t="str">
        <f t="shared" si="58"/>
        <v>n.a.</v>
      </c>
      <c r="Q199" s="525" t="str">
        <f t="shared" si="58"/>
        <v>n.a.</v>
      </c>
      <c r="R199" s="525" t="str">
        <f t="shared" si="58"/>
        <v>n.a.</v>
      </c>
      <c r="S199" s="525" t="str">
        <f t="shared" si="58"/>
        <v>n.a.</v>
      </c>
    </row>
    <row r="200" spans="1:19" s="110" customFormat="1" x14ac:dyDescent="0.25">
      <c r="A200" s="785">
        <v>67</v>
      </c>
      <c r="B200" s="525" t="str">
        <f t="shared" si="57"/>
        <v>n.a.</v>
      </c>
      <c r="C200" s="525" t="str">
        <f t="shared" si="57"/>
        <v>n.a.</v>
      </c>
      <c r="D200" s="525" t="str">
        <f t="shared" si="57"/>
        <v>n.a.</v>
      </c>
      <c r="E200" s="525" t="str">
        <f t="shared" si="57"/>
        <v>n.a.</v>
      </c>
      <c r="F200" s="525" t="str">
        <f t="shared" si="57"/>
        <v>72122000</v>
      </c>
      <c r="G200" s="525" t="str">
        <f t="shared" si="57"/>
        <v>n.a.</v>
      </c>
      <c r="H200" s="525" t="str">
        <f t="shared" si="57"/>
        <v>n.a.</v>
      </c>
      <c r="I200" s="525" t="str">
        <f t="shared" si="57"/>
        <v>n.a.</v>
      </c>
      <c r="J200" s="525" t="str">
        <f t="shared" si="57"/>
        <v>n.a.</v>
      </c>
      <c r="K200" s="525" t="str">
        <f t="shared" si="57"/>
        <v>n.a.</v>
      </c>
      <c r="L200" s="525" t="str">
        <f t="shared" si="58"/>
        <v>n.a.</v>
      </c>
      <c r="M200" s="525" t="str">
        <f t="shared" si="58"/>
        <v>n.a.</v>
      </c>
      <c r="N200" s="525" t="str">
        <f t="shared" si="58"/>
        <v>n.a.</v>
      </c>
      <c r="O200" s="525" t="str">
        <f t="shared" si="58"/>
        <v>n.a.</v>
      </c>
      <c r="P200" s="525" t="str">
        <f t="shared" si="58"/>
        <v>n.a.</v>
      </c>
      <c r="Q200" s="525" t="str">
        <f t="shared" si="58"/>
        <v>n.a.</v>
      </c>
      <c r="R200" s="525" t="str">
        <f t="shared" si="58"/>
        <v>n.a.</v>
      </c>
      <c r="S200" s="525" t="str">
        <f t="shared" si="58"/>
        <v>n.a.</v>
      </c>
    </row>
    <row r="201" spans="1:19" s="110" customFormat="1" x14ac:dyDescent="0.25">
      <c r="A201" s="785">
        <v>68</v>
      </c>
      <c r="B201" s="525" t="str">
        <f t="shared" si="57"/>
        <v>n.a.</v>
      </c>
      <c r="C201" s="525" t="str">
        <f t="shared" si="57"/>
        <v>n.a.</v>
      </c>
      <c r="D201" s="525" t="str">
        <f t="shared" si="57"/>
        <v>n.a.</v>
      </c>
      <c r="E201" s="525" t="str">
        <f t="shared" si="57"/>
        <v>n.a.</v>
      </c>
      <c r="F201" s="525" t="str">
        <f t="shared" si="57"/>
        <v>72123000</v>
      </c>
      <c r="G201" s="525" t="str">
        <f t="shared" si="57"/>
        <v>n.a.</v>
      </c>
      <c r="H201" s="525" t="str">
        <f t="shared" si="57"/>
        <v>n.a.</v>
      </c>
      <c r="I201" s="525" t="str">
        <f t="shared" si="57"/>
        <v>n.a.</v>
      </c>
      <c r="J201" s="525" t="str">
        <f t="shared" si="57"/>
        <v>n.a.</v>
      </c>
      <c r="K201" s="525" t="str">
        <f t="shared" si="57"/>
        <v>n.a.</v>
      </c>
      <c r="L201" s="525" t="str">
        <f t="shared" si="58"/>
        <v>n.a.</v>
      </c>
      <c r="M201" s="525" t="str">
        <f t="shared" si="58"/>
        <v>n.a.</v>
      </c>
      <c r="N201" s="525" t="str">
        <f t="shared" si="58"/>
        <v>n.a.</v>
      </c>
      <c r="O201" s="525" t="str">
        <f t="shared" si="58"/>
        <v>n.a.</v>
      </c>
      <c r="P201" s="525" t="str">
        <f t="shared" si="58"/>
        <v>n.a.</v>
      </c>
      <c r="Q201" s="525" t="str">
        <f t="shared" si="58"/>
        <v>n.a.</v>
      </c>
      <c r="R201" s="525" t="str">
        <f t="shared" si="58"/>
        <v>n.a.</v>
      </c>
      <c r="S201" s="525" t="str">
        <f t="shared" si="58"/>
        <v>n.a.</v>
      </c>
    </row>
    <row r="202" spans="1:19" s="110" customFormat="1" x14ac:dyDescent="0.25">
      <c r="A202" s="785">
        <v>69</v>
      </c>
      <c r="B202" s="525" t="str">
        <f t="shared" si="57"/>
        <v>n.a.</v>
      </c>
      <c r="C202" s="525" t="str">
        <f t="shared" si="57"/>
        <v>n.a.</v>
      </c>
      <c r="D202" s="525" t="str">
        <f t="shared" si="57"/>
        <v>n.a.</v>
      </c>
      <c r="E202" s="525" t="str">
        <f t="shared" si="57"/>
        <v>n.a.</v>
      </c>
      <c r="F202" s="525" t="str">
        <f t="shared" si="57"/>
        <v>72124020</v>
      </c>
      <c r="G202" s="525" t="str">
        <f t="shared" si="57"/>
        <v>n.a.</v>
      </c>
      <c r="H202" s="525" t="str">
        <f t="shared" si="57"/>
        <v>n.a.</v>
      </c>
      <c r="I202" s="525" t="str">
        <f t="shared" si="57"/>
        <v>n.a.</v>
      </c>
      <c r="J202" s="525" t="str">
        <f t="shared" si="57"/>
        <v>n.a.</v>
      </c>
      <c r="K202" s="525" t="str">
        <f t="shared" si="57"/>
        <v>n.a.</v>
      </c>
      <c r="L202" s="525" t="str">
        <f t="shared" si="58"/>
        <v>n.a.</v>
      </c>
      <c r="M202" s="525" t="str">
        <f t="shared" si="58"/>
        <v>n.a.</v>
      </c>
      <c r="N202" s="525" t="str">
        <f t="shared" si="58"/>
        <v>n.a.</v>
      </c>
      <c r="O202" s="525" t="str">
        <f t="shared" si="58"/>
        <v>n.a.</v>
      </c>
      <c r="P202" s="525" t="str">
        <f t="shared" si="58"/>
        <v>n.a.</v>
      </c>
      <c r="Q202" s="525" t="str">
        <f t="shared" si="58"/>
        <v>n.a.</v>
      </c>
      <c r="R202" s="525" t="str">
        <f t="shared" si="58"/>
        <v>n.a.</v>
      </c>
      <c r="S202" s="525" t="str">
        <f t="shared" si="58"/>
        <v>n.a.</v>
      </c>
    </row>
    <row r="203" spans="1:19" s="110" customFormat="1" x14ac:dyDescent="0.25">
      <c r="A203" s="785">
        <v>70</v>
      </c>
      <c r="B203" s="525" t="str">
        <f t="shared" si="57"/>
        <v>n.a.</v>
      </c>
      <c r="C203" s="525" t="str">
        <f t="shared" si="57"/>
        <v>n.a.</v>
      </c>
      <c r="D203" s="525" t="str">
        <f t="shared" si="57"/>
        <v>n.a.</v>
      </c>
      <c r="E203" s="525" t="str">
        <f t="shared" si="57"/>
        <v>n.a.</v>
      </c>
      <c r="F203" s="525" t="str">
        <f t="shared" si="57"/>
        <v>72124080</v>
      </c>
      <c r="G203" s="525" t="str">
        <f t="shared" si="57"/>
        <v>n.a.</v>
      </c>
      <c r="H203" s="525" t="str">
        <f t="shared" si="57"/>
        <v>n.a.</v>
      </c>
      <c r="I203" s="525" t="str">
        <f t="shared" si="57"/>
        <v>n.a.</v>
      </c>
      <c r="J203" s="525" t="str">
        <f t="shared" si="57"/>
        <v>n.a.</v>
      </c>
      <c r="K203" s="525" t="str">
        <f t="shared" si="57"/>
        <v>n.a.</v>
      </c>
      <c r="L203" s="525" t="str">
        <f t="shared" si="58"/>
        <v>n.a.</v>
      </c>
      <c r="M203" s="525" t="str">
        <f t="shared" si="58"/>
        <v>n.a.</v>
      </c>
      <c r="N203" s="525" t="str">
        <f t="shared" si="58"/>
        <v>n.a.</v>
      </c>
      <c r="O203" s="525" t="str">
        <f t="shared" si="58"/>
        <v>n.a.</v>
      </c>
      <c r="P203" s="525" t="str">
        <f t="shared" si="58"/>
        <v>n.a.</v>
      </c>
      <c r="Q203" s="525" t="str">
        <f t="shared" si="58"/>
        <v>n.a.</v>
      </c>
      <c r="R203" s="525" t="str">
        <f t="shared" si="58"/>
        <v>n.a.</v>
      </c>
      <c r="S203" s="525" t="str">
        <f t="shared" si="58"/>
        <v>n.a.</v>
      </c>
    </row>
    <row r="204" spans="1:19" s="110" customFormat="1" x14ac:dyDescent="0.25">
      <c r="A204" s="785">
        <v>71</v>
      </c>
      <c r="B204" s="525" t="str">
        <f t="shared" ref="B204:K213" si="59">IFERROR(INDEX(CNCodes_ListKey,MATCH($A204&amp;"_"&amp;B$132,CNCodes_ListNumbering,0)),CONST_NA)</f>
        <v>n.a.</v>
      </c>
      <c r="C204" s="525" t="str">
        <f t="shared" si="59"/>
        <v>n.a.</v>
      </c>
      <c r="D204" s="525" t="str">
        <f t="shared" si="59"/>
        <v>n.a.</v>
      </c>
      <c r="E204" s="525" t="str">
        <f t="shared" si="59"/>
        <v>n.a.</v>
      </c>
      <c r="F204" s="525" t="str">
        <f t="shared" si="59"/>
        <v>72125020</v>
      </c>
      <c r="G204" s="525" t="str">
        <f t="shared" si="59"/>
        <v>n.a.</v>
      </c>
      <c r="H204" s="525" t="str">
        <f t="shared" si="59"/>
        <v>n.a.</v>
      </c>
      <c r="I204" s="525" t="str">
        <f t="shared" si="59"/>
        <v>n.a.</v>
      </c>
      <c r="J204" s="525" t="str">
        <f t="shared" si="59"/>
        <v>n.a.</v>
      </c>
      <c r="K204" s="525" t="str">
        <f t="shared" si="59"/>
        <v>n.a.</v>
      </c>
      <c r="L204" s="525" t="str">
        <f t="shared" ref="L204:S213" si="60">IFERROR(INDEX(CNCodes_ListKey,MATCH($A204&amp;"_"&amp;L$132,CNCodes_ListNumbering,0)),CONST_NA)</f>
        <v>n.a.</v>
      </c>
      <c r="M204" s="525" t="str">
        <f t="shared" si="60"/>
        <v>n.a.</v>
      </c>
      <c r="N204" s="525" t="str">
        <f t="shared" si="60"/>
        <v>n.a.</v>
      </c>
      <c r="O204" s="525" t="str">
        <f t="shared" si="60"/>
        <v>n.a.</v>
      </c>
      <c r="P204" s="525" t="str">
        <f t="shared" si="60"/>
        <v>n.a.</v>
      </c>
      <c r="Q204" s="525" t="str">
        <f t="shared" si="60"/>
        <v>n.a.</v>
      </c>
      <c r="R204" s="525" t="str">
        <f t="shared" si="60"/>
        <v>n.a.</v>
      </c>
      <c r="S204" s="525" t="str">
        <f t="shared" si="60"/>
        <v>n.a.</v>
      </c>
    </row>
    <row r="205" spans="1:19" s="110" customFormat="1" x14ac:dyDescent="0.25">
      <c r="A205" s="785">
        <v>72</v>
      </c>
      <c r="B205" s="525" t="str">
        <f t="shared" si="59"/>
        <v>n.a.</v>
      </c>
      <c r="C205" s="525" t="str">
        <f t="shared" si="59"/>
        <v>n.a.</v>
      </c>
      <c r="D205" s="525" t="str">
        <f t="shared" si="59"/>
        <v>n.a.</v>
      </c>
      <c r="E205" s="525" t="str">
        <f t="shared" si="59"/>
        <v>n.a.</v>
      </c>
      <c r="F205" s="525" t="str">
        <f t="shared" si="59"/>
        <v>72125030</v>
      </c>
      <c r="G205" s="525" t="str">
        <f t="shared" si="59"/>
        <v>n.a.</v>
      </c>
      <c r="H205" s="525" t="str">
        <f t="shared" si="59"/>
        <v>n.a.</v>
      </c>
      <c r="I205" s="525" t="str">
        <f t="shared" si="59"/>
        <v>n.a.</v>
      </c>
      <c r="J205" s="525" t="str">
        <f t="shared" si="59"/>
        <v>n.a.</v>
      </c>
      <c r="K205" s="525" t="str">
        <f t="shared" si="59"/>
        <v>n.a.</v>
      </c>
      <c r="L205" s="525" t="str">
        <f t="shared" si="60"/>
        <v>n.a.</v>
      </c>
      <c r="M205" s="525" t="str">
        <f t="shared" si="60"/>
        <v>n.a.</v>
      </c>
      <c r="N205" s="525" t="str">
        <f t="shared" si="60"/>
        <v>n.a.</v>
      </c>
      <c r="O205" s="525" t="str">
        <f t="shared" si="60"/>
        <v>n.a.</v>
      </c>
      <c r="P205" s="525" t="str">
        <f t="shared" si="60"/>
        <v>n.a.</v>
      </c>
      <c r="Q205" s="525" t="str">
        <f t="shared" si="60"/>
        <v>n.a.</v>
      </c>
      <c r="R205" s="525" t="str">
        <f t="shared" si="60"/>
        <v>n.a.</v>
      </c>
      <c r="S205" s="525" t="str">
        <f t="shared" si="60"/>
        <v>n.a.</v>
      </c>
    </row>
    <row r="206" spans="1:19" s="110" customFormat="1" x14ac:dyDescent="0.25">
      <c r="A206" s="785">
        <v>73</v>
      </c>
      <c r="B206" s="525" t="str">
        <f t="shared" si="59"/>
        <v>n.a.</v>
      </c>
      <c r="C206" s="525" t="str">
        <f t="shared" si="59"/>
        <v>n.a.</v>
      </c>
      <c r="D206" s="525" t="str">
        <f t="shared" si="59"/>
        <v>n.a.</v>
      </c>
      <c r="E206" s="525" t="str">
        <f t="shared" si="59"/>
        <v>n.a.</v>
      </c>
      <c r="F206" s="525" t="str">
        <f t="shared" si="59"/>
        <v>72125040</v>
      </c>
      <c r="G206" s="525" t="str">
        <f t="shared" si="59"/>
        <v>n.a.</v>
      </c>
      <c r="H206" s="525" t="str">
        <f t="shared" si="59"/>
        <v>n.a.</v>
      </c>
      <c r="I206" s="525" t="str">
        <f t="shared" si="59"/>
        <v>n.a.</v>
      </c>
      <c r="J206" s="525" t="str">
        <f t="shared" si="59"/>
        <v>n.a.</v>
      </c>
      <c r="K206" s="525" t="str">
        <f t="shared" si="59"/>
        <v>n.a.</v>
      </c>
      <c r="L206" s="525" t="str">
        <f t="shared" si="60"/>
        <v>n.a.</v>
      </c>
      <c r="M206" s="525" t="str">
        <f t="shared" si="60"/>
        <v>n.a.</v>
      </c>
      <c r="N206" s="525" t="str">
        <f t="shared" si="60"/>
        <v>n.a.</v>
      </c>
      <c r="O206" s="525" t="str">
        <f t="shared" si="60"/>
        <v>n.a.</v>
      </c>
      <c r="P206" s="525" t="str">
        <f t="shared" si="60"/>
        <v>n.a.</v>
      </c>
      <c r="Q206" s="525" t="str">
        <f t="shared" si="60"/>
        <v>n.a.</v>
      </c>
      <c r="R206" s="525" t="str">
        <f t="shared" si="60"/>
        <v>n.a.</v>
      </c>
      <c r="S206" s="525" t="str">
        <f t="shared" si="60"/>
        <v>n.a.</v>
      </c>
    </row>
    <row r="207" spans="1:19" s="110" customFormat="1" x14ac:dyDescent="0.25">
      <c r="A207" s="785">
        <v>74</v>
      </c>
      <c r="B207" s="525" t="str">
        <f t="shared" si="59"/>
        <v>n.a.</v>
      </c>
      <c r="C207" s="525" t="str">
        <f t="shared" si="59"/>
        <v>n.a.</v>
      </c>
      <c r="D207" s="525" t="str">
        <f t="shared" si="59"/>
        <v>n.a.</v>
      </c>
      <c r="E207" s="525" t="str">
        <f t="shared" si="59"/>
        <v>n.a.</v>
      </c>
      <c r="F207" s="525" t="str">
        <f t="shared" si="59"/>
        <v>72125061</v>
      </c>
      <c r="G207" s="525" t="str">
        <f t="shared" si="59"/>
        <v>n.a.</v>
      </c>
      <c r="H207" s="525" t="str">
        <f t="shared" si="59"/>
        <v>n.a.</v>
      </c>
      <c r="I207" s="525" t="str">
        <f t="shared" si="59"/>
        <v>n.a.</v>
      </c>
      <c r="J207" s="525" t="str">
        <f t="shared" si="59"/>
        <v>n.a.</v>
      </c>
      <c r="K207" s="525" t="str">
        <f t="shared" si="59"/>
        <v>n.a.</v>
      </c>
      <c r="L207" s="525" t="str">
        <f t="shared" si="60"/>
        <v>n.a.</v>
      </c>
      <c r="M207" s="525" t="str">
        <f t="shared" si="60"/>
        <v>n.a.</v>
      </c>
      <c r="N207" s="525" t="str">
        <f t="shared" si="60"/>
        <v>n.a.</v>
      </c>
      <c r="O207" s="525" t="str">
        <f t="shared" si="60"/>
        <v>n.a.</v>
      </c>
      <c r="P207" s="525" t="str">
        <f t="shared" si="60"/>
        <v>n.a.</v>
      </c>
      <c r="Q207" s="525" t="str">
        <f t="shared" si="60"/>
        <v>n.a.</v>
      </c>
      <c r="R207" s="525" t="str">
        <f t="shared" si="60"/>
        <v>n.a.</v>
      </c>
      <c r="S207" s="525" t="str">
        <f t="shared" si="60"/>
        <v>n.a.</v>
      </c>
    </row>
    <row r="208" spans="1:19" s="110" customFormat="1" x14ac:dyDescent="0.25">
      <c r="A208" s="785">
        <v>75</v>
      </c>
      <c r="B208" s="525" t="str">
        <f t="shared" si="59"/>
        <v>n.a.</v>
      </c>
      <c r="C208" s="525" t="str">
        <f t="shared" si="59"/>
        <v>n.a.</v>
      </c>
      <c r="D208" s="525" t="str">
        <f t="shared" si="59"/>
        <v>n.a.</v>
      </c>
      <c r="E208" s="525" t="str">
        <f t="shared" si="59"/>
        <v>n.a.</v>
      </c>
      <c r="F208" s="525" t="str">
        <f t="shared" si="59"/>
        <v>72125069</v>
      </c>
      <c r="G208" s="525" t="str">
        <f t="shared" si="59"/>
        <v>n.a.</v>
      </c>
      <c r="H208" s="525" t="str">
        <f t="shared" si="59"/>
        <v>n.a.</v>
      </c>
      <c r="I208" s="525" t="str">
        <f t="shared" si="59"/>
        <v>n.a.</v>
      </c>
      <c r="J208" s="525" t="str">
        <f t="shared" si="59"/>
        <v>n.a.</v>
      </c>
      <c r="K208" s="525" t="str">
        <f t="shared" si="59"/>
        <v>n.a.</v>
      </c>
      <c r="L208" s="525" t="str">
        <f t="shared" si="60"/>
        <v>n.a.</v>
      </c>
      <c r="M208" s="525" t="str">
        <f t="shared" si="60"/>
        <v>n.a.</v>
      </c>
      <c r="N208" s="525" t="str">
        <f t="shared" si="60"/>
        <v>n.a.</v>
      </c>
      <c r="O208" s="525" t="str">
        <f t="shared" si="60"/>
        <v>n.a.</v>
      </c>
      <c r="P208" s="525" t="str">
        <f t="shared" si="60"/>
        <v>n.a.</v>
      </c>
      <c r="Q208" s="525" t="str">
        <f t="shared" si="60"/>
        <v>n.a.</v>
      </c>
      <c r="R208" s="525" t="str">
        <f t="shared" si="60"/>
        <v>n.a.</v>
      </c>
      <c r="S208" s="525" t="str">
        <f t="shared" si="60"/>
        <v>n.a.</v>
      </c>
    </row>
    <row r="209" spans="1:19" s="110" customFormat="1" x14ac:dyDescent="0.25">
      <c r="A209" s="785">
        <v>76</v>
      </c>
      <c r="B209" s="525" t="str">
        <f t="shared" si="59"/>
        <v>n.a.</v>
      </c>
      <c r="C209" s="525" t="str">
        <f t="shared" si="59"/>
        <v>n.a.</v>
      </c>
      <c r="D209" s="525" t="str">
        <f t="shared" si="59"/>
        <v>n.a.</v>
      </c>
      <c r="E209" s="525" t="str">
        <f t="shared" si="59"/>
        <v>n.a.</v>
      </c>
      <c r="F209" s="525" t="str">
        <f t="shared" si="59"/>
        <v>72125090</v>
      </c>
      <c r="G209" s="525" t="str">
        <f t="shared" si="59"/>
        <v>n.a.</v>
      </c>
      <c r="H209" s="525" t="str">
        <f t="shared" si="59"/>
        <v>n.a.</v>
      </c>
      <c r="I209" s="525" t="str">
        <f t="shared" si="59"/>
        <v>n.a.</v>
      </c>
      <c r="J209" s="525" t="str">
        <f t="shared" si="59"/>
        <v>n.a.</v>
      </c>
      <c r="K209" s="525" t="str">
        <f t="shared" si="59"/>
        <v>n.a.</v>
      </c>
      <c r="L209" s="525" t="str">
        <f t="shared" si="60"/>
        <v>n.a.</v>
      </c>
      <c r="M209" s="525" t="str">
        <f t="shared" si="60"/>
        <v>n.a.</v>
      </c>
      <c r="N209" s="525" t="str">
        <f t="shared" si="60"/>
        <v>n.a.</v>
      </c>
      <c r="O209" s="525" t="str">
        <f t="shared" si="60"/>
        <v>n.a.</v>
      </c>
      <c r="P209" s="525" t="str">
        <f t="shared" si="60"/>
        <v>n.a.</v>
      </c>
      <c r="Q209" s="525" t="str">
        <f t="shared" si="60"/>
        <v>n.a.</v>
      </c>
      <c r="R209" s="525" t="str">
        <f t="shared" si="60"/>
        <v>n.a.</v>
      </c>
      <c r="S209" s="525" t="str">
        <f t="shared" si="60"/>
        <v>n.a.</v>
      </c>
    </row>
    <row r="210" spans="1:19" s="110" customFormat="1" x14ac:dyDescent="0.25">
      <c r="A210" s="785">
        <v>77</v>
      </c>
      <c r="B210" s="525" t="str">
        <f t="shared" si="59"/>
        <v>n.a.</v>
      </c>
      <c r="C210" s="525" t="str">
        <f t="shared" si="59"/>
        <v>n.a.</v>
      </c>
      <c r="D210" s="525" t="str">
        <f t="shared" si="59"/>
        <v>n.a.</v>
      </c>
      <c r="E210" s="525" t="str">
        <f t="shared" si="59"/>
        <v>n.a.</v>
      </c>
      <c r="F210" s="525" t="str">
        <f t="shared" si="59"/>
        <v>72126000</v>
      </c>
      <c r="G210" s="525" t="str">
        <f t="shared" si="59"/>
        <v>n.a.</v>
      </c>
      <c r="H210" s="525" t="str">
        <f t="shared" si="59"/>
        <v>n.a.</v>
      </c>
      <c r="I210" s="525" t="str">
        <f t="shared" si="59"/>
        <v>n.a.</v>
      </c>
      <c r="J210" s="525" t="str">
        <f t="shared" si="59"/>
        <v>n.a.</v>
      </c>
      <c r="K210" s="525" t="str">
        <f t="shared" si="59"/>
        <v>n.a.</v>
      </c>
      <c r="L210" s="525" t="str">
        <f t="shared" si="60"/>
        <v>n.a.</v>
      </c>
      <c r="M210" s="525" t="str">
        <f t="shared" si="60"/>
        <v>n.a.</v>
      </c>
      <c r="N210" s="525" t="str">
        <f t="shared" si="60"/>
        <v>n.a.</v>
      </c>
      <c r="O210" s="525" t="str">
        <f t="shared" si="60"/>
        <v>n.a.</v>
      </c>
      <c r="P210" s="525" t="str">
        <f t="shared" si="60"/>
        <v>n.a.</v>
      </c>
      <c r="Q210" s="525" t="str">
        <f t="shared" si="60"/>
        <v>n.a.</v>
      </c>
      <c r="R210" s="525" t="str">
        <f t="shared" si="60"/>
        <v>n.a.</v>
      </c>
      <c r="S210" s="525" t="str">
        <f t="shared" si="60"/>
        <v>n.a.</v>
      </c>
    </row>
    <row r="211" spans="1:19" s="110" customFormat="1" x14ac:dyDescent="0.25">
      <c r="A211" s="785">
        <v>78</v>
      </c>
      <c r="B211" s="525" t="str">
        <f t="shared" si="59"/>
        <v>n.a.</v>
      </c>
      <c r="C211" s="525" t="str">
        <f t="shared" si="59"/>
        <v>n.a.</v>
      </c>
      <c r="D211" s="525" t="str">
        <f t="shared" si="59"/>
        <v>n.a.</v>
      </c>
      <c r="E211" s="525" t="str">
        <f t="shared" si="59"/>
        <v>n.a.</v>
      </c>
      <c r="F211" s="525" t="str">
        <f t="shared" si="59"/>
        <v>72131000</v>
      </c>
      <c r="G211" s="525" t="str">
        <f t="shared" si="59"/>
        <v>n.a.</v>
      </c>
      <c r="H211" s="525" t="str">
        <f t="shared" si="59"/>
        <v>n.a.</v>
      </c>
      <c r="I211" s="525" t="str">
        <f t="shared" si="59"/>
        <v>n.a.</v>
      </c>
      <c r="J211" s="525" t="str">
        <f t="shared" si="59"/>
        <v>n.a.</v>
      </c>
      <c r="K211" s="525" t="str">
        <f t="shared" si="59"/>
        <v>n.a.</v>
      </c>
      <c r="L211" s="525" t="str">
        <f t="shared" si="60"/>
        <v>n.a.</v>
      </c>
      <c r="M211" s="525" t="str">
        <f t="shared" si="60"/>
        <v>n.a.</v>
      </c>
      <c r="N211" s="525" t="str">
        <f t="shared" si="60"/>
        <v>n.a.</v>
      </c>
      <c r="O211" s="525" t="str">
        <f t="shared" si="60"/>
        <v>n.a.</v>
      </c>
      <c r="P211" s="525" t="str">
        <f t="shared" si="60"/>
        <v>n.a.</v>
      </c>
      <c r="Q211" s="525" t="str">
        <f t="shared" si="60"/>
        <v>n.a.</v>
      </c>
      <c r="R211" s="525" t="str">
        <f t="shared" si="60"/>
        <v>n.a.</v>
      </c>
      <c r="S211" s="525" t="str">
        <f t="shared" si="60"/>
        <v>n.a.</v>
      </c>
    </row>
    <row r="212" spans="1:19" s="110" customFormat="1" x14ac:dyDescent="0.25">
      <c r="A212" s="785">
        <v>79</v>
      </c>
      <c r="B212" s="525" t="str">
        <f t="shared" si="59"/>
        <v>n.a.</v>
      </c>
      <c r="C212" s="525" t="str">
        <f t="shared" si="59"/>
        <v>n.a.</v>
      </c>
      <c r="D212" s="525" t="str">
        <f t="shared" si="59"/>
        <v>n.a.</v>
      </c>
      <c r="E212" s="525" t="str">
        <f t="shared" si="59"/>
        <v>n.a.</v>
      </c>
      <c r="F212" s="525" t="str">
        <f t="shared" si="59"/>
        <v>72132000</v>
      </c>
      <c r="G212" s="525" t="str">
        <f t="shared" si="59"/>
        <v>n.a.</v>
      </c>
      <c r="H212" s="525" t="str">
        <f t="shared" si="59"/>
        <v>n.a.</v>
      </c>
      <c r="I212" s="525" t="str">
        <f t="shared" si="59"/>
        <v>n.a.</v>
      </c>
      <c r="J212" s="525" t="str">
        <f t="shared" si="59"/>
        <v>n.a.</v>
      </c>
      <c r="K212" s="525" t="str">
        <f t="shared" si="59"/>
        <v>n.a.</v>
      </c>
      <c r="L212" s="525" t="str">
        <f t="shared" si="60"/>
        <v>n.a.</v>
      </c>
      <c r="M212" s="525" t="str">
        <f t="shared" si="60"/>
        <v>n.a.</v>
      </c>
      <c r="N212" s="525" t="str">
        <f t="shared" si="60"/>
        <v>n.a.</v>
      </c>
      <c r="O212" s="525" t="str">
        <f t="shared" si="60"/>
        <v>n.a.</v>
      </c>
      <c r="P212" s="525" t="str">
        <f t="shared" si="60"/>
        <v>n.a.</v>
      </c>
      <c r="Q212" s="525" t="str">
        <f t="shared" si="60"/>
        <v>n.a.</v>
      </c>
      <c r="R212" s="525" t="str">
        <f t="shared" si="60"/>
        <v>n.a.</v>
      </c>
      <c r="S212" s="525" t="str">
        <f t="shared" si="60"/>
        <v>n.a.</v>
      </c>
    </row>
    <row r="213" spans="1:19" s="110" customFormat="1" x14ac:dyDescent="0.25">
      <c r="A213" s="785">
        <v>80</v>
      </c>
      <c r="B213" s="525" t="str">
        <f t="shared" si="59"/>
        <v>n.a.</v>
      </c>
      <c r="C213" s="525" t="str">
        <f t="shared" si="59"/>
        <v>n.a.</v>
      </c>
      <c r="D213" s="525" t="str">
        <f t="shared" si="59"/>
        <v>n.a.</v>
      </c>
      <c r="E213" s="525" t="str">
        <f t="shared" si="59"/>
        <v>n.a.</v>
      </c>
      <c r="F213" s="525" t="str">
        <f t="shared" si="59"/>
        <v>72139110</v>
      </c>
      <c r="G213" s="525" t="str">
        <f t="shared" si="59"/>
        <v>n.a.</v>
      </c>
      <c r="H213" s="525" t="str">
        <f t="shared" si="59"/>
        <v>n.a.</v>
      </c>
      <c r="I213" s="525" t="str">
        <f t="shared" si="59"/>
        <v>n.a.</v>
      </c>
      <c r="J213" s="525" t="str">
        <f t="shared" si="59"/>
        <v>n.a.</v>
      </c>
      <c r="K213" s="525" t="str">
        <f t="shared" si="59"/>
        <v>n.a.</v>
      </c>
      <c r="L213" s="525" t="str">
        <f t="shared" si="60"/>
        <v>n.a.</v>
      </c>
      <c r="M213" s="525" t="str">
        <f t="shared" si="60"/>
        <v>n.a.</v>
      </c>
      <c r="N213" s="525" t="str">
        <f t="shared" si="60"/>
        <v>n.a.</v>
      </c>
      <c r="O213" s="525" t="str">
        <f t="shared" si="60"/>
        <v>n.a.</v>
      </c>
      <c r="P213" s="525" t="str">
        <f t="shared" si="60"/>
        <v>n.a.</v>
      </c>
      <c r="Q213" s="525" t="str">
        <f t="shared" si="60"/>
        <v>n.a.</v>
      </c>
      <c r="R213" s="525" t="str">
        <f t="shared" si="60"/>
        <v>n.a.</v>
      </c>
      <c r="S213" s="525" t="str">
        <f t="shared" si="60"/>
        <v>n.a.</v>
      </c>
    </row>
    <row r="214" spans="1:19" s="110" customFormat="1" x14ac:dyDescent="0.25">
      <c r="A214" s="785">
        <v>81</v>
      </c>
      <c r="B214" s="525" t="str">
        <f t="shared" ref="B214:K223" si="61">IFERROR(INDEX(CNCodes_ListKey,MATCH($A214&amp;"_"&amp;B$132,CNCodes_ListNumbering,0)),CONST_NA)</f>
        <v>n.a.</v>
      </c>
      <c r="C214" s="525" t="str">
        <f t="shared" si="61"/>
        <v>n.a.</v>
      </c>
      <c r="D214" s="525" t="str">
        <f t="shared" si="61"/>
        <v>n.a.</v>
      </c>
      <c r="E214" s="525" t="str">
        <f t="shared" si="61"/>
        <v>n.a.</v>
      </c>
      <c r="F214" s="525" t="str">
        <f t="shared" si="61"/>
        <v>72139120</v>
      </c>
      <c r="G214" s="525" t="str">
        <f t="shared" si="61"/>
        <v>n.a.</v>
      </c>
      <c r="H214" s="525" t="str">
        <f t="shared" si="61"/>
        <v>n.a.</v>
      </c>
      <c r="I214" s="525" t="str">
        <f t="shared" si="61"/>
        <v>n.a.</v>
      </c>
      <c r="J214" s="525" t="str">
        <f t="shared" si="61"/>
        <v>n.a.</v>
      </c>
      <c r="K214" s="525" t="str">
        <f t="shared" si="61"/>
        <v>n.a.</v>
      </c>
      <c r="L214" s="525" t="str">
        <f t="shared" ref="L214:S223" si="62">IFERROR(INDEX(CNCodes_ListKey,MATCH($A214&amp;"_"&amp;L$132,CNCodes_ListNumbering,0)),CONST_NA)</f>
        <v>n.a.</v>
      </c>
      <c r="M214" s="525" t="str">
        <f t="shared" si="62"/>
        <v>n.a.</v>
      </c>
      <c r="N214" s="525" t="str">
        <f t="shared" si="62"/>
        <v>n.a.</v>
      </c>
      <c r="O214" s="525" t="str">
        <f t="shared" si="62"/>
        <v>n.a.</v>
      </c>
      <c r="P214" s="525" t="str">
        <f t="shared" si="62"/>
        <v>n.a.</v>
      </c>
      <c r="Q214" s="525" t="str">
        <f t="shared" si="62"/>
        <v>n.a.</v>
      </c>
      <c r="R214" s="525" t="str">
        <f t="shared" si="62"/>
        <v>n.a.</v>
      </c>
      <c r="S214" s="525" t="str">
        <f t="shared" si="62"/>
        <v>n.a.</v>
      </c>
    </row>
    <row r="215" spans="1:19" s="110" customFormat="1" x14ac:dyDescent="0.25">
      <c r="A215" s="785">
        <v>82</v>
      </c>
      <c r="B215" s="525" t="str">
        <f t="shared" si="61"/>
        <v>n.a.</v>
      </c>
      <c r="C215" s="525" t="str">
        <f t="shared" si="61"/>
        <v>n.a.</v>
      </c>
      <c r="D215" s="525" t="str">
        <f t="shared" si="61"/>
        <v>n.a.</v>
      </c>
      <c r="E215" s="525" t="str">
        <f t="shared" si="61"/>
        <v>n.a.</v>
      </c>
      <c r="F215" s="525" t="str">
        <f t="shared" si="61"/>
        <v>72139141</v>
      </c>
      <c r="G215" s="525" t="str">
        <f t="shared" si="61"/>
        <v>n.a.</v>
      </c>
      <c r="H215" s="525" t="str">
        <f t="shared" si="61"/>
        <v>n.a.</v>
      </c>
      <c r="I215" s="525" t="str">
        <f t="shared" si="61"/>
        <v>n.a.</v>
      </c>
      <c r="J215" s="525" t="str">
        <f t="shared" si="61"/>
        <v>n.a.</v>
      </c>
      <c r="K215" s="525" t="str">
        <f t="shared" si="61"/>
        <v>n.a.</v>
      </c>
      <c r="L215" s="525" t="str">
        <f t="shared" si="62"/>
        <v>n.a.</v>
      </c>
      <c r="M215" s="525" t="str">
        <f t="shared" si="62"/>
        <v>n.a.</v>
      </c>
      <c r="N215" s="525" t="str">
        <f t="shared" si="62"/>
        <v>n.a.</v>
      </c>
      <c r="O215" s="525" t="str">
        <f t="shared" si="62"/>
        <v>n.a.</v>
      </c>
      <c r="P215" s="525" t="str">
        <f t="shared" si="62"/>
        <v>n.a.</v>
      </c>
      <c r="Q215" s="525" t="str">
        <f t="shared" si="62"/>
        <v>n.a.</v>
      </c>
      <c r="R215" s="525" t="str">
        <f t="shared" si="62"/>
        <v>n.a.</v>
      </c>
      <c r="S215" s="525" t="str">
        <f t="shared" si="62"/>
        <v>n.a.</v>
      </c>
    </row>
    <row r="216" spans="1:19" s="110" customFormat="1" x14ac:dyDescent="0.25">
      <c r="A216" s="785">
        <v>83</v>
      </c>
      <c r="B216" s="525" t="str">
        <f t="shared" si="61"/>
        <v>n.a.</v>
      </c>
      <c r="C216" s="525" t="str">
        <f t="shared" si="61"/>
        <v>n.a.</v>
      </c>
      <c r="D216" s="525" t="str">
        <f t="shared" si="61"/>
        <v>n.a.</v>
      </c>
      <c r="E216" s="525" t="str">
        <f t="shared" si="61"/>
        <v>n.a.</v>
      </c>
      <c r="F216" s="525" t="str">
        <f t="shared" si="61"/>
        <v>72139149</v>
      </c>
      <c r="G216" s="525" t="str">
        <f t="shared" si="61"/>
        <v>n.a.</v>
      </c>
      <c r="H216" s="525" t="str">
        <f t="shared" si="61"/>
        <v>n.a.</v>
      </c>
      <c r="I216" s="525" t="str">
        <f t="shared" si="61"/>
        <v>n.a.</v>
      </c>
      <c r="J216" s="525" t="str">
        <f t="shared" si="61"/>
        <v>n.a.</v>
      </c>
      <c r="K216" s="525" t="str">
        <f t="shared" si="61"/>
        <v>n.a.</v>
      </c>
      <c r="L216" s="525" t="str">
        <f t="shared" si="62"/>
        <v>n.a.</v>
      </c>
      <c r="M216" s="525" t="str">
        <f t="shared" si="62"/>
        <v>n.a.</v>
      </c>
      <c r="N216" s="525" t="str">
        <f t="shared" si="62"/>
        <v>n.a.</v>
      </c>
      <c r="O216" s="525" t="str">
        <f t="shared" si="62"/>
        <v>n.a.</v>
      </c>
      <c r="P216" s="525" t="str">
        <f t="shared" si="62"/>
        <v>n.a.</v>
      </c>
      <c r="Q216" s="525" t="str">
        <f t="shared" si="62"/>
        <v>n.a.</v>
      </c>
      <c r="R216" s="525" t="str">
        <f t="shared" si="62"/>
        <v>n.a.</v>
      </c>
      <c r="S216" s="525" t="str">
        <f t="shared" si="62"/>
        <v>n.a.</v>
      </c>
    </row>
    <row r="217" spans="1:19" s="110" customFormat="1" x14ac:dyDescent="0.25">
      <c r="A217" s="785">
        <v>84</v>
      </c>
      <c r="B217" s="525" t="str">
        <f t="shared" si="61"/>
        <v>n.a.</v>
      </c>
      <c r="C217" s="525" t="str">
        <f t="shared" si="61"/>
        <v>n.a.</v>
      </c>
      <c r="D217" s="525" t="str">
        <f t="shared" si="61"/>
        <v>n.a.</v>
      </c>
      <c r="E217" s="525" t="str">
        <f t="shared" si="61"/>
        <v>n.a.</v>
      </c>
      <c r="F217" s="525" t="str">
        <f t="shared" si="61"/>
        <v>72139170</v>
      </c>
      <c r="G217" s="525" t="str">
        <f t="shared" si="61"/>
        <v>n.a.</v>
      </c>
      <c r="H217" s="525" t="str">
        <f t="shared" si="61"/>
        <v>n.a.</v>
      </c>
      <c r="I217" s="525" t="str">
        <f t="shared" si="61"/>
        <v>n.a.</v>
      </c>
      <c r="J217" s="525" t="str">
        <f t="shared" si="61"/>
        <v>n.a.</v>
      </c>
      <c r="K217" s="525" t="str">
        <f t="shared" si="61"/>
        <v>n.a.</v>
      </c>
      <c r="L217" s="525" t="str">
        <f t="shared" si="62"/>
        <v>n.a.</v>
      </c>
      <c r="M217" s="525" t="str">
        <f t="shared" si="62"/>
        <v>n.a.</v>
      </c>
      <c r="N217" s="525" t="str">
        <f t="shared" si="62"/>
        <v>n.a.</v>
      </c>
      <c r="O217" s="525" t="str">
        <f t="shared" si="62"/>
        <v>n.a.</v>
      </c>
      <c r="P217" s="525" t="str">
        <f t="shared" si="62"/>
        <v>n.a.</v>
      </c>
      <c r="Q217" s="525" t="str">
        <f t="shared" si="62"/>
        <v>n.a.</v>
      </c>
      <c r="R217" s="525" t="str">
        <f t="shared" si="62"/>
        <v>n.a.</v>
      </c>
      <c r="S217" s="525" t="str">
        <f t="shared" si="62"/>
        <v>n.a.</v>
      </c>
    </row>
    <row r="218" spans="1:19" s="110" customFormat="1" x14ac:dyDescent="0.25">
      <c r="A218" s="785">
        <v>85</v>
      </c>
      <c r="B218" s="525" t="str">
        <f t="shared" si="61"/>
        <v>n.a.</v>
      </c>
      <c r="C218" s="525" t="str">
        <f t="shared" si="61"/>
        <v>n.a.</v>
      </c>
      <c r="D218" s="525" t="str">
        <f t="shared" si="61"/>
        <v>n.a.</v>
      </c>
      <c r="E218" s="525" t="str">
        <f t="shared" si="61"/>
        <v>n.a.</v>
      </c>
      <c r="F218" s="525" t="str">
        <f t="shared" si="61"/>
        <v>72139190</v>
      </c>
      <c r="G218" s="525" t="str">
        <f t="shared" si="61"/>
        <v>n.a.</v>
      </c>
      <c r="H218" s="525" t="str">
        <f t="shared" si="61"/>
        <v>n.a.</v>
      </c>
      <c r="I218" s="525" t="str">
        <f t="shared" si="61"/>
        <v>n.a.</v>
      </c>
      <c r="J218" s="525" t="str">
        <f t="shared" si="61"/>
        <v>n.a.</v>
      </c>
      <c r="K218" s="525" t="str">
        <f t="shared" si="61"/>
        <v>n.a.</v>
      </c>
      <c r="L218" s="525" t="str">
        <f t="shared" si="62"/>
        <v>n.a.</v>
      </c>
      <c r="M218" s="525" t="str">
        <f t="shared" si="62"/>
        <v>n.a.</v>
      </c>
      <c r="N218" s="525" t="str">
        <f t="shared" si="62"/>
        <v>n.a.</v>
      </c>
      <c r="O218" s="525" t="str">
        <f t="shared" si="62"/>
        <v>n.a.</v>
      </c>
      <c r="P218" s="525" t="str">
        <f t="shared" si="62"/>
        <v>n.a.</v>
      </c>
      <c r="Q218" s="525" t="str">
        <f t="shared" si="62"/>
        <v>n.a.</v>
      </c>
      <c r="R218" s="525" t="str">
        <f t="shared" si="62"/>
        <v>n.a.</v>
      </c>
      <c r="S218" s="525" t="str">
        <f t="shared" si="62"/>
        <v>n.a.</v>
      </c>
    </row>
    <row r="219" spans="1:19" s="110" customFormat="1" x14ac:dyDescent="0.25">
      <c r="A219" s="785">
        <v>86</v>
      </c>
      <c r="B219" s="525" t="str">
        <f t="shared" si="61"/>
        <v>n.a.</v>
      </c>
      <c r="C219" s="525" t="str">
        <f t="shared" si="61"/>
        <v>n.a.</v>
      </c>
      <c r="D219" s="525" t="str">
        <f t="shared" si="61"/>
        <v>n.a.</v>
      </c>
      <c r="E219" s="525" t="str">
        <f t="shared" si="61"/>
        <v>n.a.</v>
      </c>
      <c r="F219" s="525" t="str">
        <f t="shared" si="61"/>
        <v>72139910</v>
      </c>
      <c r="G219" s="525" t="str">
        <f t="shared" si="61"/>
        <v>n.a.</v>
      </c>
      <c r="H219" s="525" t="str">
        <f t="shared" si="61"/>
        <v>n.a.</v>
      </c>
      <c r="I219" s="525" t="str">
        <f t="shared" si="61"/>
        <v>n.a.</v>
      </c>
      <c r="J219" s="525" t="str">
        <f t="shared" si="61"/>
        <v>n.a.</v>
      </c>
      <c r="K219" s="525" t="str">
        <f t="shared" si="61"/>
        <v>n.a.</v>
      </c>
      <c r="L219" s="525" t="str">
        <f t="shared" si="62"/>
        <v>n.a.</v>
      </c>
      <c r="M219" s="525" t="str">
        <f t="shared" si="62"/>
        <v>n.a.</v>
      </c>
      <c r="N219" s="525" t="str">
        <f t="shared" si="62"/>
        <v>n.a.</v>
      </c>
      <c r="O219" s="525" t="str">
        <f t="shared" si="62"/>
        <v>n.a.</v>
      </c>
      <c r="P219" s="525" t="str">
        <f t="shared" si="62"/>
        <v>n.a.</v>
      </c>
      <c r="Q219" s="525" t="str">
        <f t="shared" si="62"/>
        <v>n.a.</v>
      </c>
      <c r="R219" s="525" t="str">
        <f t="shared" si="62"/>
        <v>n.a.</v>
      </c>
      <c r="S219" s="525" t="str">
        <f t="shared" si="62"/>
        <v>n.a.</v>
      </c>
    </row>
    <row r="220" spans="1:19" s="110" customFormat="1" x14ac:dyDescent="0.25">
      <c r="A220" s="785">
        <v>87</v>
      </c>
      <c r="B220" s="525" t="str">
        <f t="shared" si="61"/>
        <v>n.a.</v>
      </c>
      <c r="C220" s="525" t="str">
        <f t="shared" si="61"/>
        <v>n.a.</v>
      </c>
      <c r="D220" s="525" t="str">
        <f t="shared" si="61"/>
        <v>n.a.</v>
      </c>
      <c r="E220" s="525" t="str">
        <f t="shared" si="61"/>
        <v>n.a.</v>
      </c>
      <c r="F220" s="525" t="str">
        <f t="shared" si="61"/>
        <v>72139990</v>
      </c>
      <c r="G220" s="525" t="str">
        <f t="shared" si="61"/>
        <v>n.a.</v>
      </c>
      <c r="H220" s="525" t="str">
        <f t="shared" si="61"/>
        <v>n.a.</v>
      </c>
      <c r="I220" s="525" t="str">
        <f t="shared" si="61"/>
        <v>n.a.</v>
      </c>
      <c r="J220" s="525" t="str">
        <f t="shared" si="61"/>
        <v>n.a.</v>
      </c>
      <c r="K220" s="525" t="str">
        <f t="shared" si="61"/>
        <v>n.a.</v>
      </c>
      <c r="L220" s="525" t="str">
        <f t="shared" si="62"/>
        <v>n.a.</v>
      </c>
      <c r="M220" s="525" t="str">
        <f t="shared" si="62"/>
        <v>n.a.</v>
      </c>
      <c r="N220" s="525" t="str">
        <f t="shared" si="62"/>
        <v>n.a.</v>
      </c>
      <c r="O220" s="525" t="str">
        <f t="shared" si="62"/>
        <v>n.a.</v>
      </c>
      <c r="P220" s="525" t="str">
        <f t="shared" si="62"/>
        <v>n.a.</v>
      </c>
      <c r="Q220" s="525" t="str">
        <f t="shared" si="62"/>
        <v>n.a.</v>
      </c>
      <c r="R220" s="525" t="str">
        <f t="shared" si="62"/>
        <v>n.a.</v>
      </c>
      <c r="S220" s="525" t="str">
        <f t="shared" si="62"/>
        <v>n.a.</v>
      </c>
    </row>
    <row r="221" spans="1:19" s="110" customFormat="1" x14ac:dyDescent="0.25">
      <c r="A221" s="785">
        <v>88</v>
      </c>
      <c r="B221" s="525" t="str">
        <f t="shared" si="61"/>
        <v>n.a.</v>
      </c>
      <c r="C221" s="525" t="str">
        <f t="shared" si="61"/>
        <v>n.a.</v>
      </c>
      <c r="D221" s="525" t="str">
        <f t="shared" si="61"/>
        <v>n.a.</v>
      </c>
      <c r="E221" s="525" t="str">
        <f t="shared" si="61"/>
        <v>n.a.</v>
      </c>
      <c r="F221" s="525" t="str">
        <f t="shared" si="61"/>
        <v>72141000</v>
      </c>
      <c r="G221" s="525" t="str">
        <f t="shared" si="61"/>
        <v>n.a.</v>
      </c>
      <c r="H221" s="525" t="str">
        <f t="shared" si="61"/>
        <v>n.a.</v>
      </c>
      <c r="I221" s="525" t="str">
        <f t="shared" si="61"/>
        <v>n.a.</v>
      </c>
      <c r="J221" s="525" t="str">
        <f t="shared" si="61"/>
        <v>n.a.</v>
      </c>
      <c r="K221" s="525" t="str">
        <f t="shared" si="61"/>
        <v>n.a.</v>
      </c>
      <c r="L221" s="525" t="str">
        <f t="shared" si="62"/>
        <v>n.a.</v>
      </c>
      <c r="M221" s="525" t="str">
        <f t="shared" si="62"/>
        <v>n.a.</v>
      </c>
      <c r="N221" s="525" t="str">
        <f t="shared" si="62"/>
        <v>n.a.</v>
      </c>
      <c r="O221" s="525" t="str">
        <f t="shared" si="62"/>
        <v>n.a.</v>
      </c>
      <c r="P221" s="525" t="str">
        <f t="shared" si="62"/>
        <v>n.a.</v>
      </c>
      <c r="Q221" s="525" t="str">
        <f t="shared" si="62"/>
        <v>n.a.</v>
      </c>
      <c r="R221" s="525" t="str">
        <f t="shared" si="62"/>
        <v>n.a.</v>
      </c>
      <c r="S221" s="525" t="str">
        <f t="shared" si="62"/>
        <v>n.a.</v>
      </c>
    </row>
    <row r="222" spans="1:19" s="110" customFormat="1" x14ac:dyDescent="0.25">
      <c r="A222" s="785">
        <v>89</v>
      </c>
      <c r="B222" s="525" t="str">
        <f t="shared" si="61"/>
        <v>n.a.</v>
      </c>
      <c r="C222" s="525" t="str">
        <f t="shared" si="61"/>
        <v>n.a.</v>
      </c>
      <c r="D222" s="525" t="str">
        <f t="shared" si="61"/>
        <v>n.a.</v>
      </c>
      <c r="E222" s="525" t="str">
        <f t="shared" si="61"/>
        <v>n.a.</v>
      </c>
      <c r="F222" s="525" t="str">
        <f t="shared" si="61"/>
        <v>72142000</v>
      </c>
      <c r="G222" s="525" t="str">
        <f t="shared" si="61"/>
        <v>n.a.</v>
      </c>
      <c r="H222" s="525" t="str">
        <f t="shared" si="61"/>
        <v>n.a.</v>
      </c>
      <c r="I222" s="525" t="str">
        <f t="shared" si="61"/>
        <v>n.a.</v>
      </c>
      <c r="J222" s="525" t="str">
        <f t="shared" si="61"/>
        <v>n.a.</v>
      </c>
      <c r="K222" s="525" t="str">
        <f t="shared" si="61"/>
        <v>n.a.</v>
      </c>
      <c r="L222" s="525" t="str">
        <f t="shared" si="62"/>
        <v>n.a.</v>
      </c>
      <c r="M222" s="525" t="str">
        <f t="shared" si="62"/>
        <v>n.a.</v>
      </c>
      <c r="N222" s="525" t="str">
        <f t="shared" si="62"/>
        <v>n.a.</v>
      </c>
      <c r="O222" s="525" t="str">
        <f t="shared" si="62"/>
        <v>n.a.</v>
      </c>
      <c r="P222" s="525" t="str">
        <f t="shared" si="62"/>
        <v>n.a.</v>
      </c>
      <c r="Q222" s="525" t="str">
        <f t="shared" si="62"/>
        <v>n.a.</v>
      </c>
      <c r="R222" s="525" t="str">
        <f t="shared" si="62"/>
        <v>n.a.</v>
      </c>
      <c r="S222" s="525" t="str">
        <f t="shared" si="62"/>
        <v>n.a.</v>
      </c>
    </row>
    <row r="223" spans="1:19" s="110" customFormat="1" x14ac:dyDescent="0.25">
      <c r="A223" s="785">
        <v>90</v>
      </c>
      <c r="B223" s="525" t="str">
        <f t="shared" si="61"/>
        <v>n.a.</v>
      </c>
      <c r="C223" s="525" t="str">
        <f t="shared" si="61"/>
        <v>n.a.</v>
      </c>
      <c r="D223" s="525" t="str">
        <f t="shared" si="61"/>
        <v>n.a.</v>
      </c>
      <c r="E223" s="525" t="str">
        <f t="shared" si="61"/>
        <v>n.a.</v>
      </c>
      <c r="F223" s="525" t="str">
        <f t="shared" si="61"/>
        <v>72143000</v>
      </c>
      <c r="G223" s="525" t="str">
        <f t="shared" si="61"/>
        <v>n.a.</v>
      </c>
      <c r="H223" s="525" t="str">
        <f t="shared" si="61"/>
        <v>n.a.</v>
      </c>
      <c r="I223" s="525" t="str">
        <f t="shared" si="61"/>
        <v>n.a.</v>
      </c>
      <c r="J223" s="525" t="str">
        <f t="shared" si="61"/>
        <v>n.a.</v>
      </c>
      <c r="K223" s="525" t="str">
        <f t="shared" si="61"/>
        <v>n.a.</v>
      </c>
      <c r="L223" s="525" t="str">
        <f t="shared" si="62"/>
        <v>n.a.</v>
      </c>
      <c r="M223" s="525" t="str">
        <f t="shared" si="62"/>
        <v>n.a.</v>
      </c>
      <c r="N223" s="525" t="str">
        <f t="shared" si="62"/>
        <v>n.a.</v>
      </c>
      <c r="O223" s="525" t="str">
        <f t="shared" si="62"/>
        <v>n.a.</v>
      </c>
      <c r="P223" s="525" t="str">
        <f t="shared" si="62"/>
        <v>n.a.</v>
      </c>
      <c r="Q223" s="525" t="str">
        <f t="shared" si="62"/>
        <v>n.a.</v>
      </c>
      <c r="R223" s="525" t="str">
        <f t="shared" si="62"/>
        <v>n.a.</v>
      </c>
      <c r="S223" s="525" t="str">
        <f t="shared" si="62"/>
        <v>n.a.</v>
      </c>
    </row>
    <row r="224" spans="1:19" s="110" customFormat="1" x14ac:dyDescent="0.25">
      <c r="A224" s="785">
        <v>91</v>
      </c>
      <c r="B224" s="525" t="str">
        <f t="shared" ref="B224:K233" si="63">IFERROR(INDEX(CNCodes_ListKey,MATCH($A224&amp;"_"&amp;B$132,CNCodes_ListNumbering,0)),CONST_NA)</f>
        <v>n.a.</v>
      </c>
      <c r="C224" s="525" t="str">
        <f t="shared" si="63"/>
        <v>n.a.</v>
      </c>
      <c r="D224" s="525" t="str">
        <f t="shared" si="63"/>
        <v>n.a.</v>
      </c>
      <c r="E224" s="525" t="str">
        <f t="shared" si="63"/>
        <v>n.a.</v>
      </c>
      <c r="F224" s="525" t="str">
        <f t="shared" si="63"/>
        <v>72149110</v>
      </c>
      <c r="G224" s="525" t="str">
        <f t="shared" si="63"/>
        <v>n.a.</v>
      </c>
      <c r="H224" s="525" t="str">
        <f t="shared" si="63"/>
        <v>n.a.</v>
      </c>
      <c r="I224" s="525" t="str">
        <f t="shared" si="63"/>
        <v>n.a.</v>
      </c>
      <c r="J224" s="525" t="str">
        <f t="shared" si="63"/>
        <v>n.a.</v>
      </c>
      <c r="K224" s="525" t="str">
        <f t="shared" si="63"/>
        <v>n.a.</v>
      </c>
      <c r="L224" s="525" t="str">
        <f t="shared" ref="L224:S233" si="64">IFERROR(INDEX(CNCodes_ListKey,MATCH($A224&amp;"_"&amp;L$132,CNCodes_ListNumbering,0)),CONST_NA)</f>
        <v>n.a.</v>
      </c>
      <c r="M224" s="525" t="str">
        <f t="shared" si="64"/>
        <v>n.a.</v>
      </c>
      <c r="N224" s="525" t="str">
        <f t="shared" si="64"/>
        <v>n.a.</v>
      </c>
      <c r="O224" s="525" t="str">
        <f t="shared" si="64"/>
        <v>n.a.</v>
      </c>
      <c r="P224" s="525" t="str">
        <f t="shared" si="64"/>
        <v>n.a.</v>
      </c>
      <c r="Q224" s="525" t="str">
        <f t="shared" si="64"/>
        <v>n.a.</v>
      </c>
      <c r="R224" s="525" t="str">
        <f t="shared" si="64"/>
        <v>n.a.</v>
      </c>
      <c r="S224" s="525" t="str">
        <f t="shared" si="64"/>
        <v>n.a.</v>
      </c>
    </row>
    <row r="225" spans="1:19" s="110" customFormat="1" x14ac:dyDescent="0.25">
      <c r="A225" s="785">
        <v>92</v>
      </c>
      <c r="B225" s="525" t="str">
        <f t="shared" si="63"/>
        <v>n.a.</v>
      </c>
      <c r="C225" s="525" t="str">
        <f t="shared" si="63"/>
        <v>n.a.</v>
      </c>
      <c r="D225" s="525" t="str">
        <f t="shared" si="63"/>
        <v>n.a.</v>
      </c>
      <c r="E225" s="525" t="str">
        <f t="shared" si="63"/>
        <v>n.a.</v>
      </c>
      <c r="F225" s="525" t="str">
        <f t="shared" si="63"/>
        <v>72149190</v>
      </c>
      <c r="G225" s="525" t="str">
        <f t="shared" si="63"/>
        <v>n.a.</v>
      </c>
      <c r="H225" s="525" t="str">
        <f t="shared" si="63"/>
        <v>n.a.</v>
      </c>
      <c r="I225" s="525" t="str">
        <f t="shared" si="63"/>
        <v>n.a.</v>
      </c>
      <c r="J225" s="525" t="str">
        <f t="shared" si="63"/>
        <v>n.a.</v>
      </c>
      <c r="K225" s="525" t="str">
        <f t="shared" si="63"/>
        <v>n.a.</v>
      </c>
      <c r="L225" s="525" t="str">
        <f t="shared" si="64"/>
        <v>n.a.</v>
      </c>
      <c r="M225" s="525" t="str">
        <f t="shared" si="64"/>
        <v>n.a.</v>
      </c>
      <c r="N225" s="525" t="str">
        <f t="shared" si="64"/>
        <v>n.a.</v>
      </c>
      <c r="O225" s="525" t="str">
        <f t="shared" si="64"/>
        <v>n.a.</v>
      </c>
      <c r="P225" s="525" t="str">
        <f t="shared" si="64"/>
        <v>n.a.</v>
      </c>
      <c r="Q225" s="525" t="str">
        <f t="shared" si="64"/>
        <v>n.a.</v>
      </c>
      <c r="R225" s="525" t="str">
        <f t="shared" si="64"/>
        <v>n.a.</v>
      </c>
      <c r="S225" s="525" t="str">
        <f t="shared" si="64"/>
        <v>n.a.</v>
      </c>
    </row>
    <row r="226" spans="1:19" s="110" customFormat="1" x14ac:dyDescent="0.25">
      <c r="A226" s="785">
        <v>93</v>
      </c>
      <c r="B226" s="525" t="str">
        <f t="shared" si="63"/>
        <v>n.a.</v>
      </c>
      <c r="C226" s="525" t="str">
        <f t="shared" si="63"/>
        <v>n.a.</v>
      </c>
      <c r="D226" s="525" t="str">
        <f t="shared" si="63"/>
        <v>n.a.</v>
      </c>
      <c r="E226" s="525" t="str">
        <f t="shared" si="63"/>
        <v>n.a.</v>
      </c>
      <c r="F226" s="525" t="str">
        <f t="shared" si="63"/>
        <v>72149910</v>
      </c>
      <c r="G226" s="525" t="str">
        <f t="shared" si="63"/>
        <v>n.a.</v>
      </c>
      <c r="H226" s="525" t="str">
        <f t="shared" si="63"/>
        <v>n.a.</v>
      </c>
      <c r="I226" s="525" t="str">
        <f t="shared" si="63"/>
        <v>n.a.</v>
      </c>
      <c r="J226" s="525" t="str">
        <f t="shared" si="63"/>
        <v>n.a.</v>
      </c>
      <c r="K226" s="525" t="str">
        <f t="shared" si="63"/>
        <v>n.a.</v>
      </c>
      <c r="L226" s="525" t="str">
        <f t="shared" si="64"/>
        <v>n.a.</v>
      </c>
      <c r="M226" s="525" t="str">
        <f t="shared" si="64"/>
        <v>n.a.</v>
      </c>
      <c r="N226" s="525" t="str">
        <f t="shared" si="64"/>
        <v>n.a.</v>
      </c>
      <c r="O226" s="525" t="str">
        <f t="shared" si="64"/>
        <v>n.a.</v>
      </c>
      <c r="P226" s="525" t="str">
        <f t="shared" si="64"/>
        <v>n.a.</v>
      </c>
      <c r="Q226" s="525" t="str">
        <f t="shared" si="64"/>
        <v>n.a.</v>
      </c>
      <c r="R226" s="525" t="str">
        <f t="shared" si="64"/>
        <v>n.a.</v>
      </c>
      <c r="S226" s="525" t="str">
        <f t="shared" si="64"/>
        <v>n.a.</v>
      </c>
    </row>
    <row r="227" spans="1:19" s="110" customFormat="1" x14ac:dyDescent="0.25">
      <c r="A227" s="785">
        <v>94</v>
      </c>
      <c r="B227" s="525" t="str">
        <f t="shared" si="63"/>
        <v>n.a.</v>
      </c>
      <c r="C227" s="525" t="str">
        <f t="shared" si="63"/>
        <v>n.a.</v>
      </c>
      <c r="D227" s="525" t="str">
        <f t="shared" si="63"/>
        <v>n.a.</v>
      </c>
      <c r="E227" s="525" t="str">
        <f t="shared" si="63"/>
        <v>n.a.</v>
      </c>
      <c r="F227" s="525" t="str">
        <f t="shared" si="63"/>
        <v>72149931</v>
      </c>
      <c r="G227" s="525" t="str">
        <f t="shared" si="63"/>
        <v>n.a.</v>
      </c>
      <c r="H227" s="525" t="str">
        <f t="shared" si="63"/>
        <v>n.a.</v>
      </c>
      <c r="I227" s="525" t="str">
        <f t="shared" si="63"/>
        <v>n.a.</v>
      </c>
      <c r="J227" s="525" t="str">
        <f t="shared" si="63"/>
        <v>n.a.</v>
      </c>
      <c r="K227" s="525" t="str">
        <f t="shared" si="63"/>
        <v>n.a.</v>
      </c>
      <c r="L227" s="525" t="str">
        <f t="shared" si="64"/>
        <v>n.a.</v>
      </c>
      <c r="M227" s="525" t="str">
        <f t="shared" si="64"/>
        <v>n.a.</v>
      </c>
      <c r="N227" s="525" t="str">
        <f t="shared" si="64"/>
        <v>n.a.</v>
      </c>
      <c r="O227" s="525" t="str">
        <f t="shared" si="64"/>
        <v>n.a.</v>
      </c>
      <c r="P227" s="525" t="str">
        <f t="shared" si="64"/>
        <v>n.a.</v>
      </c>
      <c r="Q227" s="525" t="str">
        <f t="shared" si="64"/>
        <v>n.a.</v>
      </c>
      <c r="R227" s="525" t="str">
        <f t="shared" si="64"/>
        <v>n.a.</v>
      </c>
      <c r="S227" s="525" t="str">
        <f t="shared" si="64"/>
        <v>n.a.</v>
      </c>
    </row>
    <row r="228" spans="1:19" s="110" customFormat="1" x14ac:dyDescent="0.25">
      <c r="A228" s="785">
        <v>95</v>
      </c>
      <c r="B228" s="525" t="str">
        <f t="shared" si="63"/>
        <v>n.a.</v>
      </c>
      <c r="C228" s="525" t="str">
        <f t="shared" si="63"/>
        <v>n.a.</v>
      </c>
      <c r="D228" s="525" t="str">
        <f t="shared" si="63"/>
        <v>n.a.</v>
      </c>
      <c r="E228" s="525" t="str">
        <f t="shared" si="63"/>
        <v>n.a.</v>
      </c>
      <c r="F228" s="525" t="str">
        <f t="shared" si="63"/>
        <v>72149939</v>
      </c>
      <c r="G228" s="525" t="str">
        <f t="shared" si="63"/>
        <v>n.a.</v>
      </c>
      <c r="H228" s="525" t="str">
        <f t="shared" si="63"/>
        <v>n.a.</v>
      </c>
      <c r="I228" s="525" t="str">
        <f t="shared" si="63"/>
        <v>n.a.</v>
      </c>
      <c r="J228" s="525" t="str">
        <f t="shared" si="63"/>
        <v>n.a.</v>
      </c>
      <c r="K228" s="525" t="str">
        <f t="shared" si="63"/>
        <v>n.a.</v>
      </c>
      <c r="L228" s="525" t="str">
        <f t="shared" si="64"/>
        <v>n.a.</v>
      </c>
      <c r="M228" s="525" t="str">
        <f t="shared" si="64"/>
        <v>n.a.</v>
      </c>
      <c r="N228" s="525" t="str">
        <f t="shared" si="64"/>
        <v>n.a.</v>
      </c>
      <c r="O228" s="525" t="str">
        <f t="shared" si="64"/>
        <v>n.a.</v>
      </c>
      <c r="P228" s="525" t="str">
        <f t="shared" si="64"/>
        <v>n.a.</v>
      </c>
      <c r="Q228" s="525" t="str">
        <f t="shared" si="64"/>
        <v>n.a.</v>
      </c>
      <c r="R228" s="525" t="str">
        <f t="shared" si="64"/>
        <v>n.a.</v>
      </c>
      <c r="S228" s="525" t="str">
        <f t="shared" si="64"/>
        <v>n.a.</v>
      </c>
    </row>
    <row r="229" spans="1:19" s="110" customFormat="1" x14ac:dyDescent="0.25">
      <c r="A229" s="785">
        <v>96</v>
      </c>
      <c r="B229" s="525" t="str">
        <f t="shared" si="63"/>
        <v>n.a.</v>
      </c>
      <c r="C229" s="525" t="str">
        <f t="shared" si="63"/>
        <v>n.a.</v>
      </c>
      <c r="D229" s="525" t="str">
        <f t="shared" si="63"/>
        <v>n.a.</v>
      </c>
      <c r="E229" s="525" t="str">
        <f t="shared" si="63"/>
        <v>n.a.</v>
      </c>
      <c r="F229" s="525" t="str">
        <f t="shared" si="63"/>
        <v>72149950</v>
      </c>
      <c r="G229" s="525" t="str">
        <f t="shared" si="63"/>
        <v>n.a.</v>
      </c>
      <c r="H229" s="525" t="str">
        <f t="shared" si="63"/>
        <v>n.a.</v>
      </c>
      <c r="I229" s="525" t="str">
        <f t="shared" si="63"/>
        <v>n.a.</v>
      </c>
      <c r="J229" s="525" t="str">
        <f t="shared" si="63"/>
        <v>n.a.</v>
      </c>
      <c r="K229" s="525" t="str">
        <f t="shared" si="63"/>
        <v>n.a.</v>
      </c>
      <c r="L229" s="525" t="str">
        <f t="shared" si="64"/>
        <v>n.a.</v>
      </c>
      <c r="M229" s="525" t="str">
        <f t="shared" si="64"/>
        <v>n.a.</v>
      </c>
      <c r="N229" s="525" t="str">
        <f t="shared" si="64"/>
        <v>n.a.</v>
      </c>
      <c r="O229" s="525" t="str">
        <f t="shared" si="64"/>
        <v>n.a.</v>
      </c>
      <c r="P229" s="525" t="str">
        <f t="shared" si="64"/>
        <v>n.a.</v>
      </c>
      <c r="Q229" s="525" t="str">
        <f t="shared" si="64"/>
        <v>n.a.</v>
      </c>
      <c r="R229" s="525" t="str">
        <f t="shared" si="64"/>
        <v>n.a.</v>
      </c>
      <c r="S229" s="525" t="str">
        <f t="shared" si="64"/>
        <v>n.a.</v>
      </c>
    </row>
    <row r="230" spans="1:19" s="110" customFormat="1" x14ac:dyDescent="0.25">
      <c r="A230" s="785">
        <v>97</v>
      </c>
      <c r="B230" s="525" t="str">
        <f t="shared" si="63"/>
        <v>n.a.</v>
      </c>
      <c r="C230" s="525" t="str">
        <f t="shared" si="63"/>
        <v>n.a.</v>
      </c>
      <c r="D230" s="525" t="str">
        <f t="shared" si="63"/>
        <v>n.a.</v>
      </c>
      <c r="E230" s="525" t="str">
        <f t="shared" si="63"/>
        <v>n.a.</v>
      </c>
      <c r="F230" s="525" t="str">
        <f t="shared" si="63"/>
        <v>72149971</v>
      </c>
      <c r="G230" s="525" t="str">
        <f t="shared" si="63"/>
        <v>n.a.</v>
      </c>
      <c r="H230" s="525" t="str">
        <f t="shared" si="63"/>
        <v>n.a.</v>
      </c>
      <c r="I230" s="525" t="str">
        <f t="shared" si="63"/>
        <v>n.a.</v>
      </c>
      <c r="J230" s="525" t="str">
        <f t="shared" si="63"/>
        <v>n.a.</v>
      </c>
      <c r="K230" s="525" t="str">
        <f t="shared" si="63"/>
        <v>n.a.</v>
      </c>
      <c r="L230" s="525" t="str">
        <f t="shared" si="64"/>
        <v>n.a.</v>
      </c>
      <c r="M230" s="525" t="str">
        <f t="shared" si="64"/>
        <v>n.a.</v>
      </c>
      <c r="N230" s="525" t="str">
        <f t="shared" si="64"/>
        <v>n.a.</v>
      </c>
      <c r="O230" s="525" t="str">
        <f t="shared" si="64"/>
        <v>n.a.</v>
      </c>
      <c r="P230" s="525" t="str">
        <f t="shared" si="64"/>
        <v>n.a.</v>
      </c>
      <c r="Q230" s="525" t="str">
        <f t="shared" si="64"/>
        <v>n.a.</v>
      </c>
      <c r="R230" s="525" t="str">
        <f t="shared" si="64"/>
        <v>n.a.</v>
      </c>
      <c r="S230" s="525" t="str">
        <f t="shared" si="64"/>
        <v>n.a.</v>
      </c>
    </row>
    <row r="231" spans="1:19" s="110" customFormat="1" x14ac:dyDescent="0.25">
      <c r="A231" s="785">
        <v>98</v>
      </c>
      <c r="B231" s="525" t="str">
        <f t="shared" si="63"/>
        <v>n.a.</v>
      </c>
      <c r="C231" s="525" t="str">
        <f t="shared" si="63"/>
        <v>n.a.</v>
      </c>
      <c r="D231" s="525" t="str">
        <f t="shared" si="63"/>
        <v>n.a.</v>
      </c>
      <c r="E231" s="525" t="str">
        <f t="shared" si="63"/>
        <v>n.a.</v>
      </c>
      <c r="F231" s="525" t="str">
        <f t="shared" si="63"/>
        <v>72149979</v>
      </c>
      <c r="G231" s="525" t="str">
        <f t="shared" si="63"/>
        <v>n.a.</v>
      </c>
      <c r="H231" s="525" t="str">
        <f t="shared" si="63"/>
        <v>n.a.</v>
      </c>
      <c r="I231" s="525" t="str">
        <f t="shared" si="63"/>
        <v>n.a.</v>
      </c>
      <c r="J231" s="525" t="str">
        <f t="shared" si="63"/>
        <v>n.a.</v>
      </c>
      <c r="K231" s="525" t="str">
        <f t="shared" si="63"/>
        <v>n.a.</v>
      </c>
      <c r="L231" s="525" t="str">
        <f t="shared" si="64"/>
        <v>n.a.</v>
      </c>
      <c r="M231" s="525" t="str">
        <f t="shared" si="64"/>
        <v>n.a.</v>
      </c>
      <c r="N231" s="525" t="str">
        <f t="shared" si="64"/>
        <v>n.a.</v>
      </c>
      <c r="O231" s="525" t="str">
        <f t="shared" si="64"/>
        <v>n.a.</v>
      </c>
      <c r="P231" s="525" t="str">
        <f t="shared" si="64"/>
        <v>n.a.</v>
      </c>
      <c r="Q231" s="525" t="str">
        <f t="shared" si="64"/>
        <v>n.a.</v>
      </c>
      <c r="R231" s="525" t="str">
        <f t="shared" si="64"/>
        <v>n.a.</v>
      </c>
      <c r="S231" s="525" t="str">
        <f t="shared" si="64"/>
        <v>n.a.</v>
      </c>
    </row>
    <row r="232" spans="1:19" s="110" customFormat="1" x14ac:dyDescent="0.25">
      <c r="A232" s="785">
        <v>99</v>
      </c>
      <c r="B232" s="525" t="str">
        <f t="shared" si="63"/>
        <v>n.a.</v>
      </c>
      <c r="C232" s="525" t="str">
        <f t="shared" si="63"/>
        <v>n.a.</v>
      </c>
      <c r="D232" s="525" t="str">
        <f t="shared" si="63"/>
        <v>n.a.</v>
      </c>
      <c r="E232" s="525" t="str">
        <f t="shared" si="63"/>
        <v>n.a.</v>
      </c>
      <c r="F232" s="525" t="str">
        <f t="shared" si="63"/>
        <v>72149995</v>
      </c>
      <c r="G232" s="525" t="str">
        <f t="shared" si="63"/>
        <v>n.a.</v>
      </c>
      <c r="H232" s="525" t="str">
        <f t="shared" si="63"/>
        <v>n.a.</v>
      </c>
      <c r="I232" s="525" t="str">
        <f t="shared" si="63"/>
        <v>n.a.</v>
      </c>
      <c r="J232" s="525" t="str">
        <f t="shared" si="63"/>
        <v>n.a.</v>
      </c>
      <c r="K232" s="525" t="str">
        <f t="shared" si="63"/>
        <v>n.a.</v>
      </c>
      <c r="L232" s="525" t="str">
        <f t="shared" si="64"/>
        <v>n.a.</v>
      </c>
      <c r="M232" s="525" t="str">
        <f t="shared" si="64"/>
        <v>n.a.</v>
      </c>
      <c r="N232" s="525" t="str">
        <f t="shared" si="64"/>
        <v>n.a.</v>
      </c>
      <c r="O232" s="525" t="str">
        <f t="shared" si="64"/>
        <v>n.a.</v>
      </c>
      <c r="P232" s="525" t="str">
        <f t="shared" si="64"/>
        <v>n.a.</v>
      </c>
      <c r="Q232" s="525" t="str">
        <f t="shared" si="64"/>
        <v>n.a.</v>
      </c>
      <c r="R232" s="525" t="str">
        <f t="shared" si="64"/>
        <v>n.a.</v>
      </c>
      <c r="S232" s="525" t="str">
        <f t="shared" si="64"/>
        <v>n.a.</v>
      </c>
    </row>
    <row r="233" spans="1:19" s="110" customFormat="1" x14ac:dyDescent="0.25">
      <c r="A233" s="785">
        <v>100</v>
      </c>
      <c r="B233" s="525" t="str">
        <f t="shared" si="63"/>
        <v>n.a.</v>
      </c>
      <c r="C233" s="525" t="str">
        <f t="shared" si="63"/>
        <v>n.a.</v>
      </c>
      <c r="D233" s="525" t="str">
        <f t="shared" si="63"/>
        <v>n.a.</v>
      </c>
      <c r="E233" s="525" t="str">
        <f t="shared" si="63"/>
        <v>n.a.</v>
      </c>
      <c r="F233" s="525" t="str">
        <f t="shared" si="63"/>
        <v>72151000</v>
      </c>
      <c r="G233" s="525" t="str">
        <f t="shared" si="63"/>
        <v>n.a.</v>
      </c>
      <c r="H233" s="525" t="str">
        <f t="shared" si="63"/>
        <v>n.a.</v>
      </c>
      <c r="I233" s="525" t="str">
        <f t="shared" si="63"/>
        <v>n.a.</v>
      </c>
      <c r="J233" s="525" t="str">
        <f t="shared" si="63"/>
        <v>n.a.</v>
      </c>
      <c r="K233" s="525" t="str">
        <f t="shared" si="63"/>
        <v>n.a.</v>
      </c>
      <c r="L233" s="525" t="str">
        <f t="shared" si="64"/>
        <v>n.a.</v>
      </c>
      <c r="M233" s="525" t="str">
        <f t="shared" si="64"/>
        <v>n.a.</v>
      </c>
      <c r="N233" s="525" t="str">
        <f t="shared" si="64"/>
        <v>n.a.</v>
      </c>
      <c r="O233" s="525" t="str">
        <f t="shared" si="64"/>
        <v>n.a.</v>
      </c>
      <c r="P233" s="525" t="str">
        <f t="shared" si="64"/>
        <v>n.a.</v>
      </c>
      <c r="Q233" s="525" t="str">
        <f t="shared" si="64"/>
        <v>n.a.</v>
      </c>
      <c r="R233" s="525" t="str">
        <f t="shared" si="64"/>
        <v>n.a.</v>
      </c>
      <c r="S233" s="525" t="str">
        <f t="shared" si="64"/>
        <v>n.a.</v>
      </c>
    </row>
    <row r="234" spans="1:19" s="110" customFormat="1" x14ac:dyDescent="0.25">
      <c r="A234" s="785">
        <v>101</v>
      </c>
      <c r="B234" s="525" t="str">
        <f t="shared" ref="B234:K243" si="65">IFERROR(INDEX(CNCodes_ListKey,MATCH($A234&amp;"_"&amp;B$132,CNCodes_ListNumbering,0)),CONST_NA)</f>
        <v>n.a.</v>
      </c>
      <c r="C234" s="525" t="str">
        <f t="shared" si="65"/>
        <v>n.a.</v>
      </c>
      <c r="D234" s="525" t="str">
        <f t="shared" si="65"/>
        <v>n.a.</v>
      </c>
      <c r="E234" s="525" t="str">
        <f t="shared" si="65"/>
        <v>n.a.</v>
      </c>
      <c r="F234" s="525" t="str">
        <f t="shared" si="65"/>
        <v>72155011</v>
      </c>
      <c r="G234" s="525" t="str">
        <f t="shared" si="65"/>
        <v>n.a.</v>
      </c>
      <c r="H234" s="525" t="str">
        <f t="shared" si="65"/>
        <v>n.a.</v>
      </c>
      <c r="I234" s="525" t="str">
        <f t="shared" si="65"/>
        <v>n.a.</v>
      </c>
      <c r="J234" s="525" t="str">
        <f t="shared" si="65"/>
        <v>n.a.</v>
      </c>
      <c r="K234" s="525" t="str">
        <f t="shared" si="65"/>
        <v>n.a.</v>
      </c>
      <c r="L234" s="525" t="str">
        <f t="shared" ref="L234:S243" si="66">IFERROR(INDEX(CNCodes_ListKey,MATCH($A234&amp;"_"&amp;L$132,CNCodes_ListNumbering,0)),CONST_NA)</f>
        <v>n.a.</v>
      </c>
      <c r="M234" s="525" t="str">
        <f t="shared" si="66"/>
        <v>n.a.</v>
      </c>
      <c r="N234" s="525" t="str">
        <f t="shared" si="66"/>
        <v>n.a.</v>
      </c>
      <c r="O234" s="525" t="str">
        <f t="shared" si="66"/>
        <v>n.a.</v>
      </c>
      <c r="P234" s="525" t="str">
        <f t="shared" si="66"/>
        <v>n.a.</v>
      </c>
      <c r="Q234" s="525" t="str">
        <f t="shared" si="66"/>
        <v>n.a.</v>
      </c>
      <c r="R234" s="525" t="str">
        <f t="shared" si="66"/>
        <v>n.a.</v>
      </c>
      <c r="S234" s="525" t="str">
        <f t="shared" si="66"/>
        <v>n.a.</v>
      </c>
    </row>
    <row r="235" spans="1:19" s="110" customFormat="1" x14ac:dyDescent="0.25">
      <c r="A235" s="785">
        <v>102</v>
      </c>
      <c r="B235" s="525" t="str">
        <f t="shared" si="65"/>
        <v>n.a.</v>
      </c>
      <c r="C235" s="525" t="str">
        <f t="shared" si="65"/>
        <v>n.a.</v>
      </c>
      <c r="D235" s="525" t="str">
        <f t="shared" si="65"/>
        <v>n.a.</v>
      </c>
      <c r="E235" s="525" t="str">
        <f t="shared" si="65"/>
        <v>n.a.</v>
      </c>
      <c r="F235" s="525" t="str">
        <f t="shared" si="65"/>
        <v>72155019</v>
      </c>
      <c r="G235" s="525" t="str">
        <f t="shared" si="65"/>
        <v>n.a.</v>
      </c>
      <c r="H235" s="525" t="str">
        <f t="shared" si="65"/>
        <v>n.a.</v>
      </c>
      <c r="I235" s="525" t="str">
        <f t="shared" si="65"/>
        <v>n.a.</v>
      </c>
      <c r="J235" s="525" t="str">
        <f t="shared" si="65"/>
        <v>n.a.</v>
      </c>
      <c r="K235" s="525" t="str">
        <f t="shared" si="65"/>
        <v>n.a.</v>
      </c>
      <c r="L235" s="525" t="str">
        <f t="shared" si="66"/>
        <v>n.a.</v>
      </c>
      <c r="M235" s="525" t="str">
        <f t="shared" si="66"/>
        <v>n.a.</v>
      </c>
      <c r="N235" s="525" t="str">
        <f t="shared" si="66"/>
        <v>n.a.</v>
      </c>
      <c r="O235" s="525" t="str">
        <f t="shared" si="66"/>
        <v>n.a.</v>
      </c>
      <c r="P235" s="525" t="str">
        <f t="shared" si="66"/>
        <v>n.a.</v>
      </c>
      <c r="Q235" s="525" t="str">
        <f t="shared" si="66"/>
        <v>n.a.</v>
      </c>
      <c r="R235" s="525" t="str">
        <f t="shared" si="66"/>
        <v>n.a.</v>
      </c>
      <c r="S235" s="525" t="str">
        <f t="shared" si="66"/>
        <v>n.a.</v>
      </c>
    </row>
    <row r="236" spans="1:19" s="110" customFormat="1" x14ac:dyDescent="0.25">
      <c r="A236" s="785">
        <v>103</v>
      </c>
      <c r="B236" s="525" t="str">
        <f t="shared" si="65"/>
        <v>n.a.</v>
      </c>
      <c r="C236" s="525" t="str">
        <f t="shared" si="65"/>
        <v>n.a.</v>
      </c>
      <c r="D236" s="525" t="str">
        <f t="shared" si="65"/>
        <v>n.a.</v>
      </c>
      <c r="E236" s="525" t="str">
        <f t="shared" si="65"/>
        <v>n.a.</v>
      </c>
      <c r="F236" s="525" t="str">
        <f t="shared" si="65"/>
        <v>72155080</v>
      </c>
      <c r="G236" s="525" t="str">
        <f t="shared" si="65"/>
        <v>n.a.</v>
      </c>
      <c r="H236" s="525" t="str">
        <f t="shared" si="65"/>
        <v>n.a.</v>
      </c>
      <c r="I236" s="525" t="str">
        <f t="shared" si="65"/>
        <v>n.a.</v>
      </c>
      <c r="J236" s="525" t="str">
        <f t="shared" si="65"/>
        <v>n.a.</v>
      </c>
      <c r="K236" s="525" t="str">
        <f t="shared" si="65"/>
        <v>n.a.</v>
      </c>
      <c r="L236" s="525" t="str">
        <f t="shared" si="66"/>
        <v>n.a.</v>
      </c>
      <c r="M236" s="525" t="str">
        <f t="shared" si="66"/>
        <v>n.a.</v>
      </c>
      <c r="N236" s="525" t="str">
        <f t="shared" si="66"/>
        <v>n.a.</v>
      </c>
      <c r="O236" s="525" t="str">
        <f t="shared" si="66"/>
        <v>n.a.</v>
      </c>
      <c r="P236" s="525" t="str">
        <f t="shared" si="66"/>
        <v>n.a.</v>
      </c>
      <c r="Q236" s="525" t="str">
        <f t="shared" si="66"/>
        <v>n.a.</v>
      </c>
      <c r="R236" s="525" t="str">
        <f t="shared" si="66"/>
        <v>n.a.</v>
      </c>
      <c r="S236" s="525" t="str">
        <f t="shared" si="66"/>
        <v>n.a.</v>
      </c>
    </row>
    <row r="237" spans="1:19" s="110" customFormat="1" x14ac:dyDescent="0.25">
      <c r="A237" s="785">
        <v>104</v>
      </c>
      <c r="B237" s="525" t="str">
        <f t="shared" si="65"/>
        <v>n.a.</v>
      </c>
      <c r="C237" s="525" t="str">
        <f t="shared" si="65"/>
        <v>n.a.</v>
      </c>
      <c r="D237" s="525" t="str">
        <f t="shared" si="65"/>
        <v>n.a.</v>
      </c>
      <c r="E237" s="525" t="str">
        <f t="shared" si="65"/>
        <v>n.a.</v>
      </c>
      <c r="F237" s="525" t="str">
        <f t="shared" si="65"/>
        <v>72159000</v>
      </c>
      <c r="G237" s="525" t="str">
        <f t="shared" si="65"/>
        <v>n.a.</v>
      </c>
      <c r="H237" s="525" t="str">
        <f t="shared" si="65"/>
        <v>n.a.</v>
      </c>
      <c r="I237" s="525" t="str">
        <f t="shared" si="65"/>
        <v>n.a.</v>
      </c>
      <c r="J237" s="525" t="str">
        <f t="shared" si="65"/>
        <v>n.a.</v>
      </c>
      <c r="K237" s="525" t="str">
        <f t="shared" si="65"/>
        <v>n.a.</v>
      </c>
      <c r="L237" s="525" t="str">
        <f t="shared" si="66"/>
        <v>n.a.</v>
      </c>
      <c r="M237" s="525" t="str">
        <f t="shared" si="66"/>
        <v>n.a.</v>
      </c>
      <c r="N237" s="525" t="str">
        <f t="shared" si="66"/>
        <v>n.a.</v>
      </c>
      <c r="O237" s="525" t="str">
        <f t="shared" si="66"/>
        <v>n.a.</v>
      </c>
      <c r="P237" s="525" t="str">
        <f t="shared" si="66"/>
        <v>n.a.</v>
      </c>
      <c r="Q237" s="525" t="str">
        <f t="shared" si="66"/>
        <v>n.a.</v>
      </c>
      <c r="R237" s="525" t="str">
        <f t="shared" si="66"/>
        <v>n.a.</v>
      </c>
      <c r="S237" s="525" t="str">
        <f t="shared" si="66"/>
        <v>n.a.</v>
      </c>
    </row>
    <row r="238" spans="1:19" s="110" customFormat="1" x14ac:dyDescent="0.25">
      <c r="A238" s="785">
        <v>105</v>
      </c>
      <c r="B238" s="525" t="str">
        <f t="shared" si="65"/>
        <v>n.a.</v>
      </c>
      <c r="C238" s="525" t="str">
        <f t="shared" si="65"/>
        <v>n.a.</v>
      </c>
      <c r="D238" s="525" t="str">
        <f t="shared" si="65"/>
        <v>n.a.</v>
      </c>
      <c r="E238" s="525" t="str">
        <f t="shared" si="65"/>
        <v>n.a.</v>
      </c>
      <c r="F238" s="525" t="str">
        <f t="shared" si="65"/>
        <v>72161000</v>
      </c>
      <c r="G238" s="525" t="str">
        <f t="shared" si="65"/>
        <v>n.a.</v>
      </c>
      <c r="H238" s="525" t="str">
        <f t="shared" si="65"/>
        <v>n.a.</v>
      </c>
      <c r="I238" s="525" t="str">
        <f t="shared" si="65"/>
        <v>n.a.</v>
      </c>
      <c r="J238" s="525" t="str">
        <f t="shared" si="65"/>
        <v>n.a.</v>
      </c>
      <c r="K238" s="525" t="str">
        <f t="shared" si="65"/>
        <v>n.a.</v>
      </c>
      <c r="L238" s="525" t="str">
        <f t="shared" si="66"/>
        <v>n.a.</v>
      </c>
      <c r="M238" s="525" t="str">
        <f t="shared" si="66"/>
        <v>n.a.</v>
      </c>
      <c r="N238" s="525" t="str">
        <f t="shared" si="66"/>
        <v>n.a.</v>
      </c>
      <c r="O238" s="525" t="str">
        <f t="shared" si="66"/>
        <v>n.a.</v>
      </c>
      <c r="P238" s="525" t="str">
        <f t="shared" si="66"/>
        <v>n.a.</v>
      </c>
      <c r="Q238" s="525" t="str">
        <f t="shared" si="66"/>
        <v>n.a.</v>
      </c>
      <c r="R238" s="525" t="str">
        <f t="shared" si="66"/>
        <v>n.a.</v>
      </c>
      <c r="S238" s="525" t="str">
        <f t="shared" si="66"/>
        <v>n.a.</v>
      </c>
    </row>
    <row r="239" spans="1:19" s="110" customFormat="1" x14ac:dyDescent="0.25">
      <c r="A239" s="785">
        <v>106</v>
      </c>
      <c r="B239" s="525" t="str">
        <f t="shared" si="65"/>
        <v>n.a.</v>
      </c>
      <c r="C239" s="525" t="str">
        <f t="shared" si="65"/>
        <v>n.a.</v>
      </c>
      <c r="D239" s="525" t="str">
        <f t="shared" si="65"/>
        <v>n.a.</v>
      </c>
      <c r="E239" s="525" t="str">
        <f t="shared" si="65"/>
        <v>n.a.</v>
      </c>
      <c r="F239" s="525" t="str">
        <f t="shared" si="65"/>
        <v>72162100</v>
      </c>
      <c r="G239" s="525" t="str">
        <f t="shared" si="65"/>
        <v>n.a.</v>
      </c>
      <c r="H239" s="525" t="str">
        <f t="shared" si="65"/>
        <v>n.a.</v>
      </c>
      <c r="I239" s="525" t="str">
        <f t="shared" si="65"/>
        <v>n.a.</v>
      </c>
      <c r="J239" s="525" t="str">
        <f t="shared" si="65"/>
        <v>n.a.</v>
      </c>
      <c r="K239" s="525" t="str">
        <f t="shared" si="65"/>
        <v>n.a.</v>
      </c>
      <c r="L239" s="525" t="str">
        <f t="shared" si="66"/>
        <v>n.a.</v>
      </c>
      <c r="M239" s="525" t="str">
        <f t="shared" si="66"/>
        <v>n.a.</v>
      </c>
      <c r="N239" s="525" t="str">
        <f t="shared" si="66"/>
        <v>n.a.</v>
      </c>
      <c r="O239" s="525" t="str">
        <f t="shared" si="66"/>
        <v>n.a.</v>
      </c>
      <c r="P239" s="525" t="str">
        <f t="shared" si="66"/>
        <v>n.a.</v>
      </c>
      <c r="Q239" s="525" t="str">
        <f t="shared" si="66"/>
        <v>n.a.</v>
      </c>
      <c r="R239" s="525" t="str">
        <f t="shared" si="66"/>
        <v>n.a.</v>
      </c>
      <c r="S239" s="525" t="str">
        <f t="shared" si="66"/>
        <v>n.a.</v>
      </c>
    </row>
    <row r="240" spans="1:19" s="110" customFormat="1" x14ac:dyDescent="0.25">
      <c r="A240" s="785">
        <v>107</v>
      </c>
      <c r="B240" s="525" t="str">
        <f t="shared" si="65"/>
        <v>n.a.</v>
      </c>
      <c r="C240" s="525" t="str">
        <f t="shared" si="65"/>
        <v>n.a.</v>
      </c>
      <c r="D240" s="525" t="str">
        <f t="shared" si="65"/>
        <v>n.a.</v>
      </c>
      <c r="E240" s="525" t="str">
        <f t="shared" si="65"/>
        <v>n.a.</v>
      </c>
      <c r="F240" s="525" t="str">
        <f t="shared" si="65"/>
        <v>72162200</v>
      </c>
      <c r="G240" s="525" t="str">
        <f t="shared" si="65"/>
        <v>n.a.</v>
      </c>
      <c r="H240" s="525" t="str">
        <f t="shared" si="65"/>
        <v>n.a.</v>
      </c>
      <c r="I240" s="525" t="str">
        <f t="shared" si="65"/>
        <v>n.a.</v>
      </c>
      <c r="J240" s="525" t="str">
        <f t="shared" si="65"/>
        <v>n.a.</v>
      </c>
      <c r="K240" s="525" t="str">
        <f t="shared" si="65"/>
        <v>n.a.</v>
      </c>
      <c r="L240" s="525" t="str">
        <f t="shared" si="66"/>
        <v>n.a.</v>
      </c>
      <c r="M240" s="525" t="str">
        <f t="shared" si="66"/>
        <v>n.a.</v>
      </c>
      <c r="N240" s="525" t="str">
        <f t="shared" si="66"/>
        <v>n.a.</v>
      </c>
      <c r="O240" s="525" t="str">
        <f t="shared" si="66"/>
        <v>n.a.</v>
      </c>
      <c r="P240" s="525" t="str">
        <f t="shared" si="66"/>
        <v>n.a.</v>
      </c>
      <c r="Q240" s="525" t="str">
        <f t="shared" si="66"/>
        <v>n.a.</v>
      </c>
      <c r="R240" s="525" t="str">
        <f t="shared" si="66"/>
        <v>n.a.</v>
      </c>
      <c r="S240" s="525" t="str">
        <f t="shared" si="66"/>
        <v>n.a.</v>
      </c>
    </row>
    <row r="241" spans="1:19" s="110" customFormat="1" x14ac:dyDescent="0.25">
      <c r="A241" s="785">
        <v>108</v>
      </c>
      <c r="B241" s="525" t="str">
        <f t="shared" si="65"/>
        <v>n.a.</v>
      </c>
      <c r="C241" s="525" t="str">
        <f t="shared" si="65"/>
        <v>n.a.</v>
      </c>
      <c r="D241" s="525" t="str">
        <f t="shared" si="65"/>
        <v>n.a.</v>
      </c>
      <c r="E241" s="525" t="str">
        <f t="shared" si="65"/>
        <v>n.a.</v>
      </c>
      <c r="F241" s="525" t="str">
        <f t="shared" si="65"/>
        <v>72163110</v>
      </c>
      <c r="G241" s="525" t="str">
        <f t="shared" si="65"/>
        <v>n.a.</v>
      </c>
      <c r="H241" s="525" t="str">
        <f t="shared" si="65"/>
        <v>n.a.</v>
      </c>
      <c r="I241" s="525" t="str">
        <f t="shared" si="65"/>
        <v>n.a.</v>
      </c>
      <c r="J241" s="525" t="str">
        <f t="shared" si="65"/>
        <v>n.a.</v>
      </c>
      <c r="K241" s="525" t="str">
        <f t="shared" si="65"/>
        <v>n.a.</v>
      </c>
      <c r="L241" s="525" t="str">
        <f t="shared" si="66"/>
        <v>n.a.</v>
      </c>
      <c r="M241" s="525" t="str">
        <f t="shared" si="66"/>
        <v>n.a.</v>
      </c>
      <c r="N241" s="525" t="str">
        <f t="shared" si="66"/>
        <v>n.a.</v>
      </c>
      <c r="O241" s="525" t="str">
        <f t="shared" si="66"/>
        <v>n.a.</v>
      </c>
      <c r="P241" s="525" t="str">
        <f t="shared" si="66"/>
        <v>n.a.</v>
      </c>
      <c r="Q241" s="525" t="str">
        <f t="shared" si="66"/>
        <v>n.a.</v>
      </c>
      <c r="R241" s="525" t="str">
        <f t="shared" si="66"/>
        <v>n.a.</v>
      </c>
      <c r="S241" s="525" t="str">
        <f t="shared" si="66"/>
        <v>n.a.</v>
      </c>
    </row>
    <row r="242" spans="1:19" s="110" customFormat="1" x14ac:dyDescent="0.25">
      <c r="A242" s="785">
        <v>109</v>
      </c>
      <c r="B242" s="525" t="str">
        <f t="shared" si="65"/>
        <v>n.a.</v>
      </c>
      <c r="C242" s="525" t="str">
        <f t="shared" si="65"/>
        <v>n.a.</v>
      </c>
      <c r="D242" s="525" t="str">
        <f t="shared" si="65"/>
        <v>n.a.</v>
      </c>
      <c r="E242" s="525" t="str">
        <f t="shared" si="65"/>
        <v>n.a.</v>
      </c>
      <c r="F242" s="525" t="str">
        <f t="shared" si="65"/>
        <v>72163190</v>
      </c>
      <c r="G242" s="525" t="str">
        <f t="shared" si="65"/>
        <v>n.a.</v>
      </c>
      <c r="H242" s="525" t="str">
        <f t="shared" si="65"/>
        <v>n.a.</v>
      </c>
      <c r="I242" s="525" t="str">
        <f t="shared" si="65"/>
        <v>n.a.</v>
      </c>
      <c r="J242" s="525" t="str">
        <f t="shared" si="65"/>
        <v>n.a.</v>
      </c>
      <c r="K242" s="525" t="str">
        <f t="shared" si="65"/>
        <v>n.a.</v>
      </c>
      <c r="L242" s="525" t="str">
        <f t="shared" si="66"/>
        <v>n.a.</v>
      </c>
      <c r="M242" s="525" t="str">
        <f t="shared" si="66"/>
        <v>n.a.</v>
      </c>
      <c r="N242" s="525" t="str">
        <f t="shared" si="66"/>
        <v>n.a.</v>
      </c>
      <c r="O242" s="525" t="str">
        <f t="shared" si="66"/>
        <v>n.a.</v>
      </c>
      <c r="P242" s="525" t="str">
        <f t="shared" si="66"/>
        <v>n.a.</v>
      </c>
      <c r="Q242" s="525" t="str">
        <f t="shared" si="66"/>
        <v>n.a.</v>
      </c>
      <c r="R242" s="525" t="str">
        <f t="shared" si="66"/>
        <v>n.a.</v>
      </c>
      <c r="S242" s="525" t="str">
        <f t="shared" si="66"/>
        <v>n.a.</v>
      </c>
    </row>
    <row r="243" spans="1:19" s="110" customFormat="1" x14ac:dyDescent="0.25">
      <c r="A243" s="785">
        <v>110</v>
      </c>
      <c r="B243" s="525" t="str">
        <f t="shared" si="65"/>
        <v>n.a.</v>
      </c>
      <c r="C243" s="525" t="str">
        <f t="shared" si="65"/>
        <v>n.a.</v>
      </c>
      <c r="D243" s="525" t="str">
        <f t="shared" si="65"/>
        <v>n.a.</v>
      </c>
      <c r="E243" s="525" t="str">
        <f t="shared" si="65"/>
        <v>n.a.</v>
      </c>
      <c r="F243" s="525" t="str">
        <f t="shared" si="65"/>
        <v>72163211</v>
      </c>
      <c r="G243" s="525" t="str">
        <f t="shared" si="65"/>
        <v>n.a.</v>
      </c>
      <c r="H243" s="525" t="str">
        <f t="shared" si="65"/>
        <v>n.a.</v>
      </c>
      <c r="I243" s="525" t="str">
        <f t="shared" si="65"/>
        <v>n.a.</v>
      </c>
      <c r="J243" s="525" t="str">
        <f t="shared" si="65"/>
        <v>n.a.</v>
      </c>
      <c r="K243" s="525" t="str">
        <f t="shared" si="65"/>
        <v>n.a.</v>
      </c>
      <c r="L243" s="525" t="str">
        <f t="shared" si="66"/>
        <v>n.a.</v>
      </c>
      <c r="M243" s="525" t="str">
        <f t="shared" si="66"/>
        <v>n.a.</v>
      </c>
      <c r="N243" s="525" t="str">
        <f t="shared" si="66"/>
        <v>n.a.</v>
      </c>
      <c r="O243" s="525" t="str">
        <f t="shared" si="66"/>
        <v>n.a.</v>
      </c>
      <c r="P243" s="525" t="str">
        <f t="shared" si="66"/>
        <v>n.a.</v>
      </c>
      <c r="Q243" s="525" t="str">
        <f t="shared" si="66"/>
        <v>n.a.</v>
      </c>
      <c r="R243" s="525" t="str">
        <f t="shared" si="66"/>
        <v>n.a.</v>
      </c>
      <c r="S243" s="525" t="str">
        <f t="shared" si="66"/>
        <v>n.a.</v>
      </c>
    </row>
    <row r="244" spans="1:19" s="110" customFormat="1" x14ac:dyDescent="0.25">
      <c r="A244" s="785">
        <v>111</v>
      </c>
      <c r="B244" s="525" t="str">
        <f t="shared" ref="B244:K253" si="67">IFERROR(INDEX(CNCodes_ListKey,MATCH($A244&amp;"_"&amp;B$132,CNCodes_ListNumbering,0)),CONST_NA)</f>
        <v>n.a.</v>
      </c>
      <c r="C244" s="525" t="str">
        <f t="shared" si="67"/>
        <v>n.a.</v>
      </c>
      <c r="D244" s="525" t="str">
        <f t="shared" si="67"/>
        <v>n.a.</v>
      </c>
      <c r="E244" s="525" t="str">
        <f t="shared" si="67"/>
        <v>n.a.</v>
      </c>
      <c r="F244" s="525" t="str">
        <f t="shared" si="67"/>
        <v>72163219</v>
      </c>
      <c r="G244" s="525" t="str">
        <f t="shared" si="67"/>
        <v>n.a.</v>
      </c>
      <c r="H244" s="525" t="str">
        <f t="shared" si="67"/>
        <v>n.a.</v>
      </c>
      <c r="I244" s="525" t="str">
        <f t="shared" si="67"/>
        <v>n.a.</v>
      </c>
      <c r="J244" s="525" t="str">
        <f t="shared" si="67"/>
        <v>n.a.</v>
      </c>
      <c r="K244" s="525" t="str">
        <f t="shared" si="67"/>
        <v>n.a.</v>
      </c>
      <c r="L244" s="525" t="str">
        <f t="shared" ref="L244:S253" si="68">IFERROR(INDEX(CNCodes_ListKey,MATCH($A244&amp;"_"&amp;L$132,CNCodes_ListNumbering,0)),CONST_NA)</f>
        <v>n.a.</v>
      </c>
      <c r="M244" s="525" t="str">
        <f t="shared" si="68"/>
        <v>n.a.</v>
      </c>
      <c r="N244" s="525" t="str">
        <f t="shared" si="68"/>
        <v>n.a.</v>
      </c>
      <c r="O244" s="525" t="str">
        <f t="shared" si="68"/>
        <v>n.a.</v>
      </c>
      <c r="P244" s="525" t="str">
        <f t="shared" si="68"/>
        <v>n.a.</v>
      </c>
      <c r="Q244" s="525" t="str">
        <f t="shared" si="68"/>
        <v>n.a.</v>
      </c>
      <c r="R244" s="525" t="str">
        <f t="shared" si="68"/>
        <v>n.a.</v>
      </c>
      <c r="S244" s="525" t="str">
        <f t="shared" si="68"/>
        <v>n.a.</v>
      </c>
    </row>
    <row r="245" spans="1:19" s="110" customFormat="1" x14ac:dyDescent="0.25">
      <c r="A245" s="785">
        <v>112</v>
      </c>
      <c r="B245" s="525" t="str">
        <f t="shared" si="67"/>
        <v>n.a.</v>
      </c>
      <c r="C245" s="525" t="str">
        <f t="shared" si="67"/>
        <v>n.a.</v>
      </c>
      <c r="D245" s="525" t="str">
        <f t="shared" si="67"/>
        <v>n.a.</v>
      </c>
      <c r="E245" s="525" t="str">
        <f t="shared" si="67"/>
        <v>n.a.</v>
      </c>
      <c r="F245" s="525" t="str">
        <f t="shared" si="67"/>
        <v>72163291</v>
      </c>
      <c r="G245" s="525" t="str">
        <f t="shared" si="67"/>
        <v>n.a.</v>
      </c>
      <c r="H245" s="525" t="str">
        <f t="shared" si="67"/>
        <v>n.a.</v>
      </c>
      <c r="I245" s="525" t="str">
        <f t="shared" si="67"/>
        <v>n.a.</v>
      </c>
      <c r="J245" s="525" t="str">
        <f t="shared" si="67"/>
        <v>n.a.</v>
      </c>
      <c r="K245" s="525" t="str">
        <f t="shared" si="67"/>
        <v>n.a.</v>
      </c>
      <c r="L245" s="525" t="str">
        <f t="shared" si="68"/>
        <v>n.a.</v>
      </c>
      <c r="M245" s="525" t="str">
        <f t="shared" si="68"/>
        <v>n.a.</v>
      </c>
      <c r="N245" s="525" t="str">
        <f t="shared" si="68"/>
        <v>n.a.</v>
      </c>
      <c r="O245" s="525" t="str">
        <f t="shared" si="68"/>
        <v>n.a.</v>
      </c>
      <c r="P245" s="525" t="str">
        <f t="shared" si="68"/>
        <v>n.a.</v>
      </c>
      <c r="Q245" s="525" t="str">
        <f t="shared" si="68"/>
        <v>n.a.</v>
      </c>
      <c r="R245" s="525" t="str">
        <f t="shared" si="68"/>
        <v>n.a.</v>
      </c>
      <c r="S245" s="525" t="str">
        <f t="shared" si="68"/>
        <v>n.a.</v>
      </c>
    </row>
    <row r="246" spans="1:19" s="110" customFormat="1" x14ac:dyDescent="0.25">
      <c r="A246" s="785">
        <v>113</v>
      </c>
      <c r="B246" s="525" t="str">
        <f t="shared" si="67"/>
        <v>n.a.</v>
      </c>
      <c r="C246" s="525" t="str">
        <f t="shared" si="67"/>
        <v>n.a.</v>
      </c>
      <c r="D246" s="525" t="str">
        <f t="shared" si="67"/>
        <v>n.a.</v>
      </c>
      <c r="E246" s="525" t="str">
        <f t="shared" si="67"/>
        <v>n.a.</v>
      </c>
      <c r="F246" s="525" t="str">
        <f t="shared" si="67"/>
        <v>72163299</v>
      </c>
      <c r="G246" s="525" t="str">
        <f t="shared" si="67"/>
        <v>n.a.</v>
      </c>
      <c r="H246" s="525" t="str">
        <f t="shared" si="67"/>
        <v>n.a.</v>
      </c>
      <c r="I246" s="525" t="str">
        <f t="shared" si="67"/>
        <v>n.a.</v>
      </c>
      <c r="J246" s="525" t="str">
        <f t="shared" si="67"/>
        <v>n.a.</v>
      </c>
      <c r="K246" s="525" t="str">
        <f t="shared" si="67"/>
        <v>n.a.</v>
      </c>
      <c r="L246" s="525" t="str">
        <f t="shared" si="68"/>
        <v>n.a.</v>
      </c>
      <c r="M246" s="525" t="str">
        <f t="shared" si="68"/>
        <v>n.a.</v>
      </c>
      <c r="N246" s="525" t="str">
        <f t="shared" si="68"/>
        <v>n.a.</v>
      </c>
      <c r="O246" s="525" t="str">
        <f t="shared" si="68"/>
        <v>n.a.</v>
      </c>
      <c r="P246" s="525" t="str">
        <f t="shared" si="68"/>
        <v>n.a.</v>
      </c>
      <c r="Q246" s="525" t="str">
        <f t="shared" si="68"/>
        <v>n.a.</v>
      </c>
      <c r="R246" s="525" t="str">
        <f t="shared" si="68"/>
        <v>n.a.</v>
      </c>
      <c r="S246" s="525" t="str">
        <f t="shared" si="68"/>
        <v>n.a.</v>
      </c>
    </row>
    <row r="247" spans="1:19" s="110" customFormat="1" x14ac:dyDescent="0.25">
      <c r="A247" s="785">
        <v>114</v>
      </c>
      <c r="B247" s="525" t="str">
        <f t="shared" si="67"/>
        <v>n.a.</v>
      </c>
      <c r="C247" s="525" t="str">
        <f t="shared" si="67"/>
        <v>n.a.</v>
      </c>
      <c r="D247" s="525" t="str">
        <f t="shared" si="67"/>
        <v>n.a.</v>
      </c>
      <c r="E247" s="525" t="str">
        <f t="shared" si="67"/>
        <v>n.a.</v>
      </c>
      <c r="F247" s="525" t="str">
        <f t="shared" si="67"/>
        <v>72163310</v>
      </c>
      <c r="G247" s="525" t="str">
        <f t="shared" si="67"/>
        <v>n.a.</v>
      </c>
      <c r="H247" s="525" t="str">
        <f t="shared" si="67"/>
        <v>n.a.</v>
      </c>
      <c r="I247" s="525" t="str">
        <f t="shared" si="67"/>
        <v>n.a.</v>
      </c>
      <c r="J247" s="525" t="str">
        <f t="shared" si="67"/>
        <v>n.a.</v>
      </c>
      <c r="K247" s="525" t="str">
        <f t="shared" si="67"/>
        <v>n.a.</v>
      </c>
      <c r="L247" s="525" t="str">
        <f t="shared" si="68"/>
        <v>n.a.</v>
      </c>
      <c r="M247" s="525" t="str">
        <f t="shared" si="68"/>
        <v>n.a.</v>
      </c>
      <c r="N247" s="525" t="str">
        <f t="shared" si="68"/>
        <v>n.a.</v>
      </c>
      <c r="O247" s="525" t="str">
        <f t="shared" si="68"/>
        <v>n.a.</v>
      </c>
      <c r="P247" s="525" t="str">
        <f t="shared" si="68"/>
        <v>n.a.</v>
      </c>
      <c r="Q247" s="525" t="str">
        <f t="shared" si="68"/>
        <v>n.a.</v>
      </c>
      <c r="R247" s="525" t="str">
        <f t="shared" si="68"/>
        <v>n.a.</v>
      </c>
      <c r="S247" s="525" t="str">
        <f t="shared" si="68"/>
        <v>n.a.</v>
      </c>
    </row>
    <row r="248" spans="1:19" s="110" customFormat="1" x14ac:dyDescent="0.25">
      <c r="A248" s="785">
        <v>115</v>
      </c>
      <c r="B248" s="525" t="str">
        <f t="shared" si="67"/>
        <v>n.a.</v>
      </c>
      <c r="C248" s="525" t="str">
        <f t="shared" si="67"/>
        <v>n.a.</v>
      </c>
      <c r="D248" s="525" t="str">
        <f t="shared" si="67"/>
        <v>n.a.</v>
      </c>
      <c r="E248" s="525" t="str">
        <f t="shared" si="67"/>
        <v>n.a.</v>
      </c>
      <c r="F248" s="525" t="str">
        <f t="shared" si="67"/>
        <v>72163390</v>
      </c>
      <c r="G248" s="525" t="str">
        <f t="shared" si="67"/>
        <v>n.a.</v>
      </c>
      <c r="H248" s="525" t="str">
        <f t="shared" si="67"/>
        <v>n.a.</v>
      </c>
      <c r="I248" s="525" t="str">
        <f t="shared" si="67"/>
        <v>n.a.</v>
      </c>
      <c r="J248" s="525" t="str">
        <f t="shared" si="67"/>
        <v>n.a.</v>
      </c>
      <c r="K248" s="525" t="str">
        <f t="shared" si="67"/>
        <v>n.a.</v>
      </c>
      <c r="L248" s="525" t="str">
        <f t="shared" si="68"/>
        <v>n.a.</v>
      </c>
      <c r="M248" s="525" t="str">
        <f t="shared" si="68"/>
        <v>n.a.</v>
      </c>
      <c r="N248" s="525" t="str">
        <f t="shared" si="68"/>
        <v>n.a.</v>
      </c>
      <c r="O248" s="525" t="str">
        <f t="shared" si="68"/>
        <v>n.a.</v>
      </c>
      <c r="P248" s="525" t="str">
        <f t="shared" si="68"/>
        <v>n.a.</v>
      </c>
      <c r="Q248" s="525" t="str">
        <f t="shared" si="68"/>
        <v>n.a.</v>
      </c>
      <c r="R248" s="525" t="str">
        <f t="shared" si="68"/>
        <v>n.a.</v>
      </c>
      <c r="S248" s="525" t="str">
        <f t="shared" si="68"/>
        <v>n.a.</v>
      </c>
    </row>
    <row r="249" spans="1:19" s="110" customFormat="1" x14ac:dyDescent="0.25">
      <c r="A249" s="785">
        <v>116</v>
      </c>
      <c r="B249" s="525" t="str">
        <f t="shared" si="67"/>
        <v>n.a.</v>
      </c>
      <c r="C249" s="525" t="str">
        <f t="shared" si="67"/>
        <v>n.a.</v>
      </c>
      <c r="D249" s="525" t="str">
        <f t="shared" si="67"/>
        <v>n.a.</v>
      </c>
      <c r="E249" s="525" t="str">
        <f t="shared" si="67"/>
        <v>n.a.</v>
      </c>
      <c r="F249" s="525" t="str">
        <f t="shared" si="67"/>
        <v>72164010</v>
      </c>
      <c r="G249" s="525" t="str">
        <f t="shared" si="67"/>
        <v>n.a.</v>
      </c>
      <c r="H249" s="525" t="str">
        <f t="shared" si="67"/>
        <v>n.a.</v>
      </c>
      <c r="I249" s="525" t="str">
        <f t="shared" si="67"/>
        <v>n.a.</v>
      </c>
      <c r="J249" s="525" t="str">
        <f t="shared" si="67"/>
        <v>n.a.</v>
      </c>
      <c r="K249" s="525" t="str">
        <f t="shared" si="67"/>
        <v>n.a.</v>
      </c>
      <c r="L249" s="525" t="str">
        <f t="shared" si="68"/>
        <v>n.a.</v>
      </c>
      <c r="M249" s="525" t="str">
        <f t="shared" si="68"/>
        <v>n.a.</v>
      </c>
      <c r="N249" s="525" t="str">
        <f t="shared" si="68"/>
        <v>n.a.</v>
      </c>
      <c r="O249" s="525" t="str">
        <f t="shared" si="68"/>
        <v>n.a.</v>
      </c>
      <c r="P249" s="525" t="str">
        <f t="shared" si="68"/>
        <v>n.a.</v>
      </c>
      <c r="Q249" s="525" t="str">
        <f t="shared" si="68"/>
        <v>n.a.</v>
      </c>
      <c r="R249" s="525" t="str">
        <f t="shared" si="68"/>
        <v>n.a.</v>
      </c>
      <c r="S249" s="525" t="str">
        <f t="shared" si="68"/>
        <v>n.a.</v>
      </c>
    </row>
    <row r="250" spans="1:19" s="110" customFormat="1" x14ac:dyDescent="0.25">
      <c r="A250" s="785">
        <v>117</v>
      </c>
      <c r="B250" s="525" t="str">
        <f t="shared" si="67"/>
        <v>n.a.</v>
      </c>
      <c r="C250" s="525" t="str">
        <f t="shared" si="67"/>
        <v>n.a.</v>
      </c>
      <c r="D250" s="525" t="str">
        <f t="shared" si="67"/>
        <v>n.a.</v>
      </c>
      <c r="E250" s="525" t="str">
        <f t="shared" si="67"/>
        <v>n.a.</v>
      </c>
      <c r="F250" s="525" t="str">
        <f t="shared" si="67"/>
        <v>72164090</v>
      </c>
      <c r="G250" s="525" t="str">
        <f t="shared" si="67"/>
        <v>n.a.</v>
      </c>
      <c r="H250" s="525" t="str">
        <f t="shared" si="67"/>
        <v>n.a.</v>
      </c>
      <c r="I250" s="525" t="str">
        <f t="shared" si="67"/>
        <v>n.a.</v>
      </c>
      <c r="J250" s="525" t="str">
        <f t="shared" si="67"/>
        <v>n.a.</v>
      </c>
      <c r="K250" s="525" t="str">
        <f t="shared" si="67"/>
        <v>n.a.</v>
      </c>
      <c r="L250" s="525" t="str">
        <f t="shared" si="68"/>
        <v>n.a.</v>
      </c>
      <c r="M250" s="525" t="str">
        <f t="shared" si="68"/>
        <v>n.a.</v>
      </c>
      <c r="N250" s="525" t="str">
        <f t="shared" si="68"/>
        <v>n.a.</v>
      </c>
      <c r="O250" s="525" t="str">
        <f t="shared" si="68"/>
        <v>n.a.</v>
      </c>
      <c r="P250" s="525" t="str">
        <f t="shared" si="68"/>
        <v>n.a.</v>
      </c>
      <c r="Q250" s="525" t="str">
        <f t="shared" si="68"/>
        <v>n.a.</v>
      </c>
      <c r="R250" s="525" t="str">
        <f t="shared" si="68"/>
        <v>n.a.</v>
      </c>
      <c r="S250" s="525" t="str">
        <f t="shared" si="68"/>
        <v>n.a.</v>
      </c>
    </row>
    <row r="251" spans="1:19" s="110" customFormat="1" x14ac:dyDescent="0.25">
      <c r="A251" s="785">
        <v>118</v>
      </c>
      <c r="B251" s="525" t="str">
        <f t="shared" si="67"/>
        <v>n.a.</v>
      </c>
      <c r="C251" s="525" t="str">
        <f t="shared" si="67"/>
        <v>n.a.</v>
      </c>
      <c r="D251" s="525" t="str">
        <f t="shared" si="67"/>
        <v>n.a.</v>
      </c>
      <c r="E251" s="525" t="str">
        <f t="shared" si="67"/>
        <v>n.a.</v>
      </c>
      <c r="F251" s="525" t="str">
        <f t="shared" si="67"/>
        <v>72165010</v>
      </c>
      <c r="G251" s="525" t="str">
        <f t="shared" si="67"/>
        <v>n.a.</v>
      </c>
      <c r="H251" s="525" t="str">
        <f t="shared" si="67"/>
        <v>n.a.</v>
      </c>
      <c r="I251" s="525" t="str">
        <f t="shared" si="67"/>
        <v>n.a.</v>
      </c>
      <c r="J251" s="525" t="str">
        <f t="shared" si="67"/>
        <v>n.a.</v>
      </c>
      <c r="K251" s="525" t="str">
        <f t="shared" si="67"/>
        <v>n.a.</v>
      </c>
      <c r="L251" s="525" t="str">
        <f t="shared" si="68"/>
        <v>n.a.</v>
      </c>
      <c r="M251" s="525" t="str">
        <f t="shared" si="68"/>
        <v>n.a.</v>
      </c>
      <c r="N251" s="525" t="str">
        <f t="shared" si="68"/>
        <v>n.a.</v>
      </c>
      <c r="O251" s="525" t="str">
        <f t="shared" si="68"/>
        <v>n.a.</v>
      </c>
      <c r="P251" s="525" t="str">
        <f t="shared" si="68"/>
        <v>n.a.</v>
      </c>
      <c r="Q251" s="525" t="str">
        <f t="shared" si="68"/>
        <v>n.a.</v>
      </c>
      <c r="R251" s="525" t="str">
        <f t="shared" si="68"/>
        <v>n.a.</v>
      </c>
      <c r="S251" s="525" t="str">
        <f t="shared" si="68"/>
        <v>n.a.</v>
      </c>
    </row>
    <row r="252" spans="1:19" s="110" customFormat="1" x14ac:dyDescent="0.25">
      <c r="A252" s="785">
        <v>119</v>
      </c>
      <c r="B252" s="525" t="str">
        <f t="shared" si="67"/>
        <v>n.a.</v>
      </c>
      <c r="C252" s="525" t="str">
        <f t="shared" si="67"/>
        <v>n.a.</v>
      </c>
      <c r="D252" s="525" t="str">
        <f t="shared" si="67"/>
        <v>n.a.</v>
      </c>
      <c r="E252" s="525" t="str">
        <f t="shared" si="67"/>
        <v>n.a.</v>
      </c>
      <c r="F252" s="525" t="str">
        <f t="shared" si="67"/>
        <v>72165091</v>
      </c>
      <c r="G252" s="525" t="str">
        <f t="shared" si="67"/>
        <v>n.a.</v>
      </c>
      <c r="H252" s="525" t="str">
        <f t="shared" si="67"/>
        <v>n.a.</v>
      </c>
      <c r="I252" s="525" t="str">
        <f t="shared" si="67"/>
        <v>n.a.</v>
      </c>
      <c r="J252" s="525" t="str">
        <f t="shared" si="67"/>
        <v>n.a.</v>
      </c>
      <c r="K252" s="525" t="str">
        <f t="shared" si="67"/>
        <v>n.a.</v>
      </c>
      <c r="L252" s="525" t="str">
        <f t="shared" si="68"/>
        <v>n.a.</v>
      </c>
      <c r="M252" s="525" t="str">
        <f t="shared" si="68"/>
        <v>n.a.</v>
      </c>
      <c r="N252" s="525" t="str">
        <f t="shared" si="68"/>
        <v>n.a.</v>
      </c>
      <c r="O252" s="525" t="str">
        <f t="shared" si="68"/>
        <v>n.a.</v>
      </c>
      <c r="P252" s="525" t="str">
        <f t="shared" si="68"/>
        <v>n.a.</v>
      </c>
      <c r="Q252" s="525" t="str">
        <f t="shared" si="68"/>
        <v>n.a.</v>
      </c>
      <c r="R252" s="525" t="str">
        <f t="shared" si="68"/>
        <v>n.a.</v>
      </c>
      <c r="S252" s="525" t="str">
        <f t="shared" si="68"/>
        <v>n.a.</v>
      </c>
    </row>
    <row r="253" spans="1:19" s="110" customFormat="1" x14ac:dyDescent="0.25">
      <c r="A253" s="785">
        <v>120</v>
      </c>
      <c r="B253" s="525" t="str">
        <f t="shared" si="67"/>
        <v>n.a.</v>
      </c>
      <c r="C253" s="525" t="str">
        <f t="shared" si="67"/>
        <v>n.a.</v>
      </c>
      <c r="D253" s="525" t="str">
        <f t="shared" si="67"/>
        <v>n.a.</v>
      </c>
      <c r="E253" s="525" t="str">
        <f t="shared" si="67"/>
        <v>n.a.</v>
      </c>
      <c r="F253" s="525" t="str">
        <f t="shared" si="67"/>
        <v>72165099</v>
      </c>
      <c r="G253" s="525" t="str">
        <f t="shared" si="67"/>
        <v>n.a.</v>
      </c>
      <c r="H253" s="525" t="str">
        <f t="shared" si="67"/>
        <v>n.a.</v>
      </c>
      <c r="I253" s="525" t="str">
        <f t="shared" si="67"/>
        <v>n.a.</v>
      </c>
      <c r="J253" s="525" t="str">
        <f t="shared" si="67"/>
        <v>n.a.</v>
      </c>
      <c r="K253" s="525" t="str">
        <f t="shared" si="67"/>
        <v>n.a.</v>
      </c>
      <c r="L253" s="525" t="str">
        <f t="shared" si="68"/>
        <v>n.a.</v>
      </c>
      <c r="M253" s="525" t="str">
        <f t="shared" si="68"/>
        <v>n.a.</v>
      </c>
      <c r="N253" s="525" t="str">
        <f t="shared" si="68"/>
        <v>n.a.</v>
      </c>
      <c r="O253" s="525" t="str">
        <f t="shared" si="68"/>
        <v>n.a.</v>
      </c>
      <c r="P253" s="525" t="str">
        <f t="shared" si="68"/>
        <v>n.a.</v>
      </c>
      <c r="Q253" s="525" t="str">
        <f t="shared" si="68"/>
        <v>n.a.</v>
      </c>
      <c r="R253" s="525" t="str">
        <f t="shared" si="68"/>
        <v>n.a.</v>
      </c>
      <c r="S253" s="525" t="str">
        <f t="shared" si="68"/>
        <v>n.a.</v>
      </c>
    </row>
    <row r="254" spans="1:19" s="110" customFormat="1" x14ac:dyDescent="0.25">
      <c r="A254" s="785">
        <v>121</v>
      </c>
      <c r="B254" s="525" t="str">
        <f t="shared" ref="B254:K263" si="69">IFERROR(INDEX(CNCodes_ListKey,MATCH($A254&amp;"_"&amp;B$132,CNCodes_ListNumbering,0)),CONST_NA)</f>
        <v>n.a.</v>
      </c>
      <c r="C254" s="525" t="str">
        <f t="shared" si="69"/>
        <v>n.a.</v>
      </c>
      <c r="D254" s="525" t="str">
        <f t="shared" si="69"/>
        <v>n.a.</v>
      </c>
      <c r="E254" s="525" t="str">
        <f t="shared" si="69"/>
        <v>n.a.</v>
      </c>
      <c r="F254" s="525" t="str">
        <f t="shared" si="69"/>
        <v>72166110</v>
      </c>
      <c r="G254" s="525" t="str">
        <f t="shared" si="69"/>
        <v>n.a.</v>
      </c>
      <c r="H254" s="525" t="str">
        <f t="shared" si="69"/>
        <v>n.a.</v>
      </c>
      <c r="I254" s="525" t="str">
        <f t="shared" si="69"/>
        <v>n.a.</v>
      </c>
      <c r="J254" s="525" t="str">
        <f t="shared" si="69"/>
        <v>n.a.</v>
      </c>
      <c r="K254" s="525" t="str">
        <f t="shared" si="69"/>
        <v>n.a.</v>
      </c>
      <c r="L254" s="525" t="str">
        <f t="shared" ref="L254:S263" si="70">IFERROR(INDEX(CNCodes_ListKey,MATCH($A254&amp;"_"&amp;L$132,CNCodes_ListNumbering,0)),CONST_NA)</f>
        <v>n.a.</v>
      </c>
      <c r="M254" s="525" t="str">
        <f t="shared" si="70"/>
        <v>n.a.</v>
      </c>
      <c r="N254" s="525" t="str">
        <f t="shared" si="70"/>
        <v>n.a.</v>
      </c>
      <c r="O254" s="525" t="str">
        <f t="shared" si="70"/>
        <v>n.a.</v>
      </c>
      <c r="P254" s="525" t="str">
        <f t="shared" si="70"/>
        <v>n.a.</v>
      </c>
      <c r="Q254" s="525" t="str">
        <f t="shared" si="70"/>
        <v>n.a.</v>
      </c>
      <c r="R254" s="525" t="str">
        <f t="shared" si="70"/>
        <v>n.a.</v>
      </c>
      <c r="S254" s="525" t="str">
        <f t="shared" si="70"/>
        <v>n.a.</v>
      </c>
    </row>
    <row r="255" spans="1:19" s="110" customFormat="1" x14ac:dyDescent="0.25">
      <c r="A255" s="785">
        <v>122</v>
      </c>
      <c r="B255" s="525" t="str">
        <f t="shared" si="69"/>
        <v>n.a.</v>
      </c>
      <c r="C255" s="525" t="str">
        <f t="shared" si="69"/>
        <v>n.a.</v>
      </c>
      <c r="D255" s="525" t="str">
        <f t="shared" si="69"/>
        <v>n.a.</v>
      </c>
      <c r="E255" s="525" t="str">
        <f t="shared" si="69"/>
        <v>n.a.</v>
      </c>
      <c r="F255" s="525" t="str">
        <f t="shared" si="69"/>
        <v>72166190</v>
      </c>
      <c r="G255" s="525" t="str">
        <f t="shared" si="69"/>
        <v>n.a.</v>
      </c>
      <c r="H255" s="525" t="str">
        <f t="shared" si="69"/>
        <v>n.a.</v>
      </c>
      <c r="I255" s="525" t="str">
        <f t="shared" si="69"/>
        <v>n.a.</v>
      </c>
      <c r="J255" s="525" t="str">
        <f t="shared" si="69"/>
        <v>n.a.</v>
      </c>
      <c r="K255" s="525" t="str">
        <f t="shared" si="69"/>
        <v>n.a.</v>
      </c>
      <c r="L255" s="525" t="str">
        <f t="shared" si="70"/>
        <v>n.a.</v>
      </c>
      <c r="M255" s="525" t="str">
        <f t="shared" si="70"/>
        <v>n.a.</v>
      </c>
      <c r="N255" s="525" t="str">
        <f t="shared" si="70"/>
        <v>n.a.</v>
      </c>
      <c r="O255" s="525" t="str">
        <f t="shared" si="70"/>
        <v>n.a.</v>
      </c>
      <c r="P255" s="525" t="str">
        <f t="shared" si="70"/>
        <v>n.a.</v>
      </c>
      <c r="Q255" s="525" t="str">
        <f t="shared" si="70"/>
        <v>n.a.</v>
      </c>
      <c r="R255" s="525" t="str">
        <f t="shared" si="70"/>
        <v>n.a.</v>
      </c>
      <c r="S255" s="525" t="str">
        <f t="shared" si="70"/>
        <v>n.a.</v>
      </c>
    </row>
    <row r="256" spans="1:19" s="110" customFormat="1" x14ac:dyDescent="0.25">
      <c r="A256" s="785">
        <v>123</v>
      </c>
      <c r="B256" s="525" t="str">
        <f t="shared" si="69"/>
        <v>n.a.</v>
      </c>
      <c r="C256" s="525" t="str">
        <f t="shared" si="69"/>
        <v>n.a.</v>
      </c>
      <c r="D256" s="525" t="str">
        <f t="shared" si="69"/>
        <v>n.a.</v>
      </c>
      <c r="E256" s="525" t="str">
        <f t="shared" si="69"/>
        <v>n.a.</v>
      </c>
      <c r="F256" s="525" t="str">
        <f t="shared" si="69"/>
        <v>72166900</v>
      </c>
      <c r="G256" s="525" t="str">
        <f t="shared" si="69"/>
        <v>n.a.</v>
      </c>
      <c r="H256" s="525" t="str">
        <f t="shared" si="69"/>
        <v>n.a.</v>
      </c>
      <c r="I256" s="525" t="str">
        <f t="shared" si="69"/>
        <v>n.a.</v>
      </c>
      <c r="J256" s="525" t="str">
        <f t="shared" si="69"/>
        <v>n.a.</v>
      </c>
      <c r="K256" s="525" t="str">
        <f t="shared" si="69"/>
        <v>n.a.</v>
      </c>
      <c r="L256" s="525" t="str">
        <f t="shared" si="70"/>
        <v>n.a.</v>
      </c>
      <c r="M256" s="525" t="str">
        <f t="shared" si="70"/>
        <v>n.a.</v>
      </c>
      <c r="N256" s="525" t="str">
        <f t="shared" si="70"/>
        <v>n.a.</v>
      </c>
      <c r="O256" s="525" t="str">
        <f t="shared" si="70"/>
        <v>n.a.</v>
      </c>
      <c r="P256" s="525" t="str">
        <f t="shared" si="70"/>
        <v>n.a.</v>
      </c>
      <c r="Q256" s="525" t="str">
        <f t="shared" si="70"/>
        <v>n.a.</v>
      </c>
      <c r="R256" s="525" t="str">
        <f t="shared" si="70"/>
        <v>n.a.</v>
      </c>
      <c r="S256" s="525" t="str">
        <f t="shared" si="70"/>
        <v>n.a.</v>
      </c>
    </row>
    <row r="257" spans="1:19" s="110" customFormat="1" x14ac:dyDescent="0.25">
      <c r="A257" s="785">
        <v>124</v>
      </c>
      <c r="B257" s="525" t="str">
        <f t="shared" si="69"/>
        <v>n.a.</v>
      </c>
      <c r="C257" s="525" t="str">
        <f t="shared" si="69"/>
        <v>n.a.</v>
      </c>
      <c r="D257" s="525" t="str">
        <f t="shared" si="69"/>
        <v>n.a.</v>
      </c>
      <c r="E257" s="525" t="str">
        <f t="shared" si="69"/>
        <v>n.a.</v>
      </c>
      <c r="F257" s="525" t="str">
        <f t="shared" si="69"/>
        <v>72169110</v>
      </c>
      <c r="G257" s="525" t="str">
        <f t="shared" si="69"/>
        <v>n.a.</v>
      </c>
      <c r="H257" s="525" t="str">
        <f t="shared" si="69"/>
        <v>n.a.</v>
      </c>
      <c r="I257" s="525" t="str">
        <f t="shared" si="69"/>
        <v>n.a.</v>
      </c>
      <c r="J257" s="525" t="str">
        <f t="shared" si="69"/>
        <v>n.a.</v>
      </c>
      <c r="K257" s="525" t="str">
        <f t="shared" si="69"/>
        <v>n.a.</v>
      </c>
      <c r="L257" s="525" t="str">
        <f t="shared" si="70"/>
        <v>n.a.</v>
      </c>
      <c r="M257" s="525" t="str">
        <f t="shared" si="70"/>
        <v>n.a.</v>
      </c>
      <c r="N257" s="525" t="str">
        <f t="shared" si="70"/>
        <v>n.a.</v>
      </c>
      <c r="O257" s="525" t="str">
        <f t="shared" si="70"/>
        <v>n.a.</v>
      </c>
      <c r="P257" s="525" t="str">
        <f t="shared" si="70"/>
        <v>n.a.</v>
      </c>
      <c r="Q257" s="525" t="str">
        <f t="shared" si="70"/>
        <v>n.a.</v>
      </c>
      <c r="R257" s="525" t="str">
        <f t="shared" si="70"/>
        <v>n.a.</v>
      </c>
      <c r="S257" s="525" t="str">
        <f t="shared" si="70"/>
        <v>n.a.</v>
      </c>
    </row>
    <row r="258" spans="1:19" s="110" customFormat="1" x14ac:dyDescent="0.25">
      <c r="A258" s="785">
        <v>125</v>
      </c>
      <c r="B258" s="525" t="str">
        <f t="shared" si="69"/>
        <v>n.a.</v>
      </c>
      <c r="C258" s="525" t="str">
        <f t="shared" si="69"/>
        <v>n.a.</v>
      </c>
      <c r="D258" s="525" t="str">
        <f t="shared" si="69"/>
        <v>n.a.</v>
      </c>
      <c r="E258" s="525" t="str">
        <f t="shared" si="69"/>
        <v>n.a.</v>
      </c>
      <c r="F258" s="525" t="str">
        <f t="shared" si="69"/>
        <v>72169180</v>
      </c>
      <c r="G258" s="525" t="str">
        <f t="shared" si="69"/>
        <v>n.a.</v>
      </c>
      <c r="H258" s="525" t="str">
        <f t="shared" si="69"/>
        <v>n.a.</v>
      </c>
      <c r="I258" s="525" t="str">
        <f t="shared" si="69"/>
        <v>n.a.</v>
      </c>
      <c r="J258" s="525" t="str">
        <f t="shared" si="69"/>
        <v>n.a.</v>
      </c>
      <c r="K258" s="525" t="str">
        <f t="shared" si="69"/>
        <v>n.a.</v>
      </c>
      <c r="L258" s="525" t="str">
        <f t="shared" si="70"/>
        <v>n.a.</v>
      </c>
      <c r="M258" s="525" t="str">
        <f t="shared" si="70"/>
        <v>n.a.</v>
      </c>
      <c r="N258" s="525" t="str">
        <f t="shared" si="70"/>
        <v>n.a.</v>
      </c>
      <c r="O258" s="525" t="str">
        <f t="shared" si="70"/>
        <v>n.a.</v>
      </c>
      <c r="P258" s="525" t="str">
        <f t="shared" si="70"/>
        <v>n.a.</v>
      </c>
      <c r="Q258" s="525" t="str">
        <f t="shared" si="70"/>
        <v>n.a.</v>
      </c>
      <c r="R258" s="525" t="str">
        <f t="shared" si="70"/>
        <v>n.a.</v>
      </c>
      <c r="S258" s="525" t="str">
        <f t="shared" si="70"/>
        <v>n.a.</v>
      </c>
    </row>
    <row r="259" spans="1:19" s="110" customFormat="1" x14ac:dyDescent="0.25">
      <c r="A259" s="785">
        <v>126</v>
      </c>
      <c r="B259" s="525" t="str">
        <f t="shared" si="69"/>
        <v>n.a.</v>
      </c>
      <c r="C259" s="525" t="str">
        <f t="shared" si="69"/>
        <v>n.a.</v>
      </c>
      <c r="D259" s="525" t="str">
        <f t="shared" si="69"/>
        <v>n.a.</v>
      </c>
      <c r="E259" s="525" t="str">
        <f t="shared" si="69"/>
        <v>n.a.</v>
      </c>
      <c r="F259" s="525" t="str">
        <f t="shared" si="69"/>
        <v>72169900</v>
      </c>
      <c r="G259" s="525" t="str">
        <f t="shared" si="69"/>
        <v>n.a.</v>
      </c>
      <c r="H259" s="525" t="str">
        <f t="shared" si="69"/>
        <v>n.a.</v>
      </c>
      <c r="I259" s="525" t="str">
        <f t="shared" si="69"/>
        <v>n.a.</v>
      </c>
      <c r="J259" s="525" t="str">
        <f t="shared" si="69"/>
        <v>n.a.</v>
      </c>
      <c r="K259" s="525" t="str">
        <f t="shared" si="69"/>
        <v>n.a.</v>
      </c>
      <c r="L259" s="525" t="str">
        <f t="shared" si="70"/>
        <v>n.a.</v>
      </c>
      <c r="M259" s="525" t="str">
        <f t="shared" si="70"/>
        <v>n.a.</v>
      </c>
      <c r="N259" s="525" t="str">
        <f t="shared" si="70"/>
        <v>n.a.</v>
      </c>
      <c r="O259" s="525" t="str">
        <f t="shared" si="70"/>
        <v>n.a.</v>
      </c>
      <c r="P259" s="525" t="str">
        <f t="shared" si="70"/>
        <v>n.a.</v>
      </c>
      <c r="Q259" s="525" t="str">
        <f t="shared" si="70"/>
        <v>n.a.</v>
      </c>
      <c r="R259" s="525" t="str">
        <f t="shared" si="70"/>
        <v>n.a.</v>
      </c>
      <c r="S259" s="525" t="str">
        <f t="shared" si="70"/>
        <v>n.a.</v>
      </c>
    </row>
    <row r="260" spans="1:19" s="110" customFormat="1" x14ac:dyDescent="0.25">
      <c r="A260" s="785">
        <v>127</v>
      </c>
      <c r="B260" s="525" t="str">
        <f t="shared" si="69"/>
        <v>n.a.</v>
      </c>
      <c r="C260" s="525" t="str">
        <f t="shared" si="69"/>
        <v>n.a.</v>
      </c>
      <c r="D260" s="525" t="str">
        <f t="shared" si="69"/>
        <v>n.a.</v>
      </c>
      <c r="E260" s="525" t="str">
        <f t="shared" si="69"/>
        <v>n.a.</v>
      </c>
      <c r="F260" s="525" t="str">
        <f t="shared" si="69"/>
        <v>72171010</v>
      </c>
      <c r="G260" s="525" t="str">
        <f t="shared" si="69"/>
        <v>n.a.</v>
      </c>
      <c r="H260" s="525" t="str">
        <f t="shared" si="69"/>
        <v>n.a.</v>
      </c>
      <c r="I260" s="525" t="str">
        <f t="shared" si="69"/>
        <v>n.a.</v>
      </c>
      <c r="J260" s="525" t="str">
        <f t="shared" si="69"/>
        <v>n.a.</v>
      </c>
      <c r="K260" s="525" t="str">
        <f t="shared" si="69"/>
        <v>n.a.</v>
      </c>
      <c r="L260" s="525" t="str">
        <f t="shared" si="70"/>
        <v>n.a.</v>
      </c>
      <c r="M260" s="525" t="str">
        <f t="shared" si="70"/>
        <v>n.a.</v>
      </c>
      <c r="N260" s="525" t="str">
        <f t="shared" si="70"/>
        <v>n.a.</v>
      </c>
      <c r="O260" s="525" t="str">
        <f t="shared" si="70"/>
        <v>n.a.</v>
      </c>
      <c r="P260" s="525" t="str">
        <f t="shared" si="70"/>
        <v>n.a.</v>
      </c>
      <c r="Q260" s="525" t="str">
        <f t="shared" si="70"/>
        <v>n.a.</v>
      </c>
      <c r="R260" s="525" t="str">
        <f t="shared" si="70"/>
        <v>n.a.</v>
      </c>
      <c r="S260" s="525" t="str">
        <f t="shared" si="70"/>
        <v>n.a.</v>
      </c>
    </row>
    <row r="261" spans="1:19" s="110" customFormat="1" x14ac:dyDescent="0.25">
      <c r="A261" s="785">
        <v>128</v>
      </c>
      <c r="B261" s="525" t="str">
        <f t="shared" si="69"/>
        <v>n.a.</v>
      </c>
      <c r="C261" s="525" t="str">
        <f t="shared" si="69"/>
        <v>n.a.</v>
      </c>
      <c r="D261" s="525" t="str">
        <f t="shared" si="69"/>
        <v>n.a.</v>
      </c>
      <c r="E261" s="525" t="str">
        <f t="shared" si="69"/>
        <v>n.a.</v>
      </c>
      <c r="F261" s="525" t="str">
        <f t="shared" si="69"/>
        <v>72171031</v>
      </c>
      <c r="G261" s="525" t="str">
        <f t="shared" si="69"/>
        <v>n.a.</v>
      </c>
      <c r="H261" s="525" t="str">
        <f t="shared" si="69"/>
        <v>n.a.</v>
      </c>
      <c r="I261" s="525" t="str">
        <f t="shared" si="69"/>
        <v>n.a.</v>
      </c>
      <c r="J261" s="525" t="str">
        <f t="shared" si="69"/>
        <v>n.a.</v>
      </c>
      <c r="K261" s="525" t="str">
        <f t="shared" si="69"/>
        <v>n.a.</v>
      </c>
      <c r="L261" s="525" t="str">
        <f t="shared" si="70"/>
        <v>n.a.</v>
      </c>
      <c r="M261" s="525" t="str">
        <f t="shared" si="70"/>
        <v>n.a.</v>
      </c>
      <c r="N261" s="525" t="str">
        <f t="shared" si="70"/>
        <v>n.a.</v>
      </c>
      <c r="O261" s="525" t="str">
        <f t="shared" si="70"/>
        <v>n.a.</v>
      </c>
      <c r="P261" s="525" t="str">
        <f t="shared" si="70"/>
        <v>n.a.</v>
      </c>
      <c r="Q261" s="525" t="str">
        <f t="shared" si="70"/>
        <v>n.a.</v>
      </c>
      <c r="R261" s="525" t="str">
        <f t="shared" si="70"/>
        <v>n.a.</v>
      </c>
      <c r="S261" s="525" t="str">
        <f t="shared" si="70"/>
        <v>n.a.</v>
      </c>
    </row>
    <row r="262" spans="1:19" s="110" customFormat="1" x14ac:dyDescent="0.25">
      <c r="A262" s="785">
        <v>129</v>
      </c>
      <c r="B262" s="525" t="str">
        <f t="shared" si="69"/>
        <v>n.a.</v>
      </c>
      <c r="C262" s="525" t="str">
        <f t="shared" si="69"/>
        <v>n.a.</v>
      </c>
      <c r="D262" s="525" t="str">
        <f t="shared" si="69"/>
        <v>n.a.</v>
      </c>
      <c r="E262" s="525" t="str">
        <f t="shared" si="69"/>
        <v>n.a.</v>
      </c>
      <c r="F262" s="525" t="str">
        <f t="shared" si="69"/>
        <v>72171039</v>
      </c>
      <c r="G262" s="525" t="str">
        <f t="shared" si="69"/>
        <v>n.a.</v>
      </c>
      <c r="H262" s="525" t="str">
        <f t="shared" si="69"/>
        <v>n.a.</v>
      </c>
      <c r="I262" s="525" t="str">
        <f t="shared" si="69"/>
        <v>n.a.</v>
      </c>
      <c r="J262" s="525" t="str">
        <f t="shared" si="69"/>
        <v>n.a.</v>
      </c>
      <c r="K262" s="525" t="str">
        <f t="shared" si="69"/>
        <v>n.a.</v>
      </c>
      <c r="L262" s="525" t="str">
        <f t="shared" si="70"/>
        <v>n.a.</v>
      </c>
      <c r="M262" s="525" t="str">
        <f t="shared" si="70"/>
        <v>n.a.</v>
      </c>
      <c r="N262" s="525" t="str">
        <f t="shared" si="70"/>
        <v>n.a.</v>
      </c>
      <c r="O262" s="525" t="str">
        <f t="shared" si="70"/>
        <v>n.a.</v>
      </c>
      <c r="P262" s="525" t="str">
        <f t="shared" si="70"/>
        <v>n.a.</v>
      </c>
      <c r="Q262" s="525" t="str">
        <f t="shared" si="70"/>
        <v>n.a.</v>
      </c>
      <c r="R262" s="525" t="str">
        <f t="shared" si="70"/>
        <v>n.a.</v>
      </c>
      <c r="S262" s="525" t="str">
        <f t="shared" si="70"/>
        <v>n.a.</v>
      </c>
    </row>
    <row r="263" spans="1:19" s="110" customFormat="1" x14ac:dyDescent="0.25">
      <c r="A263" s="785">
        <v>130</v>
      </c>
      <c r="B263" s="525" t="str">
        <f t="shared" si="69"/>
        <v>n.a.</v>
      </c>
      <c r="C263" s="525" t="str">
        <f t="shared" si="69"/>
        <v>n.a.</v>
      </c>
      <c r="D263" s="525" t="str">
        <f t="shared" si="69"/>
        <v>n.a.</v>
      </c>
      <c r="E263" s="525" t="str">
        <f t="shared" si="69"/>
        <v>n.a.</v>
      </c>
      <c r="F263" s="525" t="str">
        <f t="shared" si="69"/>
        <v>72171050</v>
      </c>
      <c r="G263" s="525" t="str">
        <f t="shared" si="69"/>
        <v>n.a.</v>
      </c>
      <c r="H263" s="525" t="str">
        <f t="shared" si="69"/>
        <v>n.a.</v>
      </c>
      <c r="I263" s="525" t="str">
        <f t="shared" si="69"/>
        <v>n.a.</v>
      </c>
      <c r="J263" s="525" t="str">
        <f t="shared" si="69"/>
        <v>n.a.</v>
      </c>
      <c r="K263" s="525" t="str">
        <f t="shared" si="69"/>
        <v>n.a.</v>
      </c>
      <c r="L263" s="525" t="str">
        <f t="shared" si="70"/>
        <v>n.a.</v>
      </c>
      <c r="M263" s="525" t="str">
        <f t="shared" si="70"/>
        <v>n.a.</v>
      </c>
      <c r="N263" s="525" t="str">
        <f t="shared" si="70"/>
        <v>n.a.</v>
      </c>
      <c r="O263" s="525" t="str">
        <f t="shared" si="70"/>
        <v>n.a.</v>
      </c>
      <c r="P263" s="525" t="str">
        <f t="shared" si="70"/>
        <v>n.a.</v>
      </c>
      <c r="Q263" s="525" t="str">
        <f t="shared" si="70"/>
        <v>n.a.</v>
      </c>
      <c r="R263" s="525" t="str">
        <f t="shared" si="70"/>
        <v>n.a.</v>
      </c>
      <c r="S263" s="525" t="str">
        <f t="shared" si="70"/>
        <v>n.a.</v>
      </c>
    </row>
    <row r="264" spans="1:19" s="110" customFormat="1" x14ac:dyDescent="0.25">
      <c r="A264" s="785">
        <v>131</v>
      </c>
      <c r="B264" s="525" t="str">
        <f t="shared" ref="B264:K273" si="71">IFERROR(INDEX(CNCodes_ListKey,MATCH($A264&amp;"_"&amp;B$132,CNCodes_ListNumbering,0)),CONST_NA)</f>
        <v>n.a.</v>
      </c>
      <c r="C264" s="525" t="str">
        <f t="shared" si="71"/>
        <v>n.a.</v>
      </c>
      <c r="D264" s="525" t="str">
        <f t="shared" si="71"/>
        <v>n.a.</v>
      </c>
      <c r="E264" s="525" t="str">
        <f t="shared" si="71"/>
        <v>n.a.</v>
      </c>
      <c r="F264" s="525" t="str">
        <f t="shared" si="71"/>
        <v>72171090</v>
      </c>
      <c r="G264" s="525" t="str">
        <f t="shared" si="71"/>
        <v>n.a.</v>
      </c>
      <c r="H264" s="525" t="str">
        <f t="shared" si="71"/>
        <v>n.a.</v>
      </c>
      <c r="I264" s="525" t="str">
        <f t="shared" si="71"/>
        <v>n.a.</v>
      </c>
      <c r="J264" s="525" t="str">
        <f t="shared" si="71"/>
        <v>n.a.</v>
      </c>
      <c r="K264" s="525" t="str">
        <f t="shared" si="71"/>
        <v>n.a.</v>
      </c>
      <c r="L264" s="525" t="str">
        <f t="shared" ref="L264:S273" si="72">IFERROR(INDEX(CNCodes_ListKey,MATCH($A264&amp;"_"&amp;L$132,CNCodes_ListNumbering,0)),CONST_NA)</f>
        <v>n.a.</v>
      </c>
      <c r="M264" s="525" t="str">
        <f t="shared" si="72"/>
        <v>n.a.</v>
      </c>
      <c r="N264" s="525" t="str">
        <f t="shared" si="72"/>
        <v>n.a.</v>
      </c>
      <c r="O264" s="525" t="str">
        <f t="shared" si="72"/>
        <v>n.a.</v>
      </c>
      <c r="P264" s="525" t="str">
        <f t="shared" si="72"/>
        <v>n.a.</v>
      </c>
      <c r="Q264" s="525" t="str">
        <f t="shared" si="72"/>
        <v>n.a.</v>
      </c>
      <c r="R264" s="525" t="str">
        <f t="shared" si="72"/>
        <v>n.a.</v>
      </c>
      <c r="S264" s="525" t="str">
        <f t="shared" si="72"/>
        <v>n.a.</v>
      </c>
    </row>
    <row r="265" spans="1:19" s="110" customFormat="1" x14ac:dyDescent="0.25">
      <c r="A265" s="785">
        <v>132</v>
      </c>
      <c r="B265" s="525" t="str">
        <f t="shared" si="71"/>
        <v>n.a.</v>
      </c>
      <c r="C265" s="525" t="str">
        <f t="shared" si="71"/>
        <v>n.a.</v>
      </c>
      <c r="D265" s="525" t="str">
        <f t="shared" si="71"/>
        <v>n.a.</v>
      </c>
      <c r="E265" s="525" t="str">
        <f t="shared" si="71"/>
        <v>n.a.</v>
      </c>
      <c r="F265" s="525" t="str">
        <f t="shared" si="71"/>
        <v>72172010</v>
      </c>
      <c r="G265" s="525" t="str">
        <f t="shared" si="71"/>
        <v>n.a.</v>
      </c>
      <c r="H265" s="525" t="str">
        <f t="shared" si="71"/>
        <v>n.a.</v>
      </c>
      <c r="I265" s="525" t="str">
        <f t="shared" si="71"/>
        <v>n.a.</v>
      </c>
      <c r="J265" s="525" t="str">
        <f t="shared" si="71"/>
        <v>n.a.</v>
      </c>
      <c r="K265" s="525" t="str">
        <f t="shared" si="71"/>
        <v>n.a.</v>
      </c>
      <c r="L265" s="525" t="str">
        <f t="shared" si="72"/>
        <v>n.a.</v>
      </c>
      <c r="M265" s="525" t="str">
        <f t="shared" si="72"/>
        <v>n.a.</v>
      </c>
      <c r="N265" s="525" t="str">
        <f t="shared" si="72"/>
        <v>n.a.</v>
      </c>
      <c r="O265" s="525" t="str">
        <f t="shared" si="72"/>
        <v>n.a.</v>
      </c>
      <c r="P265" s="525" t="str">
        <f t="shared" si="72"/>
        <v>n.a.</v>
      </c>
      <c r="Q265" s="525" t="str">
        <f t="shared" si="72"/>
        <v>n.a.</v>
      </c>
      <c r="R265" s="525" t="str">
        <f t="shared" si="72"/>
        <v>n.a.</v>
      </c>
      <c r="S265" s="525" t="str">
        <f t="shared" si="72"/>
        <v>n.a.</v>
      </c>
    </row>
    <row r="266" spans="1:19" s="110" customFormat="1" x14ac:dyDescent="0.25">
      <c r="A266" s="785">
        <v>133</v>
      </c>
      <c r="B266" s="525" t="str">
        <f t="shared" si="71"/>
        <v>n.a.</v>
      </c>
      <c r="C266" s="525" t="str">
        <f t="shared" si="71"/>
        <v>n.a.</v>
      </c>
      <c r="D266" s="525" t="str">
        <f t="shared" si="71"/>
        <v>n.a.</v>
      </c>
      <c r="E266" s="525" t="str">
        <f t="shared" si="71"/>
        <v>n.a.</v>
      </c>
      <c r="F266" s="525" t="str">
        <f t="shared" si="71"/>
        <v>72172030</v>
      </c>
      <c r="G266" s="525" t="str">
        <f t="shared" si="71"/>
        <v>n.a.</v>
      </c>
      <c r="H266" s="525" t="str">
        <f t="shared" si="71"/>
        <v>n.a.</v>
      </c>
      <c r="I266" s="525" t="str">
        <f t="shared" si="71"/>
        <v>n.a.</v>
      </c>
      <c r="J266" s="525" t="str">
        <f t="shared" si="71"/>
        <v>n.a.</v>
      </c>
      <c r="K266" s="525" t="str">
        <f t="shared" si="71"/>
        <v>n.a.</v>
      </c>
      <c r="L266" s="525" t="str">
        <f t="shared" si="72"/>
        <v>n.a.</v>
      </c>
      <c r="M266" s="525" t="str">
        <f t="shared" si="72"/>
        <v>n.a.</v>
      </c>
      <c r="N266" s="525" t="str">
        <f t="shared" si="72"/>
        <v>n.a.</v>
      </c>
      <c r="O266" s="525" t="str">
        <f t="shared" si="72"/>
        <v>n.a.</v>
      </c>
      <c r="P266" s="525" t="str">
        <f t="shared" si="72"/>
        <v>n.a.</v>
      </c>
      <c r="Q266" s="525" t="str">
        <f t="shared" si="72"/>
        <v>n.a.</v>
      </c>
      <c r="R266" s="525" t="str">
        <f t="shared" si="72"/>
        <v>n.a.</v>
      </c>
      <c r="S266" s="525" t="str">
        <f t="shared" si="72"/>
        <v>n.a.</v>
      </c>
    </row>
    <row r="267" spans="1:19" s="110" customFormat="1" x14ac:dyDescent="0.25">
      <c r="A267" s="785">
        <v>134</v>
      </c>
      <c r="B267" s="525" t="str">
        <f t="shared" si="71"/>
        <v>n.a.</v>
      </c>
      <c r="C267" s="525" t="str">
        <f t="shared" si="71"/>
        <v>n.a.</v>
      </c>
      <c r="D267" s="525" t="str">
        <f t="shared" si="71"/>
        <v>n.a.</v>
      </c>
      <c r="E267" s="525" t="str">
        <f t="shared" si="71"/>
        <v>n.a.</v>
      </c>
      <c r="F267" s="525" t="str">
        <f t="shared" si="71"/>
        <v>72172050</v>
      </c>
      <c r="G267" s="525" t="str">
        <f t="shared" si="71"/>
        <v>n.a.</v>
      </c>
      <c r="H267" s="525" t="str">
        <f t="shared" si="71"/>
        <v>n.a.</v>
      </c>
      <c r="I267" s="525" t="str">
        <f t="shared" si="71"/>
        <v>n.a.</v>
      </c>
      <c r="J267" s="525" t="str">
        <f t="shared" si="71"/>
        <v>n.a.</v>
      </c>
      <c r="K267" s="525" t="str">
        <f t="shared" si="71"/>
        <v>n.a.</v>
      </c>
      <c r="L267" s="525" t="str">
        <f t="shared" si="72"/>
        <v>n.a.</v>
      </c>
      <c r="M267" s="525" t="str">
        <f t="shared" si="72"/>
        <v>n.a.</v>
      </c>
      <c r="N267" s="525" t="str">
        <f t="shared" si="72"/>
        <v>n.a.</v>
      </c>
      <c r="O267" s="525" t="str">
        <f t="shared" si="72"/>
        <v>n.a.</v>
      </c>
      <c r="P267" s="525" t="str">
        <f t="shared" si="72"/>
        <v>n.a.</v>
      </c>
      <c r="Q267" s="525" t="str">
        <f t="shared" si="72"/>
        <v>n.a.</v>
      </c>
      <c r="R267" s="525" t="str">
        <f t="shared" si="72"/>
        <v>n.a.</v>
      </c>
      <c r="S267" s="525" t="str">
        <f t="shared" si="72"/>
        <v>n.a.</v>
      </c>
    </row>
    <row r="268" spans="1:19" s="110" customFormat="1" x14ac:dyDescent="0.25">
      <c r="A268" s="785">
        <v>135</v>
      </c>
      <c r="B268" s="525" t="str">
        <f t="shared" si="71"/>
        <v>n.a.</v>
      </c>
      <c r="C268" s="525" t="str">
        <f t="shared" si="71"/>
        <v>n.a.</v>
      </c>
      <c r="D268" s="525" t="str">
        <f t="shared" si="71"/>
        <v>n.a.</v>
      </c>
      <c r="E268" s="525" t="str">
        <f t="shared" si="71"/>
        <v>n.a.</v>
      </c>
      <c r="F268" s="525" t="str">
        <f t="shared" si="71"/>
        <v>72172090</v>
      </c>
      <c r="G268" s="525" t="str">
        <f t="shared" si="71"/>
        <v>n.a.</v>
      </c>
      <c r="H268" s="525" t="str">
        <f t="shared" si="71"/>
        <v>n.a.</v>
      </c>
      <c r="I268" s="525" t="str">
        <f t="shared" si="71"/>
        <v>n.a.</v>
      </c>
      <c r="J268" s="525" t="str">
        <f t="shared" si="71"/>
        <v>n.a.</v>
      </c>
      <c r="K268" s="525" t="str">
        <f t="shared" si="71"/>
        <v>n.a.</v>
      </c>
      <c r="L268" s="525" t="str">
        <f t="shared" si="72"/>
        <v>n.a.</v>
      </c>
      <c r="M268" s="525" t="str">
        <f t="shared" si="72"/>
        <v>n.a.</v>
      </c>
      <c r="N268" s="525" t="str">
        <f t="shared" si="72"/>
        <v>n.a.</v>
      </c>
      <c r="O268" s="525" t="str">
        <f t="shared" si="72"/>
        <v>n.a.</v>
      </c>
      <c r="P268" s="525" t="str">
        <f t="shared" si="72"/>
        <v>n.a.</v>
      </c>
      <c r="Q268" s="525" t="str">
        <f t="shared" si="72"/>
        <v>n.a.</v>
      </c>
      <c r="R268" s="525" t="str">
        <f t="shared" si="72"/>
        <v>n.a.</v>
      </c>
      <c r="S268" s="525" t="str">
        <f t="shared" si="72"/>
        <v>n.a.</v>
      </c>
    </row>
    <row r="269" spans="1:19" s="110" customFormat="1" x14ac:dyDescent="0.25">
      <c r="A269" s="785">
        <v>136</v>
      </c>
      <c r="B269" s="525" t="str">
        <f t="shared" si="71"/>
        <v>n.a.</v>
      </c>
      <c r="C269" s="525" t="str">
        <f t="shared" si="71"/>
        <v>n.a.</v>
      </c>
      <c r="D269" s="525" t="str">
        <f t="shared" si="71"/>
        <v>n.a.</v>
      </c>
      <c r="E269" s="525" t="str">
        <f t="shared" si="71"/>
        <v>n.a.</v>
      </c>
      <c r="F269" s="525" t="str">
        <f t="shared" si="71"/>
        <v>72173041</v>
      </c>
      <c r="G269" s="525" t="str">
        <f t="shared" si="71"/>
        <v>n.a.</v>
      </c>
      <c r="H269" s="525" t="str">
        <f t="shared" si="71"/>
        <v>n.a.</v>
      </c>
      <c r="I269" s="525" t="str">
        <f t="shared" si="71"/>
        <v>n.a.</v>
      </c>
      <c r="J269" s="525" t="str">
        <f t="shared" si="71"/>
        <v>n.a.</v>
      </c>
      <c r="K269" s="525" t="str">
        <f t="shared" si="71"/>
        <v>n.a.</v>
      </c>
      <c r="L269" s="525" t="str">
        <f t="shared" si="72"/>
        <v>n.a.</v>
      </c>
      <c r="M269" s="525" t="str">
        <f t="shared" si="72"/>
        <v>n.a.</v>
      </c>
      <c r="N269" s="525" t="str">
        <f t="shared" si="72"/>
        <v>n.a.</v>
      </c>
      <c r="O269" s="525" t="str">
        <f t="shared" si="72"/>
        <v>n.a.</v>
      </c>
      <c r="P269" s="525" t="str">
        <f t="shared" si="72"/>
        <v>n.a.</v>
      </c>
      <c r="Q269" s="525" t="str">
        <f t="shared" si="72"/>
        <v>n.a.</v>
      </c>
      <c r="R269" s="525" t="str">
        <f t="shared" si="72"/>
        <v>n.a.</v>
      </c>
      <c r="S269" s="525" t="str">
        <f t="shared" si="72"/>
        <v>n.a.</v>
      </c>
    </row>
    <row r="270" spans="1:19" s="110" customFormat="1" x14ac:dyDescent="0.25">
      <c r="A270" s="785">
        <v>137</v>
      </c>
      <c r="B270" s="525" t="str">
        <f t="shared" si="71"/>
        <v>n.a.</v>
      </c>
      <c r="C270" s="525" t="str">
        <f t="shared" si="71"/>
        <v>n.a.</v>
      </c>
      <c r="D270" s="525" t="str">
        <f t="shared" si="71"/>
        <v>n.a.</v>
      </c>
      <c r="E270" s="525" t="str">
        <f t="shared" si="71"/>
        <v>n.a.</v>
      </c>
      <c r="F270" s="525" t="str">
        <f t="shared" si="71"/>
        <v>72173049</v>
      </c>
      <c r="G270" s="525" t="str">
        <f t="shared" si="71"/>
        <v>n.a.</v>
      </c>
      <c r="H270" s="525" t="str">
        <f t="shared" si="71"/>
        <v>n.a.</v>
      </c>
      <c r="I270" s="525" t="str">
        <f t="shared" si="71"/>
        <v>n.a.</v>
      </c>
      <c r="J270" s="525" t="str">
        <f t="shared" si="71"/>
        <v>n.a.</v>
      </c>
      <c r="K270" s="525" t="str">
        <f t="shared" si="71"/>
        <v>n.a.</v>
      </c>
      <c r="L270" s="525" t="str">
        <f t="shared" si="72"/>
        <v>n.a.</v>
      </c>
      <c r="M270" s="525" t="str">
        <f t="shared" si="72"/>
        <v>n.a.</v>
      </c>
      <c r="N270" s="525" t="str">
        <f t="shared" si="72"/>
        <v>n.a.</v>
      </c>
      <c r="O270" s="525" t="str">
        <f t="shared" si="72"/>
        <v>n.a.</v>
      </c>
      <c r="P270" s="525" t="str">
        <f t="shared" si="72"/>
        <v>n.a.</v>
      </c>
      <c r="Q270" s="525" t="str">
        <f t="shared" si="72"/>
        <v>n.a.</v>
      </c>
      <c r="R270" s="525" t="str">
        <f t="shared" si="72"/>
        <v>n.a.</v>
      </c>
      <c r="S270" s="525" t="str">
        <f t="shared" si="72"/>
        <v>n.a.</v>
      </c>
    </row>
    <row r="271" spans="1:19" s="110" customFormat="1" x14ac:dyDescent="0.25">
      <c r="A271" s="785">
        <v>138</v>
      </c>
      <c r="B271" s="525" t="str">
        <f t="shared" si="71"/>
        <v>n.a.</v>
      </c>
      <c r="C271" s="525" t="str">
        <f t="shared" si="71"/>
        <v>n.a.</v>
      </c>
      <c r="D271" s="525" t="str">
        <f t="shared" si="71"/>
        <v>n.a.</v>
      </c>
      <c r="E271" s="525" t="str">
        <f t="shared" si="71"/>
        <v>n.a.</v>
      </c>
      <c r="F271" s="525" t="str">
        <f t="shared" si="71"/>
        <v>72173050</v>
      </c>
      <c r="G271" s="525" t="str">
        <f t="shared" si="71"/>
        <v>n.a.</v>
      </c>
      <c r="H271" s="525" t="str">
        <f t="shared" si="71"/>
        <v>n.a.</v>
      </c>
      <c r="I271" s="525" t="str">
        <f t="shared" si="71"/>
        <v>n.a.</v>
      </c>
      <c r="J271" s="525" t="str">
        <f t="shared" si="71"/>
        <v>n.a.</v>
      </c>
      <c r="K271" s="525" t="str">
        <f t="shared" si="71"/>
        <v>n.a.</v>
      </c>
      <c r="L271" s="525" t="str">
        <f t="shared" si="72"/>
        <v>n.a.</v>
      </c>
      <c r="M271" s="525" t="str">
        <f t="shared" si="72"/>
        <v>n.a.</v>
      </c>
      <c r="N271" s="525" t="str">
        <f t="shared" si="72"/>
        <v>n.a.</v>
      </c>
      <c r="O271" s="525" t="str">
        <f t="shared" si="72"/>
        <v>n.a.</v>
      </c>
      <c r="P271" s="525" t="str">
        <f t="shared" si="72"/>
        <v>n.a.</v>
      </c>
      <c r="Q271" s="525" t="str">
        <f t="shared" si="72"/>
        <v>n.a.</v>
      </c>
      <c r="R271" s="525" t="str">
        <f t="shared" si="72"/>
        <v>n.a.</v>
      </c>
      <c r="S271" s="525" t="str">
        <f t="shared" si="72"/>
        <v>n.a.</v>
      </c>
    </row>
    <row r="272" spans="1:19" s="110" customFormat="1" x14ac:dyDescent="0.25">
      <c r="A272" s="785">
        <v>139</v>
      </c>
      <c r="B272" s="525" t="str">
        <f t="shared" si="71"/>
        <v>n.a.</v>
      </c>
      <c r="C272" s="525" t="str">
        <f t="shared" si="71"/>
        <v>n.a.</v>
      </c>
      <c r="D272" s="525" t="str">
        <f t="shared" si="71"/>
        <v>n.a.</v>
      </c>
      <c r="E272" s="525" t="str">
        <f t="shared" si="71"/>
        <v>n.a.</v>
      </c>
      <c r="F272" s="525" t="str">
        <f t="shared" si="71"/>
        <v>72173090</v>
      </c>
      <c r="G272" s="525" t="str">
        <f t="shared" si="71"/>
        <v>n.a.</v>
      </c>
      <c r="H272" s="525" t="str">
        <f t="shared" si="71"/>
        <v>n.a.</v>
      </c>
      <c r="I272" s="525" t="str">
        <f t="shared" si="71"/>
        <v>n.a.</v>
      </c>
      <c r="J272" s="525" t="str">
        <f t="shared" si="71"/>
        <v>n.a.</v>
      </c>
      <c r="K272" s="525" t="str">
        <f t="shared" si="71"/>
        <v>n.a.</v>
      </c>
      <c r="L272" s="525" t="str">
        <f t="shared" si="72"/>
        <v>n.a.</v>
      </c>
      <c r="M272" s="525" t="str">
        <f t="shared" si="72"/>
        <v>n.a.</v>
      </c>
      <c r="N272" s="525" t="str">
        <f t="shared" si="72"/>
        <v>n.a.</v>
      </c>
      <c r="O272" s="525" t="str">
        <f t="shared" si="72"/>
        <v>n.a.</v>
      </c>
      <c r="P272" s="525" t="str">
        <f t="shared" si="72"/>
        <v>n.a.</v>
      </c>
      <c r="Q272" s="525" t="str">
        <f t="shared" si="72"/>
        <v>n.a.</v>
      </c>
      <c r="R272" s="525" t="str">
        <f t="shared" si="72"/>
        <v>n.a.</v>
      </c>
      <c r="S272" s="525" t="str">
        <f t="shared" si="72"/>
        <v>n.a.</v>
      </c>
    </row>
    <row r="273" spans="1:19" s="110" customFormat="1" x14ac:dyDescent="0.25">
      <c r="A273" s="785">
        <v>140</v>
      </c>
      <c r="B273" s="525" t="str">
        <f t="shared" si="71"/>
        <v>n.a.</v>
      </c>
      <c r="C273" s="525" t="str">
        <f t="shared" si="71"/>
        <v>n.a.</v>
      </c>
      <c r="D273" s="525" t="str">
        <f t="shared" si="71"/>
        <v>n.a.</v>
      </c>
      <c r="E273" s="525" t="str">
        <f t="shared" si="71"/>
        <v>n.a.</v>
      </c>
      <c r="F273" s="525" t="str">
        <f t="shared" si="71"/>
        <v>72179020</v>
      </c>
      <c r="G273" s="525" t="str">
        <f t="shared" si="71"/>
        <v>n.a.</v>
      </c>
      <c r="H273" s="525" t="str">
        <f t="shared" si="71"/>
        <v>n.a.</v>
      </c>
      <c r="I273" s="525" t="str">
        <f t="shared" si="71"/>
        <v>n.a.</v>
      </c>
      <c r="J273" s="525" t="str">
        <f t="shared" si="71"/>
        <v>n.a.</v>
      </c>
      <c r="K273" s="525" t="str">
        <f t="shared" si="71"/>
        <v>n.a.</v>
      </c>
      <c r="L273" s="525" t="str">
        <f t="shared" si="72"/>
        <v>n.a.</v>
      </c>
      <c r="M273" s="525" t="str">
        <f t="shared" si="72"/>
        <v>n.a.</v>
      </c>
      <c r="N273" s="525" t="str">
        <f t="shared" si="72"/>
        <v>n.a.</v>
      </c>
      <c r="O273" s="525" t="str">
        <f t="shared" si="72"/>
        <v>n.a.</v>
      </c>
      <c r="P273" s="525" t="str">
        <f t="shared" si="72"/>
        <v>n.a.</v>
      </c>
      <c r="Q273" s="525" t="str">
        <f t="shared" si="72"/>
        <v>n.a.</v>
      </c>
      <c r="R273" s="525" t="str">
        <f t="shared" si="72"/>
        <v>n.a.</v>
      </c>
      <c r="S273" s="525" t="str">
        <f t="shared" si="72"/>
        <v>n.a.</v>
      </c>
    </row>
    <row r="274" spans="1:19" s="110" customFormat="1" x14ac:dyDescent="0.25">
      <c r="A274" s="785">
        <v>141</v>
      </c>
      <c r="B274" s="525" t="str">
        <f t="shared" ref="B274:K283" si="73">IFERROR(INDEX(CNCodes_ListKey,MATCH($A274&amp;"_"&amp;B$132,CNCodes_ListNumbering,0)),CONST_NA)</f>
        <v>n.a.</v>
      </c>
      <c r="C274" s="525" t="str">
        <f t="shared" si="73"/>
        <v>n.a.</v>
      </c>
      <c r="D274" s="525" t="str">
        <f t="shared" si="73"/>
        <v>n.a.</v>
      </c>
      <c r="E274" s="525" t="str">
        <f t="shared" si="73"/>
        <v>n.a.</v>
      </c>
      <c r="F274" s="525" t="str">
        <f t="shared" si="73"/>
        <v>72179050</v>
      </c>
      <c r="G274" s="525" t="str">
        <f t="shared" si="73"/>
        <v>n.a.</v>
      </c>
      <c r="H274" s="525" t="str">
        <f t="shared" si="73"/>
        <v>n.a.</v>
      </c>
      <c r="I274" s="525" t="str">
        <f t="shared" si="73"/>
        <v>n.a.</v>
      </c>
      <c r="J274" s="525" t="str">
        <f t="shared" si="73"/>
        <v>n.a.</v>
      </c>
      <c r="K274" s="525" t="str">
        <f t="shared" si="73"/>
        <v>n.a.</v>
      </c>
      <c r="L274" s="525" t="str">
        <f t="shared" ref="L274:S283" si="74">IFERROR(INDEX(CNCodes_ListKey,MATCH($A274&amp;"_"&amp;L$132,CNCodes_ListNumbering,0)),CONST_NA)</f>
        <v>n.a.</v>
      </c>
      <c r="M274" s="525" t="str">
        <f t="shared" si="74"/>
        <v>n.a.</v>
      </c>
      <c r="N274" s="525" t="str">
        <f t="shared" si="74"/>
        <v>n.a.</v>
      </c>
      <c r="O274" s="525" t="str">
        <f t="shared" si="74"/>
        <v>n.a.</v>
      </c>
      <c r="P274" s="525" t="str">
        <f t="shared" si="74"/>
        <v>n.a.</v>
      </c>
      <c r="Q274" s="525" t="str">
        <f t="shared" si="74"/>
        <v>n.a.</v>
      </c>
      <c r="R274" s="525" t="str">
        <f t="shared" si="74"/>
        <v>n.a.</v>
      </c>
      <c r="S274" s="525" t="str">
        <f t="shared" si="74"/>
        <v>n.a.</v>
      </c>
    </row>
    <row r="275" spans="1:19" s="110" customFormat="1" x14ac:dyDescent="0.25">
      <c r="A275" s="785">
        <v>142</v>
      </c>
      <c r="B275" s="525" t="str">
        <f t="shared" si="73"/>
        <v>n.a.</v>
      </c>
      <c r="C275" s="525" t="str">
        <f t="shared" si="73"/>
        <v>n.a.</v>
      </c>
      <c r="D275" s="525" t="str">
        <f t="shared" si="73"/>
        <v>n.a.</v>
      </c>
      <c r="E275" s="525" t="str">
        <f t="shared" si="73"/>
        <v>n.a.</v>
      </c>
      <c r="F275" s="525" t="str">
        <f t="shared" si="73"/>
        <v>72179090</v>
      </c>
      <c r="G275" s="525" t="str">
        <f t="shared" si="73"/>
        <v>n.a.</v>
      </c>
      <c r="H275" s="525" t="str">
        <f t="shared" si="73"/>
        <v>n.a.</v>
      </c>
      <c r="I275" s="525" t="str">
        <f t="shared" si="73"/>
        <v>n.a.</v>
      </c>
      <c r="J275" s="525" t="str">
        <f t="shared" si="73"/>
        <v>n.a.</v>
      </c>
      <c r="K275" s="525" t="str">
        <f t="shared" si="73"/>
        <v>n.a.</v>
      </c>
      <c r="L275" s="525" t="str">
        <f t="shared" si="74"/>
        <v>n.a.</v>
      </c>
      <c r="M275" s="525" t="str">
        <f t="shared" si="74"/>
        <v>n.a.</v>
      </c>
      <c r="N275" s="525" t="str">
        <f t="shared" si="74"/>
        <v>n.a.</v>
      </c>
      <c r="O275" s="525" t="str">
        <f t="shared" si="74"/>
        <v>n.a.</v>
      </c>
      <c r="P275" s="525" t="str">
        <f t="shared" si="74"/>
        <v>n.a.</v>
      </c>
      <c r="Q275" s="525" t="str">
        <f t="shared" si="74"/>
        <v>n.a.</v>
      </c>
      <c r="R275" s="525" t="str">
        <f t="shared" si="74"/>
        <v>n.a.</v>
      </c>
      <c r="S275" s="525" t="str">
        <f t="shared" si="74"/>
        <v>n.a.</v>
      </c>
    </row>
    <row r="276" spans="1:19" s="110" customFormat="1" x14ac:dyDescent="0.25">
      <c r="A276" s="785">
        <v>143</v>
      </c>
      <c r="B276" s="525" t="str">
        <f t="shared" si="73"/>
        <v>n.a.</v>
      </c>
      <c r="C276" s="525" t="str">
        <f t="shared" si="73"/>
        <v>n.a.</v>
      </c>
      <c r="D276" s="525" t="str">
        <f t="shared" si="73"/>
        <v>n.a.</v>
      </c>
      <c r="E276" s="525" t="str">
        <f t="shared" si="73"/>
        <v>n.a.</v>
      </c>
      <c r="F276" s="525" t="str">
        <f t="shared" si="73"/>
        <v>72191100</v>
      </c>
      <c r="G276" s="525" t="str">
        <f t="shared" si="73"/>
        <v>n.a.</v>
      </c>
      <c r="H276" s="525" t="str">
        <f t="shared" si="73"/>
        <v>n.a.</v>
      </c>
      <c r="I276" s="525" t="str">
        <f t="shared" si="73"/>
        <v>n.a.</v>
      </c>
      <c r="J276" s="525" t="str">
        <f t="shared" si="73"/>
        <v>n.a.</v>
      </c>
      <c r="K276" s="525" t="str">
        <f t="shared" si="73"/>
        <v>n.a.</v>
      </c>
      <c r="L276" s="525" t="str">
        <f t="shared" si="74"/>
        <v>n.a.</v>
      </c>
      <c r="M276" s="525" t="str">
        <f t="shared" si="74"/>
        <v>n.a.</v>
      </c>
      <c r="N276" s="525" t="str">
        <f t="shared" si="74"/>
        <v>n.a.</v>
      </c>
      <c r="O276" s="525" t="str">
        <f t="shared" si="74"/>
        <v>n.a.</v>
      </c>
      <c r="P276" s="525" t="str">
        <f t="shared" si="74"/>
        <v>n.a.</v>
      </c>
      <c r="Q276" s="525" t="str">
        <f t="shared" si="74"/>
        <v>n.a.</v>
      </c>
      <c r="R276" s="525" t="str">
        <f t="shared" si="74"/>
        <v>n.a.</v>
      </c>
      <c r="S276" s="525" t="str">
        <f t="shared" si="74"/>
        <v>n.a.</v>
      </c>
    </row>
    <row r="277" spans="1:19" s="110" customFormat="1" x14ac:dyDescent="0.25">
      <c r="A277" s="785">
        <v>144</v>
      </c>
      <c r="B277" s="525" t="str">
        <f t="shared" si="73"/>
        <v>n.a.</v>
      </c>
      <c r="C277" s="525" t="str">
        <f t="shared" si="73"/>
        <v>n.a.</v>
      </c>
      <c r="D277" s="525" t="str">
        <f t="shared" si="73"/>
        <v>n.a.</v>
      </c>
      <c r="E277" s="525" t="str">
        <f t="shared" si="73"/>
        <v>n.a.</v>
      </c>
      <c r="F277" s="525" t="str">
        <f t="shared" si="73"/>
        <v>72191210</v>
      </c>
      <c r="G277" s="525" t="str">
        <f t="shared" si="73"/>
        <v>n.a.</v>
      </c>
      <c r="H277" s="525" t="str">
        <f t="shared" si="73"/>
        <v>n.a.</v>
      </c>
      <c r="I277" s="525" t="str">
        <f t="shared" si="73"/>
        <v>n.a.</v>
      </c>
      <c r="J277" s="525" t="str">
        <f t="shared" si="73"/>
        <v>n.a.</v>
      </c>
      <c r="K277" s="525" t="str">
        <f t="shared" si="73"/>
        <v>n.a.</v>
      </c>
      <c r="L277" s="525" t="str">
        <f t="shared" si="74"/>
        <v>n.a.</v>
      </c>
      <c r="M277" s="525" t="str">
        <f t="shared" si="74"/>
        <v>n.a.</v>
      </c>
      <c r="N277" s="525" t="str">
        <f t="shared" si="74"/>
        <v>n.a.</v>
      </c>
      <c r="O277" s="525" t="str">
        <f t="shared" si="74"/>
        <v>n.a.</v>
      </c>
      <c r="P277" s="525" t="str">
        <f t="shared" si="74"/>
        <v>n.a.</v>
      </c>
      <c r="Q277" s="525" t="str">
        <f t="shared" si="74"/>
        <v>n.a.</v>
      </c>
      <c r="R277" s="525" t="str">
        <f t="shared" si="74"/>
        <v>n.a.</v>
      </c>
      <c r="S277" s="525" t="str">
        <f t="shared" si="74"/>
        <v>n.a.</v>
      </c>
    </row>
    <row r="278" spans="1:19" s="110" customFormat="1" x14ac:dyDescent="0.25">
      <c r="A278" s="785">
        <v>145</v>
      </c>
      <c r="B278" s="525" t="str">
        <f t="shared" si="73"/>
        <v>n.a.</v>
      </c>
      <c r="C278" s="525" t="str">
        <f t="shared" si="73"/>
        <v>n.a.</v>
      </c>
      <c r="D278" s="525" t="str">
        <f t="shared" si="73"/>
        <v>n.a.</v>
      </c>
      <c r="E278" s="525" t="str">
        <f t="shared" si="73"/>
        <v>n.a.</v>
      </c>
      <c r="F278" s="525" t="str">
        <f t="shared" si="73"/>
        <v>72191290</v>
      </c>
      <c r="G278" s="525" t="str">
        <f t="shared" si="73"/>
        <v>n.a.</v>
      </c>
      <c r="H278" s="525" t="str">
        <f t="shared" si="73"/>
        <v>n.a.</v>
      </c>
      <c r="I278" s="525" t="str">
        <f t="shared" si="73"/>
        <v>n.a.</v>
      </c>
      <c r="J278" s="525" t="str">
        <f t="shared" si="73"/>
        <v>n.a.</v>
      </c>
      <c r="K278" s="525" t="str">
        <f t="shared" si="73"/>
        <v>n.a.</v>
      </c>
      <c r="L278" s="525" t="str">
        <f t="shared" si="74"/>
        <v>n.a.</v>
      </c>
      <c r="M278" s="525" t="str">
        <f t="shared" si="74"/>
        <v>n.a.</v>
      </c>
      <c r="N278" s="525" t="str">
        <f t="shared" si="74"/>
        <v>n.a.</v>
      </c>
      <c r="O278" s="525" t="str">
        <f t="shared" si="74"/>
        <v>n.a.</v>
      </c>
      <c r="P278" s="525" t="str">
        <f t="shared" si="74"/>
        <v>n.a.</v>
      </c>
      <c r="Q278" s="525" t="str">
        <f t="shared" si="74"/>
        <v>n.a.</v>
      </c>
      <c r="R278" s="525" t="str">
        <f t="shared" si="74"/>
        <v>n.a.</v>
      </c>
      <c r="S278" s="525" t="str">
        <f t="shared" si="74"/>
        <v>n.a.</v>
      </c>
    </row>
    <row r="279" spans="1:19" s="110" customFormat="1" x14ac:dyDescent="0.25">
      <c r="A279" s="785">
        <v>146</v>
      </c>
      <c r="B279" s="525" t="str">
        <f t="shared" si="73"/>
        <v>n.a.</v>
      </c>
      <c r="C279" s="525" t="str">
        <f t="shared" si="73"/>
        <v>n.a.</v>
      </c>
      <c r="D279" s="525" t="str">
        <f t="shared" si="73"/>
        <v>n.a.</v>
      </c>
      <c r="E279" s="525" t="str">
        <f t="shared" si="73"/>
        <v>n.a.</v>
      </c>
      <c r="F279" s="525" t="str">
        <f t="shared" si="73"/>
        <v>72191310</v>
      </c>
      <c r="G279" s="525" t="str">
        <f t="shared" si="73"/>
        <v>n.a.</v>
      </c>
      <c r="H279" s="525" t="str">
        <f t="shared" si="73"/>
        <v>n.a.</v>
      </c>
      <c r="I279" s="525" t="str">
        <f t="shared" si="73"/>
        <v>n.a.</v>
      </c>
      <c r="J279" s="525" t="str">
        <f t="shared" si="73"/>
        <v>n.a.</v>
      </c>
      <c r="K279" s="525" t="str">
        <f t="shared" si="73"/>
        <v>n.a.</v>
      </c>
      <c r="L279" s="525" t="str">
        <f t="shared" si="74"/>
        <v>n.a.</v>
      </c>
      <c r="M279" s="525" t="str">
        <f t="shared" si="74"/>
        <v>n.a.</v>
      </c>
      <c r="N279" s="525" t="str">
        <f t="shared" si="74"/>
        <v>n.a.</v>
      </c>
      <c r="O279" s="525" t="str">
        <f t="shared" si="74"/>
        <v>n.a.</v>
      </c>
      <c r="P279" s="525" t="str">
        <f t="shared" si="74"/>
        <v>n.a.</v>
      </c>
      <c r="Q279" s="525" t="str">
        <f t="shared" si="74"/>
        <v>n.a.</v>
      </c>
      <c r="R279" s="525" t="str">
        <f t="shared" si="74"/>
        <v>n.a.</v>
      </c>
      <c r="S279" s="525" t="str">
        <f t="shared" si="74"/>
        <v>n.a.</v>
      </c>
    </row>
    <row r="280" spans="1:19" s="110" customFormat="1" x14ac:dyDescent="0.25">
      <c r="A280" s="785">
        <v>147</v>
      </c>
      <c r="B280" s="525" t="str">
        <f t="shared" si="73"/>
        <v>n.a.</v>
      </c>
      <c r="C280" s="525" t="str">
        <f t="shared" si="73"/>
        <v>n.a.</v>
      </c>
      <c r="D280" s="525" t="str">
        <f t="shared" si="73"/>
        <v>n.a.</v>
      </c>
      <c r="E280" s="525" t="str">
        <f t="shared" si="73"/>
        <v>n.a.</v>
      </c>
      <c r="F280" s="525" t="str">
        <f t="shared" si="73"/>
        <v>72191390</v>
      </c>
      <c r="G280" s="525" t="str">
        <f t="shared" si="73"/>
        <v>n.a.</v>
      </c>
      <c r="H280" s="525" t="str">
        <f t="shared" si="73"/>
        <v>n.a.</v>
      </c>
      <c r="I280" s="525" t="str">
        <f t="shared" si="73"/>
        <v>n.a.</v>
      </c>
      <c r="J280" s="525" t="str">
        <f t="shared" si="73"/>
        <v>n.a.</v>
      </c>
      <c r="K280" s="525" t="str">
        <f t="shared" si="73"/>
        <v>n.a.</v>
      </c>
      <c r="L280" s="525" t="str">
        <f t="shared" si="74"/>
        <v>n.a.</v>
      </c>
      <c r="M280" s="525" t="str">
        <f t="shared" si="74"/>
        <v>n.a.</v>
      </c>
      <c r="N280" s="525" t="str">
        <f t="shared" si="74"/>
        <v>n.a.</v>
      </c>
      <c r="O280" s="525" t="str">
        <f t="shared" si="74"/>
        <v>n.a.</v>
      </c>
      <c r="P280" s="525" t="str">
        <f t="shared" si="74"/>
        <v>n.a.</v>
      </c>
      <c r="Q280" s="525" t="str">
        <f t="shared" si="74"/>
        <v>n.a.</v>
      </c>
      <c r="R280" s="525" t="str">
        <f t="shared" si="74"/>
        <v>n.a.</v>
      </c>
      <c r="S280" s="525" t="str">
        <f t="shared" si="74"/>
        <v>n.a.</v>
      </c>
    </row>
    <row r="281" spans="1:19" s="110" customFormat="1" x14ac:dyDescent="0.25">
      <c r="A281" s="785">
        <v>148</v>
      </c>
      <c r="B281" s="525" t="str">
        <f t="shared" si="73"/>
        <v>n.a.</v>
      </c>
      <c r="C281" s="525" t="str">
        <f t="shared" si="73"/>
        <v>n.a.</v>
      </c>
      <c r="D281" s="525" t="str">
        <f t="shared" si="73"/>
        <v>n.a.</v>
      </c>
      <c r="E281" s="525" t="str">
        <f t="shared" si="73"/>
        <v>n.a.</v>
      </c>
      <c r="F281" s="525" t="str">
        <f t="shared" si="73"/>
        <v>72191410</v>
      </c>
      <c r="G281" s="525" t="str">
        <f t="shared" si="73"/>
        <v>n.a.</v>
      </c>
      <c r="H281" s="525" t="str">
        <f t="shared" si="73"/>
        <v>n.a.</v>
      </c>
      <c r="I281" s="525" t="str">
        <f t="shared" si="73"/>
        <v>n.a.</v>
      </c>
      <c r="J281" s="525" t="str">
        <f t="shared" si="73"/>
        <v>n.a.</v>
      </c>
      <c r="K281" s="525" t="str">
        <f t="shared" si="73"/>
        <v>n.a.</v>
      </c>
      <c r="L281" s="525" t="str">
        <f t="shared" si="74"/>
        <v>n.a.</v>
      </c>
      <c r="M281" s="525" t="str">
        <f t="shared" si="74"/>
        <v>n.a.</v>
      </c>
      <c r="N281" s="525" t="str">
        <f t="shared" si="74"/>
        <v>n.a.</v>
      </c>
      <c r="O281" s="525" t="str">
        <f t="shared" si="74"/>
        <v>n.a.</v>
      </c>
      <c r="P281" s="525" t="str">
        <f t="shared" si="74"/>
        <v>n.a.</v>
      </c>
      <c r="Q281" s="525" t="str">
        <f t="shared" si="74"/>
        <v>n.a.</v>
      </c>
      <c r="R281" s="525" t="str">
        <f t="shared" si="74"/>
        <v>n.a.</v>
      </c>
      <c r="S281" s="525" t="str">
        <f t="shared" si="74"/>
        <v>n.a.</v>
      </c>
    </row>
    <row r="282" spans="1:19" s="110" customFormat="1" x14ac:dyDescent="0.25">
      <c r="A282" s="785">
        <v>149</v>
      </c>
      <c r="B282" s="525" t="str">
        <f t="shared" si="73"/>
        <v>n.a.</v>
      </c>
      <c r="C282" s="525" t="str">
        <f t="shared" si="73"/>
        <v>n.a.</v>
      </c>
      <c r="D282" s="525" t="str">
        <f t="shared" si="73"/>
        <v>n.a.</v>
      </c>
      <c r="E282" s="525" t="str">
        <f t="shared" si="73"/>
        <v>n.a.</v>
      </c>
      <c r="F282" s="525" t="str">
        <f t="shared" si="73"/>
        <v>72191490</v>
      </c>
      <c r="G282" s="525" t="str">
        <f t="shared" si="73"/>
        <v>n.a.</v>
      </c>
      <c r="H282" s="525" t="str">
        <f t="shared" si="73"/>
        <v>n.a.</v>
      </c>
      <c r="I282" s="525" t="str">
        <f t="shared" si="73"/>
        <v>n.a.</v>
      </c>
      <c r="J282" s="525" t="str">
        <f t="shared" si="73"/>
        <v>n.a.</v>
      </c>
      <c r="K282" s="525" t="str">
        <f t="shared" si="73"/>
        <v>n.a.</v>
      </c>
      <c r="L282" s="525" t="str">
        <f t="shared" si="74"/>
        <v>n.a.</v>
      </c>
      <c r="M282" s="525" t="str">
        <f t="shared" si="74"/>
        <v>n.a.</v>
      </c>
      <c r="N282" s="525" t="str">
        <f t="shared" si="74"/>
        <v>n.a.</v>
      </c>
      <c r="O282" s="525" t="str">
        <f t="shared" si="74"/>
        <v>n.a.</v>
      </c>
      <c r="P282" s="525" t="str">
        <f t="shared" si="74"/>
        <v>n.a.</v>
      </c>
      <c r="Q282" s="525" t="str">
        <f t="shared" si="74"/>
        <v>n.a.</v>
      </c>
      <c r="R282" s="525" t="str">
        <f t="shared" si="74"/>
        <v>n.a.</v>
      </c>
      <c r="S282" s="525" t="str">
        <f t="shared" si="74"/>
        <v>n.a.</v>
      </c>
    </row>
    <row r="283" spans="1:19" s="110" customFormat="1" x14ac:dyDescent="0.25">
      <c r="A283" s="785">
        <v>150</v>
      </c>
      <c r="B283" s="525" t="str">
        <f t="shared" si="73"/>
        <v>n.a.</v>
      </c>
      <c r="C283" s="525" t="str">
        <f t="shared" si="73"/>
        <v>n.a.</v>
      </c>
      <c r="D283" s="525" t="str">
        <f t="shared" si="73"/>
        <v>n.a.</v>
      </c>
      <c r="E283" s="525" t="str">
        <f t="shared" si="73"/>
        <v>n.a.</v>
      </c>
      <c r="F283" s="525" t="str">
        <f t="shared" si="73"/>
        <v>72192110</v>
      </c>
      <c r="G283" s="525" t="str">
        <f t="shared" si="73"/>
        <v>n.a.</v>
      </c>
      <c r="H283" s="525" t="str">
        <f t="shared" si="73"/>
        <v>n.a.</v>
      </c>
      <c r="I283" s="525" t="str">
        <f t="shared" si="73"/>
        <v>n.a.</v>
      </c>
      <c r="J283" s="525" t="str">
        <f t="shared" si="73"/>
        <v>n.a.</v>
      </c>
      <c r="K283" s="525" t="str">
        <f t="shared" si="73"/>
        <v>n.a.</v>
      </c>
      <c r="L283" s="525" t="str">
        <f t="shared" si="74"/>
        <v>n.a.</v>
      </c>
      <c r="M283" s="525" t="str">
        <f t="shared" si="74"/>
        <v>n.a.</v>
      </c>
      <c r="N283" s="525" t="str">
        <f t="shared" si="74"/>
        <v>n.a.</v>
      </c>
      <c r="O283" s="525" t="str">
        <f t="shared" si="74"/>
        <v>n.a.</v>
      </c>
      <c r="P283" s="525" t="str">
        <f t="shared" si="74"/>
        <v>n.a.</v>
      </c>
      <c r="Q283" s="525" t="str">
        <f t="shared" si="74"/>
        <v>n.a.</v>
      </c>
      <c r="R283" s="525" t="str">
        <f t="shared" si="74"/>
        <v>n.a.</v>
      </c>
      <c r="S283" s="525" t="str">
        <f t="shared" si="74"/>
        <v>n.a.</v>
      </c>
    </row>
    <row r="284" spans="1:19" s="110" customFormat="1" x14ac:dyDescent="0.25">
      <c r="A284" s="785">
        <v>151</v>
      </c>
      <c r="B284" s="525" t="str">
        <f t="shared" ref="B284:K293" si="75">IFERROR(INDEX(CNCodes_ListKey,MATCH($A284&amp;"_"&amp;B$132,CNCodes_ListNumbering,0)),CONST_NA)</f>
        <v>n.a.</v>
      </c>
      <c r="C284" s="525" t="str">
        <f t="shared" si="75"/>
        <v>n.a.</v>
      </c>
      <c r="D284" s="525" t="str">
        <f t="shared" si="75"/>
        <v>n.a.</v>
      </c>
      <c r="E284" s="525" t="str">
        <f t="shared" si="75"/>
        <v>n.a.</v>
      </c>
      <c r="F284" s="525" t="str">
        <f t="shared" si="75"/>
        <v>72192190</v>
      </c>
      <c r="G284" s="525" t="str">
        <f t="shared" si="75"/>
        <v>n.a.</v>
      </c>
      <c r="H284" s="525" t="str">
        <f t="shared" si="75"/>
        <v>n.a.</v>
      </c>
      <c r="I284" s="525" t="str">
        <f t="shared" si="75"/>
        <v>n.a.</v>
      </c>
      <c r="J284" s="525" t="str">
        <f t="shared" si="75"/>
        <v>n.a.</v>
      </c>
      <c r="K284" s="525" t="str">
        <f t="shared" si="75"/>
        <v>n.a.</v>
      </c>
      <c r="L284" s="525" t="str">
        <f t="shared" ref="L284:S293" si="76">IFERROR(INDEX(CNCodes_ListKey,MATCH($A284&amp;"_"&amp;L$132,CNCodes_ListNumbering,0)),CONST_NA)</f>
        <v>n.a.</v>
      </c>
      <c r="M284" s="525" t="str">
        <f t="shared" si="76"/>
        <v>n.a.</v>
      </c>
      <c r="N284" s="525" t="str">
        <f t="shared" si="76"/>
        <v>n.a.</v>
      </c>
      <c r="O284" s="525" t="str">
        <f t="shared" si="76"/>
        <v>n.a.</v>
      </c>
      <c r="P284" s="525" t="str">
        <f t="shared" si="76"/>
        <v>n.a.</v>
      </c>
      <c r="Q284" s="525" t="str">
        <f t="shared" si="76"/>
        <v>n.a.</v>
      </c>
      <c r="R284" s="525" t="str">
        <f t="shared" si="76"/>
        <v>n.a.</v>
      </c>
      <c r="S284" s="525" t="str">
        <f t="shared" si="76"/>
        <v>n.a.</v>
      </c>
    </row>
    <row r="285" spans="1:19" s="110" customFormat="1" x14ac:dyDescent="0.25">
      <c r="A285" s="785">
        <v>152</v>
      </c>
      <c r="B285" s="525" t="str">
        <f t="shared" si="75"/>
        <v>n.a.</v>
      </c>
      <c r="C285" s="525" t="str">
        <f t="shared" si="75"/>
        <v>n.a.</v>
      </c>
      <c r="D285" s="525" t="str">
        <f t="shared" si="75"/>
        <v>n.a.</v>
      </c>
      <c r="E285" s="525" t="str">
        <f t="shared" si="75"/>
        <v>n.a.</v>
      </c>
      <c r="F285" s="525" t="str">
        <f t="shared" si="75"/>
        <v>72192210</v>
      </c>
      <c r="G285" s="525" t="str">
        <f t="shared" si="75"/>
        <v>n.a.</v>
      </c>
      <c r="H285" s="525" t="str">
        <f t="shared" si="75"/>
        <v>n.a.</v>
      </c>
      <c r="I285" s="525" t="str">
        <f t="shared" si="75"/>
        <v>n.a.</v>
      </c>
      <c r="J285" s="525" t="str">
        <f t="shared" si="75"/>
        <v>n.a.</v>
      </c>
      <c r="K285" s="525" t="str">
        <f t="shared" si="75"/>
        <v>n.a.</v>
      </c>
      <c r="L285" s="525" t="str">
        <f t="shared" si="76"/>
        <v>n.a.</v>
      </c>
      <c r="M285" s="525" t="str">
        <f t="shared" si="76"/>
        <v>n.a.</v>
      </c>
      <c r="N285" s="525" t="str">
        <f t="shared" si="76"/>
        <v>n.a.</v>
      </c>
      <c r="O285" s="525" t="str">
        <f t="shared" si="76"/>
        <v>n.a.</v>
      </c>
      <c r="P285" s="525" t="str">
        <f t="shared" si="76"/>
        <v>n.a.</v>
      </c>
      <c r="Q285" s="525" t="str">
        <f t="shared" si="76"/>
        <v>n.a.</v>
      </c>
      <c r="R285" s="525" t="str">
        <f t="shared" si="76"/>
        <v>n.a.</v>
      </c>
      <c r="S285" s="525" t="str">
        <f t="shared" si="76"/>
        <v>n.a.</v>
      </c>
    </row>
    <row r="286" spans="1:19" s="110" customFormat="1" x14ac:dyDescent="0.25">
      <c r="A286" s="785">
        <v>153</v>
      </c>
      <c r="B286" s="525" t="str">
        <f t="shared" si="75"/>
        <v>n.a.</v>
      </c>
      <c r="C286" s="525" t="str">
        <f t="shared" si="75"/>
        <v>n.a.</v>
      </c>
      <c r="D286" s="525" t="str">
        <f t="shared" si="75"/>
        <v>n.a.</v>
      </c>
      <c r="E286" s="525" t="str">
        <f t="shared" si="75"/>
        <v>n.a.</v>
      </c>
      <c r="F286" s="525" t="str">
        <f t="shared" si="75"/>
        <v>72192290</v>
      </c>
      <c r="G286" s="525" t="str">
        <f t="shared" si="75"/>
        <v>n.a.</v>
      </c>
      <c r="H286" s="525" t="str">
        <f t="shared" si="75"/>
        <v>n.a.</v>
      </c>
      <c r="I286" s="525" t="str">
        <f t="shared" si="75"/>
        <v>n.a.</v>
      </c>
      <c r="J286" s="525" t="str">
        <f t="shared" si="75"/>
        <v>n.a.</v>
      </c>
      <c r="K286" s="525" t="str">
        <f t="shared" si="75"/>
        <v>n.a.</v>
      </c>
      <c r="L286" s="525" t="str">
        <f t="shared" si="76"/>
        <v>n.a.</v>
      </c>
      <c r="M286" s="525" t="str">
        <f t="shared" si="76"/>
        <v>n.a.</v>
      </c>
      <c r="N286" s="525" t="str">
        <f t="shared" si="76"/>
        <v>n.a.</v>
      </c>
      <c r="O286" s="525" t="str">
        <f t="shared" si="76"/>
        <v>n.a.</v>
      </c>
      <c r="P286" s="525" t="str">
        <f t="shared" si="76"/>
        <v>n.a.</v>
      </c>
      <c r="Q286" s="525" t="str">
        <f t="shared" si="76"/>
        <v>n.a.</v>
      </c>
      <c r="R286" s="525" t="str">
        <f t="shared" si="76"/>
        <v>n.a.</v>
      </c>
      <c r="S286" s="525" t="str">
        <f t="shared" si="76"/>
        <v>n.a.</v>
      </c>
    </row>
    <row r="287" spans="1:19" s="110" customFormat="1" x14ac:dyDescent="0.25">
      <c r="A287" s="785">
        <v>154</v>
      </c>
      <c r="B287" s="525" t="str">
        <f t="shared" si="75"/>
        <v>n.a.</v>
      </c>
      <c r="C287" s="525" t="str">
        <f t="shared" si="75"/>
        <v>n.a.</v>
      </c>
      <c r="D287" s="525" t="str">
        <f t="shared" si="75"/>
        <v>n.a.</v>
      </c>
      <c r="E287" s="525" t="str">
        <f t="shared" si="75"/>
        <v>n.a.</v>
      </c>
      <c r="F287" s="525" t="str">
        <f t="shared" si="75"/>
        <v>72192300</v>
      </c>
      <c r="G287" s="525" t="str">
        <f t="shared" si="75"/>
        <v>n.a.</v>
      </c>
      <c r="H287" s="525" t="str">
        <f t="shared" si="75"/>
        <v>n.a.</v>
      </c>
      <c r="I287" s="525" t="str">
        <f t="shared" si="75"/>
        <v>n.a.</v>
      </c>
      <c r="J287" s="525" t="str">
        <f t="shared" si="75"/>
        <v>n.a.</v>
      </c>
      <c r="K287" s="525" t="str">
        <f t="shared" si="75"/>
        <v>n.a.</v>
      </c>
      <c r="L287" s="525" t="str">
        <f t="shared" si="76"/>
        <v>n.a.</v>
      </c>
      <c r="M287" s="525" t="str">
        <f t="shared" si="76"/>
        <v>n.a.</v>
      </c>
      <c r="N287" s="525" t="str">
        <f t="shared" si="76"/>
        <v>n.a.</v>
      </c>
      <c r="O287" s="525" t="str">
        <f t="shared" si="76"/>
        <v>n.a.</v>
      </c>
      <c r="P287" s="525" t="str">
        <f t="shared" si="76"/>
        <v>n.a.</v>
      </c>
      <c r="Q287" s="525" t="str">
        <f t="shared" si="76"/>
        <v>n.a.</v>
      </c>
      <c r="R287" s="525" t="str">
        <f t="shared" si="76"/>
        <v>n.a.</v>
      </c>
      <c r="S287" s="525" t="str">
        <f t="shared" si="76"/>
        <v>n.a.</v>
      </c>
    </row>
    <row r="288" spans="1:19" s="110" customFormat="1" x14ac:dyDescent="0.25">
      <c r="A288" s="785">
        <v>155</v>
      </c>
      <c r="B288" s="525" t="str">
        <f t="shared" si="75"/>
        <v>n.a.</v>
      </c>
      <c r="C288" s="525" t="str">
        <f t="shared" si="75"/>
        <v>n.a.</v>
      </c>
      <c r="D288" s="525" t="str">
        <f t="shared" si="75"/>
        <v>n.a.</v>
      </c>
      <c r="E288" s="525" t="str">
        <f t="shared" si="75"/>
        <v>n.a.</v>
      </c>
      <c r="F288" s="525" t="str">
        <f t="shared" si="75"/>
        <v>72192400</v>
      </c>
      <c r="G288" s="525" t="str">
        <f t="shared" si="75"/>
        <v>n.a.</v>
      </c>
      <c r="H288" s="525" t="str">
        <f t="shared" si="75"/>
        <v>n.a.</v>
      </c>
      <c r="I288" s="525" t="str">
        <f t="shared" si="75"/>
        <v>n.a.</v>
      </c>
      <c r="J288" s="525" t="str">
        <f t="shared" si="75"/>
        <v>n.a.</v>
      </c>
      <c r="K288" s="525" t="str">
        <f t="shared" si="75"/>
        <v>n.a.</v>
      </c>
      <c r="L288" s="525" t="str">
        <f t="shared" si="76"/>
        <v>n.a.</v>
      </c>
      <c r="M288" s="525" t="str">
        <f t="shared" si="76"/>
        <v>n.a.</v>
      </c>
      <c r="N288" s="525" t="str">
        <f t="shared" si="76"/>
        <v>n.a.</v>
      </c>
      <c r="O288" s="525" t="str">
        <f t="shared" si="76"/>
        <v>n.a.</v>
      </c>
      <c r="P288" s="525" t="str">
        <f t="shared" si="76"/>
        <v>n.a.</v>
      </c>
      <c r="Q288" s="525" t="str">
        <f t="shared" si="76"/>
        <v>n.a.</v>
      </c>
      <c r="R288" s="525" t="str">
        <f t="shared" si="76"/>
        <v>n.a.</v>
      </c>
      <c r="S288" s="525" t="str">
        <f t="shared" si="76"/>
        <v>n.a.</v>
      </c>
    </row>
    <row r="289" spans="1:19" s="110" customFormat="1" x14ac:dyDescent="0.25">
      <c r="A289" s="785">
        <v>156</v>
      </c>
      <c r="B289" s="525" t="str">
        <f t="shared" si="75"/>
        <v>n.a.</v>
      </c>
      <c r="C289" s="525" t="str">
        <f t="shared" si="75"/>
        <v>n.a.</v>
      </c>
      <c r="D289" s="525" t="str">
        <f t="shared" si="75"/>
        <v>n.a.</v>
      </c>
      <c r="E289" s="525" t="str">
        <f t="shared" si="75"/>
        <v>n.a.</v>
      </c>
      <c r="F289" s="525" t="str">
        <f t="shared" si="75"/>
        <v>72193100</v>
      </c>
      <c r="G289" s="525" t="str">
        <f t="shared" si="75"/>
        <v>n.a.</v>
      </c>
      <c r="H289" s="525" t="str">
        <f t="shared" si="75"/>
        <v>n.a.</v>
      </c>
      <c r="I289" s="525" t="str">
        <f t="shared" si="75"/>
        <v>n.a.</v>
      </c>
      <c r="J289" s="525" t="str">
        <f t="shared" si="75"/>
        <v>n.a.</v>
      </c>
      <c r="K289" s="525" t="str">
        <f t="shared" si="75"/>
        <v>n.a.</v>
      </c>
      <c r="L289" s="525" t="str">
        <f t="shared" si="76"/>
        <v>n.a.</v>
      </c>
      <c r="M289" s="525" t="str">
        <f t="shared" si="76"/>
        <v>n.a.</v>
      </c>
      <c r="N289" s="525" t="str">
        <f t="shared" si="76"/>
        <v>n.a.</v>
      </c>
      <c r="O289" s="525" t="str">
        <f t="shared" si="76"/>
        <v>n.a.</v>
      </c>
      <c r="P289" s="525" t="str">
        <f t="shared" si="76"/>
        <v>n.a.</v>
      </c>
      <c r="Q289" s="525" t="str">
        <f t="shared" si="76"/>
        <v>n.a.</v>
      </c>
      <c r="R289" s="525" t="str">
        <f t="shared" si="76"/>
        <v>n.a.</v>
      </c>
      <c r="S289" s="525" t="str">
        <f t="shared" si="76"/>
        <v>n.a.</v>
      </c>
    </row>
    <row r="290" spans="1:19" s="110" customFormat="1" x14ac:dyDescent="0.25">
      <c r="A290" s="785">
        <v>157</v>
      </c>
      <c r="B290" s="525" t="str">
        <f t="shared" si="75"/>
        <v>n.a.</v>
      </c>
      <c r="C290" s="525" t="str">
        <f t="shared" si="75"/>
        <v>n.a.</v>
      </c>
      <c r="D290" s="525" t="str">
        <f t="shared" si="75"/>
        <v>n.a.</v>
      </c>
      <c r="E290" s="525" t="str">
        <f t="shared" si="75"/>
        <v>n.a.</v>
      </c>
      <c r="F290" s="525" t="str">
        <f t="shared" si="75"/>
        <v>72193210</v>
      </c>
      <c r="G290" s="525" t="str">
        <f t="shared" si="75"/>
        <v>n.a.</v>
      </c>
      <c r="H290" s="525" t="str">
        <f t="shared" si="75"/>
        <v>n.a.</v>
      </c>
      <c r="I290" s="525" t="str">
        <f t="shared" si="75"/>
        <v>n.a.</v>
      </c>
      <c r="J290" s="525" t="str">
        <f t="shared" si="75"/>
        <v>n.a.</v>
      </c>
      <c r="K290" s="525" t="str">
        <f t="shared" si="75"/>
        <v>n.a.</v>
      </c>
      <c r="L290" s="525" t="str">
        <f t="shared" si="76"/>
        <v>n.a.</v>
      </c>
      <c r="M290" s="525" t="str">
        <f t="shared" si="76"/>
        <v>n.a.</v>
      </c>
      <c r="N290" s="525" t="str">
        <f t="shared" si="76"/>
        <v>n.a.</v>
      </c>
      <c r="O290" s="525" t="str">
        <f t="shared" si="76"/>
        <v>n.a.</v>
      </c>
      <c r="P290" s="525" t="str">
        <f t="shared" si="76"/>
        <v>n.a.</v>
      </c>
      <c r="Q290" s="525" t="str">
        <f t="shared" si="76"/>
        <v>n.a.</v>
      </c>
      <c r="R290" s="525" t="str">
        <f t="shared" si="76"/>
        <v>n.a.</v>
      </c>
      <c r="S290" s="525" t="str">
        <f t="shared" si="76"/>
        <v>n.a.</v>
      </c>
    </row>
    <row r="291" spans="1:19" s="110" customFormat="1" x14ac:dyDescent="0.25">
      <c r="A291" s="785">
        <v>158</v>
      </c>
      <c r="B291" s="525" t="str">
        <f t="shared" si="75"/>
        <v>n.a.</v>
      </c>
      <c r="C291" s="525" t="str">
        <f t="shared" si="75"/>
        <v>n.a.</v>
      </c>
      <c r="D291" s="525" t="str">
        <f t="shared" si="75"/>
        <v>n.a.</v>
      </c>
      <c r="E291" s="525" t="str">
        <f t="shared" si="75"/>
        <v>n.a.</v>
      </c>
      <c r="F291" s="525" t="str">
        <f t="shared" si="75"/>
        <v>72193290</v>
      </c>
      <c r="G291" s="525" t="str">
        <f t="shared" si="75"/>
        <v>n.a.</v>
      </c>
      <c r="H291" s="525" t="str">
        <f t="shared" si="75"/>
        <v>n.a.</v>
      </c>
      <c r="I291" s="525" t="str">
        <f t="shared" si="75"/>
        <v>n.a.</v>
      </c>
      <c r="J291" s="525" t="str">
        <f t="shared" si="75"/>
        <v>n.a.</v>
      </c>
      <c r="K291" s="525" t="str">
        <f t="shared" si="75"/>
        <v>n.a.</v>
      </c>
      <c r="L291" s="525" t="str">
        <f t="shared" si="76"/>
        <v>n.a.</v>
      </c>
      <c r="M291" s="525" t="str">
        <f t="shared" si="76"/>
        <v>n.a.</v>
      </c>
      <c r="N291" s="525" t="str">
        <f t="shared" si="76"/>
        <v>n.a.</v>
      </c>
      <c r="O291" s="525" t="str">
        <f t="shared" si="76"/>
        <v>n.a.</v>
      </c>
      <c r="P291" s="525" t="str">
        <f t="shared" si="76"/>
        <v>n.a.</v>
      </c>
      <c r="Q291" s="525" t="str">
        <f t="shared" si="76"/>
        <v>n.a.</v>
      </c>
      <c r="R291" s="525" t="str">
        <f t="shared" si="76"/>
        <v>n.a.</v>
      </c>
      <c r="S291" s="525" t="str">
        <f t="shared" si="76"/>
        <v>n.a.</v>
      </c>
    </row>
    <row r="292" spans="1:19" s="110" customFormat="1" x14ac:dyDescent="0.25">
      <c r="A292" s="785">
        <v>159</v>
      </c>
      <c r="B292" s="525" t="str">
        <f t="shared" si="75"/>
        <v>n.a.</v>
      </c>
      <c r="C292" s="525" t="str">
        <f t="shared" si="75"/>
        <v>n.a.</v>
      </c>
      <c r="D292" s="525" t="str">
        <f t="shared" si="75"/>
        <v>n.a.</v>
      </c>
      <c r="E292" s="525" t="str">
        <f t="shared" si="75"/>
        <v>n.a.</v>
      </c>
      <c r="F292" s="525" t="str">
        <f t="shared" si="75"/>
        <v>72193310</v>
      </c>
      <c r="G292" s="525" t="str">
        <f t="shared" si="75"/>
        <v>n.a.</v>
      </c>
      <c r="H292" s="525" t="str">
        <f t="shared" si="75"/>
        <v>n.a.</v>
      </c>
      <c r="I292" s="525" t="str">
        <f t="shared" si="75"/>
        <v>n.a.</v>
      </c>
      <c r="J292" s="525" t="str">
        <f t="shared" si="75"/>
        <v>n.a.</v>
      </c>
      <c r="K292" s="525" t="str">
        <f t="shared" si="75"/>
        <v>n.a.</v>
      </c>
      <c r="L292" s="525" t="str">
        <f t="shared" si="76"/>
        <v>n.a.</v>
      </c>
      <c r="M292" s="525" t="str">
        <f t="shared" si="76"/>
        <v>n.a.</v>
      </c>
      <c r="N292" s="525" t="str">
        <f t="shared" si="76"/>
        <v>n.a.</v>
      </c>
      <c r="O292" s="525" t="str">
        <f t="shared" si="76"/>
        <v>n.a.</v>
      </c>
      <c r="P292" s="525" t="str">
        <f t="shared" si="76"/>
        <v>n.a.</v>
      </c>
      <c r="Q292" s="525" t="str">
        <f t="shared" si="76"/>
        <v>n.a.</v>
      </c>
      <c r="R292" s="525" t="str">
        <f t="shared" si="76"/>
        <v>n.a.</v>
      </c>
      <c r="S292" s="525" t="str">
        <f t="shared" si="76"/>
        <v>n.a.</v>
      </c>
    </row>
    <row r="293" spans="1:19" s="110" customFormat="1" x14ac:dyDescent="0.25">
      <c r="A293" s="785">
        <v>160</v>
      </c>
      <c r="B293" s="525" t="str">
        <f t="shared" si="75"/>
        <v>n.a.</v>
      </c>
      <c r="C293" s="525" t="str">
        <f t="shared" si="75"/>
        <v>n.a.</v>
      </c>
      <c r="D293" s="525" t="str">
        <f t="shared" si="75"/>
        <v>n.a.</v>
      </c>
      <c r="E293" s="525" t="str">
        <f t="shared" si="75"/>
        <v>n.a.</v>
      </c>
      <c r="F293" s="525" t="str">
        <f t="shared" si="75"/>
        <v>72193390</v>
      </c>
      <c r="G293" s="525" t="str">
        <f t="shared" si="75"/>
        <v>n.a.</v>
      </c>
      <c r="H293" s="525" t="str">
        <f t="shared" si="75"/>
        <v>n.a.</v>
      </c>
      <c r="I293" s="525" t="str">
        <f t="shared" si="75"/>
        <v>n.a.</v>
      </c>
      <c r="J293" s="525" t="str">
        <f t="shared" si="75"/>
        <v>n.a.</v>
      </c>
      <c r="K293" s="525" t="str">
        <f t="shared" si="75"/>
        <v>n.a.</v>
      </c>
      <c r="L293" s="525" t="str">
        <f t="shared" si="76"/>
        <v>n.a.</v>
      </c>
      <c r="M293" s="525" t="str">
        <f t="shared" si="76"/>
        <v>n.a.</v>
      </c>
      <c r="N293" s="525" t="str">
        <f t="shared" si="76"/>
        <v>n.a.</v>
      </c>
      <c r="O293" s="525" t="str">
        <f t="shared" si="76"/>
        <v>n.a.</v>
      </c>
      <c r="P293" s="525" t="str">
        <f t="shared" si="76"/>
        <v>n.a.</v>
      </c>
      <c r="Q293" s="525" t="str">
        <f t="shared" si="76"/>
        <v>n.a.</v>
      </c>
      <c r="R293" s="525" t="str">
        <f t="shared" si="76"/>
        <v>n.a.</v>
      </c>
      <c r="S293" s="525" t="str">
        <f t="shared" si="76"/>
        <v>n.a.</v>
      </c>
    </row>
    <row r="294" spans="1:19" s="110" customFormat="1" x14ac:dyDescent="0.25">
      <c r="A294" s="785">
        <v>161</v>
      </c>
      <c r="B294" s="525" t="str">
        <f t="shared" ref="B294:K303" si="77">IFERROR(INDEX(CNCodes_ListKey,MATCH($A294&amp;"_"&amp;B$132,CNCodes_ListNumbering,0)),CONST_NA)</f>
        <v>n.a.</v>
      </c>
      <c r="C294" s="525" t="str">
        <f t="shared" si="77"/>
        <v>n.a.</v>
      </c>
      <c r="D294" s="525" t="str">
        <f t="shared" si="77"/>
        <v>n.a.</v>
      </c>
      <c r="E294" s="525" t="str">
        <f t="shared" si="77"/>
        <v>n.a.</v>
      </c>
      <c r="F294" s="525" t="str">
        <f t="shared" si="77"/>
        <v>72193410</v>
      </c>
      <c r="G294" s="525" t="str">
        <f t="shared" si="77"/>
        <v>n.a.</v>
      </c>
      <c r="H294" s="525" t="str">
        <f t="shared" si="77"/>
        <v>n.a.</v>
      </c>
      <c r="I294" s="525" t="str">
        <f t="shared" si="77"/>
        <v>n.a.</v>
      </c>
      <c r="J294" s="525" t="str">
        <f t="shared" si="77"/>
        <v>n.a.</v>
      </c>
      <c r="K294" s="525" t="str">
        <f t="shared" si="77"/>
        <v>n.a.</v>
      </c>
      <c r="L294" s="525" t="str">
        <f t="shared" ref="L294:S303" si="78">IFERROR(INDEX(CNCodes_ListKey,MATCH($A294&amp;"_"&amp;L$132,CNCodes_ListNumbering,0)),CONST_NA)</f>
        <v>n.a.</v>
      </c>
      <c r="M294" s="525" t="str">
        <f t="shared" si="78"/>
        <v>n.a.</v>
      </c>
      <c r="N294" s="525" t="str">
        <f t="shared" si="78"/>
        <v>n.a.</v>
      </c>
      <c r="O294" s="525" t="str">
        <f t="shared" si="78"/>
        <v>n.a.</v>
      </c>
      <c r="P294" s="525" t="str">
        <f t="shared" si="78"/>
        <v>n.a.</v>
      </c>
      <c r="Q294" s="525" t="str">
        <f t="shared" si="78"/>
        <v>n.a.</v>
      </c>
      <c r="R294" s="525" t="str">
        <f t="shared" si="78"/>
        <v>n.a.</v>
      </c>
      <c r="S294" s="525" t="str">
        <f t="shared" si="78"/>
        <v>n.a.</v>
      </c>
    </row>
    <row r="295" spans="1:19" s="110" customFormat="1" x14ac:dyDescent="0.25">
      <c r="A295" s="785">
        <v>162</v>
      </c>
      <c r="B295" s="525" t="str">
        <f t="shared" si="77"/>
        <v>n.a.</v>
      </c>
      <c r="C295" s="525" t="str">
        <f t="shared" si="77"/>
        <v>n.a.</v>
      </c>
      <c r="D295" s="525" t="str">
        <f t="shared" si="77"/>
        <v>n.a.</v>
      </c>
      <c r="E295" s="525" t="str">
        <f t="shared" si="77"/>
        <v>n.a.</v>
      </c>
      <c r="F295" s="525" t="str">
        <f t="shared" si="77"/>
        <v>72193490</v>
      </c>
      <c r="G295" s="525" t="str">
        <f t="shared" si="77"/>
        <v>n.a.</v>
      </c>
      <c r="H295" s="525" t="str">
        <f t="shared" si="77"/>
        <v>n.a.</v>
      </c>
      <c r="I295" s="525" t="str">
        <f t="shared" si="77"/>
        <v>n.a.</v>
      </c>
      <c r="J295" s="525" t="str">
        <f t="shared" si="77"/>
        <v>n.a.</v>
      </c>
      <c r="K295" s="525" t="str">
        <f t="shared" si="77"/>
        <v>n.a.</v>
      </c>
      <c r="L295" s="525" t="str">
        <f t="shared" si="78"/>
        <v>n.a.</v>
      </c>
      <c r="M295" s="525" t="str">
        <f t="shared" si="78"/>
        <v>n.a.</v>
      </c>
      <c r="N295" s="525" t="str">
        <f t="shared" si="78"/>
        <v>n.a.</v>
      </c>
      <c r="O295" s="525" t="str">
        <f t="shared" si="78"/>
        <v>n.a.</v>
      </c>
      <c r="P295" s="525" t="str">
        <f t="shared" si="78"/>
        <v>n.a.</v>
      </c>
      <c r="Q295" s="525" t="str">
        <f t="shared" si="78"/>
        <v>n.a.</v>
      </c>
      <c r="R295" s="525" t="str">
        <f t="shared" si="78"/>
        <v>n.a.</v>
      </c>
      <c r="S295" s="525" t="str">
        <f t="shared" si="78"/>
        <v>n.a.</v>
      </c>
    </row>
    <row r="296" spans="1:19" s="110" customFormat="1" x14ac:dyDescent="0.25">
      <c r="A296" s="785">
        <v>163</v>
      </c>
      <c r="B296" s="525" t="str">
        <f t="shared" si="77"/>
        <v>n.a.</v>
      </c>
      <c r="C296" s="525" t="str">
        <f t="shared" si="77"/>
        <v>n.a.</v>
      </c>
      <c r="D296" s="525" t="str">
        <f t="shared" si="77"/>
        <v>n.a.</v>
      </c>
      <c r="E296" s="525" t="str">
        <f t="shared" si="77"/>
        <v>n.a.</v>
      </c>
      <c r="F296" s="525" t="str">
        <f t="shared" si="77"/>
        <v>72193510</v>
      </c>
      <c r="G296" s="525" t="str">
        <f t="shared" si="77"/>
        <v>n.a.</v>
      </c>
      <c r="H296" s="525" t="str">
        <f t="shared" si="77"/>
        <v>n.a.</v>
      </c>
      <c r="I296" s="525" t="str">
        <f t="shared" si="77"/>
        <v>n.a.</v>
      </c>
      <c r="J296" s="525" t="str">
        <f t="shared" si="77"/>
        <v>n.a.</v>
      </c>
      <c r="K296" s="525" t="str">
        <f t="shared" si="77"/>
        <v>n.a.</v>
      </c>
      <c r="L296" s="525" t="str">
        <f t="shared" si="78"/>
        <v>n.a.</v>
      </c>
      <c r="M296" s="525" t="str">
        <f t="shared" si="78"/>
        <v>n.a.</v>
      </c>
      <c r="N296" s="525" t="str">
        <f t="shared" si="78"/>
        <v>n.a.</v>
      </c>
      <c r="O296" s="525" t="str">
        <f t="shared" si="78"/>
        <v>n.a.</v>
      </c>
      <c r="P296" s="525" t="str">
        <f t="shared" si="78"/>
        <v>n.a.</v>
      </c>
      <c r="Q296" s="525" t="str">
        <f t="shared" si="78"/>
        <v>n.a.</v>
      </c>
      <c r="R296" s="525" t="str">
        <f t="shared" si="78"/>
        <v>n.a.</v>
      </c>
      <c r="S296" s="525" t="str">
        <f t="shared" si="78"/>
        <v>n.a.</v>
      </c>
    </row>
    <row r="297" spans="1:19" s="110" customFormat="1" x14ac:dyDescent="0.25">
      <c r="A297" s="785">
        <v>164</v>
      </c>
      <c r="B297" s="525" t="str">
        <f t="shared" si="77"/>
        <v>n.a.</v>
      </c>
      <c r="C297" s="525" t="str">
        <f t="shared" si="77"/>
        <v>n.a.</v>
      </c>
      <c r="D297" s="525" t="str">
        <f t="shared" si="77"/>
        <v>n.a.</v>
      </c>
      <c r="E297" s="525" t="str">
        <f t="shared" si="77"/>
        <v>n.a.</v>
      </c>
      <c r="F297" s="525" t="str">
        <f t="shared" si="77"/>
        <v>72193590</v>
      </c>
      <c r="G297" s="525" t="str">
        <f t="shared" si="77"/>
        <v>n.a.</v>
      </c>
      <c r="H297" s="525" t="str">
        <f t="shared" si="77"/>
        <v>n.a.</v>
      </c>
      <c r="I297" s="525" t="str">
        <f t="shared" si="77"/>
        <v>n.a.</v>
      </c>
      <c r="J297" s="525" t="str">
        <f t="shared" si="77"/>
        <v>n.a.</v>
      </c>
      <c r="K297" s="525" t="str">
        <f t="shared" si="77"/>
        <v>n.a.</v>
      </c>
      <c r="L297" s="525" t="str">
        <f t="shared" si="78"/>
        <v>n.a.</v>
      </c>
      <c r="M297" s="525" t="str">
        <f t="shared" si="78"/>
        <v>n.a.</v>
      </c>
      <c r="N297" s="525" t="str">
        <f t="shared" si="78"/>
        <v>n.a.</v>
      </c>
      <c r="O297" s="525" t="str">
        <f t="shared" si="78"/>
        <v>n.a.</v>
      </c>
      <c r="P297" s="525" t="str">
        <f t="shared" si="78"/>
        <v>n.a.</v>
      </c>
      <c r="Q297" s="525" t="str">
        <f t="shared" si="78"/>
        <v>n.a.</v>
      </c>
      <c r="R297" s="525" t="str">
        <f t="shared" si="78"/>
        <v>n.a.</v>
      </c>
      <c r="S297" s="525" t="str">
        <f t="shared" si="78"/>
        <v>n.a.</v>
      </c>
    </row>
    <row r="298" spans="1:19" s="110" customFormat="1" x14ac:dyDescent="0.25">
      <c r="A298" s="785">
        <v>165</v>
      </c>
      <c r="B298" s="525" t="str">
        <f t="shared" si="77"/>
        <v>n.a.</v>
      </c>
      <c r="C298" s="525" t="str">
        <f t="shared" si="77"/>
        <v>n.a.</v>
      </c>
      <c r="D298" s="525" t="str">
        <f t="shared" si="77"/>
        <v>n.a.</v>
      </c>
      <c r="E298" s="525" t="str">
        <f t="shared" si="77"/>
        <v>n.a.</v>
      </c>
      <c r="F298" s="525" t="str">
        <f t="shared" si="77"/>
        <v>72199020</v>
      </c>
      <c r="G298" s="525" t="str">
        <f t="shared" si="77"/>
        <v>n.a.</v>
      </c>
      <c r="H298" s="525" t="str">
        <f t="shared" si="77"/>
        <v>n.a.</v>
      </c>
      <c r="I298" s="525" t="str">
        <f t="shared" si="77"/>
        <v>n.a.</v>
      </c>
      <c r="J298" s="525" t="str">
        <f t="shared" si="77"/>
        <v>n.a.</v>
      </c>
      <c r="K298" s="525" t="str">
        <f t="shared" si="77"/>
        <v>n.a.</v>
      </c>
      <c r="L298" s="525" t="str">
        <f t="shared" si="78"/>
        <v>n.a.</v>
      </c>
      <c r="M298" s="525" t="str">
        <f t="shared" si="78"/>
        <v>n.a.</v>
      </c>
      <c r="N298" s="525" t="str">
        <f t="shared" si="78"/>
        <v>n.a.</v>
      </c>
      <c r="O298" s="525" t="str">
        <f t="shared" si="78"/>
        <v>n.a.</v>
      </c>
      <c r="P298" s="525" t="str">
        <f t="shared" si="78"/>
        <v>n.a.</v>
      </c>
      <c r="Q298" s="525" t="str">
        <f t="shared" si="78"/>
        <v>n.a.</v>
      </c>
      <c r="R298" s="525" t="str">
        <f t="shared" si="78"/>
        <v>n.a.</v>
      </c>
      <c r="S298" s="525" t="str">
        <f t="shared" si="78"/>
        <v>n.a.</v>
      </c>
    </row>
    <row r="299" spans="1:19" s="110" customFormat="1" x14ac:dyDescent="0.25">
      <c r="A299" s="785">
        <v>166</v>
      </c>
      <c r="B299" s="525" t="str">
        <f t="shared" si="77"/>
        <v>n.a.</v>
      </c>
      <c r="C299" s="525" t="str">
        <f t="shared" si="77"/>
        <v>n.a.</v>
      </c>
      <c r="D299" s="525" t="str">
        <f t="shared" si="77"/>
        <v>n.a.</v>
      </c>
      <c r="E299" s="525" t="str">
        <f t="shared" si="77"/>
        <v>n.a.</v>
      </c>
      <c r="F299" s="525" t="str">
        <f t="shared" si="77"/>
        <v>72199080</v>
      </c>
      <c r="G299" s="525" t="str">
        <f t="shared" si="77"/>
        <v>n.a.</v>
      </c>
      <c r="H299" s="525" t="str">
        <f t="shared" si="77"/>
        <v>n.a.</v>
      </c>
      <c r="I299" s="525" t="str">
        <f t="shared" si="77"/>
        <v>n.a.</v>
      </c>
      <c r="J299" s="525" t="str">
        <f t="shared" si="77"/>
        <v>n.a.</v>
      </c>
      <c r="K299" s="525" t="str">
        <f t="shared" si="77"/>
        <v>n.a.</v>
      </c>
      <c r="L299" s="525" t="str">
        <f t="shared" si="78"/>
        <v>n.a.</v>
      </c>
      <c r="M299" s="525" t="str">
        <f t="shared" si="78"/>
        <v>n.a.</v>
      </c>
      <c r="N299" s="525" t="str">
        <f t="shared" si="78"/>
        <v>n.a.</v>
      </c>
      <c r="O299" s="525" t="str">
        <f t="shared" si="78"/>
        <v>n.a.</v>
      </c>
      <c r="P299" s="525" t="str">
        <f t="shared" si="78"/>
        <v>n.a.</v>
      </c>
      <c r="Q299" s="525" t="str">
        <f t="shared" si="78"/>
        <v>n.a.</v>
      </c>
      <c r="R299" s="525" t="str">
        <f t="shared" si="78"/>
        <v>n.a.</v>
      </c>
      <c r="S299" s="525" t="str">
        <f t="shared" si="78"/>
        <v>n.a.</v>
      </c>
    </row>
    <row r="300" spans="1:19" s="110" customFormat="1" x14ac:dyDescent="0.25">
      <c r="A300" s="785">
        <v>167</v>
      </c>
      <c r="B300" s="525" t="str">
        <f t="shared" si="77"/>
        <v>n.a.</v>
      </c>
      <c r="C300" s="525" t="str">
        <f t="shared" si="77"/>
        <v>n.a.</v>
      </c>
      <c r="D300" s="525" t="str">
        <f t="shared" si="77"/>
        <v>n.a.</v>
      </c>
      <c r="E300" s="525" t="str">
        <f t="shared" si="77"/>
        <v>n.a.</v>
      </c>
      <c r="F300" s="525" t="str">
        <f t="shared" si="77"/>
        <v>72201100</v>
      </c>
      <c r="G300" s="525" t="str">
        <f t="shared" si="77"/>
        <v>n.a.</v>
      </c>
      <c r="H300" s="525" t="str">
        <f t="shared" si="77"/>
        <v>n.a.</v>
      </c>
      <c r="I300" s="525" t="str">
        <f t="shared" si="77"/>
        <v>n.a.</v>
      </c>
      <c r="J300" s="525" t="str">
        <f t="shared" si="77"/>
        <v>n.a.</v>
      </c>
      <c r="K300" s="525" t="str">
        <f t="shared" si="77"/>
        <v>n.a.</v>
      </c>
      <c r="L300" s="525" t="str">
        <f t="shared" si="78"/>
        <v>n.a.</v>
      </c>
      <c r="M300" s="525" t="str">
        <f t="shared" si="78"/>
        <v>n.a.</v>
      </c>
      <c r="N300" s="525" t="str">
        <f t="shared" si="78"/>
        <v>n.a.</v>
      </c>
      <c r="O300" s="525" t="str">
        <f t="shared" si="78"/>
        <v>n.a.</v>
      </c>
      <c r="P300" s="525" t="str">
        <f t="shared" si="78"/>
        <v>n.a.</v>
      </c>
      <c r="Q300" s="525" t="str">
        <f t="shared" si="78"/>
        <v>n.a.</v>
      </c>
      <c r="R300" s="525" t="str">
        <f t="shared" si="78"/>
        <v>n.a.</v>
      </c>
      <c r="S300" s="525" t="str">
        <f t="shared" si="78"/>
        <v>n.a.</v>
      </c>
    </row>
    <row r="301" spans="1:19" s="110" customFormat="1" x14ac:dyDescent="0.25">
      <c r="A301" s="785">
        <v>168</v>
      </c>
      <c r="B301" s="525" t="str">
        <f t="shared" si="77"/>
        <v>n.a.</v>
      </c>
      <c r="C301" s="525" t="str">
        <f t="shared" si="77"/>
        <v>n.a.</v>
      </c>
      <c r="D301" s="525" t="str">
        <f t="shared" si="77"/>
        <v>n.a.</v>
      </c>
      <c r="E301" s="525" t="str">
        <f t="shared" si="77"/>
        <v>n.a.</v>
      </c>
      <c r="F301" s="525" t="str">
        <f t="shared" si="77"/>
        <v>72201200</v>
      </c>
      <c r="G301" s="525" t="str">
        <f t="shared" si="77"/>
        <v>n.a.</v>
      </c>
      <c r="H301" s="525" t="str">
        <f t="shared" si="77"/>
        <v>n.a.</v>
      </c>
      <c r="I301" s="525" t="str">
        <f t="shared" si="77"/>
        <v>n.a.</v>
      </c>
      <c r="J301" s="525" t="str">
        <f t="shared" si="77"/>
        <v>n.a.</v>
      </c>
      <c r="K301" s="525" t="str">
        <f t="shared" si="77"/>
        <v>n.a.</v>
      </c>
      <c r="L301" s="525" t="str">
        <f t="shared" si="78"/>
        <v>n.a.</v>
      </c>
      <c r="M301" s="525" t="str">
        <f t="shared" si="78"/>
        <v>n.a.</v>
      </c>
      <c r="N301" s="525" t="str">
        <f t="shared" si="78"/>
        <v>n.a.</v>
      </c>
      <c r="O301" s="525" t="str">
        <f t="shared" si="78"/>
        <v>n.a.</v>
      </c>
      <c r="P301" s="525" t="str">
        <f t="shared" si="78"/>
        <v>n.a.</v>
      </c>
      <c r="Q301" s="525" t="str">
        <f t="shared" si="78"/>
        <v>n.a.</v>
      </c>
      <c r="R301" s="525" t="str">
        <f t="shared" si="78"/>
        <v>n.a.</v>
      </c>
      <c r="S301" s="525" t="str">
        <f t="shared" si="78"/>
        <v>n.a.</v>
      </c>
    </row>
    <row r="302" spans="1:19" s="110" customFormat="1" x14ac:dyDescent="0.25">
      <c r="A302" s="785">
        <v>169</v>
      </c>
      <c r="B302" s="525" t="str">
        <f t="shared" si="77"/>
        <v>n.a.</v>
      </c>
      <c r="C302" s="525" t="str">
        <f t="shared" si="77"/>
        <v>n.a.</v>
      </c>
      <c r="D302" s="525" t="str">
        <f t="shared" si="77"/>
        <v>n.a.</v>
      </c>
      <c r="E302" s="525" t="str">
        <f t="shared" si="77"/>
        <v>n.a.</v>
      </c>
      <c r="F302" s="525" t="str">
        <f t="shared" si="77"/>
        <v>72202021</v>
      </c>
      <c r="G302" s="525" t="str">
        <f t="shared" si="77"/>
        <v>n.a.</v>
      </c>
      <c r="H302" s="525" t="str">
        <f t="shared" si="77"/>
        <v>n.a.</v>
      </c>
      <c r="I302" s="525" t="str">
        <f t="shared" si="77"/>
        <v>n.a.</v>
      </c>
      <c r="J302" s="525" t="str">
        <f t="shared" si="77"/>
        <v>n.a.</v>
      </c>
      <c r="K302" s="525" t="str">
        <f t="shared" si="77"/>
        <v>n.a.</v>
      </c>
      <c r="L302" s="525" t="str">
        <f t="shared" si="78"/>
        <v>n.a.</v>
      </c>
      <c r="M302" s="525" t="str">
        <f t="shared" si="78"/>
        <v>n.a.</v>
      </c>
      <c r="N302" s="525" t="str">
        <f t="shared" si="78"/>
        <v>n.a.</v>
      </c>
      <c r="O302" s="525" t="str">
        <f t="shared" si="78"/>
        <v>n.a.</v>
      </c>
      <c r="P302" s="525" t="str">
        <f t="shared" si="78"/>
        <v>n.a.</v>
      </c>
      <c r="Q302" s="525" t="str">
        <f t="shared" si="78"/>
        <v>n.a.</v>
      </c>
      <c r="R302" s="525" t="str">
        <f t="shared" si="78"/>
        <v>n.a.</v>
      </c>
      <c r="S302" s="525" t="str">
        <f t="shared" si="78"/>
        <v>n.a.</v>
      </c>
    </row>
    <row r="303" spans="1:19" s="110" customFormat="1" x14ac:dyDescent="0.25">
      <c r="A303" s="785">
        <v>170</v>
      </c>
      <c r="B303" s="525" t="str">
        <f t="shared" si="77"/>
        <v>n.a.</v>
      </c>
      <c r="C303" s="525" t="str">
        <f t="shared" si="77"/>
        <v>n.a.</v>
      </c>
      <c r="D303" s="525" t="str">
        <f t="shared" si="77"/>
        <v>n.a.</v>
      </c>
      <c r="E303" s="525" t="str">
        <f t="shared" si="77"/>
        <v>n.a.</v>
      </c>
      <c r="F303" s="525" t="str">
        <f t="shared" si="77"/>
        <v>72202029</v>
      </c>
      <c r="G303" s="525" t="str">
        <f t="shared" si="77"/>
        <v>n.a.</v>
      </c>
      <c r="H303" s="525" t="str">
        <f t="shared" si="77"/>
        <v>n.a.</v>
      </c>
      <c r="I303" s="525" t="str">
        <f t="shared" si="77"/>
        <v>n.a.</v>
      </c>
      <c r="J303" s="525" t="str">
        <f t="shared" si="77"/>
        <v>n.a.</v>
      </c>
      <c r="K303" s="525" t="str">
        <f t="shared" si="77"/>
        <v>n.a.</v>
      </c>
      <c r="L303" s="525" t="str">
        <f t="shared" si="78"/>
        <v>n.a.</v>
      </c>
      <c r="M303" s="525" t="str">
        <f t="shared" si="78"/>
        <v>n.a.</v>
      </c>
      <c r="N303" s="525" t="str">
        <f t="shared" si="78"/>
        <v>n.a.</v>
      </c>
      <c r="O303" s="525" t="str">
        <f t="shared" si="78"/>
        <v>n.a.</v>
      </c>
      <c r="P303" s="525" t="str">
        <f t="shared" si="78"/>
        <v>n.a.</v>
      </c>
      <c r="Q303" s="525" t="str">
        <f t="shared" si="78"/>
        <v>n.a.</v>
      </c>
      <c r="R303" s="525" t="str">
        <f t="shared" si="78"/>
        <v>n.a.</v>
      </c>
      <c r="S303" s="525" t="str">
        <f t="shared" si="78"/>
        <v>n.a.</v>
      </c>
    </row>
    <row r="304" spans="1:19" s="110" customFormat="1" x14ac:dyDescent="0.25">
      <c r="A304" s="785">
        <v>171</v>
      </c>
      <c r="B304" s="525" t="str">
        <f t="shared" ref="B304:K313" si="79">IFERROR(INDEX(CNCodes_ListKey,MATCH($A304&amp;"_"&amp;B$132,CNCodes_ListNumbering,0)),CONST_NA)</f>
        <v>n.a.</v>
      </c>
      <c r="C304" s="525" t="str">
        <f t="shared" si="79"/>
        <v>n.a.</v>
      </c>
      <c r="D304" s="525" t="str">
        <f t="shared" si="79"/>
        <v>n.a.</v>
      </c>
      <c r="E304" s="525" t="str">
        <f t="shared" si="79"/>
        <v>n.a.</v>
      </c>
      <c r="F304" s="525" t="str">
        <f t="shared" si="79"/>
        <v>72202041</v>
      </c>
      <c r="G304" s="525" t="str">
        <f t="shared" si="79"/>
        <v>n.a.</v>
      </c>
      <c r="H304" s="525" t="str">
        <f t="shared" si="79"/>
        <v>n.a.</v>
      </c>
      <c r="I304" s="525" t="str">
        <f t="shared" si="79"/>
        <v>n.a.</v>
      </c>
      <c r="J304" s="525" t="str">
        <f t="shared" si="79"/>
        <v>n.a.</v>
      </c>
      <c r="K304" s="525" t="str">
        <f t="shared" si="79"/>
        <v>n.a.</v>
      </c>
      <c r="L304" s="525" t="str">
        <f t="shared" ref="L304:S313" si="80">IFERROR(INDEX(CNCodes_ListKey,MATCH($A304&amp;"_"&amp;L$132,CNCodes_ListNumbering,0)),CONST_NA)</f>
        <v>n.a.</v>
      </c>
      <c r="M304" s="525" t="str">
        <f t="shared" si="80"/>
        <v>n.a.</v>
      </c>
      <c r="N304" s="525" t="str">
        <f t="shared" si="80"/>
        <v>n.a.</v>
      </c>
      <c r="O304" s="525" t="str">
        <f t="shared" si="80"/>
        <v>n.a.</v>
      </c>
      <c r="P304" s="525" t="str">
        <f t="shared" si="80"/>
        <v>n.a.</v>
      </c>
      <c r="Q304" s="525" t="str">
        <f t="shared" si="80"/>
        <v>n.a.</v>
      </c>
      <c r="R304" s="525" t="str">
        <f t="shared" si="80"/>
        <v>n.a.</v>
      </c>
      <c r="S304" s="525" t="str">
        <f t="shared" si="80"/>
        <v>n.a.</v>
      </c>
    </row>
    <row r="305" spans="1:19" s="110" customFormat="1" x14ac:dyDescent="0.25">
      <c r="A305" s="785">
        <v>172</v>
      </c>
      <c r="B305" s="525" t="str">
        <f t="shared" si="79"/>
        <v>n.a.</v>
      </c>
      <c r="C305" s="525" t="str">
        <f t="shared" si="79"/>
        <v>n.a.</v>
      </c>
      <c r="D305" s="525" t="str">
        <f t="shared" si="79"/>
        <v>n.a.</v>
      </c>
      <c r="E305" s="525" t="str">
        <f t="shared" si="79"/>
        <v>n.a.</v>
      </c>
      <c r="F305" s="525" t="str">
        <f t="shared" si="79"/>
        <v>72202049</v>
      </c>
      <c r="G305" s="525" t="str">
        <f t="shared" si="79"/>
        <v>n.a.</v>
      </c>
      <c r="H305" s="525" t="str">
        <f t="shared" si="79"/>
        <v>n.a.</v>
      </c>
      <c r="I305" s="525" t="str">
        <f t="shared" si="79"/>
        <v>n.a.</v>
      </c>
      <c r="J305" s="525" t="str">
        <f t="shared" si="79"/>
        <v>n.a.</v>
      </c>
      <c r="K305" s="525" t="str">
        <f t="shared" si="79"/>
        <v>n.a.</v>
      </c>
      <c r="L305" s="525" t="str">
        <f t="shared" si="80"/>
        <v>n.a.</v>
      </c>
      <c r="M305" s="525" t="str">
        <f t="shared" si="80"/>
        <v>n.a.</v>
      </c>
      <c r="N305" s="525" t="str">
        <f t="shared" si="80"/>
        <v>n.a.</v>
      </c>
      <c r="O305" s="525" t="str">
        <f t="shared" si="80"/>
        <v>n.a.</v>
      </c>
      <c r="P305" s="525" t="str">
        <f t="shared" si="80"/>
        <v>n.a.</v>
      </c>
      <c r="Q305" s="525" t="str">
        <f t="shared" si="80"/>
        <v>n.a.</v>
      </c>
      <c r="R305" s="525" t="str">
        <f t="shared" si="80"/>
        <v>n.a.</v>
      </c>
      <c r="S305" s="525" t="str">
        <f t="shared" si="80"/>
        <v>n.a.</v>
      </c>
    </row>
    <row r="306" spans="1:19" s="110" customFormat="1" x14ac:dyDescent="0.25">
      <c r="A306" s="785">
        <v>173</v>
      </c>
      <c r="B306" s="525" t="str">
        <f t="shared" si="79"/>
        <v>n.a.</v>
      </c>
      <c r="C306" s="525" t="str">
        <f t="shared" si="79"/>
        <v>n.a.</v>
      </c>
      <c r="D306" s="525" t="str">
        <f t="shared" si="79"/>
        <v>n.a.</v>
      </c>
      <c r="E306" s="525" t="str">
        <f t="shared" si="79"/>
        <v>n.a.</v>
      </c>
      <c r="F306" s="525" t="str">
        <f t="shared" si="79"/>
        <v>72202081</v>
      </c>
      <c r="G306" s="525" t="str">
        <f t="shared" si="79"/>
        <v>n.a.</v>
      </c>
      <c r="H306" s="525" t="str">
        <f t="shared" si="79"/>
        <v>n.a.</v>
      </c>
      <c r="I306" s="525" t="str">
        <f t="shared" si="79"/>
        <v>n.a.</v>
      </c>
      <c r="J306" s="525" t="str">
        <f t="shared" si="79"/>
        <v>n.a.</v>
      </c>
      <c r="K306" s="525" t="str">
        <f t="shared" si="79"/>
        <v>n.a.</v>
      </c>
      <c r="L306" s="525" t="str">
        <f t="shared" si="80"/>
        <v>n.a.</v>
      </c>
      <c r="M306" s="525" t="str">
        <f t="shared" si="80"/>
        <v>n.a.</v>
      </c>
      <c r="N306" s="525" t="str">
        <f t="shared" si="80"/>
        <v>n.a.</v>
      </c>
      <c r="O306" s="525" t="str">
        <f t="shared" si="80"/>
        <v>n.a.</v>
      </c>
      <c r="P306" s="525" t="str">
        <f t="shared" si="80"/>
        <v>n.a.</v>
      </c>
      <c r="Q306" s="525" t="str">
        <f t="shared" si="80"/>
        <v>n.a.</v>
      </c>
      <c r="R306" s="525" t="str">
        <f t="shared" si="80"/>
        <v>n.a.</v>
      </c>
      <c r="S306" s="525" t="str">
        <f t="shared" si="80"/>
        <v>n.a.</v>
      </c>
    </row>
    <row r="307" spans="1:19" s="110" customFormat="1" x14ac:dyDescent="0.25">
      <c r="A307" s="785">
        <v>174</v>
      </c>
      <c r="B307" s="525" t="str">
        <f t="shared" si="79"/>
        <v>n.a.</v>
      </c>
      <c r="C307" s="525" t="str">
        <f t="shared" si="79"/>
        <v>n.a.</v>
      </c>
      <c r="D307" s="525" t="str">
        <f t="shared" si="79"/>
        <v>n.a.</v>
      </c>
      <c r="E307" s="525" t="str">
        <f t="shared" si="79"/>
        <v>n.a.</v>
      </c>
      <c r="F307" s="525" t="str">
        <f t="shared" si="79"/>
        <v>72202089</v>
      </c>
      <c r="G307" s="525" t="str">
        <f t="shared" si="79"/>
        <v>n.a.</v>
      </c>
      <c r="H307" s="525" t="str">
        <f t="shared" si="79"/>
        <v>n.a.</v>
      </c>
      <c r="I307" s="525" t="str">
        <f t="shared" si="79"/>
        <v>n.a.</v>
      </c>
      <c r="J307" s="525" t="str">
        <f t="shared" si="79"/>
        <v>n.a.</v>
      </c>
      <c r="K307" s="525" t="str">
        <f t="shared" si="79"/>
        <v>n.a.</v>
      </c>
      <c r="L307" s="525" t="str">
        <f t="shared" si="80"/>
        <v>n.a.</v>
      </c>
      <c r="M307" s="525" t="str">
        <f t="shared" si="80"/>
        <v>n.a.</v>
      </c>
      <c r="N307" s="525" t="str">
        <f t="shared" si="80"/>
        <v>n.a.</v>
      </c>
      <c r="O307" s="525" t="str">
        <f t="shared" si="80"/>
        <v>n.a.</v>
      </c>
      <c r="P307" s="525" t="str">
        <f t="shared" si="80"/>
        <v>n.a.</v>
      </c>
      <c r="Q307" s="525" t="str">
        <f t="shared" si="80"/>
        <v>n.a.</v>
      </c>
      <c r="R307" s="525" t="str">
        <f t="shared" si="80"/>
        <v>n.a.</v>
      </c>
      <c r="S307" s="525" t="str">
        <f t="shared" si="80"/>
        <v>n.a.</v>
      </c>
    </row>
    <row r="308" spans="1:19" s="110" customFormat="1" x14ac:dyDescent="0.25">
      <c r="A308" s="785">
        <v>175</v>
      </c>
      <c r="B308" s="525" t="str">
        <f t="shared" si="79"/>
        <v>n.a.</v>
      </c>
      <c r="C308" s="525" t="str">
        <f t="shared" si="79"/>
        <v>n.a.</v>
      </c>
      <c r="D308" s="525" t="str">
        <f t="shared" si="79"/>
        <v>n.a.</v>
      </c>
      <c r="E308" s="525" t="str">
        <f t="shared" si="79"/>
        <v>n.a.</v>
      </c>
      <c r="F308" s="525" t="str">
        <f t="shared" si="79"/>
        <v>72209020</v>
      </c>
      <c r="G308" s="525" t="str">
        <f t="shared" si="79"/>
        <v>n.a.</v>
      </c>
      <c r="H308" s="525" t="str">
        <f t="shared" si="79"/>
        <v>n.a.</v>
      </c>
      <c r="I308" s="525" t="str">
        <f t="shared" si="79"/>
        <v>n.a.</v>
      </c>
      <c r="J308" s="525" t="str">
        <f t="shared" si="79"/>
        <v>n.a.</v>
      </c>
      <c r="K308" s="525" t="str">
        <f t="shared" si="79"/>
        <v>n.a.</v>
      </c>
      <c r="L308" s="525" t="str">
        <f t="shared" si="80"/>
        <v>n.a.</v>
      </c>
      <c r="M308" s="525" t="str">
        <f t="shared" si="80"/>
        <v>n.a.</v>
      </c>
      <c r="N308" s="525" t="str">
        <f t="shared" si="80"/>
        <v>n.a.</v>
      </c>
      <c r="O308" s="525" t="str">
        <f t="shared" si="80"/>
        <v>n.a.</v>
      </c>
      <c r="P308" s="525" t="str">
        <f t="shared" si="80"/>
        <v>n.a.</v>
      </c>
      <c r="Q308" s="525" t="str">
        <f t="shared" si="80"/>
        <v>n.a.</v>
      </c>
      <c r="R308" s="525" t="str">
        <f t="shared" si="80"/>
        <v>n.a.</v>
      </c>
      <c r="S308" s="525" t="str">
        <f t="shared" si="80"/>
        <v>n.a.</v>
      </c>
    </row>
    <row r="309" spans="1:19" s="110" customFormat="1" x14ac:dyDescent="0.25">
      <c r="A309" s="785">
        <v>176</v>
      </c>
      <c r="B309" s="525" t="str">
        <f t="shared" si="79"/>
        <v>n.a.</v>
      </c>
      <c r="C309" s="525" t="str">
        <f t="shared" si="79"/>
        <v>n.a.</v>
      </c>
      <c r="D309" s="525" t="str">
        <f t="shared" si="79"/>
        <v>n.a.</v>
      </c>
      <c r="E309" s="525" t="str">
        <f t="shared" si="79"/>
        <v>n.a.</v>
      </c>
      <c r="F309" s="525" t="str">
        <f t="shared" si="79"/>
        <v>72209080</v>
      </c>
      <c r="G309" s="525" t="str">
        <f t="shared" si="79"/>
        <v>n.a.</v>
      </c>
      <c r="H309" s="525" t="str">
        <f t="shared" si="79"/>
        <v>n.a.</v>
      </c>
      <c r="I309" s="525" t="str">
        <f t="shared" si="79"/>
        <v>n.a.</v>
      </c>
      <c r="J309" s="525" t="str">
        <f t="shared" si="79"/>
        <v>n.a.</v>
      </c>
      <c r="K309" s="525" t="str">
        <f t="shared" si="79"/>
        <v>n.a.</v>
      </c>
      <c r="L309" s="525" t="str">
        <f t="shared" si="80"/>
        <v>n.a.</v>
      </c>
      <c r="M309" s="525" t="str">
        <f t="shared" si="80"/>
        <v>n.a.</v>
      </c>
      <c r="N309" s="525" t="str">
        <f t="shared" si="80"/>
        <v>n.a.</v>
      </c>
      <c r="O309" s="525" t="str">
        <f t="shared" si="80"/>
        <v>n.a.</v>
      </c>
      <c r="P309" s="525" t="str">
        <f t="shared" si="80"/>
        <v>n.a.</v>
      </c>
      <c r="Q309" s="525" t="str">
        <f t="shared" si="80"/>
        <v>n.a.</v>
      </c>
      <c r="R309" s="525" t="str">
        <f t="shared" si="80"/>
        <v>n.a.</v>
      </c>
      <c r="S309" s="525" t="str">
        <f t="shared" si="80"/>
        <v>n.a.</v>
      </c>
    </row>
    <row r="310" spans="1:19" s="110" customFormat="1" x14ac:dyDescent="0.25">
      <c r="A310" s="785">
        <v>177</v>
      </c>
      <c r="B310" s="525" t="str">
        <f t="shared" si="79"/>
        <v>n.a.</v>
      </c>
      <c r="C310" s="525" t="str">
        <f t="shared" si="79"/>
        <v>n.a.</v>
      </c>
      <c r="D310" s="525" t="str">
        <f t="shared" si="79"/>
        <v>n.a.</v>
      </c>
      <c r="E310" s="525" t="str">
        <f t="shared" si="79"/>
        <v>n.a.</v>
      </c>
      <c r="F310" s="525" t="str">
        <f t="shared" si="79"/>
        <v>72210010</v>
      </c>
      <c r="G310" s="525" t="str">
        <f t="shared" si="79"/>
        <v>n.a.</v>
      </c>
      <c r="H310" s="525" t="str">
        <f t="shared" si="79"/>
        <v>n.a.</v>
      </c>
      <c r="I310" s="525" t="str">
        <f t="shared" si="79"/>
        <v>n.a.</v>
      </c>
      <c r="J310" s="525" t="str">
        <f t="shared" si="79"/>
        <v>n.a.</v>
      </c>
      <c r="K310" s="525" t="str">
        <f t="shared" si="79"/>
        <v>n.a.</v>
      </c>
      <c r="L310" s="525" t="str">
        <f t="shared" si="80"/>
        <v>n.a.</v>
      </c>
      <c r="M310" s="525" t="str">
        <f t="shared" si="80"/>
        <v>n.a.</v>
      </c>
      <c r="N310" s="525" t="str">
        <f t="shared" si="80"/>
        <v>n.a.</v>
      </c>
      <c r="O310" s="525" t="str">
        <f t="shared" si="80"/>
        <v>n.a.</v>
      </c>
      <c r="P310" s="525" t="str">
        <f t="shared" si="80"/>
        <v>n.a.</v>
      </c>
      <c r="Q310" s="525" t="str">
        <f t="shared" si="80"/>
        <v>n.a.</v>
      </c>
      <c r="R310" s="525" t="str">
        <f t="shared" si="80"/>
        <v>n.a.</v>
      </c>
      <c r="S310" s="525" t="str">
        <f t="shared" si="80"/>
        <v>n.a.</v>
      </c>
    </row>
    <row r="311" spans="1:19" s="110" customFormat="1" x14ac:dyDescent="0.25">
      <c r="A311" s="785">
        <v>178</v>
      </c>
      <c r="B311" s="525" t="str">
        <f t="shared" si="79"/>
        <v>n.a.</v>
      </c>
      <c r="C311" s="525" t="str">
        <f t="shared" si="79"/>
        <v>n.a.</v>
      </c>
      <c r="D311" s="525" t="str">
        <f t="shared" si="79"/>
        <v>n.a.</v>
      </c>
      <c r="E311" s="525" t="str">
        <f t="shared" si="79"/>
        <v>n.a.</v>
      </c>
      <c r="F311" s="525" t="str">
        <f t="shared" si="79"/>
        <v>72210090</v>
      </c>
      <c r="G311" s="525" t="str">
        <f t="shared" si="79"/>
        <v>n.a.</v>
      </c>
      <c r="H311" s="525" t="str">
        <f t="shared" si="79"/>
        <v>n.a.</v>
      </c>
      <c r="I311" s="525" t="str">
        <f t="shared" si="79"/>
        <v>n.a.</v>
      </c>
      <c r="J311" s="525" t="str">
        <f t="shared" si="79"/>
        <v>n.a.</v>
      </c>
      <c r="K311" s="525" t="str">
        <f t="shared" si="79"/>
        <v>n.a.</v>
      </c>
      <c r="L311" s="525" t="str">
        <f t="shared" si="80"/>
        <v>n.a.</v>
      </c>
      <c r="M311" s="525" t="str">
        <f t="shared" si="80"/>
        <v>n.a.</v>
      </c>
      <c r="N311" s="525" t="str">
        <f t="shared" si="80"/>
        <v>n.a.</v>
      </c>
      <c r="O311" s="525" t="str">
        <f t="shared" si="80"/>
        <v>n.a.</v>
      </c>
      <c r="P311" s="525" t="str">
        <f t="shared" si="80"/>
        <v>n.a.</v>
      </c>
      <c r="Q311" s="525" t="str">
        <f t="shared" si="80"/>
        <v>n.a.</v>
      </c>
      <c r="R311" s="525" t="str">
        <f t="shared" si="80"/>
        <v>n.a.</v>
      </c>
      <c r="S311" s="525" t="str">
        <f t="shared" si="80"/>
        <v>n.a.</v>
      </c>
    </row>
    <row r="312" spans="1:19" s="110" customFormat="1" x14ac:dyDescent="0.25">
      <c r="A312" s="785">
        <v>179</v>
      </c>
      <c r="B312" s="525" t="str">
        <f t="shared" si="79"/>
        <v>n.a.</v>
      </c>
      <c r="C312" s="525" t="str">
        <f t="shared" si="79"/>
        <v>n.a.</v>
      </c>
      <c r="D312" s="525" t="str">
        <f t="shared" si="79"/>
        <v>n.a.</v>
      </c>
      <c r="E312" s="525" t="str">
        <f t="shared" si="79"/>
        <v>n.a.</v>
      </c>
      <c r="F312" s="525" t="str">
        <f t="shared" si="79"/>
        <v>72221111</v>
      </c>
      <c r="G312" s="525" t="str">
        <f t="shared" si="79"/>
        <v>n.a.</v>
      </c>
      <c r="H312" s="525" t="str">
        <f t="shared" si="79"/>
        <v>n.a.</v>
      </c>
      <c r="I312" s="525" t="str">
        <f t="shared" si="79"/>
        <v>n.a.</v>
      </c>
      <c r="J312" s="525" t="str">
        <f t="shared" si="79"/>
        <v>n.a.</v>
      </c>
      <c r="K312" s="525" t="str">
        <f t="shared" si="79"/>
        <v>n.a.</v>
      </c>
      <c r="L312" s="525" t="str">
        <f t="shared" si="80"/>
        <v>n.a.</v>
      </c>
      <c r="M312" s="525" t="str">
        <f t="shared" si="80"/>
        <v>n.a.</v>
      </c>
      <c r="N312" s="525" t="str">
        <f t="shared" si="80"/>
        <v>n.a.</v>
      </c>
      <c r="O312" s="525" t="str">
        <f t="shared" si="80"/>
        <v>n.a.</v>
      </c>
      <c r="P312" s="525" t="str">
        <f t="shared" si="80"/>
        <v>n.a.</v>
      </c>
      <c r="Q312" s="525" t="str">
        <f t="shared" si="80"/>
        <v>n.a.</v>
      </c>
      <c r="R312" s="525" t="str">
        <f t="shared" si="80"/>
        <v>n.a.</v>
      </c>
      <c r="S312" s="525" t="str">
        <f t="shared" si="80"/>
        <v>n.a.</v>
      </c>
    </row>
    <row r="313" spans="1:19" s="110" customFormat="1" x14ac:dyDescent="0.25">
      <c r="A313" s="785">
        <v>180</v>
      </c>
      <c r="B313" s="525" t="str">
        <f t="shared" si="79"/>
        <v>n.a.</v>
      </c>
      <c r="C313" s="525" t="str">
        <f t="shared" si="79"/>
        <v>n.a.</v>
      </c>
      <c r="D313" s="525" t="str">
        <f t="shared" si="79"/>
        <v>n.a.</v>
      </c>
      <c r="E313" s="525" t="str">
        <f t="shared" si="79"/>
        <v>n.a.</v>
      </c>
      <c r="F313" s="525" t="str">
        <f t="shared" si="79"/>
        <v>72221119</v>
      </c>
      <c r="G313" s="525" t="str">
        <f t="shared" si="79"/>
        <v>n.a.</v>
      </c>
      <c r="H313" s="525" t="str">
        <f t="shared" si="79"/>
        <v>n.a.</v>
      </c>
      <c r="I313" s="525" t="str">
        <f t="shared" si="79"/>
        <v>n.a.</v>
      </c>
      <c r="J313" s="525" t="str">
        <f t="shared" si="79"/>
        <v>n.a.</v>
      </c>
      <c r="K313" s="525" t="str">
        <f t="shared" si="79"/>
        <v>n.a.</v>
      </c>
      <c r="L313" s="525" t="str">
        <f t="shared" si="80"/>
        <v>n.a.</v>
      </c>
      <c r="M313" s="525" t="str">
        <f t="shared" si="80"/>
        <v>n.a.</v>
      </c>
      <c r="N313" s="525" t="str">
        <f t="shared" si="80"/>
        <v>n.a.</v>
      </c>
      <c r="O313" s="525" t="str">
        <f t="shared" si="80"/>
        <v>n.a.</v>
      </c>
      <c r="P313" s="525" t="str">
        <f t="shared" si="80"/>
        <v>n.a.</v>
      </c>
      <c r="Q313" s="525" t="str">
        <f t="shared" si="80"/>
        <v>n.a.</v>
      </c>
      <c r="R313" s="525" t="str">
        <f t="shared" si="80"/>
        <v>n.a.</v>
      </c>
      <c r="S313" s="525" t="str">
        <f t="shared" si="80"/>
        <v>n.a.</v>
      </c>
    </row>
    <row r="314" spans="1:19" s="110" customFormat="1" x14ac:dyDescent="0.25">
      <c r="A314" s="785">
        <v>181</v>
      </c>
      <c r="B314" s="525" t="str">
        <f t="shared" ref="B314:K323" si="81">IFERROR(INDEX(CNCodes_ListKey,MATCH($A314&amp;"_"&amp;B$132,CNCodes_ListNumbering,0)),CONST_NA)</f>
        <v>n.a.</v>
      </c>
      <c r="C314" s="525" t="str">
        <f t="shared" si="81"/>
        <v>n.a.</v>
      </c>
      <c r="D314" s="525" t="str">
        <f t="shared" si="81"/>
        <v>n.a.</v>
      </c>
      <c r="E314" s="525" t="str">
        <f t="shared" si="81"/>
        <v>n.a.</v>
      </c>
      <c r="F314" s="525" t="str">
        <f t="shared" si="81"/>
        <v>72221181</v>
      </c>
      <c r="G314" s="525" t="str">
        <f t="shared" si="81"/>
        <v>n.a.</v>
      </c>
      <c r="H314" s="525" t="str">
        <f t="shared" si="81"/>
        <v>n.a.</v>
      </c>
      <c r="I314" s="525" t="str">
        <f t="shared" si="81"/>
        <v>n.a.</v>
      </c>
      <c r="J314" s="525" t="str">
        <f t="shared" si="81"/>
        <v>n.a.</v>
      </c>
      <c r="K314" s="525" t="str">
        <f t="shared" si="81"/>
        <v>n.a.</v>
      </c>
      <c r="L314" s="525" t="str">
        <f t="shared" ref="L314:S323" si="82">IFERROR(INDEX(CNCodes_ListKey,MATCH($A314&amp;"_"&amp;L$132,CNCodes_ListNumbering,0)),CONST_NA)</f>
        <v>n.a.</v>
      </c>
      <c r="M314" s="525" t="str">
        <f t="shared" si="82"/>
        <v>n.a.</v>
      </c>
      <c r="N314" s="525" t="str">
        <f t="shared" si="82"/>
        <v>n.a.</v>
      </c>
      <c r="O314" s="525" t="str">
        <f t="shared" si="82"/>
        <v>n.a.</v>
      </c>
      <c r="P314" s="525" t="str">
        <f t="shared" si="82"/>
        <v>n.a.</v>
      </c>
      <c r="Q314" s="525" t="str">
        <f t="shared" si="82"/>
        <v>n.a.</v>
      </c>
      <c r="R314" s="525" t="str">
        <f t="shared" si="82"/>
        <v>n.a.</v>
      </c>
      <c r="S314" s="525" t="str">
        <f t="shared" si="82"/>
        <v>n.a.</v>
      </c>
    </row>
    <row r="315" spans="1:19" s="110" customFormat="1" x14ac:dyDescent="0.25">
      <c r="A315" s="785">
        <v>182</v>
      </c>
      <c r="B315" s="525" t="str">
        <f t="shared" si="81"/>
        <v>n.a.</v>
      </c>
      <c r="C315" s="525" t="str">
        <f t="shared" si="81"/>
        <v>n.a.</v>
      </c>
      <c r="D315" s="525" t="str">
        <f t="shared" si="81"/>
        <v>n.a.</v>
      </c>
      <c r="E315" s="525" t="str">
        <f t="shared" si="81"/>
        <v>n.a.</v>
      </c>
      <c r="F315" s="525" t="str">
        <f t="shared" si="81"/>
        <v>72221189</v>
      </c>
      <c r="G315" s="525" t="str">
        <f t="shared" si="81"/>
        <v>n.a.</v>
      </c>
      <c r="H315" s="525" t="str">
        <f t="shared" si="81"/>
        <v>n.a.</v>
      </c>
      <c r="I315" s="525" t="str">
        <f t="shared" si="81"/>
        <v>n.a.</v>
      </c>
      <c r="J315" s="525" t="str">
        <f t="shared" si="81"/>
        <v>n.a.</v>
      </c>
      <c r="K315" s="525" t="str">
        <f t="shared" si="81"/>
        <v>n.a.</v>
      </c>
      <c r="L315" s="525" t="str">
        <f t="shared" si="82"/>
        <v>n.a.</v>
      </c>
      <c r="M315" s="525" t="str">
        <f t="shared" si="82"/>
        <v>n.a.</v>
      </c>
      <c r="N315" s="525" t="str">
        <f t="shared" si="82"/>
        <v>n.a.</v>
      </c>
      <c r="O315" s="525" t="str">
        <f t="shared" si="82"/>
        <v>n.a.</v>
      </c>
      <c r="P315" s="525" t="str">
        <f t="shared" si="82"/>
        <v>n.a.</v>
      </c>
      <c r="Q315" s="525" t="str">
        <f t="shared" si="82"/>
        <v>n.a.</v>
      </c>
      <c r="R315" s="525" t="str">
        <f t="shared" si="82"/>
        <v>n.a.</v>
      </c>
      <c r="S315" s="525" t="str">
        <f t="shared" si="82"/>
        <v>n.a.</v>
      </c>
    </row>
    <row r="316" spans="1:19" s="110" customFormat="1" x14ac:dyDescent="0.25">
      <c r="A316" s="785">
        <v>183</v>
      </c>
      <c r="B316" s="525" t="str">
        <f t="shared" si="81"/>
        <v>n.a.</v>
      </c>
      <c r="C316" s="525" t="str">
        <f t="shared" si="81"/>
        <v>n.a.</v>
      </c>
      <c r="D316" s="525" t="str">
        <f t="shared" si="81"/>
        <v>n.a.</v>
      </c>
      <c r="E316" s="525" t="str">
        <f t="shared" si="81"/>
        <v>n.a.</v>
      </c>
      <c r="F316" s="525" t="str">
        <f t="shared" si="81"/>
        <v>72221910</v>
      </c>
      <c r="G316" s="525" t="str">
        <f t="shared" si="81"/>
        <v>n.a.</v>
      </c>
      <c r="H316" s="525" t="str">
        <f t="shared" si="81"/>
        <v>n.a.</v>
      </c>
      <c r="I316" s="525" t="str">
        <f t="shared" si="81"/>
        <v>n.a.</v>
      </c>
      <c r="J316" s="525" t="str">
        <f t="shared" si="81"/>
        <v>n.a.</v>
      </c>
      <c r="K316" s="525" t="str">
        <f t="shared" si="81"/>
        <v>n.a.</v>
      </c>
      <c r="L316" s="525" t="str">
        <f t="shared" si="82"/>
        <v>n.a.</v>
      </c>
      <c r="M316" s="525" t="str">
        <f t="shared" si="82"/>
        <v>n.a.</v>
      </c>
      <c r="N316" s="525" t="str">
        <f t="shared" si="82"/>
        <v>n.a.</v>
      </c>
      <c r="O316" s="525" t="str">
        <f t="shared" si="82"/>
        <v>n.a.</v>
      </c>
      <c r="P316" s="525" t="str">
        <f t="shared" si="82"/>
        <v>n.a.</v>
      </c>
      <c r="Q316" s="525" t="str">
        <f t="shared" si="82"/>
        <v>n.a.</v>
      </c>
      <c r="R316" s="525" t="str">
        <f t="shared" si="82"/>
        <v>n.a.</v>
      </c>
      <c r="S316" s="525" t="str">
        <f t="shared" si="82"/>
        <v>n.a.</v>
      </c>
    </row>
    <row r="317" spans="1:19" s="110" customFormat="1" x14ac:dyDescent="0.25">
      <c r="A317" s="785">
        <v>184</v>
      </c>
      <c r="B317" s="525" t="str">
        <f t="shared" si="81"/>
        <v>n.a.</v>
      </c>
      <c r="C317" s="525" t="str">
        <f t="shared" si="81"/>
        <v>n.a.</v>
      </c>
      <c r="D317" s="525" t="str">
        <f t="shared" si="81"/>
        <v>n.a.</v>
      </c>
      <c r="E317" s="525" t="str">
        <f t="shared" si="81"/>
        <v>n.a.</v>
      </c>
      <c r="F317" s="525" t="str">
        <f t="shared" si="81"/>
        <v>72221990</v>
      </c>
      <c r="G317" s="525" t="str">
        <f t="shared" si="81"/>
        <v>n.a.</v>
      </c>
      <c r="H317" s="525" t="str">
        <f t="shared" si="81"/>
        <v>n.a.</v>
      </c>
      <c r="I317" s="525" t="str">
        <f t="shared" si="81"/>
        <v>n.a.</v>
      </c>
      <c r="J317" s="525" t="str">
        <f t="shared" si="81"/>
        <v>n.a.</v>
      </c>
      <c r="K317" s="525" t="str">
        <f t="shared" si="81"/>
        <v>n.a.</v>
      </c>
      <c r="L317" s="525" t="str">
        <f t="shared" si="82"/>
        <v>n.a.</v>
      </c>
      <c r="M317" s="525" t="str">
        <f t="shared" si="82"/>
        <v>n.a.</v>
      </c>
      <c r="N317" s="525" t="str">
        <f t="shared" si="82"/>
        <v>n.a.</v>
      </c>
      <c r="O317" s="525" t="str">
        <f t="shared" si="82"/>
        <v>n.a.</v>
      </c>
      <c r="P317" s="525" t="str">
        <f t="shared" si="82"/>
        <v>n.a.</v>
      </c>
      <c r="Q317" s="525" t="str">
        <f t="shared" si="82"/>
        <v>n.a.</v>
      </c>
      <c r="R317" s="525" t="str">
        <f t="shared" si="82"/>
        <v>n.a.</v>
      </c>
      <c r="S317" s="525" t="str">
        <f t="shared" si="82"/>
        <v>n.a.</v>
      </c>
    </row>
    <row r="318" spans="1:19" s="110" customFormat="1" x14ac:dyDescent="0.25">
      <c r="A318" s="785">
        <v>185</v>
      </c>
      <c r="B318" s="525" t="str">
        <f t="shared" si="81"/>
        <v>n.a.</v>
      </c>
      <c r="C318" s="525" t="str">
        <f t="shared" si="81"/>
        <v>n.a.</v>
      </c>
      <c r="D318" s="525" t="str">
        <f t="shared" si="81"/>
        <v>n.a.</v>
      </c>
      <c r="E318" s="525" t="str">
        <f t="shared" si="81"/>
        <v>n.a.</v>
      </c>
      <c r="F318" s="525" t="str">
        <f t="shared" si="81"/>
        <v>72222011</v>
      </c>
      <c r="G318" s="525" t="str">
        <f t="shared" si="81"/>
        <v>n.a.</v>
      </c>
      <c r="H318" s="525" t="str">
        <f t="shared" si="81"/>
        <v>n.a.</v>
      </c>
      <c r="I318" s="525" t="str">
        <f t="shared" si="81"/>
        <v>n.a.</v>
      </c>
      <c r="J318" s="525" t="str">
        <f t="shared" si="81"/>
        <v>n.a.</v>
      </c>
      <c r="K318" s="525" t="str">
        <f t="shared" si="81"/>
        <v>n.a.</v>
      </c>
      <c r="L318" s="525" t="str">
        <f t="shared" si="82"/>
        <v>n.a.</v>
      </c>
      <c r="M318" s="525" t="str">
        <f t="shared" si="82"/>
        <v>n.a.</v>
      </c>
      <c r="N318" s="525" t="str">
        <f t="shared" si="82"/>
        <v>n.a.</v>
      </c>
      <c r="O318" s="525" t="str">
        <f t="shared" si="82"/>
        <v>n.a.</v>
      </c>
      <c r="P318" s="525" t="str">
        <f t="shared" si="82"/>
        <v>n.a.</v>
      </c>
      <c r="Q318" s="525" t="str">
        <f t="shared" si="82"/>
        <v>n.a.</v>
      </c>
      <c r="R318" s="525" t="str">
        <f t="shared" si="82"/>
        <v>n.a.</v>
      </c>
      <c r="S318" s="525" t="str">
        <f t="shared" si="82"/>
        <v>n.a.</v>
      </c>
    </row>
    <row r="319" spans="1:19" s="110" customFormat="1" x14ac:dyDescent="0.25">
      <c r="A319" s="785">
        <v>186</v>
      </c>
      <c r="B319" s="525" t="str">
        <f t="shared" si="81"/>
        <v>n.a.</v>
      </c>
      <c r="C319" s="525" t="str">
        <f t="shared" si="81"/>
        <v>n.a.</v>
      </c>
      <c r="D319" s="525" t="str">
        <f t="shared" si="81"/>
        <v>n.a.</v>
      </c>
      <c r="E319" s="525" t="str">
        <f t="shared" si="81"/>
        <v>n.a.</v>
      </c>
      <c r="F319" s="525" t="str">
        <f t="shared" si="81"/>
        <v>72222019</v>
      </c>
      <c r="G319" s="525" t="str">
        <f t="shared" si="81"/>
        <v>n.a.</v>
      </c>
      <c r="H319" s="525" t="str">
        <f t="shared" si="81"/>
        <v>n.a.</v>
      </c>
      <c r="I319" s="525" t="str">
        <f t="shared" si="81"/>
        <v>n.a.</v>
      </c>
      <c r="J319" s="525" t="str">
        <f t="shared" si="81"/>
        <v>n.a.</v>
      </c>
      <c r="K319" s="525" t="str">
        <f t="shared" si="81"/>
        <v>n.a.</v>
      </c>
      <c r="L319" s="525" t="str">
        <f t="shared" si="82"/>
        <v>n.a.</v>
      </c>
      <c r="M319" s="525" t="str">
        <f t="shared" si="82"/>
        <v>n.a.</v>
      </c>
      <c r="N319" s="525" t="str">
        <f t="shared" si="82"/>
        <v>n.a.</v>
      </c>
      <c r="O319" s="525" t="str">
        <f t="shared" si="82"/>
        <v>n.a.</v>
      </c>
      <c r="P319" s="525" t="str">
        <f t="shared" si="82"/>
        <v>n.a.</v>
      </c>
      <c r="Q319" s="525" t="str">
        <f t="shared" si="82"/>
        <v>n.a.</v>
      </c>
      <c r="R319" s="525" t="str">
        <f t="shared" si="82"/>
        <v>n.a.</v>
      </c>
      <c r="S319" s="525" t="str">
        <f t="shared" si="82"/>
        <v>n.a.</v>
      </c>
    </row>
    <row r="320" spans="1:19" s="110" customFormat="1" x14ac:dyDescent="0.25">
      <c r="A320" s="785">
        <v>187</v>
      </c>
      <c r="B320" s="525" t="str">
        <f t="shared" si="81"/>
        <v>n.a.</v>
      </c>
      <c r="C320" s="525" t="str">
        <f t="shared" si="81"/>
        <v>n.a.</v>
      </c>
      <c r="D320" s="525" t="str">
        <f t="shared" si="81"/>
        <v>n.a.</v>
      </c>
      <c r="E320" s="525" t="str">
        <f t="shared" si="81"/>
        <v>n.a.</v>
      </c>
      <c r="F320" s="525" t="str">
        <f t="shared" si="81"/>
        <v>72222021</v>
      </c>
      <c r="G320" s="525" t="str">
        <f t="shared" si="81"/>
        <v>n.a.</v>
      </c>
      <c r="H320" s="525" t="str">
        <f t="shared" si="81"/>
        <v>n.a.</v>
      </c>
      <c r="I320" s="525" t="str">
        <f t="shared" si="81"/>
        <v>n.a.</v>
      </c>
      <c r="J320" s="525" t="str">
        <f t="shared" si="81"/>
        <v>n.a.</v>
      </c>
      <c r="K320" s="525" t="str">
        <f t="shared" si="81"/>
        <v>n.a.</v>
      </c>
      <c r="L320" s="525" t="str">
        <f t="shared" si="82"/>
        <v>n.a.</v>
      </c>
      <c r="M320" s="525" t="str">
        <f t="shared" si="82"/>
        <v>n.a.</v>
      </c>
      <c r="N320" s="525" t="str">
        <f t="shared" si="82"/>
        <v>n.a.</v>
      </c>
      <c r="O320" s="525" t="str">
        <f t="shared" si="82"/>
        <v>n.a.</v>
      </c>
      <c r="P320" s="525" t="str">
        <f t="shared" si="82"/>
        <v>n.a.</v>
      </c>
      <c r="Q320" s="525" t="str">
        <f t="shared" si="82"/>
        <v>n.a.</v>
      </c>
      <c r="R320" s="525" t="str">
        <f t="shared" si="82"/>
        <v>n.a.</v>
      </c>
      <c r="S320" s="525" t="str">
        <f t="shared" si="82"/>
        <v>n.a.</v>
      </c>
    </row>
    <row r="321" spans="1:19" s="110" customFormat="1" x14ac:dyDescent="0.25">
      <c r="A321" s="785">
        <v>188</v>
      </c>
      <c r="B321" s="525" t="str">
        <f t="shared" si="81"/>
        <v>n.a.</v>
      </c>
      <c r="C321" s="525" t="str">
        <f t="shared" si="81"/>
        <v>n.a.</v>
      </c>
      <c r="D321" s="525" t="str">
        <f t="shared" si="81"/>
        <v>n.a.</v>
      </c>
      <c r="E321" s="525" t="str">
        <f t="shared" si="81"/>
        <v>n.a.</v>
      </c>
      <c r="F321" s="525" t="str">
        <f t="shared" si="81"/>
        <v>72222029</v>
      </c>
      <c r="G321" s="525" t="str">
        <f t="shared" si="81"/>
        <v>n.a.</v>
      </c>
      <c r="H321" s="525" t="str">
        <f t="shared" si="81"/>
        <v>n.a.</v>
      </c>
      <c r="I321" s="525" t="str">
        <f t="shared" si="81"/>
        <v>n.a.</v>
      </c>
      <c r="J321" s="525" t="str">
        <f t="shared" si="81"/>
        <v>n.a.</v>
      </c>
      <c r="K321" s="525" t="str">
        <f t="shared" si="81"/>
        <v>n.a.</v>
      </c>
      <c r="L321" s="525" t="str">
        <f t="shared" si="82"/>
        <v>n.a.</v>
      </c>
      <c r="M321" s="525" t="str">
        <f t="shared" si="82"/>
        <v>n.a.</v>
      </c>
      <c r="N321" s="525" t="str">
        <f t="shared" si="82"/>
        <v>n.a.</v>
      </c>
      <c r="O321" s="525" t="str">
        <f t="shared" si="82"/>
        <v>n.a.</v>
      </c>
      <c r="P321" s="525" t="str">
        <f t="shared" si="82"/>
        <v>n.a.</v>
      </c>
      <c r="Q321" s="525" t="str">
        <f t="shared" si="82"/>
        <v>n.a.</v>
      </c>
      <c r="R321" s="525" t="str">
        <f t="shared" si="82"/>
        <v>n.a.</v>
      </c>
      <c r="S321" s="525" t="str">
        <f t="shared" si="82"/>
        <v>n.a.</v>
      </c>
    </row>
    <row r="322" spans="1:19" s="110" customFormat="1" x14ac:dyDescent="0.25">
      <c r="A322" s="785">
        <v>189</v>
      </c>
      <c r="B322" s="525" t="str">
        <f t="shared" si="81"/>
        <v>n.a.</v>
      </c>
      <c r="C322" s="525" t="str">
        <f t="shared" si="81"/>
        <v>n.a.</v>
      </c>
      <c r="D322" s="525" t="str">
        <f t="shared" si="81"/>
        <v>n.a.</v>
      </c>
      <c r="E322" s="525" t="str">
        <f t="shared" si="81"/>
        <v>n.a.</v>
      </c>
      <c r="F322" s="525" t="str">
        <f t="shared" si="81"/>
        <v>72222031</v>
      </c>
      <c r="G322" s="525" t="str">
        <f t="shared" si="81"/>
        <v>n.a.</v>
      </c>
      <c r="H322" s="525" t="str">
        <f t="shared" si="81"/>
        <v>n.a.</v>
      </c>
      <c r="I322" s="525" t="str">
        <f t="shared" si="81"/>
        <v>n.a.</v>
      </c>
      <c r="J322" s="525" t="str">
        <f t="shared" si="81"/>
        <v>n.a.</v>
      </c>
      <c r="K322" s="525" t="str">
        <f t="shared" si="81"/>
        <v>n.a.</v>
      </c>
      <c r="L322" s="525" t="str">
        <f t="shared" si="82"/>
        <v>n.a.</v>
      </c>
      <c r="M322" s="525" t="str">
        <f t="shared" si="82"/>
        <v>n.a.</v>
      </c>
      <c r="N322" s="525" t="str">
        <f t="shared" si="82"/>
        <v>n.a.</v>
      </c>
      <c r="O322" s="525" t="str">
        <f t="shared" si="82"/>
        <v>n.a.</v>
      </c>
      <c r="P322" s="525" t="str">
        <f t="shared" si="82"/>
        <v>n.a.</v>
      </c>
      <c r="Q322" s="525" t="str">
        <f t="shared" si="82"/>
        <v>n.a.</v>
      </c>
      <c r="R322" s="525" t="str">
        <f t="shared" si="82"/>
        <v>n.a.</v>
      </c>
      <c r="S322" s="525" t="str">
        <f t="shared" si="82"/>
        <v>n.a.</v>
      </c>
    </row>
    <row r="323" spans="1:19" s="110" customFormat="1" x14ac:dyDescent="0.25">
      <c r="A323" s="785">
        <v>190</v>
      </c>
      <c r="B323" s="525" t="str">
        <f t="shared" si="81"/>
        <v>n.a.</v>
      </c>
      <c r="C323" s="525" t="str">
        <f t="shared" si="81"/>
        <v>n.a.</v>
      </c>
      <c r="D323" s="525" t="str">
        <f t="shared" si="81"/>
        <v>n.a.</v>
      </c>
      <c r="E323" s="525" t="str">
        <f t="shared" si="81"/>
        <v>n.a.</v>
      </c>
      <c r="F323" s="525" t="str">
        <f t="shared" si="81"/>
        <v>72222039</v>
      </c>
      <c r="G323" s="525" t="str">
        <f t="shared" si="81"/>
        <v>n.a.</v>
      </c>
      <c r="H323" s="525" t="str">
        <f t="shared" si="81"/>
        <v>n.a.</v>
      </c>
      <c r="I323" s="525" t="str">
        <f t="shared" si="81"/>
        <v>n.a.</v>
      </c>
      <c r="J323" s="525" t="str">
        <f t="shared" si="81"/>
        <v>n.a.</v>
      </c>
      <c r="K323" s="525" t="str">
        <f t="shared" si="81"/>
        <v>n.a.</v>
      </c>
      <c r="L323" s="525" t="str">
        <f t="shared" si="82"/>
        <v>n.a.</v>
      </c>
      <c r="M323" s="525" t="str">
        <f t="shared" si="82"/>
        <v>n.a.</v>
      </c>
      <c r="N323" s="525" t="str">
        <f t="shared" si="82"/>
        <v>n.a.</v>
      </c>
      <c r="O323" s="525" t="str">
        <f t="shared" si="82"/>
        <v>n.a.</v>
      </c>
      <c r="P323" s="525" t="str">
        <f t="shared" si="82"/>
        <v>n.a.</v>
      </c>
      <c r="Q323" s="525" t="str">
        <f t="shared" si="82"/>
        <v>n.a.</v>
      </c>
      <c r="R323" s="525" t="str">
        <f t="shared" si="82"/>
        <v>n.a.</v>
      </c>
      <c r="S323" s="525" t="str">
        <f t="shared" si="82"/>
        <v>n.a.</v>
      </c>
    </row>
    <row r="324" spans="1:19" s="110" customFormat="1" x14ac:dyDescent="0.25">
      <c r="A324" s="785">
        <v>191</v>
      </c>
      <c r="B324" s="525" t="str">
        <f t="shared" ref="B324:K333" si="83">IFERROR(INDEX(CNCodes_ListKey,MATCH($A324&amp;"_"&amp;B$132,CNCodes_ListNumbering,0)),CONST_NA)</f>
        <v>n.a.</v>
      </c>
      <c r="C324" s="525" t="str">
        <f t="shared" si="83"/>
        <v>n.a.</v>
      </c>
      <c r="D324" s="525" t="str">
        <f t="shared" si="83"/>
        <v>n.a.</v>
      </c>
      <c r="E324" s="525" t="str">
        <f t="shared" si="83"/>
        <v>n.a.</v>
      </c>
      <c r="F324" s="525" t="str">
        <f t="shared" si="83"/>
        <v>72222081</v>
      </c>
      <c r="G324" s="525" t="str">
        <f t="shared" si="83"/>
        <v>n.a.</v>
      </c>
      <c r="H324" s="525" t="str">
        <f t="shared" si="83"/>
        <v>n.a.</v>
      </c>
      <c r="I324" s="525" t="str">
        <f t="shared" si="83"/>
        <v>n.a.</v>
      </c>
      <c r="J324" s="525" t="str">
        <f t="shared" si="83"/>
        <v>n.a.</v>
      </c>
      <c r="K324" s="525" t="str">
        <f t="shared" si="83"/>
        <v>n.a.</v>
      </c>
      <c r="L324" s="525" t="str">
        <f t="shared" ref="L324:S333" si="84">IFERROR(INDEX(CNCodes_ListKey,MATCH($A324&amp;"_"&amp;L$132,CNCodes_ListNumbering,0)),CONST_NA)</f>
        <v>n.a.</v>
      </c>
      <c r="M324" s="525" t="str">
        <f t="shared" si="84"/>
        <v>n.a.</v>
      </c>
      <c r="N324" s="525" t="str">
        <f t="shared" si="84"/>
        <v>n.a.</v>
      </c>
      <c r="O324" s="525" t="str">
        <f t="shared" si="84"/>
        <v>n.a.</v>
      </c>
      <c r="P324" s="525" t="str">
        <f t="shared" si="84"/>
        <v>n.a.</v>
      </c>
      <c r="Q324" s="525" t="str">
        <f t="shared" si="84"/>
        <v>n.a.</v>
      </c>
      <c r="R324" s="525" t="str">
        <f t="shared" si="84"/>
        <v>n.a.</v>
      </c>
      <c r="S324" s="525" t="str">
        <f t="shared" si="84"/>
        <v>n.a.</v>
      </c>
    </row>
    <row r="325" spans="1:19" s="110" customFormat="1" x14ac:dyDescent="0.25">
      <c r="A325" s="785">
        <v>192</v>
      </c>
      <c r="B325" s="525" t="str">
        <f t="shared" si="83"/>
        <v>n.a.</v>
      </c>
      <c r="C325" s="525" t="str">
        <f t="shared" si="83"/>
        <v>n.a.</v>
      </c>
      <c r="D325" s="525" t="str">
        <f t="shared" si="83"/>
        <v>n.a.</v>
      </c>
      <c r="E325" s="525" t="str">
        <f t="shared" si="83"/>
        <v>n.a.</v>
      </c>
      <c r="F325" s="525" t="str">
        <f t="shared" si="83"/>
        <v>72222089</v>
      </c>
      <c r="G325" s="525" t="str">
        <f t="shared" si="83"/>
        <v>n.a.</v>
      </c>
      <c r="H325" s="525" t="str">
        <f t="shared" si="83"/>
        <v>n.a.</v>
      </c>
      <c r="I325" s="525" t="str">
        <f t="shared" si="83"/>
        <v>n.a.</v>
      </c>
      <c r="J325" s="525" t="str">
        <f t="shared" si="83"/>
        <v>n.a.</v>
      </c>
      <c r="K325" s="525" t="str">
        <f t="shared" si="83"/>
        <v>n.a.</v>
      </c>
      <c r="L325" s="525" t="str">
        <f t="shared" si="84"/>
        <v>n.a.</v>
      </c>
      <c r="M325" s="525" t="str">
        <f t="shared" si="84"/>
        <v>n.a.</v>
      </c>
      <c r="N325" s="525" t="str">
        <f t="shared" si="84"/>
        <v>n.a.</v>
      </c>
      <c r="O325" s="525" t="str">
        <f t="shared" si="84"/>
        <v>n.a.</v>
      </c>
      <c r="P325" s="525" t="str">
        <f t="shared" si="84"/>
        <v>n.a.</v>
      </c>
      <c r="Q325" s="525" t="str">
        <f t="shared" si="84"/>
        <v>n.a.</v>
      </c>
      <c r="R325" s="525" t="str">
        <f t="shared" si="84"/>
        <v>n.a.</v>
      </c>
      <c r="S325" s="525" t="str">
        <f t="shared" si="84"/>
        <v>n.a.</v>
      </c>
    </row>
    <row r="326" spans="1:19" s="110" customFormat="1" x14ac:dyDescent="0.25">
      <c r="A326" s="785">
        <v>193</v>
      </c>
      <c r="B326" s="525" t="str">
        <f t="shared" si="83"/>
        <v>n.a.</v>
      </c>
      <c r="C326" s="525" t="str">
        <f t="shared" si="83"/>
        <v>n.a.</v>
      </c>
      <c r="D326" s="525" t="str">
        <f t="shared" si="83"/>
        <v>n.a.</v>
      </c>
      <c r="E326" s="525" t="str">
        <f t="shared" si="83"/>
        <v>n.a.</v>
      </c>
      <c r="F326" s="525" t="str">
        <f t="shared" si="83"/>
        <v>72223051</v>
      </c>
      <c r="G326" s="525" t="str">
        <f t="shared" si="83"/>
        <v>n.a.</v>
      </c>
      <c r="H326" s="525" t="str">
        <f t="shared" si="83"/>
        <v>n.a.</v>
      </c>
      <c r="I326" s="525" t="str">
        <f t="shared" si="83"/>
        <v>n.a.</v>
      </c>
      <c r="J326" s="525" t="str">
        <f t="shared" si="83"/>
        <v>n.a.</v>
      </c>
      <c r="K326" s="525" t="str">
        <f t="shared" si="83"/>
        <v>n.a.</v>
      </c>
      <c r="L326" s="525" t="str">
        <f t="shared" si="84"/>
        <v>n.a.</v>
      </c>
      <c r="M326" s="525" t="str">
        <f t="shared" si="84"/>
        <v>n.a.</v>
      </c>
      <c r="N326" s="525" t="str">
        <f t="shared" si="84"/>
        <v>n.a.</v>
      </c>
      <c r="O326" s="525" t="str">
        <f t="shared" si="84"/>
        <v>n.a.</v>
      </c>
      <c r="P326" s="525" t="str">
        <f t="shared" si="84"/>
        <v>n.a.</v>
      </c>
      <c r="Q326" s="525" t="str">
        <f t="shared" si="84"/>
        <v>n.a.</v>
      </c>
      <c r="R326" s="525" t="str">
        <f t="shared" si="84"/>
        <v>n.a.</v>
      </c>
      <c r="S326" s="525" t="str">
        <f t="shared" si="84"/>
        <v>n.a.</v>
      </c>
    </row>
    <row r="327" spans="1:19" s="110" customFormat="1" x14ac:dyDescent="0.25">
      <c r="A327" s="785">
        <v>194</v>
      </c>
      <c r="B327" s="525" t="str">
        <f t="shared" si="83"/>
        <v>n.a.</v>
      </c>
      <c r="C327" s="525" t="str">
        <f t="shared" si="83"/>
        <v>n.a.</v>
      </c>
      <c r="D327" s="525" t="str">
        <f t="shared" si="83"/>
        <v>n.a.</v>
      </c>
      <c r="E327" s="525" t="str">
        <f t="shared" si="83"/>
        <v>n.a.</v>
      </c>
      <c r="F327" s="525" t="str">
        <f t="shared" si="83"/>
        <v>72223091</v>
      </c>
      <c r="G327" s="525" t="str">
        <f t="shared" si="83"/>
        <v>n.a.</v>
      </c>
      <c r="H327" s="525" t="str">
        <f t="shared" si="83"/>
        <v>n.a.</v>
      </c>
      <c r="I327" s="525" t="str">
        <f t="shared" si="83"/>
        <v>n.a.</v>
      </c>
      <c r="J327" s="525" t="str">
        <f t="shared" si="83"/>
        <v>n.a.</v>
      </c>
      <c r="K327" s="525" t="str">
        <f t="shared" si="83"/>
        <v>n.a.</v>
      </c>
      <c r="L327" s="525" t="str">
        <f t="shared" si="84"/>
        <v>n.a.</v>
      </c>
      <c r="M327" s="525" t="str">
        <f t="shared" si="84"/>
        <v>n.a.</v>
      </c>
      <c r="N327" s="525" t="str">
        <f t="shared" si="84"/>
        <v>n.a.</v>
      </c>
      <c r="O327" s="525" t="str">
        <f t="shared" si="84"/>
        <v>n.a.</v>
      </c>
      <c r="P327" s="525" t="str">
        <f t="shared" si="84"/>
        <v>n.a.</v>
      </c>
      <c r="Q327" s="525" t="str">
        <f t="shared" si="84"/>
        <v>n.a.</v>
      </c>
      <c r="R327" s="525" t="str">
        <f t="shared" si="84"/>
        <v>n.a.</v>
      </c>
      <c r="S327" s="525" t="str">
        <f t="shared" si="84"/>
        <v>n.a.</v>
      </c>
    </row>
    <row r="328" spans="1:19" s="110" customFormat="1" x14ac:dyDescent="0.25">
      <c r="A328" s="785">
        <v>195</v>
      </c>
      <c r="B328" s="525" t="str">
        <f t="shared" si="83"/>
        <v>n.a.</v>
      </c>
      <c r="C328" s="525" t="str">
        <f t="shared" si="83"/>
        <v>n.a.</v>
      </c>
      <c r="D328" s="525" t="str">
        <f t="shared" si="83"/>
        <v>n.a.</v>
      </c>
      <c r="E328" s="525" t="str">
        <f t="shared" si="83"/>
        <v>n.a.</v>
      </c>
      <c r="F328" s="525" t="str">
        <f t="shared" si="83"/>
        <v>72223097</v>
      </c>
      <c r="G328" s="525" t="str">
        <f t="shared" si="83"/>
        <v>n.a.</v>
      </c>
      <c r="H328" s="525" t="str">
        <f t="shared" si="83"/>
        <v>n.a.</v>
      </c>
      <c r="I328" s="525" t="str">
        <f t="shared" si="83"/>
        <v>n.a.</v>
      </c>
      <c r="J328" s="525" t="str">
        <f t="shared" si="83"/>
        <v>n.a.</v>
      </c>
      <c r="K328" s="525" t="str">
        <f t="shared" si="83"/>
        <v>n.a.</v>
      </c>
      <c r="L328" s="525" t="str">
        <f t="shared" si="84"/>
        <v>n.a.</v>
      </c>
      <c r="M328" s="525" t="str">
        <f t="shared" si="84"/>
        <v>n.a.</v>
      </c>
      <c r="N328" s="525" t="str">
        <f t="shared" si="84"/>
        <v>n.a.</v>
      </c>
      <c r="O328" s="525" t="str">
        <f t="shared" si="84"/>
        <v>n.a.</v>
      </c>
      <c r="P328" s="525" t="str">
        <f t="shared" si="84"/>
        <v>n.a.</v>
      </c>
      <c r="Q328" s="525" t="str">
        <f t="shared" si="84"/>
        <v>n.a.</v>
      </c>
      <c r="R328" s="525" t="str">
        <f t="shared" si="84"/>
        <v>n.a.</v>
      </c>
      <c r="S328" s="525" t="str">
        <f t="shared" si="84"/>
        <v>n.a.</v>
      </c>
    </row>
    <row r="329" spans="1:19" s="110" customFormat="1" x14ac:dyDescent="0.25">
      <c r="A329" s="785">
        <v>196</v>
      </c>
      <c r="B329" s="525" t="str">
        <f t="shared" si="83"/>
        <v>n.a.</v>
      </c>
      <c r="C329" s="525" t="str">
        <f t="shared" si="83"/>
        <v>n.a.</v>
      </c>
      <c r="D329" s="525" t="str">
        <f t="shared" si="83"/>
        <v>n.a.</v>
      </c>
      <c r="E329" s="525" t="str">
        <f t="shared" si="83"/>
        <v>n.a.</v>
      </c>
      <c r="F329" s="525" t="str">
        <f t="shared" si="83"/>
        <v>72224010</v>
      </c>
      <c r="G329" s="525" t="str">
        <f t="shared" si="83"/>
        <v>n.a.</v>
      </c>
      <c r="H329" s="525" t="str">
        <f t="shared" si="83"/>
        <v>n.a.</v>
      </c>
      <c r="I329" s="525" t="str">
        <f t="shared" si="83"/>
        <v>n.a.</v>
      </c>
      <c r="J329" s="525" t="str">
        <f t="shared" si="83"/>
        <v>n.a.</v>
      </c>
      <c r="K329" s="525" t="str">
        <f t="shared" si="83"/>
        <v>n.a.</v>
      </c>
      <c r="L329" s="525" t="str">
        <f t="shared" si="84"/>
        <v>n.a.</v>
      </c>
      <c r="M329" s="525" t="str">
        <f t="shared" si="84"/>
        <v>n.a.</v>
      </c>
      <c r="N329" s="525" t="str">
        <f t="shared" si="84"/>
        <v>n.a.</v>
      </c>
      <c r="O329" s="525" t="str">
        <f t="shared" si="84"/>
        <v>n.a.</v>
      </c>
      <c r="P329" s="525" t="str">
        <f t="shared" si="84"/>
        <v>n.a.</v>
      </c>
      <c r="Q329" s="525" t="str">
        <f t="shared" si="84"/>
        <v>n.a.</v>
      </c>
      <c r="R329" s="525" t="str">
        <f t="shared" si="84"/>
        <v>n.a.</v>
      </c>
      <c r="S329" s="525" t="str">
        <f t="shared" si="84"/>
        <v>n.a.</v>
      </c>
    </row>
    <row r="330" spans="1:19" s="110" customFormat="1" x14ac:dyDescent="0.25">
      <c r="A330" s="785">
        <v>197</v>
      </c>
      <c r="B330" s="525" t="str">
        <f t="shared" si="83"/>
        <v>n.a.</v>
      </c>
      <c r="C330" s="525" t="str">
        <f t="shared" si="83"/>
        <v>n.a.</v>
      </c>
      <c r="D330" s="525" t="str">
        <f t="shared" si="83"/>
        <v>n.a.</v>
      </c>
      <c r="E330" s="525" t="str">
        <f t="shared" si="83"/>
        <v>n.a.</v>
      </c>
      <c r="F330" s="525" t="str">
        <f t="shared" si="83"/>
        <v>72224050</v>
      </c>
      <c r="G330" s="525" t="str">
        <f t="shared" si="83"/>
        <v>n.a.</v>
      </c>
      <c r="H330" s="525" t="str">
        <f t="shared" si="83"/>
        <v>n.a.</v>
      </c>
      <c r="I330" s="525" t="str">
        <f t="shared" si="83"/>
        <v>n.a.</v>
      </c>
      <c r="J330" s="525" t="str">
        <f t="shared" si="83"/>
        <v>n.a.</v>
      </c>
      <c r="K330" s="525" t="str">
        <f t="shared" si="83"/>
        <v>n.a.</v>
      </c>
      <c r="L330" s="525" t="str">
        <f t="shared" si="84"/>
        <v>n.a.</v>
      </c>
      <c r="M330" s="525" t="str">
        <f t="shared" si="84"/>
        <v>n.a.</v>
      </c>
      <c r="N330" s="525" t="str">
        <f t="shared" si="84"/>
        <v>n.a.</v>
      </c>
      <c r="O330" s="525" t="str">
        <f t="shared" si="84"/>
        <v>n.a.</v>
      </c>
      <c r="P330" s="525" t="str">
        <f t="shared" si="84"/>
        <v>n.a.</v>
      </c>
      <c r="Q330" s="525" t="str">
        <f t="shared" si="84"/>
        <v>n.a.</v>
      </c>
      <c r="R330" s="525" t="str">
        <f t="shared" si="84"/>
        <v>n.a.</v>
      </c>
      <c r="S330" s="525" t="str">
        <f t="shared" si="84"/>
        <v>n.a.</v>
      </c>
    </row>
    <row r="331" spans="1:19" s="110" customFormat="1" x14ac:dyDescent="0.25">
      <c r="A331" s="785">
        <v>198</v>
      </c>
      <c r="B331" s="525" t="str">
        <f t="shared" si="83"/>
        <v>n.a.</v>
      </c>
      <c r="C331" s="525" t="str">
        <f t="shared" si="83"/>
        <v>n.a.</v>
      </c>
      <c r="D331" s="525" t="str">
        <f t="shared" si="83"/>
        <v>n.a.</v>
      </c>
      <c r="E331" s="525" t="str">
        <f t="shared" si="83"/>
        <v>n.a.</v>
      </c>
      <c r="F331" s="525" t="str">
        <f t="shared" si="83"/>
        <v>72224090</v>
      </c>
      <c r="G331" s="525" t="str">
        <f t="shared" si="83"/>
        <v>n.a.</v>
      </c>
      <c r="H331" s="525" t="str">
        <f t="shared" si="83"/>
        <v>n.a.</v>
      </c>
      <c r="I331" s="525" t="str">
        <f t="shared" si="83"/>
        <v>n.a.</v>
      </c>
      <c r="J331" s="525" t="str">
        <f t="shared" si="83"/>
        <v>n.a.</v>
      </c>
      <c r="K331" s="525" t="str">
        <f t="shared" si="83"/>
        <v>n.a.</v>
      </c>
      <c r="L331" s="525" t="str">
        <f t="shared" si="84"/>
        <v>n.a.</v>
      </c>
      <c r="M331" s="525" t="str">
        <f t="shared" si="84"/>
        <v>n.a.</v>
      </c>
      <c r="N331" s="525" t="str">
        <f t="shared" si="84"/>
        <v>n.a.</v>
      </c>
      <c r="O331" s="525" t="str">
        <f t="shared" si="84"/>
        <v>n.a.</v>
      </c>
      <c r="P331" s="525" t="str">
        <f t="shared" si="84"/>
        <v>n.a.</v>
      </c>
      <c r="Q331" s="525" t="str">
        <f t="shared" si="84"/>
        <v>n.a.</v>
      </c>
      <c r="R331" s="525" t="str">
        <f t="shared" si="84"/>
        <v>n.a.</v>
      </c>
      <c r="S331" s="525" t="str">
        <f t="shared" si="84"/>
        <v>n.a.</v>
      </c>
    </row>
    <row r="332" spans="1:19" s="110" customFormat="1" x14ac:dyDescent="0.25">
      <c r="A332" s="785">
        <v>199</v>
      </c>
      <c r="B332" s="525" t="str">
        <f t="shared" si="83"/>
        <v>n.a.</v>
      </c>
      <c r="C332" s="525" t="str">
        <f t="shared" si="83"/>
        <v>n.a.</v>
      </c>
      <c r="D332" s="525" t="str">
        <f t="shared" si="83"/>
        <v>n.a.</v>
      </c>
      <c r="E332" s="525" t="str">
        <f t="shared" si="83"/>
        <v>n.a.</v>
      </c>
      <c r="F332" s="525" t="str">
        <f t="shared" si="83"/>
        <v>72230011</v>
      </c>
      <c r="G332" s="525" t="str">
        <f t="shared" si="83"/>
        <v>n.a.</v>
      </c>
      <c r="H332" s="525" t="str">
        <f t="shared" si="83"/>
        <v>n.a.</v>
      </c>
      <c r="I332" s="525" t="str">
        <f t="shared" si="83"/>
        <v>n.a.</v>
      </c>
      <c r="J332" s="525" t="str">
        <f t="shared" si="83"/>
        <v>n.a.</v>
      </c>
      <c r="K332" s="525" t="str">
        <f t="shared" si="83"/>
        <v>n.a.</v>
      </c>
      <c r="L332" s="525" t="str">
        <f t="shared" si="84"/>
        <v>n.a.</v>
      </c>
      <c r="M332" s="525" t="str">
        <f t="shared" si="84"/>
        <v>n.a.</v>
      </c>
      <c r="N332" s="525" t="str">
        <f t="shared" si="84"/>
        <v>n.a.</v>
      </c>
      <c r="O332" s="525" t="str">
        <f t="shared" si="84"/>
        <v>n.a.</v>
      </c>
      <c r="P332" s="525" t="str">
        <f t="shared" si="84"/>
        <v>n.a.</v>
      </c>
      <c r="Q332" s="525" t="str">
        <f t="shared" si="84"/>
        <v>n.a.</v>
      </c>
      <c r="R332" s="525" t="str">
        <f t="shared" si="84"/>
        <v>n.a.</v>
      </c>
      <c r="S332" s="525" t="str">
        <f t="shared" si="84"/>
        <v>n.a.</v>
      </c>
    </row>
    <row r="333" spans="1:19" s="110" customFormat="1" x14ac:dyDescent="0.25">
      <c r="A333" s="785">
        <v>200</v>
      </c>
      <c r="B333" s="525" t="str">
        <f t="shared" si="83"/>
        <v>n.a.</v>
      </c>
      <c r="C333" s="525" t="str">
        <f t="shared" si="83"/>
        <v>n.a.</v>
      </c>
      <c r="D333" s="525" t="str">
        <f t="shared" si="83"/>
        <v>n.a.</v>
      </c>
      <c r="E333" s="525" t="str">
        <f t="shared" si="83"/>
        <v>n.a.</v>
      </c>
      <c r="F333" s="525" t="str">
        <f t="shared" si="83"/>
        <v>72230019</v>
      </c>
      <c r="G333" s="525" t="str">
        <f t="shared" si="83"/>
        <v>n.a.</v>
      </c>
      <c r="H333" s="525" t="str">
        <f t="shared" si="83"/>
        <v>n.a.</v>
      </c>
      <c r="I333" s="525" t="str">
        <f t="shared" si="83"/>
        <v>n.a.</v>
      </c>
      <c r="J333" s="525" t="str">
        <f t="shared" si="83"/>
        <v>n.a.</v>
      </c>
      <c r="K333" s="525" t="str">
        <f t="shared" si="83"/>
        <v>n.a.</v>
      </c>
      <c r="L333" s="525" t="str">
        <f t="shared" si="84"/>
        <v>n.a.</v>
      </c>
      <c r="M333" s="525" t="str">
        <f t="shared" si="84"/>
        <v>n.a.</v>
      </c>
      <c r="N333" s="525" t="str">
        <f t="shared" si="84"/>
        <v>n.a.</v>
      </c>
      <c r="O333" s="525" t="str">
        <f t="shared" si="84"/>
        <v>n.a.</v>
      </c>
      <c r="P333" s="525" t="str">
        <f t="shared" si="84"/>
        <v>n.a.</v>
      </c>
      <c r="Q333" s="525" t="str">
        <f t="shared" si="84"/>
        <v>n.a.</v>
      </c>
      <c r="R333" s="525" t="str">
        <f t="shared" si="84"/>
        <v>n.a.</v>
      </c>
      <c r="S333" s="525" t="str">
        <f t="shared" si="84"/>
        <v>n.a.</v>
      </c>
    </row>
    <row r="334" spans="1:19" s="110" customFormat="1" x14ac:dyDescent="0.25">
      <c r="A334" s="785">
        <v>201</v>
      </c>
      <c r="B334" s="525" t="str">
        <f t="shared" ref="B334:K343" si="85">IFERROR(INDEX(CNCodes_ListKey,MATCH($A334&amp;"_"&amp;B$132,CNCodes_ListNumbering,0)),CONST_NA)</f>
        <v>n.a.</v>
      </c>
      <c r="C334" s="525" t="str">
        <f t="shared" si="85"/>
        <v>n.a.</v>
      </c>
      <c r="D334" s="525" t="str">
        <f t="shared" si="85"/>
        <v>n.a.</v>
      </c>
      <c r="E334" s="525" t="str">
        <f t="shared" si="85"/>
        <v>n.a.</v>
      </c>
      <c r="F334" s="525" t="str">
        <f t="shared" si="85"/>
        <v>72230091</v>
      </c>
      <c r="G334" s="525" t="str">
        <f t="shared" si="85"/>
        <v>n.a.</v>
      </c>
      <c r="H334" s="525" t="str">
        <f t="shared" si="85"/>
        <v>n.a.</v>
      </c>
      <c r="I334" s="525" t="str">
        <f t="shared" si="85"/>
        <v>n.a.</v>
      </c>
      <c r="J334" s="525" t="str">
        <f t="shared" si="85"/>
        <v>n.a.</v>
      </c>
      <c r="K334" s="525" t="str">
        <f t="shared" si="85"/>
        <v>n.a.</v>
      </c>
      <c r="L334" s="525" t="str">
        <f t="shared" ref="L334:S343" si="86">IFERROR(INDEX(CNCodes_ListKey,MATCH($A334&amp;"_"&amp;L$132,CNCodes_ListNumbering,0)),CONST_NA)</f>
        <v>n.a.</v>
      </c>
      <c r="M334" s="525" t="str">
        <f t="shared" si="86"/>
        <v>n.a.</v>
      </c>
      <c r="N334" s="525" t="str">
        <f t="shared" si="86"/>
        <v>n.a.</v>
      </c>
      <c r="O334" s="525" t="str">
        <f t="shared" si="86"/>
        <v>n.a.</v>
      </c>
      <c r="P334" s="525" t="str">
        <f t="shared" si="86"/>
        <v>n.a.</v>
      </c>
      <c r="Q334" s="525" t="str">
        <f t="shared" si="86"/>
        <v>n.a.</v>
      </c>
      <c r="R334" s="525" t="str">
        <f t="shared" si="86"/>
        <v>n.a.</v>
      </c>
      <c r="S334" s="525" t="str">
        <f t="shared" si="86"/>
        <v>n.a.</v>
      </c>
    </row>
    <row r="335" spans="1:19" s="110" customFormat="1" x14ac:dyDescent="0.25">
      <c r="A335" s="785">
        <v>202</v>
      </c>
      <c r="B335" s="525" t="str">
        <f t="shared" si="85"/>
        <v>n.a.</v>
      </c>
      <c r="C335" s="525" t="str">
        <f t="shared" si="85"/>
        <v>n.a.</v>
      </c>
      <c r="D335" s="525" t="str">
        <f t="shared" si="85"/>
        <v>n.a.</v>
      </c>
      <c r="E335" s="525" t="str">
        <f t="shared" si="85"/>
        <v>n.a.</v>
      </c>
      <c r="F335" s="525" t="str">
        <f t="shared" si="85"/>
        <v>72230099</v>
      </c>
      <c r="G335" s="525" t="str">
        <f t="shared" si="85"/>
        <v>n.a.</v>
      </c>
      <c r="H335" s="525" t="str">
        <f t="shared" si="85"/>
        <v>n.a.</v>
      </c>
      <c r="I335" s="525" t="str">
        <f t="shared" si="85"/>
        <v>n.a.</v>
      </c>
      <c r="J335" s="525" t="str">
        <f t="shared" si="85"/>
        <v>n.a.</v>
      </c>
      <c r="K335" s="525" t="str">
        <f t="shared" si="85"/>
        <v>n.a.</v>
      </c>
      <c r="L335" s="525" t="str">
        <f t="shared" si="86"/>
        <v>n.a.</v>
      </c>
      <c r="M335" s="525" t="str">
        <f t="shared" si="86"/>
        <v>n.a.</v>
      </c>
      <c r="N335" s="525" t="str">
        <f t="shared" si="86"/>
        <v>n.a.</v>
      </c>
      <c r="O335" s="525" t="str">
        <f t="shared" si="86"/>
        <v>n.a.</v>
      </c>
      <c r="P335" s="525" t="str">
        <f t="shared" si="86"/>
        <v>n.a.</v>
      </c>
      <c r="Q335" s="525" t="str">
        <f t="shared" si="86"/>
        <v>n.a.</v>
      </c>
      <c r="R335" s="525" t="str">
        <f t="shared" si="86"/>
        <v>n.a.</v>
      </c>
      <c r="S335" s="525" t="str">
        <f t="shared" si="86"/>
        <v>n.a.</v>
      </c>
    </row>
    <row r="336" spans="1:19" s="110" customFormat="1" x14ac:dyDescent="0.25">
      <c r="A336" s="785">
        <v>203</v>
      </c>
      <c r="B336" s="525" t="str">
        <f t="shared" si="85"/>
        <v>n.a.</v>
      </c>
      <c r="C336" s="525" t="str">
        <f t="shared" si="85"/>
        <v>n.a.</v>
      </c>
      <c r="D336" s="525" t="str">
        <f t="shared" si="85"/>
        <v>n.a.</v>
      </c>
      <c r="E336" s="525" t="str">
        <f t="shared" si="85"/>
        <v>n.a.</v>
      </c>
      <c r="F336" s="525" t="str">
        <f t="shared" si="85"/>
        <v>72251100</v>
      </c>
      <c r="G336" s="525" t="str">
        <f t="shared" si="85"/>
        <v>n.a.</v>
      </c>
      <c r="H336" s="525" t="str">
        <f t="shared" si="85"/>
        <v>n.a.</v>
      </c>
      <c r="I336" s="525" t="str">
        <f t="shared" si="85"/>
        <v>n.a.</v>
      </c>
      <c r="J336" s="525" t="str">
        <f t="shared" si="85"/>
        <v>n.a.</v>
      </c>
      <c r="K336" s="525" t="str">
        <f t="shared" si="85"/>
        <v>n.a.</v>
      </c>
      <c r="L336" s="525" t="str">
        <f t="shared" si="86"/>
        <v>n.a.</v>
      </c>
      <c r="M336" s="525" t="str">
        <f t="shared" si="86"/>
        <v>n.a.</v>
      </c>
      <c r="N336" s="525" t="str">
        <f t="shared" si="86"/>
        <v>n.a.</v>
      </c>
      <c r="O336" s="525" t="str">
        <f t="shared" si="86"/>
        <v>n.a.</v>
      </c>
      <c r="P336" s="525" t="str">
        <f t="shared" si="86"/>
        <v>n.a.</v>
      </c>
      <c r="Q336" s="525" t="str">
        <f t="shared" si="86"/>
        <v>n.a.</v>
      </c>
      <c r="R336" s="525" t="str">
        <f t="shared" si="86"/>
        <v>n.a.</v>
      </c>
      <c r="S336" s="525" t="str">
        <f t="shared" si="86"/>
        <v>n.a.</v>
      </c>
    </row>
    <row r="337" spans="1:19" s="110" customFormat="1" x14ac:dyDescent="0.25">
      <c r="A337" s="785">
        <v>204</v>
      </c>
      <c r="B337" s="525" t="str">
        <f t="shared" si="85"/>
        <v>n.a.</v>
      </c>
      <c r="C337" s="525" t="str">
        <f t="shared" si="85"/>
        <v>n.a.</v>
      </c>
      <c r="D337" s="525" t="str">
        <f t="shared" si="85"/>
        <v>n.a.</v>
      </c>
      <c r="E337" s="525" t="str">
        <f t="shared" si="85"/>
        <v>n.a.</v>
      </c>
      <c r="F337" s="525" t="str">
        <f t="shared" si="85"/>
        <v>72251910</v>
      </c>
      <c r="G337" s="525" t="str">
        <f t="shared" si="85"/>
        <v>n.a.</v>
      </c>
      <c r="H337" s="525" t="str">
        <f t="shared" si="85"/>
        <v>n.a.</v>
      </c>
      <c r="I337" s="525" t="str">
        <f t="shared" si="85"/>
        <v>n.a.</v>
      </c>
      <c r="J337" s="525" t="str">
        <f t="shared" si="85"/>
        <v>n.a.</v>
      </c>
      <c r="K337" s="525" t="str">
        <f t="shared" si="85"/>
        <v>n.a.</v>
      </c>
      <c r="L337" s="525" t="str">
        <f t="shared" si="86"/>
        <v>n.a.</v>
      </c>
      <c r="M337" s="525" t="str">
        <f t="shared" si="86"/>
        <v>n.a.</v>
      </c>
      <c r="N337" s="525" t="str">
        <f t="shared" si="86"/>
        <v>n.a.</v>
      </c>
      <c r="O337" s="525" t="str">
        <f t="shared" si="86"/>
        <v>n.a.</v>
      </c>
      <c r="P337" s="525" t="str">
        <f t="shared" si="86"/>
        <v>n.a.</v>
      </c>
      <c r="Q337" s="525" t="str">
        <f t="shared" si="86"/>
        <v>n.a.</v>
      </c>
      <c r="R337" s="525" t="str">
        <f t="shared" si="86"/>
        <v>n.a.</v>
      </c>
      <c r="S337" s="525" t="str">
        <f t="shared" si="86"/>
        <v>n.a.</v>
      </c>
    </row>
    <row r="338" spans="1:19" s="110" customFormat="1" x14ac:dyDescent="0.25">
      <c r="A338" s="785">
        <v>205</v>
      </c>
      <c r="B338" s="525" t="str">
        <f t="shared" si="85"/>
        <v>n.a.</v>
      </c>
      <c r="C338" s="525" t="str">
        <f t="shared" si="85"/>
        <v>n.a.</v>
      </c>
      <c r="D338" s="525" t="str">
        <f t="shared" si="85"/>
        <v>n.a.</v>
      </c>
      <c r="E338" s="525" t="str">
        <f t="shared" si="85"/>
        <v>n.a.</v>
      </c>
      <c r="F338" s="525" t="str">
        <f t="shared" si="85"/>
        <v>72251990</v>
      </c>
      <c r="G338" s="525" t="str">
        <f t="shared" si="85"/>
        <v>n.a.</v>
      </c>
      <c r="H338" s="525" t="str">
        <f t="shared" si="85"/>
        <v>n.a.</v>
      </c>
      <c r="I338" s="525" t="str">
        <f t="shared" si="85"/>
        <v>n.a.</v>
      </c>
      <c r="J338" s="525" t="str">
        <f t="shared" si="85"/>
        <v>n.a.</v>
      </c>
      <c r="K338" s="525" t="str">
        <f t="shared" si="85"/>
        <v>n.a.</v>
      </c>
      <c r="L338" s="525" t="str">
        <f t="shared" si="86"/>
        <v>n.a.</v>
      </c>
      <c r="M338" s="525" t="str">
        <f t="shared" si="86"/>
        <v>n.a.</v>
      </c>
      <c r="N338" s="525" t="str">
        <f t="shared" si="86"/>
        <v>n.a.</v>
      </c>
      <c r="O338" s="525" t="str">
        <f t="shared" si="86"/>
        <v>n.a.</v>
      </c>
      <c r="P338" s="525" t="str">
        <f t="shared" si="86"/>
        <v>n.a.</v>
      </c>
      <c r="Q338" s="525" t="str">
        <f t="shared" si="86"/>
        <v>n.a.</v>
      </c>
      <c r="R338" s="525" t="str">
        <f t="shared" si="86"/>
        <v>n.a.</v>
      </c>
      <c r="S338" s="525" t="str">
        <f t="shared" si="86"/>
        <v>n.a.</v>
      </c>
    </row>
    <row r="339" spans="1:19" s="110" customFormat="1" x14ac:dyDescent="0.25">
      <c r="A339" s="785">
        <v>206</v>
      </c>
      <c r="B339" s="525" t="str">
        <f t="shared" si="85"/>
        <v>n.a.</v>
      </c>
      <c r="C339" s="525" t="str">
        <f t="shared" si="85"/>
        <v>n.a.</v>
      </c>
      <c r="D339" s="525" t="str">
        <f t="shared" si="85"/>
        <v>n.a.</v>
      </c>
      <c r="E339" s="525" t="str">
        <f t="shared" si="85"/>
        <v>n.a.</v>
      </c>
      <c r="F339" s="525" t="str">
        <f t="shared" si="85"/>
        <v>72253010</v>
      </c>
      <c r="G339" s="525" t="str">
        <f t="shared" si="85"/>
        <v>n.a.</v>
      </c>
      <c r="H339" s="525" t="str">
        <f t="shared" si="85"/>
        <v>n.a.</v>
      </c>
      <c r="I339" s="525" t="str">
        <f t="shared" si="85"/>
        <v>n.a.</v>
      </c>
      <c r="J339" s="525" t="str">
        <f t="shared" si="85"/>
        <v>n.a.</v>
      </c>
      <c r="K339" s="525" t="str">
        <f t="shared" si="85"/>
        <v>n.a.</v>
      </c>
      <c r="L339" s="525" t="str">
        <f t="shared" si="86"/>
        <v>n.a.</v>
      </c>
      <c r="M339" s="525" t="str">
        <f t="shared" si="86"/>
        <v>n.a.</v>
      </c>
      <c r="N339" s="525" t="str">
        <f t="shared" si="86"/>
        <v>n.a.</v>
      </c>
      <c r="O339" s="525" t="str">
        <f t="shared" si="86"/>
        <v>n.a.</v>
      </c>
      <c r="P339" s="525" t="str">
        <f t="shared" si="86"/>
        <v>n.a.</v>
      </c>
      <c r="Q339" s="525" t="str">
        <f t="shared" si="86"/>
        <v>n.a.</v>
      </c>
      <c r="R339" s="525" t="str">
        <f t="shared" si="86"/>
        <v>n.a.</v>
      </c>
      <c r="S339" s="525" t="str">
        <f t="shared" si="86"/>
        <v>n.a.</v>
      </c>
    </row>
    <row r="340" spans="1:19" s="110" customFormat="1" x14ac:dyDescent="0.25">
      <c r="A340" s="785">
        <v>207</v>
      </c>
      <c r="B340" s="525" t="str">
        <f t="shared" si="85"/>
        <v>n.a.</v>
      </c>
      <c r="C340" s="525" t="str">
        <f t="shared" si="85"/>
        <v>n.a.</v>
      </c>
      <c r="D340" s="525" t="str">
        <f t="shared" si="85"/>
        <v>n.a.</v>
      </c>
      <c r="E340" s="525" t="str">
        <f t="shared" si="85"/>
        <v>n.a.</v>
      </c>
      <c r="F340" s="525" t="str">
        <f t="shared" si="85"/>
        <v>72253030</v>
      </c>
      <c r="G340" s="525" t="str">
        <f t="shared" si="85"/>
        <v>n.a.</v>
      </c>
      <c r="H340" s="525" t="str">
        <f t="shared" si="85"/>
        <v>n.a.</v>
      </c>
      <c r="I340" s="525" t="str">
        <f t="shared" si="85"/>
        <v>n.a.</v>
      </c>
      <c r="J340" s="525" t="str">
        <f t="shared" si="85"/>
        <v>n.a.</v>
      </c>
      <c r="K340" s="525" t="str">
        <f t="shared" si="85"/>
        <v>n.a.</v>
      </c>
      <c r="L340" s="525" t="str">
        <f t="shared" si="86"/>
        <v>n.a.</v>
      </c>
      <c r="M340" s="525" t="str">
        <f t="shared" si="86"/>
        <v>n.a.</v>
      </c>
      <c r="N340" s="525" t="str">
        <f t="shared" si="86"/>
        <v>n.a.</v>
      </c>
      <c r="O340" s="525" t="str">
        <f t="shared" si="86"/>
        <v>n.a.</v>
      </c>
      <c r="P340" s="525" t="str">
        <f t="shared" si="86"/>
        <v>n.a.</v>
      </c>
      <c r="Q340" s="525" t="str">
        <f t="shared" si="86"/>
        <v>n.a.</v>
      </c>
      <c r="R340" s="525" t="str">
        <f t="shared" si="86"/>
        <v>n.a.</v>
      </c>
      <c r="S340" s="525" t="str">
        <f t="shared" si="86"/>
        <v>n.a.</v>
      </c>
    </row>
    <row r="341" spans="1:19" s="110" customFormat="1" x14ac:dyDescent="0.25">
      <c r="A341" s="785">
        <v>208</v>
      </c>
      <c r="B341" s="525" t="str">
        <f t="shared" si="85"/>
        <v>n.a.</v>
      </c>
      <c r="C341" s="525" t="str">
        <f t="shared" si="85"/>
        <v>n.a.</v>
      </c>
      <c r="D341" s="525" t="str">
        <f t="shared" si="85"/>
        <v>n.a.</v>
      </c>
      <c r="E341" s="525" t="str">
        <f t="shared" si="85"/>
        <v>n.a.</v>
      </c>
      <c r="F341" s="525" t="str">
        <f t="shared" si="85"/>
        <v>72253090</v>
      </c>
      <c r="G341" s="525" t="str">
        <f t="shared" si="85"/>
        <v>n.a.</v>
      </c>
      <c r="H341" s="525" t="str">
        <f t="shared" si="85"/>
        <v>n.a.</v>
      </c>
      <c r="I341" s="525" t="str">
        <f t="shared" si="85"/>
        <v>n.a.</v>
      </c>
      <c r="J341" s="525" t="str">
        <f t="shared" si="85"/>
        <v>n.a.</v>
      </c>
      <c r="K341" s="525" t="str">
        <f t="shared" si="85"/>
        <v>n.a.</v>
      </c>
      <c r="L341" s="525" t="str">
        <f t="shared" si="86"/>
        <v>n.a.</v>
      </c>
      <c r="M341" s="525" t="str">
        <f t="shared" si="86"/>
        <v>n.a.</v>
      </c>
      <c r="N341" s="525" t="str">
        <f t="shared" si="86"/>
        <v>n.a.</v>
      </c>
      <c r="O341" s="525" t="str">
        <f t="shared" si="86"/>
        <v>n.a.</v>
      </c>
      <c r="P341" s="525" t="str">
        <f t="shared" si="86"/>
        <v>n.a.</v>
      </c>
      <c r="Q341" s="525" t="str">
        <f t="shared" si="86"/>
        <v>n.a.</v>
      </c>
      <c r="R341" s="525" t="str">
        <f t="shared" si="86"/>
        <v>n.a.</v>
      </c>
      <c r="S341" s="525" t="str">
        <f t="shared" si="86"/>
        <v>n.a.</v>
      </c>
    </row>
    <row r="342" spans="1:19" s="110" customFormat="1" x14ac:dyDescent="0.25">
      <c r="A342" s="785">
        <v>209</v>
      </c>
      <c r="B342" s="525" t="str">
        <f t="shared" si="85"/>
        <v>n.a.</v>
      </c>
      <c r="C342" s="525" t="str">
        <f t="shared" si="85"/>
        <v>n.a.</v>
      </c>
      <c r="D342" s="525" t="str">
        <f t="shared" si="85"/>
        <v>n.a.</v>
      </c>
      <c r="E342" s="525" t="str">
        <f t="shared" si="85"/>
        <v>n.a.</v>
      </c>
      <c r="F342" s="525" t="str">
        <f t="shared" si="85"/>
        <v>72254012</v>
      </c>
      <c r="G342" s="525" t="str">
        <f t="shared" si="85"/>
        <v>n.a.</v>
      </c>
      <c r="H342" s="525" t="str">
        <f t="shared" si="85"/>
        <v>n.a.</v>
      </c>
      <c r="I342" s="525" t="str">
        <f t="shared" si="85"/>
        <v>n.a.</v>
      </c>
      <c r="J342" s="525" t="str">
        <f t="shared" si="85"/>
        <v>n.a.</v>
      </c>
      <c r="K342" s="525" t="str">
        <f t="shared" si="85"/>
        <v>n.a.</v>
      </c>
      <c r="L342" s="525" t="str">
        <f t="shared" si="86"/>
        <v>n.a.</v>
      </c>
      <c r="M342" s="525" t="str">
        <f t="shared" si="86"/>
        <v>n.a.</v>
      </c>
      <c r="N342" s="525" t="str">
        <f t="shared" si="86"/>
        <v>n.a.</v>
      </c>
      <c r="O342" s="525" t="str">
        <f t="shared" si="86"/>
        <v>n.a.</v>
      </c>
      <c r="P342" s="525" t="str">
        <f t="shared" si="86"/>
        <v>n.a.</v>
      </c>
      <c r="Q342" s="525" t="str">
        <f t="shared" si="86"/>
        <v>n.a.</v>
      </c>
      <c r="R342" s="525" t="str">
        <f t="shared" si="86"/>
        <v>n.a.</v>
      </c>
      <c r="S342" s="525" t="str">
        <f t="shared" si="86"/>
        <v>n.a.</v>
      </c>
    </row>
    <row r="343" spans="1:19" s="110" customFormat="1" x14ac:dyDescent="0.25">
      <c r="A343" s="785">
        <v>210</v>
      </c>
      <c r="B343" s="525" t="str">
        <f t="shared" si="85"/>
        <v>n.a.</v>
      </c>
      <c r="C343" s="525" t="str">
        <f t="shared" si="85"/>
        <v>n.a.</v>
      </c>
      <c r="D343" s="525" t="str">
        <f t="shared" si="85"/>
        <v>n.a.</v>
      </c>
      <c r="E343" s="525" t="str">
        <f t="shared" si="85"/>
        <v>n.a.</v>
      </c>
      <c r="F343" s="525" t="str">
        <f t="shared" si="85"/>
        <v>72254015</v>
      </c>
      <c r="G343" s="525" t="str">
        <f t="shared" si="85"/>
        <v>n.a.</v>
      </c>
      <c r="H343" s="525" t="str">
        <f t="shared" si="85"/>
        <v>n.a.</v>
      </c>
      <c r="I343" s="525" t="str">
        <f t="shared" si="85"/>
        <v>n.a.</v>
      </c>
      <c r="J343" s="525" t="str">
        <f t="shared" si="85"/>
        <v>n.a.</v>
      </c>
      <c r="K343" s="525" t="str">
        <f t="shared" si="85"/>
        <v>n.a.</v>
      </c>
      <c r="L343" s="525" t="str">
        <f t="shared" si="86"/>
        <v>n.a.</v>
      </c>
      <c r="M343" s="525" t="str">
        <f t="shared" si="86"/>
        <v>n.a.</v>
      </c>
      <c r="N343" s="525" t="str">
        <f t="shared" si="86"/>
        <v>n.a.</v>
      </c>
      <c r="O343" s="525" t="str">
        <f t="shared" si="86"/>
        <v>n.a.</v>
      </c>
      <c r="P343" s="525" t="str">
        <f t="shared" si="86"/>
        <v>n.a.</v>
      </c>
      <c r="Q343" s="525" t="str">
        <f t="shared" si="86"/>
        <v>n.a.</v>
      </c>
      <c r="R343" s="525" t="str">
        <f t="shared" si="86"/>
        <v>n.a.</v>
      </c>
      <c r="S343" s="525" t="str">
        <f t="shared" si="86"/>
        <v>n.a.</v>
      </c>
    </row>
    <row r="344" spans="1:19" s="110" customFormat="1" x14ac:dyDescent="0.25">
      <c r="A344" s="785">
        <v>211</v>
      </c>
      <c r="B344" s="525" t="str">
        <f t="shared" ref="B344:K353" si="87">IFERROR(INDEX(CNCodes_ListKey,MATCH($A344&amp;"_"&amp;B$132,CNCodes_ListNumbering,0)),CONST_NA)</f>
        <v>n.a.</v>
      </c>
      <c r="C344" s="525" t="str">
        <f t="shared" si="87"/>
        <v>n.a.</v>
      </c>
      <c r="D344" s="525" t="str">
        <f t="shared" si="87"/>
        <v>n.a.</v>
      </c>
      <c r="E344" s="525" t="str">
        <f t="shared" si="87"/>
        <v>n.a.</v>
      </c>
      <c r="F344" s="525" t="str">
        <f t="shared" si="87"/>
        <v>72254040</v>
      </c>
      <c r="G344" s="525" t="str">
        <f t="shared" si="87"/>
        <v>n.a.</v>
      </c>
      <c r="H344" s="525" t="str">
        <f t="shared" si="87"/>
        <v>n.a.</v>
      </c>
      <c r="I344" s="525" t="str">
        <f t="shared" si="87"/>
        <v>n.a.</v>
      </c>
      <c r="J344" s="525" t="str">
        <f t="shared" si="87"/>
        <v>n.a.</v>
      </c>
      <c r="K344" s="525" t="str">
        <f t="shared" si="87"/>
        <v>n.a.</v>
      </c>
      <c r="L344" s="525" t="str">
        <f t="shared" ref="L344:S353" si="88">IFERROR(INDEX(CNCodes_ListKey,MATCH($A344&amp;"_"&amp;L$132,CNCodes_ListNumbering,0)),CONST_NA)</f>
        <v>n.a.</v>
      </c>
      <c r="M344" s="525" t="str">
        <f t="shared" si="88"/>
        <v>n.a.</v>
      </c>
      <c r="N344" s="525" t="str">
        <f t="shared" si="88"/>
        <v>n.a.</v>
      </c>
      <c r="O344" s="525" t="str">
        <f t="shared" si="88"/>
        <v>n.a.</v>
      </c>
      <c r="P344" s="525" t="str">
        <f t="shared" si="88"/>
        <v>n.a.</v>
      </c>
      <c r="Q344" s="525" t="str">
        <f t="shared" si="88"/>
        <v>n.a.</v>
      </c>
      <c r="R344" s="525" t="str">
        <f t="shared" si="88"/>
        <v>n.a.</v>
      </c>
      <c r="S344" s="525" t="str">
        <f t="shared" si="88"/>
        <v>n.a.</v>
      </c>
    </row>
    <row r="345" spans="1:19" s="110" customFormat="1" x14ac:dyDescent="0.25">
      <c r="A345" s="785">
        <v>212</v>
      </c>
      <c r="B345" s="525" t="str">
        <f t="shared" si="87"/>
        <v>n.a.</v>
      </c>
      <c r="C345" s="525" t="str">
        <f t="shared" si="87"/>
        <v>n.a.</v>
      </c>
      <c r="D345" s="525" t="str">
        <f t="shared" si="87"/>
        <v>n.a.</v>
      </c>
      <c r="E345" s="525" t="str">
        <f t="shared" si="87"/>
        <v>n.a.</v>
      </c>
      <c r="F345" s="525" t="str">
        <f t="shared" si="87"/>
        <v>72254060</v>
      </c>
      <c r="G345" s="525" t="str">
        <f t="shared" si="87"/>
        <v>n.a.</v>
      </c>
      <c r="H345" s="525" t="str">
        <f t="shared" si="87"/>
        <v>n.a.</v>
      </c>
      <c r="I345" s="525" t="str">
        <f t="shared" si="87"/>
        <v>n.a.</v>
      </c>
      <c r="J345" s="525" t="str">
        <f t="shared" si="87"/>
        <v>n.a.</v>
      </c>
      <c r="K345" s="525" t="str">
        <f t="shared" si="87"/>
        <v>n.a.</v>
      </c>
      <c r="L345" s="525" t="str">
        <f t="shared" si="88"/>
        <v>n.a.</v>
      </c>
      <c r="M345" s="525" t="str">
        <f t="shared" si="88"/>
        <v>n.a.</v>
      </c>
      <c r="N345" s="525" t="str">
        <f t="shared" si="88"/>
        <v>n.a.</v>
      </c>
      <c r="O345" s="525" t="str">
        <f t="shared" si="88"/>
        <v>n.a.</v>
      </c>
      <c r="P345" s="525" t="str">
        <f t="shared" si="88"/>
        <v>n.a.</v>
      </c>
      <c r="Q345" s="525" t="str">
        <f t="shared" si="88"/>
        <v>n.a.</v>
      </c>
      <c r="R345" s="525" t="str">
        <f t="shared" si="88"/>
        <v>n.a.</v>
      </c>
      <c r="S345" s="525" t="str">
        <f t="shared" si="88"/>
        <v>n.a.</v>
      </c>
    </row>
    <row r="346" spans="1:19" s="110" customFormat="1" x14ac:dyDescent="0.25">
      <c r="A346" s="785">
        <v>213</v>
      </c>
      <c r="B346" s="525" t="str">
        <f t="shared" si="87"/>
        <v>n.a.</v>
      </c>
      <c r="C346" s="525" t="str">
        <f t="shared" si="87"/>
        <v>n.a.</v>
      </c>
      <c r="D346" s="525" t="str">
        <f t="shared" si="87"/>
        <v>n.a.</v>
      </c>
      <c r="E346" s="525" t="str">
        <f t="shared" si="87"/>
        <v>n.a.</v>
      </c>
      <c r="F346" s="525" t="str">
        <f t="shared" si="87"/>
        <v>72254090</v>
      </c>
      <c r="G346" s="525" t="str">
        <f t="shared" si="87"/>
        <v>n.a.</v>
      </c>
      <c r="H346" s="525" t="str">
        <f t="shared" si="87"/>
        <v>n.a.</v>
      </c>
      <c r="I346" s="525" t="str">
        <f t="shared" si="87"/>
        <v>n.a.</v>
      </c>
      <c r="J346" s="525" t="str">
        <f t="shared" si="87"/>
        <v>n.a.</v>
      </c>
      <c r="K346" s="525" t="str">
        <f t="shared" si="87"/>
        <v>n.a.</v>
      </c>
      <c r="L346" s="525" t="str">
        <f t="shared" si="88"/>
        <v>n.a.</v>
      </c>
      <c r="M346" s="525" t="str">
        <f t="shared" si="88"/>
        <v>n.a.</v>
      </c>
      <c r="N346" s="525" t="str">
        <f t="shared" si="88"/>
        <v>n.a.</v>
      </c>
      <c r="O346" s="525" t="str">
        <f t="shared" si="88"/>
        <v>n.a.</v>
      </c>
      <c r="P346" s="525" t="str">
        <f t="shared" si="88"/>
        <v>n.a.</v>
      </c>
      <c r="Q346" s="525" t="str">
        <f t="shared" si="88"/>
        <v>n.a.</v>
      </c>
      <c r="R346" s="525" t="str">
        <f t="shared" si="88"/>
        <v>n.a.</v>
      </c>
      <c r="S346" s="525" t="str">
        <f t="shared" si="88"/>
        <v>n.a.</v>
      </c>
    </row>
    <row r="347" spans="1:19" s="110" customFormat="1" x14ac:dyDescent="0.25">
      <c r="A347" s="785">
        <v>214</v>
      </c>
      <c r="B347" s="525" t="str">
        <f t="shared" si="87"/>
        <v>n.a.</v>
      </c>
      <c r="C347" s="525" t="str">
        <f t="shared" si="87"/>
        <v>n.a.</v>
      </c>
      <c r="D347" s="525" t="str">
        <f t="shared" si="87"/>
        <v>n.a.</v>
      </c>
      <c r="E347" s="525" t="str">
        <f t="shared" si="87"/>
        <v>n.a.</v>
      </c>
      <c r="F347" s="525" t="str">
        <f t="shared" si="87"/>
        <v>72255020</v>
      </c>
      <c r="G347" s="525" t="str">
        <f t="shared" si="87"/>
        <v>n.a.</v>
      </c>
      <c r="H347" s="525" t="str">
        <f t="shared" si="87"/>
        <v>n.a.</v>
      </c>
      <c r="I347" s="525" t="str">
        <f t="shared" si="87"/>
        <v>n.a.</v>
      </c>
      <c r="J347" s="525" t="str">
        <f t="shared" si="87"/>
        <v>n.a.</v>
      </c>
      <c r="K347" s="525" t="str">
        <f t="shared" si="87"/>
        <v>n.a.</v>
      </c>
      <c r="L347" s="525" t="str">
        <f t="shared" si="88"/>
        <v>n.a.</v>
      </c>
      <c r="M347" s="525" t="str">
        <f t="shared" si="88"/>
        <v>n.a.</v>
      </c>
      <c r="N347" s="525" t="str">
        <f t="shared" si="88"/>
        <v>n.a.</v>
      </c>
      <c r="O347" s="525" t="str">
        <f t="shared" si="88"/>
        <v>n.a.</v>
      </c>
      <c r="P347" s="525" t="str">
        <f t="shared" si="88"/>
        <v>n.a.</v>
      </c>
      <c r="Q347" s="525" t="str">
        <f t="shared" si="88"/>
        <v>n.a.</v>
      </c>
      <c r="R347" s="525" t="str">
        <f t="shared" si="88"/>
        <v>n.a.</v>
      </c>
      <c r="S347" s="525" t="str">
        <f t="shared" si="88"/>
        <v>n.a.</v>
      </c>
    </row>
    <row r="348" spans="1:19" s="110" customFormat="1" x14ac:dyDescent="0.25">
      <c r="A348" s="785">
        <v>215</v>
      </c>
      <c r="B348" s="525" t="str">
        <f t="shared" si="87"/>
        <v>n.a.</v>
      </c>
      <c r="C348" s="525" t="str">
        <f t="shared" si="87"/>
        <v>n.a.</v>
      </c>
      <c r="D348" s="525" t="str">
        <f t="shared" si="87"/>
        <v>n.a.</v>
      </c>
      <c r="E348" s="525" t="str">
        <f t="shared" si="87"/>
        <v>n.a.</v>
      </c>
      <c r="F348" s="525" t="str">
        <f t="shared" si="87"/>
        <v>72255080</v>
      </c>
      <c r="G348" s="525" t="str">
        <f t="shared" si="87"/>
        <v>n.a.</v>
      </c>
      <c r="H348" s="525" t="str">
        <f t="shared" si="87"/>
        <v>n.a.</v>
      </c>
      <c r="I348" s="525" t="str">
        <f t="shared" si="87"/>
        <v>n.a.</v>
      </c>
      <c r="J348" s="525" t="str">
        <f t="shared" si="87"/>
        <v>n.a.</v>
      </c>
      <c r="K348" s="525" t="str">
        <f t="shared" si="87"/>
        <v>n.a.</v>
      </c>
      <c r="L348" s="525" t="str">
        <f t="shared" si="88"/>
        <v>n.a.</v>
      </c>
      <c r="M348" s="525" t="str">
        <f t="shared" si="88"/>
        <v>n.a.</v>
      </c>
      <c r="N348" s="525" t="str">
        <f t="shared" si="88"/>
        <v>n.a.</v>
      </c>
      <c r="O348" s="525" t="str">
        <f t="shared" si="88"/>
        <v>n.a.</v>
      </c>
      <c r="P348" s="525" t="str">
        <f t="shared" si="88"/>
        <v>n.a.</v>
      </c>
      <c r="Q348" s="525" t="str">
        <f t="shared" si="88"/>
        <v>n.a.</v>
      </c>
      <c r="R348" s="525" t="str">
        <f t="shared" si="88"/>
        <v>n.a.</v>
      </c>
      <c r="S348" s="525" t="str">
        <f t="shared" si="88"/>
        <v>n.a.</v>
      </c>
    </row>
    <row r="349" spans="1:19" s="110" customFormat="1" x14ac:dyDescent="0.25">
      <c r="A349" s="785">
        <v>216</v>
      </c>
      <c r="B349" s="525" t="str">
        <f t="shared" si="87"/>
        <v>n.a.</v>
      </c>
      <c r="C349" s="525" t="str">
        <f t="shared" si="87"/>
        <v>n.a.</v>
      </c>
      <c r="D349" s="525" t="str">
        <f t="shared" si="87"/>
        <v>n.a.</v>
      </c>
      <c r="E349" s="525" t="str">
        <f t="shared" si="87"/>
        <v>n.a.</v>
      </c>
      <c r="F349" s="525" t="str">
        <f t="shared" si="87"/>
        <v>72259100</v>
      </c>
      <c r="G349" s="525" t="str">
        <f t="shared" si="87"/>
        <v>n.a.</v>
      </c>
      <c r="H349" s="525" t="str">
        <f t="shared" si="87"/>
        <v>n.a.</v>
      </c>
      <c r="I349" s="525" t="str">
        <f t="shared" si="87"/>
        <v>n.a.</v>
      </c>
      <c r="J349" s="525" t="str">
        <f t="shared" si="87"/>
        <v>n.a.</v>
      </c>
      <c r="K349" s="525" t="str">
        <f t="shared" si="87"/>
        <v>n.a.</v>
      </c>
      <c r="L349" s="525" t="str">
        <f t="shared" si="88"/>
        <v>n.a.</v>
      </c>
      <c r="M349" s="525" t="str">
        <f t="shared" si="88"/>
        <v>n.a.</v>
      </c>
      <c r="N349" s="525" t="str">
        <f t="shared" si="88"/>
        <v>n.a.</v>
      </c>
      <c r="O349" s="525" t="str">
        <f t="shared" si="88"/>
        <v>n.a.</v>
      </c>
      <c r="P349" s="525" t="str">
        <f t="shared" si="88"/>
        <v>n.a.</v>
      </c>
      <c r="Q349" s="525" t="str">
        <f t="shared" si="88"/>
        <v>n.a.</v>
      </c>
      <c r="R349" s="525" t="str">
        <f t="shared" si="88"/>
        <v>n.a.</v>
      </c>
      <c r="S349" s="525" t="str">
        <f t="shared" si="88"/>
        <v>n.a.</v>
      </c>
    </row>
    <row r="350" spans="1:19" s="110" customFormat="1" x14ac:dyDescent="0.25">
      <c r="A350" s="785">
        <v>217</v>
      </c>
      <c r="B350" s="525" t="str">
        <f t="shared" si="87"/>
        <v>n.a.</v>
      </c>
      <c r="C350" s="525" t="str">
        <f t="shared" si="87"/>
        <v>n.a.</v>
      </c>
      <c r="D350" s="525" t="str">
        <f t="shared" si="87"/>
        <v>n.a.</v>
      </c>
      <c r="E350" s="525" t="str">
        <f t="shared" si="87"/>
        <v>n.a.</v>
      </c>
      <c r="F350" s="525" t="str">
        <f t="shared" si="87"/>
        <v>72259200</v>
      </c>
      <c r="G350" s="525" t="str">
        <f t="shared" si="87"/>
        <v>n.a.</v>
      </c>
      <c r="H350" s="525" t="str">
        <f t="shared" si="87"/>
        <v>n.a.</v>
      </c>
      <c r="I350" s="525" t="str">
        <f t="shared" si="87"/>
        <v>n.a.</v>
      </c>
      <c r="J350" s="525" t="str">
        <f t="shared" si="87"/>
        <v>n.a.</v>
      </c>
      <c r="K350" s="525" t="str">
        <f t="shared" si="87"/>
        <v>n.a.</v>
      </c>
      <c r="L350" s="525" t="str">
        <f t="shared" si="88"/>
        <v>n.a.</v>
      </c>
      <c r="M350" s="525" t="str">
        <f t="shared" si="88"/>
        <v>n.a.</v>
      </c>
      <c r="N350" s="525" t="str">
        <f t="shared" si="88"/>
        <v>n.a.</v>
      </c>
      <c r="O350" s="525" t="str">
        <f t="shared" si="88"/>
        <v>n.a.</v>
      </c>
      <c r="P350" s="525" t="str">
        <f t="shared" si="88"/>
        <v>n.a.</v>
      </c>
      <c r="Q350" s="525" t="str">
        <f t="shared" si="88"/>
        <v>n.a.</v>
      </c>
      <c r="R350" s="525" t="str">
        <f t="shared" si="88"/>
        <v>n.a.</v>
      </c>
      <c r="S350" s="525" t="str">
        <f t="shared" si="88"/>
        <v>n.a.</v>
      </c>
    </row>
    <row r="351" spans="1:19" s="110" customFormat="1" x14ac:dyDescent="0.25">
      <c r="A351" s="785">
        <v>218</v>
      </c>
      <c r="B351" s="525" t="str">
        <f t="shared" si="87"/>
        <v>n.a.</v>
      </c>
      <c r="C351" s="525" t="str">
        <f t="shared" si="87"/>
        <v>n.a.</v>
      </c>
      <c r="D351" s="525" t="str">
        <f t="shared" si="87"/>
        <v>n.a.</v>
      </c>
      <c r="E351" s="525" t="str">
        <f t="shared" si="87"/>
        <v>n.a.</v>
      </c>
      <c r="F351" s="525" t="str">
        <f t="shared" si="87"/>
        <v>72259900</v>
      </c>
      <c r="G351" s="525" t="str">
        <f t="shared" si="87"/>
        <v>n.a.</v>
      </c>
      <c r="H351" s="525" t="str">
        <f t="shared" si="87"/>
        <v>n.a.</v>
      </c>
      <c r="I351" s="525" t="str">
        <f t="shared" si="87"/>
        <v>n.a.</v>
      </c>
      <c r="J351" s="525" t="str">
        <f t="shared" si="87"/>
        <v>n.a.</v>
      </c>
      <c r="K351" s="525" t="str">
        <f t="shared" si="87"/>
        <v>n.a.</v>
      </c>
      <c r="L351" s="525" t="str">
        <f t="shared" si="88"/>
        <v>n.a.</v>
      </c>
      <c r="M351" s="525" t="str">
        <f t="shared" si="88"/>
        <v>n.a.</v>
      </c>
      <c r="N351" s="525" t="str">
        <f t="shared" si="88"/>
        <v>n.a.</v>
      </c>
      <c r="O351" s="525" t="str">
        <f t="shared" si="88"/>
        <v>n.a.</v>
      </c>
      <c r="P351" s="525" t="str">
        <f t="shared" si="88"/>
        <v>n.a.</v>
      </c>
      <c r="Q351" s="525" t="str">
        <f t="shared" si="88"/>
        <v>n.a.</v>
      </c>
      <c r="R351" s="525" t="str">
        <f t="shared" si="88"/>
        <v>n.a.</v>
      </c>
      <c r="S351" s="525" t="str">
        <f t="shared" si="88"/>
        <v>n.a.</v>
      </c>
    </row>
    <row r="352" spans="1:19" s="110" customFormat="1" x14ac:dyDescent="0.25">
      <c r="A352" s="785">
        <v>219</v>
      </c>
      <c r="B352" s="525" t="str">
        <f t="shared" si="87"/>
        <v>n.a.</v>
      </c>
      <c r="C352" s="525" t="str">
        <f t="shared" si="87"/>
        <v>n.a.</v>
      </c>
      <c r="D352" s="525" t="str">
        <f t="shared" si="87"/>
        <v>n.a.</v>
      </c>
      <c r="E352" s="525" t="str">
        <f t="shared" si="87"/>
        <v>n.a.</v>
      </c>
      <c r="F352" s="525" t="str">
        <f t="shared" si="87"/>
        <v>72261100</v>
      </c>
      <c r="G352" s="525" t="str">
        <f t="shared" si="87"/>
        <v>n.a.</v>
      </c>
      <c r="H352" s="525" t="str">
        <f t="shared" si="87"/>
        <v>n.a.</v>
      </c>
      <c r="I352" s="525" t="str">
        <f t="shared" si="87"/>
        <v>n.a.</v>
      </c>
      <c r="J352" s="525" t="str">
        <f t="shared" si="87"/>
        <v>n.a.</v>
      </c>
      <c r="K352" s="525" t="str">
        <f t="shared" si="87"/>
        <v>n.a.</v>
      </c>
      <c r="L352" s="525" t="str">
        <f t="shared" si="88"/>
        <v>n.a.</v>
      </c>
      <c r="M352" s="525" t="str">
        <f t="shared" si="88"/>
        <v>n.a.</v>
      </c>
      <c r="N352" s="525" t="str">
        <f t="shared" si="88"/>
        <v>n.a.</v>
      </c>
      <c r="O352" s="525" t="str">
        <f t="shared" si="88"/>
        <v>n.a.</v>
      </c>
      <c r="P352" s="525" t="str">
        <f t="shared" si="88"/>
        <v>n.a.</v>
      </c>
      <c r="Q352" s="525" t="str">
        <f t="shared" si="88"/>
        <v>n.a.</v>
      </c>
      <c r="R352" s="525" t="str">
        <f t="shared" si="88"/>
        <v>n.a.</v>
      </c>
      <c r="S352" s="525" t="str">
        <f t="shared" si="88"/>
        <v>n.a.</v>
      </c>
    </row>
    <row r="353" spans="1:19" s="110" customFormat="1" x14ac:dyDescent="0.25">
      <c r="A353" s="785">
        <v>220</v>
      </c>
      <c r="B353" s="525" t="str">
        <f t="shared" si="87"/>
        <v>n.a.</v>
      </c>
      <c r="C353" s="525" t="str">
        <f t="shared" si="87"/>
        <v>n.a.</v>
      </c>
      <c r="D353" s="525" t="str">
        <f t="shared" si="87"/>
        <v>n.a.</v>
      </c>
      <c r="E353" s="525" t="str">
        <f t="shared" si="87"/>
        <v>n.a.</v>
      </c>
      <c r="F353" s="525" t="str">
        <f t="shared" si="87"/>
        <v>72261910</v>
      </c>
      <c r="G353" s="525" t="str">
        <f t="shared" si="87"/>
        <v>n.a.</v>
      </c>
      <c r="H353" s="525" t="str">
        <f t="shared" si="87"/>
        <v>n.a.</v>
      </c>
      <c r="I353" s="525" t="str">
        <f t="shared" si="87"/>
        <v>n.a.</v>
      </c>
      <c r="J353" s="525" t="str">
        <f t="shared" si="87"/>
        <v>n.a.</v>
      </c>
      <c r="K353" s="525" t="str">
        <f t="shared" si="87"/>
        <v>n.a.</v>
      </c>
      <c r="L353" s="525" t="str">
        <f t="shared" si="88"/>
        <v>n.a.</v>
      </c>
      <c r="M353" s="525" t="str">
        <f t="shared" si="88"/>
        <v>n.a.</v>
      </c>
      <c r="N353" s="525" t="str">
        <f t="shared" si="88"/>
        <v>n.a.</v>
      </c>
      <c r="O353" s="525" t="str">
        <f t="shared" si="88"/>
        <v>n.a.</v>
      </c>
      <c r="P353" s="525" t="str">
        <f t="shared" si="88"/>
        <v>n.a.</v>
      </c>
      <c r="Q353" s="525" t="str">
        <f t="shared" si="88"/>
        <v>n.a.</v>
      </c>
      <c r="R353" s="525" t="str">
        <f t="shared" si="88"/>
        <v>n.a.</v>
      </c>
      <c r="S353" s="525" t="str">
        <f t="shared" si="88"/>
        <v>n.a.</v>
      </c>
    </row>
    <row r="354" spans="1:19" s="110" customFormat="1" x14ac:dyDescent="0.25">
      <c r="A354" s="785">
        <v>221</v>
      </c>
      <c r="B354" s="525" t="str">
        <f t="shared" ref="B354:K363" si="89">IFERROR(INDEX(CNCodes_ListKey,MATCH($A354&amp;"_"&amp;B$132,CNCodes_ListNumbering,0)),CONST_NA)</f>
        <v>n.a.</v>
      </c>
      <c r="C354" s="525" t="str">
        <f t="shared" si="89"/>
        <v>n.a.</v>
      </c>
      <c r="D354" s="525" t="str">
        <f t="shared" si="89"/>
        <v>n.a.</v>
      </c>
      <c r="E354" s="525" t="str">
        <f t="shared" si="89"/>
        <v>n.a.</v>
      </c>
      <c r="F354" s="525" t="str">
        <f t="shared" si="89"/>
        <v>72261980</v>
      </c>
      <c r="G354" s="525" t="str">
        <f t="shared" si="89"/>
        <v>n.a.</v>
      </c>
      <c r="H354" s="525" t="str">
        <f t="shared" si="89"/>
        <v>n.a.</v>
      </c>
      <c r="I354" s="525" t="str">
        <f t="shared" si="89"/>
        <v>n.a.</v>
      </c>
      <c r="J354" s="525" t="str">
        <f t="shared" si="89"/>
        <v>n.a.</v>
      </c>
      <c r="K354" s="525" t="str">
        <f t="shared" si="89"/>
        <v>n.a.</v>
      </c>
      <c r="L354" s="525" t="str">
        <f t="shared" ref="L354:S363" si="90">IFERROR(INDEX(CNCodes_ListKey,MATCH($A354&amp;"_"&amp;L$132,CNCodes_ListNumbering,0)),CONST_NA)</f>
        <v>n.a.</v>
      </c>
      <c r="M354" s="525" t="str">
        <f t="shared" si="90"/>
        <v>n.a.</v>
      </c>
      <c r="N354" s="525" t="str">
        <f t="shared" si="90"/>
        <v>n.a.</v>
      </c>
      <c r="O354" s="525" t="str">
        <f t="shared" si="90"/>
        <v>n.a.</v>
      </c>
      <c r="P354" s="525" t="str">
        <f t="shared" si="90"/>
        <v>n.a.</v>
      </c>
      <c r="Q354" s="525" t="str">
        <f t="shared" si="90"/>
        <v>n.a.</v>
      </c>
      <c r="R354" s="525" t="str">
        <f t="shared" si="90"/>
        <v>n.a.</v>
      </c>
      <c r="S354" s="525" t="str">
        <f t="shared" si="90"/>
        <v>n.a.</v>
      </c>
    </row>
    <row r="355" spans="1:19" s="110" customFormat="1" x14ac:dyDescent="0.25">
      <c r="A355" s="785">
        <v>222</v>
      </c>
      <c r="B355" s="525" t="str">
        <f t="shared" si="89"/>
        <v>n.a.</v>
      </c>
      <c r="C355" s="525" t="str">
        <f t="shared" si="89"/>
        <v>n.a.</v>
      </c>
      <c r="D355" s="525" t="str">
        <f t="shared" si="89"/>
        <v>n.a.</v>
      </c>
      <c r="E355" s="525" t="str">
        <f t="shared" si="89"/>
        <v>n.a.</v>
      </c>
      <c r="F355" s="525" t="str">
        <f t="shared" si="89"/>
        <v>72262000</v>
      </c>
      <c r="G355" s="525" t="str">
        <f t="shared" si="89"/>
        <v>n.a.</v>
      </c>
      <c r="H355" s="525" t="str">
        <f t="shared" si="89"/>
        <v>n.a.</v>
      </c>
      <c r="I355" s="525" t="str">
        <f t="shared" si="89"/>
        <v>n.a.</v>
      </c>
      <c r="J355" s="525" t="str">
        <f t="shared" si="89"/>
        <v>n.a.</v>
      </c>
      <c r="K355" s="525" t="str">
        <f t="shared" si="89"/>
        <v>n.a.</v>
      </c>
      <c r="L355" s="525" t="str">
        <f t="shared" si="90"/>
        <v>n.a.</v>
      </c>
      <c r="M355" s="525" t="str">
        <f t="shared" si="90"/>
        <v>n.a.</v>
      </c>
      <c r="N355" s="525" t="str">
        <f t="shared" si="90"/>
        <v>n.a.</v>
      </c>
      <c r="O355" s="525" t="str">
        <f t="shared" si="90"/>
        <v>n.a.</v>
      </c>
      <c r="P355" s="525" t="str">
        <f t="shared" si="90"/>
        <v>n.a.</v>
      </c>
      <c r="Q355" s="525" t="str">
        <f t="shared" si="90"/>
        <v>n.a.</v>
      </c>
      <c r="R355" s="525" t="str">
        <f t="shared" si="90"/>
        <v>n.a.</v>
      </c>
      <c r="S355" s="525" t="str">
        <f t="shared" si="90"/>
        <v>n.a.</v>
      </c>
    </row>
    <row r="356" spans="1:19" s="110" customFormat="1" x14ac:dyDescent="0.25">
      <c r="A356" s="785">
        <v>223</v>
      </c>
      <c r="B356" s="525" t="str">
        <f t="shared" si="89"/>
        <v>n.a.</v>
      </c>
      <c r="C356" s="525" t="str">
        <f t="shared" si="89"/>
        <v>n.a.</v>
      </c>
      <c r="D356" s="525" t="str">
        <f t="shared" si="89"/>
        <v>n.a.</v>
      </c>
      <c r="E356" s="525" t="str">
        <f t="shared" si="89"/>
        <v>n.a.</v>
      </c>
      <c r="F356" s="525" t="str">
        <f t="shared" si="89"/>
        <v>72269120</v>
      </c>
      <c r="G356" s="525" t="str">
        <f t="shared" si="89"/>
        <v>n.a.</v>
      </c>
      <c r="H356" s="525" t="str">
        <f t="shared" si="89"/>
        <v>n.a.</v>
      </c>
      <c r="I356" s="525" t="str">
        <f t="shared" si="89"/>
        <v>n.a.</v>
      </c>
      <c r="J356" s="525" t="str">
        <f t="shared" si="89"/>
        <v>n.a.</v>
      </c>
      <c r="K356" s="525" t="str">
        <f t="shared" si="89"/>
        <v>n.a.</v>
      </c>
      <c r="L356" s="525" t="str">
        <f t="shared" si="90"/>
        <v>n.a.</v>
      </c>
      <c r="M356" s="525" t="str">
        <f t="shared" si="90"/>
        <v>n.a.</v>
      </c>
      <c r="N356" s="525" t="str">
        <f t="shared" si="90"/>
        <v>n.a.</v>
      </c>
      <c r="O356" s="525" t="str">
        <f t="shared" si="90"/>
        <v>n.a.</v>
      </c>
      <c r="P356" s="525" t="str">
        <f t="shared" si="90"/>
        <v>n.a.</v>
      </c>
      <c r="Q356" s="525" t="str">
        <f t="shared" si="90"/>
        <v>n.a.</v>
      </c>
      <c r="R356" s="525" t="str">
        <f t="shared" si="90"/>
        <v>n.a.</v>
      </c>
      <c r="S356" s="525" t="str">
        <f t="shared" si="90"/>
        <v>n.a.</v>
      </c>
    </row>
    <row r="357" spans="1:19" s="110" customFormat="1" x14ac:dyDescent="0.25">
      <c r="A357" s="785">
        <v>224</v>
      </c>
      <c r="B357" s="525" t="str">
        <f t="shared" si="89"/>
        <v>n.a.</v>
      </c>
      <c r="C357" s="525" t="str">
        <f t="shared" si="89"/>
        <v>n.a.</v>
      </c>
      <c r="D357" s="525" t="str">
        <f t="shared" si="89"/>
        <v>n.a.</v>
      </c>
      <c r="E357" s="525" t="str">
        <f t="shared" si="89"/>
        <v>n.a.</v>
      </c>
      <c r="F357" s="525" t="str">
        <f t="shared" si="89"/>
        <v>72269191</v>
      </c>
      <c r="G357" s="525" t="str">
        <f t="shared" si="89"/>
        <v>n.a.</v>
      </c>
      <c r="H357" s="525" t="str">
        <f t="shared" si="89"/>
        <v>n.a.</v>
      </c>
      <c r="I357" s="525" t="str">
        <f t="shared" si="89"/>
        <v>n.a.</v>
      </c>
      <c r="J357" s="525" t="str">
        <f t="shared" si="89"/>
        <v>n.a.</v>
      </c>
      <c r="K357" s="525" t="str">
        <f t="shared" si="89"/>
        <v>n.a.</v>
      </c>
      <c r="L357" s="525" t="str">
        <f t="shared" si="90"/>
        <v>n.a.</v>
      </c>
      <c r="M357" s="525" t="str">
        <f t="shared" si="90"/>
        <v>n.a.</v>
      </c>
      <c r="N357" s="525" t="str">
        <f t="shared" si="90"/>
        <v>n.a.</v>
      </c>
      <c r="O357" s="525" t="str">
        <f t="shared" si="90"/>
        <v>n.a.</v>
      </c>
      <c r="P357" s="525" t="str">
        <f t="shared" si="90"/>
        <v>n.a.</v>
      </c>
      <c r="Q357" s="525" t="str">
        <f t="shared" si="90"/>
        <v>n.a.</v>
      </c>
      <c r="R357" s="525" t="str">
        <f t="shared" si="90"/>
        <v>n.a.</v>
      </c>
      <c r="S357" s="525" t="str">
        <f t="shared" si="90"/>
        <v>n.a.</v>
      </c>
    </row>
    <row r="358" spans="1:19" s="110" customFormat="1" x14ac:dyDescent="0.25">
      <c r="A358" s="785">
        <v>225</v>
      </c>
      <c r="B358" s="525" t="str">
        <f t="shared" si="89"/>
        <v>n.a.</v>
      </c>
      <c r="C358" s="525" t="str">
        <f t="shared" si="89"/>
        <v>n.a.</v>
      </c>
      <c r="D358" s="525" t="str">
        <f t="shared" si="89"/>
        <v>n.a.</v>
      </c>
      <c r="E358" s="525" t="str">
        <f t="shared" si="89"/>
        <v>n.a.</v>
      </c>
      <c r="F358" s="525" t="str">
        <f t="shared" si="89"/>
        <v>72269199</v>
      </c>
      <c r="G358" s="525" t="str">
        <f t="shared" si="89"/>
        <v>n.a.</v>
      </c>
      <c r="H358" s="525" t="str">
        <f t="shared" si="89"/>
        <v>n.a.</v>
      </c>
      <c r="I358" s="525" t="str">
        <f t="shared" si="89"/>
        <v>n.a.</v>
      </c>
      <c r="J358" s="525" t="str">
        <f t="shared" si="89"/>
        <v>n.a.</v>
      </c>
      <c r="K358" s="525" t="str">
        <f t="shared" si="89"/>
        <v>n.a.</v>
      </c>
      <c r="L358" s="525" t="str">
        <f t="shared" si="90"/>
        <v>n.a.</v>
      </c>
      <c r="M358" s="525" t="str">
        <f t="shared" si="90"/>
        <v>n.a.</v>
      </c>
      <c r="N358" s="525" t="str">
        <f t="shared" si="90"/>
        <v>n.a.</v>
      </c>
      <c r="O358" s="525" t="str">
        <f t="shared" si="90"/>
        <v>n.a.</v>
      </c>
      <c r="P358" s="525" t="str">
        <f t="shared" si="90"/>
        <v>n.a.</v>
      </c>
      <c r="Q358" s="525" t="str">
        <f t="shared" si="90"/>
        <v>n.a.</v>
      </c>
      <c r="R358" s="525" t="str">
        <f t="shared" si="90"/>
        <v>n.a.</v>
      </c>
      <c r="S358" s="525" t="str">
        <f t="shared" si="90"/>
        <v>n.a.</v>
      </c>
    </row>
    <row r="359" spans="1:19" s="110" customFormat="1" x14ac:dyDescent="0.25">
      <c r="A359" s="785">
        <v>226</v>
      </c>
      <c r="B359" s="525" t="str">
        <f t="shared" si="89"/>
        <v>n.a.</v>
      </c>
      <c r="C359" s="525" t="str">
        <f t="shared" si="89"/>
        <v>n.a.</v>
      </c>
      <c r="D359" s="525" t="str">
        <f t="shared" si="89"/>
        <v>n.a.</v>
      </c>
      <c r="E359" s="525" t="str">
        <f t="shared" si="89"/>
        <v>n.a.</v>
      </c>
      <c r="F359" s="525" t="str">
        <f t="shared" si="89"/>
        <v>72269200</v>
      </c>
      <c r="G359" s="525" t="str">
        <f t="shared" si="89"/>
        <v>n.a.</v>
      </c>
      <c r="H359" s="525" t="str">
        <f t="shared" si="89"/>
        <v>n.a.</v>
      </c>
      <c r="I359" s="525" t="str">
        <f t="shared" si="89"/>
        <v>n.a.</v>
      </c>
      <c r="J359" s="525" t="str">
        <f t="shared" si="89"/>
        <v>n.a.</v>
      </c>
      <c r="K359" s="525" t="str">
        <f t="shared" si="89"/>
        <v>n.a.</v>
      </c>
      <c r="L359" s="525" t="str">
        <f t="shared" si="90"/>
        <v>n.a.</v>
      </c>
      <c r="M359" s="525" t="str">
        <f t="shared" si="90"/>
        <v>n.a.</v>
      </c>
      <c r="N359" s="525" t="str">
        <f t="shared" si="90"/>
        <v>n.a.</v>
      </c>
      <c r="O359" s="525" t="str">
        <f t="shared" si="90"/>
        <v>n.a.</v>
      </c>
      <c r="P359" s="525" t="str">
        <f t="shared" si="90"/>
        <v>n.a.</v>
      </c>
      <c r="Q359" s="525" t="str">
        <f t="shared" si="90"/>
        <v>n.a.</v>
      </c>
      <c r="R359" s="525" t="str">
        <f t="shared" si="90"/>
        <v>n.a.</v>
      </c>
      <c r="S359" s="525" t="str">
        <f t="shared" si="90"/>
        <v>n.a.</v>
      </c>
    </row>
    <row r="360" spans="1:19" s="110" customFormat="1" x14ac:dyDescent="0.25">
      <c r="A360" s="785">
        <v>227</v>
      </c>
      <c r="B360" s="525" t="str">
        <f t="shared" si="89"/>
        <v>n.a.</v>
      </c>
      <c r="C360" s="525" t="str">
        <f t="shared" si="89"/>
        <v>n.a.</v>
      </c>
      <c r="D360" s="525" t="str">
        <f t="shared" si="89"/>
        <v>n.a.</v>
      </c>
      <c r="E360" s="525" t="str">
        <f t="shared" si="89"/>
        <v>n.a.</v>
      </c>
      <c r="F360" s="525" t="str">
        <f t="shared" si="89"/>
        <v>72269910</v>
      </c>
      <c r="G360" s="525" t="str">
        <f t="shared" si="89"/>
        <v>n.a.</v>
      </c>
      <c r="H360" s="525" t="str">
        <f t="shared" si="89"/>
        <v>n.a.</v>
      </c>
      <c r="I360" s="525" t="str">
        <f t="shared" si="89"/>
        <v>n.a.</v>
      </c>
      <c r="J360" s="525" t="str">
        <f t="shared" si="89"/>
        <v>n.a.</v>
      </c>
      <c r="K360" s="525" t="str">
        <f t="shared" si="89"/>
        <v>n.a.</v>
      </c>
      <c r="L360" s="525" t="str">
        <f t="shared" si="90"/>
        <v>n.a.</v>
      </c>
      <c r="M360" s="525" t="str">
        <f t="shared" si="90"/>
        <v>n.a.</v>
      </c>
      <c r="N360" s="525" t="str">
        <f t="shared" si="90"/>
        <v>n.a.</v>
      </c>
      <c r="O360" s="525" t="str">
        <f t="shared" si="90"/>
        <v>n.a.</v>
      </c>
      <c r="P360" s="525" t="str">
        <f t="shared" si="90"/>
        <v>n.a.</v>
      </c>
      <c r="Q360" s="525" t="str">
        <f t="shared" si="90"/>
        <v>n.a.</v>
      </c>
      <c r="R360" s="525" t="str">
        <f t="shared" si="90"/>
        <v>n.a.</v>
      </c>
      <c r="S360" s="525" t="str">
        <f t="shared" si="90"/>
        <v>n.a.</v>
      </c>
    </row>
    <row r="361" spans="1:19" s="110" customFormat="1" x14ac:dyDescent="0.25">
      <c r="A361" s="785">
        <v>228</v>
      </c>
      <c r="B361" s="525" t="str">
        <f t="shared" si="89"/>
        <v>n.a.</v>
      </c>
      <c r="C361" s="525" t="str">
        <f t="shared" si="89"/>
        <v>n.a.</v>
      </c>
      <c r="D361" s="525" t="str">
        <f t="shared" si="89"/>
        <v>n.a.</v>
      </c>
      <c r="E361" s="525" t="str">
        <f t="shared" si="89"/>
        <v>n.a.</v>
      </c>
      <c r="F361" s="525" t="str">
        <f t="shared" si="89"/>
        <v>72269930</v>
      </c>
      <c r="G361" s="525" t="str">
        <f t="shared" si="89"/>
        <v>n.a.</v>
      </c>
      <c r="H361" s="525" t="str">
        <f t="shared" si="89"/>
        <v>n.a.</v>
      </c>
      <c r="I361" s="525" t="str">
        <f t="shared" si="89"/>
        <v>n.a.</v>
      </c>
      <c r="J361" s="525" t="str">
        <f t="shared" si="89"/>
        <v>n.a.</v>
      </c>
      <c r="K361" s="525" t="str">
        <f t="shared" si="89"/>
        <v>n.a.</v>
      </c>
      <c r="L361" s="525" t="str">
        <f t="shared" si="90"/>
        <v>n.a.</v>
      </c>
      <c r="M361" s="525" t="str">
        <f t="shared" si="90"/>
        <v>n.a.</v>
      </c>
      <c r="N361" s="525" t="str">
        <f t="shared" si="90"/>
        <v>n.a.</v>
      </c>
      <c r="O361" s="525" t="str">
        <f t="shared" si="90"/>
        <v>n.a.</v>
      </c>
      <c r="P361" s="525" t="str">
        <f t="shared" si="90"/>
        <v>n.a.</v>
      </c>
      <c r="Q361" s="525" t="str">
        <f t="shared" si="90"/>
        <v>n.a.</v>
      </c>
      <c r="R361" s="525" t="str">
        <f t="shared" si="90"/>
        <v>n.a.</v>
      </c>
      <c r="S361" s="525" t="str">
        <f t="shared" si="90"/>
        <v>n.a.</v>
      </c>
    </row>
    <row r="362" spans="1:19" s="110" customFormat="1" x14ac:dyDescent="0.25">
      <c r="A362" s="785">
        <v>229</v>
      </c>
      <c r="B362" s="525" t="str">
        <f t="shared" si="89"/>
        <v>n.a.</v>
      </c>
      <c r="C362" s="525" t="str">
        <f t="shared" si="89"/>
        <v>n.a.</v>
      </c>
      <c r="D362" s="525" t="str">
        <f t="shared" si="89"/>
        <v>n.a.</v>
      </c>
      <c r="E362" s="525" t="str">
        <f t="shared" si="89"/>
        <v>n.a.</v>
      </c>
      <c r="F362" s="525" t="str">
        <f t="shared" si="89"/>
        <v>72269970</v>
      </c>
      <c r="G362" s="525" t="str">
        <f t="shared" si="89"/>
        <v>n.a.</v>
      </c>
      <c r="H362" s="525" t="str">
        <f t="shared" si="89"/>
        <v>n.a.</v>
      </c>
      <c r="I362" s="525" t="str">
        <f t="shared" si="89"/>
        <v>n.a.</v>
      </c>
      <c r="J362" s="525" t="str">
        <f t="shared" si="89"/>
        <v>n.a.</v>
      </c>
      <c r="K362" s="525" t="str">
        <f t="shared" si="89"/>
        <v>n.a.</v>
      </c>
      <c r="L362" s="525" t="str">
        <f t="shared" si="90"/>
        <v>n.a.</v>
      </c>
      <c r="M362" s="525" t="str">
        <f t="shared" si="90"/>
        <v>n.a.</v>
      </c>
      <c r="N362" s="525" t="str">
        <f t="shared" si="90"/>
        <v>n.a.</v>
      </c>
      <c r="O362" s="525" t="str">
        <f t="shared" si="90"/>
        <v>n.a.</v>
      </c>
      <c r="P362" s="525" t="str">
        <f t="shared" si="90"/>
        <v>n.a.</v>
      </c>
      <c r="Q362" s="525" t="str">
        <f t="shared" si="90"/>
        <v>n.a.</v>
      </c>
      <c r="R362" s="525" t="str">
        <f t="shared" si="90"/>
        <v>n.a.</v>
      </c>
      <c r="S362" s="525" t="str">
        <f t="shared" si="90"/>
        <v>n.a.</v>
      </c>
    </row>
    <row r="363" spans="1:19" s="110" customFormat="1" x14ac:dyDescent="0.25">
      <c r="A363" s="785">
        <v>230</v>
      </c>
      <c r="B363" s="525" t="str">
        <f t="shared" si="89"/>
        <v>n.a.</v>
      </c>
      <c r="C363" s="525" t="str">
        <f t="shared" si="89"/>
        <v>n.a.</v>
      </c>
      <c r="D363" s="525" t="str">
        <f t="shared" si="89"/>
        <v>n.a.</v>
      </c>
      <c r="E363" s="525" t="str">
        <f t="shared" si="89"/>
        <v>n.a.</v>
      </c>
      <c r="F363" s="525" t="str">
        <f t="shared" si="89"/>
        <v>72271000</v>
      </c>
      <c r="G363" s="525" t="str">
        <f t="shared" si="89"/>
        <v>n.a.</v>
      </c>
      <c r="H363" s="525" t="str">
        <f t="shared" si="89"/>
        <v>n.a.</v>
      </c>
      <c r="I363" s="525" t="str">
        <f t="shared" si="89"/>
        <v>n.a.</v>
      </c>
      <c r="J363" s="525" t="str">
        <f t="shared" si="89"/>
        <v>n.a.</v>
      </c>
      <c r="K363" s="525" t="str">
        <f t="shared" si="89"/>
        <v>n.a.</v>
      </c>
      <c r="L363" s="525" t="str">
        <f t="shared" si="90"/>
        <v>n.a.</v>
      </c>
      <c r="M363" s="525" t="str">
        <f t="shared" si="90"/>
        <v>n.a.</v>
      </c>
      <c r="N363" s="525" t="str">
        <f t="shared" si="90"/>
        <v>n.a.</v>
      </c>
      <c r="O363" s="525" t="str">
        <f t="shared" si="90"/>
        <v>n.a.</v>
      </c>
      <c r="P363" s="525" t="str">
        <f t="shared" si="90"/>
        <v>n.a.</v>
      </c>
      <c r="Q363" s="525" t="str">
        <f t="shared" si="90"/>
        <v>n.a.</v>
      </c>
      <c r="R363" s="525" t="str">
        <f t="shared" si="90"/>
        <v>n.a.</v>
      </c>
      <c r="S363" s="525" t="str">
        <f t="shared" si="90"/>
        <v>n.a.</v>
      </c>
    </row>
    <row r="364" spans="1:19" s="110" customFormat="1" x14ac:dyDescent="0.25">
      <c r="A364" s="785">
        <v>231</v>
      </c>
      <c r="B364" s="525" t="str">
        <f t="shared" ref="B364:K373" si="91">IFERROR(INDEX(CNCodes_ListKey,MATCH($A364&amp;"_"&amp;B$132,CNCodes_ListNumbering,0)),CONST_NA)</f>
        <v>n.a.</v>
      </c>
      <c r="C364" s="525" t="str">
        <f t="shared" si="91"/>
        <v>n.a.</v>
      </c>
      <c r="D364" s="525" t="str">
        <f t="shared" si="91"/>
        <v>n.a.</v>
      </c>
      <c r="E364" s="525" t="str">
        <f t="shared" si="91"/>
        <v>n.a.</v>
      </c>
      <c r="F364" s="525" t="str">
        <f t="shared" si="91"/>
        <v>72272000</v>
      </c>
      <c r="G364" s="525" t="str">
        <f t="shared" si="91"/>
        <v>n.a.</v>
      </c>
      <c r="H364" s="525" t="str">
        <f t="shared" si="91"/>
        <v>n.a.</v>
      </c>
      <c r="I364" s="525" t="str">
        <f t="shared" si="91"/>
        <v>n.a.</v>
      </c>
      <c r="J364" s="525" t="str">
        <f t="shared" si="91"/>
        <v>n.a.</v>
      </c>
      <c r="K364" s="525" t="str">
        <f t="shared" si="91"/>
        <v>n.a.</v>
      </c>
      <c r="L364" s="525" t="str">
        <f t="shared" ref="L364:S373" si="92">IFERROR(INDEX(CNCodes_ListKey,MATCH($A364&amp;"_"&amp;L$132,CNCodes_ListNumbering,0)),CONST_NA)</f>
        <v>n.a.</v>
      </c>
      <c r="M364" s="525" t="str">
        <f t="shared" si="92"/>
        <v>n.a.</v>
      </c>
      <c r="N364" s="525" t="str">
        <f t="shared" si="92"/>
        <v>n.a.</v>
      </c>
      <c r="O364" s="525" t="str">
        <f t="shared" si="92"/>
        <v>n.a.</v>
      </c>
      <c r="P364" s="525" t="str">
        <f t="shared" si="92"/>
        <v>n.a.</v>
      </c>
      <c r="Q364" s="525" t="str">
        <f t="shared" si="92"/>
        <v>n.a.</v>
      </c>
      <c r="R364" s="525" t="str">
        <f t="shared" si="92"/>
        <v>n.a.</v>
      </c>
      <c r="S364" s="525" t="str">
        <f t="shared" si="92"/>
        <v>n.a.</v>
      </c>
    </row>
    <row r="365" spans="1:19" s="110" customFormat="1" x14ac:dyDescent="0.25">
      <c r="A365" s="785">
        <v>232</v>
      </c>
      <c r="B365" s="525" t="str">
        <f t="shared" si="91"/>
        <v>n.a.</v>
      </c>
      <c r="C365" s="525" t="str">
        <f t="shared" si="91"/>
        <v>n.a.</v>
      </c>
      <c r="D365" s="525" t="str">
        <f t="shared" si="91"/>
        <v>n.a.</v>
      </c>
      <c r="E365" s="525" t="str">
        <f t="shared" si="91"/>
        <v>n.a.</v>
      </c>
      <c r="F365" s="525" t="str">
        <f t="shared" si="91"/>
        <v>72279010</v>
      </c>
      <c r="G365" s="525" t="str">
        <f t="shared" si="91"/>
        <v>n.a.</v>
      </c>
      <c r="H365" s="525" t="str">
        <f t="shared" si="91"/>
        <v>n.a.</v>
      </c>
      <c r="I365" s="525" t="str">
        <f t="shared" si="91"/>
        <v>n.a.</v>
      </c>
      <c r="J365" s="525" t="str">
        <f t="shared" si="91"/>
        <v>n.a.</v>
      </c>
      <c r="K365" s="525" t="str">
        <f t="shared" si="91"/>
        <v>n.a.</v>
      </c>
      <c r="L365" s="525" t="str">
        <f t="shared" si="92"/>
        <v>n.a.</v>
      </c>
      <c r="M365" s="525" t="str">
        <f t="shared" si="92"/>
        <v>n.a.</v>
      </c>
      <c r="N365" s="525" t="str">
        <f t="shared" si="92"/>
        <v>n.a.</v>
      </c>
      <c r="O365" s="525" t="str">
        <f t="shared" si="92"/>
        <v>n.a.</v>
      </c>
      <c r="P365" s="525" t="str">
        <f t="shared" si="92"/>
        <v>n.a.</v>
      </c>
      <c r="Q365" s="525" t="str">
        <f t="shared" si="92"/>
        <v>n.a.</v>
      </c>
      <c r="R365" s="525" t="str">
        <f t="shared" si="92"/>
        <v>n.a.</v>
      </c>
      <c r="S365" s="525" t="str">
        <f t="shared" si="92"/>
        <v>n.a.</v>
      </c>
    </row>
    <row r="366" spans="1:19" s="110" customFormat="1" x14ac:dyDescent="0.25">
      <c r="A366" s="785">
        <v>233</v>
      </c>
      <c r="B366" s="525" t="str">
        <f t="shared" si="91"/>
        <v>n.a.</v>
      </c>
      <c r="C366" s="525" t="str">
        <f t="shared" si="91"/>
        <v>n.a.</v>
      </c>
      <c r="D366" s="525" t="str">
        <f t="shared" si="91"/>
        <v>n.a.</v>
      </c>
      <c r="E366" s="525" t="str">
        <f t="shared" si="91"/>
        <v>n.a.</v>
      </c>
      <c r="F366" s="525" t="str">
        <f t="shared" si="91"/>
        <v>72279050</v>
      </c>
      <c r="G366" s="525" t="str">
        <f t="shared" si="91"/>
        <v>n.a.</v>
      </c>
      <c r="H366" s="525" t="str">
        <f t="shared" si="91"/>
        <v>n.a.</v>
      </c>
      <c r="I366" s="525" t="str">
        <f t="shared" si="91"/>
        <v>n.a.</v>
      </c>
      <c r="J366" s="525" t="str">
        <f t="shared" si="91"/>
        <v>n.a.</v>
      </c>
      <c r="K366" s="525" t="str">
        <f t="shared" si="91"/>
        <v>n.a.</v>
      </c>
      <c r="L366" s="525" t="str">
        <f t="shared" si="92"/>
        <v>n.a.</v>
      </c>
      <c r="M366" s="525" t="str">
        <f t="shared" si="92"/>
        <v>n.a.</v>
      </c>
      <c r="N366" s="525" t="str">
        <f t="shared" si="92"/>
        <v>n.a.</v>
      </c>
      <c r="O366" s="525" t="str">
        <f t="shared" si="92"/>
        <v>n.a.</v>
      </c>
      <c r="P366" s="525" t="str">
        <f t="shared" si="92"/>
        <v>n.a.</v>
      </c>
      <c r="Q366" s="525" t="str">
        <f t="shared" si="92"/>
        <v>n.a.</v>
      </c>
      <c r="R366" s="525" t="str">
        <f t="shared" si="92"/>
        <v>n.a.</v>
      </c>
      <c r="S366" s="525" t="str">
        <f t="shared" si="92"/>
        <v>n.a.</v>
      </c>
    </row>
    <row r="367" spans="1:19" s="110" customFormat="1" x14ac:dyDescent="0.25">
      <c r="A367" s="785">
        <v>234</v>
      </c>
      <c r="B367" s="525" t="str">
        <f t="shared" si="91"/>
        <v>n.a.</v>
      </c>
      <c r="C367" s="525" t="str">
        <f t="shared" si="91"/>
        <v>n.a.</v>
      </c>
      <c r="D367" s="525" t="str">
        <f t="shared" si="91"/>
        <v>n.a.</v>
      </c>
      <c r="E367" s="525" t="str">
        <f t="shared" si="91"/>
        <v>n.a.</v>
      </c>
      <c r="F367" s="525" t="str">
        <f t="shared" si="91"/>
        <v>72279095</v>
      </c>
      <c r="G367" s="525" t="str">
        <f t="shared" si="91"/>
        <v>n.a.</v>
      </c>
      <c r="H367" s="525" t="str">
        <f t="shared" si="91"/>
        <v>n.a.</v>
      </c>
      <c r="I367" s="525" t="str">
        <f t="shared" si="91"/>
        <v>n.a.</v>
      </c>
      <c r="J367" s="525" t="str">
        <f t="shared" si="91"/>
        <v>n.a.</v>
      </c>
      <c r="K367" s="525" t="str">
        <f t="shared" si="91"/>
        <v>n.a.</v>
      </c>
      <c r="L367" s="525" t="str">
        <f t="shared" si="92"/>
        <v>n.a.</v>
      </c>
      <c r="M367" s="525" t="str">
        <f t="shared" si="92"/>
        <v>n.a.</v>
      </c>
      <c r="N367" s="525" t="str">
        <f t="shared" si="92"/>
        <v>n.a.</v>
      </c>
      <c r="O367" s="525" t="str">
        <f t="shared" si="92"/>
        <v>n.a.</v>
      </c>
      <c r="P367" s="525" t="str">
        <f t="shared" si="92"/>
        <v>n.a.</v>
      </c>
      <c r="Q367" s="525" t="str">
        <f t="shared" si="92"/>
        <v>n.a.</v>
      </c>
      <c r="R367" s="525" t="str">
        <f t="shared" si="92"/>
        <v>n.a.</v>
      </c>
      <c r="S367" s="525" t="str">
        <f t="shared" si="92"/>
        <v>n.a.</v>
      </c>
    </row>
    <row r="368" spans="1:19" s="110" customFormat="1" x14ac:dyDescent="0.25">
      <c r="A368" s="785">
        <v>235</v>
      </c>
      <c r="B368" s="525" t="str">
        <f t="shared" si="91"/>
        <v>n.a.</v>
      </c>
      <c r="C368" s="525" t="str">
        <f t="shared" si="91"/>
        <v>n.a.</v>
      </c>
      <c r="D368" s="525" t="str">
        <f t="shared" si="91"/>
        <v>n.a.</v>
      </c>
      <c r="E368" s="525" t="str">
        <f t="shared" si="91"/>
        <v>n.a.</v>
      </c>
      <c r="F368" s="525" t="str">
        <f t="shared" si="91"/>
        <v>72281020</v>
      </c>
      <c r="G368" s="525" t="str">
        <f t="shared" si="91"/>
        <v>n.a.</v>
      </c>
      <c r="H368" s="525" t="str">
        <f t="shared" si="91"/>
        <v>n.a.</v>
      </c>
      <c r="I368" s="525" t="str">
        <f t="shared" si="91"/>
        <v>n.a.</v>
      </c>
      <c r="J368" s="525" t="str">
        <f t="shared" si="91"/>
        <v>n.a.</v>
      </c>
      <c r="K368" s="525" t="str">
        <f t="shared" si="91"/>
        <v>n.a.</v>
      </c>
      <c r="L368" s="525" t="str">
        <f t="shared" si="92"/>
        <v>n.a.</v>
      </c>
      <c r="M368" s="525" t="str">
        <f t="shared" si="92"/>
        <v>n.a.</v>
      </c>
      <c r="N368" s="525" t="str">
        <f t="shared" si="92"/>
        <v>n.a.</v>
      </c>
      <c r="O368" s="525" t="str">
        <f t="shared" si="92"/>
        <v>n.a.</v>
      </c>
      <c r="P368" s="525" t="str">
        <f t="shared" si="92"/>
        <v>n.a.</v>
      </c>
      <c r="Q368" s="525" t="str">
        <f t="shared" si="92"/>
        <v>n.a.</v>
      </c>
      <c r="R368" s="525" t="str">
        <f t="shared" si="92"/>
        <v>n.a.</v>
      </c>
      <c r="S368" s="525" t="str">
        <f t="shared" si="92"/>
        <v>n.a.</v>
      </c>
    </row>
    <row r="369" spans="1:19" s="110" customFormat="1" x14ac:dyDescent="0.25">
      <c r="A369" s="785">
        <v>236</v>
      </c>
      <c r="B369" s="525" t="str">
        <f t="shared" si="91"/>
        <v>n.a.</v>
      </c>
      <c r="C369" s="525" t="str">
        <f t="shared" si="91"/>
        <v>n.a.</v>
      </c>
      <c r="D369" s="525" t="str">
        <f t="shared" si="91"/>
        <v>n.a.</v>
      </c>
      <c r="E369" s="525" t="str">
        <f t="shared" si="91"/>
        <v>n.a.</v>
      </c>
      <c r="F369" s="525" t="str">
        <f t="shared" si="91"/>
        <v>72281050</v>
      </c>
      <c r="G369" s="525" t="str">
        <f t="shared" si="91"/>
        <v>n.a.</v>
      </c>
      <c r="H369" s="525" t="str">
        <f t="shared" si="91"/>
        <v>n.a.</v>
      </c>
      <c r="I369" s="525" t="str">
        <f t="shared" si="91"/>
        <v>n.a.</v>
      </c>
      <c r="J369" s="525" t="str">
        <f t="shared" si="91"/>
        <v>n.a.</v>
      </c>
      <c r="K369" s="525" t="str">
        <f t="shared" si="91"/>
        <v>n.a.</v>
      </c>
      <c r="L369" s="525" t="str">
        <f t="shared" si="92"/>
        <v>n.a.</v>
      </c>
      <c r="M369" s="525" t="str">
        <f t="shared" si="92"/>
        <v>n.a.</v>
      </c>
      <c r="N369" s="525" t="str">
        <f t="shared" si="92"/>
        <v>n.a.</v>
      </c>
      <c r="O369" s="525" t="str">
        <f t="shared" si="92"/>
        <v>n.a.</v>
      </c>
      <c r="P369" s="525" t="str">
        <f t="shared" si="92"/>
        <v>n.a.</v>
      </c>
      <c r="Q369" s="525" t="str">
        <f t="shared" si="92"/>
        <v>n.a.</v>
      </c>
      <c r="R369" s="525" t="str">
        <f t="shared" si="92"/>
        <v>n.a.</v>
      </c>
      <c r="S369" s="525" t="str">
        <f t="shared" si="92"/>
        <v>n.a.</v>
      </c>
    </row>
    <row r="370" spans="1:19" s="110" customFormat="1" x14ac:dyDescent="0.25">
      <c r="A370" s="785">
        <v>237</v>
      </c>
      <c r="B370" s="525" t="str">
        <f t="shared" si="91"/>
        <v>n.a.</v>
      </c>
      <c r="C370" s="525" t="str">
        <f t="shared" si="91"/>
        <v>n.a.</v>
      </c>
      <c r="D370" s="525" t="str">
        <f t="shared" si="91"/>
        <v>n.a.</v>
      </c>
      <c r="E370" s="525" t="str">
        <f t="shared" si="91"/>
        <v>n.a.</v>
      </c>
      <c r="F370" s="525" t="str">
        <f t="shared" si="91"/>
        <v>72281090</v>
      </c>
      <c r="G370" s="525" t="str">
        <f t="shared" si="91"/>
        <v>n.a.</v>
      </c>
      <c r="H370" s="525" t="str">
        <f t="shared" si="91"/>
        <v>n.a.</v>
      </c>
      <c r="I370" s="525" t="str">
        <f t="shared" si="91"/>
        <v>n.a.</v>
      </c>
      <c r="J370" s="525" t="str">
        <f t="shared" si="91"/>
        <v>n.a.</v>
      </c>
      <c r="K370" s="525" t="str">
        <f t="shared" si="91"/>
        <v>n.a.</v>
      </c>
      <c r="L370" s="525" t="str">
        <f t="shared" si="92"/>
        <v>n.a.</v>
      </c>
      <c r="M370" s="525" t="str">
        <f t="shared" si="92"/>
        <v>n.a.</v>
      </c>
      <c r="N370" s="525" t="str">
        <f t="shared" si="92"/>
        <v>n.a.</v>
      </c>
      <c r="O370" s="525" t="str">
        <f t="shared" si="92"/>
        <v>n.a.</v>
      </c>
      <c r="P370" s="525" t="str">
        <f t="shared" si="92"/>
        <v>n.a.</v>
      </c>
      <c r="Q370" s="525" t="str">
        <f t="shared" si="92"/>
        <v>n.a.</v>
      </c>
      <c r="R370" s="525" t="str">
        <f t="shared" si="92"/>
        <v>n.a.</v>
      </c>
      <c r="S370" s="525" t="str">
        <f t="shared" si="92"/>
        <v>n.a.</v>
      </c>
    </row>
    <row r="371" spans="1:19" s="110" customFormat="1" x14ac:dyDescent="0.25">
      <c r="A371" s="785">
        <v>238</v>
      </c>
      <c r="B371" s="525" t="str">
        <f t="shared" si="91"/>
        <v>n.a.</v>
      </c>
      <c r="C371" s="525" t="str">
        <f t="shared" si="91"/>
        <v>n.a.</v>
      </c>
      <c r="D371" s="525" t="str">
        <f t="shared" si="91"/>
        <v>n.a.</v>
      </c>
      <c r="E371" s="525" t="str">
        <f t="shared" si="91"/>
        <v>n.a.</v>
      </c>
      <c r="F371" s="525" t="str">
        <f t="shared" si="91"/>
        <v>72282010</v>
      </c>
      <c r="G371" s="525" t="str">
        <f t="shared" si="91"/>
        <v>n.a.</v>
      </c>
      <c r="H371" s="525" t="str">
        <f t="shared" si="91"/>
        <v>n.a.</v>
      </c>
      <c r="I371" s="525" t="str">
        <f t="shared" si="91"/>
        <v>n.a.</v>
      </c>
      <c r="J371" s="525" t="str">
        <f t="shared" si="91"/>
        <v>n.a.</v>
      </c>
      <c r="K371" s="525" t="str">
        <f t="shared" si="91"/>
        <v>n.a.</v>
      </c>
      <c r="L371" s="525" t="str">
        <f t="shared" si="92"/>
        <v>n.a.</v>
      </c>
      <c r="M371" s="525" t="str">
        <f t="shared" si="92"/>
        <v>n.a.</v>
      </c>
      <c r="N371" s="525" t="str">
        <f t="shared" si="92"/>
        <v>n.a.</v>
      </c>
      <c r="O371" s="525" t="str">
        <f t="shared" si="92"/>
        <v>n.a.</v>
      </c>
      <c r="P371" s="525" t="str">
        <f t="shared" si="92"/>
        <v>n.a.</v>
      </c>
      <c r="Q371" s="525" t="str">
        <f t="shared" si="92"/>
        <v>n.a.</v>
      </c>
      <c r="R371" s="525" t="str">
        <f t="shared" si="92"/>
        <v>n.a.</v>
      </c>
      <c r="S371" s="525" t="str">
        <f t="shared" si="92"/>
        <v>n.a.</v>
      </c>
    </row>
    <row r="372" spans="1:19" s="110" customFormat="1" x14ac:dyDescent="0.25">
      <c r="A372" s="785">
        <v>239</v>
      </c>
      <c r="B372" s="525" t="str">
        <f t="shared" si="91"/>
        <v>n.a.</v>
      </c>
      <c r="C372" s="525" t="str">
        <f t="shared" si="91"/>
        <v>n.a.</v>
      </c>
      <c r="D372" s="525" t="str">
        <f t="shared" si="91"/>
        <v>n.a.</v>
      </c>
      <c r="E372" s="525" t="str">
        <f t="shared" si="91"/>
        <v>n.a.</v>
      </c>
      <c r="F372" s="525" t="str">
        <f t="shared" si="91"/>
        <v>72282091</v>
      </c>
      <c r="G372" s="525" t="str">
        <f t="shared" si="91"/>
        <v>n.a.</v>
      </c>
      <c r="H372" s="525" t="str">
        <f t="shared" si="91"/>
        <v>n.a.</v>
      </c>
      <c r="I372" s="525" t="str">
        <f t="shared" si="91"/>
        <v>n.a.</v>
      </c>
      <c r="J372" s="525" t="str">
        <f t="shared" si="91"/>
        <v>n.a.</v>
      </c>
      <c r="K372" s="525" t="str">
        <f t="shared" si="91"/>
        <v>n.a.</v>
      </c>
      <c r="L372" s="525" t="str">
        <f t="shared" si="92"/>
        <v>n.a.</v>
      </c>
      <c r="M372" s="525" t="str">
        <f t="shared" si="92"/>
        <v>n.a.</v>
      </c>
      <c r="N372" s="525" t="str">
        <f t="shared" si="92"/>
        <v>n.a.</v>
      </c>
      <c r="O372" s="525" t="str">
        <f t="shared" si="92"/>
        <v>n.a.</v>
      </c>
      <c r="P372" s="525" t="str">
        <f t="shared" si="92"/>
        <v>n.a.</v>
      </c>
      <c r="Q372" s="525" t="str">
        <f t="shared" si="92"/>
        <v>n.a.</v>
      </c>
      <c r="R372" s="525" t="str">
        <f t="shared" si="92"/>
        <v>n.a.</v>
      </c>
      <c r="S372" s="525" t="str">
        <f t="shared" si="92"/>
        <v>n.a.</v>
      </c>
    </row>
    <row r="373" spans="1:19" s="110" customFormat="1" x14ac:dyDescent="0.25">
      <c r="A373" s="785">
        <v>240</v>
      </c>
      <c r="B373" s="525" t="str">
        <f t="shared" si="91"/>
        <v>n.a.</v>
      </c>
      <c r="C373" s="525" t="str">
        <f t="shared" si="91"/>
        <v>n.a.</v>
      </c>
      <c r="D373" s="525" t="str">
        <f t="shared" si="91"/>
        <v>n.a.</v>
      </c>
      <c r="E373" s="525" t="str">
        <f t="shared" si="91"/>
        <v>n.a.</v>
      </c>
      <c r="F373" s="525" t="str">
        <f t="shared" si="91"/>
        <v>72282099</v>
      </c>
      <c r="G373" s="525" t="str">
        <f t="shared" si="91"/>
        <v>n.a.</v>
      </c>
      <c r="H373" s="525" t="str">
        <f t="shared" si="91"/>
        <v>n.a.</v>
      </c>
      <c r="I373" s="525" t="str">
        <f t="shared" si="91"/>
        <v>n.a.</v>
      </c>
      <c r="J373" s="525" t="str">
        <f t="shared" si="91"/>
        <v>n.a.</v>
      </c>
      <c r="K373" s="525" t="str">
        <f t="shared" si="91"/>
        <v>n.a.</v>
      </c>
      <c r="L373" s="525" t="str">
        <f t="shared" si="92"/>
        <v>n.a.</v>
      </c>
      <c r="M373" s="525" t="str">
        <f t="shared" si="92"/>
        <v>n.a.</v>
      </c>
      <c r="N373" s="525" t="str">
        <f t="shared" si="92"/>
        <v>n.a.</v>
      </c>
      <c r="O373" s="525" t="str">
        <f t="shared" si="92"/>
        <v>n.a.</v>
      </c>
      <c r="P373" s="525" t="str">
        <f t="shared" si="92"/>
        <v>n.a.</v>
      </c>
      <c r="Q373" s="525" t="str">
        <f t="shared" si="92"/>
        <v>n.a.</v>
      </c>
      <c r="R373" s="525" t="str">
        <f t="shared" si="92"/>
        <v>n.a.</v>
      </c>
      <c r="S373" s="525" t="str">
        <f t="shared" si="92"/>
        <v>n.a.</v>
      </c>
    </row>
    <row r="374" spans="1:19" s="110" customFormat="1" x14ac:dyDescent="0.25">
      <c r="A374" s="785">
        <v>241</v>
      </c>
      <c r="B374" s="525" t="str">
        <f t="shared" ref="B374:K383" si="93">IFERROR(INDEX(CNCodes_ListKey,MATCH($A374&amp;"_"&amp;B$132,CNCodes_ListNumbering,0)),CONST_NA)</f>
        <v>n.a.</v>
      </c>
      <c r="C374" s="525" t="str">
        <f t="shared" si="93"/>
        <v>n.a.</v>
      </c>
      <c r="D374" s="525" t="str">
        <f t="shared" si="93"/>
        <v>n.a.</v>
      </c>
      <c r="E374" s="525" t="str">
        <f t="shared" si="93"/>
        <v>n.a.</v>
      </c>
      <c r="F374" s="525" t="str">
        <f t="shared" si="93"/>
        <v>72283020</v>
      </c>
      <c r="G374" s="525" t="str">
        <f t="shared" si="93"/>
        <v>n.a.</v>
      </c>
      <c r="H374" s="525" t="str">
        <f t="shared" si="93"/>
        <v>n.a.</v>
      </c>
      <c r="I374" s="525" t="str">
        <f t="shared" si="93"/>
        <v>n.a.</v>
      </c>
      <c r="J374" s="525" t="str">
        <f t="shared" si="93"/>
        <v>n.a.</v>
      </c>
      <c r="K374" s="525" t="str">
        <f t="shared" si="93"/>
        <v>n.a.</v>
      </c>
      <c r="L374" s="525" t="str">
        <f t="shared" ref="L374:S383" si="94">IFERROR(INDEX(CNCodes_ListKey,MATCH($A374&amp;"_"&amp;L$132,CNCodes_ListNumbering,0)),CONST_NA)</f>
        <v>n.a.</v>
      </c>
      <c r="M374" s="525" t="str">
        <f t="shared" si="94"/>
        <v>n.a.</v>
      </c>
      <c r="N374" s="525" t="str">
        <f t="shared" si="94"/>
        <v>n.a.</v>
      </c>
      <c r="O374" s="525" t="str">
        <f t="shared" si="94"/>
        <v>n.a.</v>
      </c>
      <c r="P374" s="525" t="str">
        <f t="shared" si="94"/>
        <v>n.a.</v>
      </c>
      <c r="Q374" s="525" t="str">
        <f t="shared" si="94"/>
        <v>n.a.</v>
      </c>
      <c r="R374" s="525" t="str">
        <f t="shared" si="94"/>
        <v>n.a.</v>
      </c>
      <c r="S374" s="525" t="str">
        <f t="shared" si="94"/>
        <v>n.a.</v>
      </c>
    </row>
    <row r="375" spans="1:19" s="110" customFormat="1" x14ac:dyDescent="0.25">
      <c r="A375" s="785">
        <v>242</v>
      </c>
      <c r="B375" s="525" t="str">
        <f t="shared" si="93"/>
        <v>n.a.</v>
      </c>
      <c r="C375" s="525" t="str">
        <f t="shared" si="93"/>
        <v>n.a.</v>
      </c>
      <c r="D375" s="525" t="str">
        <f t="shared" si="93"/>
        <v>n.a.</v>
      </c>
      <c r="E375" s="525" t="str">
        <f t="shared" si="93"/>
        <v>n.a.</v>
      </c>
      <c r="F375" s="525" t="str">
        <f t="shared" si="93"/>
        <v>72283041</v>
      </c>
      <c r="G375" s="525" t="str">
        <f t="shared" si="93"/>
        <v>n.a.</v>
      </c>
      <c r="H375" s="525" t="str">
        <f t="shared" si="93"/>
        <v>n.a.</v>
      </c>
      <c r="I375" s="525" t="str">
        <f t="shared" si="93"/>
        <v>n.a.</v>
      </c>
      <c r="J375" s="525" t="str">
        <f t="shared" si="93"/>
        <v>n.a.</v>
      </c>
      <c r="K375" s="525" t="str">
        <f t="shared" si="93"/>
        <v>n.a.</v>
      </c>
      <c r="L375" s="525" t="str">
        <f t="shared" si="94"/>
        <v>n.a.</v>
      </c>
      <c r="M375" s="525" t="str">
        <f t="shared" si="94"/>
        <v>n.a.</v>
      </c>
      <c r="N375" s="525" t="str">
        <f t="shared" si="94"/>
        <v>n.a.</v>
      </c>
      <c r="O375" s="525" t="str">
        <f t="shared" si="94"/>
        <v>n.a.</v>
      </c>
      <c r="P375" s="525" t="str">
        <f t="shared" si="94"/>
        <v>n.a.</v>
      </c>
      <c r="Q375" s="525" t="str">
        <f t="shared" si="94"/>
        <v>n.a.</v>
      </c>
      <c r="R375" s="525" t="str">
        <f t="shared" si="94"/>
        <v>n.a.</v>
      </c>
      <c r="S375" s="525" t="str">
        <f t="shared" si="94"/>
        <v>n.a.</v>
      </c>
    </row>
    <row r="376" spans="1:19" s="110" customFormat="1" x14ac:dyDescent="0.25">
      <c r="A376" s="785">
        <v>243</v>
      </c>
      <c r="B376" s="525" t="str">
        <f t="shared" si="93"/>
        <v>n.a.</v>
      </c>
      <c r="C376" s="525" t="str">
        <f t="shared" si="93"/>
        <v>n.a.</v>
      </c>
      <c r="D376" s="525" t="str">
        <f t="shared" si="93"/>
        <v>n.a.</v>
      </c>
      <c r="E376" s="525" t="str">
        <f t="shared" si="93"/>
        <v>n.a.</v>
      </c>
      <c r="F376" s="525" t="str">
        <f t="shared" si="93"/>
        <v>72283049</v>
      </c>
      <c r="G376" s="525" t="str">
        <f t="shared" si="93"/>
        <v>n.a.</v>
      </c>
      <c r="H376" s="525" t="str">
        <f t="shared" si="93"/>
        <v>n.a.</v>
      </c>
      <c r="I376" s="525" t="str">
        <f t="shared" si="93"/>
        <v>n.a.</v>
      </c>
      <c r="J376" s="525" t="str">
        <f t="shared" si="93"/>
        <v>n.a.</v>
      </c>
      <c r="K376" s="525" t="str">
        <f t="shared" si="93"/>
        <v>n.a.</v>
      </c>
      <c r="L376" s="525" t="str">
        <f t="shared" si="94"/>
        <v>n.a.</v>
      </c>
      <c r="M376" s="525" t="str">
        <f t="shared" si="94"/>
        <v>n.a.</v>
      </c>
      <c r="N376" s="525" t="str">
        <f t="shared" si="94"/>
        <v>n.a.</v>
      </c>
      <c r="O376" s="525" t="str">
        <f t="shared" si="94"/>
        <v>n.a.</v>
      </c>
      <c r="P376" s="525" t="str">
        <f t="shared" si="94"/>
        <v>n.a.</v>
      </c>
      <c r="Q376" s="525" t="str">
        <f t="shared" si="94"/>
        <v>n.a.</v>
      </c>
      <c r="R376" s="525" t="str">
        <f t="shared" si="94"/>
        <v>n.a.</v>
      </c>
      <c r="S376" s="525" t="str">
        <f t="shared" si="94"/>
        <v>n.a.</v>
      </c>
    </row>
    <row r="377" spans="1:19" s="110" customFormat="1" x14ac:dyDescent="0.25">
      <c r="A377" s="785">
        <v>244</v>
      </c>
      <c r="B377" s="525" t="str">
        <f t="shared" si="93"/>
        <v>n.a.</v>
      </c>
      <c r="C377" s="525" t="str">
        <f t="shared" si="93"/>
        <v>n.a.</v>
      </c>
      <c r="D377" s="525" t="str">
        <f t="shared" si="93"/>
        <v>n.a.</v>
      </c>
      <c r="E377" s="525" t="str">
        <f t="shared" si="93"/>
        <v>n.a.</v>
      </c>
      <c r="F377" s="525" t="str">
        <f t="shared" si="93"/>
        <v>72283061</v>
      </c>
      <c r="G377" s="525" t="str">
        <f t="shared" si="93"/>
        <v>n.a.</v>
      </c>
      <c r="H377" s="525" t="str">
        <f t="shared" si="93"/>
        <v>n.a.</v>
      </c>
      <c r="I377" s="525" t="str">
        <f t="shared" si="93"/>
        <v>n.a.</v>
      </c>
      <c r="J377" s="525" t="str">
        <f t="shared" si="93"/>
        <v>n.a.</v>
      </c>
      <c r="K377" s="525" t="str">
        <f t="shared" si="93"/>
        <v>n.a.</v>
      </c>
      <c r="L377" s="525" t="str">
        <f t="shared" si="94"/>
        <v>n.a.</v>
      </c>
      <c r="M377" s="525" t="str">
        <f t="shared" si="94"/>
        <v>n.a.</v>
      </c>
      <c r="N377" s="525" t="str">
        <f t="shared" si="94"/>
        <v>n.a.</v>
      </c>
      <c r="O377" s="525" t="str">
        <f t="shared" si="94"/>
        <v>n.a.</v>
      </c>
      <c r="P377" s="525" t="str">
        <f t="shared" si="94"/>
        <v>n.a.</v>
      </c>
      <c r="Q377" s="525" t="str">
        <f t="shared" si="94"/>
        <v>n.a.</v>
      </c>
      <c r="R377" s="525" t="str">
        <f t="shared" si="94"/>
        <v>n.a.</v>
      </c>
      <c r="S377" s="525" t="str">
        <f t="shared" si="94"/>
        <v>n.a.</v>
      </c>
    </row>
    <row r="378" spans="1:19" s="110" customFormat="1" x14ac:dyDescent="0.25">
      <c r="A378" s="785">
        <v>245</v>
      </c>
      <c r="B378" s="525" t="str">
        <f t="shared" si="93"/>
        <v>n.a.</v>
      </c>
      <c r="C378" s="525" t="str">
        <f t="shared" si="93"/>
        <v>n.a.</v>
      </c>
      <c r="D378" s="525" t="str">
        <f t="shared" si="93"/>
        <v>n.a.</v>
      </c>
      <c r="E378" s="525" t="str">
        <f t="shared" si="93"/>
        <v>n.a.</v>
      </c>
      <c r="F378" s="525" t="str">
        <f t="shared" si="93"/>
        <v>72283069</v>
      </c>
      <c r="G378" s="525" t="str">
        <f t="shared" si="93"/>
        <v>n.a.</v>
      </c>
      <c r="H378" s="525" t="str">
        <f t="shared" si="93"/>
        <v>n.a.</v>
      </c>
      <c r="I378" s="525" t="str">
        <f t="shared" si="93"/>
        <v>n.a.</v>
      </c>
      <c r="J378" s="525" t="str">
        <f t="shared" si="93"/>
        <v>n.a.</v>
      </c>
      <c r="K378" s="525" t="str">
        <f t="shared" si="93"/>
        <v>n.a.</v>
      </c>
      <c r="L378" s="525" t="str">
        <f t="shared" si="94"/>
        <v>n.a.</v>
      </c>
      <c r="M378" s="525" t="str">
        <f t="shared" si="94"/>
        <v>n.a.</v>
      </c>
      <c r="N378" s="525" t="str">
        <f t="shared" si="94"/>
        <v>n.a.</v>
      </c>
      <c r="O378" s="525" t="str">
        <f t="shared" si="94"/>
        <v>n.a.</v>
      </c>
      <c r="P378" s="525" t="str">
        <f t="shared" si="94"/>
        <v>n.a.</v>
      </c>
      <c r="Q378" s="525" t="str">
        <f t="shared" si="94"/>
        <v>n.a.</v>
      </c>
      <c r="R378" s="525" t="str">
        <f t="shared" si="94"/>
        <v>n.a.</v>
      </c>
      <c r="S378" s="525" t="str">
        <f t="shared" si="94"/>
        <v>n.a.</v>
      </c>
    </row>
    <row r="379" spans="1:19" s="110" customFormat="1" x14ac:dyDescent="0.25">
      <c r="A379" s="785">
        <v>246</v>
      </c>
      <c r="B379" s="525" t="str">
        <f t="shared" si="93"/>
        <v>n.a.</v>
      </c>
      <c r="C379" s="525" t="str">
        <f t="shared" si="93"/>
        <v>n.a.</v>
      </c>
      <c r="D379" s="525" t="str">
        <f t="shared" si="93"/>
        <v>n.a.</v>
      </c>
      <c r="E379" s="525" t="str">
        <f t="shared" si="93"/>
        <v>n.a.</v>
      </c>
      <c r="F379" s="525" t="str">
        <f t="shared" si="93"/>
        <v>72283070</v>
      </c>
      <c r="G379" s="525" t="str">
        <f t="shared" si="93"/>
        <v>n.a.</v>
      </c>
      <c r="H379" s="525" t="str">
        <f t="shared" si="93"/>
        <v>n.a.</v>
      </c>
      <c r="I379" s="525" t="str">
        <f t="shared" si="93"/>
        <v>n.a.</v>
      </c>
      <c r="J379" s="525" t="str">
        <f t="shared" si="93"/>
        <v>n.a.</v>
      </c>
      <c r="K379" s="525" t="str">
        <f t="shared" si="93"/>
        <v>n.a.</v>
      </c>
      <c r="L379" s="525" t="str">
        <f t="shared" si="94"/>
        <v>n.a.</v>
      </c>
      <c r="M379" s="525" t="str">
        <f t="shared" si="94"/>
        <v>n.a.</v>
      </c>
      <c r="N379" s="525" t="str">
        <f t="shared" si="94"/>
        <v>n.a.</v>
      </c>
      <c r="O379" s="525" t="str">
        <f t="shared" si="94"/>
        <v>n.a.</v>
      </c>
      <c r="P379" s="525" t="str">
        <f t="shared" si="94"/>
        <v>n.a.</v>
      </c>
      <c r="Q379" s="525" t="str">
        <f t="shared" si="94"/>
        <v>n.a.</v>
      </c>
      <c r="R379" s="525" t="str">
        <f t="shared" si="94"/>
        <v>n.a.</v>
      </c>
      <c r="S379" s="525" t="str">
        <f t="shared" si="94"/>
        <v>n.a.</v>
      </c>
    </row>
    <row r="380" spans="1:19" s="110" customFormat="1" x14ac:dyDescent="0.25">
      <c r="A380" s="785">
        <v>247</v>
      </c>
      <c r="B380" s="525" t="str">
        <f t="shared" si="93"/>
        <v>n.a.</v>
      </c>
      <c r="C380" s="525" t="str">
        <f t="shared" si="93"/>
        <v>n.a.</v>
      </c>
      <c r="D380" s="525" t="str">
        <f t="shared" si="93"/>
        <v>n.a.</v>
      </c>
      <c r="E380" s="525" t="str">
        <f t="shared" si="93"/>
        <v>n.a.</v>
      </c>
      <c r="F380" s="525" t="str">
        <f t="shared" si="93"/>
        <v>72283089</v>
      </c>
      <c r="G380" s="525" t="str">
        <f t="shared" si="93"/>
        <v>n.a.</v>
      </c>
      <c r="H380" s="525" t="str">
        <f t="shared" si="93"/>
        <v>n.a.</v>
      </c>
      <c r="I380" s="525" t="str">
        <f t="shared" si="93"/>
        <v>n.a.</v>
      </c>
      <c r="J380" s="525" t="str">
        <f t="shared" si="93"/>
        <v>n.a.</v>
      </c>
      <c r="K380" s="525" t="str">
        <f t="shared" si="93"/>
        <v>n.a.</v>
      </c>
      <c r="L380" s="525" t="str">
        <f t="shared" si="94"/>
        <v>n.a.</v>
      </c>
      <c r="M380" s="525" t="str">
        <f t="shared" si="94"/>
        <v>n.a.</v>
      </c>
      <c r="N380" s="525" t="str">
        <f t="shared" si="94"/>
        <v>n.a.</v>
      </c>
      <c r="O380" s="525" t="str">
        <f t="shared" si="94"/>
        <v>n.a.</v>
      </c>
      <c r="P380" s="525" t="str">
        <f t="shared" si="94"/>
        <v>n.a.</v>
      </c>
      <c r="Q380" s="525" t="str">
        <f t="shared" si="94"/>
        <v>n.a.</v>
      </c>
      <c r="R380" s="525" t="str">
        <f t="shared" si="94"/>
        <v>n.a.</v>
      </c>
      <c r="S380" s="525" t="str">
        <f t="shared" si="94"/>
        <v>n.a.</v>
      </c>
    </row>
    <row r="381" spans="1:19" s="110" customFormat="1" x14ac:dyDescent="0.25">
      <c r="A381" s="785">
        <v>248</v>
      </c>
      <c r="B381" s="525" t="str">
        <f t="shared" si="93"/>
        <v>n.a.</v>
      </c>
      <c r="C381" s="525" t="str">
        <f t="shared" si="93"/>
        <v>n.a.</v>
      </c>
      <c r="D381" s="525" t="str">
        <f t="shared" si="93"/>
        <v>n.a.</v>
      </c>
      <c r="E381" s="525" t="str">
        <f t="shared" si="93"/>
        <v>n.a.</v>
      </c>
      <c r="F381" s="525" t="str">
        <f t="shared" si="93"/>
        <v>72284010</v>
      </c>
      <c r="G381" s="525" t="str">
        <f t="shared" si="93"/>
        <v>n.a.</v>
      </c>
      <c r="H381" s="525" t="str">
        <f t="shared" si="93"/>
        <v>n.a.</v>
      </c>
      <c r="I381" s="525" t="str">
        <f t="shared" si="93"/>
        <v>n.a.</v>
      </c>
      <c r="J381" s="525" t="str">
        <f t="shared" si="93"/>
        <v>n.a.</v>
      </c>
      <c r="K381" s="525" t="str">
        <f t="shared" si="93"/>
        <v>n.a.</v>
      </c>
      <c r="L381" s="525" t="str">
        <f t="shared" si="94"/>
        <v>n.a.</v>
      </c>
      <c r="M381" s="525" t="str">
        <f t="shared" si="94"/>
        <v>n.a.</v>
      </c>
      <c r="N381" s="525" t="str">
        <f t="shared" si="94"/>
        <v>n.a.</v>
      </c>
      <c r="O381" s="525" t="str">
        <f t="shared" si="94"/>
        <v>n.a.</v>
      </c>
      <c r="P381" s="525" t="str">
        <f t="shared" si="94"/>
        <v>n.a.</v>
      </c>
      <c r="Q381" s="525" t="str">
        <f t="shared" si="94"/>
        <v>n.a.</v>
      </c>
      <c r="R381" s="525" t="str">
        <f t="shared" si="94"/>
        <v>n.a.</v>
      </c>
      <c r="S381" s="525" t="str">
        <f t="shared" si="94"/>
        <v>n.a.</v>
      </c>
    </row>
    <row r="382" spans="1:19" s="110" customFormat="1" x14ac:dyDescent="0.25">
      <c r="A382" s="785">
        <v>249</v>
      </c>
      <c r="B382" s="525" t="str">
        <f t="shared" si="93"/>
        <v>n.a.</v>
      </c>
      <c r="C382" s="525" t="str">
        <f t="shared" si="93"/>
        <v>n.a.</v>
      </c>
      <c r="D382" s="525" t="str">
        <f t="shared" si="93"/>
        <v>n.a.</v>
      </c>
      <c r="E382" s="525" t="str">
        <f t="shared" si="93"/>
        <v>n.a.</v>
      </c>
      <c r="F382" s="525" t="str">
        <f t="shared" si="93"/>
        <v>72284090</v>
      </c>
      <c r="G382" s="525" t="str">
        <f t="shared" si="93"/>
        <v>n.a.</v>
      </c>
      <c r="H382" s="525" t="str">
        <f t="shared" si="93"/>
        <v>n.a.</v>
      </c>
      <c r="I382" s="525" t="str">
        <f t="shared" si="93"/>
        <v>n.a.</v>
      </c>
      <c r="J382" s="525" t="str">
        <f t="shared" si="93"/>
        <v>n.a.</v>
      </c>
      <c r="K382" s="525" t="str">
        <f t="shared" si="93"/>
        <v>n.a.</v>
      </c>
      <c r="L382" s="525" t="str">
        <f t="shared" si="94"/>
        <v>n.a.</v>
      </c>
      <c r="M382" s="525" t="str">
        <f t="shared" si="94"/>
        <v>n.a.</v>
      </c>
      <c r="N382" s="525" t="str">
        <f t="shared" si="94"/>
        <v>n.a.</v>
      </c>
      <c r="O382" s="525" t="str">
        <f t="shared" si="94"/>
        <v>n.a.</v>
      </c>
      <c r="P382" s="525" t="str">
        <f t="shared" si="94"/>
        <v>n.a.</v>
      </c>
      <c r="Q382" s="525" t="str">
        <f t="shared" si="94"/>
        <v>n.a.</v>
      </c>
      <c r="R382" s="525" t="str">
        <f t="shared" si="94"/>
        <v>n.a.</v>
      </c>
      <c r="S382" s="525" t="str">
        <f t="shared" si="94"/>
        <v>n.a.</v>
      </c>
    </row>
    <row r="383" spans="1:19" s="110" customFormat="1" x14ac:dyDescent="0.25">
      <c r="A383" s="785">
        <v>250</v>
      </c>
      <c r="B383" s="525" t="str">
        <f t="shared" si="93"/>
        <v>n.a.</v>
      </c>
      <c r="C383" s="525" t="str">
        <f t="shared" si="93"/>
        <v>n.a.</v>
      </c>
      <c r="D383" s="525" t="str">
        <f t="shared" si="93"/>
        <v>n.a.</v>
      </c>
      <c r="E383" s="525" t="str">
        <f t="shared" si="93"/>
        <v>n.a.</v>
      </c>
      <c r="F383" s="525" t="str">
        <f t="shared" si="93"/>
        <v>72285020</v>
      </c>
      <c r="G383" s="525" t="str">
        <f t="shared" si="93"/>
        <v>n.a.</v>
      </c>
      <c r="H383" s="525" t="str">
        <f t="shared" si="93"/>
        <v>n.a.</v>
      </c>
      <c r="I383" s="525" t="str">
        <f t="shared" si="93"/>
        <v>n.a.</v>
      </c>
      <c r="J383" s="525" t="str">
        <f t="shared" si="93"/>
        <v>n.a.</v>
      </c>
      <c r="K383" s="525" t="str">
        <f t="shared" si="93"/>
        <v>n.a.</v>
      </c>
      <c r="L383" s="525" t="str">
        <f t="shared" si="94"/>
        <v>n.a.</v>
      </c>
      <c r="M383" s="525" t="str">
        <f t="shared" si="94"/>
        <v>n.a.</v>
      </c>
      <c r="N383" s="525" t="str">
        <f t="shared" si="94"/>
        <v>n.a.</v>
      </c>
      <c r="O383" s="525" t="str">
        <f t="shared" si="94"/>
        <v>n.a.</v>
      </c>
      <c r="P383" s="525" t="str">
        <f t="shared" si="94"/>
        <v>n.a.</v>
      </c>
      <c r="Q383" s="525" t="str">
        <f t="shared" si="94"/>
        <v>n.a.</v>
      </c>
      <c r="R383" s="525" t="str">
        <f t="shared" si="94"/>
        <v>n.a.</v>
      </c>
      <c r="S383" s="525" t="str">
        <f t="shared" si="94"/>
        <v>n.a.</v>
      </c>
    </row>
    <row r="384" spans="1:19" s="110" customFormat="1" x14ac:dyDescent="0.25">
      <c r="A384" s="785">
        <v>251</v>
      </c>
      <c r="B384" s="525" t="str">
        <f t="shared" ref="B384:K393" si="95">IFERROR(INDEX(CNCodes_ListKey,MATCH($A384&amp;"_"&amp;B$132,CNCodes_ListNumbering,0)),CONST_NA)</f>
        <v>n.a.</v>
      </c>
      <c r="C384" s="525" t="str">
        <f t="shared" si="95"/>
        <v>n.a.</v>
      </c>
      <c r="D384" s="525" t="str">
        <f t="shared" si="95"/>
        <v>n.a.</v>
      </c>
      <c r="E384" s="525" t="str">
        <f t="shared" si="95"/>
        <v>n.a.</v>
      </c>
      <c r="F384" s="525" t="str">
        <f t="shared" si="95"/>
        <v>72285040</v>
      </c>
      <c r="G384" s="525" t="str">
        <f t="shared" si="95"/>
        <v>n.a.</v>
      </c>
      <c r="H384" s="525" t="str">
        <f t="shared" si="95"/>
        <v>n.a.</v>
      </c>
      <c r="I384" s="525" t="str">
        <f t="shared" si="95"/>
        <v>n.a.</v>
      </c>
      <c r="J384" s="525" t="str">
        <f t="shared" si="95"/>
        <v>n.a.</v>
      </c>
      <c r="K384" s="525" t="str">
        <f t="shared" si="95"/>
        <v>n.a.</v>
      </c>
      <c r="L384" s="525" t="str">
        <f t="shared" ref="L384:S393" si="96">IFERROR(INDEX(CNCodes_ListKey,MATCH($A384&amp;"_"&amp;L$132,CNCodes_ListNumbering,0)),CONST_NA)</f>
        <v>n.a.</v>
      </c>
      <c r="M384" s="525" t="str">
        <f t="shared" si="96"/>
        <v>n.a.</v>
      </c>
      <c r="N384" s="525" t="str">
        <f t="shared" si="96"/>
        <v>n.a.</v>
      </c>
      <c r="O384" s="525" t="str">
        <f t="shared" si="96"/>
        <v>n.a.</v>
      </c>
      <c r="P384" s="525" t="str">
        <f t="shared" si="96"/>
        <v>n.a.</v>
      </c>
      <c r="Q384" s="525" t="str">
        <f t="shared" si="96"/>
        <v>n.a.</v>
      </c>
      <c r="R384" s="525" t="str">
        <f t="shared" si="96"/>
        <v>n.a.</v>
      </c>
      <c r="S384" s="525" t="str">
        <f t="shared" si="96"/>
        <v>n.a.</v>
      </c>
    </row>
    <row r="385" spans="1:19" s="110" customFormat="1" x14ac:dyDescent="0.25">
      <c r="A385" s="785">
        <v>252</v>
      </c>
      <c r="B385" s="525" t="str">
        <f t="shared" si="95"/>
        <v>n.a.</v>
      </c>
      <c r="C385" s="525" t="str">
        <f t="shared" si="95"/>
        <v>n.a.</v>
      </c>
      <c r="D385" s="525" t="str">
        <f t="shared" si="95"/>
        <v>n.a.</v>
      </c>
      <c r="E385" s="525" t="str">
        <f t="shared" si="95"/>
        <v>n.a.</v>
      </c>
      <c r="F385" s="525" t="str">
        <f t="shared" si="95"/>
        <v>72285061</v>
      </c>
      <c r="G385" s="525" t="str">
        <f t="shared" si="95"/>
        <v>n.a.</v>
      </c>
      <c r="H385" s="525" t="str">
        <f t="shared" si="95"/>
        <v>n.a.</v>
      </c>
      <c r="I385" s="525" t="str">
        <f t="shared" si="95"/>
        <v>n.a.</v>
      </c>
      <c r="J385" s="525" t="str">
        <f t="shared" si="95"/>
        <v>n.a.</v>
      </c>
      <c r="K385" s="525" t="str">
        <f t="shared" si="95"/>
        <v>n.a.</v>
      </c>
      <c r="L385" s="525" t="str">
        <f t="shared" si="96"/>
        <v>n.a.</v>
      </c>
      <c r="M385" s="525" t="str">
        <f t="shared" si="96"/>
        <v>n.a.</v>
      </c>
      <c r="N385" s="525" t="str">
        <f t="shared" si="96"/>
        <v>n.a.</v>
      </c>
      <c r="O385" s="525" t="str">
        <f t="shared" si="96"/>
        <v>n.a.</v>
      </c>
      <c r="P385" s="525" t="str">
        <f t="shared" si="96"/>
        <v>n.a.</v>
      </c>
      <c r="Q385" s="525" t="str">
        <f t="shared" si="96"/>
        <v>n.a.</v>
      </c>
      <c r="R385" s="525" t="str">
        <f t="shared" si="96"/>
        <v>n.a.</v>
      </c>
      <c r="S385" s="525" t="str">
        <f t="shared" si="96"/>
        <v>n.a.</v>
      </c>
    </row>
    <row r="386" spans="1:19" s="110" customFormat="1" x14ac:dyDescent="0.25">
      <c r="A386" s="785">
        <v>253</v>
      </c>
      <c r="B386" s="525" t="str">
        <f t="shared" si="95"/>
        <v>n.a.</v>
      </c>
      <c r="C386" s="525" t="str">
        <f t="shared" si="95"/>
        <v>n.a.</v>
      </c>
      <c r="D386" s="525" t="str">
        <f t="shared" si="95"/>
        <v>n.a.</v>
      </c>
      <c r="E386" s="525" t="str">
        <f t="shared" si="95"/>
        <v>n.a.</v>
      </c>
      <c r="F386" s="525" t="str">
        <f t="shared" si="95"/>
        <v>72285069</v>
      </c>
      <c r="G386" s="525" t="str">
        <f t="shared" si="95"/>
        <v>n.a.</v>
      </c>
      <c r="H386" s="525" t="str">
        <f t="shared" si="95"/>
        <v>n.a.</v>
      </c>
      <c r="I386" s="525" t="str">
        <f t="shared" si="95"/>
        <v>n.a.</v>
      </c>
      <c r="J386" s="525" t="str">
        <f t="shared" si="95"/>
        <v>n.a.</v>
      </c>
      <c r="K386" s="525" t="str">
        <f t="shared" si="95"/>
        <v>n.a.</v>
      </c>
      <c r="L386" s="525" t="str">
        <f t="shared" si="96"/>
        <v>n.a.</v>
      </c>
      <c r="M386" s="525" t="str">
        <f t="shared" si="96"/>
        <v>n.a.</v>
      </c>
      <c r="N386" s="525" t="str">
        <f t="shared" si="96"/>
        <v>n.a.</v>
      </c>
      <c r="O386" s="525" t="str">
        <f t="shared" si="96"/>
        <v>n.a.</v>
      </c>
      <c r="P386" s="525" t="str">
        <f t="shared" si="96"/>
        <v>n.a.</v>
      </c>
      <c r="Q386" s="525" t="str">
        <f t="shared" si="96"/>
        <v>n.a.</v>
      </c>
      <c r="R386" s="525" t="str">
        <f t="shared" si="96"/>
        <v>n.a.</v>
      </c>
      <c r="S386" s="525" t="str">
        <f t="shared" si="96"/>
        <v>n.a.</v>
      </c>
    </row>
    <row r="387" spans="1:19" s="110" customFormat="1" x14ac:dyDescent="0.25">
      <c r="A387" s="785">
        <v>254</v>
      </c>
      <c r="B387" s="525" t="str">
        <f t="shared" si="95"/>
        <v>n.a.</v>
      </c>
      <c r="C387" s="525" t="str">
        <f t="shared" si="95"/>
        <v>n.a.</v>
      </c>
      <c r="D387" s="525" t="str">
        <f t="shared" si="95"/>
        <v>n.a.</v>
      </c>
      <c r="E387" s="525" t="str">
        <f t="shared" si="95"/>
        <v>n.a.</v>
      </c>
      <c r="F387" s="525" t="str">
        <f t="shared" si="95"/>
        <v>72285080</v>
      </c>
      <c r="G387" s="525" t="str">
        <f t="shared" si="95"/>
        <v>n.a.</v>
      </c>
      <c r="H387" s="525" t="str">
        <f t="shared" si="95"/>
        <v>n.a.</v>
      </c>
      <c r="I387" s="525" t="str">
        <f t="shared" si="95"/>
        <v>n.a.</v>
      </c>
      <c r="J387" s="525" t="str">
        <f t="shared" si="95"/>
        <v>n.a.</v>
      </c>
      <c r="K387" s="525" t="str">
        <f t="shared" si="95"/>
        <v>n.a.</v>
      </c>
      <c r="L387" s="525" t="str">
        <f t="shared" si="96"/>
        <v>n.a.</v>
      </c>
      <c r="M387" s="525" t="str">
        <f t="shared" si="96"/>
        <v>n.a.</v>
      </c>
      <c r="N387" s="525" t="str">
        <f t="shared" si="96"/>
        <v>n.a.</v>
      </c>
      <c r="O387" s="525" t="str">
        <f t="shared" si="96"/>
        <v>n.a.</v>
      </c>
      <c r="P387" s="525" t="str">
        <f t="shared" si="96"/>
        <v>n.a.</v>
      </c>
      <c r="Q387" s="525" t="str">
        <f t="shared" si="96"/>
        <v>n.a.</v>
      </c>
      <c r="R387" s="525" t="str">
        <f t="shared" si="96"/>
        <v>n.a.</v>
      </c>
      <c r="S387" s="525" t="str">
        <f t="shared" si="96"/>
        <v>n.a.</v>
      </c>
    </row>
    <row r="388" spans="1:19" s="110" customFormat="1" x14ac:dyDescent="0.25">
      <c r="A388" s="785">
        <v>255</v>
      </c>
      <c r="B388" s="525" t="str">
        <f t="shared" si="95"/>
        <v>n.a.</v>
      </c>
      <c r="C388" s="525" t="str">
        <f t="shared" si="95"/>
        <v>n.a.</v>
      </c>
      <c r="D388" s="525" t="str">
        <f t="shared" si="95"/>
        <v>n.a.</v>
      </c>
      <c r="E388" s="525" t="str">
        <f t="shared" si="95"/>
        <v>n.a.</v>
      </c>
      <c r="F388" s="525" t="str">
        <f t="shared" si="95"/>
        <v>72286020</v>
      </c>
      <c r="G388" s="525" t="str">
        <f t="shared" si="95"/>
        <v>n.a.</v>
      </c>
      <c r="H388" s="525" t="str">
        <f t="shared" si="95"/>
        <v>n.a.</v>
      </c>
      <c r="I388" s="525" t="str">
        <f t="shared" si="95"/>
        <v>n.a.</v>
      </c>
      <c r="J388" s="525" t="str">
        <f t="shared" si="95"/>
        <v>n.a.</v>
      </c>
      <c r="K388" s="525" t="str">
        <f t="shared" si="95"/>
        <v>n.a.</v>
      </c>
      <c r="L388" s="525" t="str">
        <f t="shared" si="96"/>
        <v>n.a.</v>
      </c>
      <c r="M388" s="525" t="str">
        <f t="shared" si="96"/>
        <v>n.a.</v>
      </c>
      <c r="N388" s="525" t="str">
        <f t="shared" si="96"/>
        <v>n.a.</v>
      </c>
      <c r="O388" s="525" t="str">
        <f t="shared" si="96"/>
        <v>n.a.</v>
      </c>
      <c r="P388" s="525" t="str">
        <f t="shared" si="96"/>
        <v>n.a.</v>
      </c>
      <c r="Q388" s="525" t="str">
        <f t="shared" si="96"/>
        <v>n.a.</v>
      </c>
      <c r="R388" s="525" t="str">
        <f t="shared" si="96"/>
        <v>n.a.</v>
      </c>
      <c r="S388" s="525" t="str">
        <f t="shared" si="96"/>
        <v>n.a.</v>
      </c>
    </row>
    <row r="389" spans="1:19" s="110" customFormat="1" x14ac:dyDescent="0.25">
      <c r="A389" s="785">
        <v>256</v>
      </c>
      <c r="B389" s="525" t="str">
        <f t="shared" si="95"/>
        <v>n.a.</v>
      </c>
      <c r="C389" s="525" t="str">
        <f t="shared" si="95"/>
        <v>n.a.</v>
      </c>
      <c r="D389" s="525" t="str">
        <f t="shared" si="95"/>
        <v>n.a.</v>
      </c>
      <c r="E389" s="525" t="str">
        <f t="shared" si="95"/>
        <v>n.a.</v>
      </c>
      <c r="F389" s="525" t="str">
        <f t="shared" si="95"/>
        <v>72286080</v>
      </c>
      <c r="G389" s="525" t="str">
        <f t="shared" si="95"/>
        <v>n.a.</v>
      </c>
      <c r="H389" s="525" t="str">
        <f t="shared" si="95"/>
        <v>n.a.</v>
      </c>
      <c r="I389" s="525" t="str">
        <f t="shared" si="95"/>
        <v>n.a.</v>
      </c>
      <c r="J389" s="525" t="str">
        <f t="shared" si="95"/>
        <v>n.a.</v>
      </c>
      <c r="K389" s="525" t="str">
        <f t="shared" si="95"/>
        <v>n.a.</v>
      </c>
      <c r="L389" s="525" t="str">
        <f t="shared" si="96"/>
        <v>n.a.</v>
      </c>
      <c r="M389" s="525" t="str">
        <f t="shared" si="96"/>
        <v>n.a.</v>
      </c>
      <c r="N389" s="525" t="str">
        <f t="shared" si="96"/>
        <v>n.a.</v>
      </c>
      <c r="O389" s="525" t="str">
        <f t="shared" si="96"/>
        <v>n.a.</v>
      </c>
      <c r="P389" s="525" t="str">
        <f t="shared" si="96"/>
        <v>n.a.</v>
      </c>
      <c r="Q389" s="525" t="str">
        <f t="shared" si="96"/>
        <v>n.a.</v>
      </c>
      <c r="R389" s="525" t="str">
        <f t="shared" si="96"/>
        <v>n.a.</v>
      </c>
      <c r="S389" s="525" t="str">
        <f t="shared" si="96"/>
        <v>n.a.</v>
      </c>
    </row>
    <row r="390" spans="1:19" s="110" customFormat="1" x14ac:dyDescent="0.25">
      <c r="A390" s="785">
        <v>257</v>
      </c>
      <c r="B390" s="525" t="str">
        <f t="shared" si="95"/>
        <v>n.a.</v>
      </c>
      <c r="C390" s="525" t="str">
        <f t="shared" si="95"/>
        <v>n.a.</v>
      </c>
      <c r="D390" s="525" t="str">
        <f t="shared" si="95"/>
        <v>n.a.</v>
      </c>
      <c r="E390" s="525" t="str">
        <f t="shared" si="95"/>
        <v>n.a.</v>
      </c>
      <c r="F390" s="525" t="str">
        <f t="shared" si="95"/>
        <v>72287010</v>
      </c>
      <c r="G390" s="525" t="str">
        <f t="shared" si="95"/>
        <v>n.a.</v>
      </c>
      <c r="H390" s="525" t="str">
        <f t="shared" si="95"/>
        <v>n.a.</v>
      </c>
      <c r="I390" s="525" t="str">
        <f t="shared" si="95"/>
        <v>n.a.</v>
      </c>
      <c r="J390" s="525" t="str">
        <f t="shared" si="95"/>
        <v>n.a.</v>
      </c>
      <c r="K390" s="525" t="str">
        <f t="shared" si="95"/>
        <v>n.a.</v>
      </c>
      <c r="L390" s="525" t="str">
        <f t="shared" si="96"/>
        <v>n.a.</v>
      </c>
      <c r="M390" s="525" t="str">
        <f t="shared" si="96"/>
        <v>n.a.</v>
      </c>
      <c r="N390" s="525" t="str">
        <f t="shared" si="96"/>
        <v>n.a.</v>
      </c>
      <c r="O390" s="525" t="str">
        <f t="shared" si="96"/>
        <v>n.a.</v>
      </c>
      <c r="P390" s="525" t="str">
        <f t="shared" si="96"/>
        <v>n.a.</v>
      </c>
      <c r="Q390" s="525" t="str">
        <f t="shared" si="96"/>
        <v>n.a.</v>
      </c>
      <c r="R390" s="525" t="str">
        <f t="shared" si="96"/>
        <v>n.a.</v>
      </c>
      <c r="S390" s="525" t="str">
        <f t="shared" si="96"/>
        <v>n.a.</v>
      </c>
    </row>
    <row r="391" spans="1:19" s="110" customFormat="1" x14ac:dyDescent="0.25">
      <c r="A391" s="785">
        <v>258</v>
      </c>
      <c r="B391" s="525" t="str">
        <f t="shared" si="95"/>
        <v>n.a.</v>
      </c>
      <c r="C391" s="525" t="str">
        <f t="shared" si="95"/>
        <v>n.a.</v>
      </c>
      <c r="D391" s="525" t="str">
        <f t="shared" si="95"/>
        <v>n.a.</v>
      </c>
      <c r="E391" s="525" t="str">
        <f t="shared" si="95"/>
        <v>n.a.</v>
      </c>
      <c r="F391" s="525" t="str">
        <f t="shared" si="95"/>
        <v>72287090</v>
      </c>
      <c r="G391" s="525" t="str">
        <f t="shared" si="95"/>
        <v>n.a.</v>
      </c>
      <c r="H391" s="525" t="str">
        <f t="shared" si="95"/>
        <v>n.a.</v>
      </c>
      <c r="I391" s="525" t="str">
        <f t="shared" si="95"/>
        <v>n.a.</v>
      </c>
      <c r="J391" s="525" t="str">
        <f t="shared" si="95"/>
        <v>n.a.</v>
      </c>
      <c r="K391" s="525" t="str">
        <f t="shared" si="95"/>
        <v>n.a.</v>
      </c>
      <c r="L391" s="525" t="str">
        <f t="shared" si="96"/>
        <v>n.a.</v>
      </c>
      <c r="M391" s="525" t="str">
        <f t="shared" si="96"/>
        <v>n.a.</v>
      </c>
      <c r="N391" s="525" t="str">
        <f t="shared" si="96"/>
        <v>n.a.</v>
      </c>
      <c r="O391" s="525" t="str">
        <f t="shared" si="96"/>
        <v>n.a.</v>
      </c>
      <c r="P391" s="525" t="str">
        <f t="shared" si="96"/>
        <v>n.a.</v>
      </c>
      <c r="Q391" s="525" t="str">
        <f t="shared" si="96"/>
        <v>n.a.</v>
      </c>
      <c r="R391" s="525" t="str">
        <f t="shared" si="96"/>
        <v>n.a.</v>
      </c>
      <c r="S391" s="525" t="str">
        <f t="shared" si="96"/>
        <v>n.a.</v>
      </c>
    </row>
    <row r="392" spans="1:19" s="110" customFormat="1" x14ac:dyDescent="0.25">
      <c r="A392" s="785">
        <v>259</v>
      </c>
      <c r="B392" s="525" t="str">
        <f t="shared" si="95"/>
        <v>n.a.</v>
      </c>
      <c r="C392" s="525" t="str">
        <f t="shared" si="95"/>
        <v>n.a.</v>
      </c>
      <c r="D392" s="525" t="str">
        <f t="shared" si="95"/>
        <v>n.a.</v>
      </c>
      <c r="E392" s="525" t="str">
        <f t="shared" si="95"/>
        <v>n.a.</v>
      </c>
      <c r="F392" s="525" t="str">
        <f t="shared" si="95"/>
        <v>72288000</v>
      </c>
      <c r="G392" s="525" t="str">
        <f t="shared" si="95"/>
        <v>n.a.</v>
      </c>
      <c r="H392" s="525" t="str">
        <f t="shared" si="95"/>
        <v>n.a.</v>
      </c>
      <c r="I392" s="525" t="str">
        <f t="shared" si="95"/>
        <v>n.a.</v>
      </c>
      <c r="J392" s="525" t="str">
        <f t="shared" si="95"/>
        <v>n.a.</v>
      </c>
      <c r="K392" s="525" t="str">
        <f t="shared" si="95"/>
        <v>n.a.</v>
      </c>
      <c r="L392" s="525" t="str">
        <f t="shared" si="96"/>
        <v>n.a.</v>
      </c>
      <c r="M392" s="525" t="str">
        <f t="shared" si="96"/>
        <v>n.a.</v>
      </c>
      <c r="N392" s="525" t="str">
        <f t="shared" si="96"/>
        <v>n.a.</v>
      </c>
      <c r="O392" s="525" t="str">
        <f t="shared" si="96"/>
        <v>n.a.</v>
      </c>
      <c r="P392" s="525" t="str">
        <f t="shared" si="96"/>
        <v>n.a.</v>
      </c>
      <c r="Q392" s="525" t="str">
        <f t="shared" si="96"/>
        <v>n.a.</v>
      </c>
      <c r="R392" s="525" t="str">
        <f t="shared" si="96"/>
        <v>n.a.</v>
      </c>
      <c r="S392" s="525" t="str">
        <f t="shared" si="96"/>
        <v>n.a.</v>
      </c>
    </row>
    <row r="393" spans="1:19" s="110" customFormat="1" x14ac:dyDescent="0.25">
      <c r="A393" s="785">
        <v>260</v>
      </c>
      <c r="B393" s="525" t="str">
        <f t="shared" si="95"/>
        <v>n.a.</v>
      </c>
      <c r="C393" s="525" t="str">
        <f t="shared" si="95"/>
        <v>n.a.</v>
      </c>
      <c r="D393" s="525" t="str">
        <f t="shared" si="95"/>
        <v>n.a.</v>
      </c>
      <c r="E393" s="525" t="str">
        <f t="shared" si="95"/>
        <v>n.a.</v>
      </c>
      <c r="F393" s="525" t="str">
        <f t="shared" si="95"/>
        <v>72292000</v>
      </c>
      <c r="G393" s="525" t="str">
        <f t="shared" si="95"/>
        <v>n.a.</v>
      </c>
      <c r="H393" s="525" t="str">
        <f t="shared" si="95"/>
        <v>n.a.</v>
      </c>
      <c r="I393" s="525" t="str">
        <f t="shared" si="95"/>
        <v>n.a.</v>
      </c>
      <c r="J393" s="525" t="str">
        <f t="shared" si="95"/>
        <v>n.a.</v>
      </c>
      <c r="K393" s="525" t="str">
        <f t="shared" si="95"/>
        <v>n.a.</v>
      </c>
      <c r="L393" s="525" t="str">
        <f t="shared" si="96"/>
        <v>n.a.</v>
      </c>
      <c r="M393" s="525" t="str">
        <f t="shared" si="96"/>
        <v>n.a.</v>
      </c>
      <c r="N393" s="525" t="str">
        <f t="shared" si="96"/>
        <v>n.a.</v>
      </c>
      <c r="O393" s="525" t="str">
        <f t="shared" si="96"/>
        <v>n.a.</v>
      </c>
      <c r="P393" s="525" t="str">
        <f t="shared" si="96"/>
        <v>n.a.</v>
      </c>
      <c r="Q393" s="525" t="str">
        <f t="shared" si="96"/>
        <v>n.a.</v>
      </c>
      <c r="R393" s="525" t="str">
        <f t="shared" si="96"/>
        <v>n.a.</v>
      </c>
      <c r="S393" s="525" t="str">
        <f t="shared" si="96"/>
        <v>n.a.</v>
      </c>
    </row>
    <row r="394" spans="1:19" s="110" customFormat="1" x14ac:dyDescent="0.25">
      <c r="A394" s="785">
        <v>261</v>
      </c>
      <c r="B394" s="525" t="str">
        <f t="shared" ref="B394:K403" si="97">IFERROR(INDEX(CNCodes_ListKey,MATCH($A394&amp;"_"&amp;B$132,CNCodes_ListNumbering,0)),CONST_NA)</f>
        <v>n.a.</v>
      </c>
      <c r="C394" s="525" t="str">
        <f t="shared" si="97"/>
        <v>n.a.</v>
      </c>
      <c r="D394" s="525" t="str">
        <f t="shared" si="97"/>
        <v>n.a.</v>
      </c>
      <c r="E394" s="525" t="str">
        <f t="shared" si="97"/>
        <v>n.a.</v>
      </c>
      <c r="F394" s="525" t="str">
        <f t="shared" si="97"/>
        <v>72299020</v>
      </c>
      <c r="G394" s="525" t="str">
        <f t="shared" si="97"/>
        <v>n.a.</v>
      </c>
      <c r="H394" s="525" t="str">
        <f t="shared" si="97"/>
        <v>n.a.</v>
      </c>
      <c r="I394" s="525" t="str">
        <f t="shared" si="97"/>
        <v>n.a.</v>
      </c>
      <c r="J394" s="525" t="str">
        <f t="shared" si="97"/>
        <v>n.a.</v>
      </c>
      <c r="K394" s="525" t="str">
        <f t="shared" si="97"/>
        <v>n.a.</v>
      </c>
      <c r="L394" s="525" t="str">
        <f t="shared" ref="L394:S403" si="98">IFERROR(INDEX(CNCodes_ListKey,MATCH($A394&amp;"_"&amp;L$132,CNCodes_ListNumbering,0)),CONST_NA)</f>
        <v>n.a.</v>
      </c>
      <c r="M394" s="525" t="str">
        <f t="shared" si="98"/>
        <v>n.a.</v>
      </c>
      <c r="N394" s="525" t="str">
        <f t="shared" si="98"/>
        <v>n.a.</v>
      </c>
      <c r="O394" s="525" t="str">
        <f t="shared" si="98"/>
        <v>n.a.</v>
      </c>
      <c r="P394" s="525" t="str">
        <f t="shared" si="98"/>
        <v>n.a.</v>
      </c>
      <c r="Q394" s="525" t="str">
        <f t="shared" si="98"/>
        <v>n.a.</v>
      </c>
      <c r="R394" s="525" t="str">
        <f t="shared" si="98"/>
        <v>n.a.</v>
      </c>
      <c r="S394" s="525" t="str">
        <f t="shared" si="98"/>
        <v>n.a.</v>
      </c>
    </row>
    <row r="395" spans="1:19" s="110" customFormat="1" x14ac:dyDescent="0.25">
      <c r="A395" s="785">
        <v>262</v>
      </c>
      <c r="B395" s="525" t="str">
        <f t="shared" si="97"/>
        <v>n.a.</v>
      </c>
      <c r="C395" s="525" t="str">
        <f t="shared" si="97"/>
        <v>n.a.</v>
      </c>
      <c r="D395" s="525" t="str">
        <f t="shared" si="97"/>
        <v>n.a.</v>
      </c>
      <c r="E395" s="525" t="str">
        <f t="shared" si="97"/>
        <v>n.a.</v>
      </c>
      <c r="F395" s="525" t="str">
        <f t="shared" si="97"/>
        <v>72299050</v>
      </c>
      <c r="G395" s="525" t="str">
        <f t="shared" si="97"/>
        <v>n.a.</v>
      </c>
      <c r="H395" s="525" t="str">
        <f t="shared" si="97"/>
        <v>n.a.</v>
      </c>
      <c r="I395" s="525" t="str">
        <f t="shared" si="97"/>
        <v>n.a.</v>
      </c>
      <c r="J395" s="525" t="str">
        <f t="shared" si="97"/>
        <v>n.a.</v>
      </c>
      <c r="K395" s="525" t="str">
        <f t="shared" si="97"/>
        <v>n.a.</v>
      </c>
      <c r="L395" s="525" t="str">
        <f t="shared" si="98"/>
        <v>n.a.</v>
      </c>
      <c r="M395" s="525" t="str">
        <f t="shared" si="98"/>
        <v>n.a.</v>
      </c>
      <c r="N395" s="525" t="str">
        <f t="shared" si="98"/>
        <v>n.a.</v>
      </c>
      <c r="O395" s="525" t="str">
        <f t="shared" si="98"/>
        <v>n.a.</v>
      </c>
      <c r="P395" s="525" t="str">
        <f t="shared" si="98"/>
        <v>n.a.</v>
      </c>
      <c r="Q395" s="525" t="str">
        <f t="shared" si="98"/>
        <v>n.a.</v>
      </c>
      <c r="R395" s="525" t="str">
        <f t="shared" si="98"/>
        <v>n.a.</v>
      </c>
      <c r="S395" s="525" t="str">
        <f t="shared" si="98"/>
        <v>n.a.</v>
      </c>
    </row>
    <row r="396" spans="1:19" s="110" customFormat="1" x14ac:dyDescent="0.25">
      <c r="A396" s="785">
        <v>263</v>
      </c>
      <c r="B396" s="525" t="str">
        <f t="shared" si="97"/>
        <v>n.a.</v>
      </c>
      <c r="C396" s="525" t="str">
        <f t="shared" si="97"/>
        <v>n.a.</v>
      </c>
      <c r="D396" s="525" t="str">
        <f t="shared" si="97"/>
        <v>n.a.</v>
      </c>
      <c r="E396" s="525" t="str">
        <f t="shared" si="97"/>
        <v>n.a.</v>
      </c>
      <c r="F396" s="525" t="str">
        <f t="shared" si="97"/>
        <v>72299090</v>
      </c>
      <c r="G396" s="525" t="str">
        <f t="shared" si="97"/>
        <v>n.a.</v>
      </c>
      <c r="H396" s="525" t="str">
        <f t="shared" si="97"/>
        <v>n.a.</v>
      </c>
      <c r="I396" s="525" t="str">
        <f t="shared" si="97"/>
        <v>n.a.</v>
      </c>
      <c r="J396" s="525" t="str">
        <f t="shared" si="97"/>
        <v>n.a.</v>
      </c>
      <c r="K396" s="525" t="str">
        <f t="shared" si="97"/>
        <v>n.a.</v>
      </c>
      <c r="L396" s="525" t="str">
        <f t="shared" si="98"/>
        <v>n.a.</v>
      </c>
      <c r="M396" s="525" t="str">
        <f t="shared" si="98"/>
        <v>n.a.</v>
      </c>
      <c r="N396" s="525" t="str">
        <f t="shared" si="98"/>
        <v>n.a.</v>
      </c>
      <c r="O396" s="525" t="str">
        <f t="shared" si="98"/>
        <v>n.a.</v>
      </c>
      <c r="P396" s="525" t="str">
        <f t="shared" si="98"/>
        <v>n.a.</v>
      </c>
      <c r="Q396" s="525" t="str">
        <f t="shared" si="98"/>
        <v>n.a.</v>
      </c>
      <c r="R396" s="525" t="str">
        <f t="shared" si="98"/>
        <v>n.a.</v>
      </c>
      <c r="S396" s="525" t="str">
        <f t="shared" si="98"/>
        <v>n.a.</v>
      </c>
    </row>
    <row r="397" spans="1:19" s="110" customFormat="1" x14ac:dyDescent="0.25">
      <c r="A397" s="785">
        <v>264</v>
      </c>
      <c r="B397" s="525" t="str">
        <f t="shared" si="97"/>
        <v>n.a.</v>
      </c>
      <c r="C397" s="525" t="str">
        <f t="shared" si="97"/>
        <v>n.a.</v>
      </c>
      <c r="D397" s="525" t="str">
        <f t="shared" si="97"/>
        <v>n.a.</v>
      </c>
      <c r="E397" s="525" t="str">
        <f t="shared" si="97"/>
        <v>n.a.</v>
      </c>
      <c r="F397" s="525" t="str">
        <f t="shared" si="97"/>
        <v>73011000</v>
      </c>
      <c r="G397" s="525" t="str">
        <f t="shared" si="97"/>
        <v>n.a.</v>
      </c>
      <c r="H397" s="525" t="str">
        <f t="shared" si="97"/>
        <v>n.a.</v>
      </c>
      <c r="I397" s="525" t="str">
        <f t="shared" si="97"/>
        <v>n.a.</v>
      </c>
      <c r="J397" s="525" t="str">
        <f t="shared" si="97"/>
        <v>n.a.</v>
      </c>
      <c r="K397" s="525" t="str">
        <f t="shared" si="97"/>
        <v>n.a.</v>
      </c>
      <c r="L397" s="525" t="str">
        <f t="shared" si="98"/>
        <v>n.a.</v>
      </c>
      <c r="M397" s="525" t="str">
        <f t="shared" si="98"/>
        <v>n.a.</v>
      </c>
      <c r="N397" s="525" t="str">
        <f t="shared" si="98"/>
        <v>n.a.</v>
      </c>
      <c r="O397" s="525" t="str">
        <f t="shared" si="98"/>
        <v>n.a.</v>
      </c>
      <c r="P397" s="525" t="str">
        <f t="shared" si="98"/>
        <v>n.a.</v>
      </c>
      <c r="Q397" s="525" t="str">
        <f t="shared" si="98"/>
        <v>n.a.</v>
      </c>
      <c r="R397" s="525" t="str">
        <f t="shared" si="98"/>
        <v>n.a.</v>
      </c>
      <c r="S397" s="525" t="str">
        <f t="shared" si="98"/>
        <v>n.a.</v>
      </c>
    </row>
    <row r="398" spans="1:19" s="110" customFormat="1" x14ac:dyDescent="0.25">
      <c r="A398" s="785">
        <v>265</v>
      </c>
      <c r="B398" s="525" t="str">
        <f t="shared" si="97"/>
        <v>n.a.</v>
      </c>
      <c r="C398" s="525" t="str">
        <f t="shared" si="97"/>
        <v>n.a.</v>
      </c>
      <c r="D398" s="525" t="str">
        <f t="shared" si="97"/>
        <v>n.a.</v>
      </c>
      <c r="E398" s="525" t="str">
        <f t="shared" si="97"/>
        <v>n.a.</v>
      </c>
      <c r="F398" s="525" t="str">
        <f t="shared" si="97"/>
        <v>73012000</v>
      </c>
      <c r="G398" s="525" t="str">
        <f t="shared" si="97"/>
        <v>n.a.</v>
      </c>
      <c r="H398" s="525" t="str">
        <f t="shared" si="97"/>
        <v>n.a.</v>
      </c>
      <c r="I398" s="525" t="str">
        <f t="shared" si="97"/>
        <v>n.a.</v>
      </c>
      <c r="J398" s="525" t="str">
        <f t="shared" si="97"/>
        <v>n.a.</v>
      </c>
      <c r="K398" s="525" t="str">
        <f t="shared" si="97"/>
        <v>n.a.</v>
      </c>
      <c r="L398" s="525" t="str">
        <f t="shared" si="98"/>
        <v>n.a.</v>
      </c>
      <c r="M398" s="525" t="str">
        <f t="shared" si="98"/>
        <v>n.a.</v>
      </c>
      <c r="N398" s="525" t="str">
        <f t="shared" si="98"/>
        <v>n.a.</v>
      </c>
      <c r="O398" s="525" t="str">
        <f t="shared" si="98"/>
        <v>n.a.</v>
      </c>
      <c r="P398" s="525" t="str">
        <f t="shared" si="98"/>
        <v>n.a.</v>
      </c>
      <c r="Q398" s="525" t="str">
        <f t="shared" si="98"/>
        <v>n.a.</v>
      </c>
      <c r="R398" s="525" t="str">
        <f t="shared" si="98"/>
        <v>n.a.</v>
      </c>
      <c r="S398" s="525" t="str">
        <f t="shared" si="98"/>
        <v>n.a.</v>
      </c>
    </row>
    <row r="399" spans="1:19" s="110" customFormat="1" x14ac:dyDescent="0.25">
      <c r="A399" s="785">
        <v>266</v>
      </c>
      <c r="B399" s="525" t="str">
        <f t="shared" si="97"/>
        <v>n.a.</v>
      </c>
      <c r="C399" s="525" t="str">
        <f t="shared" si="97"/>
        <v>n.a.</v>
      </c>
      <c r="D399" s="525" t="str">
        <f t="shared" si="97"/>
        <v>n.a.</v>
      </c>
      <c r="E399" s="525" t="str">
        <f t="shared" si="97"/>
        <v>n.a.</v>
      </c>
      <c r="F399" s="525" t="str">
        <f t="shared" si="97"/>
        <v>73021010</v>
      </c>
      <c r="G399" s="525" t="str">
        <f t="shared" si="97"/>
        <v>n.a.</v>
      </c>
      <c r="H399" s="525" t="str">
        <f t="shared" si="97"/>
        <v>n.a.</v>
      </c>
      <c r="I399" s="525" t="str">
        <f t="shared" si="97"/>
        <v>n.a.</v>
      </c>
      <c r="J399" s="525" t="str">
        <f t="shared" si="97"/>
        <v>n.a.</v>
      </c>
      <c r="K399" s="525" t="str">
        <f t="shared" si="97"/>
        <v>n.a.</v>
      </c>
      <c r="L399" s="525" t="str">
        <f t="shared" si="98"/>
        <v>n.a.</v>
      </c>
      <c r="M399" s="525" t="str">
        <f t="shared" si="98"/>
        <v>n.a.</v>
      </c>
      <c r="N399" s="525" t="str">
        <f t="shared" si="98"/>
        <v>n.a.</v>
      </c>
      <c r="O399" s="525" t="str">
        <f t="shared" si="98"/>
        <v>n.a.</v>
      </c>
      <c r="P399" s="525" t="str">
        <f t="shared" si="98"/>
        <v>n.a.</v>
      </c>
      <c r="Q399" s="525" t="str">
        <f t="shared" si="98"/>
        <v>n.a.</v>
      </c>
      <c r="R399" s="525" t="str">
        <f t="shared" si="98"/>
        <v>n.a.</v>
      </c>
      <c r="S399" s="525" t="str">
        <f t="shared" si="98"/>
        <v>n.a.</v>
      </c>
    </row>
    <row r="400" spans="1:19" s="110" customFormat="1" x14ac:dyDescent="0.25">
      <c r="A400" s="785">
        <v>267</v>
      </c>
      <c r="B400" s="525" t="str">
        <f t="shared" si="97"/>
        <v>n.a.</v>
      </c>
      <c r="C400" s="525" t="str">
        <f t="shared" si="97"/>
        <v>n.a.</v>
      </c>
      <c r="D400" s="525" t="str">
        <f t="shared" si="97"/>
        <v>n.a.</v>
      </c>
      <c r="E400" s="525" t="str">
        <f t="shared" si="97"/>
        <v>n.a.</v>
      </c>
      <c r="F400" s="525" t="str">
        <f t="shared" si="97"/>
        <v>73021022</v>
      </c>
      <c r="G400" s="525" t="str">
        <f t="shared" si="97"/>
        <v>n.a.</v>
      </c>
      <c r="H400" s="525" t="str">
        <f t="shared" si="97"/>
        <v>n.a.</v>
      </c>
      <c r="I400" s="525" t="str">
        <f t="shared" si="97"/>
        <v>n.a.</v>
      </c>
      <c r="J400" s="525" t="str">
        <f t="shared" si="97"/>
        <v>n.a.</v>
      </c>
      <c r="K400" s="525" t="str">
        <f t="shared" si="97"/>
        <v>n.a.</v>
      </c>
      <c r="L400" s="525" t="str">
        <f t="shared" si="98"/>
        <v>n.a.</v>
      </c>
      <c r="M400" s="525" t="str">
        <f t="shared" si="98"/>
        <v>n.a.</v>
      </c>
      <c r="N400" s="525" t="str">
        <f t="shared" si="98"/>
        <v>n.a.</v>
      </c>
      <c r="O400" s="525" t="str">
        <f t="shared" si="98"/>
        <v>n.a.</v>
      </c>
      <c r="P400" s="525" t="str">
        <f t="shared" si="98"/>
        <v>n.a.</v>
      </c>
      <c r="Q400" s="525" t="str">
        <f t="shared" si="98"/>
        <v>n.a.</v>
      </c>
      <c r="R400" s="525" t="str">
        <f t="shared" si="98"/>
        <v>n.a.</v>
      </c>
      <c r="S400" s="525" t="str">
        <f t="shared" si="98"/>
        <v>n.a.</v>
      </c>
    </row>
    <row r="401" spans="1:19" s="110" customFormat="1" x14ac:dyDescent="0.25">
      <c r="A401" s="785">
        <v>268</v>
      </c>
      <c r="B401" s="525" t="str">
        <f t="shared" si="97"/>
        <v>n.a.</v>
      </c>
      <c r="C401" s="525" t="str">
        <f t="shared" si="97"/>
        <v>n.a.</v>
      </c>
      <c r="D401" s="525" t="str">
        <f t="shared" si="97"/>
        <v>n.a.</v>
      </c>
      <c r="E401" s="525" t="str">
        <f t="shared" si="97"/>
        <v>n.a.</v>
      </c>
      <c r="F401" s="525" t="str">
        <f t="shared" si="97"/>
        <v>73021028</v>
      </c>
      <c r="G401" s="525" t="str">
        <f t="shared" si="97"/>
        <v>n.a.</v>
      </c>
      <c r="H401" s="525" t="str">
        <f t="shared" si="97"/>
        <v>n.a.</v>
      </c>
      <c r="I401" s="525" t="str">
        <f t="shared" si="97"/>
        <v>n.a.</v>
      </c>
      <c r="J401" s="525" t="str">
        <f t="shared" si="97"/>
        <v>n.a.</v>
      </c>
      <c r="K401" s="525" t="str">
        <f t="shared" si="97"/>
        <v>n.a.</v>
      </c>
      <c r="L401" s="525" t="str">
        <f t="shared" si="98"/>
        <v>n.a.</v>
      </c>
      <c r="M401" s="525" t="str">
        <f t="shared" si="98"/>
        <v>n.a.</v>
      </c>
      <c r="N401" s="525" t="str">
        <f t="shared" si="98"/>
        <v>n.a.</v>
      </c>
      <c r="O401" s="525" t="str">
        <f t="shared" si="98"/>
        <v>n.a.</v>
      </c>
      <c r="P401" s="525" t="str">
        <f t="shared" si="98"/>
        <v>n.a.</v>
      </c>
      <c r="Q401" s="525" t="str">
        <f t="shared" si="98"/>
        <v>n.a.</v>
      </c>
      <c r="R401" s="525" t="str">
        <f t="shared" si="98"/>
        <v>n.a.</v>
      </c>
      <c r="S401" s="525" t="str">
        <f t="shared" si="98"/>
        <v>n.a.</v>
      </c>
    </row>
    <row r="402" spans="1:19" s="110" customFormat="1" x14ac:dyDescent="0.25">
      <c r="A402" s="785">
        <v>269</v>
      </c>
      <c r="B402" s="525" t="str">
        <f t="shared" si="97"/>
        <v>n.a.</v>
      </c>
      <c r="C402" s="525" t="str">
        <f t="shared" si="97"/>
        <v>n.a.</v>
      </c>
      <c r="D402" s="525" t="str">
        <f t="shared" si="97"/>
        <v>n.a.</v>
      </c>
      <c r="E402" s="525" t="str">
        <f t="shared" si="97"/>
        <v>n.a.</v>
      </c>
      <c r="F402" s="525" t="str">
        <f t="shared" si="97"/>
        <v>73021040</v>
      </c>
      <c r="G402" s="525" t="str">
        <f t="shared" si="97"/>
        <v>n.a.</v>
      </c>
      <c r="H402" s="525" t="str">
        <f t="shared" si="97"/>
        <v>n.a.</v>
      </c>
      <c r="I402" s="525" t="str">
        <f t="shared" si="97"/>
        <v>n.a.</v>
      </c>
      <c r="J402" s="525" t="str">
        <f t="shared" si="97"/>
        <v>n.a.</v>
      </c>
      <c r="K402" s="525" t="str">
        <f t="shared" si="97"/>
        <v>n.a.</v>
      </c>
      <c r="L402" s="525" t="str">
        <f t="shared" si="98"/>
        <v>n.a.</v>
      </c>
      <c r="M402" s="525" t="str">
        <f t="shared" si="98"/>
        <v>n.a.</v>
      </c>
      <c r="N402" s="525" t="str">
        <f t="shared" si="98"/>
        <v>n.a.</v>
      </c>
      <c r="O402" s="525" t="str">
        <f t="shared" si="98"/>
        <v>n.a.</v>
      </c>
      <c r="P402" s="525" t="str">
        <f t="shared" si="98"/>
        <v>n.a.</v>
      </c>
      <c r="Q402" s="525" t="str">
        <f t="shared" si="98"/>
        <v>n.a.</v>
      </c>
      <c r="R402" s="525" t="str">
        <f t="shared" si="98"/>
        <v>n.a.</v>
      </c>
      <c r="S402" s="525" t="str">
        <f t="shared" si="98"/>
        <v>n.a.</v>
      </c>
    </row>
    <row r="403" spans="1:19" s="110" customFormat="1" x14ac:dyDescent="0.25">
      <c r="A403" s="785">
        <v>270</v>
      </c>
      <c r="B403" s="525" t="str">
        <f t="shared" si="97"/>
        <v>n.a.</v>
      </c>
      <c r="C403" s="525" t="str">
        <f t="shared" si="97"/>
        <v>n.a.</v>
      </c>
      <c r="D403" s="525" t="str">
        <f t="shared" si="97"/>
        <v>n.a.</v>
      </c>
      <c r="E403" s="525" t="str">
        <f t="shared" si="97"/>
        <v>n.a.</v>
      </c>
      <c r="F403" s="525" t="str">
        <f t="shared" si="97"/>
        <v>73021050</v>
      </c>
      <c r="G403" s="525" t="str">
        <f t="shared" si="97"/>
        <v>n.a.</v>
      </c>
      <c r="H403" s="525" t="str">
        <f t="shared" si="97"/>
        <v>n.a.</v>
      </c>
      <c r="I403" s="525" t="str">
        <f t="shared" si="97"/>
        <v>n.a.</v>
      </c>
      <c r="J403" s="525" t="str">
        <f t="shared" si="97"/>
        <v>n.a.</v>
      </c>
      <c r="K403" s="525" t="str">
        <f t="shared" si="97"/>
        <v>n.a.</v>
      </c>
      <c r="L403" s="525" t="str">
        <f t="shared" si="98"/>
        <v>n.a.</v>
      </c>
      <c r="M403" s="525" t="str">
        <f t="shared" si="98"/>
        <v>n.a.</v>
      </c>
      <c r="N403" s="525" t="str">
        <f t="shared" si="98"/>
        <v>n.a.</v>
      </c>
      <c r="O403" s="525" t="str">
        <f t="shared" si="98"/>
        <v>n.a.</v>
      </c>
      <c r="P403" s="525" t="str">
        <f t="shared" si="98"/>
        <v>n.a.</v>
      </c>
      <c r="Q403" s="525" t="str">
        <f t="shared" si="98"/>
        <v>n.a.</v>
      </c>
      <c r="R403" s="525" t="str">
        <f t="shared" si="98"/>
        <v>n.a.</v>
      </c>
      <c r="S403" s="525" t="str">
        <f t="shared" si="98"/>
        <v>n.a.</v>
      </c>
    </row>
    <row r="404" spans="1:19" s="110" customFormat="1" x14ac:dyDescent="0.25">
      <c r="A404" s="785">
        <v>271</v>
      </c>
      <c r="B404" s="525" t="str">
        <f t="shared" ref="B404:K413" si="99">IFERROR(INDEX(CNCodes_ListKey,MATCH($A404&amp;"_"&amp;B$132,CNCodes_ListNumbering,0)),CONST_NA)</f>
        <v>n.a.</v>
      </c>
      <c r="C404" s="525" t="str">
        <f t="shared" si="99"/>
        <v>n.a.</v>
      </c>
      <c r="D404" s="525" t="str">
        <f t="shared" si="99"/>
        <v>n.a.</v>
      </c>
      <c r="E404" s="525" t="str">
        <f t="shared" si="99"/>
        <v>n.a.</v>
      </c>
      <c r="F404" s="525" t="str">
        <f t="shared" si="99"/>
        <v>73021090</v>
      </c>
      <c r="G404" s="525" t="str">
        <f t="shared" si="99"/>
        <v>n.a.</v>
      </c>
      <c r="H404" s="525" t="str">
        <f t="shared" si="99"/>
        <v>n.a.</v>
      </c>
      <c r="I404" s="525" t="str">
        <f t="shared" si="99"/>
        <v>n.a.</v>
      </c>
      <c r="J404" s="525" t="str">
        <f t="shared" si="99"/>
        <v>n.a.</v>
      </c>
      <c r="K404" s="525" t="str">
        <f t="shared" si="99"/>
        <v>n.a.</v>
      </c>
      <c r="L404" s="525" t="str">
        <f t="shared" ref="L404:S413" si="100">IFERROR(INDEX(CNCodes_ListKey,MATCH($A404&amp;"_"&amp;L$132,CNCodes_ListNumbering,0)),CONST_NA)</f>
        <v>n.a.</v>
      </c>
      <c r="M404" s="525" t="str">
        <f t="shared" si="100"/>
        <v>n.a.</v>
      </c>
      <c r="N404" s="525" t="str">
        <f t="shared" si="100"/>
        <v>n.a.</v>
      </c>
      <c r="O404" s="525" t="str">
        <f t="shared" si="100"/>
        <v>n.a.</v>
      </c>
      <c r="P404" s="525" t="str">
        <f t="shared" si="100"/>
        <v>n.a.</v>
      </c>
      <c r="Q404" s="525" t="str">
        <f t="shared" si="100"/>
        <v>n.a.</v>
      </c>
      <c r="R404" s="525" t="str">
        <f t="shared" si="100"/>
        <v>n.a.</v>
      </c>
      <c r="S404" s="525" t="str">
        <f t="shared" si="100"/>
        <v>n.a.</v>
      </c>
    </row>
    <row r="405" spans="1:19" s="110" customFormat="1" x14ac:dyDescent="0.25">
      <c r="A405" s="785">
        <v>272</v>
      </c>
      <c r="B405" s="525" t="str">
        <f t="shared" si="99"/>
        <v>n.a.</v>
      </c>
      <c r="C405" s="525" t="str">
        <f t="shared" si="99"/>
        <v>n.a.</v>
      </c>
      <c r="D405" s="525" t="str">
        <f t="shared" si="99"/>
        <v>n.a.</v>
      </c>
      <c r="E405" s="525" t="str">
        <f t="shared" si="99"/>
        <v>n.a.</v>
      </c>
      <c r="F405" s="525" t="str">
        <f t="shared" si="99"/>
        <v>73023000</v>
      </c>
      <c r="G405" s="525" t="str">
        <f t="shared" si="99"/>
        <v>n.a.</v>
      </c>
      <c r="H405" s="525" t="str">
        <f t="shared" si="99"/>
        <v>n.a.</v>
      </c>
      <c r="I405" s="525" t="str">
        <f t="shared" si="99"/>
        <v>n.a.</v>
      </c>
      <c r="J405" s="525" t="str">
        <f t="shared" si="99"/>
        <v>n.a.</v>
      </c>
      <c r="K405" s="525" t="str">
        <f t="shared" si="99"/>
        <v>n.a.</v>
      </c>
      <c r="L405" s="525" t="str">
        <f t="shared" si="100"/>
        <v>n.a.</v>
      </c>
      <c r="M405" s="525" t="str">
        <f t="shared" si="100"/>
        <v>n.a.</v>
      </c>
      <c r="N405" s="525" t="str">
        <f t="shared" si="100"/>
        <v>n.a.</v>
      </c>
      <c r="O405" s="525" t="str">
        <f t="shared" si="100"/>
        <v>n.a.</v>
      </c>
      <c r="P405" s="525" t="str">
        <f t="shared" si="100"/>
        <v>n.a.</v>
      </c>
      <c r="Q405" s="525" t="str">
        <f t="shared" si="100"/>
        <v>n.a.</v>
      </c>
      <c r="R405" s="525" t="str">
        <f t="shared" si="100"/>
        <v>n.a.</v>
      </c>
      <c r="S405" s="525" t="str">
        <f t="shared" si="100"/>
        <v>n.a.</v>
      </c>
    </row>
    <row r="406" spans="1:19" s="110" customFormat="1" x14ac:dyDescent="0.25">
      <c r="A406" s="785">
        <v>273</v>
      </c>
      <c r="B406" s="525" t="str">
        <f t="shared" si="99"/>
        <v>n.a.</v>
      </c>
      <c r="C406" s="525" t="str">
        <f t="shared" si="99"/>
        <v>n.a.</v>
      </c>
      <c r="D406" s="525" t="str">
        <f t="shared" si="99"/>
        <v>n.a.</v>
      </c>
      <c r="E406" s="525" t="str">
        <f t="shared" si="99"/>
        <v>n.a.</v>
      </c>
      <c r="F406" s="525" t="str">
        <f t="shared" si="99"/>
        <v>73024000</v>
      </c>
      <c r="G406" s="525" t="str">
        <f t="shared" si="99"/>
        <v>n.a.</v>
      </c>
      <c r="H406" s="525" t="str">
        <f t="shared" si="99"/>
        <v>n.a.</v>
      </c>
      <c r="I406" s="525" t="str">
        <f t="shared" si="99"/>
        <v>n.a.</v>
      </c>
      <c r="J406" s="525" t="str">
        <f t="shared" si="99"/>
        <v>n.a.</v>
      </c>
      <c r="K406" s="525" t="str">
        <f t="shared" si="99"/>
        <v>n.a.</v>
      </c>
      <c r="L406" s="525" t="str">
        <f t="shared" si="100"/>
        <v>n.a.</v>
      </c>
      <c r="M406" s="525" t="str">
        <f t="shared" si="100"/>
        <v>n.a.</v>
      </c>
      <c r="N406" s="525" t="str">
        <f t="shared" si="100"/>
        <v>n.a.</v>
      </c>
      <c r="O406" s="525" t="str">
        <f t="shared" si="100"/>
        <v>n.a.</v>
      </c>
      <c r="P406" s="525" t="str">
        <f t="shared" si="100"/>
        <v>n.a.</v>
      </c>
      <c r="Q406" s="525" t="str">
        <f t="shared" si="100"/>
        <v>n.a.</v>
      </c>
      <c r="R406" s="525" t="str">
        <f t="shared" si="100"/>
        <v>n.a.</v>
      </c>
      <c r="S406" s="525" t="str">
        <f t="shared" si="100"/>
        <v>n.a.</v>
      </c>
    </row>
    <row r="407" spans="1:19" s="110" customFormat="1" x14ac:dyDescent="0.25">
      <c r="A407" s="785">
        <v>274</v>
      </c>
      <c r="B407" s="525" t="str">
        <f t="shared" si="99"/>
        <v>n.a.</v>
      </c>
      <c r="C407" s="525" t="str">
        <f t="shared" si="99"/>
        <v>n.a.</v>
      </c>
      <c r="D407" s="525" t="str">
        <f t="shared" si="99"/>
        <v>n.a.</v>
      </c>
      <c r="E407" s="525" t="str">
        <f t="shared" si="99"/>
        <v>n.a.</v>
      </c>
      <c r="F407" s="525" t="str">
        <f t="shared" si="99"/>
        <v>73029000</v>
      </c>
      <c r="G407" s="525" t="str">
        <f t="shared" si="99"/>
        <v>n.a.</v>
      </c>
      <c r="H407" s="525" t="str">
        <f t="shared" si="99"/>
        <v>n.a.</v>
      </c>
      <c r="I407" s="525" t="str">
        <f t="shared" si="99"/>
        <v>n.a.</v>
      </c>
      <c r="J407" s="525" t="str">
        <f t="shared" si="99"/>
        <v>n.a.</v>
      </c>
      <c r="K407" s="525" t="str">
        <f t="shared" si="99"/>
        <v>n.a.</v>
      </c>
      <c r="L407" s="525" t="str">
        <f t="shared" si="100"/>
        <v>n.a.</v>
      </c>
      <c r="M407" s="525" t="str">
        <f t="shared" si="100"/>
        <v>n.a.</v>
      </c>
      <c r="N407" s="525" t="str">
        <f t="shared" si="100"/>
        <v>n.a.</v>
      </c>
      <c r="O407" s="525" t="str">
        <f t="shared" si="100"/>
        <v>n.a.</v>
      </c>
      <c r="P407" s="525" t="str">
        <f t="shared" si="100"/>
        <v>n.a.</v>
      </c>
      <c r="Q407" s="525" t="str">
        <f t="shared" si="100"/>
        <v>n.a.</v>
      </c>
      <c r="R407" s="525" t="str">
        <f t="shared" si="100"/>
        <v>n.a.</v>
      </c>
      <c r="S407" s="525" t="str">
        <f t="shared" si="100"/>
        <v>n.a.</v>
      </c>
    </row>
    <row r="408" spans="1:19" s="110" customFormat="1" x14ac:dyDescent="0.25">
      <c r="A408" s="785">
        <v>275</v>
      </c>
      <c r="B408" s="525" t="str">
        <f t="shared" si="99"/>
        <v>n.a.</v>
      </c>
      <c r="C408" s="525" t="str">
        <f t="shared" si="99"/>
        <v>n.a.</v>
      </c>
      <c r="D408" s="525" t="str">
        <f t="shared" si="99"/>
        <v>n.a.</v>
      </c>
      <c r="E408" s="525" t="str">
        <f t="shared" si="99"/>
        <v>n.a.</v>
      </c>
      <c r="F408" s="525" t="str">
        <f t="shared" si="99"/>
        <v>73030010</v>
      </c>
      <c r="G408" s="525" t="str">
        <f t="shared" si="99"/>
        <v>n.a.</v>
      </c>
      <c r="H408" s="525" t="str">
        <f t="shared" si="99"/>
        <v>n.a.</v>
      </c>
      <c r="I408" s="525" t="str">
        <f t="shared" si="99"/>
        <v>n.a.</v>
      </c>
      <c r="J408" s="525" t="str">
        <f t="shared" si="99"/>
        <v>n.a.</v>
      </c>
      <c r="K408" s="525" t="str">
        <f t="shared" si="99"/>
        <v>n.a.</v>
      </c>
      <c r="L408" s="525" t="str">
        <f t="shared" si="100"/>
        <v>n.a.</v>
      </c>
      <c r="M408" s="525" t="str">
        <f t="shared" si="100"/>
        <v>n.a.</v>
      </c>
      <c r="N408" s="525" t="str">
        <f t="shared" si="100"/>
        <v>n.a.</v>
      </c>
      <c r="O408" s="525" t="str">
        <f t="shared" si="100"/>
        <v>n.a.</v>
      </c>
      <c r="P408" s="525" t="str">
        <f t="shared" si="100"/>
        <v>n.a.</v>
      </c>
      <c r="Q408" s="525" t="str">
        <f t="shared" si="100"/>
        <v>n.a.</v>
      </c>
      <c r="R408" s="525" t="str">
        <f t="shared" si="100"/>
        <v>n.a.</v>
      </c>
      <c r="S408" s="525" t="str">
        <f t="shared" si="100"/>
        <v>n.a.</v>
      </c>
    </row>
    <row r="409" spans="1:19" s="110" customFormat="1" x14ac:dyDescent="0.25">
      <c r="A409" s="785">
        <v>276</v>
      </c>
      <c r="B409" s="525" t="str">
        <f t="shared" si="99"/>
        <v>n.a.</v>
      </c>
      <c r="C409" s="525" t="str">
        <f t="shared" si="99"/>
        <v>n.a.</v>
      </c>
      <c r="D409" s="525" t="str">
        <f t="shared" si="99"/>
        <v>n.a.</v>
      </c>
      <c r="E409" s="525" t="str">
        <f t="shared" si="99"/>
        <v>n.a.</v>
      </c>
      <c r="F409" s="525" t="str">
        <f t="shared" si="99"/>
        <v>73030090</v>
      </c>
      <c r="G409" s="525" t="str">
        <f t="shared" si="99"/>
        <v>n.a.</v>
      </c>
      <c r="H409" s="525" t="str">
        <f t="shared" si="99"/>
        <v>n.a.</v>
      </c>
      <c r="I409" s="525" t="str">
        <f t="shared" si="99"/>
        <v>n.a.</v>
      </c>
      <c r="J409" s="525" t="str">
        <f t="shared" si="99"/>
        <v>n.a.</v>
      </c>
      <c r="K409" s="525" t="str">
        <f t="shared" si="99"/>
        <v>n.a.</v>
      </c>
      <c r="L409" s="525" t="str">
        <f t="shared" si="100"/>
        <v>n.a.</v>
      </c>
      <c r="M409" s="525" t="str">
        <f t="shared" si="100"/>
        <v>n.a.</v>
      </c>
      <c r="N409" s="525" t="str">
        <f t="shared" si="100"/>
        <v>n.a.</v>
      </c>
      <c r="O409" s="525" t="str">
        <f t="shared" si="100"/>
        <v>n.a.</v>
      </c>
      <c r="P409" s="525" t="str">
        <f t="shared" si="100"/>
        <v>n.a.</v>
      </c>
      <c r="Q409" s="525" t="str">
        <f t="shared" si="100"/>
        <v>n.a.</v>
      </c>
      <c r="R409" s="525" t="str">
        <f t="shared" si="100"/>
        <v>n.a.</v>
      </c>
      <c r="S409" s="525" t="str">
        <f t="shared" si="100"/>
        <v>n.a.</v>
      </c>
    </row>
    <row r="410" spans="1:19" s="110" customFormat="1" x14ac:dyDescent="0.25">
      <c r="A410" s="785">
        <v>277</v>
      </c>
      <c r="B410" s="525" t="str">
        <f t="shared" si="99"/>
        <v>n.a.</v>
      </c>
      <c r="C410" s="525" t="str">
        <f t="shared" si="99"/>
        <v>n.a.</v>
      </c>
      <c r="D410" s="525" t="str">
        <f t="shared" si="99"/>
        <v>n.a.</v>
      </c>
      <c r="E410" s="525" t="str">
        <f t="shared" si="99"/>
        <v>n.a.</v>
      </c>
      <c r="F410" s="525" t="str">
        <f t="shared" si="99"/>
        <v>73041100</v>
      </c>
      <c r="G410" s="525" t="str">
        <f t="shared" si="99"/>
        <v>n.a.</v>
      </c>
      <c r="H410" s="525" t="str">
        <f t="shared" si="99"/>
        <v>n.a.</v>
      </c>
      <c r="I410" s="525" t="str">
        <f t="shared" si="99"/>
        <v>n.a.</v>
      </c>
      <c r="J410" s="525" t="str">
        <f t="shared" si="99"/>
        <v>n.a.</v>
      </c>
      <c r="K410" s="525" t="str">
        <f t="shared" si="99"/>
        <v>n.a.</v>
      </c>
      <c r="L410" s="525" t="str">
        <f t="shared" si="100"/>
        <v>n.a.</v>
      </c>
      <c r="M410" s="525" t="str">
        <f t="shared" si="100"/>
        <v>n.a.</v>
      </c>
      <c r="N410" s="525" t="str">
        <f t="shared" si="100"/>
        <v>n.a.</v>
      </c>
      <c r="O410" s="525" t="str">
        <f t="shared" si="100"/>
        <v>n.a.</v>
      </c>
      <c r="P410" s="525" t="str">
        <f t="shared" si="100"/>
        <v>n.a.</v>
      </c>
      <c r="Q410" s="525" t="str">
        <f t="shared" si="100"/>
        <v>n.a.</v>
      </c>
      <c r="R410" s="525" t="str">
        <f t="shared" si="100"/>
        <v>n.a.</v>
      </c>
      <c r="S410" s="525" t="str">
        <f t="shared" si="100"/>
        <v>n.a.</v>
      </c>
    </row>
    <row r="411" spans="1:19" s="110" customFormat="1" x14ac:dyDescent="0.25">
      <c r="A411" s="785">
        <v>278</v>
      </c>
      <c r="B411" s="525" t="str">
        <f t="shared" si="99"/>
        <v>n.a.</v>
      </c>
      <c r="C411" s="525" t="str">
        <f t="shared" si="99"/>
        <v>n.a.</v>
      </c>
      <c r="D411" s="525" t="str">
        <f t="shared" si="99"/>
        <v>n.a.</v>
      </c>
      <c r="E411" s="525" t="str">
        <f t="shared" si="99"/>
        <v>n.a.</v>
      </c>
      <c r="F411" s="525" t="str">
        <f t="shared" si="99"/>
        <v>73041910</v>
      </c>
      <c r="G411" s="525" t="str">
        <f t="shared" si="99"/>
        <v>n.a.</v>
      </c>
      <c r="H411" s="525" t="str">
        <f t="shared" si="99"/>
        <v>n.a.</v>
      </c>
      <c r="I411" s="525" t="str">
        <f t="shared" si="99"/>
        <v>n.a.</v>
      </c>
      <c r="J411" s="525" t="str">
        <f t="shared" si="99"/>
        <v>n.a.</v>
      </c>
      <c r="K411" s="525" t="str">
        <f t="shared" si="99"/>
        <v>n.a.</v>
      </c>
      <c r="L411" s="525" t="str">
        <f t="shared" si="100"/>
        <v>n.a.</v>
      </c>
      <c r="M411" s="525" t="str">
        <f t="shared" si="100"/>
        <v>n.a.</v>
      </c>
      <c r="N411" s="525" t="str">
        <f t="shared" si="100"/>
        <v>n.a.</v>
      </c>
      <c r="O411" s="525" t="str">
        <f t="shared" si="100"/>
        <v>n.a.</v>
      </c>
      <c r="P411" s="525" t="str">
        <f t="shared" si="100"/>
        <v>n.a.</v>
      </c>
      <c r="Q411" s="525" t="str">
        <f t="shared" si="100"/>
        <v>n.a.</v>
      </c>
      <c r="R411" s="525" t="str">
        <f t="shared" si="100"/>
        <v>n.a.</v>
      </c>
      <c r="S411" s="525" t="str">
        <f t="shared" si="100"/>
        <v>n.a.</v>
      </c>
    </row>
    <row r="412" spans="1:19" s="110" customFormat="1" x14ac:dyDescent="0.25">
      <c r="A412" s="785">
        <v>279</v>
      </c>
      <c r="B412" s="525" t="str">
        <f t="shared" si="99"/>
        <v>n.a.</v>
      </c>
      <c r="C412" s="525" t="str">
        <f t="shared" si="99"/>
        <v>n.a.</v>
      </c>
      <c r="D412" s="525" t="str">
        <f t="shared" si="99"/>
        <v>n.a.</v>
      </c>
      <c r="E412" s="525" t="str">
        <f t="shared" si="99"/>
        <v>n.a.</v>
      </c>
      <c r="F412" s="525" t="str">
        <f t="shared" si="99"/>
        <v>73041930</v>
      </c>
      <c r="G412" s="525" t="str">
        <f t="shared" si="99"/>
        <v>n.a.</v>
      </c>
      <c r="H412" s="525" t="str">
        <f t="shared" si="99"/>
        <v>n.a.</v>
      </c>
      <c r="I412" s="525" t="str">
        <f t="shared" si="99"/>
        <v>n.a.</v>
      </c>
      <c r="J412" s="525" t="str">
        <f t="shared" si="99"/>
        <v>n.a.</v>
      </c>
      <c r="K412" s="525" t="str">
        <f t="shared" si="99"/>
        <v>n.a.</v>
      </c>
      <c r="L412" s="525" t="str">
        <f t="shared" si="100"/>
        <v>n.a.</v>
      </c>
      <c r="M412" s="525" t="str">
        <f t="shared" si="100"/>
        <v>n.a.</v>
      </c>
      <c r="N412" s="525" t="str">
        <f t="shared" si="100"/>
        <v>n.a.</v>
      </c>
      <c r="O412" s="525" t="str">
        <f t="shared" si="100"/>
        <v>n.a.</v>
      </c>
      <c r="P412" s="525" t="str">
        <f t="shared" si="100"/>
        <v>n.a.</v>
      </c>
      <c r="Q412" s="525" t="str">
        <f t="shared" si="100"/>
        <v>n.a.</v>
      </c>
      <c r="R412" s="525" t="str">
        <f t="shared" si="100"/>
        <v>n.a.</v>
      </c>
      <c r="S412" s="525" t="str">
        <f t="shared" si="100"/>
        <v>n.a.</v>
      </c>
    </row>
    <row r="413" spans="1:19" s="110" customFormat="1" x14ac:dyDescent="0.25">
      <c r="A413" s="785">
        <v>280</v>
      </c>
      <c r="B413" s="525" t="str">
        <f t="shared" si="99"/>
        <v>n.a.</v>
      </c>
      <c r="C413" s="525" t="str">
        <f t="shared" si="99"/>
        <v>n.a.</v>
      </c>
      <c r="D413" s="525" t="str">
        <f t="shared" si="99"/>
        <v>n.a.</v>
      </c>
      <c r="E413" s="525" t="str">
        <f t="shared" si="99"/>
        <v>n.a.</v>
      </c>
      <c r="F413" s="525" t="str">
        <f t="shared" si="99"/>
        <v>73041990</v>
      </c>
      <c r="G413" s="525" t="str">
        <f t="shared" si="99"/>
        <v>n.a.</v>
      </c>
      <c r="H413" s="525" t="str">
        <f t="shared" si="99"/>
        <v>n.a.</v>
      </c>
      <c r="I413" s="525" t="str">
        <f t="shared" si="99"/>
        <v>n.a.</v>
      </c>
      <c r="J413" s="525" t="str">
        <f t="shared" si="99"/>
        <v>n.a.</v>
      </c>
      <c r="K413" s="525" t="str">
        <f t="shared" si="99"/>
        <v>n.a.</v>
      </c>
      <c r="L413" s="525" t="str">
        <f t="shared" si="100"/>
        <v>n.a.</v>
      </c>
      <c r="M413" s="525" t="str">
        <f t="shared" si="100"/>
        <v>n.a.</v>
      </c>
      <c r="N413" s="525" t="str">
        <f t="shared" si="100"/>
        <v>n.a.</v>
      </c>
      <c r="O413" s="525" t="str">
        <f t="shared" si="100"/>
        <v>n.a.</v>
      </c>
      <c r="P413" s="525" t="str">
        <f t="shared" si="100"/>
        <v>n.a.</v>
      </c>
      <c r="Q413" s="525" t="str">
        <f t="shared" si="100"/>
        <v>n.a.</v>
      </c>
      <c r="R413" s="525" t="str">
        <f t="shared" si="100"/>
        <v>n.a.</v>
      </c>
      <c r="S413" s="525" t="str">
        <f t="shared" si="100"/>
        <v>n.a.</v>
      </c>
    </row>
    <row r="414" spans="1:19" s="110" customFormat="1" x14ac:dyDescent="0.25">
      <c r="A414" s="785">
        <v>281</v>
      </c>
      <c r="B414" s="525" t="str">
        <f t="shared" ref="B414:K423" si="101">IFERROR(INDEX(CNCodes_ListKey,MATCH($A414&amp;"_"&amp;B$132,CNCodes_ListNumbering,0)),CONST_NA)</f>
        <v>n.a.</v>
      </c>
      <c r="C414" s="525" t="str">
        <f t="shared" si="101"/>
        <v>n.a.</v>
      </c>
      <c r="D414" s="525" t="str">
        <f t="shared" si="101"/>
        <v>n.a.</v>
      </c>
      <c r="E414" s="525" t="str">
        <f t="shared" si="101"/>
        <v>n.a.</v>
      </c>
      <c r="F414" s="525" t="str">
        <f t="shared" si="101"/>
        <v>73042200</v>
      </c>
      <c r="G414" s="525" t="str">
        <f t="shared" si="101"/>
        <v>n.a.</v>
      </c>
      <c r="H414" s="525" t="str">
        <f t="shared" si="101"/>
        <v>n.a.</v>
      </c>
      <c r="I414" s="525" t="str">
        <f t="shared" si="101"/>
        <v>n.a.</v>
      </c>
      <c r="J414" s="525" t="str">
        <f t="shared" si="101"/>
        <v>n.a.</v>
      </c>
      <c r="K414" s="525" t="str">
        <f t="shared" si="101"/>
        <v>n.a.</v>
      </c>
      <c r="L414" s="525" t="str">
        <f t="shared" ref="L414:S423" si="102">IFERROR(INDEX(CNCodes_ListKey,MATCH($A414&amp;"_"&amp;L$132,CNCodes_ListNumbering,0)),CONST_NA)</f>
        <v>n.a.</v>
      </c>
      <c r="M414" s="525" t="str">
        <f t="shared" si="102"/>
        <v>n.a.</v>
      </c>
      <c r="N414" s="525" t="str">
        <f t="shared" si="102"/>
        <v>n.a.</v>
      </c>
      <c r="O414" s="525" t="str">
        <f t="shared" si="102"/>
        <v>n.a.</v>
      </c>
      <c r="P414" s="525" t="str">
        <f t="shared" si="102"/>
        <v>n.a.</v>
      </c>
      <c r="Q414" s="525" t="str">
        <f t="shared" si="102"/>
        <v>n.a.</v>
      </c>
      <c r="R414" s="525" t="str">
        <f t="shared" si="102"/>
        <v>n.a.</v>
      </c>
      <c r="S414" s="525" t="str">
        <f t="shared" si="102"/>
        <v>n.a.</v>
      </c>
    </row>
    <row r="415" spans="1:19" s="110" customFormat="1" x14ac:dyDescent="0.25">
      <c r="A415" s="785">
        <v>282</v>
      </c>
      <c r="B415" s="525" t="str">
        <f t="shared" si="101"/>
        <v>n.a.</v>
      </c>
      <c r="C415" s="525" t="str">
        <f t="shared" si="101"/>
        <v>n.a.</v>
      </c>
      <c r="D415" s="525" t="str">
        <f t="shared" si="101"/>
        <v>n.a.</v>
      </c>
      <c r="E415" s="525" t="str">
        <f t="shared" si="101"/>
        <v>n.a.</v>
      </c>
      <c r="F415" s="525" t="str">
        <f t="shared" si="101"/>
        <v>73042300</v>
      </c>
      <c r="G415" s="525" t="str">
        <f t="shared" si="101"/>
        <v>n.a.</v>
      </c>
      <c r="H415" s="525" t="str">
        <f t="shared" si="101"/>
        <v>n.a.</v>
      </c>
      <c r="I415" s="525" t="str">
        <f t="shared" si="101"/>
        <v>n.a.</v>
      </c>
      <c r="J415" s="525" t="str">
        <f t="shared" si="101"/>
        <v>n.a.</v>
      </c>
      <c r="K415" s="525" t="str">
        <f t="shared" si="101"/>
        <v>n.a.</v>
      </c>
      <c r="L415" s="525" t="str">
        <f t="shared" si="102"/>
        <v>n.a.</v>
      </c>
      <c r="M415" s="525" t="str">
        <f t="shared" si="102"/>
        <v>n.a.</v>
      </c>
      <c r="N415" s="525" t="str">
        <f t="shared" si="102"/>
        <v>n.a.</v>
      </c>
      <c r="O415" s="525" t="str">
        <f t="shared" si="102"/>
        <v>n.a.</v>
      </c>
      <c r="P415" s="525" t="str">
        <f t="shared" si="102"/>
        <v>n.a.</v>
      </c>
      <c r="Q415" s="525" t="str">
        <f t="shared" si="102"/>
        <v>n.a.</v>
      </c>
      <c r="R415" s="525" t="str">
        <f t="shared" si="102"/>
        <v>n.a.</v>
      </c>
      <c r="S415" s="525" t="str">
        <f t="shared" si="102"/>
        <v>n.a.</v>
      </c>
    </row>
    <row r="416" spans="1:19" s="110" customFormat="1" x14ac:dyDescent="0.25">
      <c r="A416" s="785">
        <v>283</v>
      </c>
      <c r="B416" s="525" t="str">
        <f t="shared" si="101"/>
        <v>n.a.</v>
      </c>
      <c r="C416" s="525" t="str">
        <f t="shared" si="101"/>
        <v>n.a.</v>
      </c>
      <c r="D416" s="525" t="str">
        <f t="shared" si="101"/>
        <v>n.a.</v>
      </c>
      <c r="E416" s="525" t="str">
        <f t="shared" si="101"/>
        <v>n.a.</v>
      </c>
      <c r="F416" s="525" t="str">
        <f t="shared" si="101"/>
        <v>73042400</v>
      </c>
      <c r="G416" s="525" t="str">
        <f t="shared" si="101"/>
        <v>n.a.</v>
      </c>
      <c r="H416" s="525" t="str">
        <f t="shared" si="101"/>
        <v>n.a.</v>
      </c>
      <c r="I416" s="525" t="str">
        <f t="shared" si="101"/>
        <v>n.a.</v>
      </c>
      <c r="J416" s="525" t="str">
        <f t="shared" si="101"/>
        <v>n.a.</v>
      </c>
      <c r="K416" s="525" t="str">
        <f t="shared" si="101"/>
        <v>n.a.</v>
      </c>
      <c r="L416" s="525" t="str">
        <f t="shared" si="102"/>
        <v>n.a.</v>
      </c>
      <c r="M416" s="525" t="str">
        <f t="shared" si="102"/>
        <v>n.a.</v>
      </c>
      <c r="N416" s="525" t="str">
        <f t="shared" si="102"/>
        <v>n.a.</v>
      </c>
      <c r="O416" s="525" t="str">
        <f t="shared" si="102"/>
        <v>n.a.</v>
      </c>
      <c r="P416" s="525" t="str">
        <f t="shared" si="102"/>
        <v>n.a.</v>
      </c>
      <c r="Q416" s="525" t="str">
        <f t="shared" si="102"/>
        <v>n.a.</v>
      </c>
      <c r="R416" s="525" t="str">
        <f t="shared" si="102"/>
        <v>n.a.</v>
      </c>
      <c r="S416" s="525" t="str">
        <f t="shared" si="102"/>
        <v>n.a.</v>
      </c>
    </row>
    <row r="417" spans="1:19" s="110" customFormat="1" x14ac:dyDescent="0.25">
      <c r="A417" s="785">
        <v>284</v>
      </c>
      <c r="B417" s="525" t="str">
        <f t="shared" si="101"/>
        <v>n.a.</v>
      </c>
      <c r="C417" s="525" t="str">
        <f t="shared" si="101"/>
        <v>n.a.</v>
      </c>
      <c r="D417" s="525" t="str">
        <f t="shared" si="101"/>
        <v>n.a.</v>
      </c>
      <c r="E417" s="525" t="str">
        <f t="shared" si="101"/>
        <v>n.a.</v>
      </c>
      <c r="F417" s="525" t="str">
        <f t="shared" si="101"/>
        <v>73042910</v>
      </c>
      <c r="G417" s="525" t="str">
        <f t="shared" si="101"/>
        <v>n.a.</v>
      </c>
      <c r="H417" s="525" t="str">
        <f t="shared" si="101"/>
        <v>n.a.</v>
      </c>
      <c r="I417" s="525" t="str">
        <f t="shared" si="101"/>
        <v>n.a.</v>
      </c>
      <c r="J417" s="525" t="str">
        <f t="shared" si="101"/>
        <v>n.a.</v>
      </c>
      <c r="K417" s="525" t="str">
        <f t="shared" si="101"/>
        <v>n.a.</v>
      </c>
      <c r="L417" s="525" t="str">
        <f t="shared" si="102"/>
        <v>n.a.</v>
      </c>
      <c r="M417" s="525" t="str">
        <f t="shared" si="102"/>
        <v>n.a.</v>
      </c>
      <c r="N417" s="525" t="str">
        <f t="shared" si="102"/>
        <v>n.a.</v>
      </c>
      <c r="O417" s="525" t="str">
        <f t="shared" si="102"/>
        <v>n.a.</v>
      </c>
      <c r="P417" s="525" t="str">
        <f t="shared" si="102"/>
        <v>n.a.</v>
      </c>
      <c r="Q417" s="525" t="str">
        <f t="shared" si="102"/>
        <v>n.a.</v>
      </c>
      <c r="R417" s="525" t="str">
        <f t="shared" si="102"/>
        <v>n.a.</v>
      </c>
      <c r="S417" s="525" t="str">
        <f t="shared" si="102"/>
        <v>n.a.</v>
      </c>
    </row>
    <row r="418" spans="1:19" s="110" customFormat="1" x14ac:dyDescent="0.25">
      <c r="A418" s="785">
        <v>285</v>
      </c>
      <c r="B418" s="525" t="str">
        <f t="shared" si="101"/>
        <v>n.a.</v>
      </c>
      <c r="C418" s="525" t="str">
        <f t="shared" si="101"/>
        <v>n.a.</v>
      </c>
      <c r="D418" s="525" t="str">
        <f t="shared" si="101"/>
        <v>n.a.</v>
      </c>
      <c r="E418" s="525" t="str">
        <f t="shared" si="101"/>
        <v>n.a.</v>
      </c>
      <c r="F418" s="525" t="str">
        <f t="shared" si="101"/>
        <v>73042930</v>
      </c>
      <c r="G418" s="525" t="str">
        <f t="shared" si="101"/>
        <v>n.a.</v>
      </c>
      <c r="H418" s="525" t="str">
        <f t="shared" si="101"/>
        <v>n.a.</v>
      </c>
      <c r="I418" s="525" t="str">
        <f t="shared" si="101"/>
        <v>n.a.</v>
      </c>
      <c r="J418" s="525" t="str">
        <f t="shared" si="101"/>
        <v>n.a.</v>
      </c>
      <c r="K418" s="525" t="str">
        <f t="shared" si="101"/>
        <v>n.a.</v>
      </c>
      <c r="L418" s="525" t="str">
        <f t="shared" si="102"/>
        <v>n.a.</v>
      </c>
      <c r="M418" s="525" t="str">
        <f t="shared" si="102"/>
        <v>n.a.</v>
      </c>
      <c r="N418" s="525" t="str">
        <f t="shared" si="102"/>
        <v>n.a.</v>
      </c>
      <c r="O418" s="525" t="str">
        <f t="shared" si="102"/>
        <v>n.a.</v>
      </c>
      <c r="P418" s="525" t="str">
        <f t="shared" si="102"/>
        <v>n.a.</v>
      </c>
      <c r="Q418" s="525" t="str">
        <f t="shared" si="102"/>
        <v>n.a.</v>
      </c>
      <c r="R418" s="525" t="str">
        <f t="shared" si="102"/>
        <v>n.a.</v>
      </c>
      <c r="S418" s="525" t="str">
        <f t="shared" si="102"/>
        <v>n.a.</v>
      </c>
    </row>
    <row r="419" spans="1:19" s="110" customFormat="1" x14ac:dyDescent="0.25">
      <c r="A419" s="785">
        <v>286</v>
      </c>
      <c r="B419" s="525" t="str">
        <f t="shared" si="101"/>
        <v>n.a.</v>
      </c>
      <c r="C419" s="525" t="str">
        <f t="shared" si="101"/>
        <v>n.a.</v>
      </c>
      <c r="D419" s="525" t="str">
        <f t="shared" si="101"/>
        <v>n.a.</v>
      </c>
      <c r="E419" s="525" t="str">
        <f t="shared" si="101"/>
        <v>n.a.</v>
      </c>
      <c r="F419" s="525" t="str">
        <f t="shared" si="101"/>
        <v>73042990</v>
      </c>
      <c r="G419" s="525" t="str">
        <f t="shared" si="101"/>
        <v>n.a.</v>
      </c>
      <c r="H419" s="525" t="str">
        <f t="shared" si="101"/>
        <v>n.a.</v>
      </c>
      <c r="I419" s="525" t="str">
        <f t="shared" si="101"/>
        <v>n.a.</v>
      </c>
      <c r="J419" s="525" t="str">
        <f t="shared" si="101"/>
        <v>n.a.</v>
      </c>
      <c r="K419" s="525" t="str">
        <f t="shared" si="101"/>
        <v>n.a.</v>
      </c>
      <c r="L419" s="525" t="str">
        <f t="shared" si="102"/>
        <v>n.a.</v>
      </c>
      <c r="M419" s="525" t="str">
        <f t="shared" si="102"/>
        <v>n.a.</v>
      </c>
      <c r="N419" s="525" t="str">
        <f t="shared" si="102"/>
        <v>n.a.</v>
      </c>
      <c r="O419" s="525" t="str">
        <f t="shared" si="102"/>
        <v>n.a.</v>
      </c>
      <c r="P419" s="525" t="str">
        <f t="shared" si="102"/>
        <v>n.a.</v>
      </c>
      <c r="Q419" s="525" t="str">
        <f t="shared" si="102"/>
        <v>n.a.</v>
      </c>
      <c r="R419" s="525" t="str">
        <f t="shared" si="102"/>
        <v>n.a.</v>
      </c>
      <c r="S419" s="525" t="str">
        <f t="shared" si="102"/>
        <v>n.a.</v>
      </c>
    </row>
    <row r="420" spans="1:19" s="110" customFormat="1" x14ac:dyDescent="0.25">
      <c r="A420" s="785">
        <v>287</v>
      </c>
      <c r="B420" s="525" t="str">
        <f t="shared" si="101"/>
        <v>n.a.</v>
      </c>
      <c r="C420" s="525" t="str">
        <f t="shared" si="101"/>
        <v>n.a.</v>
      </c>
      <c r="D420" s="525" t="str">
        <f t="shared" si="101"/>
        <v>n.a.</v>
      </c>
      <c r="E420" s="525" t="str">
        <f t="shared" si="101"/>
        <v>n.a.</v>
      </c>
      <c r="F420" s="525" t="str">
        <f t="shared" si="101"/>
        <v>73043120</v>
      </c>
      <c r="G420" s="525" t="str">
        <f t="shared" si="101"/>
        <v>n.a.</v>
      </c>
      <c r="H420" s="525" t="str">
        <f t="shared" si="101"/>
        <v>n.a.</v>
      </c>
      <c r="I420" s="525" t="str">
        <f t="shared" si="101"/>
        <v>n.a.</v>
      </c>
      <c r="J420" s="525" t="str">
        <f t="shared" si="101"/>
        <v>n.a.</v>
      </c>
      <c r="K420" s="525" t="str">
        <f t="shared" si="101"/>
        <v>n.a.</v>
      </c>
      <c r="L420" s="525" t="str">
        <f t="shared" si="102"/>
        <v>n.a.</v>
      </c>
      <c r="M420" s="525" t="str">
        <f t="shared" si="102"/>
        <v>n.a.</v>
      </c>
      <c r="N420" s="525" t="str">
        <f t="shared" si="102"/>
        <v>n.a.</v>
      </c>
      <c r="O420" s="525" t="str">
        <f t="shared" si="102"/>
        <v>n.a.</v>
      </c>
      <c r="P420" s="525" t="str">
        <f t="shared" si="102"/>
        <v>n.a.</v>
      </c>
      <c r="Q420" s="525" t="str">
        <f t="shared" si="102"/>
        <v>n.a.</v>
      </c>
      <c r="R420" s="525" t="str">
        <f t="shared" si="102"/>
        <v>n.a.</v>
      </c>
      <c r="S420" s="525" t="str">
        <f t="shared" si="102"/>
        <v>n.a.</v>
      </c>
    </row>
    <row r="421" spans="1:19" s="110" customFormat="1" x14ac:dyDescent="0.25">
      <c r="A421" s="785">
        <v>288</v>
      </c>
      <c r="B421" s="525" t="str">
        <f t="shared" si="101"/>
        <v>n.a.</v>
      </c>
      <c r="C421" s="525" t="str">
        <f t="shared" si="101"/>
        <v>n.a.</v>
      </c>
      <c r="D421" s="525" t="str">
        <f t="shared" si="101"/>
        <v>n.a.</v>
      </c>
      <c r="E421" s="525" t="str">
        <f t="shared" si="101"/>
        <v>n.a.</v>
      </c>
      <c r="F421" s="525" t="str">
        <f t="shared" si="101"/>
        <v>73043180</v>
      </c>
      <c r="G421" s="525" t="str">
        <f t="shared" si="101"/>
        <v>n.a.</v>
      </c>
      <c r="H421" s="525" t="str">
        <f t="shared" si="101"/>
        <v>n.a.</v>
      </c>
      <c r="I421" s="525" t="str">
        <f t="shared" si="101"/>
        <v>n.a.</v>
      </c>
      <c r="J421" s="525" t="str">
        <f t="shared" si="101"/>
        <v>n.a.</v>
      </c>
      <c r="K421" s="525" t="str">
        <f t="shared" si="101"/>
        <v>n.a.</v>
      </c>
      <c r="L421" s="525" t="str">
        <f t="shared" si="102"/>
        <v>n.a.</v>
      </c>
      <c r="M421" s="525" t="str">
        <f t="shared" si="102"/>
        <v>n.a.</v>
      </c>
      <c r="N421" s="525" t="str">
        <f t="shared" si="102"/>
        <v>n.a.</v>
      </c>
      <c r="O421" s="525" t="str">
        <f t="shared" si="102"/>
        <v>n.a.</v>
      </c>
      <c r="P421" s="525" t="str">
        <f t="shared" si="102"/>
        <v>n.a.</v>
      </c>
      <c r="Q421" s="525" t="str">
        <f t="shared" si="102"/>
        <v>n.a.</v>
      </c>
      <c r="R421" s="525" t="str">
        <f t="shared" si="102"/>
        <v>n.a.</v>
      </c>
      <c r="S421" s="525" t="str">
        <f t="shared" si="102"/>
        <v>n.a.</v>
      </c>
    </row>
    <row r="422" spans="1:19" s="110" customFormat="1" x14ac:dyDescent="0.25">
      <c r="A422" s="785">
        <v>289</v>
      </c>
      <c r="B422" s="525" t="str">
        <f t="shared" si="101"/>
        <v>n.a.</v>
      </c>
      <c r="C422" s="525" t="str">
        <f t="shared" si="101"/>
        <v>n.a.</v>
      </c>
      <c r="D422" s="525" t="str">
        <f t="shared" si="101"/>
        <v>n.a.</v>
      </c>
      <c r="E422" s="525" t="str">
        <f t="shared" si="101"/>
        <v>n.a.</v>
      </c>
      <c r="F422" s="525" t="str">
        <f t="shared" si="101"/>
        <v>73043950</v>
      </c>
      <c r="G422" s="525" t="str">
        <f t="shared" si="101"/>
        <v>n.a.</v>
      </c>
      <c r="H422" s="525" t="str">
        <f t="shared" si="101"/>
        <v>n.a.</v>
      </c>
      <c r="I422" s="525" t="str">
        <f t="shared" si="101"/>
        <v>n.a.</v>
      </c>
      <c r="J422" s="525" t="str">
        <f t="shared" si="101"/>
        <v>n.a.</v>
      </c>
      <c r="K422" s="525" t="str">
        <f t="shared" si="101"/>
        <v>n.a.</v>
      </c>
      <c r="L422" s="525" t="str">
        <f t="shared" si="102"/>
        <v>n.a.</v>
      </c>
      <c r="M422" s="525" t="str">
        <f t="shared" si="102"/>
        <v>n.a.</v>
      </c>
      <c r="N422" s="525" t="str">
        <f t="shared" si="102"/>
        <v>n.a.</v>
      </c>
      <c r="O422" s="525" t="str">
        <f t="shared" si="102"/>
        <v>n.a.</v>
      </c>
      <c r="P422" s="525" t="str">
        <f t="shared" si="102"/>
        <v>n.a.</v>
      </c>
      <c r="Q422" s="525" t="str">
        <f t="shared" si="102"/>
        <v>n.a.</v>
      </c>
      <c r="R422" s="525" t="str">
        <f t="shared" si="102"/>
        <v>n.a.</v>
      </c>
      <c r="S422" s="525" t="str">
        <f t="shared" si="102"/>
        <v>n.a.</v>
      </c>
    </row>
    <row r="423" spans="1:19" s="110" customFormat="1" x14ac:dyDescent="0.25">
      <c r="A423" s="785">
        <v>290</v>
      </c>
      <c r="B423" s="525" t="str">
        <f t="shared" si="101"/>
        <v>n.a.</v>
      </c>
      <c r="C423" s="525" t="str">
        <f t="shared" si="101"/>
        <v>n.a.</v>
      </c>
      <c r="D423" s="525" t="str">
        <f t="shared" si="101"/>
        <v>n.a.</v>
      </c>
      <c r="E423" s="525" t="str">
        <f t="shared" si="101"/>
        <v>n.a.</v>
      </c>
      <c r="F423" s="525" t="str">
        <f t="shared" si="101"/>
        <v>73043982</v>
      </c>
      <c r="G423" s="525" t="str">
        <f t="shared" si="101"/>
        <v>n.a.</v>
      </c>
      <c r="H423" s="525" t="str">
        <f t="shared" si="101"/>
        <v>n.a.</v>
      </c>
      <c r="I423" s="525" t="str">
        <f t="shared" si="101"/>
        <v>n.a.</v>
      </c>
      <c r="J423" s="525" t="str">
        <f t="shared" si="101"/>
        <v>n.a.</v>
      </c>
      <c r="K423" s="525" t="str">
        <f t="shared" si="101"/>
        <v>n.a.</v>
      </c>
      <c r="L423" s="525" t="str">
        <f t="shared" si="102"/>
        <v>n.a.</v>
      </c>
      <c r="M423" s="525" t="str">
        <f t="shared" si="102"/>
        <v>n.a.</v>
      </c>
      <c r="N423" s="525" t="str">
        <f t="shared" si="102"/>
        <v>n.a.</v>
      </c>
      <c r="O423" s="525" t="str">
        <f t="shared" si="102"/>
        <v>n.a.</v>
      </c>
      <c r="P423" s="525" t="str">
        <f t="shared" si="102"/>
        <v>n.a.</v>
      </c>
      <c r="Q423" s="525" t="str">
        <f t="shared" si="102"/>
        <v>n.a.</v>
      </c>
      <c r="R423" s="525" t="str">
        <f t="shared" si="102"/>
        <v>n.a.</v>
      </c>
      <c r="S423" s="525" t="str">
        <f t="shared" si="102"/>
        <v>n.a.</v>
      </c>
    </row>
    <row r="424" spans="1:19" s="110" customFormat="1" x14ac:dyDescent="0.25">
      <c r="A424" s="785">
        <v>291</v>
      </c>
      <c r="B424" s="525" t="str">
        <f t="shared" ref="B424:K433" si="103">IFERROR(INDEX(CNCodes_ListKey,MATCH($A424&amp;"_"&amp;B$132,CNCodes_ListNumbering,0)),CONST_NA)</f>
        <v>n.a.</v>
      </c>
      <c r="C424" s="525" t="str">
        <f t="shared" si="103"/>
        <v>n.a.</v>
      </c>
      <c r="D424" s="525" t="str">
        <f t="shared" si="103"/>
        <v>n.a.</v>
      </c>
      <c r="E424" s="525" t="str">
        <f t="shared" si="103"/>
        <v>n.a.</v>
      </c>
      <c r="F424" s="525" t="str">
        <f t="shared" si="103"/>
        <v>73043983</v>
      </c>
      <c r="G424" s="525" t="str">
        <f t="shared" si="103"/>
        <v>n.a.</v>
      </c>
      <c r="H424" s="525" t="str">
        <f t="shared" si="103"/>
        <v>n.a.</v>
      </c>
      <c r="I424" s="525" t="str">
        <f t="shared" si="103"/>
        <v>n.a.</v>
      </c>
      <c r="J424" s="525" t="str">
        <f t="shared" si="103"/>
        <v>n.a.</v>
      </c>
      <c r="K424" s="525" t="str">
        <f t="shared" si="103"/>
        <v>n.a.</v>
      </c>
      <c r="L424" s="525" t="str">
        <f t="shared" ref="L424:S433" si="104">IFERROR(INDEX(CNCodes_ListKey,MATCH($A424&amp;"_"&amp;L$132,CNCodes_ListNumbering,0)),CONST_NA)</f>
        <v>n.a.</v>
      </c>
      <c r="M424" s="525" t="str">
        <f t="shared" si="104"/>
        <v>n.a.</v>
      </c>
      <c r="N424" s="525" t="str">
        <f t="shared" si="104"/>
        <v>n.a.</v>
      </c>
      <c r="O424" s="525" t="str">
        <f t="shared" si="104"/>
        <v>n.a.</v>
      </c>
      <c r="P424" s="525" t="str">
        <f t="shared" si="104"/>
        <v>n.a.</v>
      </c>
      <c r="Q424" s="525" t="str">
        <f t="shared" si="104"/>
        <v>n.a.</v>
      </c>
      <c r="R424" s="525" t="str">
        <f t="shared" si="104"/>
        <v>n.a.</v>
      </c>
      <c r="S424" s="525" t="str">
        <f t="shared" si="104"/>
        <v>n.a.</v>
      </c>
    </row>
    <row r="425" spans="1:19" s="110" customFormat="1" x14ac:dyDescent="0.25">
      <c r="A425" s="785">
        <v>292</v>
      </c>
      <c r="B425" s="525" t="str">
        <f t="shared" si="103"/>
        <v>n.a.</v>
      </c>
      <c r="C425" s="525" t="str">
        <f t="shared" si="103"/>
        <v>n.a.</v>
      </c>
      <c r="D425" s="525" t="str">
        <f t="shared" si="103"/>
        <v>n.a.</v>
      </c>
      <c r="E425" s="525" t="str">
        <f t="shared" si="103"/>
        <v>n.a.</v>
      </c>
      <c r="F425" s="525" t="str">
        <f t="shared" si="103"/>
        <v>73043988</v>
      </c>
      <c r="G425" s="525" t="str">
        <f t="shared" si="103"/>
        <v>n.a.</v>
      </c>
      <c r="H425" s="525" t="str">
        <f t="shared" si="103"/>
        <v>n.a.</v>
      </c>
      <c r="I425" s="525" t="str">
        <f t="shared" si="103"/>
        <v>n.a.</v>
      </c>
      <c r="J425" s="525" t="str">
        <f t="shared" si="103"/>
        <v>n.a.</v>
      </c>
      <c r="K425" s="525" t="str">
        <f t="shared" si="103"/>
        <v>n.a.</v>
      </c>
      <c r="L425" s="525" t="str">
        <f t="shared" si="104"/>
        <v>n.a.</v>
      </c>
      <c r="M425" s="525" t="str">
        <f t="shared" si="104"/>
        <v>n.a.</v>
      </c>
      <c r="N425" s="525" t="str">
        <f t="shared" si="104"/>
        <v>n.a.</v>
      </c>
      <c r="O425" s="525" t="str">
        <f t="shared" si="104"/>
        <v>n.a.</v>
      </c>
      <c r="P425" s="525" t="str">
        <f t="shared" si="104"/>
        <v>n.a.</v>
      </c>
      <c r="Q425" s="525" t="str">
        <f t="shared" si="104"/>
        <v>n.a.</v>
      </c>
      <c r="R425" s="525" t="str">
        <f t="shared" si="104"/>
        <v>n.a.</v>
      </c>
      <c r="S425" s="525" t="str">
        <f t="shared" si="104"/>
        <v>n.a.</v>
      </c>
    </row>
    <row r="426" spans="1:19" s="110" customFormat="1" x14ac:dyDescent="0.25">
      <c r="A426" s="785">
        <v>293</v>
      </c>
      <c r="B426" s="525" t="str">
        <f t="shared" si="103"/>
        <v>n.a.</v>
      </c>
      <c r="C426" s="525" t="str">
        <f t="shared" si="103"/>
        <v>n.a.</v>
      </c>
      <c r="D426" s="525" t="str">
        <f t="shared" si="103"/>
        <v>n.a.</v>
      </c>
      <c r="E426" s="525" t="str">
        <f t="shared" si="103"/>
        <v>n.a.</v>
      </c>
      <c r="F426" s="525" t="str">
        <f t="shared" si="103"/>
        <v>73044100</v>
      </c>
      <c r="G426" s="525" t="str">
        <f t="shared" si="103"/>
        <v>n.a.</v>
      </c>
      <c r="H426" s="525" t="str">
        <f t="shared" si="103"/>
        <v>n.a.</v>
      </c>
      <c r="I426" s="525" t="str">
        <f t="shared" si="103"/>
        <v>n.a.</v>
      </c>
      <c r="J426" s="525" t="str">
        <f t="shared" si="103"/>
        <v>n.a.</v>
      </c>
      <c r="K426" s="525" t="str">
        <f t="shared" si="103"/>
        <v>n.a.</v>
      </c>
      <c r="L426" s="525" t="str">
        <f t="shared" si="104"/>
        <v>n.a.</v>
      </c>
      <c r="M426" s="525" t="str">
        <f t="shared" si="104"/>
        <v>n.a.</v>
      </c>
      <c r="N426" s="525" t="str">
        <f t="shared" si="104"/>
        <v>n.a.</v>
      </c>
      <c r="O426" s="525" t="str">
        <f t="shared" si="104"/>
        <v>n.a.</v>
      </c>
      <c r="P426" s="525" t="str">
        <f t="shared" si="104"/>
        <v>n.a.</v>
      </c>
      <c r="Q426" s="525" t="str">
        <f t="shared" si="104"/>
        <v>n.a.</v>
      </c>
      <c r="R426" s="525" t="str">
        <f t="shared" si="104"/>
        <v>n.a.</v>
      </c>
      <c r="S426" s="525" t="str">
        <f t="shared" si="104"/>
        <v>n.a.</v>
      </c>
    </row>
    <row r="427" spans="1:19" s="110" customFormat="1" x14ac:dyDescent="0.25">
      <c r="A427" s="785">
        <v>294</v>
      </c>
      <c r="B427" s="525" t="str">
        <f t="shared" si="103"/>
        <v>n.a.</v>
      </c>
      <c r="C427" s="525" t="str">
        <f t="shared" si="103"/>
        <v>n.a.</v>
      </c>
      <c r="D427" s="525" t="str">
        <f t="shared" si="103"/>
        <v>n.a.</v>
      </c>
      <c r="E427" s="525" t="str">
        <f t="shared" si="103"/>
        <v>n.a.</v>
      </c>
      <c r="F427" s="525" t="str">
        <f t="shared" si="103"/>
        <v>73044983</v>
      </c>
      <c r="G427" s="525" t="str">
        <f t="shared" si="103"/>
        <v>n.a.</v>
      </c>
      <c r="H427" s="525" t="str">
        <f t="shared" si="103"/>
        <v>n.a.</v>
      </c>
      <c r="I427" s="525" t="str">
        <f t="shared" si="103"/>
        <v>n.a.</v>
      </c>
      <c r="J427" s="525" t="str">
        <f t="shared" si="103"/>
        <v>n.a.</v>
      </c>
      <c r="K427" s="525" t="str">
        <f t="shared" si="103"/>
        <v>n.a.</v>
      </c>
      <c r="L427" s="525" t="str">
        <f t="shared" si="104"/>
        <v>n.a.</v>
      </c>
      <c r="M427" s="525" t="str">
        <f t="shared" si="104"/>
        <v>n.a.</v>
      </c>
      <c r="N427" s="525" t="str">
        <f t="shared" si="104"/>
        <v>n.a.</v>
      </c>
      <c r="O427" s="525" t="str">
        <f t="shared" si="104"/>
        <v>n.a.</v>
      </c>
      <c r="P427" s="525" t="str">
        <f t="shared" si="104"/>
        <v>n.a.</v>
      </c>
      <c r="Q427" s="525" t="str">
        <f t="shared" si="104"/>
        <v>n.a.</v>
      </c>
      <c r="R427" s="525" t="str">
        <f t="shared" si="104"/>
        <v>n.a.</v>
      </c>
      <c r="S427" s="525" t="str">
        <f t="shared" si="104"/>
        <v>n.a.</v>
      </c>
    </row>
    <row r="428" spans="1:19" s="110" customFormat="1" x14ac:dyDescent="0.25">
      <c r="A428" s="785">
        <v>295</v>
      </c>
      <c r="B428" s="525" t="str">
        <f t="shared" si="103"/>
        <v>n.a.</v>
      </c>
      <c r="C428" s="525" t="str">
        <f t="shared" si="103"/>
        <v>n.a.</v>
      </c>
      <c r="D428" s="525" t="str">
        <f t="shared" si="103"/>
        <v>n.a.</v>
      </c>
      <c r="E428" s="525" t="str">
        <f t="shared" si="103"/>
        <v>n.a.</v>
      </c>
      <c r="F428" s="525" t="str">
        <f t="shared" si="103"/>
        <v>73044985</v>
      </c>
      <c r="G428" s="525" t="str">
        <f t="shared" si="103"/>
        <v>n.a.</v>
      </c>
      <c r="H428" s="525" t="str">
        <f t="shared" si="103"/>
        <v>n.a.</v>
      </c>
      <c r="I428" s="525" t="str">
        <f t="shared" si="103"/>
        <v>n.a.</v>
      </c>
      <c r="J428" s="525" t="str">
        <f t="shared" si="103"/>
        <v>n.a.</v>
      </c>
      <c r="K428" s="525" t="str">
        <f t="shared" si="103"/>
        <v>n.a.</v>
      </c>
      <c r="L428" s="525" t="str">
        <f t="shared" si="104"/>
        <v>n.a.</v>
      </c>
      <c r="M428" s="525" t="str">
        <f t="shared" si="104"/>
        <v>n.a.</v>
      </c>
      <c r="N428" s="525" t="str">
        <f t="shared" si="104"/>
        <v>n.a.</v>
      </c>
      <c r="O428" s="525" t="str">
        <f t="shared" si="104"/>
        <v>n.a.</v>
      </c>
      <c r="P428" s="525" t="str">
        <f t="shared" si="104"/>
        <v>n.a.</v>
      </c>
      <c r="Q428" s="525" t="str">
        <f t="shared" si="104"/>
        <v>n.a.</v>
      </c>
      <c r="R428" s="525" t="str">
        <f t="shared" si="104"/>
        <v>n.a.</v>
      </c>
      <c r="S428" s="525" t="str">
        <f t="shared" si="104"/>
        <v>n.a.</v>
      </c>
    </row>
    <row r="429" spans="1:19" s="110" customFormat="1" x14ac:dyDescent="0.25">
      <c r="A429" s="785">
        <v>296</v>
      </c>
      <c r="B429" s="525" t="str">
        <f t="shared" si="103"/>
        <v>n.a.</v>
      </c>
      <c r="C429" s="525" t="str">
        <f t="shared" si="103"/>
        <v>n.a.</v>
      </c>
      <c r="D429" s="525" t="str">
        <f t="shared" si="103"/>
        <v>n.a.</v>
      </c>
      <c r="E429" s="525" t="str">
        <f t="shared" si="103"/>
        <v>n.a.</v>
      </c>
      <c r="F429" s="525" t="str">
        <f t="shared" si="103"/>
        <v>73044989</v>
      </c>
      <c r="G429" s="525" t="str">
        <f t="shared" si="103"/>
        <v>n.a.</v>
      </c>
      <c r="H429" s="525" t="str">
        <f t="shared" si="103"/>
        <v>n.a.</v>
      </c>
      <c r="I429" s="525" t="str">
        <f t="shared" si="103"/>
        <v>n.a.</v>
      </c>
      <c r="J429" s="525" t="str">
        <f t="shared" si="103"/>
        <v>n.a.</v>
      </c>
      <c r="K429" s="525" t="str">
        <f t="shared" si="103"/>
        <v>n.a.</v>
      </c>
      <c r="L429" s="525" t="str">
        <f t="shared" si="104"/>
        <v>n.a.</v>
      </c>
      <c r="M429" s="525" t="str">
        <f t="shared" si="104"/>
        <v>n.a.</v>
      </c>
      <c r="N429" s="525" t="str">
        <f t="shared" si="104"/>
        <v>n.a.</v>
      </c>
      <c r="O429" s="525" t="str">
        <f t="shared" si="104"/>
        <v>n.a.</v>
      </c>
      <c r="P429" s="525" t="str">
        <f t="shared" si="104"/>
        <v>n.a.</v>
      </c>
      <c r="Q429" s="525" t="str">
        <f t="shared" si="104"/>
        <v>n.a.</v>
      </c>
      <c r="R429" s="525" t="str">
        <f t="shared" si="104"/>
        <v>n.a.</v>
      </c>
      <c r="S429" s="525" t="str">
        <f t="shared" si="104"/>
        <v>n.a.</v>
      </c>
    </row>
    <row r="430" spans="1:19" s="110" customFormat="1" x14ac:dyDescent="0.25">
      <c r="A430" s="785">
        <v>297</v>
      </c>
      <c r="B430" s="525" t="str">
        <f t="shared" si="103"/>
        <v>n.a.</v>
      </c>
      <c r="C430" s="525" t="str">
        <f t="shared" si="103"/>
        <v>n.a.</v>
      </c>
      <c r="D430" s="525" t="str">
        <f t="shared" si="103"/>
        <v>n.a.</v>
      </c>
      <c r="E430" s="525" t="str">
        <f t="shared" si="103"/>
        <v>n.a.</v>
      </c>
      <c r="F430" s="525" t="str">
        <f t="shared" si="103"/>
        <v>73045110</v>
      </c>
      <c r="G430" s="525" t="str">
        <f t="shared" si="103"/>
        <v>n.a.</v>
      </c>
      <c r="H430" s="525" t="str">
        <f t="shared" si="103"/>
        <v>n.a.</v>
      </c>
      <c r="I430" s="525" t="str">
        <f t="shared" si="103"/>
        <v>n.a.</v>
      </c>
      <c r="J430" s="525" t="str">
        <f t="shared" si="103"/>
        <v>n.a.</v>
      </c>
      <c r="K430" s="525" t="str">
        <f t="shared" si="103"/>
        <v>n.a.</v>
      </c>
      <c r="L430" s="525" t="str">
        <f t="shared" si="104"/>
        <v>n.a.</v>
      </c>
      <c r="M430" s="525" t="str">
        <f t="shared" si="104"/>
        <v>n.a.</v>
      </c>
      <c r="N430" s="525" t="str">
        <f t="shared" si="104"/>
        <v>n.a.</v>
      </c>
      <c r="O430" s="525" t="str">
        <f t="shared" si="104"/>
        <v>n.a.</v>
      </c>
      <c r="P430" s="525" t="str">
        <f t="shared" si="104"/>
        <v>n.a.</v>
      </c>
      <c r="Q430" s="525" t="str">
        <f t="shared" si="104"/>
        <v>n.a.</v>
      </c>
      <c r="R430" s="525" t="str">
        <f t="shared" si="104"/>
        <v>n.a.</v>
      </c>
      <c r="S430" s="525" t="str">
        <f t="shared" si="104"/>
        <v>n.a.</v>
      </c>
    </row>
    <row r="431" spans="1:19" s="110" customFormat="1" x14ac:dyDescent="0.25">
      <c r="A431" s="785">
        <v>298</v>
      </c>
      <c r="B431" s="525" t="str">
        <f t="shared" si="103"/>
        <v>n.a.</v>
      </c>
      <c r="C431" s="525" t="str">
        <f t="shared" si="103"/>
        <v>n.a.</v>
      </c>
      <c r="D431" s="525" t="str">
        <f t="shared" si="103"/>
        <v>n.a.</v>
      </c>
      <c r="E431" s="525" t="str">
        <f t="shared" si="103"/>
        <v>n.a.</v>
      </c>
      <c r="F431" s="525" t="str">
        <f t="shared" si="103"/>
        <v>73045181</v>
      </c>
      <c r="G431" s="525" t="str">
        <f t="shared" si="103"/>
        <v>n.a.</v>
      </c>
      <c r="H431" s="525" t="str">
        <f t="shared" si="103"/>
        <v>n.a.</v>
      </c>
      <c r="I431" s="525" t="str">
        <f t="shared" si="103"/>
        <v>n.a.</v>
      </c>
      <c r="J431" s="525" t="str">
        <f t="shared" si="103"/>
        <v>n.a.</v>
      </c>
      <c r="K431" s="525" t="str">
        <f t="shared" si="103"/>
        <v>n.a.</v>
      </c>
      <c r="L431" s="525" t="str">
        <f t="shared" si="104"/>
        <v>n.a.</v>
      </c>
      <c r="M431" s="525" t="str">
        <f t="shared" si="104"/>
        <v>n.a.</v>
      </c>
      <c r="N431" s="525" t="str">
        <f t="shared" si="104"/>
        <v>n.a.</v>
      </c>
      <c r="O431" s="525" t="str">
        <f t="shared" si="104"/>
        <v>n.a.</v>
      </c>
      <c r="P431" s="525" t="str">
        <f t="shared" si="104"/>
        <v>n.a.</v>
      </c>
      <c r="Q431" s="525" t="str">
        <f t="shared" si="104"/>
        <v>n.a.</v>
      </c>
      <c r="R431" s="525" t="str">
        <f t="shared" si="104"/>
        <v>n.a.</v>
      </c>
      <c r="S431" s="525" t="str">
        <f t="shared" si="104"/>
        <v>n.a.</v>
      </c>
    </row>
    <row r="432" spans="1:19" s="110" customFormat="1" x14ac:dyDescent="0.25">
      <c r="A432" s="785">
        <v>299</v>
      </c>
      <c r="B432" s="525" t="str">
        <f t="shared" si="103"/>
        <v>n.a.</v>
      </c>
      <c r="C432" s="525" t="str">
        <f t="shared" si="103"/>
        <v>n.a.</v>
      </c>
      <c r="D432" s="525" t="str">
        <f t="shared" si="103"/>
        <v>n.a.</v>
      </c>
      <c r="E432" s="525" t="str">
        <f t="shared" si="103"/>
        <v>n.a.</v>
      </c>
      <c r="F432" s="525" t="str">
        <f t="shared" si="103"/>
        <v>73045189</v>
      </c>
      <c r="G432" s="525" t="str">
        <f t="shared" si="103"/>
        <v>n.a.</v>
      </c>
      <c r="H432" s="525" t="str">
        <f t="shared" si="103"/>
        <v>n.a.</v>
      </c>
      <c r="I432" s="525" t="str">
        <f t="shared" si="103"/>
        <v>n.a.</v>
      </c>
      <c r="J432" s="525" t="str">
        <f t="shared" si="103"/>
        <v>n.a.</v>
      </c>
      <c r="K432" s="525" t="str">
        <f t="shared" si="103"/>
        <v>n.a.</v>
      </c>
      <c r="L432" s="525" t="str">
        <f t="shared" si="104"/>
        <v>n.a.</v>
      </c>
      <c r="M432" s="525" t="str">
        <f t="shared" si="104"/>
        <v>n.a.</v>
      </c>
      <c r="N432" s="525" t="str">
        <f t="shared" si="104"/>
        <v>n.a.</v>
      </c>
      <c r="O432" s="525" t="str">
        <f t="shared" si="104"/>
        <v>n.a.</v>
      </c>
      <c r="P432" s="525" t="str">
        <f t="shared" si="104"/>
        <v>n.a.</v>
      </c>
      <c r="Q432" s="525" t="str">
        <f t="shared" si="104"/>
        <v>n.a.</v>
      </c>
      <c r="R432" s="525" t="str">
        <f t="shared" si="104"/>
        <v>n.a.</v>
      </c>
      <c r="S432" s="525" t="str">
        <f t="shared" si="104"/>
        <v>n.a.</v>
      </c>
    </row>
    <row r="433" spans="1:19" s="110" customFormat="1" x14ac:dyDescent="0.25">
      <c r="A433" s="785">
        <v>300</v>
      </c>
      <c r="B433" s="525" t="str">
        <f t="shared" si="103"/>
        <v>n.a.</v>
      </c>
      <c r="C433" s="525" t="str">
        <f t="shared" si="103"/>
        <v>n.a.</v>
      </c>
      <c r="D433" s="525" t="str">
        <f t="shared" si="103"/>
        <v>n.a.</v>
      </c>
      <c r="E433" s="525" t="str">
        <f t="shared" si="103"/>
        <v>n.a.</v>
      </c>
      <c r="F433" s="525" t="str">
        <f t="shared" si="103"/>
        <v>73045930</v>
      </c>
      <c r="G433" s="525" t="str">
        <f t="shared" si="103"/>
        <v>n.a.</v>
      </c>
      <c r="H433" s="525" t="str">
        <f t="shared" si="103"/>
        <v>n.a.</v>
      </c>
      <c r="I433" s="525" t="str">
        <f t="shared" si="103"/>
        <v>n.a.</v>
      </c>
      <c r="J433" s="525" t="str">
        <f t="shared" si="103"/>
        <v>n.a.</v>
      </c>
      <c r="K433" s="525" t="str">
        <f t="shared" si="103"/>
        <v>n.a.</v>
      </c>
      <c r="L433" s="525" t="str">
        <f t="shared" si="104"/>
        <v>n.a.</v>
      </c>
      <c r="M433" s="525" t="str">
        <f t="shared" si="104"/>
        <v>n.a.</v>
      </c>
      <c r="N433" s="525" t="str">
        <f t="shared" si="104"/>
        <v>n.a.</v>
      </c>
      <c r="O433" s="525" t="str">
        <f t="shared" si="104"/>
        <v>n.a.</v>
      </c>
      <c r="P433" s="525" t="str">
        <f t="shared" si="104"/>
        <v>n.a.</v>
      </c>
      <c r="Q433" s="525" t="str">
        <f t="shared" si="104"/>
        <v>n.a.</v>
      </c>
      <c r="R433" s="525" t="str">
        <f t="shared" si="104"/>
        <v>n.a.</v>
      </c>
      <c r="S433" s="525" t="str">
        <f t="shared" si="104"/>
        <v>n.a.</v>
      </c>
    </row>
    <row r="434" spans="1:19" s="110" customFormat="1" x14ac:dyDescent="0.25">
      <c r="A434" s="785">
        <v>301</v>
      </c>
      <c r="B434" s="525" t="str">
        <f t="shared" ref="B434:K443" si="105">IFERROR(INDEX(CNCodes_ListKey,MATCH($A434&amp;"_"&amp;B$132,CNCodes_ListNumbering,0)),CONST_NA)</f>
        <v>n.a.</v>
      </c>
      <c r="C434" s="525" t="str">
        <f t="shared" si="105"/>
        <v>n.a.</v>
      </c>
      <c r="D434" s="525" t="str">
        <f t="shared" si="105"/>
        <v>n.a.</v>
      </c>
      <c r="E434" s="525" t="str">
        <f t="shared" si="105"/>
        <v>n.a.</v>
      </c>
      <c r="F434" s="525" t="str">
        <f t="shared" si="105"/>
        <v>73045982</v>
      </c>
      <c r="G434" s="525" t="str">
        <f t="shared" si="105"/>
        <v>n.a.</v>
      </c>
      <c r="H434" s="525" t="str">
        <f t="shared" si="105"/>
        <v>n.a.</v>
      </c>
      <c r="I434" s="525" t="str">
        <f t="shared" si="105"/>
        <v>n.a.</v>
      </c>
      <c r="J434" s="525" t="str">
        <f t="shared" si="105"/>
        <v>n.a.</v>
      </c>
      <c r="K434" s="525" t="str">
        <f t="shared" si="105"/>
        <v>n.a.</v>
      </c>
      <c r="L434" s="525" t="str">
        <f t="shared" ref="L434:S443" si="106">IFERROR(INDEX(CNCodes_ListKey,MATCH($A434&amp;"_"&amp;L$132,CNCodes_ListNumbering,0)),CONST_NA)</f>
        <v>n.a.</v>
      </c>
      <c r="M434" s="525" t="str">
        <f t="shared" si="106"/>
        <v>n.a.</v>
      </c>
      <c r="N434" s="525" t="str">
        <f t="shared" si="106"/>
        <v>n.a.</v>
      </c>
      <c r="O434" s="525" t="str">
        <f t="shared" si="106"/>
        <v>n.a.</v>
      </c>
      <c r="P434" s="525" t="str">
        <f t="shared" si="106"/>
        <v>n.a.</v>
      </c>
      <c r="Q434" s="525" t="str">
        <f t="shared" si="106"/>
        <v>n.a.</v>
      </c>
      <c r="R434" s="525" t="str">
        <f t="shared" si="106"/>
        <v>n.a.</v>
      </c>
      <c r="S434" s="525" t="str">
        <f t="shared" si="106"/>
        <v>n.a.</v>
      </c>
    </row>
    <row r="435" spans="1:19" s="110" customFormat="1" x14ac:dyDescent="0.25">
      <c r="A435" s="785">
        <v>302</v>
      </c>
      <c r="B435" s="525" t="str">
        <f t="shared" si="105"/>
        <v>n.a.</v>
      </c>
      <c r="C435" s="525" t="str">
        <f t="shared" si="105"/>
        <v>n.a.</v>
      </c>
      <c r="D435" s="525" t="str">
        <f t="shared" si="105"/>
        <v>n.a.</v>
      </c>
      <c r="E435" s="525" t="str">
        <f t="shared" si="105"/>
        <v>n.a.</v>
      </c>
      <c r="F435" s="525" t="str">
        <f t="shared" si="105"/>
        <v>73045983</v>
      </c>
      <c r="G435" s="525" t="str">
        <f t="shared" si="105"/>
        <v>n.a.</v>
      </c>
      <c r="H435" s="525" t="str">
        <f t="shared" si="105"/>
        <v>n.a.</v>
      </c>
      <c r="I435" s="525" t="str">
        <f t="shared" si="105"/>
        <v>n.a.</v>
      </c>
      <c r="J435" s="525" t="str">
        <f t="shared" si="105"/>
        <v>n.a.</v>
      </c>
      <c r="K435" s="525" t="str">
        <f t="shared" si="105"/>
        <v>n.a.</v>
      </c>
      <c r="L435" s="525" t="str">
        <f t="shared" si="106"/>
        <v>n.a.</v>
      </c>
      <c r="M435" s="525" t="str">
        <f t="shared" si="106"/>
        <v>n.a.</v>
      </c>
      <c r="N435" s="525" t="str">
        <f t="shared" si="106"/>
        <v>n.a.</v>
      </c>
      <c r="O435" s="525" t="str">
        <f t="shared" si="106"/>
        <v>n.a.</v>
      </c>
      <c r="P435" s="525" t="str">
        <f t="shared" si="106"/>
        <v>n.a.</v>
      </c>
      <c r="Q435" s="525" t="str">
        <f t="shared" si="106"/>
        <v>n.a.</v>
      </c>
      <c r="R435" s="525" t="str">
        <f t="shared" si="106"/>
        <v>n.a.</v>
      </c>
      <c r="S435" s="525" t="str">
        <f t="shared" si="106"/>
        <v>n.a.</v>
      </c>
    </row>
    <row r="436" spans="1:19" s="110" customFormat="1" x14ac:dyDescent="0.25">
      <c r="A436" s="785">
        <v>303</v>
      </c>
      <c r="B436" s="525" t="str">
        <f t="shared" si="105"/>
        <v>n.a.</v>
      </c>
      <c r="C436" s="525" t="str">
        <f t="shared" si="105"/>
        <v>n.a.</v>
      </c>
      <c r="D436" s="525" t="str">
        <f t="shared" si="105"/>
        <v>n.a.</v>
      </c>
      <c r="E436" s="525" t="str">
        <f t="shared" si="105"/>
        <v>n.a.</v>
      </c>
      <c r="F436" s="525" t="str">
        <f t="shared" si="105"/>
        <v>73045989</v>
      </c>
      <c r="G436" s="525" t="str">
        <f t="shared" si="105"/>
        <v>n.a.</v>
      </c>
      <c r="H436" s="525" t="str">
        <f t="shared" si="105"/>
        <v>n.a.</v>
      </c>
      <c r="I436" s="525" t="str">
        <f t="shared" si="105"/>
        <v>n.a.</v>
      </c>
      <c r="J436" s="525" t="str">
        <f t="shared" si="105"/>
        <v>n.a.</v>
      </c>
      <c r="K436" s="525" t="str">
        <f t="shared" si="105"/>
        <v>n.a.</v>
      </c>
      <c r="L436" s="525" t="str">
        <f t="shared" si="106"/>
        <v>n.a.</v>
      </c>
      <c r="M436" s="525" t="str">
        <f t="shared" si="106"/>
        <v>n.a.</v>
      </c>
      <c r="N436" s="525" t="str">
        <f t="shared" si="106"/>
        <v>n.a.</v>
      </c>
      <c r="O436" s="525" t="str">
        <f t="shared" si="106"/>
        <v>n.a.</v>
      </c>
      <c r="P436" s="525" t="str">
        <f t="shared" si="106"/>
        <v>n.a.</v>
      </c>
      <c r="Q436" s="525" t="str">
        <f t="shared" si="106"/>
        <v>n.a.</v>
      </c>
      <c r="R436" s="525" t="str">
        <f t="shared" si="106"/>
        <v>n.a.</v>
      </c>
      <c r="S436" s="525" t="str">
        <f t="shared" si="106"/>
        <v>n.a.</v>
      </c>
    </row>
    <row r="437" spans="1:19" s="110" customFormat="1" x14ac:dyDescent="0.25">
      <c r="A437" s="785">
        <v>304</v>
      </c>
      <c r="B437" s="525" t="str">
        <f t="shared" si="105"/>
        <v>n.a.</v>
      </c>
      <c r="C437" s="525" t="str">
        <f t="shared" si="105"/>
        <v>n.a.</v>
      </c>
      <c r="D437" s="525" t="str">
        <f t="shared" si="105"/>
        <v>n.a.</v>
      </c>
      <c r="E437" s="525" t="str">
        <f t="shared" si="105"/>
        <v>n.a.</v>
      </c>
      <c r="F437" s="525" t="str">
        <f t="shared" si="105"/>
        <v>73049000</v>
      </c>
      <c r="G437" s="525" t="str">
        <f t="shared" si="105"/>
        <v>n.a.</v>
      </c>
      <c r="H437" s="525" t="str">
        <f t="shared" si="105"/>
        <v>n.a.</v>
      </c>
      <c r="I437" s="525" t="str">
        <f t="shared" si="105"/>
        <v>n.a.</v>
      </c>
      <c r="J437" s="525" t="str">
        <f t="shared" si="105"/>
        <v>n.a.</v>
      </c>
      <c r="K437" s="525" t="str">
        <f t="shared" si="105"/>
        <v>n.a.</v>
      </c>
      <c r="L437" s="525" t="str">
        <f t="shared" si="106"/>
        <v>n.a.</v>
      </c>
      <c r="M437" s="525" t="str">
        <f t="shared" si="106"/>
        <v>n.a.</v>
      </c>
      <c r="N437" s="525" t="str">
        <f t="shared" si="106"/>
        <v>n.a.</v>
      </c>
      <c r="O437" s="525" t="str">
        <f t="shared" si="106"/>
        <v>n.a.</v>
      </c>
      <c r="P437" s="525" t="str">
        <f t="shared" si="106"/>
        <v>n.a.</v>
      </c>
      <c r="Q437" s="525" t="str">
        <f t="shared" si="106"/>
        <v>n.a.</v>
      </c>
      <c r="R437" s="525" t="str">
        <f t="shared" si="106"/>
        <v>n.a.</v>
      </c>
      <c r="S437" s="525" t="str">
        <f t="shared" si="106"/>
        <v>n.a.</v>
      </c>
    </row>
    <row r="438" spans="1:19" s="110" customFormat="1" x14ac:dyDescent="0.25">
      <c r="A438" s="785">
        <v>305</v>
      </c>
      <c r="B438" s="525" t="str">
        <f t="shared" si="105"/>
        <v>n.a.</v>
      </c>
      <c r="C438" s="525" t="str">
        <f t="shared" si="105"/>
        <v>n.a.</v>
      </c>
      <c r="D438" s="525" t="str">
        <f t="shared" si="105"/>
        <v>n.a.</v>
      </c>
      <c r="E438" s="525" t="str">
        <f t="shared" si="105"/>
        <v>n.a.</v>
      </c>
      <c r="F438" s="525" t="str">
        <f t="shared" si="105"/>
        <v>73051100</v>
      </c>
      <c r="G438" s="525" t="str">
        <f t="shared" si="105"/>
        <v>n.a.</v>
      </c>
      <c r="H438" s="525" t="str">
        <f t="shared" si="105"/>
        <v>n.a.</v>
      </c>
      <c r="I438" s="525" t="str">
        <f t="shared" si="105"/>
        <v>n.a.</v>
      </c>
      <c r="J438" s="525" t="str">
        <f t="shared" si="105"/>
        <v>n.a.</v>
      </c>
      <c r="K438" s="525" t="str">
        <f t="shared" si="105"/>
        <v>n.a.</v>
      </c>
      <c r="L438" s="525" t="str">
        <f t="shared" si="106"/>
        <v>n.a.</v>
      </c>
      <c r="M438" s="525" t="str">
        <f t="shared" si="106"/>
        <v>n.a.</v>
      </c>
      <c r="N438" s="525" t="str">
        <f t="shared" si="106"/>
        <v>n.a.</v>
      </c>
      <c r="O438" s="525" t="str">
        <f t="shared" si="106"/>
        <v>n.a.</v>
      </c>
      <c r="P438" s="525" t="str">
        <f t="shared" si="106"/>
        <v>n.a.</v>
      </c>
      <c r="Q438" s="525" t="str">
        <f t="shared" si="106"/>
        <v>n.a.</v>
      </c>
      <c r="R438" s="525" t="str">
        <f t="shared" si="106"/>
        <v>n.a.</v>
      </c>
      <c r="S438" s="525" t="str">
        <f t="shared" si="106"/>
        <v>n.a.</v>
      </c>
    </row>
    <row r="439" spans="1:19" s="110" customFormat="1" x14ac:dyDescent="0.25">
      <c r="A439" s="785">
        <v>306</v>
      </c>
      <c r="B439" s="525" t="str">
        <f t="shared" si="105"/>
        <v>n.a.</v>
      </c>
      <c r="C439" s="525" t="str">
        <f t="shared" si="105"/>
        <v>n.a.</v>
      </c>
      <c r="D439" s="525" t="str">
        <f t="shared" si="105"/>
        <v>n.a.</v>
      </c>
      <c r="E439" s="525" t="str">
        <f t="shared" si="105"/>
        <v>n.a.</v>
      </c>
      <c r="F439" s="525" t="str">
        <f t="shared" si="105"/>
        <v>73051200</v>
      </c>
      <c r="G439" s="525" t="str">
        <f t="shared" si="105"/>
        <v>n.a.</v>
      </c>
      <c r="H439" s="525" t="str">
        <f t="shared" si="105"/>
        <v>n.a.</v>
      </c>
      <c r="I439" s="525" t="str">
        <f t="shared" si="105"/>
        <v>n.a.</v>
      </c>
      <c r="J439" s="525" t="str">
        <f t="shared" si="105"/>
        <v>n.a.</v>
      </c>
      <c r="K439" s="525" t="str">
        <f t="shared" si="105"/>
        <v>n.a.</v>
      </c>
      <c r="L439" s="525" t="str">
        <f t="shared" si="106"/>
        <v>n.a.</v>
      </c>
      <c r="M439" s="525" t="str">
        <f t="shared" si="106"/>
        <v>n.a.</v>
      </c>
      <c r="N439" s="525" t="str">
        <f t="shared" si="106"/>
        <v>n.a.</v>
      </c>
      <c r="O439" s="525" t="str">
        <f t="shared" si="106"/>
        <v>n.a.</v>
      </c>
      <c r="P439" s="525" t="str">
        <f t="shared" si="106"/>
        <v>n.a.</v>
      </c>
      <c r="Q439" s="525" t="str">
        <f t="shared" si="106"/>
        <v>n.a.</v>
      </c>
      <c r="R439" s="525" t="str">
        <f t="shared" si="106"/>
        <v>n.a.</v>
      </c>
      <c r="S439" s="525" t="str">
        <f t="shared" si="106"/>
        <v>n.a.</v>
      </c>
    </row>
    <row r="440" spans="1:19" s="110" customFormat="1" x14ac:dyDescent="0.25">
      <c r="A440" s="785">
        <v>307</v>
      </c>
      <c r="B440" s="525" t="str">
        <f t="shared" si="105"/>
        <v>n.a.</v>
      </c>
      <c r="C440" s="525" t="str">
        <f t="shared" si="105"/>
        <v>n.a.</v>
      </c>
      <c r="D440" s="525" t="str">
        <f t="shared" si="105"/>
        <v>n.a.</v>
      </c>
      <c r="E440" s="525" t="str">
        <f t="shared" si="105"/>
        <v>n.a.</v>
      </c>
      <c r="F440" s="525" t="str">
        <f t="shared" si="105"/>
        <v>73051900</v>
      </c>
      <c r="G440" s="525" t="str">
        <f t="shared" si="105"/>
        <v>n.a.</v>
      </c>
      <c r="H440" s="525" t="str">
        <f t="shared" si="105"/>
        <v>n.a.</v>
      </c>
      <c r="I440" s="525" t="str">
        <f t="shared" si="105"/>
        <v>n.a.</v>
      </c>
      <c r="J440" s="525" t="str">
        <f t="shared" si="105"/>
        <v>n.a.</v>
      </c>
      <c r="K440" s="525" t="str">
        <f t="shared" si="105"/>
        <v>n.a.</v>
      </c>
      <c r="L440" s="525" t="str">
        <f t="shared" si="106"/>
        <v>n.a.</v>
      </c>
      <c r="M440" s="525" t="str">
        <f t="shared" si="106"/>
        <v>n.a.</v>
      </c>
      <c r="N440" s="525" t="str">
        <f t="shared" si="106"/>
        <v>n.a.</v>
      </c>
      <c r="O440" s="525" t="str">
        <f t="shared" si="106"/>
        <v>n.a.</v>
      </c>
      <c r="P440" s="525" t="str">
        <f t="shared" si="106"/>
        <v>n.a.</v>
      </c>
      <c r="Q440" s="525" t="str">
        <f t="shared" si="106"/>
        <v>n.a.</v>
      </c>
      <c r="R440" s="525" t="str">
        <f t="shared" si="106"/>
        <v>n.a.</v>
      </c>
      <c r="S440" s="525" t="str">
        <f t="shared" si="106"/>
        <v>n.a.</v>
      </c>
    </row>
    <row r="441" spans="1:19" s="110" customFormat="1" x14ac:dyDescent="0.25">
      <c r="A441" s="785">
        <v>308</v>
      </c>
      <c r="B441" s="525" t="str">
        <f t="shared" si="105"/>
        <v>n.a.</v>
      </c>
      <c r="C441" s="525" t="str">
        <f t="shared" si="105"/>
        <v>n.a.</v>
      </c>
      <c r="D441" s="525" t="str">
        <f t="shared" si="105"/>
        <v>n.a.</v>
      </c>
      <c r="E441" s="525" t="str">
        <f t="shared" si="105"/>
        <v>n.a.</v>
      </c>
      <c r="F441" s="525" t="str">
        <f t="shared" si="105"/>
        <v>73052000</v>
      </c>
      <c r="G441" s="525" t="str">
        <f t="shared" si="105"/>
        <v>n.a.</v>
      </c>
      <c r="H441" s="525" t="str">
        <f t="shared" si="105"/>
        <v>n.a.</v>
      </c>
      <c r="I441" s="525" t="str">
        <f t="shared" si="105"/>
        <v>n.a.</v>
      </c>
      <c r="J441" s="525" t="str">
        <f t="shared" si="105"/>
        <v>n.a.</v>
      </c>
      <c r="K441" s="525" t="str">
        <f t="shared" si="105"/>
        <v>n.a.</v>
      </c>
      <c r="L441" s="525" t="str">
        <f t="shared" si="106"/>
        <v>n.a.</v>
      </c>
      <c r="M441" s="525" t="str">
        <f t="shared" si="106"/>
        <v>n.a.</v>
      </c>
      <c r="N441" s="525" t="str">
        <f t="shared" si="106"/>
        <v>n.a.</v>
      </c>
      <c r="O441" s="525" t="str">
        <f t="shared" si="106"/>
        <v>n.a.</v>
      </c>
      <c r="P441" s="525" t="str">
        <f t="shared" si="106"/>
        <v>n.a.</v>
      </c>
      <c r="Q441" s="525" t="str">
        <f t="shared" si="106"/>
        <v>n.a.</v>
      </c>
      <c r="R441" s="525" t="str">
        <f t="shared" si="106"/>
        <v>n.a.</v>
      </c>
      <c r="S441" s="525" t="str">
        <f t="shared" si="106"/>
        <v>n.a.</v>
      </c>
    </row>
    <row r="442" spans="1:19" s="110" customFormat="1" x14ac:dyDescent="0.25">
      <c r="A442" s="785">
        <v>309</v>
      </c>
      <c r="B442" s="525" t="str">
        <f t="shared" si="105"/>
        <v>n.a.</v>
      </c>
      <c r="C442" s="525" t="str">
        <f t="shared" si="105"/>
        <v>n.a.</v>
      </c>
      <c r="D442" s="525" t="str">
        <f t="shared" si="105"/>
        <v>n.a.</v>
      </c>
      <c r="E442" s="525" t="str">
        <f t="shared" si="105"/>
        <v>n.a.</v>
      </c>
      <c r="F442" s="525" t="str">
        <f t="shared" si="105"/>
        <v>73053100</v>
      </c>
      <c r="G442" s="525" t="str">
        <f t="shared" si="105"/>
        <v>n.a.</v>
      </c>
      <c r="H442" s="525" t="str">
        <f t="shared" si="105"/>
        <v>n.a.</v>
      </c>
      <c r="I442" s="525" t="str">
        <f t="shared" si="105"/>
        <v>n.a.</v>
      </c>
      <c r="J442" s="525" t="str">
        <f t="shared" si="105"/>
        <v>n.a.</v>
      </c>
      <c r="K442" s="525" t="str">
        <f t="shared" si="105"/>
        <v>n.a.</v>
      </c>
      <c r="L442" s="525" t="str">
        <f t="shared" si="106"/>
        <v>n.a.</v>
      </c>
      <c r="M442" s="525" t="str">
        <f t="shared" si="106"/>
        <v>n.a.</v>
      </c>
      <c r="N442" s="525" t="str">
        <f t="shared" si="106"/>
        <v>n.a.</v>
      </c>
      <c r="O442" s="525" t="str">
        <f t="shared" si="106"/>
        <v>n.a.</v>
      </c>
      <c r="P442" s="525" t="str">
        <f t="shared" si="106"/>
        <v>n.a.</v>
      </c>
      <c r="Q442" s="525" t="str">
        <f t="shared" si="106"/>
        <v>n.a.</v>
      </c>
      <c r="R442" s="525" t="str">
        <f t="shared" si="106"/>
        <v>n.a.</v>
      </c>
      <c r="S442" s="525" t="str">
        <f t="shared" si="106"/>
        <v>n.a.</v>
      </c>
    </row>
    <row r="443" spans="1:19" s="110" customFormat="1" x14ac:dyDescent="0.25">
      <c r="A443" s="785">
        <v>310</v>
      </c>
      <c r="B443" s="525" t="str">
        <f t="shared" si="105"/>
        <v>n.a.</v>
      </c>
      <c r="C443" s="525" t="str">
        <f t="shared" si="105"/>
        <v>n.a.</v>
      </c>
      <c r="D443" s="525" t="str">
        <f t="shared" si="105"/>
        <v>n.a.</v>
      </c>
      <c r="E443" s="525" t="str">
        <f t="shared" si="105"/>
        <v>n.a.</v>
      </c>
      <c r="F443" s="525" t="str">
        <f t="shared" si="105"/>
        <v>73053900</v>
      </c>
      <c r="G443" s="525" t="str">
        <f t="shared" si="105"/>
        <v>n.a.</v>
      </c>
      <c r="H443" s="525" t="str">
        <f t="shared" si="105"/>
        <v>n.a.</v>
      </c>
      <c r="I443" s="525" t="str">
        <f t="shared" si="105"/>
        <v>n.a.</v>
      </c>
      <c r="J443" s="525" t="str">
        <f t="shared" si="105"/>
        <v>n.a.</v>
      </c>
      <c r="K443" s="525" t="str">
        <f t="shared" si="105"/>
        <v>n.a.</v>
      </c>
      <c r="L443" s="525" t="str">
        <f t="shared" si="106"/>
        <v>n.a.</v>
      </c>
      <c r="M443" s="525" t="str">
        <f t="shared" si="106"/>
        <v>n.a.</v>
      </c>
      <c r="N443" s="525" t="str">
        <f t="shared" si="106"/>
        <v>n.a.</v>
      </c>
      <c r="O443" s="525" t="str">
        <f t="shared" si="106"/>
        <v>n.a.</v>
      </c>
      <c r="P443" s="525" t="str">
        <f t="shared" si="106"/>
        <v>n.a.</v>
      </c>
      <c r="Q443" s="525" t="str">
        <f t="shared" si="106"/>
        <v>n.a.</v>
      </c>
      <c r="R443" s="525" t="str">
        <f t="shared" si="106"/>
        <v>n.a.</v>
      </c>
      <c r="S443" s="525" t="str">
        <f t="shared" si="106"/>
        <v>n.a.</v>
      </c>
    </row>
    <row r="444" spans="1:19" s="110" customFormat="1" x14ac:dyDescent="0.25">
      <c r="A444" s="785">
        <v>311</v>
      </c>
      <c r="B444" s="525" t="str">
        <f t="shared" ref="B444:K453" si="107">IFERROR(INDEX(CNCodes_ListKey,MATCH($A444&amp;"_"&amp;B$132,CNCodes_ListNumbering,0)),CONST_NA)</f>
        <v>n.a.</v>
      </c>
      <c r="C444" s="525" t="str">
        <f t="shared" si="107"/>
        <v>n.a.</v>
      </c>
      <c r="D444" s="525" t="str">
        <f t="shared" si="107"/>
        <v>n.a.</v>
      </c>
      <c r="E444" s="525" t="str">
        <f t="shared" si="107"/>
        <v>n.a.</v>
      </c>
      <c r="F444" s="525" t="str">
        <f t="shared" si="107"/>
        <v>73059000</v>
      </c>
      <c r="G444" s="525" t="str">
        <f t="shared" si="107"/>
        <v>n.a.</v>
      </c>
      <c r="H444" s="525" t="str">
        <f t="shared" si="107"/>
        <v>n.a.</v>
      </c>
      <c r="I444" s="525" t="str">
        <f t="shared" si="107"/>
        <v>n.a.</v>
      </c>
      <c r="J444" s="525" t="str">
        <f t="shared" si="107"/>
        <v>n.a.</v>
      </c>
      <c r="K444" s="525" t="str">
        <f t="shared" si="107"/>
        <v>n.a.</v>
      </c>
      <c r="L444" s="525" t="str">
        <f t="shared" ref="L444:S453" si="108">IFERROR(INDEX(CNCodes_ListKey,MATCH($A444&amp;"_"&amp;L$132,CNCodes_ListNumbering,0)),CONST_NA)</f>
        <v>n.a.</v>
      </c>
      <c r="M444" s="525" t="str">
        <f t="shared" si="108"/>
        <v>n.a.</v>
      </c>
      <c r="N444" s="525" t="str">
        <f t="shared" si="108"/>
        <v>n.a.</v>
      </c>
      <c r="O444" s="525" t="str">
        <f t="shared" si="108"/>
        <v>n.a.</v>
      </c>
      <c r="P444" s="525" t="str">
        <f t="shared" si="108"/>
        <v>n.a.</v>
      </c>
      <c r="Q444" s="525" t="str">
        <f t="shared" si="108"/>
        <v>n.a.</v>
      </c>
      <c r="R444" s="525" t="str">
        <f t="shared" si="108"/>
        <v>n.a.</v>
      </c>
      <c r="S444" s="525" t="str">
        <f t="shared" si="108"/>
        <v>n.a.</v>
      </c>
    </row>
    <row r="445" spans="1:19" s="110" customFormat="1" x14ac:dyDescent="0.25">
      <c r="A445" s="785">
        <v>312</v>
      </c>
      <c r="B445" s="525" t="str">
        <f t="shared" si="107"/>
        <v>n.a.</v>
      </c>
      <c r="C445" s="525" t="str">
        <f t="shared" si="107"/>
        <v>n.a.</v>
      </c>
      <c r="D445" s="525" t="str">
        <f t="shared" si="107"/>
        <v>n.a.</v>
      </c>
      <c r="E445" s="525" t="str">
        <f t="shared" si="107"/>
        <v>n.a.</v>
      </c>
      <c r="F445" s="525" t="str">
        <f t="shared" si="107"/>
        <v>73061100</v>
      </c>
      <c r="G445" s="525" t="str">
        <f t="shared" si="107"/>
        <v>n.a.</v>
      </c>
      <c r="H445" s="525" t="str">
        <f t="shared" si="107"/>
        <v>n.a.</v>
      </c>
      <c r="I445" s="525" t="str">
        <f t="shared" si="107"/>
        <v>n.a.</v>
      </c>
      <c r="J445" s="525" t="str">
        <f t="shared" si="107"/>
        <v>n.a.</v>
      </c>
      <c r="K445" s="525" t="str">
        <f t="shared" si="107"/>
        <v>n.a.</v>
      </c>
      <c r="L445" s="525" t="str">
        <f t="shared" si="108"/>
        <v>n.a.</v>
      </c>
      <c r="M445" s="525" t="str">
        <f t="shared" si="108"/>
        <v>n.a.</v>
      </c>
      <c r="N445" s="525" t="str">
        <f t="shared" si="108"/>
        <v>n.a.</v>
      </c>
      <c r="O445" s="525" t="str">
        <f t="shared" si="108"/>
        <v>n.a.</v>
      </c>
      <c r="P445" s="525" t="str">
        <f t="shared" si="108"/>
        <v>n.a.</v>
      </c>
      <c r="Q445" s="525" t="str">
        <f t="shared" si="108"/>
        <v>n.a.</v>
      </c>
      <c r="R445" s="525" t="str">
        <f t="shared" si="108"/>
        <v>n.a.</v>
      </c>
      <c r="S445" s="525" t="str">
        <f t="shared" si="108"/>
        <v>n.a.</v>
      </c>
    </row>
    <row r="446" spans="1:19" s="110" customFormat="1" x14ac:dyDescent="0.25">
      <c r="A446" s="785">
        <v>313</v>
      </c>
      <c r="B446" s="525" t="str">
        <f t="shared" si="107"/>
        <v>n.a.</v>
      </c>
      <c r="C446" s="525" t="str">
        <f t="shared" si="107"/>
        <v>n.a.</v>
      </c>
      <c r="D446" s="525" t="str">
        <f t="shared" si="107"/>
        <v>n.a.</v>
      </c>
      <c r="E446" s="525" t="str">
        <f t="shared" si="107"/>
        <v>n.a.</v>
      </c>
      <c r="F446" s="525" t="str">
        <f t="shared" si="107"/>
        <v>73061900</v>
      </c>
      <c r="G446" s="525" t="str">
        <f t="shared" si="107"/>
        <v>n.a.</v>
      </c>
      <c r="H446" s="525" t="str">
        <f t="shared" si="107"/>
        <v>n.a.</v>
      </c>
      <c r="I446" s="525" t="str">
        <f t="shared" si="107"/>
        <v>n.a.</v>
      </c>
      <c r="J446" s="525" t="str">
        <f t="shared" si="107"/>
        <v>n.a.</v>
      </c>
      <c r="K446" s="525" t="str">
        <f t="shared" si="107"/>
        <v>n.a.</v>
      </c>
      <c r="L446" s="525" t="str">
        <f t="shared" si="108"/>
        <v>n.a.</v>
      </c>
      <c r="M446" s="525" t="str">
        <f t="shared" si="108"/>
        <v>n.a.</v>
      </c>
      <c r="N446" s="525" t="str">
        <f t="shared" si="108"/>
        <v>n.a.</v>
      </c>
      <c r="O446" s="525" t="str">
        <f t="shared" si="108"/>
        <v>n.a.</v>
      </c>
      <c r="P446" s="525" t="str">
        <f t="shared" si="108"/>
        <v>n.a.</v>
      </c>
      <c r="Q446" s="525" t="str">
        <f t="shared" si="108"/>
        <v>n.a.</v>
      </c>
      <c r="R446" s="525" t="str">
        <f t="shared" si="108"/>
        <v>n.a.</v>
      </c>
      <c r="S446" s="525" t="str">
        <f t="shared" si="108"/>
        <v>n.a.</v>
      </c>
    </row>
    <row r="447" spans="1:19" s="110" customFormat="1" x14ac:dyDescent="0.25">
      <c r="A447" s="785">
        <v>314</v>
      </c>
      <c r="B447" s="525" t="str">
        <f t="shared" si="107"/>
        <v>n.a.</v>
      </c>
      <c r="C447" s="525" t="str">
        <f t="shared" si="107"/>
        <v>n.a.</v>
      </c>
      <c r="D447" s="525" t="str">
        <f t="shared" si="107"/>
        <v>n.a.</v>
      </c>
      <c r="E447" s="525" t="str">
        <f t="shared" si="107"/>
        <v>n.a.</v>
      </c>
      <c r="F447" s="525" t="str">
        <f t="shared" si="107"/>
        <v>73062100</v>
      </c>
      <c r="G447" s="525" t="str">
        <f t="shared" si="107"/>
        <v>n.a.</v>
      </c>
      <c r="H447" s="525" t="str">
        <f t="shared" si="107"/>
        <v>n.a.</v>
      </c>
      <c r="I447" s="525" t="str">
        <f t="shared" si="107"/>
        <v>n.a.</v>
      </c>
      <c r="J447" s="525" t="str">
        <f t="shared" si="107"/>
        <v>n.a.</v>
      </c>
      <c r="K447" s="525" t="str">
        <f t="shared" si="107"/>
        <v>n.a.</v>
      </c>
      <c r="L447" s="525" t="str">
        <f t="shared" si="108"/>
        <v>n.a.</v>
      </c>
      <c r="M447" s="525" t="str">
        <f t="shared" si="108"/>
        <v>n.a.</v>
      </c>
      <c r="N447" s="525" t="str">
        <f t="shared" si="108"/>
        <v>n.a.</v>
      </c>
      <c r="O447" s="525" t="str">
        <f t="shared" si="108"/>
        <v>n.a.</v>
      </c>
      <c r="P447" s="525" t="str">
        <f t="shared" si="108"/>
        <v>n.a.</v>
      </c>
      <c r="Q447" s="525" t="str">
        <f t="shared" si="108"/>
        <v>n.a.</v>
      </c>
      <c r="R447" s="525" t="str">
        <f t="shared" si="108"/>
        <v>n.a.</v>
      </c>
      <c r="S447" s="525" t="str">
        <f t="shared" si="108"/>
        <v>n.a.</v>
      </c>
    </row>
    <row r="448" spans="1:19" s="110" customFormat="1" x14ac:dyDescent="0.25">
      <c r="A448" s="785">
        <v>315</v>
      </c>
      <c r="B448" s="525" t="str">
        <f t="shared" si="107"/>
        <v>n.a.</v>
      </c>
      <c r="C448" s="525" t="str">
        <f t="shared" si="107"/>
        <v>n.a.</v>
      </c>
      <c r="D448" s="525" t="str">
        <f t="shared" si="107"/>
        <v>n.a.</v>
      </c>
      <c r="E448" s="525" t="str">
        <f t="shared" si="107"/>
        <v>n.a.</v>
      </c>
      <c r="F448" s="525" t="str">
        <f t="shared" si="107"/>
        <v>73062900</v>
      </c>
      <c r="G448" s="525" t="str">
        <f t="shared" si="107"/>
        <v>n.a.</v>
      </c>
      <c r="H448" s="525" t="str">
        <f t="shared" si="107"/>
        <v>n.a.</v>
      </c>
      <c r="I448" s="525" t="str">
        <f t="shared" si="107"/>
        <v>n.a.</v>
      </c>
      <c r="J448" s="525" t="str">
        <f t="shared" si="107"/>
        <v>n.a.</v>
      </c>
      <c r="K448" s="525" t="str">
        <f t="shared" si="107"/>
        <v>n.a.</v>
      </c>
      <c r="L448" s="525" t="str">
        <f t="shared" si="108"/>
        <v>n.a.</v>
      </c>
      <c r="M448" s="525" t="str">
        <f t="shared" si="108"/>
        <v>n.a.</v>
      </c>
      <c r="N448" s="525" t="str">
        <f t="shared" si="108"/>
        <v>n.a.</v>
      </c>
      <c r="O448" s="525" t="str">
        <f t="shared" si="108"/>
        <v>n.a.</v>
      </c>
      <c r="P448" s="525" t="str">
        <f t="shared" si="108"/>
        <v>n.a.</v>
      </c>
      <c r="Q448" s="525" t="str">
        <f t="shared" si="108"/>
        <v>n.a.</v>
      </c>
      <c r="R448" s="525" t="str">
        <f t="shared" si="108"/>
        <v>n.a.</v>
      </c>
      <c r="S448" s="525" t="str">
        <f t="shared" si="108"/>
        <v>n.a.</v>
      </c>
    </row>
    <row r="449" spans="1:19" s="110" customFormat="1" x14ac:dyDescent="0.25">
      <c r="A449" s="785">
        <v>316</v>
      </c>
      <c r="B449" s="525" t="str">
        <f t="shared" si="107"/>
        <v>n.a.</v>
      </c>
      <c r="C449" s="525" t="str">
        <f t="shared" si="107"/>
        <v>n.a.</v>
      </c>
      <c r="D449" s="525" t="str">
        <f t="shared" si="107"/>
        <v>n.a.</v>
      </c>
      <c r="E449" s="525" t="str">
        <f t="shared" si="107"/>
        <v>n.a.</v>
      </c>
      <c r="F449" s="525" t="str">
        <f t="shared" si="107"/>
        <v>73063012</v>
      </c>
      <c r="G449" s="525" t="str">
        <f t="shared" si="107"/>
        <v>n.a.</v>
      </c>
      <c r="H449" s="525" t="str">
        <f t="shared" si="107"/>
        <v>n.a.</v>
      </c>
      <c r="I449" s="525" t="str">
        <f t="shared" si="107"/>
        <v>n.a.</v>
      </c>
      <c r="J449" s="525" t="str">
        <f t="shared" si="107"/>
        <v>n.a.</v>
      </c>
      <c r="K449" s="525" t="str">
        <f t="shared" si="107"/>
        <v>n.a.</v>
      </c>
      <c r="L449" s="525" t="str">
        <f t="shared" si="108"/>
        <v>n.a.</v>
      </c>
      <c r="M449" s="525" t="str">
        <f t="shared" si="108"/>
        <v>n.a.</v>
      </c>
      <c r="N449" s="525" t="str">
        <f t="shared" si="108"/>
        <v>n.a.</v>
      </c>
      <c r="O449" s="525" t="str">
        <f t="shared" si="108"/>
        <v>n.a.</v>
      </c>
      <c r="P449" s="525" t="str">
        <f t="shared" si="108"/>
        <v>n.a.</v>
      </c>
      <c r="Q449" s="525" t="str">
        <f t="shared" si="108"/>
        <v>n.a.</v>
      </c>
      <c r="R449" s="525" t="str">
        <f t="shared" si="108"/>
        <v>n.a.</v>
      </c>
      <c r="S449" s="525" t="str">
        <f t="shared" si="108"/>
        <v>n.a.</v>
      </c>
    </row>
    <row r="450" spans="1:19" s="110" customFormat="1" x14ac:dyDescent="0.25">
      <c r="A450" s="785">
        <v>317</v>
      </c>
      <c r="B450" s="525" t="str">
        <f t="shared" si="107"/>
        <v>n.a.</v>
      </c>
      <c r="C450" s="525" t="str">
        <f t="shared" si="107"/>
        <v>n.a.</v>
      </c>
      <c r="D450" s="525" t="str">
        <f t="shared" si="107"/>
        <v>n.a.</v>
      </c>
      <c r="E450" s="525" t="str">
        <f t="shared" si="107"/>
        <v>n.a.</v>
      </c>
      <c r="F450" s="525" t="str">
        <f t="shared" si="107"/>
        <v>73063018</v>
      </c>
      <c r="G450" s="525" t="str">
        <f t="shared" si="107"/>
        <v>n.a.</v>
      </c>
      <c r="H450" s="525" t="str">
        <f t="shared" si="107"/>
        <v>n.a.</v>
      </c>
      <c r="I450" s="525" t="str">
        <f t="shared" si="107"/>
        <v>n.a.</v>
      </c>
      <c r="J450" s="525" t="str">
        <f t="shared" si="107"/>
        <v>n.a.</v>
      </c>
      <c r="K450" s="525" t="str">
        <f t="shared" si="107"/>
        <v>n.a.</v>
      </c>
      <c r="L450" s="525" t="str">
        <f t="shared" si="108"/>
        <v>n.a.</v>
      </c>
      <c r="M450" s="525" t="str">
        <f t="shared" si="108"/>
        <v>n.a.</v>
      </c>
      <c r="N450" s="525" t="str">
        <f t="shared" si="108"/>
        <v>n.a.</v>
      </c>
      <c r="O450" s="525" t="str">
        <f t="shared" si="108"/>
        <v>n.a.</v>
      </c>
      <c r="P450" s="525" t="str">
        <f t="shared" si="108"/>
        <v>n.a.</v>
      </c>
      <c r="Q450" s="525" t="str">
        <f t="shared" si="108"/>
        <v>n.a.</v>
      </c>
      <c r="R450" s="525" t="str">
        <f t="shared" si="108"/>
        <v>n.a.</v>
      </c>
      <c r="S450" s="525" t="str">
        <f t="shared" si="108"/>
        <v>n.a.</v>
      </c>
    </row>
    <row r="451" spans="1:19" s="110" customFormat="1" x14ac:dyDescent="0.25">
      <c r="A451" s="785">
        <v>318</v>
      </c>
      <c r="B451" s="525" t="str">
        <f t="shared" si="107"/>
        <v>n.a.</v>
      </c>
      <c r="C451" s="525" t="str">
        <f t="shared" si="107"/>
        <v>n.a.</v>
      </c>
      <c r="D451" s="525" t="str">
        <f t="shared" si="107"/>
        <v>n.a.</v>
      </c>
      <c r="E451" s="525" t="str">
        <f t="shared" si="107"/>
        <v>n.a.</v>
      </c>
      <c r="F451" s="525" t="str">
        <f t="shared" si="107"/>
        <v>73063041</v>
      </c>
      <c r="G451" s="525" t="str">
        <f t="shared" si="107"/>
        <v>n.a.</v>
      </c>
      <c r="H451" s="525" t="str">
        <f t="shared" si="107"/>
        <v>n.a.</v>
      </c>
      <c r="I451" s="525" t="str">
        <f t="shared" si="107"/>
        <v>n.a.</v>
      </c>
      <c r="J451" s="525" t="str">
        <f t="shared" si="107"/>
        <v>n.a.</v>
      </c>
      <c r="K451" s="525" t="str">
        <f t="shared" si="107"/>
        <v>n.a.</v>
      </c>
      <c r="L451" s="525" t="str">
        <f t="shared" si="108"/>
        <v>n.a.</v>
      </c>
      <c r="M451" s="525" t="str">
        <f t="shared" si="108"/>
        <v>n.a.</v>
      </c>
      <c r="N451" s="525" t="str">
        <f t="shared" si="108"/>
        <v>n.a.</v>
      </c>
      <c r="O451" s="525" t="str">
        <f t="shared" si="108"/>
        <v>n.a.</v>
      </c>
      <c r="P451" s="525" t="str">
        <f t="shared" si="108"/>
        <v>n.a.</v>
      </c>
      <c r="Q451" s="525" t="str">
        <f t="shared" si="108"/>
        <v>n.a.</v>
      </c>
      <c r="R451" s="525" t="str">
        <f t="shared" si="108"/>
        <v>n.a.</v>
      </c>
      <c r="S451" s="525" t="str">
        <f t="shared" si="108"/>
        <v>n.a.</v>
      </c>
    </row>
    <row r="452" spans="1:19" s="110" customFormat="1" x14ac:dyDescent="0.25">
      <c r="A452" s="785">
        <v>319</v>
      </c>
      <c r="B452" s="525" t="str">
        <f t="shared" si="107"/>
        <v>n.a.</v>
      </c>
      <c r="C452" s="525" t="str">
        <f t="shared" si="107"/>
        <v>n.a.</v>
      </c>
      <c r="D452" s="525" t="str">
        <f t="shared" si="107"/>
        <v>n.a.</v>
      </c>
      <c r="E452" s="525" t="str">
        <f t="shared" si="107"/>
        <v>n.a.</v>
      </c>
      <c r="F452" s="525" t="str">
        <f t="shared" si="107"/>
        <v>73063049</v>
      </c>
      <c r="G452" s="525" t="str">
        <f t="shared" si="107"/>
        <v>n.a.</v>
      </c>
      <c r="H452" s="525" t="str">
        <f t="shared" si="107"/>
        <v>n.a.</v>
      </c>
      <c r="I452" s="525" t="str">
        <f t="shared" si="107"/>
        <v>n.a.</v>
      </c>
      <c r="J452" s="525" t="str">
        <f t="shared" si="107"/>
        <v>n.a.</v>
      </c>
      <c r="K452" s="525" t="str">
        <f t="shared" si="107"/>
        <v>n.a.</v>
      </c>
      <c r="L452" s="525" t="str">
        <f t="shared" si="108"/>
        <v>n.a.</v>
      </c>
      <c r="M452" s="525" t="str">
        <f t="shared" si="108"/>
        <v>n.a.</v>
      </c>
      <c r="N452" s="525" t="str">
        <f t="shared" si="108"/>
        <v>n.a.</v>
      </c>
      <c r="O452" s="525" t="str">
        <f t="shared" si="108"/>
        <v>n.a.</v>
      </c>
      <c r="P452" s="525" t="str">
        <f t="shared" si="108"/>
        <v>n.a.</v>
      </c>
      <c r="Q452" s="525" t="str">
        <f t="shared" si="108"/>
        <v>n.a.</v>
      </c>
      <c r="R452" s="525" t="str">
        <f t="shared" si="108"/>
        <v>n.a.</v>
      </c>
      <c r="S452" s="525" t="str">
        <f t="shared" si="108"/>
        <v>n.a.</v>
      </c>
    </row>
    <row r="453" spans="1:19" s="110" customFormat="1" x14ac:dyDescent="0.25">
      <c r="A453" s="785">
        <v>320</v>
      </c>
      <c r="B453" s="525" t="str">
        <f t="shared" si="107"/>
        <v>n.a.</v>
      </c>
      <c r="C453" s="525" t="str">
        <f t="shared" si="107"/>
        <v>n.a.</v>
      </c>
      <c r="D453" s="525" t="str">
        <f t="shared" si="107"/>
        <v>n.a.</v>
      </c>
      <c r="E453" s="525" t="str">
        <f t="shared" si="107"/>
        <v>n.a.</v>
      </c>
      <c r="F453" s="525" t="str">
        <f t="shared" si="107"/>
        <v>73063072</v>
      </c>
      <c r="G453" s="525" t="str">
        <f t="shared" si="107"/>
        <v>n.a.</v>
      </c>
      <c r="H453" s="525" t="str">
        <f t="shared" si="107"/>
        <v>n.a.</v>
      </c>
      <c r="I453" s="525" t="str">
        <f t="shared" si="107"/>
        <v>n.a.</v>
      </c>
      <c r="J453" s="525" t="str">
        <f t="shared" si="107"/>
        <v>n.a.</v>
      </c>
      <c r="K453" s="525" t="str">
        <f t="shared" si="107"/>
        <v>n.a.</v>
      </c>
      <c r="L453" s="525" t="str">
        <f t="shared" si="108"/>
        <v>n.a.</v>
      </c>
      <c r="M453" s="525" t="str">
        <f t="shared" si="108"/>
        <v>n.a.</v>
      </c>
      <c r="N453" s="525" t="str">
        <f t="shared" si="108"/>
        <v>n.a.</v>
      </c>
      <c r="O453" s="525" t="str">
        <f t="shared" si="108"/>
        <v>n.a.</v>
      </c>
      <c r="P453" s="525" t="str">
        <f t="shared" si="108"/>
        <v>n.a.</v>
      </c>
      <c r="Q453" s="525" t="str">
        <f t="shared" si="108"/>
        <v>n.a.</v>
      </c>
      <c r="R453" s="525" t="str">
        <f t="shared" si="108"/>
        <v>n.a.</v>
      </c>
      <c r="S453" s="525" t="str">
        <f t="shared" si="108"/>
        <v>n.a.</v>
      </c>
    </row>
    <row r="454" spans="1:19" s="110" customFormat="1" x14ac:dyDescent="0.25">
      <c r="A454" s="785">
        <v>321</v>
      </c>
      <c r="B454" s="525" t="str">
        <f t="shared" ref="B454:K463" si="109">IFERROR(INDEX(CNCodes_ListKey,MATCH($A454&amp;"_"&amp;B$132,CNCodes_ListNumbering,0)),CONST_NA)</f>
        <v>n.a.</v>
      </c>
      <c r="C454" s="525" t="str">
        <f t="shared" si="109"/>
        <v>n.a.</v>
      </c>
      <c r="D454" s="525" t="str">
        <f t="shared" si="109"/>
        <v>n.a.</v>
      </c>
      <c r="E454" s="525" t="str">
        <f t="shared" si="109"/>
        <v>n.a.</v>
      </c>
      <c r="F454" s="525" t="str">
        <f t="shared" si="109"/>
        <v>73063077</v>
      </c>
      <c r="G454" s="525" t="str">
        <f t="shared" si="109"/>
        <v>n.a.</v>
      </c>
      <c r="H454" s="525" t="str">
        <f t="shared" si="109"/>
        <v>n.a.</v>
      </c>
      <c r="I454" s="525" t="str">
        <f t="shared" si="109"/>
        <v>n.a.</v>
      </c>
      <c r="J454" s="525" t="str">
        <f t="shared" si="109"/>
        <v>n.a.</v>
      </c>
      <c r="K454" s="525" t="str">
        <f t="shared" si="109"/>
        <v>n.a.</v>
      </c>
      <c r="L454" s="525" t="str">
        <f t="shared" ref="L454:S463" si="110">IFERROR(INDEX(CNCodes_ListKey,MATCH($A454&amp;"_"&amp;L$132,CNCodes_ListNumbering,0)),CONST_NA)</f>
        <v>n.a.</v>
      </c>
      <c r="M454" s="525" t="str">
        <f t="shared" si="110"/>
        <v>n.a.</v>
      </c>
      <c r="N454" s="525" t="str">
        <f t="shared" si="110"/>
        <v>n.a.</v>
      </c>
      <c r="O454" s="525" t="str">
        <f t="shared" si="110"/>
        <v>n.a.</v>
      </c>
      <c r="P454" s="525" t="str">
        <f t="shared" si="110"/>
        <v>n.a.</v>
      </c>
      <c r="Q454" s="525" t="str">
        <f t="shared" si="110"/>
        <v>n.a.</v>
      </c>
      <c r="R454" s="525" t="str">
        <f t="shared" si="110"/>
        <v>n.a.</v>
      </c>
      <c r="S454" s="525" t="str">
        <f t="shared" si="110"/>
        <v>n.a.</v>
      </c>
    </row>
    <row r="455" spans="1:19" s="110" customFormat="1" x14ac:dyDescent="0.25">
      <c r="A455" s="785">
        <v>322</v>
      </c>
      <c r="B455" s="525" t="str">
        <f t="shared" si="109"/>
        <v>n.a.</v>
      </c>
      <c r="C455" s="525" t="str">
        <f t="shared" si="109"/>
        <v>n.a.</v>
      </c>
      <c r="D455" s="525" t="str">
        <f t="shared" si="109"/>
        <v>n.a.</v>
      </c>
      <c r="E455" s="525" t="str">
        <f t="shared" si="109"/>
        <v>n.a.</v>
      </c>
      <c r="F455" s="525" t="str">
        <f t="shared" si="109"/>
        <v>73063080</v>
      </c>
      <c r="G455" s="525" t="str">
        <f t="shared" si="109"/>
        <v>n.a.</v>
      </c>
      <c r="H455" s="525" t="str">
        <f t="shared" si="109"/>
        <v>n.a.</v>
      </c>
      <c r="I455" s="525" t="str">
        <f t="shared" si="109"/>
        <v>n.a.</v>
      </c>
      <c r="J455" s="525" t="str">
        <f t="shared" si="109"/>
        <v>n.a.</v>
      </c>
      <c r="K455" s="525" t="str">
        <f t="shared" si="109"/>
        <v>n.a.</v>
      </c>
      <c r="L455" s="525" t="str">
        <f t="shared" si="110"/>
        <v>n.a.</v>
      </c>
      <c r="M455" s="525" t="str">
        <f t="shared" si="110"/>
        <v>n.a.</v>
      </c>
      <c r="N455" s="525" t="str">
        <f t="shared" si="110"/>
        <v>n.a.</v>
      </c>
      <c r="O455" s="525" t="str">
        <f t="shared" si="110"/>
        <v>n.a.</v>
      </c>
      <c r="P455" s="525" t="str">
        <f t="shared" si="110"/>
        <v>n.a.</v>
      </c>
      <c r="Q455" s="525" t="str">
        <f t="shared" si="110"/>
        <v>n.a.</v>
      </c>
      <c r="R455" s="525" t="str">
        <f t="shared" si="110"/>
        <v>n.a.</v>
      </c>
      <c r="S455" s="525" t="str">
        <f t="shared" si="110"/>
        <v>n.a.</v>
      </c>
    </row>
    <row r="456" spans="1:19" s="110" customFormat="1" x14ac:dyDescent="0.25">
      <c r="A456" s="785">
        <v>323</v>
      </c>
      <c r="B456" s="525" t="str">
        <f t="shared" si="109"/>
        <v>n.a.</v>
      </c>
      <c r="C456" s="525" t="str">
        <f t="shared" si="109"/>
        <v>n.a.</v>
      </c>
      <c r="D456" s="525" t="str">
        <f t="shared" si="109"/>
        <v>n.a.</v>
      </c>
      <c r="E456" s="525" t="str">
        <f t="shared" si="109"/>
        <v>n.a.</v>
      </c>
      <c r="F456" s="525" t="str">
        <f t="shared" si="109"/>
        <v>73064020</v>
      </c>
      <c r="G456" s="525" t="str">
        <f t="shared" si="109"/>
        <v>n.a.</v>
      </c>
      <c r="H456" s="525" t="str">
        <f t="shared" si="109"/>
        <v>n.a.</v>
      </c>
      <c r="I456" s="525" t="str">
        <f t="shared" si="109"/>
        <v>n.a.</v>
      </c>
      <c r="J456" s="525" t="str">
        <f t="shared" si="109"/>
        <v>n.a.</v>
      </c>
      <c r="K456" s="525" t="str">
        <f t="shared" si="109"/>
        <v>n.a.</v>
      </c>
      <c r="L456" s="525" t="str">
        <f t="shared" si="110"/>
        <v>n.a.</v>
      </c>
      <c r="M456" s="525" t="str">
        <f t="shared" si="110"/>
        <v>n.a.</v>
      </c>
      <c r="N456" s="525" t="str">
        <f t="shared" si="110"/>
        <v>n.a.</v>
      </c>
      <c r="O456" s="525" t="str">
        <f t="shared" si="110"/>
        <v>n.a.</v>
      </c>
      <c r="P456" s="525" t="str">
        <f t="shared" si="110"/>
        <v>n.a.</v>
      </c>
      <c r="Q456" s="525" t="str">
        <f t="shared" si="110"/>
        <v>n.a.</v>
      </c>
      <c r="R456" s="525" t="str">
        <f t="shared" si="110"/>
        <v>n.a.</v>
      </c>
      <c r="S456" s="525" t="str">
        <f t="shared" si="110"/>
        <v>n.a.</v>
      </c>
    </row>
    <row r="457" spans="1:19" s="110" customFormat="1" x14ac:dyDescent="0.25">
      <c r="A457" s="785">
        <v>324</v>
      </c>
      <c r="B457" s="525" t="str">
        <f t="shared" si="109"/>
        <v>n.a.</v>
      </c>
      <c r="C457" s="525" t="str">
        <f t="shared" si="109"/>
        <v>n.a.</v>
      </c>
      <c r="D457" s="525" t="str">
        <f t="shared" si="109"/>
        <v>n.a.</v>
      </c>
      <c r="E457" s="525" t="str">
        <f t="shared" si="109"/>
        <v>n.a.</v>
      </c>
      <c r="F457" s="525" t="str">
        <f t="shared" si="109"/>
        <v>73064080</v>
      </c>
      <c r="G457" s="525" t="str">
        <f t="shared" si="109"/>
        <v>n.a.</v>
      </c>
      <c r="H457" s="525" t="str">
        <f t="shared" si="109"/>
        <v>n.a.</v>
      </c>
      <c r="I457" s="525" t="str">
        <f t="shared" si="109"/>
        <v>n.a.</v>
      </c>
      <c r="J457" s="525" t="str">
        <f t="shared" si="109"/>
        <v>n.a.</v>
      </c>
      <c r="K457" s="525" t="str">
        <f t="shared" si="109"/>
        <v>n.a.</v>
      </c>
      <c r="L457" s="525" t="str">
        <f t="shared" si="110"/>
        <v>n.a.</v>
      </c>
      <c r="M457" s="525" t="str">
        <f t="shared" si="110"/>
        <v>n.a.</v>
      </c>
      <c r="N457" s="525" t="str">
        <f t="shared" si="110"/>
        <v>n.a.</v>
      </c>
      <c r="O457" s="525" t="str">
        <f t="shared" si="110"/>
        <v>n.a.</v>
      </c>
      <c r="P457" s="525" t="str">
        <f t="shared" si="110"/>
        <v>n.a.</v>
      </c>
      <c r="Q457" s="525" t="str">
        <f t="shared" si="110"/>
        <v>n.a.</v>
      </c>
      <c r="R457" s="525" t="str">
        <f t="shared" si="110"/>
        <v>n.a.</v>
      </c>
      <c r="S457" s="525" t="str">
        <f t="shared" si="110"/>
        <v>n.a.</v>
      </c>
    </row>
    <row r="458" spans="1:19" s="110" customFormat="1" x14ac:dyDescent="0.25">
      <c r="A458" s="785">
        <v>325</v>
      </c>
      <c r="B458" s="525" t="str">
        <f t="shared" si="109"/>
        <v>n.a.</v>
      </c>
      <c r="C458" s="525" t="str">
        <f t="shared" si="109"/>
        <v>n.a.</v>
      </c>
      <c r="D458" s="525" t="str">
        <f t="shared" si="109"/>
        <v>n.a.</v>
      </c>
      <c r="E458" s="525" t="str">
        <f t="shared" si="109"/>
        <v>n.a.</v>
      </c>
      <c r="F458" s="525" t="str">
        <f t="shared" si="109"/>
        <v>73065021</v>
      </c>
      <c r="G458" s="525" t="str">
        <f t="shared" si="109"/>
        <v>n.a.</v>
      </c>
      <c r="H458" s="525" t="str">
        <f t="shared" si="109"/>
        <v>n.a.</v>
      </c>
      <c r="I458" s="525" t="str">
        <f t="shared" si="109"/>
        <v>n.a.</v>
      </c>
      <c r="J458" s="525" t="str">
        <f t="shared" si="109"/>
        <v>n.a.</v>
      </c>
      <c r="K458" s="525" t="str">
        <f t="shared" si="109"/>
        <v>n.a.</v>
      </c>
      <c r="L458" s="525" t="str">
        <f t="shared" si="110"/>
        <v>n.a.</v>
      </c>
      <c r="M458" s="525" t="str">
        <f t="shared" si="110"/>
        <v>n.a.</v>
      </c>
      <c r="N458" s="525" t="str">
        <f t="shared" si="110"/>
        <v>n.a.</v>
      </c>
      <c r="O458" s="525" t="str">
        <f t="shared" si="110"/>
        <v>n.a.</v>
      </c>
      <c r="P458" s="525" t="str">
        <f t="shared" si="110"/>
        <v>n.a.</v>
      </c>
      <c r="Q458" s="525" t="str">
        <f t="shared" si="110"/>
        <v>n.a.</v>
      </c>
      <c r="R458" s="525" t="str">
        <f t="shared" si="110"/>
        <v>n.a.</v>
      </c>
      <c r="S458" s="525" t="str">
        <f t="shared" si="110"/>
        <v>n.a.</v>
      </c>
    </row>
    <row r="459" spans="1:19" s="110" customFormat="1" x14ac:dyDescent="0.25">
      <c r="A459" s="785">
        <v>326</v>
      </c>
      <c r="B459" s="525" t="str">
        <f t="shared" si="109"/>
        <v>n.a.</v>
      </c>
      <c r="C459" s="525" t="str">
        <f t="shared" si="109"/>
        <v>n.a.</v>
      </c>
      <c r="D459" s="525" t="str">
        <f t="shared" si="109"/>
        <v>n.a.</v>
      </c>
      <c r="E459" s="525" t="str">
        <f t="shared" si="109"/>
        <v>n.a.</v>
      </c>
      <c r="F459" s="525" t="str">
        <f t="shared" si="109"/>
        <v>73065029</v>
      </c>
      <c r="G459" s="525" t="str">
        <f t="shared" si="109"/>
        <v>n.a.</v>
      </c>
      <c r="H459" s="525" t="str">
        <f t="shared" si="109"/>
        <v>n.a.</v>
      </c>
      <c r="I459" s="525" t="str">
        <f t="shared" si="109"/>
        <v>n.a.</v>
      </c>
      <c r="J459" s="525" t="str">
        <f t="shared" si="109"/>
        <v>n.a.</v>
      </c>
      <c r="K459" s="525" t="str">
        <f t="shared" si="109"/>
        <v>n.a.</v>
      </c>
      <c r="L459" s="525" t="str">
        <f t="shared" si="110"/>
        <v>n.a.</v>
      </c>
      <c r="M459" s="525" t="str">
        <f t="shared" si="110"/>
        <v>n.a.</v>
      </c>
      <c r="N459" s="525" t="str">
        <f t="shared" si="110"/>
        <v>n.a.</v>
      </c>
      <c r="O459" s="525" t="str">
        <f t="shared" si="110"/>
        <v>n.a.</v>
      </c>
      <c r="P459" s="525" t="str">
        <f t="shared" si="110"/>
        <v>n.a.</v>
      </c>
      <c r="Q459" s="525" t="str">
        <f t="shared" si="110"/>
        <v>n.a.</v>
      </c>
      <c r="R459" s="525" t="str">
        <f t="shared" si="110"/>
        <v>n.a.</v>
      </c>
      <c r="S459" s="525" t="str">
        <f t="shared" si="110"/>
        <v>n.a.</v>
      </c>
    </row>
    <row r="460" spans="1:19" s="110" customFormat="1" x14ac:dyDescent="0.25">
      <c r="A460" s="785">
        <v>327</v>
      </c>
      <c r="B460" s="525" t="str">
        <f t="shared" si="109"/>
        <v>n.a.</v>
      </c>
      <c r="C460" s="525" t="str">
        <f t="shared" si="109"/>
        <v>n.a.</v>
      </c>
      <c r="D460" s="525" t="str">
        <f t="shared" si="109"/>
        <v>n.a.</v>
      </c>
      <c r="E460" s="525" t="str">
        <f t="shared" si="109"/>
        <v>n.a.</v>
      </c>
      <c r="F460" s="525" t="str">
        <f t="shared" si="109"/>
        <v>73065080</v>
      </c>
      <c r="G460" s="525" t="str">
        <f t="shared" si="109"/>
        <v>n.a.</v>
      </c>
      <c r="H460" s="525" t="str">
        <f t="shared" si="109"/>
        <v>n.a.</v>
      </c>
      <c r="I460" s="525" t="str">
        <f t="shared" si="109"/>
        <v>n.a.</v>
      </c>
      <c r="J460" s="525" t="str">
        <f t="shared" si="109"/>
        <v>n.a.</v>
      </c>
      <c r="K460" s="525" t="str">
        <f t="shared" si="109"/>
        <v>n.a.</v>
      </c>
      <c r="L460" s="525" t="str">
        <f t="shared" si="110"/>
        <v>n.a.</v>
      </c>
      <c r="M460" s="525" t="str">
        <f t="shared" si="110"/>
        <v>n.a.</v>
      </c>
      <c r="N460" s="525" t="str">
        <f t="shared" si="110"/>
        <v>n.a.</v>
      </c>
      <c r="O460" s="525" t="str">
        <f t="shared" si="110"/>
        <v>n.a.</v>
      </c>
      <c r="P460" s="525" t="str">
        <f t="shared" si="110"/>
        <v>n.a.</v>
      </c>
      <c r="Q460" s="525" t="str">
        <f t="shared" si="110"/>
        <v>n.a.</v>
      </c>
      <c r="R460" s="525" t="str">
        <f t="shared" si="110"/>
        <v>n.a.</v>
      </c>
      <c r="S460" s="525" t="str">
        <f t="shared" si="110"/>
        <v>n.a.</v>
      </c>
    </row>
    <row r="461" spans="1:19" s="110" customFormat="1" x14ac:dyDescent="0.25">
      <c r="A461" s="785">
        <v>328</v>
      </c>
      <c r="B461" s="525" t="str">
        <f t="shared" si="109"/>
        <v>n.a.</v>
      </c>
      <c r="C461" s="525" t="str">
        <f t="shared" si="109"/>
        <v>n.a.</v>
      </c>
      <c r="D461" s="525" t="str">
        <f t="shared" si="109"/>
        <v>n.a.</v>
      </c>
      <c r="E461" s="525" t="str">
        <f t="shared" si="109"/>
        <v>n.a.</v>
      </c>
      <c r="F461" s="525" t="str">
        <f t="shared" si="109"/>
        <v>73066110</v>
      </c>
      <c r="G461" s="525" t="str">
        <f t="shared" si="109"/>
        <v>n.a.</v>
      </c>
      <c r="H461" s="525" t="str">
        <f t="shared" si="109"/>
        <v>n.a.</v>
      </c>
      <c r="I461" s="525" t="str">
        <f t="shared" si="109"/>
        <v>n.a.</v>
      </c>
      <c r="J461" s="525" t="str">
        <f t="shared" si="109"/>
        <v>n.a.</v>
      </c>
      <c r="K461" s="525" t="str">
        <f t="shared" si="109"/>
        <v>n.a.</v>
      </c>
      <c r="L461" s="525" t="str">
        <f t="shared" si="110"/>
        <v>n.a.</v>
      </c>
      <c r="M461" s="525" t="str">
        <f t="shared" si="110"/>
        <v>n.a.</v>
      </c>
      <c r="N461" s="525" t="str">
        <f t="shared" si="110"/>
        <v>n.a.</v>
      </c>
      <c r="O461" s="525" t="str">
        <f t="shared" si="110"/>
        <v>n.a.</v>
      </c>
      <c r="P461" s="525" t="str">
        <f t="shared" si="110"/>
        <v>n.a.</v>
      </c>
      <c r="Q461" s="525" t="str">
        <f t="shared" si="110"/>
        <v>n.a.</v>
      </c>
      <c r="R461" s="525" t="str">
        <f t="shared" si="110"/>
        <v>n.a.</v>
      </c>
      <c r="S461" s="525" t="str">
        <f t="shared" si="110"/>
        <v>n.a.</v>
      </c>
    </row>
    <row r="462" spans="1:19" s="110" customFormat="1" x14ac:dyDescent="0.25">
      <c r="A462" s="785">
        <v>329</v>
      </c>
      <c r="B462" s="525" t="str">
        <f t="shared" si="109"/>
        <v>n.a.</v>
      </c>
      <c r="C462" s="525" t="str">
        <f t="shared" si="109"/>
        <v>n.a.</v>
      </c>
      <c r="D462" s="525" t="str">
        <f t="shared" si="109"/>
        <v>n.a.</v>
      </c>
      <c r="E462" s="525" t="str">
        <f t="shared" si="109"/>
        <v>n.a.</v>
      </c>
      <c r="F462" s="525" t="str">
        <f t="shared" si="109"/>
        <v>73066192</v>
      </c>
      <c r="G462" s="525" t="str">
        <f t="shared" si="109"/>
        <v>n.a.</v>
      </c>
      <c r="H462" s="525" t="str">
        <f t="shared" si="109"/>
        <v>n.a.</v>
      </c>
      <c r="I462" s="525" t="str">
        <f t="shared" si="109"/>
        <v>n.a.</v>
      </c>
      <c r="J462" s="525" t="str">
        <f t="shared" si="109"/>
        <v>n.a.</v>
      </c>
      <c r="K462" s="525" t="str">
        <f t="shared" si="109"/>
        <v>n.a.</v>
      </c>
      <c r="L462" s="525" t="str">
        <f t="shared" si="110"/>
        <v>n.a.</v>
      </c>
      <c r="M462" s="525" t="str">
        <f t="shared" si="110"/>
        <v>n.a.</v>
      </c>
      <c r="N462" s="525" t="str">
        <f t="shared" si="110"/>
        <v>n.a.</v>
      </c>
      <c r="O462" s="525" t="str">
        <f t="shared" si="110"/>
        <v>n.a.</v>
      </c>
      <c r="P462" s="525" t="str">
        <f t="shared" si="110"/>
        <v>n.a.</v>
      </c>
      <c r="Q462" s="525" t="str">
        <f t="shared" si="110"/>
        <v>n.a.</v>
      </c>
      <c r="R462" s="525" t="str">
        <f t="shared" si="110"/>
        <v>n.a.</v>
      </c>
      <c r="S462" s="525" t="str">
        <f t="shared" si="110"/>
        <v>n.a.</v>
      </c>
    </row>
    <row r="463" spans="1:19" s="110" customFormat="1" x14ac:dyDescent="0.25">
      <c r="A463" s="785">
        <v>330</v>
      </c>
      <c r="B463" s="525" t="str">
        <f t="shared" si="109"/>
        <v>n.a.</v>
      </c>
      <c r="C463" s="525" t="str">
        <f t="shared" si="109"/>
        <v>n.a.</v>
      </c>
      <c r="D463" s="525" t="str">
        <f t="shared" si="109"/>
        <v>n.a.</v>
      </c>
      <c r="E463" s="525" t="str">
        <f t="shared" si="109"/>
        <v>n.a.</v>
      </c>
      <c r="F463" s="525" t="str">
        <f t="shared" si="109"/>
        <v>73066199</v>
      </c>
      <c r="G463" s="525" t="str">
        <f t="shared" si="109"/>
        <v>n.a.</v>
      </c>
      <c r="H463" s="525" t="str">
        <f t="shared" si="109"/>
        <v>n.a.</v>
      </c>
      <c r="I463" s="525" t="str">
        <f t="shared" si="109"/>
        <v>n.a.</v>
      </c>
      <c r="J463" s="525" t="str">
        <f t="shared" si="109"/>
        <v>n.a.</v>
      </c>
      <c r="K463" s="525" t="str">
        <f t="shared" si="109"/>
        <v>n.a.</v>
      </c>
      <c r="L463" s="525" t="str">
        <f t="shared" si="110"/>
        <v>n.a.</v>
      </c>
      <c r="M463" s="525" t="str">
        <f t="shared" si="110"/>
        <v>n.a.</v>
      </c>
      <c r="N463" s="525" t="str">
        <f t="shared" si="110"/>
        <v>n.a.</v>
      </c>
      <c r="O463" s="525" t="str">
        <f t="shared" si="110"/>
        <v>n.a.</v>
      </c>
      <c r="P463" s="525" t="str">
        <f t="shared" si="110"/>
        <v>n.a.</v>
      </c>
      <c r="Q463" s="525" t="str">
        <f t="shared" si="110"/>
        <v>n.a.</v>
      </c>
      <c r="R463" s="525" t="str">
        <f t="shared" si="110"/>
        <v>n.a.</v>
      </c>
      <c r="S463" s="525" t="str">
        <f t="shared" si="110"/>
        <v>n.a.</v>
      </c>
    </row>
    <row r="464" spans="1:19" s="110" customFormat="1" x14ac:dyDescent="0.25">
      <c r="A464" s="785">
        <v>331</v>
      </c>
      <c r="B464" s="525" t="str">
        <f t="shared" ref="B464:K473" si="111">IFERROR(INDEX(CNCodes_ListKey,MATCH($A464&amp;"_"&amp;B$132,CNCodes_ListNumbering,0)),CONST_NA)</f>
        <v>n.a.</v>
      </c>
      <c r="C464" s="525" t="str">
        <f t="shared" si="111"/>
        <v>n.a.</v>
      </c>
      <c r="D464" s="525" t="str">
        <f t="shared" si="111"/>
        <v>n.a.</v>
      </c>
      <c r="E464" s="525" t="str">
        <f t="shared" si="111"/>
        <v>n.a.</v>
      </c>
      <c r="F464" s="525" t="str">
        <f t="shared" si="111"/>
        <v>73066910</v>
      </c>
      <c r="G464" s="525" t="str">
        <f t="shared" si="111"/>
        <v>n.a.</v>
      </c>
      <c r="H464" s="525" t="str">
        <f t="shared" si="111"/>
        <v>n.a.</v>
      </c>
      <c r="I464" s="525" t="str">
        <f t="shared" si="111"/>
        <v>n.a.</v>
      </c>
      <c r="J464" s="525" t="str">
        <f t="shared" si="111"/>
        <v>n.a.</v>
      </c>
      <c r="K464" s="525" t="str">
        <f t="shared" si="111"/>
        <v>n.a.</v>
      </c>
      <c r="L464" s="525" t="str">
        <f t="shared" ref="L464:S473" si="112">IFERROR(INDEX(CNCodes_ListKey,MATCH($A464&amp;"_"&amp;L$132,CNCodes_ListNumbering,0)),CONST_NA)</f>
        <v>n.a.</v>
      </c>
      <c r="M464" s="525" t="str">
        <f t="shared" si="112"/>
        <v>n.a.</v>
      </c>
      <c r="N464" s="525" t="str">
        <f t="shared" si="112"/>
        <v>n.a.</v>
      </c>
      <c r="O464" s="525" t="str">
        <f t="shared" si="112"/>
        <v>n.a.</v>
      </c>
      <c r="P464" s="525" t="str">
        <f t="shared" si="112"/>
        <v>n.a.</v>
      </c>
      <c r="Q464" s="525" t="str">
        <f t="shared" si="112"/>
        <v>n.a.</v>
      </c>
      <c r="R464" s="525" t="str">
        <f t="shared" si="112"/>
        <v>n.a.</v>
      </c>
      <c r="S464" s="525" t="str">
        <f t="shared" si="112"/>
        <v>n.a.</v>
      </c>
    </row>
    <row r="465" spans="1:19" s="110" customFormat="1" x14ac:dyDescent="0.25">
      <c r="A465" s="785">
        <v>332</v>
      </c>
      <c r="B465" s="525" t="str">
        <f t="shared" si="111"/>
        <v>n.a.</v>
      </c>
      <c r="C465" s="525" t="str">
        <f t="shared" si="111"/>
        <v>n.a.</v>
      </c>
      <c r="D465" s="525" t="str">
        <f t="shared" si="111"/>
        <v>n.a.</v>
      </c>
      <c r="E465" s="525" t="str">
        <f t="shared" si="111"/>
        <v>n.a.</v>
      </c>
      <c r="F465" s="525" t="str">
        <f t="shared" si="111"/>
        <v>73066990</v>
      </c>
      <c r="G465" s="525" t="str">
        <f t="shared" si="111"/>
        <v>n.a.</v>
      </c>
      <c r="H465" s="525" t="str">
        <f t="shared" si="111"/>
        <v>n.a.</v>
      </c>
      <c r="I465" s="525" t="str">
        <f t="shared" si="111"/>
        <v>n.a.</v>
      </c>
      <c r="J465" s="525" t="str">
        <f t="shared" si="111"/>
        <v>n.a.</v>
      </c>
      <c r="K465" s="525" t="str">
        <f t="shared" si="111"/>
        <v>n.a.</v>
      </c>
      <c r="L465" s="525" t="str">
        <f t="shared" si="112"/>
        <v>n.a.</v>
      </c>
      <c r="M465" s="525" t="str">
        <f t="shared" si="112"/>
        <v>n.a.</v>
      </c>
      <c r="N465" s="525" t="str">
        <f t="shared" si="112"/>
        <v>n.a.</v>
      </c>
      <c r="O465" s="525" t="str">
        <f t="shared" si="112"/>
        <v>n.a.</v>
      </c>
      <c r="P465" s="525" t="str">
        <f t="shared" si="112"/>
        <v>n.a.</v>
      </c>
      <c r="Q465" s="525" t="str">
        <f t="shared" si="112"/>
        <v>n.a.</v>
      </c>
      <c r="R465" s="525" t="str">
        <f t="shared" si="112"/>
        <v>n.a.</v>
      </c>
      <c r="S465" s="525" t="str">
        <f t="shared" si="112"/>
        <v>n.a.</v>
      </c>
    </row>
    <row r="466" spans="1:19" s="110" customFormat="1" x14ac:dyDescent="0.25">
      <c r="A466" s="785">
        <v>333</v>
      </c>
      <c r="B466" s="525" t="str">
        <f t="shared" si="111"/>
        <v>n.a.</v>
      </c>
      <c r="C466" s="525" t="str">
        <f t="shared" si="111"/>
        <v>n.a.</v>
      </c>
      <c r="D466" s="525" t="str">
        <f t="shared" si="111"/>
        <v>n.a.</v>
      </c>
      <c r="E466" s="525" t="str">
        <f t="shared" si="111"/>
        <v>n.a.</v>
      </c>
      <c r="F466" s="525" t="str">
        <f t="shared" si="111"/>
        <v>73069000</v>
      </c>
      <c r="G466" s="525" t="str">
        <f t="shared" si="111"/>
        <v>n.a.</v>
      </c>
      <c r="H466" s="525" t="str">
        <f t="shared" si="111"/>
        <v>n.a.</v>
      </c>
      <c r="I466" s="525" t="str">
        <f t="shared" si="111"/>
        <v>n.a.</v>
      </c>
      <c r="J466" s="525" t="str">
        <f t="shared" si="111"/>
        <v>n.a.</v>
      </c>
      <c r="K466" s="525" t="str">
        <f t="shared" si="111"/>
        <v>n.a.</v>
      </c>
      <c r="L466" s="525" t="str">
        <f t="shared" si="112"/>
        <v>n.a.</v>
      </c>
      <c r="M466" s="525" t="str">
        <f t="shared" si="112"/>
        <v>n.a.</v>
      </c>
      <c r="N466" s="525" t="str">
        <f t="shared" si="112"/>
        <v>n.a.</v>
      </c>
      <c r="O466" s="525" t="str">
        <f t="shared" si="112"/>
        <v>n.a.</v>
      </c>
      <c r="P466" s="525" t="str">
        <f t="shared" si="112"/>
        <v>n.a.</v>
      </c>
      <c r="Q466" s="525" t="str">
        <f t="shared" si="112"/>
        <v>n.a.</v>
      </c>
      <c r="R466" s="525" t="str">
        <f t="shared" si="112"/>
        <v>n.a.</v>
      </c>
      <c r="S466" s="525" t="str">
        <f t="shared" si="112"/>
        <v>n.a.</v>
      </c>
    </row>
    <row r="467" spans="1:19" s="110" customFormat="1" x14ac:dyDescent="0.25">
      <c r="A467" s="785">
        <v>334</v>
      </c>
      <c r="B467" s="525" t="str">
        <f t="shared" si="111"/>
        <v>n.a.</v>
      </c>
      <c r="C467" s="525" t="str">
        <f t="shared" si="111"/>
        <v>n.a.</v>
      </c>
      <c r="D467" s="525" t="str">
        <f t="shared" si="111"/>
        <v>n.a.</v>
      </c>
      <c r="E467" s="525" t="str">
        <f t="shared" si="111"/>
        <v>n.a.</v>
      </c>
      <c r="F467" s="525" t="str">
        <f t="shared" si="111"/>
        <v>73071110</v>
      </c>
      <c r="G467" s="525" t="str">
        <f t="shared" si="111"/>
        <v>n.a.</v>
      </c>
      <c r="H467" s="525" t="str">
        <f t="shared" si="111"/>
        <v>n.a.</v>
      </c>
      <c r="I467" s="525" t="str">
        <f t="shared" si="111"/>
        <v>n.a.</v>
      </c>
      <c r="J467" s="525" t="str">
        <f t="shared" si="111"/>
        <v>n.a.</v>
      </c>
      <c r="K467" s="525" t="str">
        <f t="shared" si="111"/>
        <v>n.a.</v>
      </c>
      <c r="L467" s="525" t="str">
        <f t="shared" si="112"/>
        <v>n.a.</v>
      </c>
      <c r="M467" s="525" t="str">
        <f t="shared" si="112"/>
        <v>n.a.</v>
      </c>
      <c r="N467" s="525" t="str">
        <f t="shared" si="112"/>
        <v>n.a.</v>
      </c>
      <c r="O467" s="525" t="str">
        <f t="shared" si="112"/>
        <v>n.a.</v>
      </c>
      <c r="P467" s="525" t="str">
        <f t="shared" si="112"/>
        <v>n.a.</v>
      </c>
      <c r="Q467" s="525" t="str">
        <f t="shared" si="112"/>
        <v>n.a.</v>
      </c>
      <c r="R467" s="525" t="str">
        <f t="shared" si="112"/>
        <v>n.a.</v>
      </c>
      <c r="S467" s="525" t="str">
        <f t="shared" si="112"/>
        <v>n.a.</v>
      </c>
    </row>
    <row r="468" spans="1:19" s="110" customFormat="1" x14ac:dyDescent="0.25">
      <c r="A468" s="785">
        <v>335</v>
      </c>
      <c r="B468" s="525" t="str">
        <f t="shared" si="111"/>
        <v>n.a.</v>
      </c>
      <c r="C468" s="525" t="str">
        <f t="shared" si="111"/>
        <v>n.a.</v>
      </c>
      <c r="D468" s="525" t="str">
        <f t="shared" si="111"/>
        <v>n.a.</v>
      </c>
      <c r="E468" s="525" t="str">
        <f t="shared" si="111"/>
        <v>n.a.</v>
      </c>
      <c r="F468" s="525" t="str">
        <f t="shared" si="111"/>
        <v>73071190</v>
      </c>
      <c r="G468" s="525" t="str">
        <f t="shared" si="111"/>
        <v>n.a.</v>
      </c>
      <c r="H468" s="525" t="str">
        <f t="shared" si="111"/>
        <v>n.a.</v>
      </c>
      <c r="I468" s="525" t="str">
        <f t="shared" si="111"/>
        <v>n.a.</v>
      </c>
      <c r="J468" s="525" t="str">
        <f t="shared" si="111"/>
        <v>n.a.</v>
      </c>
      <c r="K468" s="525" t="str">
        <f t="shared" si="111"/>
        <v>n.a.</v>
      </c>
      <c r="L468" s="525" t="str">
        <f t="shared" si="112"/>
        <v>n.a.</v>
      </c>
      <c r="M468" s="525" t="str">
        <f t="shared" si="112"/>
        <v>n.a.</v>
      </c>
      <c r="N468" s="525" t="str">
        <f t="shared" si="112"/>
        <v>n.a.</v>
      </c>
      <c r="O468" s="525" t="str">
        <f t="shared" si="112"/>
        <v>n.a.</v>
      </c>
      <c r="P468" s="525" t="str">
        <f t="shared" si="112"/>
        <v>n.a.</v>
      </c>
      <c r="Q468" s="525" t="str">
        <f t="shared" si="112"/>
        <v>n.a.</v>
      </c>
      <c r="R468" s="525" t="str">
        <f t="shared" si="112"/>
        <v>n.a.</v>
      </c>
      <c r="S468" s="525" t="str">
        <f t="shared" si="112"/>
        <v>n.a.</v>
      </c>
    </row>
    <row r="469" spans="1:19" s="110" customFormat="1" x14ac:dyDescent="0.25">
      <c r="A469" s="785">
        <v>336</v>
      </c>
      <c r="B469" s="525" t="str">
        <f t="shared" si="111"/>
        <v>n.a.</v>
      </c>
      <c r="C469" s="525" t="str">
        <f t="shared" si="111"/>
        <v>n.a.</v>
      </c>
      <c r="D469" s="525" t="str">
        <f t="shared" si="111"/>
        <v>n.a.</v>
      </c>
      <c r="E469" s="525" t="str">
        <f t="shared" si="111"/>
        <v>n.a.</v>
      </c>
      <c r="F469" s="525" t="str">
        <f t="shared" si="111"/>
        <v>73071910</v>
      </c>
      <c r="G469" s="525" t="str">
        <f t="shared" si="111"/>
        <v>n.a.</v>
      </c>
      <c r="H469" s="525" t="str">
        <f t="shared" si="111"/>
        <v>n.a.</v>
      </c>
      <c r="I469" s="525" t="str">
        <f t="shared" si="111"/>
        <v>n.a.</v>
      </c>
      <c r="J469" s="525" t="str">
        <f t="shared" si="111"/>
        <v>n.a.</v>
      </c>
      <c r="K469" s="525" t="str">
        <f t="shared" si="111"/>
        <v>n.a.</v>
      </c>
      <c r="L469" s="525" t="str">
        <f t="shared" si="112"/>
        <v>n.a.</v>
      </c>
      <c r="M469" s="525" t="str">
        <f t="shared" si="112"/>
        <v>n.a.</v>
      </c>
      <c r="N469" s="525" t="str">
        <f t="shared" si="112"/>
        <v>n.a.</v>
      </c>
      <c r="O469" s="525" t="str">
        <f t="shared" si="112"/>
        <v>n.a.</v>
      </c>
      <c r="P469" s="525" t="str">
        <f t="shared" si="112"/>
        <v>n.a.</v>
      </c>
      <c r="Q469" s="525" t="str">
        <f t="shared" si="112"/>
        <v>n.a.</v>
      </c>
      <c r="R469" s="525" t="str">
        <f t="shared" si="112"/>
        <v>n.a.</v>
      </c>
      <c r="S469" s="525" t="str">
        <f t="shared" si="112"/>
        <v>n.a.</v>
      </c>
    </row>
    <row r="470" spans="1:19" s="110" customFormat="1" x14ac:dyDescent="0.25">
      <c r="A470" s="785">
        <v>337</v>
      </c>
      <c r="B470" s="525" t="str">
        <f t="shared" si="111"/>
        <v>n.a.</v>
      </c>
      <c r="C470" s="525" t="str">
        <f t="shared" si="111"/>
        <v>n.a.</v>
      </c>
      <c r="D470" s="525" t="str">
        <f t="shared" si="111"/>
        <v>n.a.</v>
      </c>
      <c r="E470" s="525" t="str">
        <f t="shared" si="111"/>
        <v>n.a.</v>
      </c>
      <c r="F470" s="525" t="str">
        <f t="shared" si="111"/>
        <v>73071990</v>
      </c>
      <c r="G470" s="525" t="str">
        <f t="shared" si="111"/>
        <v>n.a.</v>
      </c>
      <c r="H470" s="525" t="str">
        <f t="shared" si="111"/>
        <v>n.a.</v>
      </c>
      <c r="I470" s="525" t="str">
        <f t="shared" si="111"/>
        <v>n.a.</v>
      </c>
      <c r="J470" s="525" t="str">
        <f t="shared" si="111"/>
        <v>n.a.</v>
      </c>
      <c r="K470" s="525" t="str">
        <f t="shared" si="111"/>
        <v>n.a.</v>
      </c>
      <c r="L470" s="525" t="str">
        <f t="shared" si="112"/>
        <v>n.a.</v>
      </c>
      <c r="M470" s="525" t="str">
        <f t="shared" si="112"/>
        <v>n.a.</v>
      </c>
      <c r="N470" s="525" t="str">
        <f t="shared" si="112"/>
        <v>n.a.</v>
      </c>
      <c r="O470" s="525" t="str">
        <f t="shared" si="112"/>
        <v>n.a.</v>
      </c>
      <c r="P470" s="525" t="str">
        <f t="shared" si="112"/>
        <v>n.a.</v>
      </c>
      <c r="Q470" s="525" t="str">
        <f t="shared" si="112"/>
        <v>n.a.</v>
      </c>
      <c r="R470" s="525" t="str">
        <f t="shared" si="112"/>
        <v>n.a.</v>
      </c>
      <c r="S470" s="525" t="str">
        <f t="shared" si="112"/>
        <v>n.a.</v>
      </c>
    </row>
    <row r="471" spans="1:19" s="110" customFormat="1" x14ac:dyDescent="0.25">
      <c r="A471" s="785">
        <v>338</v>
      </c>
      <c r="B471" s="525" t="str">
        <f t="shared" si="111"/>
        <v>n.a.</v>
      </c>
      <c r="C471" s="525" t="str">
        <f t="shared" si="111"/>
        <v>n.a.</v>
      </c>
      <c r="D471" s="525" t="str">
        <f t="shared" si="111"/>
        <v>n.a.</v>
      </c>
      <c r="E471" s="525" t="str">
        <f t="shared" si="111"/>
        <v>n.a.</v>
      </c>
      <c r="F471" s="525" t="str">
        <f t="shared" si="111"/>
        <v>73072100</v>
      </c>
      <c r="G471" s="525" t="str">
        <f t="shared" si="111"/>
        <v>n.a.</v>
      </c>
      <c r="H471" s="525" t="str">
        <f t="shared" si="111"/>
        <v>n.a.</v>
      </c>
      <c r="I471" s="525" t="str">
        <f t="shared" si="111"/>
        <v>n.a.</v>
      </c>
      <c r="J471" s="525" t="str">
        <f t="shared" si="111"/>
        <v>n.a.</v>
      </c>
      <c r="K471" s="525" t="str">
        <f t="shared" si="111"/>
        <v>n.a.</v>
      </c>
      <c r="L471" s="525" t="str">
        <f t="shared" si="112"/>
        <v>n.a.</v>
      </c>
      <c r="M471" s="525" t="str">
        <f t="shared" si="112"/>
        <v>n.a.</v>
      </c>
      <c r="N471" s="525" t="str">
        <f t="shared" si="112"/>
        <v>n.a.</v>
      </c>
      <c r="O471" s="525" t="str">
        <f t="shared" si="112"/>
        <v>n.a.</v>
      </c>
      <c r="P471" s="525" t="str">
        <f t="shared" si="112"/>
        <v>n.a.</v>
      </c>
      <c r="Q471" s="525" t="str">
        <f t="shared" si="112"/>
        <v>n.a.</v>
      </c>
      <c r="R471" s="525" t="str">
        <f t="shared" si="112"/>
        <v>n.a.</v>
      </c>
      <c r="S471" s="525" t="str">
        <f t="shared" si="112"/>
        <v>n.a.</v>
      </c>
    </row>
    <row r="472" spans="1:19" s="110" customFormat="1" x14ac:dyDescent="0.25">
      <c r="A472" s="785">
        <v>339</v>
      </c>
      <c r="B472" s="525" t="str">
        <f t="shared" si="111"/>
        <v>n.a.</v>
      </c>
      <c r="C472" s="525" t="str">
        <f t="shared" si="111"/>
        <v>n.a.</v>
      </c>
      <c r="D472" s="525" t="str">
        <f t="shared" si="111"/>
        <v>n.a.</v>
      </c>
      <c r="E472" s="525" t="str">
        <f t="shared" si="111"/>
        <v>n.a.</v>
      </c>
      <c r="F472" s="525" t="str">
        <f t="shared" si="111"/>
        <v>73072210</v>
      </c>
      <c r="G472" s="525" t="str">
        <f t="shared" si="111"/>
        <v>n.a.</v>
      </c>
      <c r="H472" s="525" t="str">
        <f t="shared" si="111"/>
        <v>n.a.</v>
      </c>
      <c r="I472" s="525" t="str">
        <f t="shared" si="111"/>
        <v>n.a.</v>
      </c>
      <c r="J472" s="525" t="str">
        <f t="shared" si="111"/>
        <v>n.a.</v>
      </c>
      <c r="K472" s="525" t="str">
        <f t="shared" si="111"/>
        <v>n.a.</v>
      </c>
      <c r="L472" s="525" t="str">
        <f t="shared" si="112"/>
        <v>n.a.</v>
      </c>
      <c r="M472" s="525" t="str">
        <f t="shared" si="112"/>
        <v>n.a.</v>
      </c>
      <c r="N472" s="525" t="str">
        <f t="shared" si="112"/>
        <v>n.a.</v>
      </c>
      <c r="O472" s="525" t="str">
        <f t="shared" si="112"/>
        <v>n.a.</v>
      </c>
      <c r="P472" s="525" t="str">
        <f t="shared" si="112"/>
        <v>n.a.</v>
      </c>
      <c r="Q472" s="525" t="str">
        <f t="shared" si="112"/>
        <v>n.a.</v>
      </c>
      <c r="R472" s="525" t="str">
        <f t="shared" si="112"/>
        <v>n.a.</v>
      </c>
      <c r="S472" s="525" t="str">
        <f t="shared" si="112"/>
        <v>n.a.</v>
      </c>
    </row>
    <row r="473" spans="1:19" s="110" customFormat="1" x14ac:dyDescent="0.25">
      <c r="A473" s="785">
        <v>340</v>
      </c>
      <c r="B473" s="525" t="str">
        <f t="shared" si="111"/>
        <v>n.a.</v>
      </c>
      <c r="C473" s="525" t="str">
        <f t="shared" si="111"/>
        <v>n.a.</v>
      </c>
      <c r="D473" s="525" t="str">
        <f t="shared" si="111"/>
        <v>n.a.</v>
      </c>
      <c r="E473" s="525" t="str">
        <f t="shared" si="111"/>
        <v>n.a.</v>
      </c>
      <c r="F473" s="525" t="str">
        <f t="shared" si="111"/>
        <v>73072290</v>
      </c>
      <c r="G473" s="525" t="str">
        <f t="shared" si="111"/>
        <v>n.a.</v>
      </c>
      <c r="H473" s="525" t="str">
        <f t="shared" si="111"/>
        <v>n.a.</v>
      </c>
      <c r="I473" s="525" t="str">
        <f t="shared" si="111"/>
        <v>n.a.</v>
      </c>
      <c r="J473" s="525" t="str">
        <f t="shared" si="111"/>
        <v>n.a.</v>
      </c>
      <c r="K473" s="525" t="str">
        <f t="shared" si="111"/>
        <v>n.a.</v>
      </c>
      <c r="L473" s="525" t="str">
        <f t="shared" si="112"/>
        <v>n.a.</v>
      </c>
      <c r="M473" s="525" t="str">
        <f t="shared" si="112"/>
        <v>n.a.</v>
      </c>
      <c r="N473" s="525" t="str">
        <f t="shared" si="112"/>
        <v>n.a.</v>
      </c>
      <c r="O473" s="525" t="str">
        <f t="shared" si="112"/>
        <v>n.a.</v>
      </c>
      <c r="P473" s="525" t="str">
        <f t="shared" si="112"/>
        <v>n.a.</v>
      </c>
      <c r="Q473" s="525" t="str">
        <f t="shared" si="112"/>
        <v>n.a.</v>
      </c>
      <c r="R473" s="525" t="str">
        <f t="shared" si="112"/>
        <v>n.a.</v>
      </c>
      <c r="S473" s="525" t="str">
        <f t="shared" si="112"/>
        <v>n.a.</v>
      </c>
    </row>
    <row r="474" spans="1:19" s="110" customFormat="1" x14ac:dyDescent="0.25">
      <c r="A474" s="785">
        <v>341</v>
      </c>
      <c r="B474" s="525" t="str">
        <f t="shared" ref="B474:K483" si="113">IFERROR(INDEX(CNCodes_ListKey,MATCH($A474&amp;"_"&amp;B$132,CNCodes_ListNumbering,0)),CONST_NA)</f>
        <v>n.a.</v>
      </c>
      <c r="C474" s="525" t="str">
        <f t="shared" si="113"/>
        <v>n.a.</v>
      </c>
      <c r="D474" s="525" t="str">
        <f t="shared" si="113"/>
        <v>n.a.</v>
      </c>
      <c r="E474" s="525" t="str">
        <f t="shared" si="113"/>
        <v>n.a.</v>
      </c>
      <c r="F474" s="525" t="str">
        <f t="shared" si="113"/>
        <v>73072310</v>
      </c>
      <c r="G474" s="525" t="str">
        <f t="shared" si="113"/>
        <v>n.a.</v>
      </c>
      <c r="H474" s="525" t="str">
        <f t="shared" si="113"/>
        <v>n.a.</v>
      </c>
      <c r="I474" s="525" t="str">
        <f t="shared" si="113"/>
        <v>n.a.</v>
      </c>
      <c r="J474" s="525" t="str">
        <f t="shared" si="113"/>
        <v>n.a.</v>
      </c>
      <c r="K474" s="525" t="str">
        <f t="shared" si="113"/>
        <v>n.a.</v>
      </c>
      <c r="L474" s="525" t="str">
        <f t="shared" ref="L474:S483" si="114">IFERROR(INDEX(CNCodes_ListKey,MATCH($A474&amp;"_"&amp;L$132,CNCodes_ListNumbering,0)),CONST_NA)</f>
        <v>n.a.</v>
      </c>
      <c r="M474" s="525" t="str">
        <f t="shared" si="114"/>
        <v>n.a.</v>
      </c>
      <c r="N474" s="525" t="str">
        <f t="shared" si="114"/>
        <v>n.a.</v>
      </c>
      <c r="O474" s="525" t="str">
        <f t="shared" si="114"/>
        <v>n.a.</v>
      </c>
      <c r="P474" s="525" t="str">
        <f t="shared" si="114"/>
        <v>n.a.</v>
      </c>
      <c r="Q474" s="525" t="str">
        <f t="shared" si="114"/>
        <v>n.a.</v>
      </c>
      <c r="R474" s="525" t="str">
        <f t="shared" si="114"/>
        <v>n.a.</v>
      </c>
      <c r="S474" s="525" t="str">
        <f t="shared" si="114"/>
        <v>n.a.</v>
      </c>
    </row>
    <row r="475" spans="1:19" s="110" customFormat="1" x14ac:dyDescent="0.25">
      <c r="A475" s="785">
        <v>342</v>
      </c>
      <c r="B475" s="525" t="str">
        <f t="shared" si="113"/>
        <v>n.a.</v>
      </c>
      <c r="C475" s="525" t="str">
        <f t="shared" si="113"/>
        <v>n.a.</v>
      </c>
      <c r="D475" s="525" t="str">
        <f t="shared" si="113"/>
        <v>n.a.</v>
      </c>
      <c r="E475" s="525" t="str">
        <f t="shared" si="113"/>
        <v>n.a.</v>
      </c>
      <c r="F475" s="525" t="str">
        <f t="shared" si="113"/>
        <v>73072390</v>
      </c>
      <c r="G475" s="525" t="str">
        <f t="shared" si="113"/>
        <v>n.a.</v>
      </c>
      <c r="H475" s="525" t="str">
        <f t="shared" si="113"/>
        <v>n.a.</v>
      </c>
      <c r="I475" s="525" t="str">
        <f t="shared" si="113"/>
        <v>n.a.</v>
      </c>
      <c r="J475" s="525" t="str">
        <f t="shared" si="113"/>
        <v>n.a.</v>
      </c>
      <c r="K475" s="525" t="str">
        <f t="shared" si="113"/>
        <v>n.a.</v>
      </c>
      <c r="L475" s="525" t="str">
        <f t="shared" si="114"/>
        <v>n.a.</v>
      </c>
      <c r="M475" s="525" t="str">
        <f t="shared" si="114"/>
        <v>n.a.</v>
      </c>
      <c r="N475" s="525" t="str">
        <f t="shared" si="114"/>
        <v>n.a.</v>
      </c>
      <c r="O475" s="525" t="str">
        <f t="shared" si="114"/>
        <v>n.a.</v>
      </c>
      <c r="P475" s="525" t="str">
        <f t="shared" si="114"/>
        <v>n.a.</v>
      </c>
      <c r="Q475" s="525" t="str">
        <f t="shared" si="114"/>
        <v>n.a.</v>
      </c>
      <c r="R475" s="525" t="str">
        <f t="shared" si="114"/>
        <v>n.a.</v>
      </c>
      <c r="S475" s="525" t="str">
        <f t="shared" si="114"/>
        <v>n.a.</v>
      </c>
    </row>
    <row r="476" spans="1:19" s="110" customFormat="1" x14ac:dyDescent="0.25">
      <c r="A476" s="785">
        <v>343</v>
      </c>
      <c r="B476" s="525" t="str">
        <f t="shared" si="113"/>
        <v>n.a.</v>
      </c>
      <c r="C476" s="525" t="str">
        <f t="shared" si="113"/>
        <v>n.a.</v>
      </c>
      <c r="D476" s="525" t="str">
        <f t="shared" si="113"/>
        <v>n.a.</v>
      </c>
      <c r="E476" s="525" t="str">
        <f t="shared" si="113"/>
        <v>n.a.</v>
      </c>
      <c r="F476" s="525" t="str">
        <f t="shared" si="113"/>
        <v>73072910</v>
      </c>
      <c r="G476" s="525" t="str">
        <f t="shared" si="113"/>
        <v>n.a.</v>
      </c>
      <c r="H476" s="525" t="str">
        <f t="shared" si="113"/>
        <v>n.a.</v>
      </c>
      <c r="I476" s="525" t="str">
        <f t="shared" si="113"/>
        <v>n.a.</v>
      </c>
      <c r="J476" s="525" t="str">
        <f t="shared" si="113"/>
        <v>n.a.</v>
      </c>
      <c r="K476" s="525" t="str">
        <f t="shared" si="113"/>
        <v>n.a.</v>
      </c>
      <c r="L476" s="525" t="str">
        <f t="shared" si="114"/>
        <v>n.a.</v>
      </c>
      <c r="M476" s="525" t="str">
        <f t="shared" si="114"/>
        <v>n.a.</v>
      </c>
      <c r="N476" s="525" t="str">
        <f t="shared" si="114"/>
        <v>n.a.</v>
      </c>
      <c r="O476" s="525" t="str">
        <f t="shared" si="114"/>
        <v>n.a.</v>
      </c>
      <c r="P476" s="525" t="str">
        <f t="shared" si="114"/>
        <v>n.a.</v>
      </c>
      <c r="Q476" s="525" t="str">
        <f t="shared" si="114"/>
        <v>n.a.</v>
      </c>
      <c r="R476" s="525" t="str">
        <f t="shared" si="114"/>
        <v>n.a.</v>
      </c>
      <c r="S476" s="525" t="str">
        <f t="shared" si="114"/>
        <v>n.a.</v>
      </c>
    </row>
    <row r="477" spans="1:19" s="110" customFormat="1" x14ac:dyDescent="0.25">
      <c r="A477" s="785">
        <v>344</v>
      </c>
      <c r="B477" s="525" t="str">
        <f t="shared" si="113"/>
        <v>n.a.</v>
      </c>
      <c r="C477" s="525" t="str">
        <f t="shared" si="113"/>
        <v>n.a.</v>
      </c>
      <c r="D477" s="525" t="str">
        <f t="shared" si="113"/>
        <v>n.a.</v>
      </c>
      <c r="E477" s="525" t="str">
        <f t="shared" si="113"/>
        <v>n.a.</v>
      </c>
      <c r="F477" s="525" t="str">
        <f t="shared" si="113"/>
        <v>73072980</v>
      </c>
      <c r="G477" s="525" t="str">
        <f t="shared" si="113"/>
        <v>n.a.</v>
      </c>
      <c r="H477" s="525" t="str">
        <f t="shared" si="113"/>
        <v>n.a.</v>
      </c>
      <c r="I477" s="525" t="str">
        <f t="shared" si="113"/>
        <v>n.a.</v>
      </c>
      <c r="J477" s="525" t="str">
        <f t="shared" si="113"/>
        <v>n.a.</v>
      </c>
      <c r="K477" s="525" t="str">
        <f t="shared" si="113"/>
        <v>n.a.</v>
      </c>
      <c r="L477" s="525" t="str">
        <f t="shared" si="114"/>
        <v>n.a.</v>
      </c>
      <c r="M477" s="525" t="str">
        <f t="shared" si="114"/>
        <v>n.a.</v>
      </c>
      <c r="N477" s="525" t="str">
        <f t="shared" si="114"/>
        <v>n.a.</v>
      </c>
      <c r="O477" s="525" t="str">
        <f t="shared" si="114"/>
        <v>n.a.</v>
      </c>
      <c r="P477" s="525" t="str">
        <f t="shared" si="114"/>
        <v>n.a.</v>
      </c>
      <c r="Q477" s="525" t="str">
        <f t="shared" si="114"/>
        <v>n.a.</v>
      </c>
      <c r="R477" s="525" t="str">
        <f t="shared" si="114"/>
        <v>n.a.</v>
      </c>
      <c r="S477" s="525" t="str">
        <f t="shared" si="114"/>
        <v>n.a.</v>
      </c>
    </row>
    <row r="478" spans="1:19" s="110" customFormat="1" x14ac:dyDescent="0.25">
      <c r="A478" s="785">
        <v>345</v>
      </c>
      <c r="B478" s="525" t="str">
        <f t="shared" si="113"/>
        <v>n.a.</v>
      </c>
      <c r="C478" s="525" t="str">
        <f t="shared" si="113"/>
        <v>n.a.</v>
      </c>
      <c r="D478" s="525" t="str">
        <f t="shared" si="113"/>
        <v>n.a.</v>
      </c>
      <c r="E478" s="525" t="str">
        <f t="shared" si="113"/>
        <v>n.a.</v>
      </c>
      <c r="F478" s="525" t="str">
        <f t="shared" si="113"/>
        <v>73079100</v>
      </c>
      <c r="G478" s="525" t="str">
        <f t="shared" si="113"/>
        <v>n.a.</v>
      </c>
      <c r="H478" s="525" t="str">
        <f t="shared" si="113"/>
        <v>n.a.</v>
      </c>
      <c r="I478" s="525" t="str">
        <f t="shared" si="113"/>
        <v>n.a.</v>
      </c>
      <c r="J478" s="525" t="str">
        <f t="shared" si="113"/>
        <v>n.a.</v>
      </c>
      <c r="K478" s="525" t="str">
        <f t="shared" si="113"/>
        <v>n.a.</v>
      </c>
      <c r="L478" s="525" t="str">
        <f t="shared" si="114"/>
        <v>n.a.</v>
      </c>
      <c r="M478" s="525" t="str">
        <f t="shared" si="114"/>
        <v>n.a.</v>
      </c>
      <c r="N478" s="525" t="str">
        <f t="shared" si="114"/>
        <v>n.a.</v>
      </c>
      <c r="O478" s="525" t="str">
        <f t="shared" si="114"/>
        <v>n.a.</v>
      </c>
      <c r="P478" s="525" t="str">
        <f t="shared" si="114"/>
        <v>n.a.</v>
      </c>
      <c r="Q478" s="525" t="str">
        <f t="shared" si="114"/>
        <v>n.a.</v>
      </c>
      <c r="R478" s="525" t="str">
        <f t="shared" si="114"/>
        <v>n.a.</v>
      </c>
      <c r="S478" s="525" t="str">
        <f t="shared" si="114"/>
        <v>n.a.</v>
      </c>
    </row>
    <row r="479" spans="1:19" s="110" customFormat="1" x14ac:dyDescent="0.25">
      <c r="A479" s="785">
        <v>346</v>
      </c>
      <c r="B479" s="525" t="str">
        <f t="shared" si="113"/>
        <v>n.a.</v>
      </c>
      <c r="C479" s="525" t="str">
        <f t="shared" si="113"/>
        <v>n.a.</v>
      </c>
      <c r="D479" s="525" t="str">
        <f t="shared" si="113"/>
        <v>n.a.</v>
      </c>
      <c r="E479" s="525" t="str">
        <f t="shared" si="113"/>
        <v>n.a.</v>
      </c>
      <c r="F479" s="525" t="str">
        <f t="shared" si="113"/>
        <v>73079210</v>
      </c>
      <c r="G479" s="525" t="str">
        <f t="shared" si="113"/>
        <v>n.a.</v>
      </c>
      <c r="H479" s="525" t="str">
        <f t="shared" si="113"/>
        <v>n.a.</v>
      </c>
      <c r="I479" s="525" t="str">
        <f t="shared" si="113"/>
        <v>n.a.</v>
      </c>
      <c r="J479" s="525" t="str">
        <f t="shared" si="113"/>
        <v>n.a.</v>
      </c>
      <c r="K479" s="525" t="str">
        <f t="shared" si="113"/>
        <v>n.a.</v>
      </c>
      <c r="L479" s="525" t="str">
        <f t="shared" si="114"/>
        <v>n.a.</v>
      </c>
      <c r="M479" s="525" t="str">
        <f t="shared" si="114"/>
        <v>n.a.</v>
      </c>
      <c r="N479" s="525" t="str">
        <f t="shared" si="114"/>
        <v>n.a.</v>
      </c>
      <c r="O479" s="525" t="str">
        <f t="shared" si="114"/>
        <v>n.a.</v>
      </c>
      <c r="P479" s="525" t="str">
        <f t="shared" si="114"/>
        <v>n.a.</v>
      </c>
      <c r="Q479" s="525" t="str">
        <f t="shared" si="114"/>
        <v>n.a.</v>
      </c>
      <c r="R479" s="525" t="str">
        <f t="shared" si="114"/>
        <v>n.a.</v>
      </c>
      <c r="S479" s="525" t="str">
        <f t="shared" si="114"/>
        <v>n.a.</v>
      </c>
    </row>
    <row r="480" spans="1:19" s="110" customFormat="1" x14ac:dyDescent="0.25">
      <c r="A480" s="785">
        <v>347</v>
      </c>
      <c r="B480" s="525" t="str">
        <f t="shared" si="113"/>
        <v>n.a.</v>
      </c>
      <c r="C480" s="525" t="str">
        <f t="shared" si="113"/>
        <v>n.a.</v>
      </c>
      <c r="D480" s="525" t="str">
        <f t="shared" si="113"/>
        <v>n.a.</v>
      </c>
      <c r="E480" s="525" t="str">
        <f t="shared" si="113"/>
        <v>n.a.</v>
      </c>
      <c r="F480" s="525" t="str">
        <f t="shared" si="113"/>
        <v>73079290</v>
      </c>
      <c r="G480" s="525" t="str">
        <f t="shared" si="113"/>
        <v>n.a.</v>
      </c>
      <c r="H480" s="525" t="str">
        <f t="shared" si="113"/>
        <v>n.a.</v>
      </c>
      <c r="I480" s="525" t="str">
        <f t="shared" si="113"/>
        <v>n.a.</v>
      </c>
      <c r="J480" s="525" t="str">
        <f t="shared" si="113"/>
        <v>n.a.</v>
      </c>
      <c r="K480" s="525" t="str">
        <f t="shared" si="113"/>
        <v>n.a.</v>
      </c>
      <c r="L480" s="525" t="str">
        <f t="shared" si="114"/>
        <v>n.a.</v>
      </c>
      <c r="M480" s="525" t="str">
        <f t="shared" si="114"/>
        <v>n.a.</v>
      </c>
      <c r="N480" s="525" t="str">
        <f t="shared" si="114"/>
        <v>n.a.</v>
      </c>
      <c r="O480" s="525" t="str">
        <f t="shared" si="114"/>
        <v>n.a.</v>
      </c>
      <c r="P480" s="525" t="str">
        <f t="shared" si="114"/>
        <v>n.a.</v>
      </c>
      <c r="Q480" s="525" t="str">
        <f t="shared" si="114"/>
        <v>n.a.</v>
      </c>
      <c r="R480" s="525" t="str">
        <f t="shared" si="114"/>
        <v>n.a.</v>
      </c>
      <c r="S480" s="525" t="str">
        <f t="shared" si="114"/>
        <v>n.a.</v>
      </c>
    </row>
    <row r="481" spans="1:19" s="110" customFormat="1" x14ac:dyDescent="0.25">
      <c r="A481" s="785">
        <v>348</v>
      </c>
      <c r="B481" s="525" t="str">
        <f t="shared" si="113"/>
        <v>n.a.</v>
      </c>
      <c r="C481" s="525" t="str">
        <f t="shared" si="113"/>
        <v>n.a.</v>
      </c>
      <c r="D481" s="525" t="str">
        <f t="shared" si="113"/>
        <v>n.a.</v>
      </c>
      <c r="E481" s="525" t="str">
        <f t="shared" si="113"/>
        <v>n.a.</v>
      </c>
      <c r="F481" s="525" t="str">
        <f t="shared" si="113"/>
        <v>73079311</v>
      </c>
      <c r="G481" s="525" t="str">
        <f t="shared" si="113"/>
        <v>n.a.</v>
      </c>
      <c r="H481" s="525" t="str">
        <f t="shared" si="113"/>
        <v>n.a.</v>
      </c>
      <c r="I481" s="525" t="str">
        <f t="shared" si="113"/>
        <v>n.a.</v>
      </c>
      <c r="J481" s="525" t="str">
        <f t="shared" si="113"/>
        <v>n.a.</v>
      </c>
      <c r="K481" s="525" t="str">
        <f t="shared" si="113"/>
        <v>n.a.</v>
      </c>
      <c r="L481" s="525" t="str">
        <f t="shared" si="114"/>
        <v>n.a.</v>
      </c>
      <c r="M481" s="525" t="str">
        <f t="shared" si="114"/>
        <v>n.a.</v>
      </c>
      <c r="N481" s="525" t="str">
        <f t="shared" si="114"/>
        <v>n.a.</v>
      </c>
      <c r="O481" s="525" t="str">
        <f t="shared" si="114"/>
        <v>n.a.</v>
      </c>
      <c r="P481" s="525" t="str">
        <f t="shared" si="114"/>
        <v>n.a.</v>
      </c>
      <c r="Q481" s="525" t="str">
        <f t="shared" si="114"/>
        <v>n.a.</v>
      </c>
      <c r="R481" s="525" t="str">
        <f t="shared" si="114"/>
        <v>n.a.</v>
      </c>
      <c r="S481" s="525" t="str">
        <f t="shared" si="114"/>
        <v>n.a.</v>
      </c>
    </row>
    <row r="482" spans="1:19" s="110" customFormat="1" x14ac:dyDescent="0.25">
      <c r="A482" s="785">
        <v>349</v>
      </c>
      <c r="B482" s="525" t="str">
        <f t="shared" si="113"/>
        <v>n.a.</v>
      </c>
      <c r="C482" s="525" t="str">
        <f t="shared" si="113"/>
        <v>n.a.</v>
      </c>
      <c r="D482" s="525" t="str">
        <f t="shared" si="113"/>
        <v>n.a.</v>
      </c>
      <c r="E482" s="525" t="str">
        <f t="shared" si="113"/>
        <v>n.a.</v>
      </c>
      <c r="F482" s="525" t="str">
        <f t="shared" si="113"/>
        <v>73079319</v>
      </c>
      <c r="G482" s="525" t="str">
        <f t="shared" si="113"/>
        <v>n.a.</v>
      </c>
      <c r="H482" s="525" t="str">
        <f t="shared" si="113"/>
        <v>n.a.</v>
      </c>
      <c r="I482" s="525" t="str">
        <f t="shared" si="113"/>
        <v>n.a.</v>
      </c>
      <c r="J482" s="525" t="str">
        <f t="shared" si="113"/>
        <v>n.a.</v>
      </c>
      <c r="K482" s="525" t="str">
        <f t="shared" si="113"/>
        <v>n.a.</v>
      </c>
      <c r="L482" s="525" t="str">
        <f t="shared" si="114"/>
        <v>n.a.</v>
      </c>
      <c r="M482" s="525" t="str">
        <f t="shared" si="114"/>
        <v>n.a.</v>
      </c>
      <c r="N482" s="525" t="str">
        <f t="shared" si="114"/>
        <v>n.a.</v>
      </c>
      <c r="O482" s="525" t="str">
        <f t="shared" si="114"/>
        <v>n.a.</v>
      </c>
      <c r="P482" s="525" t="str">
        <f t="shared" si="114"/>
        <v>n.a.</v>
      </c>
      <c r="Q482" s="525" t="str">
        <f t="shared" si="114"/>
        <v>n.a.</v>
      </c>
      <c r="R482" s="525" t="str">
        <f t="shared" si="114"/>
        <v>n.a.</v>
      </c>
      <c r="S482" s="525" t="str">
        <f t="shared" si="114"/>
        <v>n.a.</v>
      </c>
    </row>
    <row r="483" spans="1:19" s="110" customFormat="1" x14ac:dyDescent="0.25">
      <c r="A483" s="785">
        <v>350</v>
      </c>
      <c r="B483" s="525" t="str">
        <f t="shared" si="113"/>
        <v>n.a.</v>
      </c>
      <c r="C483" s="525" t="str">
        <f t="shared" si="113"/>
        <v>n.a.</v>
      </c>
      <c r="D483" s="525" t="str">
        <f t="shared" si="113"/>
        <v>n.a.</v>
      </c>
      <c r="E483" s="525" t="str">
        <f t="shared" si="113"/>
        <v>n.a.</v>
      </c>
      <c r="F483" s="525" t="str">
        <f t="shared" si="113"/>
        <v>73079391</v>
      </c>
      <c r="G483" s="525" t="str">
        <f t="shared" si="113"/>
        <v>n.a.</v>
      </c>
      <c r="H483" s="525" t="str">
        <f t="shared" si="113"/>
        <v>n.a.</v>
      </c>
      <c r="I483" s="525" t="str">
        <f t="shared" si="113"/>
        <v>n.a.</v>
      </c>
      <c r="J483" s="525" t="str">
        <f t="shared" si="113"/>
        <v>n.a.</v>
      </c>
      <c r="K483" s="525" t="str">
        <f t="shared" si="113"/>
        <v>n.a.</v>
      </c>
      <c r="L483" s="525" t="str">
        <f t="shared" si="114"/>
        <v>n.a.</v>
      </c>
      <c r="M483" s="525" t="str">
        <f t="shared" si="114"/>
        <v>n.a.</v>
      </c>
      <c r="N483" s="525" t="str">
        <f t="shared" si="114"/>
        <v>n.a.</v>
      </c>
      <c r="O483" s="525" t="str">
        <f t="shared" si="114"/>
        <v>n.a.</v>
      </c>
      <c r="P483" s="525" t="str">
        <f t="shared" si="114"/>
        <v>n.a.</v>
      </c>
      <c r="Q483" s="525" t="str">
        <f t="shared" si="114"/>
        <v>n.a.</v>
      </c>
      <c r="R483" s="525" t="str">
        <f t="shared" si="114"/>
        <v>n.a.</v>
      </c>
      <c r="S483" s="525" t="str">
        <f t="shared" si="114"/>
        <v>n.a.</v>
      </c>
    </row>
    <row r="484" spans="1:19" s="110" customFormat="1" x14ac:dyDescent="0.25">
      <c r="A484" s="785">
        <v>351</v>
      </c>
      <c r="B484" s="525" t="str">
        <f t="shared" ref="B484:K493" si="115">IFERROR(INDEX(CNCodes_ListKey,MATCH($A484&amp;"_"&amp;B$132,CNCodes_ListNumbering,0)),CONST_NA)</f>
        <v>n.a.</v>
      </c>
      <c r="C484" s="525" t="str">
        <f t="shared" si="115"/>
        <v>n.a.</v>
      </c>
      <c r="D484" s="525" t="str">
        <f t="shared" si="115"/>
        <v>n.a.</v>
      </c>
      <c r="E484" s="525" t="str">
        <f t="shared" si="115"/>
        <v>n.a.</v>
      </c>
      <c r="F484" s="525" t="str">
        <f t="shared" si="115"/>
        <v>73079399</v>
      </c>
      <c r="G484" s="525" t="str">
        <f t="shared" si="115"/>
        <v>n.a.</v>
      </c>
      <c r="H484" s="525" t="str">
        <f t="shared" si="115"/>
        <v>n.a.</v>
      </c>
      <c r="I484" s="525" t="str">
        <f t="shared" si="115"/>
        <v>n.a.</v>
      </c>
      <c r="J484" s="525" t="str">
        <f t="shared" si="115"/>
        <v>n.a.</v>
      </c>
      <c r="K484" s="525" t="str">
        <f t="shared" si="115"/>
        <v>n.a.</v>
      </c>
      <c r="L484" s="525" t="str">
        <f t="shared" ref="L484:S493" si="116">IFERROR(INDEX(CNCodes_ListKey,MATCH($A484&amp;"_"&amp;L$132,CNCodes_ListNumbering,0)),CONST_NA)</f>
        <v>n.a.</v>
      </c>
      <c r="M484" s="525" t="str">
        <f t="shared" si="116"/>
        <v>n.a.</v>
      </c>
      <c r="N484" s="525" t="str">
        <f t="shared" si="116"/>
        <v>n.a.</v>
      </c>
      <c r="O484" s="525" t="str">
        <f t="shared" si="116"/>
        <v>n.a.</v>
      </c>
      <c r="P484" s="525" t="str">
        <f t="shared" si="116"/>
        <v>n.a.</v>
      </c>
      <c r="Q484" s="525" t="str">
        <f t="shared" si="116"/>
        <v>n.a.</v>
      </c>
      <c r="R484" s="525" t="str">
        <f t="shared" si="116"/>
        <v>n.a.</v>
      </c>
      <c r="S484" s="525" t="str">
        <f t="shared" si="116"/>
        <v>n.a.</v>
      </c>
    </row>
    <row r="485" spans="1:19" s="110" customFormat="1" x14ac:dyDescent="0.25">
      <c r="A485" s="785">
        <v>352</v>
      </c>
      <c r="B485" s="525" t="str">
        <f t="shared" si="115"/>
        <v>n.a.</v>
      </c>
      <c r="C485" s="525" t="str">
        <f t="shared" si="115"/>
        <v>n.a.</v>
      </c>
      <c r="D485" s="525" t="str">
        <f t="shared" si="115"/>
        <v>n.a.</v>
      </c>
      <c r="E485" s="525" t="str">
        <f t="shared" si="115"/>
        <v>n.a.</v>
      </c>
      <c r="F485" s="525" t="str">
        <f t="shared" si="115"/>
        <v>73079910</v>
      </c>
      <c r="G485" s="525" t="str">
        <f t="shared" si="115"/>
        <v>n.a.</v>
      </c>
      <c r="H485" s="525" t="str">
        <f t="shared" si="115"/>
        <v>n.a.</v>
      </c>
      <c r="I485" s="525" t="str">
        <f t="shared" si="115"/>
        <v>n.a.</v>
      </c>
      <c r="J485" s="525" t="str">
        <f t="shared" si="115"/>
        <v>n.a.</v>
      </c>
      <c r="K485" s="525" t="str">
        <f t="shared" si="115"/>
        <v>n.a.</v>
      </c>
      <c r="L485" s="525" t="str">
        <f t="shared" si="116"/>
        <v>n.a.</v>
      </c>
      <c r="M485" s="525" t="str">
        <f t="shared" si="116"/>
        <v>n.a.</v>
      </c>
      <c r="N485" s="525" t="str">
        <f t="shared" si="116"/>
        <v>n.a.</v>
      </c>
      <c r="O485" s="525" t="str">
        <f t="shared" si="116"/>
        <v>n.a.</v>
      </c>
      <c r="P485" s="525" t="str">
        <f t="shared" si="116"/>
        <v>n.a.</v>
      </c>
      <c r="Q485" s="525" t="str">
        <f t="shared" si="116"/>
        <v>n.a.</v>
      </c>
      <c r="R485" s="525" t="str">
        <f t="shared" si="116"/>
        <v>n.a.</v>
      </c>
      <c r="S485" s="525" t="str">
        <f t="shared" si="116"/>
        <v>n.a.</v>
      </c>
    </row>
    <row r="486" spans="1:19" s="110" customFormat="1" x14ac:dyDescent="0.25">
      <c r="A486" s="785">
        <v>353</v>
      </c>
      <c r="B486" s="525" t="str">
        <f t="shared" si="115"/>
        <v>n.a.</v>
      </c>
      <c r="C486" s="525" t="str">
        <f t="shared" si="115"/>
        <v>n.a.</v>
      </c>
      <c r="D486" s="525" t="str">
        <f t="shared" si="115"/>
        <v>n.a.</v>
      </c>
      <c r="E486" s="525" t="str">
        <f t="shared" si="115"/>
        <v>n.a.</v>
      </c>
      <c r="F486" s="525" t="str">
        <f t="shared" si="115"/>
        <v>73079980</v>
      </c>
      <c r="G486" s="525" t="str">
        <f t="shared" si="115"/>
        <v>n.a.</v>
      </c>
      <c r="H486" s="525" t="str">
        <f t="shared" si="115"/>
        <v>n.a.</v>
      </c>
      <c r="I486" s="525" t="str">
        <f t="shared" si="115"/>
        <v>n.a.</v>
      </c>
      <c r="J486" s="525" t="str">
        <f t="shared" si="115"/>
        <v>n.a.</v>
      </c>
      <c r="K486" s="525" t="str">
        <f t="shared" si="115"/>
        <v>n.a.</v>
      </c>
      <c r="L486" s="525" t="str">
        <f t="shared" si="116"/>
        <v>n.a.</v>
      </c>
      <c r="M486" s="525" t="str">
        <f t="shared" si="116"/>
        <v>n.a.</v>
      </c>
      <c r="N486" s="525" t="str">
        <f t="shared" si="116"/>
        <v>n.a.</v>
      </c>
      <c r="O486" s="525" t="str">
        <f t="shared" si="116"/>
        <v>n.a.</v>
      </c>
      <c r="P486" s="525" t="str">
        <f t="shared" si="116"/>
        <v>n.a.</v>
      </c>
      <c r="Q486" s="525" t="str">
        <f t="shared" si="116"/>
        <v>n.a.</v>
      </c>
      <c r="R486" s="525" t="str">
        <f t="shared" si="116"/>
        <v>n.a.</v>
      </c>
      <c r="S486" s="525" t="str">
        <f t="shared" si="116"/>
        <v>n.a.</v>
      </c>
    </row>
    <row r="487" spans="1:19" s="110" customFormat="1" x14ac:dyDescent="0.25">
      <c r="A487" s="785">
        <v>354</v>
      </c>
      <c r="B487" s="525" t="str">
        <f t="shared" si="115"/>
        <v>n.a.</v>
      </c>
      <c r="C487" s="525" t="str">
        <f t="shared" si="115"/>
        <v>n.a.</v>
      </c>
      <c r="D487" s="525" t="str">
        <f t="shared" si="115"/>
        <v>n.a.</v>
      </c>
      <c r="E487" s="525" t="str">
        <f t="shared" si="115"/>
        <v>n.a.</v>
      </c>
      <c r="F487" s="525" t="str">
        <f t="shared" si="115"/>
        <v>73081000</v>
      </c>
      <c r="G487" s="525" t="str">
        <f t="shared" si="115"/>
        <v>n.a.</v>
      </c>
      <c r="H487" s="525" t="str">
        <f t="shared" si="115"/>
        <v>n.a.</v>
      </c>
      <c r="I487" s="525" t="str">
        <f t="shared" si="115"/>
        <v>n.a.</v>
      </c>
      <c r="J487" s="525" t="str">
        <f t="shared" si="115"/>
        <v>n.a.</v>
      </c>
      <c r="K487" s="525" t="str">
        <f t="shared" si="115"/>
        <v>n.a.</v>
      </c>
      <c r="L487" s="525" t="str">
        <f t="shared" si="116"/>
        <v>n.a.</v>
      </c>
      <c r="M487" s="525" t="str">
        <f t="shared" si="116"/>
        <v>n.a.</v>
      </c>
      <c r="N487" s="525" t="str">
        <f t="shared" si="116"/>
        <v>n.a.</v>
      </c>
      <c r="O487" s="525" t="str">
        <f t="shared" si="116"/>
        <v>n.a.</v>
      </c>
      <c r="P487" s="525" t="str">
        <f t="shared" si="116"/>
        <v>n.a.</v>
      </c>
      <c r="Q487" s="525" t="str">
        <f t="shared" si="116"/>
        <v>n.a.</v>
      </c>
      <c r="R487" s="525" t="str">
        <f t="shared" si="116"/>
        <v>n.a.</v>
      </c>
      <c r="S487" s="525" t="str">
        <f t="shared" si="116"/>
        <v>n.a.</v>
      </c>
    </row>
    <row r="488" spans="1:19" s="110" customFormat="1" x14ac:dyDescent="0.25">
      <c r="A488" s="785">
        <v>355</v>
      </c>
      <c r="B488" s="525" t="str">
        <f t="shared" si="115"/>
        <v>n.a.</v>
      </c>
      <c r="C488" s="525" t="str">
        <f t="shared" si="115"/>
        <v>n.a.</v>
      </c>
      <c r="D488" s="525" t="str">
        <f t="shared" si="115"/>
        <v>n.a.</v>
      </c>
      <c r="E488" s="525" t="str">
        <f t="shared" si="115"/>
        <v>n.a.</v>
      </c>
      <c r="F488" s="525" t="str">
        <f t="shared" si="115"/>
        <v>73082000</v>
      </c>
      <c r="G488" s="525" t="str">
        <f t="shared" si="115"/>
        <v>n.a.</v>
      </c>
      <c r="H488" s="525" t="str">
        <f t="shared" si="115"/>
        <v>n.a.</v>
      </c>
      <c r="I488" s="525" t="str">
        <f t="shared" si="115"/>
        <v>n.a.</v>
      </c>
      <c r="J488" s="525" t="str">
        <f t="shared" si="115"/>
        <v>n.a.</v>
      </c>
      <c r="K488" s="525" t="str">
        <f t="shared" si="115"/>
        <v>n.a.</v>
      </c>
      <c r="L488" s="525" t="str">
        <f t="shared" si="116"/>
        <v>n.a.</v>
      </c>
      <c r="M488" s="525" t="str">
        <f t="shared" si="116"/>
        <v>n.a.</v>
      </c>
      <c r="N488" s="525" t="str">
        <f t="shared" si="116"/>
        <v>n.a.</v>
      </c>
      <c r="O488" s="525" t="str">
        <f t="shared" si="116"/>
        <v>n.a.</v>
      </c>
      <c r="P488" s="525" t="str">
        <f t="shared" si="116"/>
        <v>n.a.</v>
      </c>
      <c r="Q488" s="525" t="str">
        <f t="shared" si="116"/>
        <v>n.a.</v>
      </c>
      <c r="R488" s="525" t="str">
        <f t="shared" si="116"/>
        <v>n.a.</v>
      </c>
      <c r="S488" s="525" t="str">
        <f t="shared" si="116"/>
        <v>n.a.</v>
      </c>
    </row>
    <row r="489" spans="1:19" s="110" customFormat="1" x14ac:dyDescent="0.25">
      <c r="A489" s="785">
        <v>356</v>
      </c>
      <c r="B489" s="525" t="str">
        <f t="shared" si="115"/>
        <v>n.a.</v>
      </c>
      <c r="C489" s="525" t="str">
        <f t="shared" si="115"/>
        <v>n.a.</v>
      </c>
      <c r="D489" s="525" t="str">
        <f t="shared" si="115"/>
        <v>n.a.</v>
      </c>
      <c r="E489" s="525" t="str">
        <f t="shared" si="115"/>
        <v>n.a.</v>
      </c>
      <c r="F489" s="525" t="str">
        <f t="shared" si="115"/>
        <v>73083000</v>
      </c>
      <c r="G489" s="525" t="str">
        <f t="shared" si="115"/>
        <v>n.a.</v>
      </c>
      <c r="H489" s="525" t="str">
        <f t="shared" si="115"/>
        <v>n.a.</v>
      </c>
      <c r="I489" s="525" t="str">
        <f t="shared" si="115"/>
        <v>n.a.</v>
      </c>
      <c r="J489" s="525" t="str">
        <f t="shared" si="115"/>
        <v>n.a.</v>
      </c>
      <c r="K489" s="525" t="str">
        <f t="shared" si="115"/>
        <v>n.a.</v>
      </c>
      <c r="L489" s="525" t="str">
        <f t="shared" si="116"/>
        <v>n.a.</v>
      </c>
      <c r="M489" s="525" t="str">
        <f t="shared" si="116"/>
        <v>n.a.</v>
      </c>
      <c r="N489" s="525" t="str">
        <f t="shared" si="116"/>
        <v>n.a.</v>
      </c>
      <c r="O489" s="525" t="str">
        <f t="shared" si="116"/>
        <v>n.a.</v>
      </c>
      <c r="P489" s="525" t="str">
        <f t="shared" si="116"/>
        <v>n.a.</v>
      </c>
      <c r="Q489" s="525" t="str">
        <f t="shared" si="116"/>
        <v>n.a.</v>
      </c>
      <c r="R489" s="525" t="str">
        <f t="shared" si="116"/>
        <v>n.a.</v>
      </c>
      <c r="S489" s="525" t="str">
        <f t="shared" si="116"/>
        <v>n.a.</v>
      </c>
    </row>
    <row r="490" spans="1:19" s="110" customFormat="1" x14ac:dyDescent="0.25">
      <c r="A490" s="785">
        <v>357</v>
      </c>
      <c r="B490" s="525" t="str">
        <f t="shared" si="115"/>
        <v>n.a.</v>
      </c>
      <c r="C490" s="525" t="str">
        <f t="shared" si="115"/>
        <v>n.a.</v>
      </c>
      <c r="D490" s="525" t="str">
        <f t="shared" si="115"/>
        <v>n.a.</v>
      </c>
      <c r="E490" s="525" t="str">
        <f t="shared" si="115"/>
        <v>n.a.</v>
      </c>
      <c r="F490" s="525" t="str">
        <f t="shared" si="115"/>
        <v>73084000</v>
      </c>
      <c r="G490" s="525" t="str">
        <f t="shared" si="115"/>
        <v>n.a.</v>
      </c>
      <c r="H490" s="525" t="str">
        <f t="shared" si="115"/>
        <v>n.a.</v>
      </c>
      <c r="I490" s="525" t="str">
        <f t="shared" si="115"/>
        <v>n.a.</v>
      </c>
      <c r="J490" s="525" t="str">
        <f t="shared" si="115"/>
        <v>n.a.</v>
      </c>
      <c r="K490" s="525" t="str">
        <f t="shared" si="115"/>
        <v>n.a.</v>
      </c>
      <c r="L490" s="525" t="str">
        <f t="shared" si="116"/>
        <v>n.a.</v>
      </c>
      <c r="M490" s="525" t="str">
        <f t="shared" si="116"/>
        <v>n.a.</v>
      </c>
      <c r="N490" s="525" t="str">
        <f t="shared" si="116"/>
        <v>n.a.</v>
      </c>
      <c r="O490" s="525" t="str">
        <f t="shared" si="116"/>
        <v>n.a.</v>
      </c>
      <c r="P490" s="525" t="str">
        <f t="shared" si="116"/>
        <v>n.a.</v>
      </c>
      <c r="Q490" s="525" t="str">
        <f t="shared" si="116"/>
        <v>n.a.</v>
      </c>
      <c r="R490" s="525" t="str">
        <f t="shared" si="116"/>
        <v>n.a.</v>
      </c>
      <c r="S490" s="525" t="str">
        <f t="shared" si="116"/>
        <v>n.a.</v>
      </c>
    </row>
    <row r="491" spans="1:19" s="110" customFormat="1" x14ac:dyDescent="0.25">
      <c r="A491" s="785">
        <v>358</v>
      </c>
      <c r="B491" s="525" t="str">
        <f t="shared" si="115"/>
        <v>n.a.</v>
      </c>
      <c r="C491" s="525" t="str">
        <f t="shared" si="115"/>
        <v>n.a.</v>
      </c>
      <c r="D491" s="525" t="str">
        <f t="shared" si="115"/>
        <v>n.a.</v>
      </c>
      <c r="E491" s="525" t="str">
        <f t="shared" si="115"/>
        <v>n.a.</v>
      </c>
      <c r="F491" s="525" t="str">
        <f t="shared" si="115"/>
        <v>73089051</v>
      </c>
      <c r="G491" s="525" t="str">
        <f t="shared" si="115"/>
        <v>n.a.</v>
      </c>
      <c r="H491" s="525" t="str">
        <f t="shared" si="115"/>
        <v>n.a.</v>
      </c>
      <c r="I491" s="525" t="str">
        <f t="shared" si="115"/>
        <v>n.a.</v>
      </c>
      <c r="J491" s="525" t="str">
        <f t="shared" si="115"/>
        <v>n.a.</v>
      </c>
      <c r="K491" s="525" t="str">
        <f t="shared" si="115"/>
        <v>n.a.</v>
      </c>
      <c r="L491" s="525" t="str">
        <f t="shared" si="116"/>
        <v>n.a.</v>
      </c>
      <c r="M491" s="525" t="str">
        <f t="shared" si="116"/>
        <v>n.a.</v>
      </c>
      <c r="N491" s="525" t="str">
        <f t="shared" si="116"/>
        <v>n.a.</v>
      </c>
      <c r="O491" s="525" t="str">
        <f t="shared" si="116"/>
        <v>n.a.</v>
      </c>
      <c r="P491" s="525" t="str">
        <f t="shared" si="116"/>
        <v>n.a.</v>
      </c>
      <c r="Q491" s="525" t="str">
        <f t="shared" si="116"/>
        <v>n.a.</v>
      </c>
      <c r="R491" s="525" t="str">
        <f t="shared" si="116"/>
        <v>n.a.</v>
      </c>
      <c r="S491" s="525" t="str">
        <f t="shared" si="116"/>
        <v>n.a.</v>
      </c>
    </row>
    <row r="492" spans="1:19" s="110" customFormat="1" x14ac:dyDescent="0.25">
      <c r="A492" s="785">
        <v>359</v>
      </c>
      <c r="B492" s="525" t="str">
        <f t="shared" si="115"/>
        <v>n.a.</v>
      </c>
      <c r="C492" s="525" t="str">
        <f t="shared" si="115"/>
        <v>n.a.</v>
      </c>
      <c r="D492" s="525" t="str">
        <f t="shared" si="115"/>
        <v>n.a.</v>
      </c>
      <c r="E492" s="525" t="str">
        <f t="shared" si="115"/>
        <v>n.a.</v>
      </c>
      <c r="F492" s="525" t="str">
        <f t="shared" si="115"/>
        <v>73089059</v>
      </c>
      <c r="G492" s="525" t="str">
        <f t="shared" si="115"/>
        <v>n.a.</v>
      </c>
      <c r="H492" s="525" t="str">
        <f t="shared" si="115"/>
        <v>n.a.</v>
      </c>
      <c r="I492" s="525" t="str">
        <f t="shared" si="115"/>
        <v>n.a.</v>
      </c>
      <c r="J492" s="525" t="str">
        <f t="shared" si="115"/>
        <v>n.a.</v>
      </c>
      <c r="K492" s="525" t="str">
        <f t="shared" si="115"/>
        <v>n.a.</v>
      </c>
      <c r="L492" s="525" t="str">
        <f t="shared" si="116"/>
        <v>n.a.</v>
      </c>
      <c r="M492" s="525" t="str">
        <f t="shared" si="116"/>
        <v>n.a.</v>
      </c>
      <c r="N492" s="525" t="str">
        <f t="shared" si="116"/>
        <v>n.a.</v>
      </c>
      <c r="O492" s="525" t="str">
        <f t="shared" si="116"/>
        <v>n.a.</v>
      </c>
      <c r="P492" s="525" t="str">
        <f t="shared" si="116"/>
        <v>n.a.</v>
      </c>
      <c r="Q492" s="525" t="str">
        <f t="shared" si="116"/>
        <v>n.a.</v>
      </c>
      <c r="R492" s="525" t="str">
        <f t="shared" si="116"/>
        <v>n.a.</v>
      </c>
      <c r="S492" s="525" t="str">
        <f t="shared" si="116"/>
        <v>n.a.</v>
      </c>
    </row>
    <row r="493" spans="1:19" s="110" customFormat="1" x14ac:dyDescent="0.25">
      <c r="A493" s="785">
        <v>360</v>
      </c>
      <c r="B493" s="525" t="str">
        <f t="shared" si="115"/>
        <v>n.a.</v>
      </c>
      <c r="C493" s="525" t="str">
        <f t="shared" si="115"/>
        <v>n.a.</v>
      </c>
      <c r="D493" s="525" t="str">
        <f t="shared" si="115"/>
        <v>n.a.</v>
      </c>
      <c r="E493" s="525" t="str">
        <f t="shared" si="115"/>
        <v>n.a.</v>
      </c>
      <c r="F493" s="525" t="str">
        <f t="shared" si="115"/>
        <v>73089098</v>
      </c>
      <c r="G493" s="525" t="str">
        <f t="shared" si="115"/>
        <v>n.a.</v>
      </c>
      <c r="H493" s="525" t="str">
        <f t="shared" si="115"/>
        <v>n.a.</v>
      </c>
      <c r="I493" s="525" t="str">
        <f t="shared" si="115"/>
        <v>n.a.</v>
      </c>
      <c r="J493" s="525" t="str">
        <f t="shared" si="115"/>
        <v>n.a.</v>
      </c>
      <c r="K493" s="525" t="str">
        <f t="shared" si="115"/>
        <v>n.a.</v>
      </c>
      <c r="L493" s="525" t="str">
        <f t="shared" si="116"/>
        <v>n.a.</v>
      </c>
      <c r="M493" s="525" t="str">
        <f t="shared" si="116"/>
        <v>n.a.</v>
      </c>
      <c r="N493" s="525" t="str">
        <f t="shared" si="116"/>
        <v>n.a.</v>
      </c>
      <c r="O493" s="525" t="str">
        <f t="shared" si="116"/>
        <v>n.a.</v>
      </c>
      <c r="P493" s="525" t="str">
        <f t="shared" si="116"/>
        <v>n.a.</v>
      </c>
      <c r="Q493" s="525" t="str">
        <f t="shared" si="116"/>
        <v>n.a.</v>
      </c>
      <c r="R493" s="525" t="str">
        <f t="shared" si="116"/>
        <v>n.a.</v>
      </c>
      <c r="S493" s="525" t="str">
        <f t="shared" si="116"/>
        <v>n.a.</v>
      </c>
    </row>
    <row r="494" spans="1:19" s="110" customFormat="1" x14ac:dyDescent="0.25">
      <c r="A494" s="785">
        <v>361</v>
      </c>
      <c r="B494" s="525" t="str">
        <f t="shared" ref="B494:K503" si="117">IFERROR(INDEX(CNCodes_ListKey,MATCH($A494&amp;"_"&amp;B$132,CNCodes_ListNumbering,0)),CONST_NA)</f>
        <v>n.a.</v>
      </c>
      <c r="C494" s="525" t="str">
        <f t="shared" si="117"/>
        <v>n.a.</v>
      </c>
      <c r="D494" s="525" t="str">
        <f t="shared" si="117"/>
        <v>n.a.</v>
      </c>
      <c r="E494" s="525" t="str">
        <f t="shared" si="117"/>
        <v>n.a.</v>
      </c>
      <c r="F494" s="525" t="str">
        <f t="shared" si="117"/>
        <v>73090010</v>
      </c>
      <c r="G494" s="525" t="str">
        <f t="shared" si="117"/>
        <v>n.a.</v>
      </c>
      <c r="H494" s="525" t="str">
        <f t="shared" si="117"/>
        <v>n.a.</v>
      </c>
      <c r="I494" s="525" t="str">
        <f t="shared" si="117"/>
        <v>n.a.</v>
      </c>
      <c r="J494" s="525" t="str">
        <f t="shared" si="117"/>
        <v>n.a.</v>
      </c>
      <c r="K494" s="525" t="str">
        <f t="shared" si="117"/>
        <v>n.a.</v>
      </c>
      <c r="L494" s="525" t="str">
        <f t="shared" ref="L494:S503" si="118">IFERROR(INDEX(CNCodes_ListKey,MATCH($A494&amp;"_"&amp;L$132,CNCodes_ListNumbering,0)),CONST_NA)</f>
        <v>n.a.</v>
      </c>
      <c r="M494" s="525" t="str">
        <f t="shared" si="118"/>
        <v>n.a.</v>
      </c>
      <c r="N494" s="525" t="str">
        <f t="shared" si="118"/>
        <v>n.a.</v>
      </c>
      <c r="O494" s="525" t="str">
        <f t="shared" si="118"/>
        <v>n.a.</v>
      </c>
      <c r="P494" s="525" t="str">
        <f t="shared" si="118"/>
        <v>n.a.</v>
      </c>
      <c r="Q494" s="525" t="str">
        <f t="shared" si="118"/>
        <v>n.a.</v>
      </c>
      <c r="R494" s="525" t="str">
        <f t="shared" si="118"/>
        <v>n.a.</v>
      </c>
      <c r="S494" s="525" t="str">
        <f t="shared" si="118"/>
        <v>n.a.</v>
      </c>
    </row>
    <row r="495" spans="1:19" s="110" customFormat="1" x14ac:dyDescent="0.25">
      <c r="A495" s="785">
        <v>362</v>
      </c>
      <c r="B495" s="525" t="str">
        <f t="shared" si="117"/>
        <v>n.a.</v>
      </c>
      <c r="C495" s="525" t="str">
        <f t="shared" si="117"/>
        <v>n.a.</v>
      </c>
      <c r="D495" s="525" t="str">
        <f t="shared" si="117"/>
        <v>n.a.</v>
      </c>
      <c r="E495" s="525" t="str">
        <f t="shared" si="117"/>
        <v>n.a.</v>
      </c>
      <c r="F495" s="525" t="str">
        <f t="shared" si="117"/>
        <v>73090030</v>
      </c>
      <c r="G495" s="525" t="str">
        <f t="shared" si="117"/>
        <v>n.a.</v>
      </c>
      <c r="H495" s="525" t="str">
        <f t="shared" si="117"/>
        <v>n.a.</v>
      </c>
      <c r="I495" s="525" t="str">
        <f t="shared" si="117"/>
        <v>n.a.</v>
      </c>
      <c r="J495" s="525" t="str">
        <f t="shared" si="117"/>
        <v>n.a.</v>
      </c>
      <c r="K495" s="525" t="str">
        <f t="shared" si="117"/>
        <v>n.a.</v>
      </c>
      <c r="L495" s="525" t="str">
        <f t="shared" si="118"/>
        <v>n.a.</v>
      </c>
      <c r="M495" s="525" t="str">
        <f t="shared" si="118"/>
        <v>n.a.</v>
      </c>
      <c r="N495" s="525" t="str">
        <f t="shared" si="118"/>
        <v>n.a.</v>
      </c>
      <c r="O495" s="525" t="str">
        <f t="shared" si="118"/>
        <v>n.a.</v>
      </c>
      <c r="P495" s="525" t="str">
        <f t="shared" si="118"/>
        <v>n.a.</v>
      </c>
      <c r="Q495" s="525" t="str">
        <f t="shared" si="118"/>
        <v>n.a.</v>
      </c>
      <c r="R495" s="525" t="str">
        <f t="shared" si="118"/>
        <v>n.a.</v>
      </c>
      <c r="S495" s="525" t="str">
        <f t="shared" si="118"/>
        <v>n.a.</v>
      </c>
    </row>
    <row r="496" spans="1:19" s="110" customFormat="1" x14ac:dyDescent="0.25">
      <c r="A496" s="785">
        <v>363</v>
      </c>
      <c r="B496" s="525" t="str">
        <f t="shared" si="117"/>
        <v>n.a.</v>
      </c>
      <c r="C496" s="525" t="str">
        <f t="shared" si="117"/>
        <v>n.a.</v>
      </c>
      <c r="D496" s="525" t="str">
        <f t="shared" si="117"/>
        <v>n.a.</v>
      </c>
      <c r="E496" s="525" t="str">
        <f t="shared" si="117"/>
        <v>n.a.</v>
      </c>
      <c r="F496" s="525" t="str">
        <f t="shared" si="117"/>
        <v>73090051</v>
      </c>
      <c r="G496" s="525" t="str">
        <f t="shared" si="117"/>
        <v>n.a.</v>
      </c>
      <c r="H496" s="525" t="str">
        <f t="shared" si="117"/>
        <v>n.a.</v>
      </c>
      <c r="I496" s="525" t="str">
        <f t="shared" si="117"/>
        <v>n.a.</v>
      </c>
      <c r="J496" s="525" t="str">
        <f t="shared" si="117"/>
        <v>n.a.</v>
      </c>
      <c r="K496" s="525" t="str">
        <f t="shared" si="117"/>
        <v>n.a.</v>
      </c>
      <c r="L496" s="525" t="str">
        <f t="shared" si="118"/>
        <v>n.a.</v>
      </c>
      <c r="M496" s="525" t="str">
        <f t="shared" si="118"/>
        <v>n.a.</v>
      </c>
      <c r="N496" s="525" t="str">
        <f t="shared" si="118"/>
        <v>n.a.</v>
      </c>
      <c r="O496" s="525" t="str">
        <f t="shared" si="118"/>
        <v>n.a.</v>
      </c>
      <c r="P496" s="525" t="str">
        <f t="shared" si="118"/>
        <v>n.a.</v>
      </c>
      <c r="Q496" s="525" t="str">
        <f t="shared" si="118"/>
        <v>n.a.</v>
      </c>
      <c r="R496" s="525" t="str">
        <f t="shared" si="118"/>
        <v>n.a.</v>
      </c>
      <c r="S496" s="525" t="str">
        <f t="shared" si="118"/>
        <v>n.a.</v>
      </c>
    </row>
    <row r="497" spans="1:19" s="110" customFormat="1" x14ac:dyDescent="0.25">
      <c r="A497" s="785">
        <v>364</v>
      </c>
      <c r="B497" s="525" t="str">
        <f t="shared" si="117"/>
        <v>n.a.</v>
      </c>
      <c r="C497" s="525" t="str">
        <f t="shared" si="117"/>
        <v>n.a.</v>
      </c>
      <c r="D497" s="525" t="str">
        <f t="shared" si="117"/>
        <v>n.a.</v>
      </c>
      <c r="E497" s="525" t="str">
        <f t="shared" si="117"/>
        <v>n.a.</v>
      </c>
      <c r="F497" s="525" t="str">
        <f t="shared" si="117"/>
        <v>73090059</v>
      </c>
      <c r="G497" s="525" t="str">
        <f t="shared" si="117"/>
        <v>n.a.</v>
      </c>
      <c r="H497" s="525" t="str">
        <f t="shared" si="117"/>
        <v>n.a.</v>
      </c>
      <c r="I497" s="525" t="str">
        <f t="shared" si="117"/>
        <v>n.a.</v>
      </c>
      <c r="J497" s="525" t="str">
        <f t="shared" si="117"/>
        <v>n.a.</v>
      </c>
      <c r="K497" s="525" t="str">
        <f t="shared" si="117"/>
        <v>n.a.</v>
      </c>
      <c r="L497" s="525" t="str">
        <f t="shared" si="118"/>
        <v>n.a.</v>
      </c>
      <c r="M497" s="525" t="str">
        <f t="shared" si="118"/>
        <v>n.a.</v>
      </c>
      <c r="N497" s="525" t="str">
        <f t="shared" si="118"/>
        <v>n.a.</v>
      </c>
      <c r="O497" s="525" t="str">
        <f t="shared" si="118"/>
        <v>n.a.</v>
      </c>
      <c r="P497" s="525" t="str">
        <f t="shared" si="118"/>
        <v>n.a.</v>
      </c>
      <c r="Q497" s="525" t="str">
        <f t="shared" si="118"/>
        <v>n.a.</v>
      </c>
      <c r="R497" s="525" t="str">
        <f t="shared" si="118"/>
        <v>n.a.</v>
      </c>
      <c r="S497" s="525" t="str">
        <f t="shared" si="118"/>
        <v>n.a.</v>
      </c>
    </row>
    <row r="498" spans="1:19" s="110" customFormat="1" x14ac:dyDescent="0.25">
      <c r="A498" s="785">
        <v>365</v>
      </c>
      <c r="B498" s="525" t="str">
        <f t="shared" si="117"/>
        <v>n.a.</v>
      </c>
      <c r="C498" s="525" t="str">
        <f t="shared" si="117"/>
        <v>n.a.</v>
      </c>
      <c r="D498" s="525" t="str">
        <f t="shared" si="117"/>
        <v>n.a.</v>
      </c>
      <c r="E498" s="525" t="str">
        <f t="shared" si="117"/>
        <v>n.a.</v>
      </c>
      <c r="F498" s="525" t="str">
        <f t="shared" si="117"/>
        <v>73090090</v>
      </c>
      <c r="G498" s="525" t="str">
        <f t="shared" si="117"/>
        <v>n.a.</v>
      </c>
      <c r="H498" s="525" t="str">
        <f t="shared" si="117"/>
        <v>n.a.</v>
      </c>
      <c r="I498" s="525" t="str">
        <f t="shared" si="117"/>
        <v>n.a.</v>
      </c>
      <c r="J498" s="525" t="str">
        <f t="shared" si="117"/>
        <v>n.a.</v>
      </c>
      <c r="K498" s="525" t="str">
        <f t="shared" si="117"/>
        <v>n.a.</v>
      </c>
      <c r="L498" s="525" t="str">
        <f t="shared" si="118"/>
        <v>n.a.</v>
      </c>
      <c r="M498" s="525" t="str">
        <f t="shared" si="118"/>
        <v>n.a.</v>
      </c>
      <c r="N498" s="525" t="str">
        <f t="shared" si="118"/>
        <v>n.a.</v>
      </c>
      <c r="O498" s="525" t="str">
        <f t="shared" si="118"/>
        <v>n.a.</v>
      </c>
      <c r="P498" s="525" t="str">
        <f t="shared" si="118"/>
        <v>n.a.</v>
      </c>
      <c r="Q498" s="525" t="str">
        <f t="shared" si="118"/>
        <v>n.a.</v>
      </c>
      <c r="R498" s="525" t="str">
        <f t="shared" si="118"/>
        <v>n.a.</v>
      </c>
      <c r="S498" s="525" t="str">
        <f t="shared" si="118"/>
        <v>n.a.</v>
      </c>
    </row>
    <row r="499" spans="1:19" s="110" customFormat="1" x14ac:dyDescent="0.25">
      <c r="A499" s="785">
        <v>366</v>
      </c>
      <c r="B499" s="525" t="str">
        <f t="shared" si="117"/>
        <v>n.a.</v>
      </c>
      <c r="C499" s="525" t="str">
        <f t="shared" si="117"/>
        <v>n.a.</v>
      </c>
      <c r="D499" s="525" t="str">
        <f t="shared" si="117"/>
        <v>n.a.</v>
      </c>
      <c r="E499" s="525" t="str">
        <f t="shared" si="117"/>
        <v>n.a.</v>
      </c>
      <c r="F499" s="525" t="str">
        <f t="shared" si="117"/>
        <v>73101000</v>
      </c>
      <c r="G499" s="525" t="str">
        <f t="shared" si="117"/>
        <v>n.a.</v>
      </c>
      <c r="H499" s="525" t="str">
        <f t="shared" si="117"/>
        <v>n.a.</v>
      </c>
      <c r="I499" s="525" t="str">
        <f t="shared" si="117"/>
        <v>n.a.</v>
      </c>
      <c r="J499" s="525" t="str">
        <f t="shared" si="117"/>
        <v>n.a.</v>
      </c>
      <c r="K499" s="525" t="str">
        <f t="shared" si="117"/>
        <v>n.a.</v>
      </c>
      <c r="L499" s="525" t="str">
        <f t="shared" si="118"/>
        <v>n.a.</v>
      </c>
      <c r="M499" s="525" t="str">
        <f t="shared" si="118"/>
        <v>n.a.</v>
      </c>
      <c r="N499" s="525" t="str">
        <f t="shared" si="118"/>
        <v>n.a.</v>
      </c>
      <c r="O499" s="525" t="str">
        <f t="shared" si="118"/>
        <v>n.a.</v>
      </c>
      <c r="P499" s="525" t="str">
        <f t="shared" si="118"/>
        <v>n.a.</v>
      </c>
      <c r="Q499" s="525" t="str">
        <f t="shared" si="118"/>
        <v>n.a.</v>
      </c>
      <c r="R499" s="525" t="str">
        <f t="shared" si="118"/>
        <v>n.a.</v>
      </c>
      <c r="S499" s="525" t="str">
        <f t="shared" si="118"/>
        <v>n.a.</v>
      </c>
    </row>
    <row r="500" spans="1:19" s="110" customFormat="1" x14ac:dyDescent="0.25">
      <c r="A500" s="785">
        <v>367</v>
      </c>
      <c r="B500" s="525" t="str">
        <f t="shared" si="117"/>
        <v>n.a.</v>
      </c>
      <c r="C500" s="525" t="str">
        <f t="shared" si="117"/>
        <v>n.a.</v>
      </c>
      <c r="D500" s="525" t="str">
        <f t="shared" si="117"/>
        <v>n.a.</v>
      </c>
      <c r="E500" s="525" t="str">
        <f t="shared" si="117"/>
        <v>n.a.</v>
      </c>
      <c r="F500" s="525" t="str">
        <f t="shared" si="117"/>
        <v>73102111</v>
      </c>
      <c r="G500" s="525" t="str">
        <f t="shared" si="117"/>
        <v>n.a.</v>
      </c>
      <c r="H500" s="525" t="str">
        <f t="shared" si="117"/>
        <v>n.a.</v>
      </c>
      <c r="I500" s="525" t="str">
        <f t="shared" si="117"/>
        <v>n.a.</v>
      </c>
      <c r="J500" s="525" t="str">
        <f t="shared" si="117"/>
        <v>n.a.</v>
      </c>
      <c r="K500" s="525" t="str">
        <f t="shared" si="117"/>
        <v>n.a.</v>
      </c>
      <c r="L500" s="525" t="str">
        <f t="shared" si="118"/>
        <v>n.a.</v>
      </c>
      <c r="M500" s="525" t="str">
        <f t="shared" si="118"/>
        <v>n.a.</v>
      </c>
      <c r="N500" s="525" t="str">
        <f t="shared" si="118"/>
        <v>n.a.</v>
      </c>
      <c r="O500" s="525" t="str">
        <f t="shared" si="118"/>
        <v>n.a.</v>
      </c>
      <c r="P500" s="525" t="str">
        <f t="shared" si="118"/>
        <v>n.a.</v>
      </c>
      <c r="Q500" s="525" t="str">
        <f t="shared" si="118"/>
        <v>n.a.</v>
      </c>
      <c r="R500" s="525" t="str">
        <f t="shared" si="118"/>
        <v>n.a.</v>
      </c>
      <c r="S500" s="525" t="str">
        <f t="shared" si="118"/>
        <v>n.a.</v>
      </c>
    </row>
    <row r="501" spans="1:19" s="110" customFormat="1" x14ac:dyDescent="0.25">
      <c r="A501" s="785">
        <v>368</v>
      </c>
      <c r="B501" s="525" t="str">
        <f t="shared" si="117"/>
        <v>n.a.</v>
      </c>
      <c r="C501" s="525" t="str">
        <f t="shared" si="117"/>
        <v>n.a.</v>
      </c>
      <c r="D501" s="525" t="str">
        <f t="shared" si="117"/>
        <v>n.a.</v>
      </c>
      <c r="E501" s="525" t="str">
        <f t="shared" si="117"/>
        <v>n.a.</v>
      </c>
      <c r="F501" s="525" t="str">
        <f t="shared" si="117"/>
        <v>73102119</v>
      </c>
      <c r="G501" s="525" t="str">
        <f t="shared" si="117"/>
        <v>n.a.</v>
      </c>
      <c r="H501" s="525" t="str">
        <f t="shared" si="117"/>
        <v>n.a.</v>
      </c>
      <c r="I501" s="525" t="str">
        <f t="shared" si="117"/>
        <v>n.a.</v>
      </c>
      <c r="J501" s="525" t="str">
        <f t="shared" si="117"/>
        <v>n.a.</v>
      </c>
      <c r="K501" s="525" t="str">
        <f t="shared" si="117"/>
        <v>n.a.</v>
      </c>
      <c r="L501" s="525" t="str">
        <f t="shared" si="118"/>
        <v>n.a.</v>
      </c>
      <c r="M501" s="525" t="str">
        <f t="shared" si="118"/>
        <v>n.a.</v>
      </c>
      <c r="N501" s="525" t="str">
        <f t="shared" si="118"/>
        <v>n.a.</v>
      </c>
      <c r="O501" s="525" t="str">
        <f t="shared" si="118"/>
        <v>n.a.</v>
      </c>
      <c r="P501" s="525" t="str">
        <f t="shared" si="118"/>
        <v>n.a.</v>
      </c>
      <c r="Q501" s="525" t="str">
        <f t="shared" si="118"/>
        <v>n.a.</v>
      </c>
      <c r="R501" s="525" t="str">
        <f t="shared" si="118"/>
        <v>n.a.</v>
      </c>
      <c r="S501" s="525" t="str">
        <f t="shared" si="118"/>
        <v>n.a.</v>
      </c>
    </row>
    <row r="502" spans="1:19" s="110" customFormat="1" x14ac:dyDescent="0.25">
      <c r="A502" s="785">
        <v>369</v>
      </c>
      <c r="B502" s="525" t="str">
        <f t="shared" si="117"/>
        <v>n.a.</v>
      </c>
      <c r="C502" s="525" t="str">
        <f t="shared" si="117"/>
        <v>n.a.</v>
      </c>
      <c r="D502" s="525" t="str">
        <f t="shared" si="117"/>
        <v>n.a.</v>
      </c>
      <c r="E502" s="525" t="str">
        <f t="shared" si="117"/>
        <v>n.a.</v>
      </c>
      <c r="F502" s="525" t="str">
        <f t="shared" si="117"/>
        <v>73102191</v>
      </c>
      <c r="G502" s="525" t="str">
        <f t="shared" si="117"/>
        <v>n.a.</v>
      </c>
      <c r="H502" s="525" t="str">
        <f t="shared" si="117"/>
        <v>n.a.</v>
      </c>
      <c r="I502" s="525" t="str">
        <f t="shared" si="117"/>
        <v>n.a.</v>
      </c>
      <c r="J502" s="525" t="str">
        <f t="shared" si="117"/>
        <v>n.a.</v>
      </c>
      <c r="K502" s="525" t="str">
        <f t="shared" si="117"/>
        <v>n.a.</v>
      </c>
      <c r="L502" s="525" t="str">
        <f t="shared" si="118"/>
        <v>n.a.</v>
      </c>
      <c r="M502" s="525" t="str">
        <f t="shared" si="118"/>
        <v>n.a.</v>
      </c>
      <c r="N502" s="525" t="str">
        <f t="shared" si="118"/>
        <v>n.a.</v>
      </c>
      <c r="O502" s="525" t="str">
        <f t="shared" si="118"/>
        <v>n.a.</v>
      </c>
      <c r="P502" s="525" t="str">
        <f t="shared" si="118"/>
        <v>n.a.</v>
      </c>
      <c r="Q502" s="525" t="str">
        <f t="shared" si="118"/>
        <v>n.a.</v>
      </c>
      <c r="R502" s="525" t="str">
        <f t="shared" si="118"/>
        <v>n.a.</v>
      </c>
      <c r="S502" s="525" t="str">
        <f t="shared" si="118"/>
        <v>n.a.</v>
      </c>
    </row>
    <row r="503" spans="1:19" s="110" customFormat="1" x14ac:dyDescent="0.25">
      <c r="A503" s="785">
        <v>370</v>
      </c>
      <c r="B503" s="525" t="str">
        <f t="shared" si="117"/>
        <v>n.a.</v>
      </c>
      <c r="C503" s="525" t="str">
        <f t="shared" si="117"/>
        <v>n.a.</v>
      </c>
      <c r="D503" s="525" t="str">
        <f t="shared" si="117"/>
        <v>n.a.</v>
      </c>
      <c r="E503" s="525" t="str">
        <f t="shared" si="117"/>
        <v>n.a.</v>
      </c>
      <c r="F503" s="525" t="str">
        <f t="shared" si="117"/>
        <v>73102199</v>
      </c>
      <c r="G503" s="525" t="str">
        <f t="shared" si="117"/>
        <v>n.a.</v>
      </c>
      <c r="H503" s="525" t="str">
        <f t="shared" si="117"/>
        <v>n.a.</v>
      </c>
      <c r="I503" s="525" t="str">
        <f t="shared" si="117"/>
        <v>n.a.</v>
      </c>
      <c r="J503" s="525" t="str">
        <f t="shared" si="117"/>
        <v>n.a.</v>
      </c>
      <c r="K503" s="525" t="str">
        <f t="shared" si="117"/>
        <v>n.a.</v>
      </c>
      <c r="L503" s="525" t="str">
        <f t="shared" si="118"/>
        <v>n.a.</v>
      </c>
      <c r="M503" s="525" t="str">
        <f t="shared" si="118"/>
        <v>n.a.</v>
      </c>
      <c r="N503" s="525" t="str">
        <f t="shared" si="118"/>
        <v>n.a.</v>
      </c>
      <c r="O503" s="525" t="str">
        <f t="shared" si="118"/>
        <v>n.a.</v>
      </c>
      <c r="P503" s="525" t="str">
        <f t="shared" si="118"/>
        <v>n.a.</v>
      </c>
      <c r="Q503" s="525" t="str">
        <f t="shared" si="118"/>
        <v>n.a.</v>
      </c>
      <c r="R503" s="525" t="str">
        <f t="shared" si="118"/>
        <v>n.a.</v>
      </c>
      <c r="S503" s="525" t="str">
        <f t="shared" si="118"/>
        <v>n.a.</v>
      </c>
    </row>
    <row r="504" spans="1:19" s="110" customFormat="1" x14ac:dyDescent="0.25">
      <c r="A504" s="785">
        <v>371</v>
      </c>
      <c r="B504" s="525" t="str">
        <f t="shared" ref="B504:K513" si="119">IFERROR(INDEX(CNCodes_ListKey,MATCH($A504&amp;"_"&amp;B$132,CNCodes_ListNumbering,0)),CONST_NA)</f>
        <v>n.a.</v>
      </c>
      <c r="C504" s="525" t="str">
        <f t="shared" si="119"/>
        <v>n.a.</v>
      </c>
      <c r="D504" s="525" t="str">
        <f t="shared" si="119"/>
        <v>n.a.</v>
      </c>
      <c r="E504" s="525" t="str">
        <f t="shared" si="119"/>
        <v>n.a.</v>
      </c>
      <c r="F504" s="525" t="str">
        <f t="shared" si="119"/>
        <v>73102910</v>
      </c>
      <c r="G504" s="525" t="str">
        <f t="shared" si="119"/>
        <v>n.a.</v>
      </c>
      <c r="H504" s="525" t="str">
        <f t="shared" si="119"/>
        <v>n.a.</v>
      </c>
      <c r="I504" s="525" t="str">
        <f t="shared" si="119"/>
        <v>n.a.</v>
      </c>
      <c r="J504" s="525" t="str">
        <f t="shared" si="119"/>
        <v>n.a.</v>
      </c>
      <c r="K504" s="525" t="str">
        <f t="shared" si="119"/>
        <v>n.a.</v>
      </c>
      <c r="L504" s="525" t="str">
        <f t="shared" ref="L504:S513" si="120">IFERROR(INDEX(CNCodes_ListKey,MATCH($A504&amp;"_"&amp;L$132,CNCodes_ListNumbering,0)),CONST_NA)</f>
        <v>n.a.</v>
      </c>
      <c r="M504" s="525" t="str">
        <f t="shared" si="120"/>
        <v>n.a.</v>
      </c>
      <c r="N504" s="525" t="str">
        <f t="shared" si="120"/>
        <v>n.a.</v>
      </c>
      <c r="O504" s="525" t="str">
        <f t="shared" si="120"/>
        <v>n.a.</v>
      </c>
      <c r="P504" s="525" t="str">
        <f t="shared" si="120"/>
        <v>n.a.</v>
      </c>
      <c r="Q504" s="525" t="str">
        <f t="shared" si="120"/>
        <v>n.a.</v>
      </c>
      <c r="R504" s="525" t="str">
        <f t="shared" si="120"/>
        <v>n.a.</v>
      </c>
      <c r="S504" s="525" t="str">
        <f t="shared" si="120"/>
        <v>n.a.</v>
      </c>
    </row>
    <row r="505" spans="1:19" s="110" customFormat="1" x14ac:dyDescent="0.25">
      <c r="A505" s="785">
        <v>372</v>
      </c>
      <c r="B505" s="525" t="str">
        <f t="shared" si="119"/>
        <v>n.a.</v>
      </c>
      <c r="C505" s="525" t="str">
        <f t="shared" si="119"/>
        <v>n.a.</v>
      </c>
      <c r="D505" s="525" t="str">
        <f t="shared" si="119"/>
        <v>n.a.</v>
      </c>
      <c r="E505" s="525" t="str">
        <f t="shared" si="119"/>
        <v>n.a.</v>
      </c>
      <c r="F505" s="525" t="str">
        <f t="shared" si="119"/>
        <v>73102990</v>
      </c>
      <c r="G505" s="525" t="str">
        <f t="shared" si="119"/>
        <v>n.a.</v>
      </c>
      <c r="H505" s="525" t="str">
        <f t="shared" si="119"/>
        <v>n.a.</v>
      </c>
      <c r="I505" s="525" t="str">
        <f t="shared" si="119"/>
        <v>n.a.</v>
      </c>
      <c r="J505" s="525" t="str">
        <f t="shared" si="119"/>
        <v>n.a.</v>
      </c>
      <c r="K505" s="525" t="str">
        <f t="shared" si="119"/>
        <v>n.a.</v>
      </c>
      <c r="L505" s="525" t="str">
        <f t="shared" si="120"/>
        <v>n.a.</v>
      </c>
      <c r="M505" s="525" t="str">
        <f t="shared" si="120"/>
        <v>n.a.</v>
      </c>
      <c r="N505" s="525" t="str">
        <f t="shared" si="120"/>
        <v>n.a.</v>
      </c>
      <c r="O505" s="525" t="str">
        <f t="shared" si="120"/>
        <v>n.a.</v>
      </c>
      <c r="P505" s="525" t="str">
        <f t="shared" si="120"/>
        <v>n.a.</v>
      </c>
      <c r="Q505" s="525" t="str">
        <f t="shared" si="120"/>
        <v>n.a.</v>
      </c>
      <c r="R505" s="525" t="str">
        <f t="shared" si="120"/>
        <v>n.a.</v>
      </c>
      <c r="S505" s="525" t="str">
        <f t="shared" si="120"/>
        <v>n.a.</v>
      </c>
    </row>
    <row r="506" spans="1:19" s="110" customFormat="1" x14ac:dyDescent="0.25">
      <c r="A506" s="785">
        <v>373</v>
      </c>
      <c r="B506" s="525" t="str">
        <f t="shared" si="119"/>
        <v>n.a.</v>
      </c>
      <c r="C506" s="525" t="str">
        <f t="shared" si="119"/>
        <v>n.a.</v>
      </c>
      <c r="D506" s="525" t="str">
        <f t="shared" si="119"/>
        <v>n.a.</v>
      </c>
      <c r="E506" s="525" t="str">
        <f t="shared" si="119"/>
        <v>n.a.</v>
      </c>
      <c r="F506" s="525" t="str">
        <f t="shared" si="119"/>
        <v>73110011</v>
      </c>
      <c r="G506" s="525" t="str">
        <f t="shared" si="119"/>
        <v>n.a.</v>
      </c>
      <c r="H506" s="525" t="str">
        <f t="shared" si="119"/>
        <v>n.a.</v>
      </c>
      <c r="I506" s="525" t="str">
        <f t="shared" si="119"/>
        <v>n.a.</v>
      </c>
      <c r="J506" s="525" t="str">
        <f t="shared" si="119"/>
        <v>n.a.</v>
      </c>
      <c r="K506" s="525" t="str">
        <f t="shared" si="119"/>
        <v>n.a.</v>
      </c>
      <c r="L506" s="525" t="str">
        <f t="shared" si="120"/>
        <v>n.a.</v>
      </c>
      <c r="M506" s="525" t="str">
        <f t="shared" si="120"/>
        <v>n.a.</v>
      </c>
      <c r="N506" s="525" t="str">
        <f t="shared" si="120"/>
        <v>n.a.</v>
      </c>
      <c r="O506" s="525" t="str">
        <f t="shared" si="120"/>
        <v>n.a.</v>
      </c>
      <c r="P506" s="525" t="str">
        <f t="shared" si="120"/>
        <v>n.a.</v>
      </c>
      <c r="Q506" s="525" t="str">
        <f t="shared" si="120"/>
        <v>n.a.</v>
      </c>
      <c r="R506" s="525" t="str">
        <f t="shared" si="120"/>
        <v>n.a.</v>
      </c>
      <c r="S506" s="525" t="str">
        <f t="shared" si="120"/>
        <v>n.a.</v>
      </c>
    </row>
    <row r="507" spans="1:19" s="110" customFormat="1" x14ac:dyDescent="0.25">
      <c r="A507" s="785">
        <v>374</v>
      </c>
      <c r="B507" s="525" t="str">
        <f t="shared" si="119"/>
        <v>n.a.</v>
      </c>
      <c r="C507" s="525" t="str">
        <f t="shared" si="119"/>
        <v>n.a.</v>
      </c>
      <c r="D507" s="525" t="str">
        <f t="shared" si="119"/>
        <v>n.a.</v>
      </c>
      <c r="E507" s="525" t="str">
        <f t="shared" si="119"/>
        <v>n.a.</v>
      </c>
      <c r="F507" s="525" t="str">
        <f t="shared" si="119"/>
        <v>73110013</v>
      </c>
      <c r="G507" s="525" t="str">
        <f t="shared" si="119"/>
        <v>n.a.</v>
      </c>
      <c r="H507" s="525" t="str">
        <f t="shared" si="119"/>
        <v>n.a.</v>
      </c>
      <c r="I507" s="525" t="str">
        <f t="shared" si="119"/>
        <v>n.a.</v>
      </c>
      <c r="J507" s="525" t="str">
        <f t="shared" si="119"/>
        <v>n.a.</v>
      </c>
      <c r="K507" s="525" t="str">
        <f t="shared" si="119"/>
        <v>n.a.</v>
      </c>
      <c r="L507" s="525" t="str">
        <f t="shared" si="120"/>
        <v>n.a.</v>
      </c>
      <c r="M507" s="525" t="str">
        <f t="shared" si="120"/>
        <v>n.a.</v>
      </c>
      <c r="N507" s="525" t="str">
        <f t="shared" si="120"/>
        <v>n.a.</v>
      </c>
      <c r="O507" s="525" t="str">
        <f t="shared" si="120"/>
        <v>n.a.</v>
      </c>
      <c r="P507" s="525" t="str">
        <f t="shared" si="120"/>
        <v>n.a.</v>
      </c>
      <c r="Q507" s="525" t="str">
        <f t="shared" si="120"/>
        <v>n.a.</v>
      </c>
      <c r="R507" s="525" t="str">
        <f t="shared" si="120"/>
        <v>n.a.</v>
      </c>
      <c r="S507" s="525" t="str">
        <f t="shared" si="120"/>
        <v>n.a.</v>
      </c>
    </row>
    <row r="508" spans="1:19" s="110" customFormat="1" x14ac:dyDescent="0.25">
      <c r="A508" s="785">
        <v>375</v>
      </c>
      <c r="B508" s="525" t="str">
        <f t="shared" si="119"/>
        <v>n.a.</v>
      </c>
      <c r="C508" s="525" t="str">
        <f t="shared" si="119"/>
        <v>n.a.</v>
      </c>
      <c r="D508" s="525" t="str">
        <f t="shared" si="119"/>
        <v>n.a.</v>
      </c>
      <c r="E508" s="525" t="str">
        <f t="shared" si="119"/>
        <v>n.a.</v>
      </c>
      <c r="F508" s="525" t="str">
        <f t="shared" si="119"/>
        <v>73110019</v>
      </c>
      <c r="G508" s="525" t="str">
        <f t="shared" si="119"/>
        <v>n.a.</v>
      </c>
      <c r="H508" s="525" t="str">
        <f t="shared" si="119"/>
        <v>n.a.</v>
      </c>
      <c r="I508" s="525" t="str">
        <f t="shared" si="119"/>
        <v>n.a.</v>
      </c>
      <c r="J508" s="525" t="str">
        <f t="shared" si="119"/>
        <v>n.a.</v>
      </c>
      <c r="K508" s="525" t="str">
        <f t="shared" si="119"/>
        <v>n.a.</v>
      </c>
      <c r="L508" s="525" t="str">
        <f t="shared" si="120"/>
        <v>n.a.</v>
      </c>
      <c r="M508" s="525" t="str">
        <f t="shared" si="120"/>
        <v>n.a.</v>
      </c>
      <c r="N508" s="525" t="str">
        <f t="shared" si="120"/>
        <v>n.a.</v>
      </c>
      <c r="O508" s="525" t="str">
        <f t="shared" si="120"/>
        <v>n.a.</v>
      </c>
      <c r="P508" s="525" t="str">
        <f t="shared" si="120"/>
        <v>n.a.</v>
      </c>
      <c r="Q508" s="525" t="str">
        <f t="shared" si="120"/>
        <v>n.a.</v>
      </c>
      <c r="R508" s="525" t="str">
        <f t="shared" si="120"/>
        <v>n.a.</v>
      </c>
      <c r="S508" s="525" t="str">
        <f t="shared" si="120"/>
        <v>n.a.</v>
      </c>
    </row>
    <row r="509" spans="1:19" s="110" customFormat="1" x14ac:dyDescent="0.25">
      <c r="A509" s="785">
        <v>376</v>
      </c>
      <c r="B509" s="525" t="str">
        <f t="shared" si="119"/>
        <v>n.a.</v>
      </c>
      <c r="C509" s="525" t="str">
        <f t="shared" si="119"/>
        <v>n.a.</v>
      </c>
      <c r="D509" s="525" t="str">
        <f t="shared" si="119"/>
        <v>n.a.</v>
      </c>
      <c r="E509" s="525" t="str">
        <f t="shared" si="119"/>
        <v>n.a.</v>
      </c>
      <c r="F509" s="525" t="str">
        <f t="shared" si="119"/>
        <v>73110030</v>
      </c>
      <c r="G509" s="525" t="str">
        <f t="shared" si="119"/>
        <v>n.a.</v>
      </c>
      <c r="H509" s="525" t="str">
        <f t="shared" si="119"/>
        <v>n.a.</v>
      </c>
      <c r="I509" s="525" t="str">
        <f t="shared" si="119"/>
        <v>n.a.</v>
      </c>
      <c r="J509" s="525" t="str">
        <f t="shared" si="119"/>
        <v>n.a.</v>
      </c>
      <c r="K509" s="525" t="str">
        <f t="shared" si="119"/>
        <v>n.a.</v>
      </c>
      <c r="L509" s="525" t="str">
        <f t="shared" si="120"/>
        <v>n.a.</v>
      </c>
      <c r="M509" s="525" t="str">
        <f t="shared" si="120"/>
        <v>n.a.</v>
      </c>
      <c r="N509" s="525" t="str">
        <f t="shared" si="120"/>
        <v>n.a.</v>
      </c>
      <c r="O509" s="525" t="str">
        <f t="shared" si="120"/>
        <v>n.a.</v>
      </c>
      <c r="P509" s="525" t="str">
        <f t="shared" si="120"/>
        <v>n.a.</v>
      </c>
      <c r="Q509" s="525" t="str">
        <f t="shared" si="120"/>
        <v>n.a.</v>
      </c>
      <c r="R509" s="525" t="str">
        <f t="shared" si="120"/>
        <v>n.a.</v>
      </c>
      <c r="S509" s="525" t="str">
        <f t="shared" si="120"/>
        <v>n.a.</v>
      </c>
    </row>
    <row r="510" spans="1:19" s="110" customFormat="1" x14ac:dyDescent="0.25">
      <c r="A510" s="785">
        <v>377</v>
      </c>
      <c r="B510" s="525" t="str">
        <f t="shared" si="119"/>
        <v>n.a.</v>
      </c>
      <c r="C510" s="525" t="str">
        <f t="shared" si="119"/>
        <v>n.a.</v>
      </c>
      <c r="D510" s="525" t="str">
        <f t="shared" si="119"/>
        <v>n.a.</v>
      </c>
      <c r="E510" s="525" t="str">
        <f t="shared" si="119"/>
        <v>n.a.</v>
      </c>
      <c r="F510" s="525" t="str">
        <f t="shared" si="119"/>
        <v>73110091</v>
      </c>
      <c r="G510" s="525" t="str">
        <f t="shared" si="119"/>
        <v>n.a.</v>
      </c>
      <c r="H510" s="525" t="str">
        <f t="shared" si="119"/>
        <v>n.a.</v>
      </c>
      <c r="I510" s="525" t="str">
        <f t="shared" si="119"/>
        <v>n.a.</v>
      </c>
      <c r="J510" s="525" t="str">
        <f t="shared" si="119"/>
        <v>n.a.</v>
      </c>
      <c r="K510" s="525" t="str">
        <f t="shared" si="119"/>
        <v>n.a.</v>
      </c>
      <c r="L510" s="525" t="str">
        <f t="shared" si="120"/>
        <v>n.a.</v>
      </c>
      <c r="M510" s="525" t="str">
        <f t="shared" si="120"/>
        <v>n.a.</v>
      </c>
      <c r="N510" s="525" t="str">
        <f t="shared" si="120"/>
        <v>n.a.</v>
      </c>
      <c r="O510" s="525" t="str">
        <f t="shared" si="120"/>
        <v>n.a.</v>
      </c>
      <c r="P510" s="525" t="str">
        <f t="shared" si="120"/>
        <v>n.a.</v>
      </c>
      <c r="Q510" s="525" t="str">
        <f t="shared" si="120"/>
        <v>n.a.</v>
      </c>
      <c r="R510" s="525" t="str">
        <f t="shared" si="120"/>
        <v>n.a.</v>
      </c>
      <c r="S510" s="525" t="str">
        <f t="shared" si="120"/>
        <v>n.a.</v>
      </c>
    </row>
    <row r="511" spans="1:19" s="110" customFormat="1" x14ac:dyDescent="0.25">
      <c r="A511" s="785">
        <v>378</v>
      </c>
      <c r="B511" s="525" t="str">
        <f t="shared" si="119"/>
        <v>n.a.</v>
      </c>
      <c r="C511" s="525" t="str">
        <f t="shared" si="119"/>
        <v>n.a.</v>
      </c>
      <c r="D511" s="525" t="str">
        <f t="shared" si="119"/>
        <v>n.a.</v>
      </c>
      <c r="E511" s="525" t="str">
        <f t="shared" si="119"/>
        <v>n.a.</v>
      </c>
      <c r="F511" s="525" t="str">
        <f t="shared" si="119"/>
        <v>73110099</v>
      </c>
      <c r="G511" s="525" t="str">
        <f t="shared" si="119"/>
        <v>n.a.</v>
      </c>
      <c r="H511" s="525" t="str">
        <f t="shared" si="119"/>
        <v>n.a.</v>
      </c>
      <c r="I511" s="525" t="str">
        <f t="shared" si="119"/>
        <v>n.a.</v>
      </c>
      <c r="J511" s="525" t="str">
        <f t="shared" si="119"/>
        <v>n.a.</v>
      </c>
      <c r="K511" s="525" t="str">
        <f t="shared" si="119"/>
        <v>n.a.</v>
      </c>
      <c r="L511" s="525" t="str">
        <f t="shared" si="120"/>
        <v>n.a.</v>
      </c>
      <c r="M511" s="525" t="str">
        <f t="shared" si="120"/>
        <v>n.a.</v>
      </c>
      <c r="N511" s="525" t="str">
        <f t="shared" si="120"/>
        <v>n.a.</v>
      </c>
      <c r="O511" s="525" t="str">
        <f t="shared" si="120"/>
        <v>n.a.</v>
      </c>
      <c r="P511" s="525" t="str">
        <f t="shared" si="120"/>
        <v>n.a.</v>
      </c>
      <c r="Q511" s="525" t="str">
        <f t="shared" si="120"/>
        <v>n.a.</v>
      </c>
      <c r="R511" s="525" t="str">
        <f t="shared" si="120"/>
        <v>n.a.</v>
      </c>
      <c r="S511" s="525" t="str">
        <f t="shared" si="120"/>
        <v>n.a.</v>
      </c>
    </row>
    <row r="512" spans="1:19" s="110" customFormat="1" x14ac:dyDescent="0.25">
      <c r="A512" s="785">
        <v>379</v>
      </c>
      <c r="B512" s="525" t="str">
        <f t="shared" si="119"/>
        <v>n.a.</v>
      </c>
      <c r="C512" s="525" t="str">
        <f t="shared" si="119"/>
        <v>n.a.</v>
      </c>
      <c r="D512" s="525" t="str">
        <f t="shared" si="119"/>
        <v>n.a.</v>
      </c>
      <c r="E512" s="525" t="str">
        <f t="shared" si="119"/>
        <v>n.a.</v>
      </c>
      <c r="F512" s="525" t="str">
        <f t="shared" si="119"/>
        <v>73181100</v>
      </c>
      <c r="G512" s="525" t="str">
        <f t="shared" si="119"/>
        <v>n.a.</v>
      </c>
      <c r="H512" s="525" t="str">
        <f t="shared" si="119"/>
        <v>n.a.</v>
      </c>
      <c r="I512" s="525" t="str">
        <f t="shared" si="119"/>
        <v>n.a.</v>
      </c>
      <c r="J512" s="525" t="str">
        <f t="shared" si="119"/>
        <v>n.a.</v>
      </c>
      <c r="K512" s="525" t="str">
        <f t="shared" si="119"/>
        <v>n.a.</v>
      </c>
      <c r="L512" s="525" t="str">
        <f t="shared" si="120"/>
        <v>n.a.</v>
      </c>
      <c r="M512" s="525" t="str">
        <f t="shared" si="120"/>
        <v>n.a.</v>
      </c>
      <c r="N512" s="525" t="str">
        <f t="shared" si="120"/>
        <v>n.a.</v>
      </c>
      <c r="O512" s="525" t="str">
        <f t="shared" si="120"/>
        <v>n.a.</v>
      </c>
      <c r="P512" s="525" t="str">
        <f t="shared" si="120"/>
        <v>n.a.</v>
      </c>
      <c r="Q512" s="525" t="str">
        <f t="shared" si="120"/>
        <v>n.a.</v>
      </c>
      <c r="R512" s="525" t="str">
        <f t="shared" si="120"/>
        <v>n.a.</v>
      </c>
      <c r="S512" s="525" t="str">
        <f t="shared" si="120"/>
        <v>n.a.</v>
      </c>
    </row>
    <row r="513" spans="1:19" s="110" customFormat="1" x14ac:dyDescent="0.25">
      <c r="A513" s="785">
        <v>380</v>
      </c>
      <c r="B513" s="525" t="str">
        <f t="shared" si="119"/>
        <v>n.a.</v>
      </c>
      <c r="C513" s="525" t="str">
        <f t="shared" si="119"/>
        <v>n.a.</v>
      </c>
      <c r="D513" s="525" t="str">
        <f t="shared" si="119"/>
        <v>n.a.</v>
      </c>
      <c r="E513" s="525" t="str">
        <f t="shared" si="119"/>
        <v>n.a.</v>
      </c>
      <c r="F513" s="525" t="str">
        <f t="shared" si="119"/>
        <v>73181210</v>
      </c>
      <c r="G513" s="525" t="str">
        <f t="shared" si="119"/>
        <v>n.a.</v>
      </c>
      <c r="H513" s="525" t="str">
        <f t="shared" si="119"/>
        <v>n.a.</v>
      </c>
      <c r="I513" s="525" t="str">
        <f t="shared" si="119"/>
        <v>n.a.</v>
      </c>
      <c r="J513" s="525" t="str">
        <f t="shared" si="119"/>
        <v>n.a.</v>
      </c>
      <c r="K513" s="525" t="str">
        <f t="shared" si="119"/>
        <v>n.a.</v>
      </c>
      <c r="L513" s="525" t="str">
        <f t="shared" si="120"/>
        <v>n.a.</v>
      </c>
      <c r="M513" s="525" t="str">
        <f t="shared" si="120"/>
        <v>n.a.</v>
      </c>
      <c r="N513" s="525" t="str">
        <f t="shared" si="120"/>
        <v>n.a.</v>
      </c>
      <c r="O513" s="525" t="str">
        <f t="shared" si="120"/>
        <v>n.a.</v>
      </c>
      <c r="P513" s="525" t="str">
        <f t="shared" si="120"/>
        <v>n.a.</v>
      </c>
      <c r="Q513" s="525" t="str">
        <f t="shared" si="120"/>
        <v>n.a.</v>
      </c>
      <c r="R513" s="525" t="str">
        <f t="shared" si="120"/>
        <v>n.a.</v>
      </c>
      <c r="S513" s="525" t="str">
        <f t="shared" si="120"/>
        <v>n.a.</v>
      </c>
    </row>
    <row r="514" spans="1:19" s="110" customFormat="1" x14ac:dyDescent="0.25">
      <c r="A514" s="785">
        <v>381</v>
      </c>
      <c r="B514" s="525" t="str">
        <f t="shared" ref="B514:K523" si="121">IFERROR(INDEX(CNCodes_ListKey,MATCH($A514&amp;"_"&amp;B$132,CNCodes_ListNumbering,0)),CONST_NA)</f>
        <v>n.a.</v>
      </c>
      <c r="C514" s="525" t="str">
        <f t="shared" si="121"/>
        <v>n.a.</v>
      </c>
      <c r="D514" s="525" t="str">
        <f t="shared" si="121"/>
        <v>n.a.</v>
      </c>
      <c r="E514" s="525" t="str">
        <f t="shared" si="121"/>
        <v>n.a.</v>
      </c>
      <c r="F514" s="525" t="str">
        <f t="shared" si="121"/>
        <v>73181290</v>
      </c>
      <c r="G514" s="525" t="str">
        <f t="shared" si="121"/>
        <v>n.a.</v>
      </c>
      <c r="H514" s="525" t="str">
        <f t="shared" si="121"/>
        <v>n.a.</v>
      </c>
      <c r="I514" s="525" t="str">
        <f t="shared" si="121"/>
        <v>n.a.</v>
      </c>
      <c r="J514" s="525" t="str">
        <f t="shared" si="121"/>
        <v>n.a.</v>
      </c>
      <c r="K514" s="525" t="str">
        <f t="shared" si="121"/>
        <v>n.a.</v>
      </c>
      <c r="L514" s="525" t="str">
        <f t="shared" ref="L514:S523" si="122">IFERROR(INDEX(CNCodes_ListKey,MATCH($A514&amp;"_"&amp;L$132,CNCodes_ListNumbering,0)),CONST_NA)</f>
        <v>n.a.</v>
      </c>
      <c r="M514" s="525" t="str">
        <f t="shared" si="122"/>
        <v>n.a.</v>
      </c>
      <c r="N514" s="525" t="str">
        <f t="shared" si="122"/>
        <v>n.a.</v>
      </c>
      <c r="O514" s="525" t="str">
        <f t="shared" si="122"/>
        <v>n.a.</v>
      </c>
      <c r="P514" s="525" t="str">
        <f t="shared" si="122"/>
        <v>n.a.</v>
      </c>
      <c r="Q514" s="525" t="str">
        <f t="shared" si="122"/>
        <v>n.a.</v>
      </c>
      <c r="R514" s="525" t="str">
        <f t="shared" si="122"/>
        <v>n.a.</v>
      </c>
      <c r="S514" s="525" t="str">
        <f t="shared" si="122"/>
        <v>n.a.</v>
      </c>
    </row>
    <row r="515" spans="1:19" s="110" customFormat="1" x14ac:dyDescent="0.25">
      <c r="A515" s="785">
        <v>382</v>
      </c>
      <c r="B515" s="525" t="str">
        <f t="shared" si="121"/>
        <v>n.a.</v>
      </c>
      <c r="C515" s="525" t="str">
        <f t="shared" si="121"/>
        <v>n.a.</v>
      </c>
      <c r="D515" s="525" t="str">
        <f t="shared" si="121"/>
        <v>n.a.</v>
      </c>
      <c r="E515" s="525" t="str">
        <f t="shared" si="121"/>
        <v>n.a.</v>
      </c>
      <c r="F515" s="525" t="str">
        <f t="shared" si="121"/>
        <v>73181300</v>
      </c>
      <c r="G515" s="525" t="str">
        <f t="shared" si="121"/>
        <v>n.a.</v>
      </c>
      <c r="H515" s="525" t="str">
        <f t="shared" si="121"/>
        <v>n.a.</v>
      </c>
      <c r="I515" s="525" t="str">
        <f t="shared" si="121"/>
        <v>n.a.</v>
      </c>
      <c r="J515" s="525" t="str">
        <f t="shared" si="121"/>
        <v>n.a.</v>
      </c>
      <c r="K515" s="525" t="str">
        <f t="shared" si="121"/>
        <v>n.a.</v>
      </c>
      <c r="L515" s="525" t="str">
        <f t="shared" si="122"/>
        <v>n.a.</v>
      </c>
      <c r="M515" s="525" t="str">
        <f t="shared" si="122"/>
        <v>n.a.</v>
      </c>
      <c r="N515" s="525" t="str">
        <f t="shared" si="122"/>
        <v>n.a.</v>
      </c>
      <c r="O515" s="525" t="str">
        <f t="shared" si="122"/>
        <v>n.a.</v>
      </c>
      <c r="P515" s="525" t="str">
        <f t="shared" si="122"/>
        <v>n.a.</v>
      </c>
      <c r="Q515" s="525" t="str">
        <f t="shared" si="122"/>
        <v>n.a.</v>
      </c>
      <c r="R515" s="525" t="str">
        <f t="shared" si="122"/>
        <v>n.a.</v>
      </c>
      <c r="S515" s="525" t="str">
        <f t="shared" si="122"/>
        <v>n.a.</v>
      </c>
    </row>
    <row r="516" spans="1:19" s="110" customFormat="1" x14ac:dyDescent="0.25">
      <c r="A516" s="785">
        <v>383</v>
      </c>
      <c r="B516" s="525" t="str">
        <f t="shared" si="121"/>
        <v>n.a.</v>
      </c>
      <c r="C516" s="525" t="str">
        <f t="shared" si="121"/>
        <v>n.a.</v>
      </c>
      <c r="D516" s="525" t="str">
        <f t="shared" si="121"/>
        <v>n.a.</v>
      </c>
      <c r="E516" s="525" t="str">
        <f t="shared" si="121"/>
        <v>n.a.</v>
      </c>
      <c r="F516" s="525" t="str">
        <f t="shared" si="121"/>
        <v>73181410</v>
      </c>
      <c r="G516" s="525" t="str">
        <f t="shared" si="121"/>
        <v>n.a.</v>
      </c>
      <c r="H516" s="525" t="str">
        <f t="shared" si="121"/>
        <v>n.a.</v>
      </c>
      <c r="I516" s="525" t="str">
        <f t="shared" si="121"/>
        <v>n.a.</v>
      </c>
      <c r="J516" s="525" t="str">
        <f t="shared" si="121"/>
        <v>n.a.</v>
      </c>
      <c r="K516" s="525" t="str">
        <f t="shared" si="121"/>
        <v>n.a.</v>
      </c>
      <c r="L516" s="525" t="str">
        <f t="shared" si="122"/>
        <v>n.a.</v>
      </c>
      <c r="M516" s="525" t="str">
        <f t="shared" si="122"/>
        <v>n.a.</v>
      </c>
      <c r="N516" s="525" t="str">
        <f t="shared" si="122"/>
        <v>n.a.</v>
      </c>
      <c r="O516" s="525" t="str">
        <f t="shared" si="122"/>
        <v>n.a.</v>
      </c>
      <c r="P516" s="525" t="str">
        <f t="shared" si="122"/>
        <v>n.a.</v>
      </c>
      <c r="Q516" s="525" t="str">
        <f t="shared" si="122"/>
        <v>n.a.</v>
      </c>
      <c r="R516" s="525" t="str">
        <f t="shared" si="122"/>
        <v>n.a.</v>
      </c>
      <c r="S516" s="525" t="str">
        <f t="shared" si="122"/>
        <v>n.a.</v>
      </c>
    </row>
    <row r="517" spans="1:19" s="110" customFormat="1" x14ac:dyDescent="0.25">
      <c r="A517" s="785">
        <v>384</v>
      </c>
      <c r="B517" s="525" t="str">
        <f t="shared" si="121"/>
        <v>n.a.</v>
      </c>
      <c r="C517" s="525" t="str">
        <f t="shared" si="121"/>
        <v>n.a.</v>
      </c>
      <c r="D517" s="525" t="str">
        <f t="shared" si="121"/>
        <v>n.a.</v>
      </c>
      <c r="E517" s="525" t="str">
        <f t="shared" si="121"/>
        <v>n.a.</v>
      </c>
      <c r="F517" s="525" t="str">
        <f t="shared" si="121"/>
        <v>73181491</v>
      </c>
      <c r="G517" s="525" t="str">
        <f t="shared" si="121"/>
        <v>n.a.</v>
      </c>
      <c r="H517" s="525" t="str">
        <f t="shared" si="121"/>
        <v>n.a.</v>
      </c>
      <c r="I517" s="525" t="str">
        <f t="shared" si="121"/>
        <v>n.a.</v>
      </c>
      <c r="J517" s="525" t="str">
        <f t="shared" si="121"/>
        <v>n.a.</v>
      </c>
      <c r="K517" s="525" t="str">
        <f t="shared" si="121"/>
        <v>n.a.</v>
      </c>
      <c r="L517" s="525" t="str">
        <f t="shared" si="122"/>
        <v>n.a.</v>
      </c>
      <c r="M517" s="525" t="str">
        <f t="shared" si="122"/>
        <v>n.a.</v>
      </c>
      <c r="N517" s="525" t="str">
        <f t="shared" si="122"/>
        <v>n.a.</v>
      </c>
      <c r="O517" s="525" t="str">
        <f t="shared" si="122"/>
        <v>n.a.</v>
      </c>
      <c r="P517" s="525" t="str">
        <f t="shared" si="122"/>
        <v>n.a.</v>
      </c>
      <c r="Q517" s="525" t="str">
        <f t="shared" si="122"/>
        <v>n.a.</v>
      </c>
      <c r="R517" s="525" t="str">
        <f t="shared" si="122"/>
        <v>n.a.</v>
      </c>
      <c r="S517" s="525" t="str">
        <f t="shared" si="122"/>
        <v>n.a.</v>
      </c>
    </row>
    <row r="518" spans="1:19" s="110" customFormat="1" x14ac:dyDescent="0.25">
      <c r="A518" s="785">
        <v>385</v>
      </c>
      <c r="B518" s="525" t="str">
        <f t="shared" si="121"/>
        <v>n.a.</v>
      </c>
      <c r="C518" s="525" t="str">
        <f t="shared" si="121"/>
        <v>n.a.</v>
      </c>
      <c r="D518" s="525" t="str">
        <f t="shared" si="121"/>
        <v>n.a.</v>
      </c>
      <c r="E518" s="525" t="str">
        <f t="shared" si="121"/>
        <v>n.a.</v>
      </c>
      <c r="F518" s="525" t="str">
        <f t="shared" si="121"/>
        <v>73181499</v>
      </c>
      <c r="G518" s="525" t="str">
        <f t="shared" si="121"/>
        <v>n.a.</v>
      </c>
      <c r="H518" s="525" t="str">
        <f t="shared" si="121"/>
        <v>n.a.</v>
      </c>
      <c r="I518" s="525" t="str">
        <f t="shared" si="121"/>
        <v>n.a.</v>
      </c>
      <c r="J518" s="525" t="str">
        <f t="shared" si="121"/>
        <v>n.a.</v>
      </c>
      <c r="K518" s="525" t="str">
        <f t="shared" si="121"/>
        <v>n.a.</v>
      </c>
      <c r="L518" s="525" t="str">
        <f t="shared" si="122"/>
        <v>n.a.</v>
      </c>
      <c r="M518" s="525" t="str">
        <f t="shared" si="122"/>
        <v>n.a.</v>
      </c>
      <c r="N518" s="525" t="str">
        <f t="shared" si="122"/>
        <v>n.a.</v>
      </c>
      <c r="O518" s="525" t="str">
        <f t="shared" si="122"/>
        <v>n.a.</v>
      </c>
      <c r="P518" s="525" t="str">
        <f t="shared" si="122"/>
        <v>n.a.</v>
      </c>
      <c r="Q518" s="525" t="str">
        <f t="shared" si="122"/>
        <v>n.a.</v>
      </c>
      <c r="R518" s="525" t="str">
        <f t="shared" si="122"/>
        <v>n.a.</v>
      </c>
      <c r="S518" s="525" t="str">
        <f t="shared" si="122"/>
        <v>n.a.</v>
      </c>
    </row>
    <row r="519" spans="1:19" s="110" customFormat="1" x14ac:dyDescent="0.25">
      <c r="A519" s="785">
        <v>386</v>
      </c>
      <c r="B519" s="525" t="str">
        <f t="shared" si="121"/>
        <v>n.a.</v>
      </c>
      <c r="C519" s="525" t="str">
        <f t="shared" si="121"/>
        <v>n.a.</v>
      </c>
      <c r="D519" s="525" t="str">
        <f t="shared" si="121"/>
        <v>n.a.</v>
      </c>
      <c r="E519" s="525" t="str">
        <f t="shared" si="121"/>
        <v>n.a.</v>
      </c>
      <c r="F519" s="525" t="str">
        <f t="shared" si="121"/>
        <v>73181520</v>
      </c>
      <c r="G519" s="525" t="str">
        <f t="shared" si="121"/>
        <v>n.a.</v>
      </c>
      <c r="H519" s="525" t="str">
        <f t="shared" si="121"/>
        <v>n.a.</v>
      </c>
      <c r="I519" s="525" t="str">
        <f t="shared" si="121"/>
        <v>n.a.</v>
      </c>
      <c r="J519" s="525" t="str">
        <f t="shared" si="121"/>
        <v>n.a.</v>
      </c>
      <c r="K519" s="525" t="str">
        <f t="shared" si="121"/>
        <v>n.a.</v>
      </c>
      <c r="L519" s="525" t="str">
        <f t="shared" si="122"/>
        <v>n.a.</v>
      </c>
      <c r="M519" s="525" t="str">
        <f t="shared" si="122"/>
        <v>n.a.</v>
      </c>
      <c r="N519" s="525" t="str">
        <f t="shared" si="122"/>
        <v>n.a.</v>
      </c>
      <c r="O519" s="525" t="str">
        <f t="shared" si="122"/>
        <v>n.a.</v>
      </c>
      <c r="P519" s="525" t="str">
        <f t="shared" si="122"/>
        <v>n.a.</v>
      </c>
      <c r="Q519" s="525" t="str">
        <f t="shared" si="122"/>
        <v>n.a.</v>
      </c>
      <c r="R519" s="525" t="str">
        <f t="shared" si="122"/>
        <v>n.a.</v>
      </c>
      <c r="S519" s="525" t="str">
        <f t="shared" si="122"/>
        <v>n.a.</v>
      </c>
    </row>
    <row r="520" spans="1:19" s="110" customFormat="1" x14ac:dyDescent="0.25">
      <c r="A520" s="785">
        <v>387</v>
      </c>
      <c r="B520" s="525" t="str">
        <f t="shared" si="121"/>
        <v>n.a.</v>
      </c>
      <c r="C520" s="525" t="str">
        <f t="shared" si="121"/>
        <v>n.a.</v>
      </c>
      <c r="D520" s="525" t="str">
        <f t="shared" si="121"/>
        <v>n.a.</v>
      </c>
      <c r="E520" s="525" t="str">
        <f t="shared" si="121"/>
        <v>n.a.</v>
      </c>
      <c r="F520" s="525" t="str">
        <f t="shared" si="121"/>
        <v>73181535</v>
      </c>
      <c r="G520" s="525" t="str">
        <f t="shared" si="121"/>
        <v>n.a.</v>
      </c>
      <c r="H520" s="525" t="str">
        <f t="shared" si="121"/>
        <v>n.a.</v>
      </c>
      <c r="I520" s="525" t="str">
        <f t="shared" si="121"/>
        <v>n.a.</v>
      </c>
      <c r="J520" s="525" t="str">
        <f t="shared" si="121"/>
        <v>n.a.</v>
      </c>
      <c r="K520" s="525" t="str">
        <f t="shared" si="121"/>
        <v>n.a.</v>
      </c>
      <c r="L520" s="525" t="str">
        <f t="shared" si="122"/>
        <v>n.a.</v>
      </c>
      <c r="M520" s="525" t="str">
        <f t="shared" si="122"/>
        <v>n.a.</v>
      </c>
      <c r="N520" s="525" t="str">
        <f t="shared" si="122"/>
        <v>n.a.</v>
      </c>
      <c r="O520" s="525" t="str">
        <f t="shared" si="122"/>
        <v>n.a.</v>
      </c>
      <c r="P520" s="525" t="str">
        <f t="shared" si="122"/>
        <v>n.a.</v>
      </c>
      <c r="Q520" s="525" t="str">
        <f t="shared" si="122"/>
        <v>n.a.</v>
      </c>
      <c r="R520" s="525" t="str">
        <f t="shared" si="122"/>
        <v>n.a.</v>
      </c>
      <c r="S520" s="525" t="str">
        <f t="shared" si="122"/>
        <v>n.a.</v>
      </c>
    </row>
    <row r="521" spans="1:19" s="110" customFormat="1" x14ac:dyDescent="0.25">
      <c r="A521" s="785">
        <v>388</v>
      </c>
      <c r="B521" s="525" t="str">
        <f t="shared" si="121"/>
        <v>n.a.</v>
      </c>
      <c r="C521" s="525" t="str">
        <f t="shared" si="121"/>
        <v>n.a.</v>
      </c>
      <c r="D521" s="525" t="str">
        <f t="shared" si="121"/>
        <v>n.a.</v>
      </c>
      <c r="E521" s="525" t="str">
        <f t="shared" si="121"/>
        <v>n.a.</v>
      </c>
      <c r="F521" s="525" t="str">
        <f t="shared" si="121"/>
        <v>73181542</v>
      </c>
      <c r="G521" s="525" t="str">
        <f t="shared" si="121"/>
        <v>n.a.</v>
      </c>
      <c r="H521" s="525" t="str">
        <f t="shared" si="121"/>
        <v>n.a.</v>
      </c>
      <c r="I521" s="525" t="str">
        <f t="shared" si="121"/>
        <v>n.a.</v>
      </c>
      <c r="J521" s="525" t="str">
        <f t="shared" si="121"/>
        <v>n.a.</v>
      </c>
      <c r="K521" s="525" t="str">
        <f t="shared" si="121"/>
        <v>n.a.</v>
      </c>
      <c r="L521" s="525" t="str">
        <f t="shared" si="122"/>
        <v>n.a.</v>
      </c>
      <c r="M521" s="525" t="str">
        <f t="shared" si="122"/>
        <v>n.a.</v>
      </c>
      <c r="N521" s="525" t="str">
        <f t="shared" si="122"/>
        <v>n.a.</v>
      </c>
      <c r="O521" s="525" t="str">
        <f t="shared" si="122"/>
        <v>n.a.</v>
      </c>
      <c r="P521" s="525" t="str">
        <f t="shared" si="122"/>
        <v>n.a.</v>
      </c>
      <c r="Q521" s="525" t="str">
        <f t="shared" si="122"/>
        <v>n.a.</v>
      </c>
      <c r="R521" s="525" t="str">
        <f t="shared" si="122"/>
        <v>n.a.</v>
      </c>
      <c r="S521" s="525" t="str">
        <f t="shared" si="122"/>
        <v>n.a.</v>
      </c>
    </row>
    <row r="522" spans="1:19" s="110" customFormat="1" x14ac:dyDescent="0.25">
      <c r="A522" s="785">
        <v>389</v>
      </c>
      <c r="B522" s="525" t="str">
        <f t="shared" si="121"/>
        <v>n.a.</v>
      </c>
      <c r="C522" s="525" t="str">
        <f t="shared" si="121"/>
        <v>n.a.</v>
      </c>
      <c r="D522" s="525" t="str">
        <f t="shared" si="121"/>
        <v>n.a.</v>
      </c>
      <c r="E522" s="525" t="str">
        <f t="shared" si="121"/>
        <v>n.a.</v>
      </c>
      <c r="F522" s="525" t="str">
        <f t="shared" si="121"/>
        <v>73181548</v>
      </c>
      <c r="G522" s="525" t="str">
        <f t="shared" si="121"/>
        <v>n.a.</v>
      </c>
      <c r="H522" s="525" t="str">
        <f t="shared" si="121"/>
        <v>n.a.</v>
      </c>
      <c r="I522" s="525" t="str">
        <f t="shared" si="121"/>
        <v>n.a.</v>
      </c>
      <c r="J522" s="525" t="str">
        <f t="shared" si="121"/>
        <v>n.a.</v>
      </c>
      <c r="K522" s="525" t="str">
        <f t="shared" si="121"/>
        <v>n.a.</v>
      </c>
      <c r="L522" s="525" t="str">
        <f t="shared" si="122"/>
        <v>n.a.</v>
      </c>
      <c r="M522" s="525" t="str">
        <f t="shared" si="122"/>
        <v>n.a.</v>
      </c>
      <c r="N522" s="525" t="str">
        <f t="shared" si="122"/>
        <v>n.a.</v>
      </c>
      <c r="O522" s="525" t="str">
        <f t="shared" si="122"/>
        <v>n.a.</v>
      </c>
      <c r="P522" s="525" t="str">
        <f t="shared" si="122"/>
        <v>n.a.</v>
      </c>
      <c r="Q522" s="525" t="str">
        <f t="shared" si="122"/>
        <v>n.a.</v>
      </c>
      <c r="R522" s="525" t="str">
        <f t="shared" si="122"/>
        <v>n.a.</v>
      </c>
      <c r="S522" s="525" t="str">
        <f t="shared" si="122"/>
        <v>n.a.</v>
      </c>
    </row>
    <row r="523" spans="1:19" s="110" customFormat="1" x14ac:dyDescent="0.25">
      <c r="A523" s="785">
        <v>390</v>
      </c>
      <c r="B523" s="525" t="str">
        <f t="shared" si="121"/>
        <v>n.a.</v>
      </c>
      <c r="C523" s="525" t="str">
        <f t="shared" si="121"/>
        <v>n.a.</v>
      </c>
      <c r="D523" s="525" t="str">
        <f t="shared" si="121"/>
        <v>n.a.</v>
      </c>
      <c r="E523" s="525" t="str">
        <f t="shared" si="121"/>
        <v>n.a.</v>
      </c>
      <c r="F523" s="525" t="str">
        <f t="shared" si="121"/>
        <v>73181552</v>
      </c>
      <c r="G523" s="525" t="str">
        <f t="shared" si="121"/>
        <v>n.a.</v>
      </c>
      <c r="H523" s="525" t="str">
        <f t="shared" si="121"/>
        <v>n.a.</v>
      </c>
      <c r="I523" s="525" t="str">
        <f t="shared" si="121"/>
        <v>n.a.</v>
      </c>
      <c r="J523" s="525" t="str">
        <f t="shared" si="121"/>
        <v>n.a.</v>
      </c>
      <c r="K523" s="525" t="str">
        <f t="shared" si="121"/>
        <v>n.a.</v>
      </c>
      <c r="L523" s="525" t="str">
        <f t="shared" si="122"/>
        <v>n.a.</v>
      </c>
      <c r="M523" s="525" t="str">
        <f t="shared" si="122"/>
        <v>n.a.</v>
      </c>
      <c r="N523" s="525" t="str">
        <f t="shared" si="122"/>
        <v>n.a.</v>
      </c>
      <c r="O523" s="525" t="str">
        <f t="shared" si="122"/>
        <v>n.a.</v>
      </c>
      <c r="P523" s="525" t="str">
        <f t="shared" si="122"/>
        <v>n.a.</v>
      </c>
      <c r="Q523" s="525" t="str">
        <f t="shared" si="122"/>
        <v>n.a.</v>
      </c>
      <c r="R523" s="525" t="str">
        <f t="shared" si="122"/>
        <v>n.a.</v>
      </c>
      <c r="S523" s="525" t="str">
        <f t="shared" si="122"/>
        <v>n.a.</v>
      </c>
    </row>
    <row r="524" spans="1:19" s="110" customFormat="1" x14ac:dyDescent="0.25">
      <c r="A524" s="785">
        <v>391</v>
      </c>
      <c r="B524" s="525" t="str">
        <f t="shared" ref="B524:K533" si="123">IFERROR(INDEX(CNCodes_ListKey,MATCH($A524&amp;"_"&amp;B$132,CNCodes_ListNumbering,0)),CONST_NA)</f>
        <v>n.a.</v>
      </c>
      <c r="C524" s="525" t="str">
        <f t="shared" si="123"/>
        <v>n.a.</v>
      </c>
      <c r="D524" s="525" t="str">
        <f t="shared" si="123"/>
        <v>n.a.</v>
      </c>
      <c r="E524" s="525" t="str">
        <f t="shared" si="123"/>
        <v>n.a.</v>
      </c>
      <c r="F524" s="525" t="str">
        <f t="shared" si="123"/>
        <v>73181558</v>
      </c>
      <c r="G524" s="525" t="str">
        <f t="shared" si="123"/>
        <v>n.a.</v>
      </c>
      <c r="H524" s="525" t="str">
        <f t="shared" si="123"/>
        <v>n.a.</v>
      </c>
      <c r="I524" s="525" t="str">
        <f t="shared" si="123"/>
        <v>n.a.</v>
      </c>
      <c r="J524" s="525" t="str">
        <f t="shared" si="123"/>
        <v>n.a.</v>
      </c>
      <c r="K524" s="525" t="str">
        <f t="shared" si="123"/>
        <v>n.a.</v>
      </c>
      <c r="L524" s="525" t="str">
        <f t="shared" ref="L524:S533" si="124">IFERROR(INDEX(CNCodes_ListKey,MATCH($A524&amp;"_"&amp;L$132,CNCodes_ListNumbering,0)),CONST_NA)</f>
        <v>n.a.</v>
      </c>
      <c r="M524" s="525" t="str">
        <f t="shared" si="124"/>
        <v>n.a.</v>
      </c>
      <c r="N524" s="525" t="str">
        <f t="shared" si="124"/>
        <v>n.a.</v>
      </c>
      <c r="O524" s="525" t="str">
        <f t="shared" si="124"/>
        <v>n.a.</v>
      </c>
      <c r="P524" s="525" t="str">
        <f t="shared" si="124"/>
        <v>n.a.</v>
      </c>
      <c r="Q524" s="525" t="str">
        <f t="shared" si="124"/>
        <v>n.a.</v>
      </c>
      <c r="R524" s="525" t="str">
        <f t="shared" si="124"/>
        <v>n.a.</v>
      </c>
      <c r="S524" s="525" t="str">
        <f t="shared" si="124"/>
        <v>n.a.</v>
      </c>
    </row>
    <row r="525" spans="1:19" s="110" customFormat="1" x14ac:dyDescent="0.25">
      <c r="A525" s="785">
        <v>392</v>
      </c>
      <c r="B525" s="525" t="str">
        <f t="shared" si="123"/>
        <v>n.a.</v>
      </c>
      <c r="C525" s="525" t="str">
        <f t="shared" si="123"/>
        <v>n.a.</v>
      </c>
      <c r="D525" s="525" t="str">
        <f t="shared" si="123"/>
        <v>n.a.</v>
      </c>
      <c r="E525" s="525" t="str">
        <f t="shared" si="123"/>
        <v>n.a.</v>
      </c>
      <c r="F525" s="525" t="str">
        <f t="shared" si="123"/>
        <v>73181562</v>
      </c>
      <c r="G525" s="525" t="str">
        <f t="shared" si="123"/>
        <v>n.a.</v>
      </c>
      <c r="H525" s="525" t="str">
        <f t="shared" si="123"/>
        <v>n.a.</v>
      </c>
      <c r="I525" s="525" t="str">
        <f t="shared" si="123"/>
        <v>n.a.</v>
      </c>
      <c r="J525" s="525" t="str">
        <f t="shared" si="123"/>
        <v>n.a.</v>
      </c>
      <c r="K525" s="525" t="str">
        <f t="shared" si="123"/>
        <v>n.a.</v>
      </c>
      <c r="L525" s="525" t="str">
        <f t="shared" si="124"/>
        <v>n.a.</v>
      </c>
      <c r="M525" s="525" t="str">
        <f t="shared" si="124"/>
        <v>n.a.</v>
      </c>
      <c r="N525" s="525" t="str">
        <f t="shared" si="124"/>
        <v>n.a.</v>
      </c>
      <c r="O525" s="525" t="str">
        <f t="shared" si="124"/>
        <v>n.a.</v>
      </c>
      <c r="P525" s="525" t="str">
        <f t="shared" si="124"/>
        <v>n.a.</v>
      </c>
      <c r="Q525" s="525" t="str">
        <f t="shared" si="124"/>
        <v>n.a.</v>
      </c>
      <c r="R525" s="525" t="str">
        <f t="shared" si="124"/>
        <v>n.a.</v>
      </c>
      <c r="S525" s="525" t="str">
        <f t="shared" si="124"/>
        <v>n.a.</v>
      </c>
    </row>
    <row r="526" spans="1:19" s="110" customFormat="1" x14ac:dyDescent="0.25">
      <c r="A526" s="785">
        <v>393</v>
      </c>
      <c r="B526" s="525" t="str">
        <f t="shared" si="123"/>
        <v>n.a.</v>
      </c>
      <c r="C526" s="525" t="str">
        <f t="shared" si="123"/>
        <v>n.a.</v>
      </c>
      <c r="D526" s="525" t="str">
        <f t="shared" si="123"/>
        <v>n.a.</v>
      </c>
      <c r="E526" s="525" t="str">
        <f t="shared" si="123"/>
        <v>n.a.</v>
      </c>
      <c r="F526" s="525" t="str">
        <f t="shared" si="123"/>
        <v>73181568</v>
      </c>
      <c r="G526" s="525" t="str">
        <f t="shared" si="123"/>
        <v>n.a.</v>
      </c>
      <c r="H526" s="525" t="str">
        <f t="shared" si="123"/>
        <v>n.a.</v>
      </c>
      <c r="I526" s="525" t="str">
        <f t="shared" si="123"/>
        <v>n.a.</v>
      </c>
      <c r="J526" s="525" t="str">
        <f t="shared" si="123"/>
        <v>n.a.</v>
      </c>
      <c r="K526" s="525" t="str">
        <f t="shared" si="123"/>
        <v>n.a.</v>
      </c>
      <c r="L526" s="525" t="str">
        <f t="shared" si="124"/>
        <v>n.a.</v>
      </c>
      <c r="M526" s="525" t="str">
        <f t="shared" si="124"/>
        <v>n.a.</v>
      </c>
      <c r="N526" s="525" t="str">
        <f t="shared" si="124"/>
        <v>n.a.</v>
      </c>
      <c r="O526" s="525" t="str">
        <f t="shared" si="124"/>
        <v>n.a.</v>
      </c>
      <c r="P526" s="525" t="str">
        <f t="shared" si="124"/>
        <v>n.a.</v>
      </c>
      <c r="Q526" s="525" t="str">
        <f t="shared" si="124"/>
        <v>n.a.</v>
      </c>
      <c r="R526" s="525" t="str">
        <f t="shared" si="124"/>
        <v>n.a.</v>
      </c>
      <c r="S526" s="525" t="str">
        <f t="shared" si="124"/>
        <v>n.a.</v>
      </c>
    </row>
    <row r="527" spans="1:19" s="110" customFormat="1" x14ac:dyDescent="0.25">
      <c r="A527" s="785">
        <v>394</v>
      </c>
      <c r="B527" s="525" t="str">
        <f t="shared" si="123"/>
        <v>n.a.</v>
      </c>
      <c r="C527" s="525" t="str">
        <f t="shared" si="123"/>
        <v>n.a.</v>
      </c>
      <c r="D527" s="525" t="str">
        <f t="shared" si="123"/>
        <v>n.a.</v>
      </c>
      <c r="E527" s="525" t="str">
        <f t="shared" si="123"/>
        <v>n.a.</v>
      </c>
      <c r="F527" s="525" t="str">
        <f t="shared" si="123"/>
        <v>73181575</v>
      </c>
      <c r="G527" s="525" t="str">
        <f t="shared" si="123"/>
        <v>n.a.</v>
      </c>
      <c r="H527" s="525" t="str">
        <f t="shared" si="123"/>
        <v>n.a.</v>
      </c>
      <c r="I527" s="525" t="str">
        <f t="shared" si="123"/>
        <v>n.a.</v>
      </c>
      <c r="J527" s="525" t="str">
        <f t="shared" si="123"/>
        <v>n.a.</v>
      </c>
      <c r="K527" s="525" t="str">
        <f t="shared" si="123"/>
        <v>n.a.</v>
      </c>
      <c r="L527" s="525" t="str">
        <f t="shared" si="124"/>
        <v>n.a.</v>
      </c>
      <c r="M527" s="525" t="str">
        <f t="shared" si="124"/>
        <v>n.a.</v>
      </c>
      <c r="N527" s="525" t="str">
        <f t="shared" si="124"/>
        <v>n.a.</v>
      </c>
      <c r="O527" s="525" t="str">
        <f t="shared" si="124"/>
        <v>n.a.</v>
      </c>
      <c r="P527" s="525" t="str">
        <f t="shared" si="124"/>
        <v>n.a.</v>
      </c>
      <c r="Q527" s="525" t="str">
        <f t="shared" si="124"/>
        <v>n.a.</v>
      </c>
      <c r="R527" s="525" t="str">
        <f t="shared" si="124"/>
        <v>n.a.</v>
      </c>
      <c r="S527" s="525" t="str">
        <f t="shared" si="124"/>
        <v>n.a.</v>
      </c>
    </row>
    <row r="528" spans="1:19" s="110" customFormat="1" x14ac:dyDescent="0.25">
      <c r="A528" s="785">
        <v>395</v>
      </c>
      <c r="B528" s="525" t="str">
        <f t="shared" si="123"/>
        <v>n.a.</v>
      </c>
      <c r="C528" s="525" t="str">
        <f t="shared" si="123"/>
        <v>n.a.</v>
      </c>
      <c r="D528" s="525" t="str">
        <f t="shared" si="123"/>
        <v>n.a.</v>
      </c>
      <c r="E528" s="525" t="str">
        <f t="shared" si="123"/>
        <v>n.a.</v>
      </c>
      <c r="F528" s="525" t="str">
        <f t="shared" si="123"/>
        <v>73181582</v>
      </c>
      <c r="G528" s="525" t="str">
        <f t="shared" si="123"/>
        <v>n.a.</v>
      </c>
      <c r="H528" s="525" t="str">
        <f t="shared" si="123"/>
        <v>n.a.</v>
      </c>
      <c r="I528" s="525" t="str">
        <f t="shared" si="123"/>
        <v>n.a.</v>
      </c>
      <c r="J528" s="525" t="str">
        <f t="shared" si="123"/>
        <v>n.a.</v>
      </c>
      <c r="K528" s="525" t="str">
        <f t="shared" si="123"/>
        <v>n.a.</v>
      </c>
      <c r="L528" s="525" t="str">
        <f t="shared" si="124"/>
        <v>n.a.</v>
      </c>
      <c r="M528" s="525" t="str">
        <f t="shared" si="124"/>
        <v>n.a.</v>
      </c>
      <c r="N528" s="525" t="str">
        <f t="shared" si="124"/>
        <v>n.a.</v>
      </c>
      <c r="O528" s="525" t="str">
        <f t="shared" si="124"/>
        <v>n.a.</v>
      </c>
      <c r="P528" s="525" t="str">
        <f t="shared" si="124"/>
        <v>n.a.</v>
      </c>
      <c r="Q528" s="525" t="str">
        <f t="shared" si="124"/>
        <v>n.a.</v>
      </c>
      <c r="R528" s="525" t="str">
        <f t="shared" si="124"/>
        <v>n.a.</v>
      </c>
      <c r="S528" s="525" t="str">
        <f t="shared" si="124"/>
        <v>n.a.</v>
      </c>
    </row>
    <row r="529" spans="1:19" s="110" customFormat="1" x14ac:dyDescent="0.25">
      <c r="A529" s="785">
        <v>396</v>
      </c>
      <c r="B529" s="525" t="str">
        <f t="shared" si="123"/>
        <v>n.a.</v>
      </c>
      <c r="C529" s="525" t="str">
        <f t="shared" si="123"/>
        <v>n.a.</v>
      </c>
      <c r="D529" s="525" t="str">
        <f t="shared" si="123"/>
        <v>n.a.</v>
      </c>
      <c r="E529" s="525" t="str">
        <f t="shared" si="123"/>
        <v>n.a.</v>
      </c>
      <c r="F529" s="525" t="str">
        <f t="shared" si="123"/>
        <v>73181588</v>
      </c>
      <c r="G529" s="525" t="str">
        <f t="shared" si="123"/>
        <v>n.a.</v>
      </c>
      <c r="H529" s="525" t="str">
        <f t="shared" si="123"/>
        <v>n.a.</v>
      </c>
      <c r="I529" s="525" t="str">
        <f t="shared" si="123"/>
        <v>n.a.</v>
      </c>
      <c r="J529" s="525" t="str">
        <f t="shared" si="123"/>
        <v>n.a.</v>
      </c>
      <c r="K529" s="525" t="str">
        <f t="shared" si="123"/>
        <v>n.a.</v>
      </c>
      <c r="L529" s="525" t="str">
        <f t="shared" si="124"/>
        <v>n.a.</v>
      </c>
      <c r="M529" s="525" t="str">
        <f t="shared" si="124"/>
        <v>n.a.</v>
      </c>
      <c r="N529" s="525" t="str">
        <f t="shared" si="124"/>
        <v>n.a.</v>
      </c>
      <c r="O529" s="525" t="str">
        <f t="shared" si="124"/>
        <v>n.a.</v>
      </c>
      <c r="P529" s="525" t="str">
        <f t="shared" si="124"/>
        <v>n.a.</v>
      </c>
      <c r="Q529" s="525" t="str">
        <f t="shared" si="124"/>
        <v>n.a.</v>
      </c>
      <c r="R529" s="525" t="str">
        <f t="shared" si="124"/>
        <v>n.a.</v>
      </c>
      <c r="S529" s="525" t="str">
        <f t="shared" si="124"/>
        <v>n.a.</v>
      </c>
    </row>
    <row r="530" spans="1:19" s="110" customFormat="1" x14ac:dyDescent="0.25">
      <c r="A530" s="785">
        <v>397</v>
      </c>
      <c r="B530" s="525" t="str">
        <f t="shared" si="123"/>
        <v>n.a.</v>
      </c>
      <c r="C530" s="525" t="str">
        <f t="shared" si="123"/>
        <v>n.a.</v>
      </c>
      <c r="D530" s="525" t="str">
        <f t="shared" si="123"/>
        <v>n.a.</v>
      </c>
      <c r="E530" s="525" t="str">
        <f t="shared" si="123"/>
        <v>n.a.</v>
      </c>
      <c r="F530" s="525" t="str">
        <f t="shared" si="123"/>
        <v>73181595</v>
      </c>
      <c r="G530" s="525" t="str">
        <f t="shared" si="123"/>
        <v>n.a.</v>
      </c>
      <c r="H530" s="525" t="str">
        <f t="shared" si="123"/>
        <v>n.a.</v>
      </c>
      <c r="I530" s="525" t="str">
        <f t="shared" si="123"/>
        <v>n.a.</v>
      </c>
      <c r="J530" s="525" t="str">
        <f t="shared" si="123"/>
        <v>n.a.</v>
      </c>
      <c r="K530" s="525" t="str">
        <f t="shared" si="123"/>
        <v>n.a.</v>
      </c>
      <c r="L530" s="525" t="str">
        <f t="shared" si="124"/>
        <v>n.a.</v>
      </c>
      <c r="M530" s="525" t="str">
        <f t="shared" si="124"/>
        <v>n.a.</v>
      </c>
      <c r="N530" s="525" t="str">
        <f t="shared" si="124"/>
        <v>n.a.</v>
      </c>
      <c r="O530" s="525" t="str">
        <f t="shared" si="124"/>
        <v>n.a.</v>
      </c>
      <c r="P530" s="525" t="str">
        <f t="shared" si="124"/>
        <v>n.a.</v>
      </c>
      <c r="Q530" s="525" t="str">
        <f t="shared" si="124"/>
        <v>n.a.</v>
      </c>
      <c r="R530" s="525" t="str">
        <f t="shared" si="124"/>
        <v>n.a.</v>
      </c>
      <c r="S530" s="525" t="str">
        <f t="shared" si="124"/>
        <v>n.a.</v>
      </c>
    </row>
    <row r="531" spans="1:19" s="110" customFormat="1" x14ac:dyDescent="0.25">
      <c r="A531" s="785">
        <v>398</v>
      </c>
      <c r="B531" s="525" t="str">
        <f t="shared" si="123"/>
        <v>n.a.</v>
      </c>
      <c r="C531" s="525" t="str">
        <f t="shared" si="123"/>
        <v>n.a.</v>
      </c>
      <c r="D531" s="525" t="str">
        <f t="shared" si="123"/>
        <v>n.a.</v>
      </c>
      <c r="E531" s="525" t="str">
        <f t="shared" si="123"/>
        <v>n.a.</v>
      </c>
      <c r="F531" s="525" t="str">
        <f t="shared" si="123"/>
        <v>73181631</v>
      </c>
      <c r="G531" s="525" t="str">
        <f t="shared" si="123"/>
        <v>n.a.</v>
      </c>
      <c r="H531" s="525" t="str">
        <f t="shared" si="123"/>
        <v>n.a.</v>
      </c>
      <c r="I531" s="525" t="str">
        <f t="shared" si="123"/>
        <v>n.a.</v>
      </c>
      <c r="J531" s="525" t="str">
        <f t="shared" si="123"/>
        <v>n.a.</v>
      </c>
      <c r="K531" s="525" t="str">
        <f t="shared" si="123"/>
        <v>n.a.</v>
      </c>
      <c r="L531" s="525" t="str">
        <f t="shared" si="124"/>
        <v>n.a.</v>
      </c>
      <c r="M531" s="525" t="str">
        <f t="shared" si="124"/>
        <v>n.a.</v>
      </c>
      <c r="N531" s="525" t="str">
        <f t="shared" si="124"/>
        <v>n.a.</v>
      </c>
      <c r="O531" s="525" t="str">
        <f t="shared" si="124"/>
        <v>n.a.</v>
      </c>
      <c r="P531" s="525" t="str">
        <f t="shared" si="124"/>
        <v>n.a.</v>
      </c>
      <c r="Q531" s="525" t="str">
        <f t="shared" si="124"/>
        <v>n.a.</v>
      </c>
      <c r="R531" s="525" t="str">
        <f t="shared" si="124"/>
        <v>n.a.</v>
      </c>
      <c r="S531" s="525" t="str">
        <f t="shared" si="124"/>
        <v>n.a.</v>
      </c>
    </row>
    <row r="532" spans="1:19" s="110" customFormat="1" x14ac:dyDescent="0.25">
      <c r="A532" s="785">
        <v>399</v>
      </c>
      <c r="B532" s="525" t="str">
        <f t="shared" si="123"/>
        <v>n.a.</v>
      </c>
      <c r="C532" s="525" t="str">
        <f t="shared" si="123"/>
        <v>n.a.</v>
      </c>
      <c r="D532" s="525" t="str">
        <f t="shared" si="123"/>
        <v>n.a.</v>
      </c>
      <c r="E532" s="525" t="str">
        <f t="shared" si="123"/>
        <v>n.a.</v>
      </c>
      <c r="F532" s="525" t="str">
        <f t="shared" si="123"/>
        <v>73181639</v>
      </c>
      <c r="G532" s="525" t="str">
        <f t="shared" si="123"/>
        <v>n.a.</v>
      </c>
      <c r="H532" s="525" t="str">
        <f t="shared" si="123"/>
        <v>n.a.</v>
      </c>
      <c r="I532" s="525" t="str">
        <f t="shared" si="123"/>
        <v>n.a.</v>
      </c>
      <c r="J532" s="525" t="str">
        <f t="shared" si="123"/>
        <v>n.a.</v>
      </c>
      <c r="K532" s="525" t="str">
        <f t="shared" si="123"/>
        <v>n.a.</v>
      </c>
      <c r="L532" s="525" t="str">
        <f t="shared" si="124"/>
        <v>n.a.</v>
      </c>
      <c r="M532" s="525" t="str">
        <f t="shared" si="124"/>
        <v>n.a.</v>
      </c>
      <c r="N532" s="525" t="str">
        <f t="shared" si="124"/>
        <v>n.a.</v>
      </c>
      <c r="O532" s="525" t="str">
        <f t="shared" si="124"/>
        <v>n.a.</v>
      </c>
      <c r="P532" s="525" t="str">
        <f t="shared" si="124"/>
        <v>n.a.</v>
      </c>
      <c r="Q532" s="525" t="str">
        <f t="shared" si="124"/>
        <v>n.a.</v>
      </c>
      <c r="R532" s="525" t="str">
        <f t="shared" si="124"/>
        <v>n.a.</v>
      </c>
      <c r="S532" s="525" t="str">
        <f t="shared" si="124"/>
        <v>n.a.</v>
      </c>
    </row>
    <row r="533" spans="1:19" s="110" customFormat="1" x14ac:dyDescent="0.25">
      <c r="A533" s="785">
        <v>400</v>
      </c>
      <c r="B533" s="525" t="str">
        <f t="shared" si="123"/>
        <v>n.a.</v>
      </c>
      <c r="C533" s="525" t="str">
        <f t="shared" si="123"/>
        <v>n.a.</v>
      </c>
      <c r="D533" s="525" t="str">
        <f t="shared" si="123"/>
        <v>n.a.</v>
      </c>
      <c r="E533" s="525" t="str">
        <f t="shared" si="123"/>
        <v>n.a.</v>
      </c>
      <c r="F533" s="525" t="str">
        <f t="shared" si="123"/>
        <v>73181640</v>
      </c>
      <c r="G533" s="525" t="str">
        <f t="shared" si="123"/>
        <v>n.a.</v>
      </c>
      <c r="H533" s="525" t="str">
        <f t="shared" si="123"/>
        <v>n.a.</v>
      </c>
      <c r="I533" s="525" t="str">
        <f t="shared" si="123"/>
        <v>n.a.</v>
      </c>
      <c r="J533" s="525" t="str">
        <f t="shared" si="123"/>
        <v>n.a.</v>
      </c>
      <c r="K533" s="525" t="str">
        <f t="shared" si="123"/>
        <v>n.a.</v>
      </c>
      <c r="L533" s="525" t="str">
        <f t="shared" si="124"/>
        <v>n.a.</v>
      </c>
      <c r="M533" s="525" t="str">
        <f t="shared" si="124"/>
        <v>n.a.</v>
      </c>
      <c r="N533" s="525" t="str">
        <f t="shared" si="124"/>
        <v>n.a.</v>
      </c>
      <c r="O533" s="525" t="str">
        <f t="shared" si="124"/>
        <v>n.a.</v>
      </c>
      <c r="P533" s="525" t="str">
        <f t="shared" si="124"/>
        <v>n.a.</v>
      </c>
      <c r="Q533" s="525" t="str">
        <f t="shared" si="124"/>
        <v>n.a.</v>
      </c>
      <c r="R533" s="525" t="str">
        <f t="shared" si="124"/>
        <v>n.a.</v>
      </c>
      <c r="S533" s="525" t="str">
        <f t="shared" si="124"/>
        <v>n.a.</v>
      </c>
    </row>
    <row r="534" spans="1:19" s="110" customFormat="1" x14ac:dyDescent="0.25">
      <c r="A534" s="785">
        <v>401</v>
      </c>
      <c r="B534" s="525" t="str">
        <f t="shared" ref="B534:K543" si="125">IFERROR(INDEX(CNCodes_ListKey,MATCH($A534&amp;"_"&amp;B$132,CNCodes_ListNumbering,0)),CONST_NA)</f>
        <v>n.a.</v>
      </c>
      <c r="C534" s="525" t="str">
        <f t="shared" si="125"/>
        <v>n.a.</v>
      </c>
      <c r="D534" s="525" t="str">
        <f t="shared" si="125"/>
        <v>n.a.</v>
      </c>
      <c r="E534" s="525" t="str">
        <f t="shared" si="125"/>
        <v>n.a.</v>
      </c>
      <c r="F534" s="525" t="str">
        <f t="shared" si="125"/>
        <v>73181660</v>
      </c>
      <c r="G534" s="525" t="str">
        <f t="shared" si="125"/>
        <v>n.a.</v>
      </c>
      <c r="H534" s="525" t="str">
        <f t="shared" si="125"/>
        <v>n.a.</v>
      </c>
      <c r="I534" s="525" t="str">
        <f t="shared" si="125"/>
        <v>n.a.</v>
      </c>
      <c r="J534" s="525" t="str">
        <f t="shared" si="125"/>
        <v>n.a.</v>
      </c>
      <c r="K534" s="525" t="str">
        <f t="shared" si="125"/>
        <v>n.a.</v>
      </c>
      <c r="L534" s="525" t="str">
        <f t="shared" ref="L534:S543" si="126">IFERROR(INDEX(CNCodes_ListKey,MATCH($A534&amp;"_"&amp;L$132,CNCodes_ListNumbering,0)),CONST_NA)</f>
        <v>n.a.</v>
      </c>
      <c r="M534" s="525" t="str">
        <f t="shared" si="126"/>
        <v>n.a.</v>
      </c>
      <c r="N534" s="525" t="str">
        <f t="shared" si="126"/>
        <v>n.a.</v>
      </c>
      <c r="O534" s="525" t="str">
        <f t="shared" si="126"/>
        <v>n.a.</v>
      </c>
      <c r="P534" s="525" t="str">
        <f t="shared" si="126"/>
        <v>n.a.</v>
      </c>
      <c r="Q534" s="525" t="str">
        <f t="shared" si="126"/>
        <v>n.a.</v>
      </c>
      <c r="R534" s="525" t="str">
        <f t="shared" si="126"/>
        <v>n.a.</v>
      </c>
      <c r="S534" s="525" t="str">
        <f t="shared" si="126"/>
        <v>n.a.</v>
      </c>
    </row>
    <row r="535" spans="1:19" s="110" customFormat="1" x14ac:dyDescent="0.25">
      <c r="A535" s="785">
        <v>402</v>
      </c>
      <c r="B535" s="525" t="str">
        <f t="shared" si="125"/>
        <v>n.a.</v>
      </c>
      <c r="C535" s="525" t="str">
        <f t="shared" si="125"/>
        <v>n.a.</v>
      </c>
      <c r="D535" s="525" t="str">
        <f t="shared" si="125"/>
        <v>n.a.</v>
      </c>
      <c r="E535" s="525" t="str">
        <f t="shared" si="125"/>
        <v>n.a.</v>
      </c>
      <c r="F535" s="525" t="str">
        <f t="shared" si="125"/>
        <v>73181692</v>
      </c>
      <c r="G535" s="525" t="str">
        <f t="shared" si="125"/>
        <v>n.a.</v>
      </c>
      <c r="H535" s="525" t="str">
        <f t="shared" si="125"/>
        <v>n.a.</v>
      </c>
      <c r="I535" s="525" t="str">
        <f t="shared" si="125"/>
        <v>n.a.</v>
      </c>
      <c r="J535" s="525" t="str">
        <f t="shared" si="125"/>
        <v>n.a.</v>
      </c>
      <c r="K535" s="525" t="str">
        <f t="shared" si="125"/>
        <v>n.a.</v>
      </c>
      <c r="L535" s="525" t="str">
        <f t="shared" si="126"/>
        <v>n.a.</v>
      </c>
      <c r="M535" s="525" t="str">
        <f t="shared" si="126"/>
        <v>n.a.</v>
      </c>
      <c r="N535" s="525" t="str">
        <f t="shared" si="126"/>
        <v>n.a.</v>
      </c>
      <c r="O535" s="525" t="str">
        <f t="shared" si="126"/>
        <v>n.a.</v>
      </c>
      <c r="P535" s="525" t="str">
        <f t="shared" si="126"/>
        <v>n.a.</v>
      </c>
      <c r="Q535" s="525" t="str">
        <f t="shared" si="126"/>
        <v>n.a.</v>
      </c>
      <c r="R535" s="525" t="str">
        <f t="shared" si="126"/>
        <v>n.a.</v>
      </c>
      <c r="S535" s="525" t="str">
        <f t="shared" si="126"/>
        <v>n.a.</v>
      </c>
    </row>
    <row r="536" spans="1:19" s="110" customFormat="1" x14ac:dyDescent="0.25">
      <c r="A536" s="785">
        <v>403</v>
      </c>
      <c r="B536" s="525" t="str">
        <f t="shared" si="125"/>
        <v>n.a.</v>
      </c>
      <c r="C536" s="525" t="str">
        <f t="shared" si="125"/>
        <v>n.a.</v>
      </c>
      <c r="D536" s="525" t="str">
        <f t="shared" si="125"/>
        <v>n.a.</v>
      </c>
      <c r="E536" s="525" t="str">
        <f t="shared" si="125"/>
        <v>n.a.</v>
      </c>
      <c r="F536" s="525" t="str">
        <f t="shared" si="125"/>
        <v>73181699</v>
      </c>
      <c r="G536" s="525" t="str">
        <f t="shared" si="125"/>
        <v>n.a.</v>
      </c>
      <c r="H536" s="525" t="str">
        <f t="shared" si="125"/>
        <v>n.a.</v>
      </c>
      <c r="I536" s="525" t="str">
        <f t="shared" si="125"/>
        <v>n.a.</v>
      </c>
      <c r="J536" s="525" t="str">
        <f t="shared" si="125"/>
        <v>n.a.</v>
      </c>
      <c r="K536" s="525" t="str">
        <f t="shared" si="125"/>
        <v>n.a.</v>
      </c>
      <c r="L536" s="525" t="str">
        <f t="shared" si="126"/>
        <v>n.a.</v>
      </c>
      <c r="M536" s="525" t="str">
        <f t="shared" si="126"/>
        <v>n.a.</v>
      </c>
      <c r="N536" s="525" t="str">
        <f t="shared" si="126"/>
        <v>n.a.</v>
      </c>
      <c r="O536" s="525" t="str">
        <f t="shared" si="126"/>
        <v>n.a.</v>
      </c>
      <c r="P536" s="525" t="str">
        <f t="shared" si="126"/>
        <v>n.a.</v>
      </c>
      <c r="Q536" s="525" t="str">
        <f t="shared" si="126"/>
        <v>n.a.</v>
      </c>
      <c r="R536" s="525" t="str">
        <f t="shared" si="126"/>
        <v>n.a.</v>
      </c>
      <c r="S536" s="525" t="str">
        <f t="shared" si="126"/>
        <v>n.a.</v>
      </c>
    </row>
    <row r="537" spans="1:19" s="110" customFormat="1" x14ac:dyDescent="0.25">
      <c r="A537" s="785">
        <v>404</v>
      </c>
      <c r="B537" s="525" t="str">
        <f t="shared" si="125"/>
        <v>n.a.</v>
      </c>
      <c r="C537" s="525" t="str">
        <f t="shared" si="125"/>
        <v>n.a.</v>
      </c>
      <c r="D537" s="525" t="str">
        <f t="shared" si="125"/>
        <v>n.a.</v>
      </c>
      <c r="E537" s="525" t="str">
        <f t="shared" si="125"/>
        <v>n.a.</v>
      </c>
      <c r="F537" s="525" t="str">
        <f t="shared" si="125"/>
        <v>73181900</v>
      </c>
      <c r="G537" s="525" t="str">
        <f t="shared" si="125"/>
        <v>n.a.</v>
      </c>
      <c r="H537" s="525" t="str">
        <f t="shared" si="125"/>
        <v>n.a.</v>
      </c>
      <c r="I537" s="525" t="str">
        <f t="shared" si="125"/>
        <v>n.a.</v>
      </c>
      <c r="J537" s="525" t="str">
        <f t="shared" si="125"/>
        <v>n.a.</v>
      </c>
      <c r="K537" s="525" t="str">
        <f t="shared" si="125"/>
        <v>n.a.</v>
      </c>
      <c r="L537" s="525" t="str">
        <f t="shared" si="126"/>
        <v>n.a.</v>
      </c>
      <c r="M537" s="525" t="str">
        <f t="shared" si="126"/>
        <v>n.a.</v>
      </c>
      <c r="N537" s="525" t="str">
        <f t="shared" si="126"/>
        <v>n.a.</v>
      </c>
      <c r="O537" s="525" t="str">
        <f t="shared" si="126"/>
        <v>n.a.</v>
      </c>
      <c r="P537" s="525" t="str">
        <f t="shared" si="126"/>
        <v>n.a.</v>
      </c>
      <c r="Q537" s="525" t="str">
        <f t="shared" si="126"/>
        <v>n.a.</v>
      </c>
      <c r="R537" s="525" t="str">
        <f t="shared" si="126"/>
        <v>n.a.</v>
      </c>
      <c r="S537" s="525" t="str">
        <f t="shared" si="126"/>
        <v>n.a.</v>
      </c>
    </row>
    <row r="538" spans="1:19" s="110" customFormat="1" x14ac:dyDescent="0.25">
      <c r="A538" s="785">
        <v>405</v>
      </c>
      <c r="B538" s="525" t="str">
        <f t="shared" si="125"/>
        <v>n.a.</v>
      </c>
      <c r="C538" s="525" t="str">
        <f t="shared" si="125"/>
        <v>n.a.</v>
      </c>
      <c r="D538" s="525" t="str">
        <f t="shared" si="125"/>
        <v>n.a.</v>
      </c>
      <c r="E538" s="525" t="str">
        <f t="shared" si="125"/>
        <v>n.a.</v>
      </c>
      <c r="F538" s="525" t="str">
        <f t="shared" si="125"/>
        <v>73182100</v>
      </c>
      <c r="G538" s="525" t="str">
        <f t="shared" si="125"/>
        <v>n.a.</v>
      </c>
      <c r="H538" s="525" t="str">
        <f t="shared" si="125"/>
        <v>n.a.</v>
      </c>
      <c r="I538" s="525" t="str">
        <f t="shared" si="125"/>
        <v>n.a.</v>
      </c>
      <c r="J538" s="525" t="str">
        <f t="shared" si="125"/>
        <v>n.a.</v>
      </c>
      <c r="K538" s="525" t="str">
        <f t="shared" si="125"/>
        <v>n.a.</v>
      </c>
      <c r="L538" s="525" t="str">
        <f t="shared" si="126"/>
        <v>n.a.</v>
      </c>
      <c r="M538" s="525" t="str">
        <f t="shared" si="126"/>
        <v>n.a.</v>
      </c>
      <c r="N538" s="525" t="str">
        <f t="shared" si="126"/>
        <v>n.a.</v>
      </c>
      <c r="O538" s="525" t="str">
        <f t="shared" si="126"/>
        <v>n.a.</v>
      </c>
      <c r="P538" s="525" t="str">
        <f t="shared" si="126"/>
        <v>n.a.</v>
      </c>
      <c r="Q538" s="525" t="str">
        <f t="shared" si="126"/>
        <v>n.a.</v>
      </c>
      <c r="R538" s="525" t="str">
        <f t="shared" si="126"/>
        <v>n.a.</v>
      </c>
      <c r="S538" s="525" t="str">
        <f t="shared" si="126"/>
        <v>n.a.</v>
      </c>
    </row>
    <row r="539" spans="1:19" s="110" customFormat="1" x14ac:dyDescent="0.25">
      <c r="A539" s="785">
        <v>406</v>
      </c>
      <c r="B539" s="525" t="str">
        <f t="shared" si="125"/>
        <v>n.a.</v>
      </c>
      <c r="C539" s="525" t="str">
        <f t="shared" si="125"/>
        <v>n.a.</v>
      </c>
      <c r="D539" s="525" t="str">
        <f t="shared" si="125"/>
        <v>n.a.</v>
      </c>
      <c r="E539" s="525" t="str">
        <f t="shared" si="125"/>
        <v>n.a.</v>
      </c>
      <c r="F539" s="525" t="str">
        <f t="shared" si="125"/>
        <v>73182200</v>
      </c>
      <c r="G539" s="525" t="str">
        <f t="shared" si="125"/>
        <v>n.a.</v>
      </c>
      <c r="H539" s="525" t="str">
        <f t="shared" si="125"/>
        <v>n.a.</v>
      </c>
      <c r="I539" s="525" t="str">
        <f t="shared" si="125"/>
        <v>n.a.</v>
      </c>
      <c r="J539" s="525" t="str">
        <f t="shared" si="125"/>
        <v>n.a.</v>
      </c>
      <c r="K539" s="525" t="str">
        <f t="shared" si="125"/>
        <v>n.a.</v>
      </c>
      <c r="L539" s="525" t="str">
        <f t="shared" si="126"/>
        <v>n.a.</v>
      </c>
      <c r="M539" s="525" t="str">
        <f t="shared" si="126"/>
        <v>n.a.</v>
      </c>
      <c r="N539" s="525" t="str">
        <f t="shared" si="126"/>
        <v>n.a.</v>
      </c>
      <c r="O539" s="525" t="str">
        <f t="shared" si="126"/>
        <v>n.a.</v>
      </c>
      <c r="P539" s="525" t="str">
        <f t="shared" si="126"/>
        <v>n.a.</v>
      </c>
      <c r="Q539" s="525" t="str">
        <f t="shared" si="126"/>
        <v>n.a.</v>
      </c>
      <c r="R539" s="525" t="str">
        <f t="shared" si="126"/>
        <v>n.a.</v>
      </c>
      <c r="S539" s="525" t="str">
        <f t="shared" si="126"/>
        <v>n.a.</v>
      </c>
    </row>
    <row r="540" spans="1:19" s="110" customFormat="1" x14ac:dyDescent="0.25">
      <c r="A540" s="785">
        <v>407</v>
      </c>
      <c r="B540" s="525" t="str">
        <f t="shared" si="125"/>
        <v>n.a.</v>
      </c>
      <c r="C540" s="525" t="str">
        <f t="shared" si="125"/>
        <v>n.a.</v>
      </c>
      <c r="D540" s="525" t="str">
        <f t="shared" si="125"/>
        <v>n.a.</v>
      </c>
      <c r="E540" s="525" t="str">
        <f t="shared" si="125"/>
        <v>n.a.</v>
      </c>
      <c r="F540" s="525" t="str">
        <f t="shared" si="125"/>
        <v>73182300</v>
      </c>
      <c r="G540" s="525" t="str">
        <f t="shared" si="125"/>
        <v>n.a.</v>
      </c>
      <c r="H540" s="525" t="str">
        <f t="shared" si="125"/>
        <v>n.a.</v>
      </c>
      <c r="I540" s="525" t="str">
        <f t="shared" si="125"/>
        <v>n.a.</v>
      </c>
      <c r="J540" s="525" t="str">
        <f t="shared" si="125"/>
        <v>n.a.</v>
      </c>
      <c r="K540" s="525" t="str">
        <f t="shared" si="125"/>
        <v>n.a.</v>
      </c>
      <c r="L540" s="525" t="str">
        <f t="shared" si="126"/>
        <v>n.a.</v>
      </c>
      <c r="M540" s="525" t="str">
        <f t="shared" si="126"/>
        <v>n.a.</v>
      </c>
      <c r="N540" s="525" t="str">
        <f t="shared" si="126"/>
        <v>n.a.</v>
      </c>
      <c r="O540" s="525" t="str">
        <f t="shared" si="126"/>
        <v>n.a.</v>
      </c>
      <c r="P540" s="525" t="str">
        <f t="shared" si="126"/>
        <v>n.a.</v>
      </c>
      <c r="Q540" s="525" t="str">
        <f t="shared" si="126"/>
        <v>n.a.</v>
      </c>
      <c r="R540" s="525" t="str">
        <f t="shared" si="126"/>
        <v>n.a.</v>
      </c>
      <c r="S540" s="525" t="str">
        <f t="shared" si="126"/>
        <v>n.a.</v>
      </c>
    </row>
    <row r="541" spans="1:19" s="110" customFormat="1" x14ac:dyDescent="0.25">
      <c r="A541" s="785">
        <v>408</v>
      </c>
      <c r="B541" s="525" t="str">
        <f t="shared" si="125"/>
        <v>n.a.</v>
      </c>
      <c r="C541" s="525" t="str">
        <f t="shared" si="125"/>
        <v>n.a.</v>
      </c>
      <c r="D541" s="525" t="str">
        <f t="shared" si="125"/>
        <v>n.a.</v>
      </c>
      <c r="E541" s="525" t="str">
        <f t="shared" si="125"/>
        <v>n.a.</v>
      </c>
      <c r="F541" s="525" t="str">
        <f t="shared" si="125"/>
        <v>73182400</v>
      </c>
      <c r="G541" s="525" t="str">
        <f t="shared" si="125"/>
        <v>n.a.</v>
      </c>
      <c r="H541" s="525" t="str">
        <f t="shared" si="125"/>
        <v>n.a.</v>
      </c>
      <c r="I541" s="525" t="str">
        <f t="shared" si="125"/>
        <v>n.a.</v>
      </c>
      <c r="J541" s="525" t="str">
        <f t="shared" si="125"/>
        <v>n.a.</v>
      </c>
      <c r="K541" s="525" t="str">
        <f t="shared" si="125"/>
        <v>n.a.</v>
      </c>
      <c r="L541" s="525" t="str">
        <f t="shared" si="126"/>
        <v>n.a.</v>
      </c>
      <c r="M541" s="525" t="str">
        <f t="shared" si="126"/>
        <v>n.a.</v>
      </c>
      <c r="N541" s="525" t="str">
        <f t="shared" si="126"/>
        <v>n.a.</v>
      </c>
      <c r="O541" s="525" t="str">
        <f t="shared" si="126"/>
        <v>n.a.</v>
      </c>
      <c r="P541" s="525" t="str">
        <f t="shared" si="126"/>
        <v>n.a.</v>
      </c>
      <c r="Q541" s="525" t="str">
        <f t="shared" si="126"/>
        <v>n.a.</v>
      </c>
      <c r="R541" s="525" t="str">
        <f t="shared" si="126"/>
        <v>n.a.</v>
      </c>
      <c r="S541" s="525" t="str">
        <f t="shared" si="126"/>
        <v>n.a.</v>
      </c>
    </row>
    <row r="542" spans="1:19" s="110" customFormat="1" x14ac:dyDescent="0.25">
      <c r="A542" s="785">
        <v>409</v>
      </c>
      <c r="B542" s="525" t="str">
        <f t="shared" si="125"/>
        <v>n.a.</v>
      </c>
      <c r="C542" s="525" t="str">
        <f t="shared" si="125"/>
        <v>n.a.</v>
      </c>
      <c r="D542" s="525" t="str">
        <f t="shared" si="125"/>
        <v>n.a.</v>
      </c>
      <c r="E542" s="525" t="str">
        <f t="shared" si="125"/>
        <v>n.a.</v>
      </c>
      <c r="F542" s="525" t="str">
        <f t="shared" si="125"/>
        <v>73182900</v>
      </c>
      <c r="G542" s="525" t="str">
        <f t="shared" si="125"/>
        <v>n.a.</v>
      </c>
      <c r="H542" s="525" t="str">
        <f t="shared" si="125"/>
        <v>n.a.</v>
      </c>
      <c r="I542" s="525" t="str">
        <f t="shared" si="125"/>
        <v>n.a.</v>
      </c>
      <c r="J542" s="525" t="str">
        <f t="shared" si="125"/>
        <v>n.a.</v>
      </c>
      <c r="K542" s="525" t="str">
        <f t="shared" si="125"/>
        <v>n.a.</v>
      </c>
      <c r="L542" s="525" t="str">
        <f t="shared" si="126"/>
        <v>n.a.</v>
      </c>
      <c r="M542" s="525" t="str">
        <f t="shared" si="126"/>
        <v>n.a.</v>
      </c>
      <c r="N542" s="525" t="str">
        <f t="shared" si="126"/>
        <v>n.a.</v>
      </c>
      <c r="O542" s="525" t="str">
        <f t="shared" si="126"/>
        <v>n.a.</v>
      </c>
      <c r="P542" s="525" t="str">
        <f t="shared" si="126"/>
        <v>n.a.</v>
      </c>
      <c r="Q542" s="525" t="str">
        <f t="shared" si="126"/>
        <v>n.a.</v>
      </c>
      <c r="R542" s="525" t="str">
        <f t="shared" si="126"/>
        <v>n.a.</v>
      </c>
      <c r="S542" s="525" t="str">
        <f t="shared" si="126"/>
        <v>n.a.</v>
      </c>
    </row>
    <row r="543" spans="1:19" s="110" customFormat="1" x14ac:dyDescent="0.25">
      <c r="A543" s="785">
        <v>410</v>
      </c>
      <c r="B543" s="525" t="str">
        <f t="shared" si="125"/>
        <v>n.a.</v>
      </c>
      <c r="C543" s="525" t="str">
        <f t="shared" si="125"/>
        <v>n.a.</v>
      </c>
      <c r="D543" s="525" t="str">
        <f t="shared" si="125"/>
        <v>n.a.</v>
      </c>
      <c r="E543" s="525" t="str">
        <f t="shared" si="125"/>
        <v>n.a.</v>
      </c>
      <c r="F543" s="525" t="str">
        <f t="shared" si="125"/>
        <v>73261100</v>
      </c>
      <c r="G543" s="525" t="str">
        <f t="shared" si="125"/>
        <v>n.a.</v>
      </c>
      <c r="H543" s="525" t="str">
        <f t="shared" si="125"/>
        <v>n.a.</v>
      </c>
      <c r="I543" s="525" t="str">
        <f t="shared" si="125"/>
        <v>n.a.</v>
      </c>
      <c r="J543" s="525" t="str">
        <f t="shared" si="125"/>
        <v>n.a.</v>
      </c>
      <c r="K543" s="525" t="str">
        <f t="shared" si="125"/>
        <v>n.a.</v>
      </c>
      <c r="L543" s="525" t="str">
        <f t="shared" si="126"/>
        <v>n.a.</v>
      </c>
      <c r="M543" s="525" t="str">
        <f t="shared" si="126"/>
        <v>n.a.</v>
      </c>
      <c r="N543" s="525" t="str">
        <f t="shared" si="126"/>
        <v>n.a.</v>
      </c>
      <c r="O543" s="525" t="str">
        <f t="shared" si="126"/>
        <v>n.a.</v>
      </c>
      <c r="P543" s="525" t="str">
        <f t="shared" si="126"/>
        <v>n.a.</v>
      </c>
      <c r="Q543" s="525" t="str">
        <f t="shared" si="126"/>
        <v>n.a.</v>
      </c>
      <c r="R543" s="525" t="str">
        <f t="shared" si="126"/>
        <v>n.a.</v>
      </c>
      <c r="S543" s="525" t="str">
        <f t="shared" si="126"/>
        <v>n.a.</v>
      </c>
    </row>
    <row r="544" spans="1:19" s="110" customFormat="1" x14ac:dyDescent="0.25">
      <c r="A544" s="785">
        <v>411</v>
      </c>
      <c r="B544" s="525" t="str">
        <f t="shared" ref="B544:K553" si="127">IFERROR(INDEX(CNCodes_ListKey,MATCH($A544&amp;"_"&amp;B$132,CNCodes_ListNumbering,0)),CONST_NA)</f>
        <v>n.a.</v>
      </c>
      <c r="C544" s="525" t="str">
        <f t="shared" si="127"/>
        <v>n.a.</v>
      </c>
      <c r="D544" s="525" t="str">
        <f t="shared" si="127"/>
        <v>n.a.</v>
      </c>
      <c r="E544" s="525" t="str">
        <f t="shared" si="127"/>
        <v>n.a.</v>
      </c>
      <c r="F544" s="525" t="str">
        <f t="shared" si="127"/>
        <v>73261910</v>
      </c>
      <c r="G544" s="525" t="str">
        <f t="shared" si="127"/>
        <v>n.a.</v>
      </c>
      <c r="H544" s="525" t="str">
        <f t="shared" si="127"/>
        <v>n.a.</v>
      </c>
      <c r="I544" s="525" t="str">
        <f t="shared" si="127"/>
        <v>n.a.</v>
      </c>
      <c r="J544" s="525" t="str">
        <f t="shared" si="127"/>
        <v>n.a.</v>
      </c>
      <c r="K544" s="525" t="str">
        <f t="shared" si="127"/>
        <v>n.a.</v>
      </c>
      <c r="L544" s="525" t="str">
        <f t="shared" ref="L544:S553" si="128">IFERROR(INDEX(CNCodes_ListKey,MATCH($A544&amp;"_"&amp;L$132,CNCodes_ListNumbering,0)),CONST_NA)</f>
        <v>n.a.</v>
      </c>
      <c r="M544" s="525" t="str">
        <f t="shared" si="128"/>
        <v>n.a.</v>
      </c>
      <c r="N544" s="525" t="str">
        <f t="shared" si="128"/>
        <v>n.a.</v>
      </c>
      <c r="O544" s="525" t="str">
        <f t="shared" si="128"/>
        <v>n.a.</v>
      </c>
      <c r="P544" s="525" t="str">
        <f t="shared" si="128"/>
        <v>n.a.</v>
      </c>
      <c r="Q544" s="525" t="str">
        <f t="shared" si="128"/>
        <v>n.a.</v>
      </c>
      <c r="R544" s="525" t="str">
        <f t="shared" si="128"/>
        <v>n.a.</v>
      </c>
      <c r="S544" s="525" t="str">
        <f t="shared" si="128"/>
        <v>n.a.</v>
      </c>
    </row>
    <row r="545" spans="1:19" s="110" customFormat="1" x14ac:dyDescent="0.25">
      <c r="A545" s="785">
        <v>412</v>
      </c>
      <c r="B545" s="525" t="str">
        <f t="shared" si="127"/>
        <v>n.a.</v>
      </c>
      <c r="C545" s="525" t="str">
        <f t="shared" si="127"/>
        <v>n.a.</v>
      </c>
      <c r="D545" s="525" t="str">
        <f t="shared" si="127"/>
        <v>n.a.</v>
      </c>
      <c r="E545" s="525" t="str">
        <f t="shared" si="127"/>
        <v>n.a.</v>
      </c>
      <c r="F545" s="525" t="str">
        <f t="shared" si="127"/>
        <v>73261990</v>
      </c>
      <c r="G545" s="525" t="str">
        <f t="shared" si="127"/>
        <v>n.a.</v>
      </c>
      <c r="H545" s="525" t="str">
        <f t="shared" si="127"/>
        <v>n.a.</v>
      </c>
      <c r="I545" s="525" t="str">
        <f t="shared" si="127"/>
        <v>n.a.</v>
      </c>
      <c r="J545" s="525" t="str">
        <f t="shared" si="127"/>
        <v>n.a.</v>
      </c>
      <c r="K545" s="525" t="str">
        <f t="shared" si="127"/>
        <v>n.a.</v>
      </c>
      <c r="L545" s="525" t="str">
        <f t="shared" si="128"/>
        <v>n.a.</v>
      </c>
      <c r="M545" s="525" t="str">
        <f t="shared" si="128"/>
        <v>n.a.</v>
      </c>
      <c r="N545" s="525" t="str">
        <f t="shared" si="128"/>
        <v>n.a.</v>
      </c>
      <c r="O545" s="525" t="str">
        <f t="shared" si="128"/>
        <v>n.a.</v>
      </c>
      <c r="P545" s="525" t="str">
        <f t="shared" si="128"/>
        <v>n.a.</v>
      </c>
      <c r="Q545" s="525" t="str">
        <f t="shared" si="128"/>
        <v>n.a.</v>
      </c>
      <c r="R545" s="525" t="str">
        <f t="shared" si="128"/>
        <v>n.a.</v>
      </c>
      <c r="S545" s="525" t="str">
        <f t="shared" si="128"/>
        <v>n.a.</v>
      </c>
    </row>
    <row r="546" spans="1:19" s="110" customFormat="1" x14ac:dyDescent="0.25">
      <c r="A546" s="785">
        <v>413</v>
      </c>
      <c r="B546" s="525" t="str">
        <f t="shared" si="127"/>
        <v>n.a.</v>
      </c>
      <c r="C546" s="525" t="str">
        <f t="shared" si="127"/>
        <v>n.a.</v>
      </c>
      <c r="D546" s="525" t="str">
        <f t="shared" si="127"/>
        <v>n.a.</v>
      </c>
      <c r="E546" s="525" t="str">
        <f t="shared" si="127"/>
        <v>n.a.</v>
      </c>
      <c r="F546" s="525" t="str">
        <f t="shared" si="127"/>
        <v>73262000</v>
      </c>
      <c r="G546" s="525" t="str">
        <f t="shared" si="127"/>
        <v>n.a.</v>
      </c>
      <c r="H546" s="525" t="str">
        <f t="shared" si="127"/>
        <v>n.a.</v>
      </c>
      <c r="I546" s="525" t="str">
        <f t="shared" si="127"/>
        <v>n.a.</v>
      </c>
      <c r="J546" s="525" t="str">
        <f t="shared" si="127"/>
        <v>n.a.</v>
      </c>
      <c r="K546" s="525" t="str">
        <f t="shared" si="127"/>
        <v>n.a.</v>
      </c>
      <c r="L546" s="525" t="str">
        <f t="shared" si="128"/>
        <v>n.a.</v>
      </c>
      <c r="M546" s="525" t="str">
        <f t="shared" si="128"/>
        <v>n.a.</v>
      </c>
      <c r="N546" s="525" t="str">
        <f t="shared" si="128"/>
        <v>n.a.</v>
      </c>
      <c r="O546" s="525" t="str">
        <f t="shared" si="128"/>
        <v>n.a.</v>
      </c>
      <c r="P546" s="525" t="str">
        <f t="shared" si="128"/>
        <v>n.a.</v>
      </c>
      <c r="Q546" s="525" t="str">
        <f t="shared" si="128"/>
        <v>n.a.</v>
      </c>
      <c r="R546" s="525" t="str">
        <f t="shared" si="128"/>
        <v>n.a.</v>
      </c>
      <c r="S546" s="525" t="str">
        <f t="shared" si="128"/>
        <v>n.a.</v>
      </c>
    </row>
    <row r="547" spans="1:19" s="110" customFormat="1" x14ac:dyDescent="0.25">
      <c r="A547" s="785">
        <v>414</v>
      </c>
      <c r="B547" s="525" t="str">
        <f t="shared" si="127"/>
        <v>n.a.</v>
      </c>
      <c r="C547" s="525" t="str">
        <f t="shared" si="127"/>
        <v>n.a.</v>
      </c>
      <c r="D547" s="525" t="str">
        <f t="shared" si="127"/>
        <v>n.a.</v>
      </c>
      <c r="E547" s="525" t="str">
        <f t="shared" si="127"/>
        <v>n.a.</v>
      </c>
      <c r="F547" s="525" t="str">
        <f t="shared" si="127"/>
        <v>73269030</v>
      </c>
      <c r="G547" s="525" t="str">
        <f t="shared" si="127"/>
        <v>n.a.</v>
      </c>
      <c r="H547" s="525" t="str">
        <f t="shared" si="127"/>
        <v>n.a.</v>
      </c>
      <c r="I547" s="525" t="str">
        <f t="shared" si="127"/>
        <v>n.a.</v>
      </c>
      <c r="J547" s="525" t="str">
        <f t="shared" si="127"/>
        <v>n.a.</v>
      </c>
      <c r="K547" s="525" t="str">
        <f t="shared" si="127"/>
        <v>n.a.</v>
      </c>
      <c r="L547" s="525" t="str">
        <f t="shared" si="128"/>
        <v>n.a.</v>
      </c>
      <c r="M547" s="525" t="str">
        <f t="shared" si="128"/>
        <v>n.a.</v>
      </c>
      <c r="N547" s="525" t="str">
        <f t="shared" si="128"/>
        <v>n.a.</v>
      </c>
      <c r="O547" s="525" t="str">
        <f t="shared" si="128"/>
        <v>n.a.</v>
      </c>
      <c r="P547" s="525" t="str">
        <f t="shared" si="128"/>
        <v>n.a.</v>
      </c>
      <c r="Q547" s="525" t="str">
        <f t="shared" si="128"/>
        <v>n.a.</v>
      </c>
      <c r="R547" s="525" t="str">
        <f t="shared" si="128"/>
        <v>n.a.</v>
      </c>
      <c r="S547" s="525" t="str">
        <f t="shared" si="128"/>
        <v>n.a.</v>
      </c>
    </row>
    <row r="548" spans="1:19" s="110" customFormat="1" x14ac:dyDescent="0.25">
      <c r="A548" s="785">
        <v>415</v>
      </c>
      <c r="B548" s="525" t="str">
        <f t="shared" si="127"/>
        <v>n.a.</v>
      </c>
      <c r="C548" s="525" t="str">
        <f t="shared" si="127"/>
        <v>n.a.</v>
      </c>
      <c r="D548" s="525" t="str">
        <f t="shared" si="127"/>
        <v>n.a.</v>
      </c>
      <c r="E548" s="525" t="str">
        <f t="shared" si="127"/>
        <v>n.a.</v>
      </c>
      <c r="F548" s="525" t="str">
        <f t="shared" si="127"/>
        <v>73269040</v>
      </c>
      <c r="G548" s="525" t="str">
        <f t="shared" si="127"/>
        <v>n.a.</v>
      </c>
      <c r="H548" s="525" t="str">
        <f t="shared" si="127"/>
        <v>n.a.</v>
      </c>
      <c r="I548" s="525" t="str">
        <f t="shared" si="127"/>
        <v>n.a.</v>
      </c>
      <c r="J548" s="525" t="str">
        <f t="shared" si="127"/>
        <v>n.a.</v>
      </c>
      <c r="K548" s="525" t="str">
        <f t="shared" si="127"/>
        <v>n.a.</v>
      </c>
      <c r="L548" s="525" t="str">
        <f t="shared" si="128"/>
        <v>n.a.</v>
      </c>
      <c r="M548" s="525" t="str">
        <f t="shared" si="128"/>
        <v>n.a.</v>
      </c>
      <c r="N548" s="525" t="str">
        <f t="shared" si="128"/>
        <v>n.a.</v>
      </c>
      <c r="O548" s="525" t="str">
        <f t="shared" si="128"/>
        <v>n.a.</v>
      </c>
      <c r="P548" s="525" t="str">
        <f t="shared" si="128"/>
        <v>n.a.</v>
      </c>
      <c r="Q548" s="525" t="str">
        <f t="shared" si="128"/>
        <v>n.a.</v>
      </c>
      <c r="R548" s="525" t="str">
        <f t="shared" si="128"/>
        <v>n.a.</v>
      </c>
      <c r="S548" s="525" t="str">
        <f t="shared" si="128"/>
        <v>n.a.</v>
      </c>
    </row>
    <row r="549" spans="1:19" s="110" customFormat="1" x14ac:dyDescent="0.25">
      <c r="A549" s="785">
        <v>416</v>
      </c>
      <c r="B549" s="525" t="str">
        <f t="shared" si="127"/>
        <v>n.a.</v>
      </c>
      <c r="C549" s="525" t="str">
        <f t="shared" si="127"/>
        <v>n.a.</v>
      </c>
      <c r="D549" s="525" t="str">
        <f t="shared" si="127"/>
        <v>n.a.</v>
      </c>
      <c r="E549" s="525" t="str">
        <f t="shared" si="127"/>
        <v>n.a.</v>
      </c>
      <c r="F549" s="525" t="str">
        <f t="shared" si="127"/>
        <v>73269050</v>
      </c>
      <c r="G549" s="525" t="str">
        <f t="shared" si="127"/>
        <v>n.a.</v>
      </c>
      <c r="H549" s="525" t="str">
        <f t="shared" si="127"/>
        <v>n.a.</v>
      </c>
      <c r="I549" s="525" t="str">
        <f t="shared" si="127"/>
        <v>n.a.</v>
      </c>
      <c r="J549" s="525" t="str">
        <f t="shared" si="127"/>
        <v>n.a.</v>
      </c>
      <c r="K549" s="525" t="str">
        <f t="shared" si="127"/>
        <v>n.a.</v>
      </c>
      <c r="L549" s="525" t="str">
        <f t="shared" si="128"/>
        <v>n.a.</v>
      </c>
      <c r="M549" s="525" t="str">
        <f t="shared" si="128"/>
        <v>n.a.</v>
      </c>
      <c r="N549" s="525" t="str">
        <f t="shared" si="128"/>
        <v>n.a.</v>
      </c>
      <c r="O549" s="525" t="str">
        <f t="shared" si="128"/>
        <v>n.a.</v>
      </c>
      <c r="P549" s="525" t="str">
        <f t="shared" si="128"/>
        <v>n.a.</v>
      </c>
      <c r="Q549" s="525" t="str">
        <f t="shared" si="128"/>
        <v>n.a.</v>
      </c>
      <c r="R549" s="525" t="str">
        <f t="shared" si="128"/>
        <v>n.a.</v>
      </c>
      <c r="S549" s="525" t="str">
        <f t="shared" si="128"/>
        <v>n.a.</v>
      </c>
    </row>
    <row r="550" spans="1:19" s="110" customFormat="1" x14ac:dyDescent="0.25">
      <c r="A550" s="785">
        <v>417</v>
      </c>
      <c r="B550" s="525" t="str">
        <f t="shared" si="127"/>
        <v>n.a.</v>
      </c>
      <c r="C550" s="525" t="str">
        <f t="shared" si="127"/>
        <v>n.a.</v>
      </c>
      <c r="D550" s="525" t="str">
        <f t="shared" si="127"/>
        <v>n.a.</v>
      </c>
      <c r="E550" s="525" t="str">
        <f t="shared" si="127"/>
        <v>n.a.</v>
      </c>
      <c r="F550" s="525" t="str">
        <f t="shared" si="127"/>
        <v>73269060</v>
      </c>
      <c r="G550" s="525" t="str">
        <f t="shared" si="127"/>
        <v>n.a.</v>
      </c>
      <c r="H550" s="525" t="str">
        <f t="shared" si="127"/>
        <v>n.a.</v>
      </c>
      <c r="I550" s="525" t="str">
        <f t="shared" si="127"/>
        <v>n.a.</v>
      </c>
      <c r="J550" s="525" t="str">
        <f t="shared" si="127"/>
        <v>n.a.</v>
      </c>
      <c r="K550" s="525" t="str">
        <f t="shared" si="127"/>
        <v>n.a.</v>
      </c>
      <c r="L550" s="525" t="str">
        <f t="shared" si="128"/>
        <v>n.a.</v>
      </c>
      <c r="M550" s="525" t="str">
        <f t="shared" si="128"/>
        <v>n.a.</v>
      </c>
      <c r="N550" s="525" t="str">
        <f t="shared" si="128"/>
        <v>n.a.</v>
      </c>
      <c r="O550" s="525" t="str">
        <f t="shared" si="128"/>
        <v>n.a.</v>
      </c>
      <c r="P550" s="525" t="str">
        <f t="shared" si="128"/>
        <v>n.a.</v>
      </c>
      <c r="Q550" s="525" t="str">
        <f t="shared" si="128"/>
        <v>n.a.</v>
      </c>
      <c r="R550" s="525" t="str">
        <f t="shared" si="128"/>
        <v>n.a.</v>
      </c>
      <c r="S550" s="525" t="str">
        <f t="shared" si="128"/>
        <v>n.a.</v>
      </c>
    </row>
    <row r="551" spans="1:19" s="110" customFormat="1" x14ac:dyDescent="0.25">
      <c r="A551" s="785">
        <v>418</v>
      </c>
      <c r="B551" s="525" t="str">
        <f t="shared" si="127"/>
        <v>n.a.</v>
      </c>
      <c r="C551" s="525" t="str">
        <f t="shared" si="127"/>
        <v>n.a.</v>
      </c>
      <c r="D551" s="525" t="str">
        <f t="shared" si="127"/>
        <v>n.a.</v>
      </c>
      <c r="E551" s="525" t="str">
        <f t="shared" si="127"/>
        <v>n.a.</v>
      </c>
      <c r="F551" s="525" t="str">
        <f t="shared" si="127"/>
        <v>73269092</v>
      </c>
      <c r="G551" s="525" t="str">
        <f t="shared" si="127"/>
        <v>n.a.</v>
      </c>
      <c r="H551" s="525" t="str">
        <f t="shared" si="127"/>
        <v>n.a.</v>
      </c>
      <c r="I551" s="525" t="str">
        <f t="shared" si="127"/>
        <v>n.a.</v>
      </c>
      <c r="J551" s="525" t="str">
        <f t="shared" si="127"/>
        <v>n.a.</v>
      </c>
      <c r="K551" s="525" t="str">
        <f t="shared" si="127"/>
        <v>n.a.</v>
      </c>
      <c r="L551" s="525" t="str">
        <f t="shared" si="128"/>
        <v>n.a.</v>
      </c>
      <c r="M551" s="525" t="str">
        <f t="shared" si="128"/>
        <v>n.a.</v>
      </c>
      <c r="N551" s="525" t="str">
        <f t="shared" si="128"/>
        <v>n.a.</v>
      </c>
      <c r="O551" s="525" t="str">
        <f t="shared" si="128"/>
        <v>n.a.</v>
      </c>
      <c r="P551" s="525" t="str">
        <f t="shared" si="128"/>
        <v>n.a.</v>
      </c>
      <c r="Q551" s="525" t="str">
        <f t="shared" si="128"/>
        <v>n.a.</v>
      </c>
      <c r="R551" s="525" t="str">
        <f t="shared" si="128"/>
        <v>n.a.</v>
      </c>
      <c r="S551" s="525" t="str">
        <f t="shared" si="128"/>
        <v>n.a.</v>
      </c>
    </row>
    <row r="552" spans="1:19" s="110" customFormat="1" x14ac:dyDescent="0.25">
      <c r="A552" s="785">
        <v>419</v>
      </c>
      <c r="B552" s="525" t="str">
        <f t="shared" si="127"/>
        <v>n.a.</v>
      </c>
      <c r="C552" s="525" t="str">
        <f t="shared" si="127"/>
        <v>n.a.</v>
      </c>
      <c r="D552" s="525" t="str">
        <f t="shared" si="127"/>
        <v>n.a.</v>
      </c>
      <c r="E552" s="525" t="str">
        <f t="shared" si="127"/>
        <v>n.a.</v>
      </c>
      <c r="F552" s="525" t="str">
        <f t="shared" si="127"/>
        <v>73269094</v>
      </c>
      <c r="G552" s="525" t="str">
        <f t="shared" si="127"/>
        <v>n.a.</v>
      </c>
      <c r="H552" s="525" t="str">
        <f t="shared" si="127"/>
        <v>n.a.</v>
      </c>
      <c r="I552" s="525" t="str">
        <f t="shared" si="127"/>
        <v>n.a.</v>
      </c>
      <c r="J552" s="525" t="str">
        <f t="shared" si="127"/>
        <v>n.a.</v>
      </c>
      <c r="K552" s="525" t="str">
        <f t="shared" si="127"/>
        <v>n.a.</v>
      </c>
      <c r="L552" s="525" t="str">
        <f t="shared" si="128"/>
        <v>n.a.</v>
      </c>
      <c r="M552" s="525" t="str">
        <f t="shared" si="128"/>
        <v>n.a.</v>
      </c>
      <c r="N552" s="525" t="str">
        <f t="shared" si="128"/>
        <v>n.a.</v>
      </c>
      <c r="O552" s="525" t="str">
        <f t="shared" si="128"/>
        <v>n.a.</v>
      </c>
      <c r="P552" s="525" t="str">
        <f t="shared" si="128"/>
        <v>n.a.</v>
      </c>
      <c r="Q552" s="525" t="str">
        <f t="shared" si="128"/>
        <v>n.a.</v>
      </c>
      <c r="R552" s="525" t="str">
        <f t="shared" si="128"/>
        <v>n.a.</v>
      </c>
      <c r="S552" s="525" t="str">
        <f t="shared" si="128"/>
        <v>n.a.</v>
      </c>
    </row>
    <row r="553" spans="1:19" s="110" customFormat="1" x14ac:dyDescent="0.25">
      <c r="A553" s="785">
        <v>420</v>
      </c>
      <c r="B553" s="525" t="str">
        <f t="shared" si="127"/>
        <v>n.a.</v>
      </c>
      <c r="C553" s="525" t="str">
        <f t="shared" si="127"/>
        <v>n.a.</v>
      </c>
      <c r="D553" s="525" t="str">
        <f t="shared" si="127"/>
        <v>n.a.</v>
      </c>
      <c r="E553" s="525" t="str">
        <f t="shared" si="127"/>
        <v>n.a.</v>
      </c>
      <c r="F553" s="525" t="str">
        <f t="shared" si="127"/>
        <v>73269096</v>
      </c>
      <c r="G553" s="525" t="str">
        <f t="shared" si="127"/>
        <v>n.a.</v>
      </c>
      <c r="H553" s="525" t="str">
        <f t="shared" si="127"/>
        <v>n.a.</v>
      </c>
      <c r="I553" s="525" t="str">
        <f t="shared" si="127"/>
        <v>n.a.</v>
      </c>
      <c r="J553" s="525" t="str">
        <f t="shared" si="127"/>
        <v>n.a.</v>
      </c>
      <c r="K553" s="525" t="str">
        <f t="shared" si="127"/>
        <v>n.a.</v>
      </c>
      <c r="L553" s="525" t="str">
        <f t="shared" si="128"/>
        <v>n.a.</v>
      </c>
      <c r="M553" s="525" t="str">
        <f t="shared" si="128"/>
        <v>n.a.</v>
      </c>
      <c r="N553" s="525" t="str">
        <f t="shared" si="128"/>
        <v>n.a.</v>
      </c>
      <c r="O553" s="525" t="str">
        <f t="shared" si="128"/>
        <v>n.a.</v>
      </c>
      <c r="P553" s="525" t="str">
        <f t="shared" si="128"/>
        <v>n.a.</v>
      </c>
      <c r="Q553" s="525" t="str">
        <f t="shared" si="128"/>
        <v>n.a.</v>
      </c>
      <c r="R553" s="525" t="str">
        <f t="shared" si="128"/>
        <v>n.a.</v>
      </c>
      <c r="S553" s="525" t="str">
        <f t="shared" si="128"/>
        <v>n.a.</v>
      </c>
    </row>
    <row r="554" spans="1:19" s="110" customFormat="1" x14ac:dyDescent="0.25">
      <c r="A554" s="785">
        <v>421</v>
      </c>
      <c r="B554" s="525" t="str">
        <f t="shared" ref="B554:K563" si="129">IFERROR(INDEX(CNCodes_ListKey,MATCH($A554&amp;"_"&amp;B$132,CNCodes_ListNumbering,0)),CONST_NA)</f>
        <v>n.a.</v>
      </c>
      <c r="C554" s="525" t="str">
        <f t="shared" si="129"/>
        <v>n.a.</v>
      </c>
      <c r="D554" s="525" t="str">
        <f t="shared" si="129"/>
        <v>n.a.</v>
      </c>
      <c r="E554" s="525" t="str">
        <f t="shared" si="129"/>
        <v>n.a.</v>
      </c>
      <c r="F554" s="525" t="str">
        <f t="shared" si="129"/>
        <v>73269098</v>
      </c>
      <c r="G554" s="525" t="str">
        <f t="shared" si="129"/>
        <v>n.a.</v>
      </c>
      <c r="H554" s="525" t="str">
        <f t="shared" si="129"/>
        <v>n.a.</v>
      </c>
      <c r="I554" s="525" t="str">
        <f t="shared" si="129"/>
        <v>n.a.</v>
      </c>
      <c r="J554" s="525" t="str">
        <f t="shared" si="129"/>
        <v>n.a.</v>
      </c>
      <c r="K554" s="525" t="str">
        <f t="shared" si="129"/>
        <v>n.a.</v>
      </c>
      <c r="L554" s="525" t="str">
        <f t="shared" ref="L554:S563" si="130">IFERROR(INDEX(CNCodes_ListKey,MATCH($A554&amp;"_"&amp;L$132,CNCodes_ListNumbering,0)),CONST_NA)</f>
        <v>n.a.</v>
      </c>
      <c r="M554" s="525" t="str">
        <f t="shared" si="130"/>
        <v>n.a.</v>
      </c>
      <c r="N554" s="525" t="str">
        <f t="shared" si="130"/>
        <v>n.a.</v>
      </c>
      <c r="O554" s="525" t="str">
        <f t="shared" si="130"/>
        <v>n.a.</v>
      </c>
      <c r="P554" s="525" t="str">
        <f t="shared" si="130"/>
        <v>n.a.</v>
      </c>
      <c r="Q554" s="525" t="str">
        <f t="shared" si="130"/>
        <v>n.a.</v>
      </c>
      <c r="R554" s="525" t="str">
        <f t="shared" si="130"/>
        <v>n.a.</v>
      </c>
      <c r="S554" s="525" t="str">
        <f t="shared" si="130"/>
        <v>n.a.</v>
      </c>
    </row>
    <row r="555" spans="1:19" s="110" customFormat="1" x14ac:dyDescent="0.25">
      <c r="A555" s="785">
        <v>422</v>
      </c>
      <c r="B555" s="525" t="str">
        <f t="shared" si="129"/>
        <v>n.a.</v>
      </c>
      <c r="C555" s="525" t="str">
        <f t="shared" si="129"/>
        <v>n.a.</v>
      </c>
      <c r="D555" s="525" t="str">
        <f t="shared" si="129"/>
        <v>n.a.</v>
      </c>
      <c r="E555" s="525" t="str">
        <f t="shared" si="129"/>
        <v>n.a.</v>
      </c>
      <c r="F555" s="525" t="str">
        <f t="shared" si="129"/>
        <v>n.a.</v>
      </c>
      <c r="G555" s="525" t="str">
        <f t="shared" si="129"/>
        <v>n.a.</v>
      </c>
      <c r="H555" s="525" t="str">
        <f t="shared" si="129"/>
        <v>n.a.</v>
      </c>
      <c r="I555" s="525" t="str">
        <f t="shared" si="129"/>
        <v>n.a.</v>
      </c>
      <c r="J555" s="525" t="str">
        <f t="shared" si="129"/>
        <v>n.a.</v>
      </c>
      <c r="K555" s="525" t="str">
        <f t="shared" si="129"/>
        <v>n.a.</v>
      </c>
      <c r="L555" s="525" t="str">
        <f t="shared" si="130"/>
        <v>n.a.</v>
      </c>
      <c r="M555" s="525" t="str">
        <f t="shared" si="130"/>
        <v>n.a.</v>
      </c>
      <c r="N555" s="525" t="str">
        <f t="shared" si="130"/>
        <v>n.a.</v>
      </c>
      <c r="O555" s="525" t="str">
        <f t="shared" si="130"/>
        <v>n.a.</v>
      </c>
      <c r="P555" s="525" t="str">
        <f t="shared" si="130"/>
        <v>n.a.</v>
      </c>
      <c r="Q555" s="525" t="str">
        <f t="shared" si="130"/>
        <v>n.a.</v>
      </c>
      <c r="R555" s="525" t="str">
        <f t="shared" si="130"/>
        <v>n.a.</v>
      </c>
      <c r="S555" s="525" t="str">
        <f t="shared" si="130"/>
        <v>n.a.</v>
      </c>
    </row>
    <row r="556" spans="1:19" s="110" customFormat="1" x14ac:dyDescent="0.25">
      <c r="A556" s="785">
        <v>423</v>
      </c>
      <c r="B556" s="525" t="str">
        <f t="shared" si="129"/>
        <v>n.a.</v>
      </c>
      <c r="C556" s="525" t="str">
        <f t="shared" si="129"/>
        <v>n.a.</v>
      </c>
      <c r="D556" s="525" t="str">
        <f t="shared" si="129"/>
        <v>n.a.</v>
      </c>
      <c r="E556" s="525" t="str">
        <f t="shared" si="129"/>
        <v>n.a.</v>
      </c>
      <c r="F556" s="525" t="str">
        <f t="shared" si="129"/>
        <v>n.a.</v>
      </c>
      <c r="G556" s="525" t="str">
        <f t="shared" si="129"/>
        <v>n.a.</v>
      </c>
      <c r="H556" s="525" t="str">
        <f t="shared" si="129"/>
        <v>n.a.</v>
      </c>
      <c r="I556" s="525" t="str">
        <f t="shared" si="129"/>
        <v>n.a.</v>
      </c>
      <c r="J556" s="525" t="str">
        <f t="shared" si="129"/>
        <v>n.a.</v>
      </c>
      <c r="K556" s="525" t="str">
        <f t="shared" si="129"/>
        <v>n.a.</v>
      </c>
      <c r="L556" s="525" t="str">
        <f t="shared" si="130"/>
        <v>n.a.</v>
      </c>
      <c r="M556" s="525" t="str">
        <f t="shared" si="130"/>
        <v>n.a.</v>
      </c>
      <c r="N556" s="525" t="str">
        <f t="shared" si="130"/>
        <v>n.a.</v>
      </c>
      <c r="O556" s="525" t="str">
        <f t="shared" si="130"/>
        <v>n.a.</v>
      </c>
      <c r="P556" s="525" t="str">
        <f t="shared" si="130"/>
        <v>n.a.</v>
      </c>
      <c r="Q556" s="525" t="str">
        <f t="shared" si="130"/>
        <v>n.a.</v>
      </c>
      <c r="R556" s="525" t="str">
        <f t="shared" si="130"/>
        <v>n.a.</v>
      </c>
      <c r="S556" s="525" t="str">
        <f t="shared" si="130"/>
        <v>n.a.</v>
      </c>
    </row>
    <row r="557" spans="1:19" s="110" customFormat="1" x14ac:dyDescent="0.25">
      <c r="A557" s="785">
        <v>424</v>
      </c>
      <c r="B557" s="525" t="str">
        <f t="shared" si="129"/>
        <v>n.a.</v>
      </c>
      <c r="C557" s="525" t="str">
        <f t="shared" si="129"/>
        <v>n.a.</v>
      </c>
      <c r="D557" s="525" t="str">
        <f t="shared" si="129"/>
        <v>n.a.</v>
      </c>
      <c r="E557" s="525" t="str">
        <f t="shared" si="129"/>
        <v>n.a.</v>
      </c>
      <c r="F557" s="525" t="str">
        <f t="shared" si="129"/>
        <v>n.a.</v>
      </c>
      <c r="G557" s="525" t="str">
        <f t="shared" si="129"/>
        <v>n.a.</v>
      </c>
      <c r="H557" s="525" t="str">
        <f t="shared" si="129"/>
        <v>n.a.</v>
      </c>
      <c r="I557" s="525" t="str">
        <f t="shared" si="129"/>
        <v>n.a.</v>
      </c>
      <c r="J557" s="525" t="str">
        <f t="shared" si="129"/>
        <v>n.a.</v>
      </c>
      <c r="K557" s="525" t="str">
        <f t="shared" si="129"/>
        <v>n.a.</v>
      </c>
      <c r="L557" s="525" t="str">
        <f t="shared" si="130"/>
        <v>n.a.</v>
      </c>
      <c r="M557" s="525" t="str">
        <f t="shared" si="130"/>
        <v>n.a.</v>
      </c>
      <c r="N557" s="525" t="str">
        <f t="shared" si="130"/>
        <v>n.a.</v>
      </c>
      <c r="O557" s="525" t="str">
        <f t="shared" si="130"/>
        <v>n.a.</v>
      </c>
      <c r="P557" s="525" t="str">
        <f t="shared" si="130"/>
        <v>n.a.</v>
      </c>
      <c r="Q557" s="525" t="str">
        <f t="shared" si="130"/>
        <v>n.a.</v>
      </c>
      <c r="R557" s="525" t="str">
        <f t="shared" si="130"/>
        <v>n.a.</v>
      </c>
      <c r="S557" s="525" t="str">
        <f t="shared" si="130"/>
        <v>n.a.</v>
      </c>
    </row>
    <row r="558" spans="1:19" s="110" customFormat="1" x14ac:dyDescent="0.25">
      <c r="A558" s="785">
        <v>425</v>
      </c>
      <c r="B558" s="525" t="str">
        <f t="shared" si="129"/>
        <v>n.a.</v>
      </c>
      <c r="C558" s="525" t="str">
        <f t="shared" si="129"/>
        <v>n.a.</v>
      </c>
      <c r="D558" s="525" t="str">
        <f t="shared" si="129"/>
        <v>n.a.</v>
      </c>
      <c r="E558" s="525" t="str">
        <f t="shared" si="129"/>
        <v>n.a.</v>
      </c>
      <c r="F558" s="525" t="str">
        <f t="shared" si="129"/>
        <v>n.a.</v>
      </c>
      <c r="G558" s="525" t="str">
        <f t="shared" si="129"/>
        <v>n.a.</v>
      </c>
      <c r="H558" s="525" t="str">
        <f t="shared" si="129"/>
        <v>n.a.</v>
      </c>
      <c r="I558" s="525" t="str">
        <f t="shared" si="129"/>
        <v>n.a.</v>
      </c>
      <c r="J558" s="525" t="str">
        <f t="shared" si="129"/>
        <v>n.a.</v>
      </c>
      <c r="K558" s="525" t="str">
        <f t="shared" si="129"/>
        <v>n.a.</v>
      </c>
      <c r="L558" s="525" t="str">
        <f t="shared" si="130"/>
        <v>n.a.</v>
      </c>
      <c r="M558" s="525" t="str">
        <f t="shared" si="130"/>
        <v>n.a.</v>
      </c>
      <c r="N558" s="525" t="str">
        <f t="shared" si="130"/>
        <v>n.a.</v>
      </c>
      <c r="O558" s="525" t="str">
        <f t="shared" si="130"/>
        <v>n.a.</v>
      </c>
      <c r="P558" s="525" t="str">
        <f t="shared" si="130"/>
        <v>n.a.</v>
      </c>
      <c r="Q558" s="525" t="str">
        <f t="shared" si="130"/>
        <v>n.a.</v>
      </c>
      <c r="R558" s="525" t="str">
        <f t="shared" si="130"/>
        <v>n.a.</v>
      </c>
      <c r="S558" s="525" t="str">
        <f t="shared" si="130"/>
        <v>n.a.</v>
      </c>
    </row>
    <row r="559" spans="1:19" s="110" customFormat="1" x14ac:dyDescent="0.25">
      <c r="A559" s="785">
        <v>426</v>
      </c>
      <c r="B559" s="525" t="str">
        <f t="shared" si="129"/>
        <v>n.a.</v>
      </c>
      <c r="C559" s="525" t="str">
        <f t="shared" si="129"/>
        <v>n.a.</v>
      </c>
      <c r="D559" s="525" t="str">
        <f t="shared" si="129"/>
        <v>n.a.</v>
      </c>
      <c r="E559" s="525" t="str">
        <f t="shared" si="129"/>
        <v>n.a.</v>
      </c>
      <c r="F559" s="525" t="str">
        <f t="shared" si="129"/>
        <v>n.a.</v>
      </c>
      <c r="G559" s="525" t="str">
        <f t="shared" si="129"/>
        <v>n.a.</v>
      </c>
      <c r="H559" s="525" t="str">
        <f t="shared" si="129"/>
        <v>n.a.</v>
      </c>
      <c r="I559" s="525" t="str">
        <f t="shared" si="129"/>
        <v>n.a.</v>
      </c>
      <c r="J559" s="525" t="str">
        <f t="shared" si="129"/>
        <v>n.a.</v>
      </c>
      <c r="K559" s="525" t="str">
        <f t="shared" si="129"/>
        <v>n.a.</v>
      </c>
      <c r="L559" s="525" t="str">
        <f t="shared" si="130"/>
        <v>n.a.</v>
      </c>
      <c r="M559" s="525" t="str">
        <f t="shared" si="130"/>
        <v>n.a.</v>
      </c>
      <c r="N559" s="525" t="str">
        <f t="shared" si="130"/>
        <v>n.a.</v>
      </c>
      <c r="O559" s="525" t="str">
        <f t="shared" si="130"/>
        <v>n.a.</v>
      </c>
      <c r="P559" s="525" t="str">
        <f t="shared" si="130"/>
        <v>n.a.</v>
      </c>
      <c r="Q559" s="525" t="str">
        <f t="shared" si="130"/>
        <v>n.a.</v>
      </c>
      <c r="R559" s="525" t="str">
        <f t="shared" si="130"/>
        <v>n.a.</v>
      </c>
      <c r="S559" s="525" t="str">
        <f t="shared" si="130"/>
        <v>n.a.</v>
      </c>
    </row>
    <row r="560" spans="1:19" s="110" customFormat="1" x14ac:dyDescent="0.25">
      <c r="A560" s="785">
        <v>427</v>
      </c>
      <c r="B560" s="525" t="str">
        <f t="shared" si="129"/>
        <v>n.a.</v>
      </c>
      <c r="C560" s="525" t="str">
        <f t="shared" si="129"/>
        <v>n.a.</v>
      </c>
      <c r="D560" s="525" t="str">
        <f t="shared" si="129"/>
        <v>n.a.</v>
      </c>
      <c r="E560" s="525" t="str">
        <f t="shared" si="129"/>
        <v>n.a.</v>
      </c>
      <c r="F560" s="525" t="str">
        <f t="shared" si="129"/>
        <v>n.a.</v>
      </c>
      <c r="G560" s="525" t="str">
        <f t="shared" si="129"/>
        <v>n.a.</v>
      </c>
      <c r="H560" s="525" t="str">
        <f t="shared" si="129"/>
        <v>n.a.</v>
      </c>
      <c r="I560" s="525" t="str">
        <f t="shared" si="129"/>
        <v>n.a.</v>
      </c>
      <c r="J560" s="525" t="str">
        <f t="shared" si="129"/>
        <v>n.a.</v>
      </c>
      <c r="K560" s="525" t="str">
        <f t="shared" si="129"/>
        <v>n.a.</v>
      </c>
      <c r="L560" s="525" t="str">
        <f t="shared" si="130"/>
        <v>n.a.</v>
      </c>
      <c r="M560" s="525" t="str">
        <f t="shared" si="130"/>
        <v>n.a.</v>
      </c>
      <c r="N560" s="525" t="str">
        <f t="shared" si="130"/>
        <v>n.a.</v>
      </c>
      <c r="O560" s="525" t="str">
        <f t="shared" si="130"/>
        <v>n.a.</v>
      </c>
      <c r="P560" s="525" t="str">
        <f t="shared" si="130"/>
        <v>n.a.</v>
      </c>
      <c r="Q560" s="525" t="str">
        <f t="shared" si="130"/>
        <v>n.a.</v>
      </c>
      <c r="R560" s="525" t="str">
        <f t="shared" si="130"/>
        <v>n.a.</v>
      </c>
      <c r="S560" s="525" t="str">
        <f t="shared" si="130"/>
        <v>n.a.</v>
      </c>
    </row>
    <row r="561" spans="1:19" s="110" customFormat="1" x14ac:dyDescent="0.25">
      <c r="A561" s="785">
        <v>428</v>
      </c>
      <c r="B561" s="525" t="str">
        <f t="shared" si="129"/>
        <v>n.a.</v>
      </c>
      <c r="C561" s="525" t="str">
        <f t="shared" si="129"/>
        <v>n.a.</v>
      </c>
      <c r="D561" s="525" t="str">
        <f t="shared" si="129"/>
        <v>n.a.</v>
      </c>
      <c r="E561" s="525" t="str">
        <f t="shared" si="129"/>
        <v>n.a.</v>
      </c>
      <c r="F561" s="525" t="str">
        <f t="shared" si="129"/>
        <v>n.a.</v>
      </c>
      <c r="G561" s="525" t="str">
        <f t="shared" si="129"/>
        <v>n.a.</v>
      </c>
      <c r="H561" s="525" t="str">
        <f t="shared" si="129"/>
        <v>n.a.</v>
      </c>
      <c r="I561" s="525" t="str">
        <f t="shared" si="129"/>
        <v>n.a.</v>
      </c>
      <c r="J561" s="525" t="str">
        <f t="shared" si="129"/>
        <v>n.a.</v>
      </c>
      <c r="K561" s="525" t="str">
        <f t="shared" si="129"/>
        <v>n.a.</v>
      </c>
      <c r="L561" s="525" t="str">
        <f t="shared" si="130"/>
        <v>n.a.</v>
      </c>
      <c r="M561" s="525" t="str">
        <f t="shared" si="130"/>
        <v>n.a.</v>
      </c>
      <c r="N561" s="525" t="str">
        <f t="shared" si="130"/>
        <v>n.a.</v>
      </c>
      <c r="O561" s="525" t="str">
        <f t="shared" si="130"/>
        <v>n.a.</v>
      </c>
      <c r="P561" s="525" t="str">
        <f t="shared" si="130"/>
        <v>n.a.</v>
      </c>
      <c r="Q561" s="525" t="str">
        <f t="shared" si="130"/>
        <v>n.a.</v>
      </c>
      <c r="R561" s="525" t="str">
        <f t="shared" si="130"/>
        <v>n.a.</v>
      </c>
      <c r="S561" s="525" t="str">
        <f t="shared" si="130"/>
        <v>n.a.</v>
      </c>
    </row>
    <row r="562" spans="1:19" s="110" customFormat="1" x14ac:dyDescent="0.25">
      <c r="A562" s="785">
        <v>429</v>
      </c>
      <c r="B562" s="525" t="str">
        <f t="shared" si="129"/>
        <v>n.a.</v>
      </c>
      <c r="C562" s="525" t="str">
        <f t="shared" si="129"/>
        <v>n.a.</v>
      </c>
      <c r="D562" s="525" t="str">
        <f t="shared" si="129"/>
        <v>n.a.</v>
      </c>
      <c r="E562" s="525" t="str">
        <f t="shared" si="129"/>
        <v>n.a.</v>
      </c>
      <c r="F562" s="525" t="str">
        <f t="shared" si="129"/>
        <v>n.a.</v>
      </c>
      <c r="G562" s="525" t="str">
        <f t="shared" si="129"/>
        <v>n.a.</v>
      </c>
      <c r="H562" s="525" t="str">
        <f t="shared" si="129"/>
        <v>n.a.</v>
      </c>
      <c r="I562" s="525" t="str">
        <f t="shared" si="129"/>
        <v>n.a.</v>
      </c>
      <c r="J562" s="525" t="str">
        <f t="shared" si="129"/>
        <v>n.a.</v>
      </c>
      <c r="K562" s="525" t="str">
        <f t="shared" si="129"/>
        <v>n.a.</v>
      </c>
      <c r="L562" s="525" t="str">
        <f t="shared" si="130"/>
        <v>n.a.</v>
      </c>
      <c r="M562" s="525" t="str">
        <f t="shared" si="130"/>
        <v>n.a.</v>
      </c>
      <c r="N562" s="525" t="str">
        <f t="shared" si="130"/>
        <v>n.a.</v>
      </c>
      <c r="O562" s="525" t="str">
        <f t="shared" si="130"/>
        <v>n.a.</v>
      </c>
      <c r="P562" s="525" t="str">
        <f t="shared" si="130"/>
        <v>n.a.</v>
      </c>
      <c r="Q562" s="525" t="str">
        <f t="shared" si="130"/>
        <v>n.a.</v>
      </c>
      <c r="R562" s="525" t="str">
        <f t="shared" si="130"/>
        <v>n.a.</v>
      </c>
      <c r="S562" s="525" t="str">
        <f t="shared" si="130"/>
        <v>n.a.</v>
      </c>
    </row>
    <row r="563" spans="1:19" s="110" customFormat="1" x14ac:dyDescent="0.25">
      <c r="A563" s="785">
        <v>430</v>
      </c>
      <c r="B563" s="525" t="str">
        <f t="shared" si="129"/>
        <v>n.a.</v>
      </c>
      <c r="C563" s="525" t="str">
        <f t="shared" si="129"/>
        <v>n.a.</v>
      </c>
      <c r="D563" s="525" t="str">
        <f t="shared" si="129"/>
        <v>n.a.</v>
      </c>
      <c r="E563" s="525" t="str">
        <f t="shared" si="129"/>
        <v>n.a.</v>
      </c>
      <c r="F563" s="525" t="str">
        <f t="shared" si="129"/>
        <v>n.a.</v>
      </c>
      <c r="G563" s="525" t="str">
        <f t="shared" si="129"/>
        <v>n.a.</v>
      </c>
      <c r="H563" s="525" t="str">
        <f t="shared" si="129"/>
        <v>n.a.</v>
      </c>
      <c r="I563" s="525" t="str">
        <f t="shared" si="129"/>
        <v>n.a.</v>
      </c>
      <c r="J563" s="525" t="str">
        <f t="shared" si="129"/>
        <v>n.a.</v>
      </c>
      <c r="K563" s="525" t="str">
        <f t="shared" si="129"/>
        <v>n.a.</v>
      </c>
      <c r="L563" s="525" t="str">
        <f t="shared" si="130"/>
        <v>n.a.</v>
      </c>
      <c r="M563" s="525" t="str">
        <f t="shared" si="130"/>
        <v>n.a.</v>
      </c>
      <c r="N563" s="525" t="str">
        <f t="shared" si="130"/>
        <v>n.a.</v>
      </c>
      <c r="O563" s="525" t="str">
        <f t="shared" si="130"/>
        <v>n.a.</v>
      </c>
      <c r="P563" s="525" t="str">
        <f t="shared" si="130"/>
        <v>n.a.</v>
      </c>
      <c r="Q563" s="525" t="str">
        <f t="shared" si="130"/>
        <v>n.a.</v>
      </c>
      <c r="R563" s="525" t="str">
        <f t="shared" si="130"/>
        <v>n.a.</v>
      </c>
      <c r="S563" s="525" t="str">
        <f t="shared" si="130"/>
        <v>n.a.</v>
      </c>
    </row>
    <row r="564" spans="1:19" s="110" customFormat="1" x14ac:dyDescent="0.25">
      <c r="A564" s="785">
        <v>431</v>
      </c>
      <c r="B564" s="525" t="str">
        <f t="shared" ref="B564:K573" si="131">IFERROR(INDEX(CNCodes_ListKey,MATCH($A564&amp;"_"&amp;B$132,CNCodes_ListNumbering,0)),CONST_NA)</f>
        <v>n.a.</v>
      </c>
      <c r="C564" s="525" t="str">
        <f t="shared" si="131"/>
        <v>n.a.</v>
      </c>
      <c r="D564" s="525" t="str">
        <f t="shared" si="131"/>
        <v>n.a.</v>
      </c>
      <c r="E564" s="525" t="str">
        <f t="shared" si="131"/>
        <v>n.a.</v>
      </c>
      <c r="F564" s="525" t="str">
        <f t="shared" si="131"/>
        <v>n.a.</v>
      </c>
      <c r="G564" s="525" t="str">
        <f t="shared" si="131"/>
        <v>n.a.</v>
      </c>
      <c r="H564" s="525" t="str">
        <f t="shared" si="131"/>
        <v>n.a.</v>
      </c>
      <c r="I564" s="525" t="str">
        <f t="shared" si="131"/>
        <v>n.a.</v>
      </c>
      <c r="J564" s="525" t="str">
        <f t="shared" si="131"/>
        <v>n.a.</v>
      </c>
      <c r="K564" s="525" t="str">
        <f t="shared" si="131"/>
        <v>n.a.</v>
      </c>
      <c r="L564" s="525" t="str">
        <f t="shared" ref="L564:S573" si="132">IFERROR(INDEX(CNCodes_ListKey,MATCH($A564&amp;"_"&amp;L$132,CNCodes_ListNumbering,0)),CONST_NA)</f>
        <v>n.a.</v>
      </c>
      <c r="M564" s="525" t="str">
        <f t="shared" si="132"/>
        <v>n.a.</v>
      </c>
      <c r="N564" s="525" t="str">
        <f t="shared" si="132"/>
        <v>n.a.</v>
      </c>
      <c r="O564" s="525" t="str">
        <f t="shared" si="132"/>
        <v>n.a.</v>
      </c>
      <c r="P564" s="525" t="str">
        <f t="shared" si="132"/>
        <v>n.a.</v>
      </c>
      <c r="Q564" s="525" t="str">
        <f t="shared" si="132"/>
        <v>n.a.</v>
      </c>
      <c r="R564" s="525" t="str">
        <f t="shared" si="132"/>
        <v>n.a.</v>
      </c>
      <c r="S564" s="525" t="str">
        <f t="shared" si="132"/>
        <v>n.a.</v>
      </c>
    </row>
    <row r="565" spans="1:19" s="110" customFormat="1" x14ac:dyDescent="0.25">
      <c r="A565" s="785">
        <v>432</v>
      </c>
      <c r="B565" s="525" t="str">
        <f t="shared" si="131"/>
        <v>n.a.</v>
      </c>
      <c r="C565" s="525" t="str">
        <f t="shared" si="131"/>
        <v>n.a.</v>
      </c>
      <c r="D565" s="525" t="str">
        <f t="shared" si="131"/>
        <v>n.a.</v>
      </c>
      <c r="E565" s="525" t="str">
        <f t="shared" si="131"/>
        <v>n.a.</v>
      </c>
      <c r="F565" s="525" t="str">
        <f t="shared" si="131"/>
        <v>n.a.</v>
      </c>
      <c r="G565" s="525" t="str">
        <f t="shared" si="131"/>
        <v>n.a.</v>
      </c>
      <c r="H565" s="525" t="str">
        <f t="shared" si="131"/>
        <v>n.a.</v>
      </c>
      <c r="I565" s="525" t="str">
        <f t="shared" si="131"/>
        <v>n.a.</v>
      </c>
      <c r="J565" s="525" t="str">
        <f t="shared" si="131"/>
        <v>n.a.</v>
      </c>
      <c r="K565" s="525" t="str">
        <f t="shared" si="131"/>
        <v>n.a.</v>
      </c>
      <c r="L565" s="525" t="str">
        <f t="shared" si="132"/>
        <v>n.a.</v>
      </c>
      <c r="M565" s="525" t="str">
        <f t="shared" si="132"/>
        <v>n.a.</v>
      </c>
      <c r="N565" s="525" t="str">
        <f t="shared" si="132"/>
        <v>n.a.</v>
      </c>
      <c r="O565" s="525" t="str">
        <f t="shared" si="132"/>
        <v>n.a.</v>
      </c>
      <c r="P565" s="525" t="str">
        <f t="shared" si="132"/>
        <v>n.a.</v>
      </c>
      <c r="Q565" s="525" t="str">
        <f t="shared" si="132"/>
        <v>n.a.</v>
      </c>
      <c r="R565" s="525" t="str">
        <f t="shared" si="132"/>
        <v>n.a.</v>
      </c>
      <c r="S565" s="525" t="str">
        <f t="shared" si="132"/>
        <v>n.a.</v>
      </c>
    </row>
    <row r="566" spans="1:19" s="110" customFormat="1" x14ac:dyDescent="0.25">
      <c r="A566" s="785">
        <v>433</v>
      </c>
      <c r="B566" s="525" t="str">
        <f t="shared" si="131"/>
        <v>n.a.</v>
      </c>
      <c r="C566" s="525" t="str">
        <f t="shared" si="131"/>
        <v>n.a.</v>
      </c>
      <c r="D566" s="525" t="str">
        <f t="shared" si="131"/>
        <v>n.a.</v>
      </c>
      <c r="E566" s="525" t="str">
        <f t="shared" si="131"/>
        <v>n.a.</v>
      </c>
      <c r="F566" s="525" t="str">
        <f t="shared" si="131"/>
        <v>n.a.</v>
      </c>
      <c r="G566" s="525" t="str">
        <f t="shared" si="131"/>
        <v>n.a.</v>
      </c>
      <c r="H566" s="525" t="str">
        <f t="shared" si="131"/>
        <v>n.a.</v>
      </c>
      <c r="I566" s="525" t="str">
        <f t="shared" si="131"/>
        <v>n.a.</v>
      </c>
      <c r="J566" s="525" t="str">
        <f t="shared" si="131"/>
        <v>n.a.</v>
      </c>
      <c r="K566" s="525" t="str">
        <f t="shared" si="131"/>
        <v>n.a.</v>
      </c>
      <c r="L566" s="525" t="str">
        <f t="shared" si="132"/>
        <v>n.a.</v>
      </c>
      <c r="M566" s="525" t="str">
        <f t="shared" si="132"/>
        <v>n.a.</v>
      </c>
      <c r="N566" s="525" t="str">
        <f t="shared" si="132"/>
        <v>n.a.</v>
      </c>
      <c r="O566" s="525" t="str">
        <f t="shared" si="132"/>
        <v>n.a.</v>
      </c>
      <c r="P566" s="525" t="str">
        <f t="shared" si="132"/>
        <v>n.a.</v>
      </c>
      <c r="Q566" s="525" t="str">
        <f t="shared" si="132"/>
        <v>n.a.</v>
      </c>
      <c r="R566" s="525" t="str">
        <f t="shared" si="132"/>
        <v>n.a.</v>
      </c>
      <c r="S566" s="525" t="str">
        <f t="shared" si="132"/>
        <v>n.a.</v>
      </c>
    </row>
    <row r="567" spans="1:19" s="110" customFormat="1" x14ac:dyDescent="0.25">
      <c r="A567" s="785">
        <v>434</v>
      </c>
      <c r="B567" s="525" t="str">
        <f t="shared" si="131"/>
        <v>n.a.</v>
      </c>
      <c r="C567" s="525" t="str">
        <f t="shared" si="131"/>
        <v>n.a.</v>
      </c>
      <c r="D567" s="525" t="str">
        <f t="shared" si="131"/>
        <v>n.a.</v>
      </c>
      <c r="E567" s="525" t="str">
        <f t="shared" si="131"/>
        <v>n.a.</v>
      </c>
      <c r="F567" s="525" t="str">
        <f t="shared" si="131"/>
        <v>n.a.</v>
      </c>
      <c r="G567" s="525" t="str">
        <f t="shared" si="131"/>
        <v>n.a.</v>
      </c>
      <c r="H567" s="525" t="str">
        <f t="shared" si="131"/>
        <v>n.a.</v>
      </c>
      <c r="I567" s="525" t="str">
        <f t="shared" si="131"/>
        <v>n.a.</v>
      </c>
      <c r="J567" s="525" t="str">
        <f t="shared" si="131"/>
        <v>n.a.</v>
      </c>
      <c r="K567" s="525" t="str">
        <f t="shared" si="131"/>
        <v>n.a.</v>
      </c>
      <c r="L567" s="525" t="str">
        <f t="shared" si="132"/>
        <v>n.a.</v>
      </c>
      <c r="M567" s="525" t="str">
        <f t="shared" si="132"/>
        <v>n.a.</v>
      </c>
      <c r="N567" s="525" t="str">
        <f t="shared" si="132"/>
        <v>n.a.</v>
      </c>
      <c r="O567" s="525" t="str">
        <f t="shared" si="132"/>
        <v>n.a.</v>
      </c>
      <c r="P567" s="525" t="str">
        <f t="shared" si="132"/>
        <v>n.a.</v>
      </c>
      <c r="Q567" s="525" t="str">
        <f t="shared" si="132"/>
        <v>n.a.</v>
      </c>
      <c r="R567" s="525" t="str">
        <f t="shared" si="132"/>
        <v>n.a.</v>
      </c>
      <c r="S567" s="525" t="str">
        <f t="shared" si="132"/>
        <v>n.a.</v>
      </c>
    </row>
    <row r="568" spans="1:19" s="110" customFormat="1" x14ac:dyDescent="0.25">
      <c r="A568" s="785">
        <v>435</v>
      </c>
      <c r="B568" s="525" t="str">
        <f t="shared" si="131"/>
        <v>n.a.</v>
      </c>
      <c r="C568" s="525" t="str">
        <f t="shared" si="131"/>
        <v>n.a.</v>
      </c>
      <c r="D568" s="525" t="str">
        <f t="shared" si="131"/>
        <v>n.a.</v>
      </c>
      <c r="E568" s="525" t="str">
        <f t="shared" si="131"/>
        <v>n.a.</v>
      </c>
      <c r="F568" s="525" t="str">
        <f t="shared" si="131"/>
        <v>n.a.</v>
      </c>
      <c r="G568" s="525" t="str">
        <f t="shared" si="131"/>
        <v>n.a.</v>
      </c>
      <c r="H568" s="525" t="str">
        <f t="shared" si="131"/>
        <v>n.a.</v>
      </c>
      <c r="I568" s="525" t="str">
        <f t="shared" si="131"/>
        <v>n.a.</v>
      </c>
      <c r="J568" s="525" t="str">
        <f t="shared" si="131"/>
        <v>n.a.</v>
      </c>
      <c r="K568" s="525" t="str">
        <f t="shared" si="131"/>
        <v>n.a.</v>
      </c>
      <c r="L568" s="525" t="str">
        <f t="shared" si="132"/>
        <v>n.a.</v>
      </c>
      <c r="M568" s="525" t="str">
        <f t="shared" si="132"/>
        <v>n.a.</v>
      </c>
      <c r="N568" s="525" t="str">
        <f t="shared" si="132"/>
        <v>n.a.</v>
      </c>
      <c r="O568" s="525" t="str">
        <f t="shared" si="132"/>
        <v>n.a.</v>
      </c>
      <c r="P568" s="525" t="str">
        <f t="shared" si="132"/>
        <v>n.a.</v>
      </c>
      <c r="Q568" s="525" t="str">
        <f t="shared" si="132"/>
        <v>n.a.</v>
      </c>
      <c r="R568" s="525" t="str">
        <f t="shared" si="132"/>
        <v>n.a.</v>
      </c>
      <c r="S568" s="525" t="str">
        <f t="shared" si="132"/>
        <v>n.a.</v>
      </c>
    </row>
    <row r="569" spans="1:19" s="110" customFormat="1" x14ac:dyDescent="0.25">
      <c r="A569" s="785">
        <v>436</v>
      </c>
      <c r="B569" s="525" t="str">
        <f t="shared" si="131"/>
        <v>n.a.</v>
      </c>
      <c r="C569" s="525" t="str">
        <f t="shared" si="131"/>
        <v>n.a.</v>
      </c>
      <c r="D569" s="525" t="str">
        <f t="shared" si="131"/>
        <v>n.a.</v>
      </c>
      <c r="E569" s="525" t="str">
        <f t="shared" si="131"/>
        <v>n.a.</v>
      </c>
      <c r="F569" s="525" t="str">
        <f t="shared" si="131"/>
        <v>n.a.</v>
      </c>
      <c r="G569" s="525" t="str">
        <f t="shared" si="131"/>
        <v>n.a.</v>
      </c>
      <c r="H569" s="525" t="str">
        <f t="shared" si="131"/>
        <v>n.a.</v>
      </c>
      <c r="I569" s="525" t="str">
        <f t="shared" si="131"/>
        <v>n.a.</v>
      </c>
      <c r="J569" s="525" t="str">
        <f t="shared" si="131"/>
        <v>n.a.</v>
      </c>
      <c r="K569" s="525" t="str">
        <f t="shared" si="131"/>
        <v>n.a.</v>
      </c>
      <c r="L569" s="525" t="str">
        <f t="shared" si="132"/>
        <v>n.a.</v>
      </c>
      <c r="M569" s="525" t="str">
        <f t="shared" si="132"/>
        <v>n.a.</v>
      </c>
      <c r="N569" s="525" t="str">
        <f t="shared" si="132"/>
        <v>n.a.</v>
      </c>
      <c r="O569" s="525" t="str">
        <f t="shared" si="132"/>
        <v>n.a.</v>
      </c>
      <c r="P569" s="525" t="str">
        <f t="shared" si="132"/>
        <v>n.a.</v>
      </c>
      <c r="Q569" s="525" t="str">
        <f t="shared" si="132"/>
        <v>n.a.</v>
      </c>
      <c r="R569" s="525" t="str">
        <f t="shared" si="132"/>
        <v>n.a.</v>
      </c>
      <c r="S569" s="525" t="str">
        <f t="shared" si="132"/>
        <v>n.a.</v>
      </c>
    </row>
    <row r="570" spans="1:19" s="110" customFormat="1" x14ac:dyDescent="0.25">
      <c r="A570" s="785">
        <v>437</v>
      </c>
      <c r="B570" s="525" t="str">
        <f t="shared" si="131"/>
        <v>n.a.</v>
      </c>
      <c r="C570" s="525" t="str">
        <f t="shared" si="131"/>
        <v>n.a.</v>
      </c>
      <c r="D570" s="525" t="str">
        <f t="shared" si="131"/>
        <v>n.a.</v>
      </c>
      <c r="E570" s="525" t="str">
        <f t="shared" si="131"/>
        <v>n.a.</v>
      </c>
      <c r="F570" s="525" t="str">
        <f t="shared" si="131"/>
        <v>n.a.</v>
      </c>
      <c r="G570" s="525" t="str">
        <f t="shared" si="131"/>
        <v>n.a.</v>
      </c>
      <c r="H570" s="525" t="str">
        <f t="shared" si="131"/>
        <v>n.a.</v>
      </c>
      <c r="I570" s="525" t="str">
        <f t="shared" si="131"/>
        <v>n.a.</v>
      </c>
      <c r="J570" s="525" t="str">
        <f t="shared" si="131"/>
        <v>n.a.</v>
      </c>
      <c r="K570" s="525" t="str">
        <f t="shared" si="131"/>
        <v>n.a.</v>
      </c>
      <c r="L570" s="525" t="str">
        <f t="shared" si="132"/>
        <v>n.a.</v>
      </c>
      <c r="M570" s="525" t="str">
        <f t="shared" si="132"/>
        <v>n.a.</v>
      </c>
      <c r="N570" s="525" t="str">
        <f t="shared" si="132"/>
        <v>n.a.</v>
      </c>
      <c r="O570" s="525" t="str">
        <f t="shared" si="132"/>
        <v>n.a.</v>
      </c>
      <c r="P570" s="525" t="str">
        <f t="shared" si="132"/>
        <v>n.a.</v>
      </c>
      <c r="Q570" s="525" t="str">
        <f t="shared" si="132"/>
        <v>n.a.</v>
      </c>
      <c r="R570" s="525" t="str">
        <f t="shared" si="132"/>
        <v>n.a.</v>
      </c>
      <c r="S570" s="525" t="str">
        <f t="shared" si="132"/>
        <v>n.a.</v>
      </c>
    </row>
    <row r="571" spans="1:19" s="110" customFormat="1" x14ac:dyDescent="0.25">
      <c r="A571" s="785">
        <v>438</v>
      </c>
      <c r="B571" s="525" t="str">
        <f t="shared" si="131"/>
        <v>n.a.</v>
      </c>
      <c r="C571" s="525" t="str">
        <f t="shared" si="131"/>
        <v>n.a.</v>
      </c>
      <c r="D571" s="525" t="str">
        <f t="shared" si="131"/>
        <v>n.a.</v>
      </c>
      <c r="E571" s="525" t="str">
        <f t="shared" si="131"/>
        <v>n.a.</v>
      </c>
      <c r="F571" s="525" t="str">
        <f t="shared" si="131"/>
        <v>n.a.</v>
      </c>
      <c r="G571" s="525" t="str">
        <f t="shared" si="131"/>
        <v>n.a.</v>
      </c>
      <c r="H571" s="525" t="str">
        <f t="shared" si="131"/>
        <v>n.a.</v>
      </c>
      <c r="I571" s="525" t="str">
        <f t="shared" si="131"/>
        <v>n.a.</v>
      </c>
      <c r="J571" s="525" t="str">
        <f t="shared" si="131"/>
        <v>n.a.</v>
      </c>
      <c r="K571" s="525" t="str">
        <f t="shared" si="131"/>
        <v>n.a.</v>
      </c>
      <c r="L571" s="525" t="str">
        <f t="shared" si="132"/>
        <v>n.a.</v>
      </c>
      <c r="M571" s="525" t="str">
        <f t="shared" si="132"/>
        <v>n.a.</v>
      </c>
      <c r="N571" s="525" t="str">
        <f t="shared" si="132"/>
        <v>n.a.</v>
      </c>
      <c r="O571" s="525" t="str">
        <f t="shared" si="132"/>
        <v>n.a.</v>
      </c>
      <c r="P571" s="525" t="str">
        <f t="shared" si="132"/>
        <v>n.a.</v>
      </c>
      <c r="Q571" s="525" t="str">
        <f t="shared" si="132"/>
        <v>n.a.</v>
      </c>
      <c r="R571" s="525" t="str">
        <f t="shared" si="132"/>
        <v>n.a.</v>
      </c>
      <c r="S571" s="525" t="str">
        <f t="shared" si="132"/>
        <v>n.a.</v>
      </c>
    </row>
    <row r="572" spans="1:19" s="110" customFormat="1" x14ac:dyDescent="0.25">
      <c r="A572" s="785">
        <v>439</v>
      </c>
      <c r="B572" s="525" t="str">
        <f t="shared" si="131"/>
        <v>n.a.</v>
      </c>
      <c r="C572" s="525" t="str">
        <f t="shared" si="131"/>
        <v>n.a.</v>
      </c>
      <c r="D572" s="525" t="str">
        <f t="shared" si="131"/>
        <v>n.a.</v>
      </c>
      <c r="E572" s="525" t="str">
        <f t="shared" si="131"/>
        <v>n.a.</v>
      </c>
      <c r="F572" s="525" t="str">
        <f t="shared" si="131"/>
        <v>n.a.</v>
      </c>
      <c r="G572" s="525" t="str">
        <f t="shared" si="131"/>
        <v>n.a.</v>
      </c>
      <c r="H572" s="525" t="str">
        <f t="shared" si="131"/>
        <v>n.a.</v>
      </c>
      <c r="I572" s="525" t="str">
        <f t="shared" si="131"/>
        <v>n.a.</v>
      </c>
      <c r="J572" s="525" t="str">
        <f t="shared" si="131"/>
        <v>n.a.</v>
      </c>
      <c r="K572" s="525" t="str">
        <f t="shared" si="131"/>
        <v>n.a.</v>
      </c>
      <c r="L572" s="525" t="str">
        <f t="shared" si="132"/>
        <v>n.a.</v>
      </c>
      <c r="M572" s="525" t="str">
        <f t="shared" si="132"/>
        <v>n.a.</v>
      </c>
      <c r="N572" s="525" t="str">
        <f t="shared" si="132"/>
        <v>n.a.</v>
      </c>
      <c r="O572" s="525" t="str">
        <f t="shared" si="132"/>
        <v>n.a.</v>
      </c>
      <c r="P572" s="525" t="str">
        <f t="shared" si="132"/>
        <v>n.a.</v>
      </c>
      <c r="Q572" s="525" t="str">
        <f t="shared" si="132"/>
        <v>n.a.</v>
      </c>
      <c r="R572" s="525" t="str">
        <f t="shared" si="132"/>
        <v>n.a.</v>
      </c>
      <c r="S572" s="525" t="str">
        <f t="shared" si="132"/>
        <v>n.a.</v>
      </c>
    </row>
    <row r="573" spans="1:19" s="110" customFormat="1" x14ac:dyDescent="0.25">
      <c r="A573" s="785">
        <v>440</v>
      </c>
      <c r="B573" s="525" t="str">
        <f t="shared" si="131"/>
        <v>n.a.</v>
      </c>
      <c r="C573" s="525" t="str">
        <f t="shared" si="131"/>
        <v>n.a.</v>
      </c>
      <c r="D573" s="525" t="str">
        <f t="shared" si="131"/>
        <v>n.a.</v>
      </c>
      <c r="E573" s="525" t="str">
        <f t="shared" si="131"/>
        <v>n.a.</v>
      </c>
      <c r="F573" s="525" t="str">
        <f t="shared" si="131"/>
        <v>n.a.</v>
      </c>
      <c r="G573" s="525" t="str">
        <f t="shared" si="131"/>
        <v>n.a.</v>
      </c>
      <c r="H573" s="525" t="str">
        <f t="shared" si="131"/>
        <v>n.a.</v>
      </c>
      <c r="I573" s="525" t="str">
        <f t="shared" si="131"/>
        <v>n.a.</v>
      </c>
      <c r="J573" s="525" t="str">
        <f t="shared" si="131"/>
        <v>n.a.</v>
      </c>
      <c r="K573" s="525" t="str">
        <f t="shared" si="131"/>
        <v>n.a.</v>
      </c>
      <c r="L573" s="525" t="str">
        <f t="shared" si="132"/>
        <v>n.a.</v>
      </c>
      <c r="M573" s="525" t="str">
        <f t="shared" si="132"/>
        <v>n.a.</v>
      </c>
      <c r="N573" s="525" t="str">
        <f t="shared" si="132"/>
        <v>n.a.</v>
      </c>
      <c r="O573" s="525" t="str">
        <f t="shared" si="132"/>
        <v>n.a.</v>
      </c>
      <c r="P573" s="525" t="str">
        <f t="shared" si="132"/>
        <v>n.a.</v>
      </c>
      <c r="Q573" s="525" t="str">
        <f t="shared" si="132"/>
        <v>n.a.</v>
      </c>
      <c r="R573" s="525" t="str">
        <f t="shared" si="132"/>
        <v>n.a.</v>
      </c>
      <c r="S573" s="525" t="str">
        <f t="shared" si="132"/>
        <v>n.a.</v>
      </c>
    </row>
    <row r="574" spans="1:19" s="110" customFormat="1" x14ac:dyDescent="0.25">
      <c r="A574" s="785">
        <v>441</v>
      </c>
      <c r="B574" s="525" t="str">
        <f t="shared" ref="B574:K583" si="133">IFERROR(INDEX(CNCodes_ListKey,MATCH($A574&amp;"_"&amp;B$132,CNCodes_ListNumbering,0)),CONST_NA)</f>
        <v>n.a.</v>
      </c>
      <c r="C574" s="525" t="str">
        <f t="shared" si="133"/>
        <v>n.a.</v>
      </c>
      <c r="D574" s="525" t="str">
        <f t="shared" si="133"/>
        <v>n.a.</v>
      </c>
      <c r="E574" s="525" t="str">
        <f t="shared" si="133"/>
        <v>n.a.</v>
      </c>
      <c r="F574" s="525" t="str">
        <f t="shared" si="133"/>
        <v>n.a.</v>
      </c>
      <c r="G574" s="525" t="str">
        <f t="shared" si="133"/>
        <v>n.a.</v>
      </c>
      <c r="H574" s="525" t="str">
        <f t="shared" si="133"/>
        <v>n.a.</v>
      </c>
      <c r="I574" s="525" t="str">
        <f t="shared" si="133"/>
        <v>n.a.</v>
      </c>
      <c r="J574" s="525" t="str">
        <f t="shared" si="133"/>
        <v>n.a.</v>
      </c>
      <c r="K574" s="525" t="str">
        <f t="shared" si="133"/>
        <v>n.a.</v>
      </c>
      <c r="L574" s="525" t="str">
        <f t="shared" ref="L574:S583" si="134">IFERROR(INDEX(CNCodes_ListKey,MATCH($A574&amp;"_"&amp;L$132,CNCodes_ListNumbering,0)),CONST_NA)</f>
        <v>n.a.</v>
      </c>
      <c r="M574" s="525" t="str">
        <f t="shared" si="134"/>
        <v>n.a.</v>
      </c>
      <c r="N574" s="525" t="str">
        <f t="shared" si="134"/>
        <v>n.a.</v>
      </c>
      <c r="O574" s="525" t="str">
        <f t="shared" si="134"/>
        <v>n.a.</v>
      </c>
      <c r="P574" s="525" t="str">
        <f t="shared" si="134"/>
        <v>n.a.</v>
      </c>
      <c r="Q574" s="525" t="str">
        <f t="shared" si="134"/>
        <v>n.a.</v>
      </c>
      <c r="R574" s="525" t="str">
        <f t="shared" si="134"/>
        <v>n.a.</v>
      </c>
      <c r="S574" s="525" t="str">
        <f t="shared" si="134"/>
        <v>n.a.</v>
      </c>
    </row>
    <row r="575" spans="1:19" s="110" customFormat="1" x14ac:dyDescent="0.25">
      <c r="A575" s="785">
        <v>442</v>
      </c>
      <c r="B575" s="525" t="str">
        <f t="shared" si="133"/>
        <v>n.a.</v>
      </c>
      <c r="C575" s="525" t="str">
        <f t="shared" si="133"/>
        <v>n.a.</v>
      </c>
      <c r="D575" s="525" t="str">
        <f t="shared" si="133"/>
        <v>n.a.</v>
      </c>
      <c r="E575" s="525" t="str">
        <f t="shared" si="133"/>
        <v>n.a.</v>
      </c>
      <c r="F575" s="525" t="str">
        <f t="shared" si="133"/>
        <v>n.a.</v>
      </c>
      <c r="G575" s="525" t="str">
        <f t="shared" si="133"/>
        <v>n.a.</v>
      </c>
      <c r="H575" s="525" t="str">
        <f t="shared" si="133"/>
        <v>n.a.</v>
      </c>
      <c r="I575" s="525" t="str">
        <f t="shared" si="133"/>
        <v>n.a.</v>
      </c>
      <c r="J575" s="525" t="str">
        <f t="shared" si="133"/>
        <v>n.a.</v>
      </c>
      <c r="K575" s="525" t="str">
        <f t="shared" si="133"/>
        <v>n.a.</v>
      </c>
      <c r="L575" s="525" t="str">
        <f t="shared" si="134"/>
        <v>n.a.</v>
      </c>
      <c r="M575" s="525" t="str">
        <f t="shared" si="134"/>
        <v>n.a.</v>
      </c>
      <c r="N575" s="525" t="str">
        <f t="shared" si="134"/>
        <v>n.a.</v>
      </c>
      <c r="O575" s="525" t="str">
        <f t="shared" si="134"/>
        <v>n.a.</v>
      </c>
      <c r="P575" s="525" t="str">
        <f t="shared" si="134"/>
        <v>n.a.</v>
      </c>
      <c r="Q575" s="525" t="str">
        <f t="shared" si="134"/>
        <v>n.a.</v>
      </c>
      <c r="R575" s="525" t="str">
        <f t="shared" si="134"/>
        <v>n.a.</v>
      </c>
      <c r="S575" s="525" t="str">
        <f t="shared" si="134"/>
        <v>n.a.</v>
      </c>
    </row>
    <row r="576" spans="1:19" s="110" customFormat="1" x14ac:dyDescent="0.25">
      <c r="A576" s="785">
        <v>443</v>
      </c>
      <c r="B576" s="525" t="str">
        <f t="shared" si="133"/>
        <v>n.a.</v>
      </c>
      <c r="C576" s="525" t="str">
        <f t="shared" si="133"/>
        <v>n.a.</v>
      </c>
      <c r="D576" s="525" t="str">
        <f t="shared" si="133"/>
        <v>n.a.</v>
      </c>
      <c r="E576" s="525" t="str">
        <f t="shared" si="133"/>
        <v>n.a.</v>
      </c>
      <c r="F576" s="525" t="str">
        <f t="shared" si="133"/>
        <v>n.a.</v>
      </c>
      <c r="G576" s="525" t="str">
        <f t="shared" si="133"/>
        <v>n.a.</v>
      </c>
      <c r="H576" s="525" t="str">
        <f t="shared" si="133"/>
        <v>n.a.</v>
      </c>
      <c r="I576" s="525" t="str">
        <f t="shared" si="133"/>
        <v>n.a.</v>
      </c>
      <c r="J576" s="525" t="str">
        <f t="shared" si="133"/>
        <v>n.a.</v>
      </c>
      <c r="K576" s="525" t="str">
        <f t="shared" si="133"/>
        <v>n.a.</v>
      </c>
      <c r="L576" s="525" t="str">
        <f t="shared" si="134"/>
        <v>n.a.</v>
      </c>
      <c r="M576" s="525" t="str">
        <f t="shared" si="134"/>
        <v>n.a.</v>
      </c>
      <c r="N576" s="525" t="str">
        <f t="shared" si="134"/>
        <v>n.a.</v>
      </c>
      <c r="O576" s="525" t="str">
        <f t="shared" si="134"/>
        <v>n.a.</v>
      </c>
      <c r="P576" s="525" t="str">
        <f t="shared" si="134"/>
        <v>n.a.</v>
      </c>
      <c r="Q576" s="525" t="str">
        <f t="shared" si="134"/>
        <v>n.a.</v>
      </c>
      <c r="R576" s="525" t="str">
        <f t="shared" si="134"/>
        <v>n.a.</v>
      </c>
      <c r="S576" s="525" t="str">
        <f t="shared" si="134"/>
        <v>n.a.</v>
      </c>
    </row>
    <row r="577" spans="1:19" s="110" customFormat="1" x14ac:dyDescent="0.25">
      <c r="A577" s="785">
        <v>444</v>
      </c>
      <c r="B577" s="525" t="str">
        <f t="shared" si="133"/>
        <v>n.a.</v>
      </c>
      <c r="C577" s="525" t="str">
        <f t="shared" si="133"/>
        <v>n.a.</v>
      </c>
      <c r="D577" s="525" t="str">
        <f t="shared" si="133"/>
        <v>n.a.</v>
      </c>
      <c r="E577" s="525" t="str">
        <f t="shared" si="133"/>
        <v>n.a.</v>
      </c>
      <c r="F577" s="525" t="str">
        <f t="shared" si="133"/>
        <v>n.a.</v>
      </c>
      <c r="G577" s="525" t="str">
        <f t="shared" si="133"/>
        <v>n.a.</v>
      </c>
      <c r="H577" s="525" t="str">
        <f t="shared" si="133"/>
        <v>n.a.</v>
      </c>
      <c r="I577" s="525" t="str">
        <f t="shared" si="133"/>
        <v>n.a.</v>
      </c>
      <c r="J577" s="525" t="str">
        <f t="shared" si="133"/>
        <v>n.a.</v>
      </c>
      <c r="K577" s="525" t="str">
        <f t="shared" si="133"/>
        <v>n.a.</v>
      </c>
      <c r="L577" s="525" t="str">
        <f t="shared" si="134"/>
        <v>n.a.</v>
      </c>
      <c r="M577" s="525" t="str">
        <f t="shared" si="134"/>
        <v>n.a.</v>
      </c>
      <c r="N577" s="525" t="str">
        <f t="shared" si="134"/>
        <v>n.a.</v>
      </c>
      <c r="O577" s="525" t="str">
        <f t="shared" si="134"/>
        <v>n.a.</v>
      </c>
      <c r="P577" s="525" t="str">
        <f t="shared" si="134"/>
        <v>n.a.</v>
      </c>
      <c r="Q577" s="525" t="str">
        <f t="shared" si="134"/>
        <v>n.a.</v>
      </c>
      <c r="R577" s="525" t="str">
        <f t="shared" si="134"/>
        <v>n.a.</v>
      </c>
      <c r="S577" s="525" t="str">
        <f t="shared" si="134"/>
        <v>n.a.</v>
      </c>
    </row>
    <row r="578" spans="1:19" s="110" customFormat="1" x14ac:dyDescent="0.25">
      <c r="A578" s="785">
        <v>445</v>
      </c>
      <c r="B578" s="525" t="str">
        <f t="shared" si="133"/>
        <v>n.a.</v>
      </c>
      <c r="C578" s="525" t="str">
        <f t="shared" si="133"/>
        <v>n.a.</v>
      </c>
      <c r="D578" s="525" t="str">
        <f t="shared" si="133"/>
        <v>n.a.</v>
      </c>
      <c r="E578" s="525" t="str">
        <f t="shared" si="133"/>
        <v>n.a.</v>
      </c>
      <c r="F578" s="525" t="str">
        <f t="shared" si="133"/>
        <v>n.a.</v>
      </c>
      <c r="G578" s="525" t="str">
        <f t="shared" si="133"/>
        <v>n.a.</v>
      </c>
      <c r="H578" s="525" t="str">
        <f t="shared" si="133"/>
        <v>n.a.</v>
      </c>
      <c r="I578" s="525" t="str">
        <f t="shared" si="133"/>
        <v>n.a.</v>
      </c>
      <c r="J578" s="525" t="str">
        <f t="shared" si="133"/>
        <v>n.a.</v>
      </c>
      <c r="K578" s="525" t="str">
        <f t="shared" si="133"/>
        <v>n.a.</v>
      </c>
      <c r="L578" s="525" t="str">
        <f t="shared" si="134"/>
        <v>n.a.</v>
      </c>
      <c r="M578" s="525" t="str">
        <f t="shared" si="134"/>
        <v>n.a.</v>
      </c>
      <c r="N578" s="525" t="str">
        <f t="shared" si="134"/>
        <v>n.a.</v>
      </c>
      <c r="O578" s="525" t="str">
        <f t="shared" si="134"/>
        <v>n.a.</v>
      </c>
      <c r="P578" s="525" t="str">
        <f t="shared" si="134"/>
        <v>n.a.</v>
      </c>
      <c r="Q578" s="525" t="str">
        <f t="shared" si="134"/>
        <v>n.a.</v>
      </c>
      <c r="R578" s="525" t="str">
        <f t="shared" si="134"/>
        <v>n.a.</v>
      </c>
      <c r="S578" s="525" t="str">
        <f t="shared" si="134"/>
        <v>n.a.</v>
      </c>
    </row>
    <row r="579" spans="1:19" s="110" customFormat="1" x14ac:dyDescent="0.25">
      <c r="A579" s="785">
        <v>446</v>
      </c>
      <c r="B579" s="525" t="str">
        <f t="shared" si="133"/>
        <v>n.a.</v>
      </c>
      <c r="C579" s="525" t="str">
        <f t="shared" si="133"/>
        <v>n.a.</v>
      </c>
      <c r="D579" s="525" t="str">
        <f t="shared" si="133"/>
        <v>n.a.</v>
      </c>
      <c r="E579" s="525" t="str">
        <f t="shared" si="133"/>
        <v>n.a.</v>
      </c>
      <c r="F579" s="525" t="str">
        <f t="shared" si="133"/>
        <v>n.a.</v>
      </c>
      <c r="G579" s="525" t="str">
        <f t="shared" si="133"/>
        <v>n.a.</v>
      </c>
      <c r="H579" s="525" t="str">
        <f t="shared" si="133"/>
        <v>n.a.</v>
      </c>
      <c r="I579" s="525" t="str">
        <f t="shared" si="133"/>
        <v>n.a.</v>
      </c>
      <c r="J579" s="525" t="str">
        <f t="shared" si="133"/>
        <v>n.a.</v>
      </c>
      <c r="K579" s="525" t="str">
        <f t="shared" si="133"/>
        <v>n.a.</v>
      </c>
      <c r="L579" s="525" t="str">
        <f t="shared" si="134"/>
        <v>n.a.</v>
      </c>
      <c r="M579" s="525" t="str">
        <f t="shared" si="134"/>
        <v>n.a.</v>
      </c>
      <c r="N579" s="525" t="str">
        <f t="shared" si="134"/>
        <v>n.a.</v>
      </c>
      <c r="O579" s="525" t="str">
        <f t="shared" si="134"/>
        <v>n.a.</v>
      </c>
      <c r="P579" s="525" t="str">
        <f t="shared" si="134"/>
        <v>n.a.</v>
      </c>
      <c r="Q579" s="525" t="str">
        <f t="shared" si="134"/>
        <v>n.a.</v>
      </c>
      <c r="R579" s="525" t="str">
        <f t="shared" si="134"/>
        <v>n.a.</v>
      </c>
      <c r="S579" s="525" t="str">
        <f t="shared" si="134"/>
        <v>n.a.</v>
      </c>
    </row>
    <row r="580" spans="1:19" s="110" customFormat="1" x14ac:dyDescent="0.25">
      <c r="A580" s="785">
        <v>447</v>
      </c>
      <c r="B580" s="525" t="str">
        <f t="shared" si="133"/>
        <v>n.a.</v>
      </c>
      <c r="C580" s="525" t="str">
        <f t="shared" si="133"/>
        <v>n.a.</v>
      </c>
      <c r="D580" s="525" t="str">
        <f t="shared" si="133"/>
        <v>n.a.</v>
      </c>
      <c r="E580" s="525" t="str">
        <f t="shared" si="133"/>
        <v>n.a.</v>
      </c>
      <c r="F580" s="525" t="str">
        <f t="shared" si="133"/>
        <v>n.a.</v>
      </c>
      <c r="G580" s="525" t="str">
        <f t="shared" si="133"/>
        <v>n.a.</v>
      </c>
      <c r="H580" s="525" t="str">
        <f t="shared" si="133"/>
        <v>n.a.</v>
      </c>
      <c r="I580" s="525" t="str">
        <f t="shared" si="133"/>
        <v>n.a.</v>
      </c>
      <c r="J580" s="525" t="str">
        <f t="shared" si="133"/>
        <v>n.a.</v>
      </c>
      <c r="K580" s="525" t="str">
        <f t="shared" si="133"/>
        <v>n.a.</v>
      </c>
      <c r="L580" s="525" t="str">
        <f t="shared" si="134"/>
        <v>n.a.</v>
      </c>
      <c r="M580" s="525" t="str">
        <f t="shared" si="134"/>
        <v>n.a.</v>
      </c>
      <c r="N580" s="525" t="str">
        <f t="shared" si="134"/>
        <v>n.a.</v>
      </c>
      <c r="O580" s="525" t="str">
        <f t="shared" si="134"/>
        <v>n.a.</v>
      </c>
      <c r="P580" s="525" t="str">
        <f t="shared" si="134"/>
        <v>n.a.</v>
      </c>
      <c r="Q580" s="525" t="str">
        <f t="shared" si="134"/>
        <v>n.a.</v>
      </c>
      <c r="R580" s="525" t="str">
        <f t="shared" si="134"/>
        <v>n.a.</v>
      </c>
      <c r="S580" s="525" t="str">
        <f t="shared" si="134"/>
        <v>n.a.</v>
      </c>
    </row>
    <row r="581" spans="1:19" s="110" customFormat="1" x14ac:dyDescent="0.25">
      <c r="A581" s="785">
        <v>448</v>
      </c>
      <c r="B581" s="525" t="str">
        <f t="shared" si="133"/>
        <v>n.a.</v>
      </c>
      <c r="C581" s="525" t="str">
        <f t="shared" si="133"/>
        <v>n.a.</v>
      </c>
      <c r="D581" s="525" t="str">
        <f t="shared" si="133"/>
        <v>n.a.</v>
      </c>
      <c r="E581" s="525" t="str">
        <f t="shared" si="133"/>
        <v>n.a.</v>
      </c>
      <c r="F581" s="525" t="str">
        <f t="shared" si="133"/>
        <v>n.a.</v>
      </c>
      <c r="G581" s="525" t="str">
        <f t="shared" si="133"/>
        <v>n.a.</v>
      </c>
      <c r="H581" s="525" t="str">
        <f t="shared" si="133"/>
        <v>n.a.</v>
      </c>
      <c r="I581" s="525" t="str">
        <f t="shared" si="133"/>
        <v>n.a.</v>
      </c>
      <c r="J581" s="525" t="str">
        <f t="shared" si="133"/>
        <v>n.a.</v>
      </c>
      <c r="K581" s="525" t="str">
        <f t="shared" si="133"/>
        <v>n.a.</v>
      </c>
      <c r="L581" s="525" t="str">
        <f t="shared" si="134"/>
        <v>n.a.</v>
      </c>
      <c r="M581" s="525" t="str">
        <f t="shared" si="134"/>
        <v>n.a.</v>
      </c>
      <c r="N581" s="525" t="str">
        <f t="shared" si="134"/>
        <v>n.a.</v>
      </c>
      <c r="O581" s="525" t="str">
        <f t="shared" si="134"/>
        <v>n.a.</v>
      </c>
      <c r="P581" s="525" t="str">
        <f t="shared" si="134"/>
        <v>n.a.</v>
      </c>
      <c r="Q581" s="525" t="str">
        <f t="shared" si="134"/>
        <v>n.a.</v>
      </c>
      <c r="R581" s="525" t="str">
        <f t="shared" si="134"/>
        <v>n.a.</v>
      </c>
      <c r="S581" s="525" t="str">
        <f t="shared" si="134"/>
        <v>n.a.</v>
      </c>
    </row>
    <row r="582" spans="1:19" s="110" customFormat="1" x14ac:dyDescent="0.25">
      <c r="A582" s="785">
        <v>449</v>
      </c>
      <c r="B582" s="525" t="str">
        <f t="shared" si="133"/>
        <v>n.a.</v>
      </c>
      <c r="C582" s="525" t="str">
        <f t="shared" si="133"/>
        <v>n.a.</v>
      </c>
      <c r="D582" s="525" t="str">
        <f t="shared" si="133"/>
        <v>n.a.</v>
      </c>
      <c r="E582" s="525" t="str">
        <f t="shared" si="133"/>
        <v>n.a.</v>
      </c>
      <c r="F582" s="525" t="str">
        <f t="shared" si="133"/>
        <v>n.a.</v>
      </c>
      <c r="G582" s="525" t="str">
        <f t="shared" si="133"/>
        <v>n.a.</v>
      </c>
      <c r="H582" s="525" t="str">
        <f t="shared" si="133"/>
        <v>n.a.</v>
      </c>
      <c r="I582" s="525" t="str">
        <f t="shared" si="133"/>
        <v>n.a.</v>
      </c>
      <c r="J582" s="525" t="str">
        <f t="shared" si="133"/>
        <v>n.a.</v>
      </c>
      <c r="K582" s="525" t="str">
        <f t="shared" si="133"/>
        <v>n.a.</v>
      </c>
      <c r="L582" s="525" t="str">
        <f t="shared" si="134"/>
        <v>n.a.</v>
      </c>
      <c r="M582" s="525" t="str">
        <f t="shared" si="134"/>
        <v>n.a.</v>
      </c>
      <c r="N582" s="525" t="str">
        <f t="shared" si="134"/>
        <v>n.a.</v>
      </c>
      <c r="O582" s="525" t="str">
        <f t="shared" si="134"/>
        <v>n.a.</v>
      </c>
      <c r="P582" s="525" t="str">
        <f t="shared" si="134"/>
        <v>n.a.</v>
      </c>
      <c r="Q582" s="525" t="str">
        <f t="shared" si="134"/>
        <v>n.a.</v>
      </c>
      <c r="R582" s="525" t="str">
        <f t="shared" si="134"/>
        <v>n.a.</v>
      </c>
      <c r="S582" s="525" t="str">
        <f t="shared" si="134"/>
        <v>n.a.</v>
      </c>
    </row>
    <row r="583" spans="1:19" s="110" customFormat="1" x14ac:dyDescent="0.25">
      <c r="A583" s="785">
        <v>450</v>
      </c>
      <c r="B583" s="525" t="str">
        <f t="shared" si="133"/>
        <v>n.a.</v>
      </c>
      <c r="C583" s="525" t="str">
        <f t="shared" si="133"/>
        <v>n.a.</v>
      </c>
      <c r="D583" s="525" t="str">
        <f t="shared" si="133"/>
        <v>n.a.</v>
      </c>
      <c r="E583" s="525" t="str">
        <f t="shared" si="133"/>
        <v>n.a.</v>
      </c>
      <c r="F583" s="525" t="str">
        <f t="shared" si="133"/>
        <v>n.a.</v>
      </c>
      <c r="G583" s="525" t="str">
        <f t="shared" si="133"/>
        <v>n.a.</v>
      </c>
      <c r="H583" s="525" t="str">
        <f t="shared" si="133"/>
        <v>n.a.</v>
      </c>
      <c r="I583" s="525" t="str">
        <f t="shared" si="133"/>
        <v>n.a.</v>
      </c>
      <c r="J583" s="525" t="str">
        <f t="shared" si="133"/>
        <v>n.a.</v>
      </c>
      <c r="K583" s="525" t="str">
        <f t="shared" si="133"/>
        <v>n.a.</v>
      </c>
      <c r="L583" s="525" t="str">
        <f t="shared" si="134"/>
        <v>n.a.</v>
      </c>
      <c r="M583" s="525" t="str">
        <f t="shared" si="134"/>
        <v>n.a.</v>
      </c>
      <c r="N583" s="525" t="str">
        <f t="shared" si="134"/>
        <v>n.a.</v>
      </c>
      <c r="O583" s="525" t="str">
        <f t="shared" si="134"/>
        <v>n.a.</v>
      </c>
      <c r="P583" s="525" t="str">
        <f t="shared" si="134"/>
        <v>n.a.</v>
      </c>
      <c r="Q583" s="525" t="str">
        <f t="shared" si="134"/>
        <v>n.a.</v>
      </c>
      <c r="R583" s="525" t="str">
        <f t="shared" si="134"/>
        <v>n.a.</v>
      </c>
      <c r="S583" s="525" t="str">
        <f t="shared" si="134"/>
        <v>n.a.</v>
      </c>
    </row>
    <row r="584" spans="1:19" s="110" customFormat="1" x14ac:dyDescent="0.25">
      <c r="A584" s="785">
        <v>451</v>
      </c>
      <c r="B584" s="525" t="str">
        <f t="shared" ref="B584:K593" si="135">IFERROR(INDEX(CNCodes_ListKey,MATCH($A584&amp;"_"&amp;B$132,CNCodes_ListNumbering,0)),CONST_NA)</f>
        <v>n.a.</v>
      </c>
      <c r="C584" s="525" t="str">
        <f t="shared" si="135"/>
        <v>n.a.</v>
      </c>
      <c r="D584" s="525" t="str">
        <f t="shared" si="135"/>
        <v>n.a.</v>
      </c>
      <c r="E584" s="525" t="str">
        <f t="shared" si="135"/>
        <v>n.a.</v>
      </c>
      <c r="F584" s="525" t="str">
        <f t="shared" si="135"/>
        <v>n.a.</v>
      </c>
      <c r="G584" s="525" t="str">
        <f t="shared" si="135"/>
        <v>n.a.</v>
      </c>
      <c r="H584" s="525" t="str">
        <f t="shared" si="135"/>
        <v>n.a.</v>
      </c>
      <c r="I584" s="525" t="str">
        <f t="shared" si="135"/>
        <v>n.a.</v>
      </c>
      <c r="J584" s="525" t="str">
        <f t="shared" si="135"/>
        <v>n.a.</v>
      </c>
      <c r="K584" s="525" t="str">
        <f t="shared" si="135"/>
        <v>n.a.</v>
      </c>
      <c r="L584" s="525" t="str">
        <f t="shared" ref="L584:S593" si="136">IFERROR(INDEX(CNCodes_ListKey,MATCH($A584&amp;"_"&amp;L$132,CNCodes_ListNumbering,0)),CONST_NA)</f>
        <v>n.a.</v>
      </c>
      <c r="M584" s="525" t="str">
        <f t="shared" si="136"/>
        <v>n.a.</v>
      </c>
      <c r="N584" s="525" t="str">
        <f t="shared" si="136"/>
        <v>n.a.</v>
      </c>
      <c r="O584" s="525" t="str">
        <f t="shared" si="136"/>
        <v>n.a.</v>
      </c>
      <c r="P584" s="525" t="str">
        <f t="shared" si="136"/>
        <v>n.a.</v>
      </c>
      <c r="Q584" s="525" t="str">
        <f t="shared" si="136"/>
        <v>n.a.</v>
      </c>
      <c r="R584" s="525" t="str">
        <f t="shared" si="136"/>
        <v>n.a.</v>
      </c>
      <c r="S584" s="525" t="str">
        <f t="shared" si="136"/>
        <v>n.a.</v>
      </c>
    </row>
    <row r="585" spans="1:19" s="110" customFormat="1" x14ac:dyDescent="0.25">
      <c r="A585" s="785">
        <v>452</v>
      </c>
      <c r="B585" s="525" t="str">
        <f t="shared" si="135"/>
        <v>n.a.</v>
      </c>
      <c r="C585" s="525" t="str">
        <f t="shared" si="135"/>
        <v>n.a.</v>
      </c>
      <c r="D585" s="525" t="str">
        <f t="shared" si="135"/>
        <v>n.a.</v>
      </c>
      <c r="E585" s="525" t="str">
        <f t="shared" si="135"/>
        <v>n.a.</v>
      </c>
      <c r="F585" s="525" t="str">
        <f t="shared" si="135"/>
        <v>n.a.</v>
      </c>
      <c r="G585" s="525" t="str">
        <f t="shared" si="135"/>
        <v>n.a.</v>
      </c>
      <c r="H585" s="525" t="str">
        <f t="shared" si="135"/>
        <v>n.a.</v>
      </c>
      <c r="I585" s="525" t="str">
        <f t="shared" si="135"/>
        <v>n.a.</v>
      </c>
      <c r="J585" s="525" t="str">
        <f t="shared" si="135"/>
        <v>n.a.</v>
      </c>
      <c r="K585" s="525" t="str">
        <f t="shared" si="135"/>
        <v>n.a.</v>
      </c>
      <c r="L585" s="525" t="str">
        <f t="shared" si="136"/>
        <v>n.a.</v>
      </c>
      <c r="M585" s="525" t="str">
        <f t="shared" si="136"/>
        <v>n.a.</v>
      </c>
      <c r="N585" s="525" t="str">
        <f t="shared" si="136"/>
        <v>n.a.</v>
      </c>
      <c r="O585" s="525" t="str">
        <f t="shared" si="136"/>
        <v>n.a.</v>
      </c>
      <c r="P585" s="525" t="str">
        <f t="shared" si="136"/>
        <v>n.a.</v>
      </c>
      <c r="Q585" s="525" t="str">
        <f t="shared" si="136"/>
        <v>n.a.</v>
      </c>
      <c r="R585" s="525" t="str">
        <f t="shared" si="136"/>
        <v>n.a.</v>
      </c>
      <c r="S585" s="525" t="str">
        <f t="shared" si="136"/>
        <v>n.a.</v>
      </c>
    </row>
    <row r="586" spans="1:19" s="110" customFormat="1" x14ac:dyDescent="0.25">
      <c r="A586" s="785">
        <v>453</v>
      </c>
      <c r="B586" s="525" t="str">
        <f t="shared" si="135"/>
        <v>n.a.</v>
      </c>
      <c r="C586" s="525" t="str">
        <f t="shared" si="135"/>
        <v>n.a.</v>
      </c>
      <c r="D586" s="525" t="str">
        <f t="shared" si="135"/>
        <v>n.a.</v>
      </c>
      <c r="E586" s="525" t="str">
        <f t="shared" si="135"/>
        <v>n.a.</v>
      </c>
      <c r="F586" s="525" t="str">
        <f t="shared" si="135"/>
        <v>n.a.</v>
      </c>
      <c r="G586" s="525" t="str">
        <f t="shared" si="135"/>
        <v>n.a.</v>
      </c>
      <c r="H586" s="525" t="str">
        <f t="shared" si="135"/>
        <v>n.a.</v>
      </c>
      <c r="I586" s="525" t="str">
        <f t="shared" si="135"/>
        <v>n.a.</v>
      </c>
      <c r="J586" s="525" t="str">
        <f t="shared" si="135"/>
        <v>n.a.</v>
      </c>
      <c r="K586" s="525" t="str">
        <f t="shared" si="135"/>
        <v>n.a.</v>
      </c>
      <c r="L586" s="525" t="str">
        <f t="shared" si="136"/>
        <v>n.a.</v>
      </c>
      <c r="M586" s="525" t="str">
        <f t="shared" si="136"/>
        <v>n.a.</v>
      </c>
      <c r="N586" s="525" t="str">
        <f t="shared" si="136"/>
        <v>n.a.</v>
      </c>
      <c r="O586" s="525" t="str">
        <f t="shared" si="136"/>
        <v>n.a.</v>
      </c>
      <c r="P586" s="525" t="str">
        <f t="shared" si="136"/>
        <v>n.a.</v>
      </c>
      <c r="Q586" s="525" t="str">
        <f t="shared" si="136"/>
        <v>n.a.</v>
      </c>
      <c r="R586" s="525" t="str">
        <f t="shared" si="136"/>
        <v>n.a.</v>
      </c>
      <c r="S586" s="525" t="str">
        <f t="shared" si="136"/>
        <v>n.a.</v>
      </c>
    </row>
    <row r="587" spans="1:19" s="110" customFormat="1" x14ac:dyDescent="0.25">
      <c r="A587" s="785">
        <v>454</v>
      </c>
      <c r="B587" s="525" t="str">
        <f t="shared" si="135"/>
        <v>n.a.</v>
      </c>
      <c r="C587" s="525" t="str">
        <f t="shared" si="135"/>
        <v>n.a.</v>
      </c>
      <c r="D587" s="525" t="str">
        <f t="shared" si="135"/>
        <v>n.a.</v>
      </c>
      <c r="E587" s="525" t="str">
        <f t="shared" si="135"/>
        <v>n.a.</v>
      </c>
      <c r="F587" s="525" t="str">
        <f t="shared" si="135"/>
        <v>n.a.</v>
      </c>
      <c r="G587" s="525" t="str">
        <f t="shared" si="135"/>
        <v>n.a.</v>
      </c>
      <c r="H587" s="525" t="str">
        <f t="shared" si="135"/>
        <v>n.a.</v>
      </c>
      <c r="I587" s="525" t="str">
        <f t="shared" si="135"/>
        <v>n.a.</v>
      </c>
      <c r="J587" s="525" t="str">
        <f t="shared" si="135"/>
        <v>n.a.</v>
      </c>
      <c r="K587" s="525" t="str">
        <f t="shared" si="135"/>
        <v>n.a.</v>
      </c>
      <c r="L587" s="525" t="str">
        <f t="shared" si="136"/>
        <v>n.a.</v>
      </c>
      <c r="M587" s="525" t="str">
        <f t="shared" si="136"/>
        <v>n.a.</v>
      </c>
      <c r="N587" s="525" t="str">
        <f t="shared" si="136"/>
        <v>n.a.</v>
      </c>
      <c r="O587" s="525" t="str">
        <f t="shared" si="136"/>
        <v>n.a.</v>
      </c>
      <c r="P587" s="525" t="str">
        <f t="shared" si="136"/>
        <v>n.a.</v>
      </c>
      <c r="Q587" s="525" t="str">
        <f t="shared" si="136"/>
        <v>n.a.</v>
      </c>
      <c r="R587" s="525" t="str">
        <f t="shared" si="136"/>
        <v>n.a.</v>
      </c>
      <c r="S587" s="525" t="str">
        <f t="shared" si="136"/>
        <v>n.a.</v>
      </c>
    </row>
    <row r="588" spans="1:19" s="110" customFormat="1" x14ac:dyDescent="0.25">
      <c r="A588" s="785">
        <v>455</v>
      </c>
      <c r="B588" s="525" t="str">
        <f t="shared" si="135"/>
        <v>n.a.</v>
      </c>
      <c r="C588" s="525" t="str">
        <f t="shared" si="135"/>
        <v>n.a.</v>
      </c>
      <c r="D588" s="525" t="str">
        <f t="shared" si="135"/>
        <v>n.a.</v>
      </c>
      <c r="E588" s="525" t="str">
        <f t="shared" si="135"/>
        <v>n.a.</v>
      </c>
      <c r="F588" s="525" t="str">
        <f t="shared" si="135"/>
        <v>n.a.</v>
      </c>
      <c r="G588" s="525" t="str">
        <f t="shared" si="135"/>
        <v>n.a.</v>
      </c>
      <c r="H588" s="525" t="str">
        <f t="shared" si="135"/>
        <v>n.a.</v>
      </c>
      <c r="I588" s="525" t="str">
        <f t="shared" si="135"/>
        <v>n.a.</v>
      </c>
      <c r="J588" s="525" t="str">
        <f t="shared" si="135"/>
        <v>n.a.</v>
      </c>
      <c r="K588" s="525" t="str">
        <f t="shared" si="135"/>
        <v>n.a.</v>
      </c>
      <c r="L588" s="525" t="str">
        <f t="shared" si="136"/>
        <v>n.a.</v>
      </c>
      <c r="M588" s="525" t="str">
        <f t="shared" si="136"/>
        <v>n.a.</v>
      </c>
      <c r="N588" s="525" t="str">
        <f t="shared" si="136"/>
        <v>n.a.</v>
      </c>
      <c r="O588" s="525" t="str">
        <f t="shared" si="136"/>
        <v>n.a.</v>
      </c>
      <c r="P588" s="525" t="str">
        <f t="shared" si="136"/>
        <v>n.a.</v>
      </c>
      <c r="Q588" s="525" t="str">
        <f t="shared" si="136"/>
        <v>n.a.</v>
      </c>
      <c r="R588" s="525" t="str">
        <f t="shared" si="136"/>
        <v>n.a.</v>
      </c>
      <c r="S588" s="525" t="str">
        <f t="shared" si="136"/>
        <v>n.a.</v>
      </c>
    </row>
    <row r="589" spans="1:19" s="110" customFormat="1" x14ac:dyDescent="0.25">
      <c r="A589" s="785">
        <v>456</v>
      </c>
      <c r="B589" s="525" t="str">
        <f t="shared" si="135"/>
        <v>n.a.</v>
      </c>
      <c r="C589" s="525" t="str">
        <f t="shared" si="135"/>
        <v>n.a.</v>
      </c>
      <c r="D589" s="525" t="str">
        <f t="shared" si="135"/>
        <v>n.a.</v>
      </c>
      <c r="E589" s="525" t="str">
        <f t="shared" si="135"/>
        <v>n.a.</v>
      </c>
      <c r="F589" s="525" t="str">
        <f t="shared" si="135"/>
        <v>n.a.</v>
      </c>
      <c r="G589" s="525" t="str">
        <f t="shared" si="135"/>
        <v>n.a.</v>
      </c>
      <c r="H589" s="525" t="str">
        <f t="shared" si="135"/>
        <v>n.a.</v>
      </c>
      <c r="I589" s="525" t="str">
        <f t="shared" si="135"/>
        <v>n.a.</v>
      </c>
      <c r="J589" s="525" t="str">
        <f t="shared" si="135"/>
        <v>n.a.</v>
      </c>
      <c r="K589" s="525" t="str">
        <f t="shared" si="135"/>
        <v>n.a.</v>
      </c>
      <c r="L589" s="525" t="str">
        <f t="shared" si="136"/>
        <v>n.a.</v>
      </c>
      <c r="M589" s="525" t="str">
        <f t="shared" si="136"/>
        <v>n.a.</v>
      </c>
      <c r="N589" s="525" t="str">
        <f t="shared" si="136"/>
        <v>n.a.</v>
      </c>
      <c r="O589" s="525" t="str">
        <f t="shared" si="136"/>
        <v>n.a.</v>
      </c>
      <c r="P589" s="525" t="str">
        <f t="shared" si="136"/>
        <v>n.a.</v>
      </c>
      <c r="Q589" s="525" t="str">
        <f t="shared" si="136"/>
        <v>n.a.</v>
      </c>
      <c r="R589" s="525" t="str">
        <f t="shared" si="136"/>
        <v>n.a.</v>
      </c>
      <c r="S589" s="525" t="str">
        <f t="shared" si="136"/>
        <v>n.a.</v>
      </c>
    </row>
    <row r="590" spans="1:19" s="110" customFormat="1" x14ac:dyDescent="0.25">
      <c r="A590" s="785">
        <v>457</v>
      </c>
      <c r="B590" s="525" t="str">
        <f t="shared" si="135"/>
        <v>n.a.</v>
      </c>
      <c r="C590" s="525" t="str">
        <f t="shared" si="135"/>
        <v>n.a.</v>
      </c>
      <c r="D590" s="525" t="str">
        <f t="shared" si="135"/>
        <v>n.a.</v>
      </c>
      <c r="E590" s="525" t="str">
        <f t="shared" si="135"/>
        <v>n.a.</v>
      </c>
      <c r="F590" s="525" t="str">
        <f t="shared" si="135"/>
        <v>n.a.</v>
      </c>
      <c r="G590" s="525" t="str">
        <f t="shared" si="135"/>
        <v>n.a.</v>
      </c>
      <c r="H590" s="525" t="str">
        <f t="shared" si="135"/>
        <v>n.a.</v>
      </c>
      <c r="I590" s="525" t="str">
        <f t="shared" si="135"/>
        <v>n.a.</v>
      </c>
      <c r="J590" s="525" t="str">
        <f t="shared" si="135"/>
        <v>n.a.</v>
      </c>
      <c r="K590" s="525" t="str">
        <f t="shared" si="135"/>
        <v>n.a.</v>
      </c>
      <c r="L590" s="525" t="str">
        <f t="shared" si="136"/>
        <v>n.a.</v>
      </c>
      <c r="M590" s="525" t="str">
        <f t="shared" si="136"/>
        <v>n.a.</v>
      </c>
      <c r="N590" s="525" t="str">
        <f t="shared" si="136"/>
        <v>n.a.</v>
      </c>
      <c r="O590" s="525" t="str">
        <f t="shared" si="136"/>
        <v>n.a.</v>
      </c>
      <c r="P590" s="525" t="str">
        <f t="shared" si="136"/>
        <v>n.a.</v>
      </c>
      <c r="Q590" s="525" t="str">
        <f t="shared" si="136"/>
        <v>n.a.</v>
      </c>
      <c r="R590" s="525" t="str">
        <f t="shared" si="136"/>
        <v>n.a.</v>
      </c>
      <c r="S590" s="525" t="str">
        <f t="shared" si="136"/>
        <v>n.a.</v>
      </c>
    </row>
    <row r="591" spans="1:19" s="110" customFormat="1" x14ac:dyDescent="0.25">
      <c r="A591" s="785">
        <v>458</v>
      </c>
      <c r="B591" s="525" t="str">
        <f t="shared" si="135"/>
        <v>n.a.</v>
      </c>
      <c r="C591" s="525" t="str">
        <f t="shared" si="135"/>
        <v>n.a.</v>
      </c>
      <c r="D591" s="525" t="str">
        <f t="shared" si="135"/>
        <v>n.a.</v>
      </c>
      <c r="E591" s="525" t="str">
        <f t="shared" si="135"/>
        <v>n.a.</v>
      </c>
      <c r="F591" s="525" t="str">
        <f t="shared" si="135"/>
        <v>n.a.</v>
      </c>
      <c r="G591" s="525" t="str">
        <f t="shared" si="135"/>
        <v>n.a.</v>
      </c>
      <c r="H591" s="525" t="str">
        <f t="shared" si="135"/>
        <v>n.a.</v>
      </c>
      <c r="I591" s="525" t="str">
        <f t="shared" si="135"/>
        <v>n.a.</v>
      </c>
      <c r="J591" s="525" t="str">
        <f t="shared" si="135"/>
        <v>n.a.</v>
      </c>
      <c r="K591" s="525" t="str">
        <f t="shared" si="135"/>
        <v>n.a.</v>
      </c>
      <c r="L591" s="525" t="str">
        <f t="shared" si="136"/>
        <v>n.a.</v>
      </c>
      <c r="M591" s="525" t="str">
        <f t="shared" si="136"/>
        <v>n.a.</v>
      </c>
      <c r="N591" s="525" t="str">
        <f t="shared" si="136"/>
        <v>n.a.</v>
      </c>
      <c r="O591" s="525" t="str">
        <f t="shared" si="136"/>
        <v>n.a.</v>
      </c>
      <c r="P591" s="525" t="str">
        <f t="shared" si="136"/>
        <v>n.a.</v>
      </c>
      <c r="Q591" s="525" t="str">
        <f t="shared" si="136"/>
        <v>n.a.</v>
      </c>
      <c r="R591" s="525" t="str">
        <f t="shared" si="136"/>
        <v>n.a.</v>
      </c>
      <c r="S591" s="525" t="str">
        <f t="shared" si="136"/>
        <v>n.a.</v>
      </c>
    </row>
    <row r="592" spans="1:19" s="110" customFormat="1" x14ac:dyDescent="0.25">
      <c r="A592" s="785">
        <v>459</v>
      </c>
      <c r="B592" s="525" t="str">
        <f t="shared" si="135"/>
        <v>n.a.</v>
      </c>
      <c r="C592" s="525" t="str">
        <f t="shared" si="135"/>
        <v>n.a.</v>
      </c>
      <c r="D592" s="525" t="str">
        <f t="shared" si="135"/>
        <v>n.a.</v>
      </c>
      <c r="E592" s="525" t="str">
        <f t="shared" si="135"/>
        <v>n.a.</v>
      </c>
      <c r="F592" s="525" t="str">
        <f t="shared" si="135"/>
        <v>n.a.</v>
      </c>
      <c r="G592" s="525" t="str">
        <f t="shared" si="135"/>
        <v>n.a.</v>
      </c>
      <c r="H592" s="525" t="str">
        <f t="shared" si="135"/>
        <v>n.a.</v>
      </c>
      <c r="I592" s="525" t="str">
        <f t="shared" si="135"/>
        <v>n.a.</v>
      </c>
      <c r="J592" s="525" t="str">
        <f t="shared" si="135"/>
        <v>n.a.</v>
      </c>
      <c r="K592" s="525" t="str">
        <f t="shared" si="135"/>
        <v>n.a.</v>
      </c>
      <c r="L592" s="525" t="str">
        <f t="shared" si="136"/>
        <v>n.a.</v>
      </c>
      <c r="M592" s="525" t="str">
        <f t="shared" si="136"/>
        <v>n.a.</v>
      </c>
      <c r="N592" s="525" t="str">
        <f t="shared" si="136"/>
        <v>n.a.</v>
      </c>
      <c r="O592" s="525" t="str">
        <f t="shared" si="136"/>
        <v>n.a.</v>
      </c>
      <c r="P592" s="525" t="str">
        <f t="shared" si="136"/>
        <v>n.a.</v>
      </c>
      <c r="Q592" s="525" t="str">
        <f t="shared" si="136"/>
        <v>n.a.</v>
      </c>
      <c r="R592" s="525" t="str">
        <f t="shared" si="136"/>
        <v>n.a.</v>
      </c>
      <c r="S592" s="525" t="str">
        <f t="shared" si="136"/>
        <v>n.a.</v>
      </c>
    </row>
    <row r="593" spans="1:19" s="110" customFormat="1" x14ac:dyDescent="0.25">
      <c r="A593" s="785">
        <v>460</v>
      </c>
      <c r="B593" s="525" t="str">
        <f t="shared" si="135"/>
        <v>n.a.</v>
      </c>
      <c r="C593" s="525" t="str">
        <f t="shared" si="135"/>
        <v>n.a.</v>
      </c>
      <c r="D593" s="525" t="str">
        <f t="shared" si="135"/>
        <v>n.a.</v>
      </c>
      <c r="E593" s="525" t="str">
        <f t="shared" si="135"/>
        <v>n.a.</v>
      </c>
      <c r="F593" s="525" t="str">
        <f t="shared" si="135"/>
        <v>n.a.</v>
      </c>
      <c r="G593" s="525" t="str">
        <f t="shared" si="135"/>
        <v>n.a.</v>
      </c>
      <c r="H593" s="525" t="str">
        <f t="shared" si="135"/>
        <v>n.a.</v>
      </c>
      <c r="I593" s="525" t="str">
        <f t="shared" si="135"/>
        <v>n.a.</v>
      </c>
      <c r="J593" s="525" t="str">
        <f t="shared" si="135"/>
        <v>n.a.</v>
      </c>
      <c r="K593" s="525" t="str">
        <f t="shared" si="135"/>
        <v>n.a.</v>
      </c>
      <c r="L593" s="525" t="str">
        <f t="shared" si="136"/>
        <v>n.a.</v>
      </c>
      <c r="M593" s="525" t="str">
        <f t="shared" si="136"/>
        <v>n.a.</v>
      </c>
      <c r="N593" s="525" t="str">
        <f t="shared" si="136"/>
        <v>n.a.</v>
      </c>
      <c r="O593" s="525" t="str">
        <f t="shared" si="136"/>
        <v>n.a.</v>
      </c>
      <c r="P593" s="525" t="str">
        <f t="shared" si="136"/>
        <v>n.a.</v>
      </c>
      <c r="Q593" s="525" t="str">
        <f t="shared" si="136"/>
        <v>n.a.</v>
      </c>
      <c r="R593" s="525" t="str">
        <f t="shared" si="136"/>
        <v>n.a.</v>
      </c>
      <c r="S593" s="525" t="str">
        <f t="shared" si="136"/>
        <v>n.a.</v>
      </c>
    </row>
    <row r="594" spans="1:19" s="110" customFormat="1" x14ac:dyDescent="0.25">
      <c r="A594" s="785">
        <v>461</v>
      </c>
      <c r="B594" s="525" t="str">
        <f t="shared" ref="B594:K603" si="137">IFERROR(INDEX(CNCodes_ListKey,MATCH($A594&amp;"_"&amp;B$132,CNCodes_ListNumbering,0)),CONST_NA)</f>
        <v>n.a.</v>
      </c>
      <c r="C594" s="525" t="str">
        <f t="shared" si="137"/>
        <v>n.a.</v>
      </c>
      <c r="D594" s="525" t="str">
        <f t="shared" si="137"/>
        <v>n.a.</v>
      </c>
      <c r="E594" s="525" t="str">
        <f t="shared" si="137"/>
        <v>n.a.</v>
      </c>
      <c r="F594" s="525" t="str">
        <f t="shared" si="137"/>
        <v>n.a.</v>
      </c>
      <c r="G594" s="525" t="str">
        <f t="shared" si="137"/>
        <v>n.a.</v>
      </c>
      <c r="H594" s="525" t="str">
        <f t="shared" si="137"/>
        <v>n.a.</v>
      </c>
      <c r="I594" s="525" t="str">
        <f t="shared" si="137"/>
        <v>n.a.</v>
      </c>
      <c r="J594" s="525" t="str">
        <f t="shared" si="137"/>
        <v>n.a.</v>
      </c>
      <c r="K594" s="525" t="str">
        <f t="shared" si="137"/>
        <v>n.a.</v>
      </c>
      <c r="L594" s="525" t="str">
        <f t="shared" ref="L594:S603" si="138">IFERROR(INDEX(CNCodes_ListKey,MATCH($A594&amp;"_"&amp;L$132,CNCodes_ListNumbering,0)),CONST_NA)</f>
        <v>n.a.</v>
      </c>
      <c r="M594" s="525" t="str">
        <f t="shared" si="138"/>
        <v>n.a.</v>
      </c>
      <c r="N594" s="525" t="str">
        <f t="shared" si="138"/>
        <v>n.a.</v>
      </c>
      <c r="O594" s="525" t="str">
        <f t="shared" si="138"/>
        <v>n.a.</v>
      </c>
      <c r="P594" s="525" t="str">
        <f t="shared" si="138"/>
        <v>n.a.</v>
      </c>
      <c r="Q594" s="525" t="str">
        <f t="shared" si="138"/>
        <v>n.a.</v>
      </c>
      <c r="R594" s="525" t="str">
        <f t="shared" si="138"/>
        <v>n.a.</v>
      </c>
      <c r="S594" s="525" t="str">
        <f t="shared" si="138"/>
        <v>n.a.</v>
      </c>
    </row>
    <row r="595" spans="1:19" s="110" customFormat="1" x14ac:dyDescent="0.25">
      <c r="A595" s="785">
        <v>462</v>
      </c>
      <c r="B595" s="525" t="str">
        <f t="shared" si="137"/>
        <v>n.a.</v>
      </c>
      <c r="C595" s="525" t="str">
        <f t="shared" si="137"/>
        <v>n.a.</v>
      </c>
      <c r="D595" s="525" t="str">
        <f t="shared" si="137"/>
        <v>n.a.</v>
      </c>
      <c r="E595" s="525" t="str">
        <f t="shared" si="137"/>
        <v>n.a.</v>
      </c>
      <c r="F595" s="525" t="str">
        <f t="shared" si="137"/>
        <v>n.a.</v>
      </c>
      <c r="G595" s="525" t="str">
        <f t="shared" si="137"/>
        <v>n.a.</v>
      </c>
      <c r="H595" s="525" t="str">
        <f t="shared" si="137"/>
        <v>n.a.</v>
      </c>
      <c r="I595" s="525" t="str">
        <f t="shared" si="137"/>
        <v>n.a.</v>
      </c>
      <c r="J595" s="525" t="str">
        <f t="shared" si="137"/>
        <v>n.a.</v>
      </c>
      <c r="K595" s="525" t="str">
        <f t="shared" si="137"/>
        <v>n.a.</v>
      </c>
      <c r="L595" s="525" t="str">
        <f t="shared" si="138"/>
        <v>n.a.</v>
      </c>
      <c r="M595" s="525" t="str">
        <f t="shared" si="138"/>
        <v>n.a.</v>
      </c>
      <c r="N595" s="525" t="str">
        <f t="shared" si="138"/>
        <v>n.a.</v>
      </c>
      <c r="O595" s="525" t="str">
        <f t="shared" si="138"/>
        <v>n.a.</v>
      </c>
      <c r="P595" s="525" t="str">
        <f t="shared" si="138"/>
        <v>n.a.</v>
      </c>
      <c r="Q595" s="525" t="str">
        <f t="shared" si="138"/>
        <v>n.a.</v>
      </c>
      <c r="R595" s="525" t="str">
        <f t="shared" si="138"/>
        <v>n.a.</v>
      </c>
      <c r="S595" s="525" t="str">
        <f t="shared" si="138"/>
        <v>n.a.</v>
      </c>
    </row>
    <row r="596" spans="1:19" s="110" customFormat="1" x14ac:dyDescent="0.25">
      <c r="A596" s="785">
        <v>463</v>
      </c>
      <c r="B596" s="525" t="str">
        <f t="shared" si="137"/>
        <v>n.a.</v>
      </c>
      <c r="C596" s="525" t="str">
        <f t="shared" si="137"/>
        <v>n.a.</v>
      </c>
      <c r="D596" s="525" t="str">
        <f t="shared" si="137"/>
        <v>n.a.</v>
      </c>
      <c r="E596" s="525" t="str">
        <f t="shared" si="137"/>
        <v>n.a.</v>
      </c>
      <c r="F596" s="525" t="str">
        <f t="shared" si="137"/>
        <v>n.a.</v>
      </c>
      <c r="G596" s="525" t="str">
        <f t="shared" si="137"/>
        <v>n.a.</v>
      </c>
      <c r="H596" s="525" t="str">
        <f t="shared" si="137"/>
        <v>n.a.</v>
      </c>
      <c r="I596" s="525" t="str">
        <f t="shared" si="137"/>
        <v>n.a.</v>
      </c>
      <c r="J596" s="525" t="str">
        <f t="shared" si="137"/>
        <v>n.a.</v>
      </c>
      <c r="K596" s="525" t="str">
        <f t="shared" si="137"/>
        <v>n.a.</v>
      </c>
      <c r="L596" s="525" t="str">
        <f t="shared" si="138"/>
        <v>n.a.</v>
      </c>
      <c r="M596" s="525" t="str">
        <f t="shared" si="138"/>
        <v>n.a.</v>
      </c>
      <c r="N596" s="525" t="str">
        <f t="shared" si="138"/>
        <v>n.a.</v>
      </c>
      <c r="O596" s="525" t="str">
        <f t="shared" si="138"/>
        <v>n.a.</v>
      </c>
      <c r="P596" s="525" t="str">
        <f t="shared" si="138"/>
        <v>n.a.</v>
      </c>
      <c r="Q596" s="525" t="str">
        <f t="shared" si="138"/>
        <v>n.a.</v>
      </c>
      <c r="R596" s="525" t="str">
        <f t="shared" si="138"/>
        <v>n.a.</v>
      </c>
      <c r="S596" s="525" t="str">
        <f t="shared" si="138"/>
        <v>n.a.</v>
      </c>
    </row>
    <row r="597" spans="1:19" s="110" customFormat="1" x14ac:dyDescent="0.25">
      <c r="A597" s="785">
        <v>464</v>
      </c>
      <c r="B597" s="525" t="str">
        <f t="shared" si="137"/>
        <v>n.a.</v>
      </c>
      <c r="C597" s="525" t="str">
        <f t="shared" si="137"/>
        <v>n.a.</v>
      </c>
      <c r="D597" s="525" t="str">
        <f t="shared" si="137"/>
        <v>n.a.</v>
      </c>
      <c r="E597" s="525" t="str">
        <f t="shared" si="137"/>
        <v>n.a.</v>
      </c>
      <c r="F597" s="525" t="str">
        <f t="shared" si="137"/>
        <v>n.a.</v>
      </c>
      <c r="G597" s="525" t="str">
        <f t="shared" si="137"/>
        <v>n.a.</v>
      </c>
      <c r="H597" s="525" t="str">
        <f t="shared" si="137"/>
        <v>n.a.</v>
      </c>
      <c r="I597" s="525" t="str">
        <f t="shared" si="137"/>
        <v>n.a.</v>
      </c>
      <c r="J597" s="525" t="str">
        <f t="shared" si="137"/>
        <v>n.a.</v>
      </c>
      <c r="K597" s="525" t="str">
        <f t="shared" si="137"/>
        <v>n.a.</v>
      </c>
      <c r="L597" s="525" t="str">
        <f t="shared" si="138"/>
        <v>n.a.</v>
      </c>
      <c r="M597" s="525" t="str">
        <f t="shared" si="138"/>
        <v>n.a.</v>
      </c>
      <c r="N597" s="525" t="str">
        <f t="shared" si="138"/>
        <v>n.a.</v>
      </c>
      <c r="O597" s="525" t="str">
        <f t="shared" si="138"/>
        <v>n.a.</v>
      </c>
      <c r="P597" s="525" t="str">
        <f t="shared" si="138"/>
        <v>n.a.</v>
      </c>
      <c r="Q597" s="525" t="str">
        <f t="shared" si="138"/>
        <v>n.a.</v>
      </c>
      <c r="R597" s="525" t="str">
        <f t="shared" si="138"/>
        <v>n.a.</v>
      </c>
      <c r="S597" s="525" t="str">
        <f t="shared" si="138"/>
        <v>n.a.</v>
      </c>
    </row>
    <row r="598" spans="1:19" s="110" customFormat="1" x14ac:dyDescent="0.25">
      <c r="A598" s="785">
        <v>465</v>
      </c>
      <c r="B598" s="525" t="str">
        <f t="shared" si="137"/>
        <v>n.a.</v>
      </c>
      <c r="C598" s="525" t="str">
        <f t="shared" si="137"/>
        <v>n.a.</v>
      </c>
      <c r="D598" s="525" t="str">
        <f t="shared" si="137"/>
        <v>n.a.</v>
      </c>
      <c r="E598" s="525" t="str">
        <f t="shared" si="137"/>
        <v>n.a.</v>
      </c>
      <c r="F598" s="525" t="str">
        <f t="shared" si="137"/>
        <v>n.a.</v>
      </c>
      <c r="G598" s="525" t="str">
        <f t="shared" si="137"/>
        <v>n.a.</v>
      </c>
      <c r="H598" s="525" t="str">
        <f t="shared" si="137"/>
        <v>n.a.</v>
      </c>
      <c r="I598" s="525" t="str">
        <f t="shared" si="137"/>
        <v>n.a.</v>
      </c>
      <c r="J598" s="525" t="str">
        <f t="shared" si="137"/>
        <v>n.a.</v>
      </c>
      <c r="K598" s="525" t="str">
        <f t="shared" si="137"/>
        <v>n.a.</v>
      </c>
      <c r="L598" s="525" t="str">
        <f t="shared" si="138"/>
        <v>n.a.</v>
      </c>
      <c r="M598" s="525" t="str">
        <f t="shared" si="138"/>
        <v>n.a.</v>
      </c>
      <c r="N598" s="525" t="str">
        <f t="shared" si="138"/>
        <v>n.a.</v>
      </c>
      <c r="O598" s="525" t="str">
        <f t="shared" si="138"/>
        <v>n.a.</v>
      </c>
      <c r="P598" s="525" t="str">
        <f t="shared" si="138"/>
        <v>n.a.</v>
      </c>
      <c r="Q598" s="525" t="str">
        <f t="shared" si="138"/>
        <v>n.a.</v>
      </c>
      <c r="R598" s="525" t="str">
        <f t="shared" si="138"/>
        <v>n.a.</v>
      </c>
      <c r="S598" s="525" t="str">
        <f t="shared" si="138"/>
        <v>n.a.</v>
      </c>
    </row>
    <row r="599" spans="1:19" s="110" customFormat="1" x14ac:dyDescent="0.25">
      <c r="A599" s="785">
        <v>466</v>
      </c>
      <c r="B599" s="525" t="str">
        <f t="shared" si="137"/>
        <v>n.a.</v>
      </c>
      <c r="C599" s="525" t="str">
        <f t="shared" si="137"/>
        <v>n.a.</v>
      </c>
      <c r="D599" s="525" t="str">
        <f t="shared" si="137"/>
        <v>n.a.</v>
      </c>
      <c r="E599" s="525" t="str">
        <f t="shared" si="137"/>
        <v>n.a.</v>
      </c>
      <c r="F599" s="525" t="str">
        <f t="shared" si="137"/>
        <v>n.a.</v>
      </c>
      <c r="G599" s="525" t="str">
        <f t="shared" si="137"/>
        <v>n.a.</v>
      </c>
      <c r="H599" s="525" t="str">
        <f t="shared" si="137"/>
        <v>n.a.</v>
      </c>
      <c r="I599" s="525" t="str">
        <f t="shared" si="137"/>
        <v>n.a.</v>
      </c>
      <c r="J599" s="525" t="str">
        <f t="shared" si="137"/>
        <v>n.a.</v>
      </c>
      <c r="K599" s="525" t="str">
        <f t="shared" si="137"/>
        <v>n.a.</v>
      </c>
      <c r="L599" s="525" t="str">
        <f t="shared" si="138"/>
        <v>n.a.</v>
      </c>
      <c r="M599" s="525" t="str">
        <f t="shared" si="138"/>
        <v>n.a.</v>
      </c>
      <c r="N599" s="525" t="str">
        <f t="shared" si="138"/>
        <v>n.a.</v>
      </c>
      <c r="O599" s="525" t="str">
        <f t="shared" si="138"/>
        <v>n.a.</v>
      </c>
      <c r="P599" s="525" t="str">
        <f t="shared" si="138"/>
        <v>n.a.</v>
      </c>
      <c r="Q599" s="525" t="str">
        <f t="shared" si="138"/>
        <v>n.a.</v>
      </c>
      <c r="R599" s="525" t="str">
        <f t="shared" si="138"/>
        <v>n.a.</v>
      </c>
      <c r="S599" s="525" t="str">
        <f t="shared" si="138"/>
        <v>n.a.</v>
      </c>
    </row>
    <row r="600" spans="1:19" s="110" customFormat="1" x14ac:dyDescent="0.25">
      <c r="A600" s="785">
        <v>467</v>
      </c>
      <c r="B600" s="525" t="str">
        <f t="shared" si="137"/>
        <v>n.a.</v>
      </c>
      <c r="C600" s="525" t="str">
        <f t="shared" si="137"/>
        <v>n.a.</v>
      </c>
      <c r="D600" s="525" t="str">
        <f t="shared" si="137"/>
        <v>n.a.</v>
      </c>
      <c r="E600" s="525" t="str">
        <f t="shared" si="137"/>
        <v>n.a.</v>
      </c>
      <c r="F600" s="525" t="str">
        <f t="shared" si="137"/>
        <v>n.a.</v>
      </c>
      <c r="G600" s="525" t="str">
        <f t="shared" si="137"/>
        <v>n.a.</v>
      </c>
      <c r="H600" s="525" t="str">
        <f t="shared" si="137"/>
        <v>n.a.</v>
      </c>
      <c r="I600" s="525" t="str">
        <f t="shared" si="137"/>
        <v>n.a.</v>
      </c>
      <c r="J600" s="525" t="str">
        <f t="shared" si="137"/>
        <v>n.a.</v>
      </c>
      <c r="K600" s="525" t="str">
        <f t="shared" si="137"/>
        <v>n.a.</v>
      </c>
      <c r="L600" s="525" t="str">
        <f t="shared" si="138"/>
        <v>n.a.</v>
      </c>
      <c r="M600" s="525" t="str">
        <f t="shared" si="138"/>
        <v>n.a.</v>
      </c>
      <c r="N600" s="525" t="str">
        <f t="shared" si="138"/>
        <v>n.a.</v>
      </c>
      <c r="O600" s="525" t="str">
        <f t="shared" si="138"/>
        <v>n.a.</v>
      </c>
      <c r="P600" s="525" t="str">
        <f t="shared" si="138"/>
        <v>n.a.</v>
      </c>
      <c r="Q600" s="525" t="str">
        <f t="shared" si="138"/>
        <v>n.a.</v>
      </c>
      <c r="R600" s="525" t="str">
        <f t="shared" si="138"/>
        <v>n.a.</v>
      </c>
      <c r="S600" s="525" t="str">
        <f t="shared" si="138"/>
        <v>n.a.</v>
      </c>
    </row>
    <row r="601" spans="1:19" s="110" customFormat="1" x14ac:dyDescent="0.25">
      <c r="A601" s="785">
        <v>468</v>
      </c>
      <c r="B601" s="525" t="str">
        <f t="shared" si="137"/>
        <v>n.a.</v>
      </c>
      <c r="C601" s="525" t="str">
        <f t="shared" si="137"/>
        <v>n.a.</v>
      </c>
      <c r="D601" s="525" t="str">
        <f t="shared" si="137"/>
        <v>n.a.</v>
      </c>
      <c r="E601" s="525" t="str">
        <f t="shared" si="137"/>
        <v>n.a.</v>
      </c>
      <c r="F601" s="525" t="str">
        <f t="shared" si="137"/>
        <v>n.a.</v>
      </c>
      <c r="G601" s="525" t="str">
        <f t="shared" si="137"/>
        <v>n.a.</v>
      </c>
      <c r="H601" s="525" t="str">
        <f t="shared" si="137"/>
        <v>n.a.</v>
      </c>
      <c r="I601" s="525" t="str">
        <f t="shared" si="137"/>
        <v>n.a.</v>
      </c>
      <c r="J601" s="525" t="str">
        <f t="shared" si="137"/>
        <v>n.a.</v>
      </c>
      <c r="K601" s="525" t="str">
        <f t="shared" si="137"/>
        <v>n.a.</v>
      </c>
      <c r="L601" s="525" t="str">
        <f t="shared" si="138"/>
        <v>n.a.</v>
      </c>
      <c r="M601" s="525" t="str">
        <f t="shared" si="138"/>
        <v>n.a.</v>
      </c>
      <c r="N601" s="525" t="str">
        <f t="shared" si="138"/>
        <v>n.a.</v>
      </c>
      <c r="O601" s="525" t="str">
        <f t="shared" si="138"/>
        <v>n.a.</v>
      </c>
      <c r="P601" s="525" t="str">
        <f t="shared" si="138"/>
        <v>n.a.</v>
      </c>
      <c r="Q601" s="525" t="str">
        <f t="shared" si="138"/>
        <v>n.a.</v>
      </c>
      <c r="R601" s="525" t="str">
        <f t="shared" si="138"/>
        <v>n.a.</v>
      </c>
      <c r="S601" s="525" t="str">
        <f t="shared" si="138"/>
        <v>n.a.</v>
      </c>
    </row>
    <row r="602" spans="1:19" s="110" customFormat="1" x14ac:dyDescent="0.25">
      <c r="A602" s="785">
        <v>469</v>
      </c>
      <c r="B602" s="525" t="str">
        <f t="shared" si="137"/>
        <v>n.a.</v>
      </c>
      <c r="C602" s="525" t="str">
        <f t="shared" si="137"/>
        <v>n.a.</v>
      </c>
      <c r="D602" s="525" t="str">
        <f t="shared" si="137"/>
        <v>n.a.</v>
      </c>
      <c r="E602" s="525" t="str">
        <f t="shared" si="137"/>
        <v>n.a.</v>
      </c>
      <c r="F602" s="525" t="str">
        <f t="shared" si="137"/>
        <v>n.a.</v>
      </c>
      <c r="G602" s="525" t="str">
        <f t="shared" si="137"/>
        <v>n.a.</v>
      </c>
      <c r="H602" s="525" t="str">
        <f t="shared" si="137"/>
        <v>n.a.</v>
      </c>
      <c r="I602" s="525" t="str">
        <f t="shared" si="137"/>
        <v>n.a.</v>
      </c>
      <c r="J602" s="525" t="str">
        <f t="shared" si="137"/>
        <v>n.a.</v>
      </c>
      <c r="K602" s="525" t="str">
        <f t="shared" si="137"/>
        <v>n.a.</v>
      </c>
      <c r="L602" s="525" t="str">
        <f t="shared" si="138"/>
        <v>n.a.</v>
      </c>
      <c r="M602" s="525" t="str">
        <f t="shared" si="138"/>
        <v>n.a.</v>
      </c>
      <c r="N602" s="525" t="str">
        <f t="shared" si="138"/>
        <v>n.a.</v>
      </c>
      <c r="O602" s="525" t="str">
        <f t="shared" si="138"/>
        <v>n.a.</v>
      </c>
      <c r="P602" s="525" t="str">
        <f t="shared" si="138"/>
        <v>n.a.</v>
      </c>
      <c r="Q602" s="525" t="str">
        <f t="shared" si="138"/>
        <v>n.a.</v>
      </c>
      <c r="R602" s="525" t="str">
        <f t="shared" si="138"/>
        <v>n.a.</v>
      </c>
      <c r="S602" s="525" t="str">
        <f t="shared" si="138"/>
        <v>n.a.</v>
      </c>
    </row>
    <row r="603" spans="1:19" s="110" customFormat="1" x14ac:dyDescent="0.25">
      <c r="A603" s="785">
        <v>470</v>
      </c>
      <c r="B603" s="525" t="str">
        <f t="shared" si="137"/>
        <v>n.a.</v>
      </c>
      <c r="C603" s="525" t="str">
        <f t="shared" si="137"/>
        <v>n.a.</v>
      </c>
      <c r="D603" s="525" t="str">
        <f t="shared" si="137"/>
        <v>n.a.</v>
      </c>
      <c r="E603" s="525" t="str">
        <f t="shared" si="137"/>
        <v>n.a.</v>
      </c>
      <c r="F603" s="525" t="str">
        <f t="shared" si="137"/>
        <v>n.a.</v>
      </c>
      <c r="G603" s="525" t="str">
        <f t="shared" si="137"/>
        <v>n.a.</v>
      </c>
      <c r="H603" s="525" t="str">
        <f t="shared" si="137"/>
        <v>n.a.</v>
      </c>
      <c r="I603" s="525" t="str">
        <f t="shared" si="137"/>
        <v>n.a.</v>
      </c>
      <c r="J603" s="525" t="str">
        <f t="shared" si="137"/>
        <v>n.a.</v>
      </c>
      <c r="K603" s="525" t="str">
        <f t="shared" si="137"/>
        <v>n.a.</v>
      </c>
      <c r="L603" s="525" t="str">
        <f t="shared" si="138"/>
        <v>n.a.</v>
      </c>
      <c r="M603" s="525" t="str">
        <f t="shared" si="138"/>
        <v>n.a.</v>
      </c>
      <c r="N603" s="525" t="str">
        <f t="shared" si="138"/>
        <v>n.a.</v>
      </c>
      <c r="O603" s="525" t="str">
        <f t="shared" si="138"/>
        <v>n.a.</v>
      </c>
      <c r="P603" s="525" t="str">
        <f t="shared" si="138"/>
        <v>n.a.</v>
      </c>
      <c r="Q603" s="525" t="str">
        <f t="shared" si="138"/>
        <v>n.a.</v>
      </c>
      <c r="R603" s="525" t="str">
        <f t="shared" si="138"/>
        <v>n.a.</v>
      </c>
      <c r="S603" s="525" t="str">
        <f t="shared" si="138"/>
        <v>n.a.</v>
      </c>
    </row>
    <row r="604" spans="1:19" s="110" customFormat="1" x14ac:dyDescent="0.25">
      <c r="A604" s="785">
        <v>471</v>
      </c>
      <c r="B604" s="525" t="str">
        <f t="shared" ref="B604:K613" si="139">IFERROR(INDEX(CNCodes_ListKey,MATCH($A604&amp;"_"&amp;B$132,CNCodes_ListNumbering,0)),CONST_NA)</f>
        <v>n.a.</v>
      </c>
      <c r="C604" s="525" t="str">
        <f t="shared" si="139"/>
        <v>n.a.</v>
      </c>
      <c r="D604" s="525" t="str">
        <f t="shared" si="139"/>
        <v>n.a.</v>
      </c>
      <c r="E604" s="525" t="str">
        <f t="shared" si="139"/>
        <v>n.a.</v>
      </c>
      <c r="F604" s="525" t="str">
        <f t="shared" si="139"/>
        <v>n.a.</v>
      </c>
      <c r="G604" s="525" t="str">
        <f t="shared" si="139"/>
        <v>n.a.</v>
      </c>
      <c r="H604" s="525" t="str">
        <f t="shared" si="139"/>
        <v>n.a.</v>
      </c>
      <c r="I604" s="525" t="str">
        <f t="shared" si="139"/>
        <v>n.a.</v>
      </c>
      <c r="J604" s="525" t="str">
        <f t="shared" si="139"/>
        <v>n.a.</v>
      </c>
      <c r="K604" s="525" t="str">
        <f t="shared" si="139"/>
        <v>n.a.</v>
      </c>
      <c r="L604" s="525" t="str">
        <f t="shared" ref="L604:S613" si="140">IFERROR(INDEX(CNCodes_ListKey,MATCH($A604&amp;"_"&amp;L$132,CNCodes_ListNumbering,0)),CONST_NA)</f>
        <v>n.a.</v>
      </c>
      <c r="M604" s="525" t="str">
        <f t="shared" si="140"/>
        <v>n.a.</v>
      </c>
      <c r="N604" s="525" t="str">
        <f t="shared" si="140"/>
        <v>n.a.</v>
      </c>
      <c r="O604" s="525" t="str">
        <f t="shared" si="140"/>
        <v>n.a.</v>
      </c>
      <c r="P604" s="525" t="str">
        <f t="shared" si="140"/>
        <v>n.a.</v>
      </c>
      <c r="Q604" s="525" t="str">
        <f t="shared" si="140"/>
        <v>n.a.</v>
      </c>
      <c r="R604" s="525" t="str">
        <f t="shared" si="140"/>
        <v>n.a.</v>
      </c>
      <c r="S604" s="525" t="str">
        <f t="shared" si="140"/>
        <v>n.a.</v>
      </c>
    </row>
    <row r="605" spans="1:19" s="110" customFormat="1" x14ac:dyDescent="0.25">
      <c r="A605" s="785">
        <v>472</v>
      </c>
      <c r="B605" s="525" t="str">
        <f t="shared" si="139"/>
        <v>n.a.</v>
      </c>
      <c r="C605" s="525" t="str">
        <f t="shared" si="139"/>
        <v>n.a.</v>
      </c>
      <c r="D605" s="525" t="str">
        <f t="shared" si="139"/>
        <v>n.a.</v>
      </c>
      <c r="E605" s="525" t="str">
        <f t="shared" si="139"/>
        <v>n.a.</v>
      </c>
      <c r="F605" s="525" t="str">
        <f t="shared" si="139"/>
        <v>n.a.</v>
      </c>
      <c r="G605" s="525" t="str">
        <f t="shared" si="139"/>
        <v>n.a.</v>
      </c>
      <c r="H605" s="525" t="str">
        <f t="shared" si="139"/>
        <v>n.a.</v>
      </c>
      <c r="I605" s="525" t="str">
        <f t="shared" si="139"/>
        <v>n.a.</v>
      </c>
      <c r="J605" s="525" t="str">
        <f t="shared" si="139"/>
        <v>n.a.</v>
      </c>
      <c r="K605" s="525" t="str">
        <f t="shared" si="139"/>
        <v>n.a.</v>
      </c>
      <c r="L605" s="525" t="str">
        <f t="shared" si="140"/>
        <v>n.a.</v>
      </c>
      <c r="M605" s="525" t="str">
        <f t="shared" si="140"/>
        <v>n.a.</v>
      </c>
      <c r="N605" s="525" t="str">
        <f t="shared" si="140"/>
        <v>n.a.</v>
      </c>
      <c r="O605" s="525" t="str">
        <f t="shared" si="140"/>
        <v>n.a.</v>
      </c>
      <c r="P605" s="525" t="str">
        <f t="shared" si="140"/>
        <v>n.a.</v>
      </c>
      <c r="Q605" s="525" t="str">
        <f t="shared" si="140"/>
        <v>n.a.</v>
      </c>
      <c r="R605" s="525" t="str">
        <f t="shared" si="140"/>
        <v>n.a.</v>
      </c>
      <c r="S605" s="525" t="str">
        <f t="shared" si="140"/>
        <v>n.a.</v>
      </c>
    </row>
    <row r="606" spans="1:19" s="110" customFormat="1" x14ac:dyDescent="0.25">
      <c r="A606" s="785">
        <v>473</v>
      </c>
      <c r="B606" s="525" t="str">
        <f t="shared" si="139"/>
        <v>n.a.</v>
      </c>
      <c r="C606" s="525" t="str">
        <f t="shared" si="139"/>
        <v>n.a.</v>
      </c>
      <c r="D606" s="525" t="str">
        <f t="shared" si="139"/>
        <v>n.a.</v>
      </c>
      <c r="E606" s="525" t="str">
        <f t="shared" si="139"/>
        <v>n.a.</v>
      </c>
      <c r="F606" s="525" t="str">
        <f t="shared" si="139"/>
        <v>n.a.</v>
      </c>
      <c r="G606" s="525" t="str">
        <f t="shared" si="139"/>
        <v>n.a.</v>
      </c>
      <c r="H606" s="525" t="str">
        <f t="shared" si="139"/>
        <v>n.a.</v>
      </c>
      <c r="I606" s="525" t="str">
        <f t="shared" si="139"/>
        <v>n.a.</v>
      </c>
      <c r="J606" s="525" t="str">
        <f t="shared" si="139"/>
        <v>n.a.</v>
      </c>
      <c r="K606" s="525" t="str">
        <f t="shared" si="139"/>
        <v>n.a.</v>
      </c>
      <c r="L606" s="525" t="str">
        <f t="shared" si="140"/>
        <v>n.a.</v>
      </c>
      <c r="M606" s="525" t="str">
        <f t="shared" si="140"/>
        <v>n.a.</v>
      </c>
      <c r="N606" s="525" t="str">
        <f t="shared" si="140"/>
        <v>n.a.</v>
      </c>
      <c r="O606" s="525" t="str">
        <f t="shared" si="140"/>
        <v>n.a.</v>
      </c>
      <c r="P606" s="525" t="str">
        <f t="shared" si="140"/>
        <v>n.a.</v>
      </c>
      <c r="Q606" s="525" t="str">
        <f t="shared" si="140"/>
        <v>n.a.</v>
      </c>
      <c r="R606" s="525" t="str">
        <f t="shared" si="140"/>
        <v>n.a.</v>
      </c>
      <c r="S606" s="525" t="str">
        <f t="shared" si="140"/>
        <v>n.a.</v>
      </c>
    </row>
    <row r="607" spans="1:19" s="110" customFormat="1" x14ac:dyDescent="0.25">
      <c r="A607" s="785">
        <v>474</v>
      </c>
      <c r="B607" s="525" t="str">
        <f t="shared" si="139"/>
        <v>n.a.</v>
      </c>
      <c r="C607" s="525" t="str">
        <f t="shared" si="139"/>
        <v>n.a.</v>
      </c>
      <c r="D607" s="525" t="str">
        <f t="shared" si="139"/>
        <v>n.a.</v>
      </c>
      <c r="E607" s="525" t="str">
        <f t="shared" si="139"/>
        <v>n.a.</v>
      </c>
      <c r="F607" s="525" t="str">
        <f t="shared" si="139"/>
        <v>n.a.</v>
      </c>
      <c r="G607" s="525" t="str">
        <f t="shared" si="139"/>
        <v>n.a.</v>
      </c>
      <c r="H607" s="525" t="str">
        <f t="shared" si="139"/>
        <v>n.a.</v>
      </c>
      <c r="I607" s="525" t="str">
        <f t="shared" si="139"/>
        <v>n.a.</v>
      </c>
      <c r="J607" s="525" t="str">
        <f t="shared" si="139"/>
        <v>n.a.</v>
      </c>
      <c r="K607" s="525" t="str">
        <f t="shared" si="139"/>
        <v>n.a.</v>
      </c>
      <c r="L607" s="525" t="str">
        <f t="shared" si="140"/>
        <v>n.a.</v>
      </c>
      <c r="M607" s="525" t="str">
        <f t="shared" si="140"/>
        <v>n.a.</v>
      </c>
      <c r="N607" s="525" t="str">
        <f t="shared" si="140"/>
        <v>n.a.</v>
      </c>
      <c r="O607" s="525" t="str">
        <f t="shared" si="140"/>
        <v>n.a.</v>
      </c>
      <c r="P607" s="525" t="str">
        <f t="shared" si="140"/>
        <v>n.a.</v>
      </c>
      <c r="Q607" s="525" t="str">
        <f t="shared" si="140"/>
        <v>n.a.</v>
      </c>
      <c r="R607" s="525" t="str">
        <f t="shared" si="140"/>
        <v>n.a.</v>
      </c>
      <c r="S607" s="525" t="str">
        <f t="shared" si="140"/>
        <v>n.a.</v>
      </c>
    </row>
    <row r="608" spans="1:19" s="110" customFormat="1" x14ac:dyDescent="0.25">
      <c r="A608" s="785">
        <v>475</v>
      </c>
      <c r="B608" s="525" t="str">
        <f t="shared" si="139"/>
        <v>n.a.</v>
      </c>
      <c r="C608" s="525" t="str">
        <f t="shared" si="139"/>
        <v>n.a.</v>
      </c>
      <c r="D608" s="525" t="str">
        <f t="shared" si="139"/>
        <v>n.a.</v>
      </c>
      <c r="E608" s="525" t="str">
        <f t="shared" si="139"/>
        <v>n.a.</v>
      </c>
      <c r="F608" s="525" t="str">
        <f t="shared" si="139"/>
        <v>n.a.</v>
      </c>
      <c r="G608" s="525" t="str">
        <f t="shared" si="139"/>
        <v>n.a.</v>
      </c>
      <c r="H608" s="525" t="str">
        <f t="shared" si="139"/>
        <v>n.a.</v>
      </c>
      <c r="I608" s="525" t="str">
        <f t="shared" si="139"/>
        <v>n.a.</v>
      </c>
      <c r="J608" s="525" t="str">
        <f t="shared" si="139"/>
        <v>n.a.</v>
      </c>
      <c r="K608" s="525" t="str">
        <f t="shared" si="139"/>
        <v>n.a.</v>
      </c>
      <c r="L608" s="525" t="str">
        <f t="shared" si="140"/>
        <v>n.a.</v>
      </c>
      <c r="M608" s="525" t="str">
        <f t="shared" si="140"/>
        <v>n.a.</v>
      </c>
      <c r="N608" s="525" t="str">
        <f t="shared" si="140"/>
        <v>n.a.</v>
      </c>
      <c r="O608" s="525" t="str">
        <f t="shared" si="140"/>
        <v>n.a.</v>
      </c>
      <c r="P608" s="525" t="str">
        <f t="shared" si="140"/>
        <v>n.a.</v>
      </c>
      <c r="Q608" s="525" t="str">
        <f t="shared" si="140"/>
        <v>n.a.</v>
      </c>
      <c r="R608" s="525" t="str">
        <f t="shared" si="140"/>
        <v>n.a.</v>
      </c>
      <c r="S608" s="525" t="str">
        <f t="shared" si="140"/>
        <v>n.a.</v>
      </c>
    </row>
    <row r="609" spans="1:19" s="110" customFormat="1" x14ac:dyDescent="0.25">
      <c r="A609" s="785">
        <v>476</v>
      </c>
      <c r="B609" s="525" t="str">
        <f t="shared" si="139"/>
        <v>n.a.</v>
      </c>
      <c r="C609" s="525" t="str">
        <f t="shared" si="139"/>
        <v>n.a.</v>
      </c>
      <c r="D609" s="525" t="str">
        <f t="shared" si="139"/>
        <v>n.a.</v>
      </c>
      <c r="E609" s="525" t="str">
        <f t="shared" si="139"/>
        <v>n.a.</v>
      </c>
      <c r="F609" s="525" t="str">
        <f t="shared" si="139"/>
        <v>n.a.</v>
      </c>
      <c r="G609" s="525" t="str">
        <f t="shared" si="139"/>
        <v>n.a.</v>
      </c>
      <c r="H609" s="525" t="str">
        <f t="shared" si="139"/>
        <v>n.a.</v>
      </c>
      <c r="I609" s="525" t="str">
        <f t="shared" si="139"/>
        <v>n.a.</v>
      </c>
      <c r="J609" s="525" t="str">
        <f t="shared" si="139"/>
        <v>n.a.</v>
      </c>
      <c r="K609" s="525" t="str">
        <f t="shared" si="139"/>
        <v>n.a.</v>
      </c>
      <c r="L609" s="525" t="str">
        <f t="shared" si="140"/>
        <v>n.a.</v>
      </c>
      <c r="M609" s="525" t="str">
        <f t="shared" si="140"/>
        <v>n.a.</v>
      </c>
      <c r="N609" s="525" t="str">
        <f t="shared" si="140"/>
        <v>n.a.</v>
      </c>
      <c r="O609" s="525" t="str">
        <f t="shared" si="140"/>
        <v>n.a.</v>
      </c>
      <c r="P609" s="525" t="str">
        <f t="shared" si="140"/>
        <v>n.a.</v>
      </c>
      <c r="Q609" s="525" t="str">
        <f t="shared" si="140"/>
        <v>n.a.</v>
      </c>
      <c r="R609" s="525" t="str">
        <f t="shared" si="140"/>
        <v>n.a.</v>
      </c>
      <c r="S609" s="525" t="str">
        <f t="shared" si="140"/>
        <v>n.a.</v>
      </c>
    </row>
    <row r="610" spans="1:19" s="110" customFormat="1" x14ac:dyDescent="0.25">
      <c r="A610" s="785">
        <v>477</v>
      </c>
      <c r="B610" s="525" t="str">
        <f t="shared" si="139"/>
        <v>n.a.</v>
      </c>
      <c r="C610" s="525" t="str">
        <f t="shared" si="139"/>
        <v>n.a.</v>
      </c>
      <c r="D610" s="525" t="str">
        <f t="shared" si="139"/>
        <v>n.a.</v>
      </c>
      <c r="E610" s="525" t="str">
        <f t="shared" si="139"/>
        <v>n.a.</v>
      </c>
      <c r="F610" s="525" t="str">
        <f t="shared" si="139"/>
        <v>n.a.</v>
      </c>
      <c r="G610" s="525" t="str">
        <f t="shared" si="139"/>
        <v>n.a.</v>
      </c>
      <c r="H610" s="525" t="str">
        <f t="shared" si="139"/>
        <v>n.a.</v>
      </c>
      <c r="I610" s="525" t="str">
        <f t="shared" si="139"/>
        <v>n.a.</v>
      </c>
      <c r="J610" s="525" t="str">
        <f t="shared" si="139"/>
        <v>n.a.</v>
      </c>
      <c r="K610" s="525" t="str">
        <f t="shared" si="139"/>
        <v>n.a.</v>
      </c>
      <c r="L610" s="525" t="str">
        <f t="shared" si="140"/>
        <v>n.a.</v>
      </c>
      <c r="M610" s="525" t="str">
        <f t="shared" si="140"/>
        <v>n.a.</v>
      </c>
      <c r="N610" s="525" t="str">
        <f t="shared" si="140"/>
        <v>n.a.</v>
      </c>
      <c r="O610" s="525" t="str">
        <f t="shared" si="140"/>
        <v>n.a.</v>
      </c>
      <c r="P610" s="525" t="str">
        <f t="shared" si="140"/>
        <v>n.a.</v>
      </c>
      <c r="Q610" s="525" t="str">
        <f t="shared" si="140"/>
        <v>n.a.</v>
      </c>
      <c r="R610" s="525" t="str">
        <f t="shared" si="140"/>
        <v>n.a.</v>
      </c>
      <c r="S610" s="525" t="str">
        <f t="shared" si="140"/>
        <v>n.a.</v>
      </c>
    </row>
    <row r="611" spans="1:19" s="110" customFormat="1" x14ac:dyDescent="0.25">
      <c r="A611" s="785">
        <v>478</v>
      </c>
      <c r="B611" s="525" t="str">
        <f t="shared" si="139"/>
        <v>n.a.</v>
      </c>
      <c r="C611" s="525" t="str">
        <f t="shared" si="139"/>
        <v>n.a.</v>
      </c>
      <c r="D611" s="525" t="str">
        <f t="shared" si="139"/>
        <v>n.a.</v>
      </c>
      <c r="E611" s="525" t="str">
        <f t="shared" si="139"/>
        <v>n.a.</v>
      </c>
      <c r="F611" s="525" t="str">
        <f t="shared" si="139"/>
        <v>n.a.</v>
      </c>
      <c r="G611" s="525" t="str">
        <f t="shared" si="139"/>
        <v>n.a.</v>
      </c>
      <c r="H611" s="525" t="str">
        <f t="shared" si="139"/>
        <v>n.a.</v>
      </c>
      <c r="I611" s="525" t="str">
        <f t="shared" si="139"/>
        <v>n.a.</v>
      </c>
      <c r="J611" s="525" t="str">
        <f t="shared" si="139"/>
        <v>n.a.</v>
      </c>
      <c r="K611" s="525" t="str">
        <f t="shared" si="139"/>
        <v>n.a.</v>
      </c>
      <c r="L611" s="525" t="str">
        <f t="shared" si="140"/>
        <v>n.a.</v>
      </c>
      <c r="M611" s="525" t="str">
        <f t="shared" si="140"/>
        <v>n.a.</v>
      </c>
      <c r="N611" s="525" t="str">
        <f t="shared" si="140"/>
        <v>n.a.</v>
      </c>
      <c r="O611" s="525" t="str">
        <f t="shared" si="140"/>
        <v>n.a.</v>
      </c>
      <c r="P611" s="525" t="str">
        <f t="shared" si="140"/>
        <v>n.a.</v>
      </c>
      <c r="Q611" s="525" t="str">
        <f t="shared" si="140"/>
        <v>n.a.</v>
      </c>
      <c r="R611" s="525" t="str">
        <f t="shared" si="140"/>
        <v>n.a.</v>
      </c>
      <c r="S611" s="525" t="str">
        <f t="shared" si="140"/>
        <v>n.a.</v>
      </c>
    </row>
    <row r="612" spans="1:19" s="110" customFormat="1" x14ac:dyDescent="0.25">
      <c r="A612" s="785">
        <v>479</v>
      </c>
      <c r="B612" s="525" t="str">
        <f t="shared" si="139"/>
        <v>n.a.</v>
      </c>
      <c r="C612" s="525" t="str">
        <f t="shared" si="139"/>
        <v>n.a.</v>
      </c>
      <c r="D612" s="525" t="str">
        <f t="shared" si="139"/>
        <v>n.a.</v>
      </c>
      <c r="E612" s="525" t="str">
        <f t="shared" si="139"/>
        <v>n.a.</v>
      </c>
      <c r="F612" s="525" t="str">
        <f t="shared" si="139"/>
        <v>n.a.</v>
      </c>
      <c r="G612" s="525" t="str">
        <f t="shared" si="139"/>
        <v>n.a.</v>
      </c>
      <c r="H612" s="525" t="str">
        <f t="shared" si="139"/>
        <v>n.a.</v>
      </c>
      <c r="I612" s="525" t="str">
        <f t="shared" si="139"/>
        <v>n.a.</v>
      </c>
      <c r="J612" s="525" t="str">
        <f t="shared" si="139"/>
        <v>n.a.</v>
      </c>
      <c r="K612" s="525" t="str">
        <f t="shared" si="139"/>
        <v>n.a.</v>
      </c>
      <c r="L612" s="525" t="str">
        <f t="shared" si="140"/>
        <v>n.a.</v>
      </c>
      <c r="M612" s="525" t="str">
        <f t="shared" si="140"/>
        <v>n.a.</v>
      </c>
      <c r="N612" s="525" t="str">
        <f t="shared" si="140"/>
        <v>n.a.</v>
      </c>
      <c r="O612" s="525" t="str">
        <f t="shared" si="140"/>
        <v>n.a.</v>
      </c>
      <c r="P612" s="525" t="str">
        <f t="shared" si="140"/>
        <v>n.a.</v>
      </c>
      <c r="Q612" s="525" t="str">
        <f t="shared" si="140"/>
        <v>n.a.</v>
      </c>
      <c r="R612" s="525" t="str">
        <f t="shared" si="140"/>
        <v>n.a.</v>
      </c>
      <c r="S612" s="525" t="str">
        <f t="shared" si="140"/>
        <v>n.a.</v>
      </c>
    </row>
    <row r="613" spans="1:19" s="110" customFormat="1" x14ac:dyDescent="0.25">
      <c r="A613" s="785">
        <v>480</v>
      </c>
      <c r="B613" s="525" t="str">
        <f t="shared" si="139"/>
        <v>n.a.</v>
      </c>
      <c r="C613" s="525" t="str">
        <f t="shared" si="139"/>
        <v>n.a.</v>
      </c>
      <c r="D613" s="525" t="str">
        <f t="shared" si="139"/>
        <v>n.a.</v>
      </c>
      <c r="E613" s="525" t="str">
        <f t="shared" si="139"/>
        <v>n.a.</v>
      </c>
      <c r="F613" s="525" t="str">
        <f t="shared" si="139"/>
        <v>n.a.</v>
      </c>
      <c r="G613" s="525" t="str">
        <f t="shared" si="139"/>
        <v>n.a.</v>
      </c>
      <c r="H613" s="525" t="str">
        <f t="shared" si="139"/>
        <v>n.a.</v>
      </c>
      <c r="I613" s="525" t="str">
        <f t="shared" si="139"/>
        <v>n.a.</v>
      </c>
      <c r="J613" s="525" t="str">
        <f t="shared" si="139"/>
        <v>n.a.</v>
      </c>
      <c r="K613" s="525" t="str">
        <f t="shared" si="139"/>
        <v>n.a.</v>
      </c>
      <c r="L613" s="525" t="str">
        <f t="shared" si="140"/>
        <v>n.a.</v>
      </c>
      <c r="M613" s="525" t="str">
        <f t="shared" si="140"/>
        <v>n.a.</v>
      </c>
      <c r="N613" s="525" t="str">
        <f t="shared" si="140"/>
        <v>n.a.</v>
      </c>
      <c r="O613" s="525" t="str">
        <f t="shared" si="140"/>
        <v>n.a.</v>
      </c>
      <c r="P613" s="525" t="str">
        <f t="shared" si="140"/>
        <v>n.a.</v>
      </c>
      <c r="Q613" s="525" t="str">
        <f t="shared" si="140"/>
        <v>n.a.</v>
      </c>
      <c r="R613" s="525" t="str">
        <f t="shared" si="140"/>
        <v>n.a.</v>
      </c>
      <c r="S613" s="525" t="str">
        <f t="shared" si="140"/>
        <v>n.a.</v>
      </c>
    </row>
    <row r="614" spans="1:19" s="110" customFormat="1" x14ac:dyDescent="0.25">
      <c r="A614" s="785">
        <v>481</v>
      </c>
      <c r="B614" s="525" t="str">
        <f t="shared" ref="B614:K623" si="141">IFERROR(INDEX(CNCodes_ListKey,MATCH($A614&amp;"_"&amp;B$132,CNCodes_ListNumbering,0)),CONST_NA)</f>
        <v>n.a.</v>
      </c>
      <c r="C614" s="525" t="str">
        <f t="shared" si="141"/>
        <v>n.a.</v>
      </c>
      <c r="D614" s="525" t="str">
        <f t="shared" si="141"/>
        <v>n.a.</v>
      </c>
      <c r="E614" s="525" t="str">
        <f t="shared" si="141"/>
        <v>n.a.</v>
      </c>
      <c r="F614" s="525" t="str">
        <f t="shared" si="141"/>
        <v>n.a.</v>
      </c>
      <c r="G614" s="525" t="str">
        <f t="shared" si="141"/>
        <v>n.a.</v>
      </c>
      <c r="H614" s="525" t="str">
        <f t="shared" si="141"/>
        <v>n.a.</v>
      </c>
      <c r="I614" s="525" t="str">
        <f t="shared" si="141"/>
        <v>n.a.</v>
      </c>
      <c r="J614" s="525" t="str">
        <f t="shared" si="141"/>
        <v>n.a.</v>
      </c>
      <c r="K614" s="525" t="str">
        <f t="shared" si="141"/>
        <v>n.a.</v>
      </c>
      <c r="L614" s="525" t="str">
        <f t="shared" ref="L614:S623" si="142">IFERROR(INDEX(CNCodes_ListKey,MATCH($A614&amp;"_"&amp;L$132,CNCodes_ListNumbering,0)),CONST_NA)</f>
        <v>n.a.</v>
      </c>
      <c r="M614" s="525" t="str">
        <f t="shared" si="142"/>
        <v>n.a.</v>
      </c>
      <c r="N614" s="525" t="str">
        <f t="shared" si="142"/>
        <v>n.a.</v>
      </c>
      <c r="O614" s="525" t="str">
        <f t="shared" si="142"/>
        <v>n.a.</v>
      </c>
      <c r="P614" s="525" t="str">
        <f t="shared" si="142"/>
        <v>n.a.</v>
      </c>
      <c r="Q614" s="525" t="str">
        <f t="shared" si="142"/>
        <v>n.a.</v>
      </c>
      <c r="R614" s="525" t="str">
        <f t="shared" si="142"/>
        <v>n.a.</v>
      </c>
      <c r="S614" s="525" t="str">
        <f t="shared" si="142"/>
        <v>n.a.</v>
      </c>
    </row>
    <row r="615" spans="1:19" s="110" customFormat="1" x14ac:dyDescent="0.25">
      <c r="A615" s="785">
        <v>482</v>
      </c>
      <c r="B615" s="525" t="str">
        <f t="shared" si="141"/>
        <v>n.a.</v>
      </c>
      <c r="C615" s="525" t="str">
        <f t="shared" si="141"/>
        <v>n.a.</v>
      </c>
      <c r="D615" s="525" t="str">
        <f t="shared" si="141"/>
        <v>n.a.</v>
      </c>
      <c r="E615" s="525" t="str">
        <f t="shared" si="141"/>
        <v>n.a.</v>
      </c>
      <c r="F615" s="525" t="str">
        <f t="shared" si="141"/>
        <v>n.a.</v>
      </c>
      <c r="G615" s="525" t="str">
        <f t="shared" si="141"/>
        <v>n.a.</v>
      </c>
      <c r="H615" s="525" t="str">
        <f t="shared" si="141"/>
        <v>n.a.</v>
      </c>
      <c r="I615" s="525" t="str">
        <f t="shared" si="141"/>
        <v>n.a.</v>
      </c>
      <c r="J615" s="525" t="str">
        <f t="shared" si="141"/>
        <v>n.a.</v>
      </c>
      <c r="K615" s="525" t="str">
        <f t="shared" si="141"/>
        <v>n.a.</v>
      </c>
      <c r="L615" s="525" t="str">
        <f t="shared" si="142"/>
        <v>n.a.</v>
      </c>
      <c r="M615" s="525" t="str">
        <f t="shared" si="142"/>
        <v>n.a.</v>
      </c>
      <c r="N615" s="525" t="str">
        <f t="shared" si="142"/>
        <v>n.a.</v>
      </c>
      <c r="O615" s="525" t="str">
        <f t="shared" si="142"/>
        <v>n.a.</v>
      </c>
      <c r="P615" s="525" t="str">
        <f t="shared" si="142"/>
        <v>n.a.</v>
      </c>
      <c r="Q615" s="525" t="str">
        <f t="shared" si="142"/>
        <v>n.a.</v>
      </c>
      <c r="R615" s="525" t="str">
        <f t="shared" si="142"/>
        <v>n.a.</v>
      </c>
      <c r="S615" s="525" t="str">
        <f t="shared" si="142"/>
        <v>n.a.</v>
      </c>
    </row>
    <row r="616" spans="1:19" s="110" customFormat="1" x14ac:dyDescent="0.25">
      <c r="A616" s="785">
        <v>483</v>
      </c>
      <c r="B616" s="525" t="str">
        <f t="shared" si="141"/>
        <v>n.a.</v>
      </c>
      <c r="C616" s="525" t="str">
        <f t="shared" si="141"/>
        <v>n.a.</v>
      </c>
      <c r="D616" s="525" t="str">
        <f t="shared" si="141"/>
        <v>n.a.</v>
      </c>
      <c r="E616" s="525" t="str">
        <f t="shared" si="141"/>
        <v>n.a.</v>
      </c>
      <c r="F616" s="525" t="str">
        <f t="shared" si="141"/>
        <v>n.a.</v>
      </c>
      <c r="G616" s="525" t="str">
        <f t="shared" si="141"/>
        <v>n.a.</v>
      </c>
      <c r="H616" s="525" t="str">
        <f t="shared" si="141"/>
        <v>n.a.</v>
      </c>
      <c r="I616" s="525" t="str">
        <f t="shared" si="141"/>
        <v>n.a.</v>
      </c>
      <c r="J616" s="525" t="str">
        <f t="shared" si="141"/>
        <v>n.a.</v>
      </c>
      <c r="K616" s="525" t="str">
        <f t="shared" si="141"/>
        <v>n.a.</v>
      </c>
      <c r="L616" s="525" t="str">
        <f t="shared" si="142"/>
        <v>n.a.</v>
      </c>
      <c r="M616" s="525" t="str">
        <f t="shared" si="142"/>
        <v>n.a.</v>
      </c>
      <c r="N616" s="525" t="str">
        <f t="shared" si="142"/>
        <v>n.a.</v>
      </c>
      <c r="O616" s="525" t="str">
        <f t="shared" si="142"/>
        <v>n.a.</v>
      </c>
      <c r="P616" s="525" t="str">
        <f t="shared" si="142"/>
        <v>n.a.</v>
      </c>
      <c r="Q616" s="525" t="str">
        <f t="shared" si="142"/>
        <v>n.a.</v>
      </c>
      <c r="R616" s="525" t="str">
        <f t="shared" si="142"/>
        <v>n.a.</v>
      </c>
      <c r="S616" s="525" t="str">
        <f t="shared" si="142"/>
        <v>n.a.</v>
      </c>
    </row>
    <row r="617" spans="1:19" s="110" customFormat="1" x14ac:dyDescent="0.25">
      <c r="A617" s="785">
        <v>484</v>
      </c>
      <c r="B617" s="525" t="str">
        <f t="shared" si="141"/>
        <v>n.a.</v>
      </c>
      <c r="C617" s="525" t="str">
        <f t="shared" si="141"/>
        <v>n.a.</v>
      </c>
      <c r="D617" s="525" t="str">
        <f t="shared" si="141"/>
        <v>n.a.</v>
      </c>
      <c r="E617" s="525" t="str">
        <f t="shared" si="141"/>
        <v>n.a.</v>
      </c>
      <c r="F617" s="525" t="str">
        <f t="shared" si="141"/>
        <v>n.a.</v>
      </c>
      <c r="G617" s="525" t="str">
        <f t="shared" si="141"/>
        <v>n.a.</v>
      </c>
      <c r="H617" s="525" t="str">
        <f t="shared" si="141"/>
        <v>n.a.</v>
      </c>
      <c r="I617" s="525" t="str">
        <f t="shared" si="141"/>
        <v>n.a.</v>
      </c>
      <c r="J617" s="525" t="str">
        <f t="shared" si="141"/>
        <v>n.a.</v>
      </c>
      <c r="K617" s="525" t="str">
        <f t="shared" si="141"/>
        <v>n.a.</v>
      </c>
      <c r="L617" s="525" t="str">
        <f t="shared" si="142"/>
        <v>n.a.</v>
      </c>
      <c r="M617" s="525" t="str">
        <f t="shared" si="142"/>
        <v>n.a.</v>
      </c>
      <c r="N617" s="525" t="str">
        <f t="shared" si="142"/>
        <v>n.a.</v>
      </c>
      <c r="O617" s="525" t="str">
        <f t="shared" si="142"/>
        <v>n.a.</v>
      </c>
      <c r="P617" s="525" t="str">
        <f t="shared" si="142"/>
        <v>n.a.</v>
      </c>
      <c r="Q617" s="525" t="str">
        <f t="shared" si="142"/>
        <v>n.a.</v>
      </c>
      <c r="R617" s="525" t="str">
        <f t="shared" si="142"/>
        <v>n.a.</v>
      </c>
      <c r="S617" s="525" t="str">
        <f t="shared" si="142"/>
        <v>n.a.</v>
      </c>
    </row>
    <row r="618" spans="1:19" s="110" customFormat="1" x14ac:dyDescent="0.25">
      <c r="A618" s="785">
        <v>485</v>
      </c>
      <c r="B618" s="525" t="str">
        <f t="shared" si="141"/>
        <v>n.a.</v>
      </c>
      <c r="C618" s="525" t="str">
        <f t="shared" si="141"/>
        <v>n.a.</v>
      </c>
      <c r="D618" s="525" t="str">
        <f t="shared" si="141"/>
        <v>n.a.</v>
      </c>
      <c r="E618" s="525" t="str">
        <f t="shared" si="141"/>
        <v>n.a.</v>
      </c>
      <c r="F618" s="525" t="str">
        <f t="shared" si="141"/>
        <v>n.a.</v>
      </c>
      <c r="G618" s="525" t="str">
        <f t="shared" si="141"/>
        <v>n.a.</v>
      </c>
      <c r="H618" s="525" t="str">
        <f t="shared" si="141"/>
        <v>n.a.</v>
      </c>
      <c r="I618" s="525" t="str">
        <f t="shared" si="141"/>
        <v>n.a.</v>
      </c>
      <c r="J618" s="525" t="str">
        <f t="shared" si="141"/>
        <v>n.a.</v>
      </c>
      <c r="K618" s="525" t="str">
        <f t="shared" si="141"/>
        <v>n.a.</v>
      </c>
      <c r="L618" s="525" t="str">
        <f t="shared" si="142"/>
        <v>n.a.</v>
      </c>
      <c r="M618" s="525" t="str">
        <f t="shared" si="142"/>
        <v>n.a.</v>
      </c>
      <c r="N618" s="525" t="str">
        <f t="shared" si="142"/>
        <v>n.a.</v>
      </c>
      <c r="O618" s="525" t="str">
        <f t="shared" si="142"/>
        <v>n.a.</v>
      </c>
      <c r="P618" s="525" t="str">
        <f t="shared" si="142"/>
        <v>n.a.</v>
      </c>
      <c r="Q618" s="525" t="str">
        <f t="shared" si="142"/>
        <v>n.a.</v>
      </c>
      <c r="R618" s="525" t="str">
        <f t="shared" si="142"/>
        <v>n.a.</v>
      </c>
      <c r="S618" s="525" t="str">
        <f t="shared" si="142"/>
        <v>n.a.</v>
      </c>
    </row>
    <row r="619" spans="1:19" s="110" customFormat="1" x14ac:dyDescent="0.25">
      <c r="A619" s="785">
        <v>486</v>
      </c>
      <c r="B619" s="525" t="str">
        <f t="shared" si="141"/>
        <v>n.a.</v>
      </c>
      <c r="C619" s="525" t="str">
        <f t="shared" si="141"/>
        <v>n.a.</v>
      </c>
      <c r="D619" s="525" t="str">
        <f t="shared" si="141"/>
        <v>n.a.</v>
      </c>
      <c r="E619" s="525" t="str">
        <f t="shared" si="141"/>
        <v>n.a.</v>
      </c>
      <c r="F619" s="525" t="str">
        <f t="shared" si="141"/>
        <v>n.a.</v>
      </c>
      <c r="G619" s="525" t="str">
        <f t="shared" si="141"/>
        <v>n.a.</v>
      </c>
      <c r="H619" s="525" t="str">
        <f t="shared" si="141"/>
        <v>n.a.</v>
      </c>
      <c r="I619" s="525" t="str">
        <f t="shared" si="141"/>
        <v>n.a.</v>
      </c>
      <c r="J619" s="525" t="str">
        <f t="shared" si="141"/>
        <v>n.a.</v>
      </c>
      <c r="K619" s="525" t="str">
        <f t="shared" si="141"/>
        <v>n.a.</v>
      </c>
      <c r="L619" s="525" t="str">
        <f t="shared" si="142"/>
        <v>n.a.</v>
      </c>
      <c r="M619" s="525" t="str">
        <f t="shared" si="142"/>
        <v>n.a.</v>
      </c>
      <c r="N619" s="525" t="str">
        <f t="shared" si="142"/>
        <v>n.a.</v>
      </c>
      <c r="O619" s="525" t="str">
        <f t="shared" si="142"/>
        <v>n.a.</v>
      </c>
      <c r="P619" s="525" t="str">
        <f t="shared" si="142"/>
        <v>n.a.</v>
      </c>
      <c r="Q619" s="525" t="str">
        <f t="shared" si="142"/>
        <v>n.a.</v>
      </c>
      <c r="R619" s="525" t="str">
        <f t="shared" si="142"/>
        <v>n.a.</v>
      </c>
      <c r="S619" s="525" t="str">
        <f t="shared" si="142"/>
        <v>n.a.</v>
      </c>
    </row>
    <row r="620" spans="1:19" s="110" customFormat="1" x14ac:dyDescent="0.25">
      <c r="A620" s="785">
        <v>487</v>
      </c>
      <c r="B620" s="525" t="str">
        <f t="shared" si="141"/>
        <v>n.a.</v>
      </c>
      <c r="C620" s="525" t="str">
        <f t="shared" si="141"/>
        <v>n.a.</v>
      </c>
      <c r="D620" s="525" t="str">
        <f t="shared" si="141"/>
        <v>n.a.</v>
      </c>
      <c r="E620" s="525" t="str">
        <f t="shared" si="141"/>
        <v>n.a.</v>
      </c>
      <c r="F620" s="525" t="str">
        <f t="shared" si="141"/>
        <v>n.a.</v>
      </c>
      <c r="G620" s="525" t="str">
        <f t="shared" si="141"/>
        <v>n.a.</v>
      </c>
      <c r="H620" s="525" t="str">
        <f t="shared" si="141"/>
        <v>n.a.</v>
      </c>
      <c r="I620" s="525" t="str">
        <f t="shared" si="141"/>
        <v>n.a.</v>
      </c>
      <c r="J620" s="525" t="str">
        <f t="shared" si="141"/>
        <v>n.a.</v>
      </c>
      <c r="K620" s="525" t="str">
        <f t="shared" si="141"/>
        <v>n.a.</v>
      </c>
      <c r="L620" s="525" t="str">
        <f t="shared" si="142"/>
        <v>n.a.</v>
      </c>
      <c r="M620" s="525" t="str">
        <f t="shared" si="142"/>
        <v>n.a.</v>
      </c>
      <c r="N620" s="525" t="str">
        <f t="shared" si="142"/>
        <v>n.a.</v>
      </c>
      <c r="O620" s="525" t="str">
        <f t="shared" si="142"/>
        <v>n.a.</v>
      </c>
      <c r="P620" s="525" t="str">
        <f t="shared" si="142"/>
        <v>n.a.</v>
      </c>
      <c r="Q620" s="525" t="str">
        <f t="shared" si="142"/>
        <v>n.a.</v>
      </c>
      <c r="R620" s="525" t="str">
        <f t="shared" si="142"/>
        <v>n.a.</v>
      </c>
      <c r="S620" s="525" t="str">
        <f t="shared" si="142"/>
        <v>n.a.</v>
      </c>
    </row>
    <row r="621" spans="1:19" s="110" customFormat="1" x14ac:dyDescent="0.25">
      <c r="A621" s="785">
        <v>488</v>
      </c>
      <c r="B621" s="525" t="str">
        <f t="shared" si="141"/>
        <v>n.a.</v>
      </c>
      <c r="C621" s="525" t="str">
        <f t="shared" si="141"/>
        <v>n.a.</v>
      </c>
      <c r="D621" s="525" t="str">
        <f t="shared" si="141"/>
        <v>n.a.</v>
      </c>
      <c r="E621" s="525" t="str">
        <f t="shared" si="141"/>
        <v>n.a.</v>
      </c>
      <c r="F621" s="525" t="str">
        <f t="shared" si="141"/>
        <v>n.a.</v>
      </c>
      <c r="G621" s="525" t="str">
        <f t="shared" si="141"/>
        <v>n.a.</v>
      </c>
      <c r="H621" s="525" t="str">
        <f t="shared" si="141"/>
        <v>n.a.</v>
      </c>
      <c r="I621" s="525" t="str">
        <f t="shared" si="141"/>
        <v>n.a.</v>
      </c>
      <c r="J621" s="525" t="str">
        <f t="shared" si="141"/>
        <v>n.a.</v>
      </c>
      <c r="K621" s="525" t="str">
        <f t="shared" si="141"/>
        <v>n.a.</v>
      </c>
      <c r="L621" s="525" t="str">
        <f t="shared" si="142"/>
        <v>n.a.</v>
      </c>
      <c r="M621" s="525" t="str">
        <f t="shared" si="142"/>
        <v>n.a.</v>
      </c>
      <c r="N621" s="525" t="str">
        <f t="shared" si="142"/>
        <v>n.a.</v>
      </c>
      <c r="O621" s="525" t="str">
        <f t="shared" si="142"/>
        <v>n.a.</v>
      </c>
      <c r="P621" s="525" t="str">
        <f t="shared" si="142"/>
        <v>n.a.</v>
      </c>
      <c r="Q621" s="525" t="str">
        <f t="shared" si="142"/>
        <v>n.a.</v>
      </c>
      <c r="R621" s="525" t="str">
        <f t="shared" si="142"/>
        <v>n.a.</v>
      </c>
      <c r="S621" s="525" t="str">
        <f t="shared" si="142"/>
        <v>n.a.</v>
      </c>
    </row>
    <row r="622" spans="1:19" s="110" customFormat="1" x14ac:dyDescent="0.25">
      <c r="A622" s="785">
        <v>489</v>
      </c>
      <c r="B622" s="525" t="str">
        <f t="shared" si="141"/>
        <v>n.a.</v>
      </c>
      <c r="C622" s="525" t="str">
        <f t="shared" si="141"/>
        <v>n.a.</v>
      </c>
      <c r="D622" s="525" t="str">
        <f t="shared" si="141"/>
        <v>n.a.</v>
      </c>
      <c r="E622" s="525" t="str">
        <f t="shared" si="141"/>
        <v>n.a.</v>
      </c>
      <c r="F622" s="525" t="str">
        <f t="shared" si="141"/>
        <v>n.a.</v>
      </c>
      <c r="G622" s="525" t="str">
        <f t="shared" si="141"/>
        <v>n.a.</v>
      </c>
      <c r="H622" s="525" t="str">
        <f t="shared" si="141"/>
        <v>n.a.</v>
      </c>
      <c r="I622" s="525" t="str">
        <f t="shared" si="141"/>
        <v>n.a.</v>
      </c>
      <c r="J622" s="525" t="str">
        <f t="shared" si="141"/>
        <v>n.a.</v>
      </c>
      <c r="K622" s="525" t="str">
        <f t="shared" si="141"/>
        <v>n.a.</v>
      </c>
      <c r="L622" s="525" t="str">
        <f t="shared" si="142"/>
        <v>n.a.</v>
      </c>
      <c r="M622" s="525" t="str">
        <f t="shared" si="142"/>
        <v>n.a.</v>
      </c>
      <c r="N622" s="525" t="str">
        <f t="shared" si="142"/>
        <v>n.a.</v>
      </c>
      <c r="O622" s="525" t="str">
        <f t="shared" si="142"/>
        <v>n.a.</v>
      </c>
      <c r="P622" s="525" t="str">
        <f t="shared" si="142"/>
        <v>n.a.</v>
      </c>
      <c r="Q622" s="525" t="str">
        <f t="shared" si="142"/>
        <v>n.a.</v>
      </c>
      <c r="R622" s="525" t="str">
        <f t="shared" si="142"/>
        <v>n.a.</v>
      </c>
      <c r="S622" s="525" t="str">
        <f t="shared" si="142"/>
        <v>n.a.</v>
      </c>
    </row>
    <row r="623" spans="1:19" s="110" customFormat="1" x14ac:dyDescent="0.25">
      <c r="A623" s="785">
        <v>490</v>
      </c>
      <c r="B623" s="525" t="str">
        <f t="shared" si="141"/>
        <v>n.a.</v>
      </c>
      <c r="C623" s="525" t="str">
        <f t="shared" si="141"/>
        <v>n.a.</v>
      </c>
      <c r="D623" s="525" t="str">
        <f t="shared" si="141"/>
        <v>n.a.</v>
      </c>
      <c r="E623" s="525" t="str">
        <f t="shared" si="141"/>
        <v>n.a.</v>
      </c>
      <c r="F623" s="525" t="str">
        <f t="shared" si="141"/>
        <v>n.a.</v>
      </c>
      <c r="G623" s="525" t="str">
        <f t="shared" si="141"/>
        <v>n.a.</v>
      </c>
      <c r="H623" s="525" t="str">
        <f t="shared" si="141"/>
        <v>n.a.</v>
      </c>
      <c r="I623" s="525" t="str">
        <f t="shared" si="141"/>
        <v>n.a.</v>
      </c>
      <c r="J623" s="525" t="str">
        <f t="shared" si="141"/>
        <v>n.a.</v>
      </c>
      <c r="K623" s="525" t="str">
        <f t="shared" si="141"/>
        <v>n.a.</v>
      </c>
      <c r="L623" s="525" t="str">
        <f t="shared" si="142"/>
        <v>n.a.</v>
      </c>
      <c r="M623" s="525" t="str">
        <f t="shared" si="142"/>
        <v>n.a.</v>
      </c>
      <c r="N623" s="525" t="str">
        <f t="shared" si="142"/>
        <v>n.a.</v>
      </c>
      <c r="O623" s="525" t="str">
        <f t="shared" si="142"/>
        <v>n.a.</v>
      </c>
      <c r="P623" s="525" t="str">
        <f t="shared" si="142"/>
        <v>n.a.</v>
      </c>
      <c r="Q623" s="525" t="str">
        <f t="shared" si="142"/>
        <v>n.a.</v>
      </c>
      <c r="R623" s="525" t="str">
        <f t="shared" si="142"/>
        <v>n.a.</v>
      </c>
      <c r="S623" s="525" t="str">
        <f t="shared" si="142"/>
        <v>n.a.</v>
      </c>
    </row>
    <row r="624" spans="1:19" s="110" customFormat="1" x14ac:dyDescent="0.25">
      <c r="A624" s="785">
        <v>491</v>
      </c>
      <c r="B624" s="525" t="str">
        <f t="shared" ref="B624:K633" si="143">IFERROR(INDEX(CNCodes_ListKey,MATCH($A624&amp;"_"&amp;B$132,CNCodes_ListNumbering,0)),CONST_NA)</f>
        <v>n.a.</v>
      </c>
      <c r="C624" s="525" t="str">
        <f t="shared" si="143"/>
        <v>n.a.</v>
      </c>
      <c r="D624" s="525" t="str">
        <f t="shared" si="143"/>
        <v>n.a.</v>
      </c>
      <c r="E624" s="525" t="str">
        <f t="shared" si="143"/>
        <v>n.a.</v>
      </c>
      <c r="F624" s="525" t="str">
        <f t="shared" si="143"/>
        <v>n.a.</v>
      </c>
      <c r="G624" s="525" t="str">
        <f t="shared" si="143"/>
        <v>n.a.</v>
      </c>
      <c r="H624" s="525" t="str">
        <f t="shared" si="143"/>
        <v>n.a.</v>
      </c>
      <c r="I624" s="525" t="str">
        <f t="shared" si="143"/>
        <v>n.a.</v>
      </c>
      <c r="J624" s="525" t="str">
        <f t="shared" si="143"/>
        <v>n.a.</v>
      </c>
      <c r="K624" s="525" t="str">
        <f t="shared" si="143"/>
        <v>n.a.</v>
      </c>
      <c r="L624" s="525" t="str">
        <f t="shared" ref="L624:S633" si="144">IFERROR(INDEX(CNCodes_ListKey,MATCH($A624&amp;"_"&amp;L$132,CNCodes_ListNumbering,0)),CONST_NA)</f>
        <v>n.a.</v>
      </c>
      <c r="M624" s="525" t="str">
        <f t="shared" si="144"/>
        <v>n.a.</v>
      </c>
      <c r="N624" s="525" t="str">
        <f t="shared" si="144"/>
        <v>n.a.</v>
      </c>
      <c r="O624" s="525" t="str">
        <f t="shared" si="144"/>
        <v>n.a.</v>
      </c>
      <c r="P624" s="525" t="str">
        <f t="shared" si="144"/>
        <v>n.a.</v>
      </c>
      <c r="Q624" s="525" t="str">
        <f t="shared" si="144"/>
        <v>n.a.</v>
      </c>
      <c r="R624" s="525" t="str">
        <f t="shared" si="144"/>
        <v>n.a.</v>
      </c>
      <c r="S624" s="525" t="str">
        <f t="shared" si="144"/>
        <v>n.a.</v>
      </c>
    </row>
    <row r="625" spans="1:19" s="110" customFormat="1" x14ac:dyDescent="0.25">
      <c r="A625" s="785">
        <v>492</v>
      </c>
      <c r="B625" s="525" t="str">
        <f t="shared" si="143"/>
        <v>n.a.</v>
      </c>
      <c r="C625" s="525" t="str">
        <f t="shared" si="143"/>
        <v>n.a.</v>
      </c>
      <c r="D625" s="525" t="str">
        <f t="shared" si="143"/>
        <v>n.a.</v>
      </c>
      <c r="E625" s="525" t="str">
        <f t="shared" si="143"/>
        <v>n.a.</v>
      </c>
      <c r="F625" s="525" t="str">
        <f t="shared" si="143"/>
        <v>n.a.</v>
      </c>
      <c r="G625" s="525" t="str">
        <f t="shared" si="143"/>
        <v>n.a.</v>
      </c>
      <c r="H625" s="525" t="str">
        <f t="shared" si="143"/>
        <v>n.a.</v>
      </c>
      <c r="I625" s="525" t="str">
        <f t="shared" si="143"/>
        <v>n.a.</v>
      </c>
      <c r="J625" s="525" t="str">
        <f t="shared" si="143"/>
        <v>n.a.</v>
      </c>
      <c r="K625" s="525" t="str">
        <f t="shared" si="143"/>
        <v>n.a.</v>
      </c>
      <c r="L625" s="525" t="str">
        <f t="shared" si="144"/>
        <v>n.a.</v>
      </c>
      <c r="M625" s="525" t="str">
        <f t="shared" si="144"/>
        <v>n.a.</v>
      </c>
      <c r="N625" s="525" t="str">
        <f t="shared" si="144"/>
        <v>n.a.</v>
      </c>
      <c r="O625" s="525" t="str">
        <f t="shared" si="144"/>
        <v>n.a.</v>
      </c>
      <c r="P625" s="525" t="str">
        <f t="shared" si="144"/>
        <v>n.a.</v>
      </c>
      <c r="Q625" s="525" t="str">
        <f t="shared" si="144"/>
        <v>n.a.</v>
      </c>
      <c r="R625" s="525" t="str">
        <f t="shared" si="144"/>
        <v>n.a.</v>
      </c>
      <c r="S625" s="525" t="str">
        <f t="shared" si="144"/>
        <v>n.a.</v>
      </c>
    </row>
    <row r="626" spans="1:19" s="110" customFormat="1" x14ac:dyDescent="0.25">
      <c r="A626" s="785">
        <v>493</v>
      </c>
      <c r="B626" s="525" t="str">
        <f t="shared" si="143"/>
        <v>n.a.</v>
      </c>
      <c r="C626" s="525" t="str">
        <f t="shared" si="143"/>
        <v>n.a.</v>
      </c>
      <c r="D626" s="525" t="str">
        <f t="shared" si="143"/>
        <v>n.a.</v>
      </c>
      <c r="E626" s="525" t="str">
        <f t="shared" si="143"/>
        <v>n.a.</v>
      </c>
      <c r="F626" s="525" t="str">
        <f t="shared" si="143"/>
        <v>n.a.</v>
      </c>
      <c r="G626" s="525" t="str">
        <f t="shared" si="143"/>
        <v>n.a.</v>
      </c>
      <c r="H626" s="525" t="str">
        <f t="shared" si="143"/>
        <v>n.a.</v>
      </c>
      <c r="I626" s="525" t="str">
        <f t="shared" si="143"/>
        <v>n.a.</v>
      </c>
      <c r="J626" s="525" t="str">
        <f t="shared" si="143"/>
        <v>n.a.</v>
      </c>
      <c r="K626" s="525" t="str">
        <f t="shared" si="143"/>
        <v>n.a.</v>
      </c>
      <c r="L626" s="525" t="str">
        <f t="shared" si="144"/>
        <v>n.a.</v>
      </c>
      <c r="M626" s="525" t="str">
        <f t="shared" si="144"/>
        <v>n.a.</v>
      </c>
      <c r="N626" s="525" t="str">
        <f t="shared" si="144"/>
        <v>n.a.</v>
      </c>
      <c r="O626" s="525" t="str">
        <f t="shared" si="144"/>
        <v>n.a.</v>
      </c>
      <c r="P626" s="525" t="str">
        <f t="shared" si="144"/>
        <v>n.a.</v>
      </c>
      <c r="Q626" s="525" t="str">
        <f t="shared" si="144"/>
        <v>n.a.</v>
      </c>
      <c r="R626" s="525" t="str">
        <f t="shared" si="144"/>
        <v>n.a.</v>
      </c>
      <c r="S626" s="525" t="str">
        <f t="shared" si="144"/>
        <v>n.a.</v>
      </c>
    </row>
    <row r="627" spans="1:19" s="110" customFormat="1" x14ac:dyDescent="0.25">
      <c r="A627" s="785">
        <v>494</v>
      </c>
      <c r="B627" s="525" t="str">
        <f t="shared" si="143"/>
        <v>n.a.</v>
      </c>
      <c r="C627" s="525" t="str">
        <f t="shared" si="143"/>
        <v>n.a.</v>
      </c>
      <c r="D627" s="525" t="str">
        <f t="shared" si="143"/>
        <v>n.a.</v>
      </c>
      <c r="E627" s="525" t="str">
        <f t="shared" si="143"/>
        <v>n.a.</v>
      </c>
      <c r="F627" s="525" t="str">
        <f t="shared" si="143"/>
        <v>n.a.</v>
      </c>
      <c r="G627" s="525" t="str">
        <f t="shared" si="143"/>
        <v>n.a.</v>
      </c>
      <c r="H627" s="525" t="str">
        <f t="shared" si="143"/>
        <v>n.a.</v>
      </c>
      <c r="I627" s="525" t="str">
        <f t="shared" si="143"/>
        <v>n.a.</v>
      </c>
      <c r="J627" s="525" t="str">
        <f t="shared" si="143"/>
        <v>n.a.</v>
      </c>
      <c r="K627" s="525" t="str">
        <f t="shared" si="143"/>
        <v>n.a.</v>
      </c>
      <c r="L627" s="525" t="str">
        <f t="shared" si="144"/>
        <v>n.a.</v>
      </c>
      <c r="M627" s="525" t="str">
        <f t="shared" si="144"/>
        <v>n.a.</v>
      </c>
      <c r="N627" s="525" t="str">
        <f t="shared" si="144"/>
        <v>n.a.</v>
      </c>
      <c r="O627" s="525" t="str">
        <f t="shared" si="144"/>
        <v>n.a.</v>
      </c>
      <c r="P627" s="525" t="str">
        <f t="shared" si="144"/>
        <v>n.a.</v>
      </c>
      <c r="Q627" s="525" t="str">
        <f t="shared" si="144"/>
        <v>n.a.</v>
      </c>
      <c r="R627" s="525" t="str">
        <f t="shared" si="144"/>
        <v>n.a.</v>
      </c>
      <c r="S627" s="525" t="str">
        <f t="shared" si="144"/>
        <v>n.a.</v>
      </c>
    </row>
    <row r="628" spans="1:19" s="110" customFormat="1" x14ac:dyDescent="0.25">
      <c r="A628" s="785">
        <v>495</v>
      </c>
      <c r="B628" s="525" t="str">
        <f t="shared" si="143"/>
        <v>n.a.</v>
      </c>
      <c r="C628" s="525" t="str">
        <f t="shared" si="143"/>
        <v>n.a.</v>
      </c>
      <c r="D628" s="525" t="str">
        <f t="shared" si="143"/>
        <v>n.a.</v>
      </c>
      <c r="E628" s="525" t="str">
        <f t="shared" si="143"/>
        <v>n.a.</v>
      </c>
      <c r="F628" s="525" t="str">
        <f t="shared" si="143"/>
        <v>n.a.</v>
      </c>
      <c r="G628" s="525" t="str">
        <f t="shared" si="143"/>
        <v>n.a.</v>
      </c>
      <c r="H628" s="525" t="str">
        <f t="shared" si="143"/>
        <v>n.a.</v>
      </c>
      <c r="I628" s="525" t="str">
        <f t="shared" si="143"/>
        <v>n.a.</v>
      </c>
      <c r="J628" s="525" t="str">
        <f t="shared" si="143"/>
        <v>n.a.</v>
      </c>
      <c r="K628" s="525" t="str">
        <f t="shared" si="143"/>
        <v>n.a.</v>
      </c>
      <c r="L628" s="525" t="str">
        <f t="shared" si="144"/>
        <v>n.a.</v>
      </c>
      <c r="M628" s="525" t="str">
        <f t="shared" si="144"/>
        <v>n.a.</v>
      </c>
      <c r="N628" s="525" t="str">
        <f t="shared" si="144"/>
        <v>n.a.</v>
      </c>
      <c r="O628" s="525" t="str">
        <f t="shared" si="144"/>
        <v>n.a.</v>
      </c>
      <c r="P628" s="525" t="str">
        <f t="shared" si="144"/>
        <v>n.a.</v>
      </c>
      <c r="Q628" s="525" t="str">
        <f t="shared" si="144"/>
        <v>n.a.</v>
      </c>
      <c r="R628" s="525" t="str">
        <f t="shared" si="144"/>
        <v>n.a.</v>
      </c>
      <c r="S628" s="525" t="str">
        <f t="shared" si="144"/>
        <v>n.a.</v>
      </c>
    </row>
    <row r="629" spans="1:19" s="110" customFormat="1" x14ac:dyDescent="0.25">
      <c r="A629" s="785">
        <v>496</v>
      </c>
      <c r="B629" s="525" t="str">
        <f t="shared" si="143"/>
        <v>n.a.</v>
      </c>
      <c r="C629" s="525" t="str">
        <f t="shared" si="143"/>
        <v>n.a.</v>
      </c>
      <c r="D629" s="525" t="str">
        <f t="shared" si="143"/>
        <v>n.a.</v>
      </c>
      <c r="E629" s="525" t="str">
        <f t="shared" si="143"/>
        <v>n.a.</v>
      </c>
      <c r="F629" s="525" t="str">
        <f t="shared" si="143"/>
        <v>n.a.</v>
      </c>
      <c r="G629" s="525" t="str">
        <f t="shared" si="143"/>
        <v>n.a.</v>
      </c>
      <c r="H629" s="525" t="str">
        <f t="shared" si="143"/>
        <v>n.a.</v>
      </c>
      <c r="I629" s="525" t="str">
        <f t="shared" si="143"/>
        <v>n.a.</v>
      </c>
      <c r="J629" s="525" t="str">
        <f t="shared" si="143"/>
        <v>n.a.</v>
      </c>
      <c r="K629" s="525" t="str">
        <f t="shared" si="143"/>
        <v>n.a.</v>
      </c>
      <c r="L629" s="525" t="str">
        <f t="shared" si="144"/>
        <v>n.a.</v>
      </c>
      <c r="M629" s="525" t="str">
        <f t="shared" si="144"/>
        <v>n.a.</v>
      </c>
      <c r="N629" s="525" t="str">
        <f t="shared" si="144"/>
        <v>n.a.</v>
      </c>
      <c r="O629" s="525" t="str">
        <f t="shared" si="144"/>
        <v>n.a.</v>
      </c>
      <c r="P629" s="525" t="str">
        <f t="shared" si="144"/>
        <v>n.a.</v>
      </c>
      <c r="Q629" s="525" t="str">
        <f t="shared" si="144"/>
        <v>n.a.</v>
      </c>
      <c r="R629" s="525" t="str">
        <f t="shared" si="144"/>
        <v>n.a.</v>
      </c>
      <c r="S629" s="525" t="str">
        <f t="shared" si="144"/>
        <v>n.a.</v>
      </c>
    </row>
    <row r="630" spans="1:19" s="110" customFormat="1" x14ac:dyDescent="0.25">
      <c r="A630" s="785">
        <v>497</v>
      </c>
      <c r="B630" s="525" t="str">
        <f t="shared" si="143"/>
        <v>n.a.</v>
      </c>
      <c r="C630" s="525" t="str">
        <f t="shared" si="143"/>
        <v>n.a.</v>
      </c>
      <c r="D630" s="525" t="str">
        <f t="shared" si="143"/>
        <v>n.a.</v>
      </c>
      <c r="E630" s="525" t="str">
        <f t="shared" si="143"/>
        <v>n.a.</v>
      </c>
      <c r="F630" s="525" t="str">
        <f t="shared" si="143"/>
        <v>n.a.</v>
      </c>
      <c r="G630" s="525" t="str">
        <f t="shared" si="143"/>
        <v>n.a.</v>
      </c>
      <c r="H630" s="525" t="str">
        <f t="shared" si="143"/>
        <v>n.a.</v>
      </c>
      <c r="I630" s="525" t="str">
        <f t="shared" si="143"/>
        <v>n.a.</v>
      </c>
      <c r="J630" s="525" t="str">
        <f t="shared" si="143"/>
        <v>n.a.</v>
      </c>
      <c r="K630" s="525" t="str">
        <f t="shared" si="143"/>
        <v>n.a.</v>
      </c>
      <c r="L630" s="525" t="str">
        <f t="shared" si="144"/>
        <v>n.a.</v>
      </c>
      <c r="M630" s="525" t="str">
        <f t="shared" si="144"/>
        <v>n.a.</v>
      </c>
      <c r="N630" s="525" t="str">
        <f t="shared" si="144"/>
        <v>n.a.</v>
      </c>
      <c r="O630" s="525" t="str">
        <f t="shared" si="144"/>
        <v>n.a.</v>
      </c>
      <c r="P630" s="525" t="str">
        <f t="shared" si="144"/>
        <v>n.a.</v>
      </c>
      <c r="Q630" s="525" t="str">
        <f t="shared" si="144"/>
        <v>n.a.</v>
      </c>
      <c r="R630" s="525" t="str">
        <f t="shared" si="144"/>
        <v>n.a.</v>
      </c>
      <c r="S630" s="525" t="str">
        <f t="shared" si="144"/>
        <v>n.a.</v>
      </c>
    </row>
    <row r="631" spans="1:19" s="110" customFormat="1" x14ac:dyDescent="0.25">
      <c r="A631" s="785">
        <v>498</v>
      </c>
      <c r="B631" s="525" t="str">
        <f t="shared" si="143"/>
        <v>n.a.</v>
      </c>
      <c r="C631" s="525" t="str">
        <f t="shared" si="143"/>
        <v>n.a.</v>
      </c>
      <c r="D631" s="525" t="str">
        <f t="shared" si="143"/>
        <v>n.a.</v>
      </c>
      <c r="E631" s="525" t="str">
        <f t="shared" si="143"/>
        <v>n.a.</v>
      </c>
      <c r="F631" s="525" t="str">
        <f t="shared" si="143"/>
        <v>n.a.</v>
      </c>
      <c r="G631" s="525" t="str">
        <f t="shared" si="143"/>
        <v>n.a.</v>
      </c>
      <c r="H631" s="525" t="str">
        <f t="shared" si="143"/>
        <v>n.a.</v>
      </c>
      <c r="I631" s="525" t="str">
        <f t="shared" si="143"/>
        <v>n.a.</v>
      </c>
      <c r="J631" s="525" t="str">
        <f t="shared" si="143"/>
        <v>n.a.</v>
      </c>
      <c r="K631" s="525" t="str">
        <f t="shared" si="143"/>
        <v>n.a.</v>
      </c>
      <c r="L631" s="525" t="str">
        <f t="shared" si="144"/>
        <v>n.a.</v>
      </c>
      <c r="M631" s="525" t="str">
        <f t="shared" si="144"/>
        <v>n.a.</v>
      </c>
      <c r="N631" s="525" t="str">
        <f t="shared" si="144"/>
        <v>n.a.</v>
      </c>
      <c r="O631" s="525" t="str">
        <f t="shared" si="144"/>
        <v>n.a.</v>
      </c>
      <c r="P631" s="525" t="str">
        <f t="shared" si="144"/>
        <v>n.a.</v>
      </c>
      <c r="Q631" s="525" t="str">
        <f t="shared" si="144"/>
        <v>n.a.</v>
      </c>
      <c r="R631" s="525" t="str">
        <f t="shared" si="144"/>
        <v>n.a.</v>
      </c>
      <c r="S631" s="525" t="str">
        <f t="shared" si="144"/>
        <v>n.a.</v>
      </c>
    </row>
    <row r="632" spans="1:19" s="110" customFormat="1" x14ac:dyDescent="0.25">
      <c r="A632" s="785">
        <v>499</v>
      </c>
      <c r="B632" s="525" t="str">
        <f t="shared" si="143"/>
        <v>n.a.</v>
      </c>
      <c r="C632" s="525" t="str">
        <f t="shared" si="143"/>
        <v>n.a.</v>
      </c>
      <c r="D632" s="525" t="str">
        <f t="shared" si="143"/>
        <v>n.a.</v>
      </c>
      <c r="E632" s="525" t="str">
        <f t="shared" si="143"/>
        <v>n.a.</v>
      </c>
      <c r="F632" s="525" t="str">
        <f t="shared" si="143"/>
        <v>n.a.</v>
      </c>
      <c r="G632" s="525" t="str">
        <f t="shared" si="143"/>
        <v>n.a.</v>
      </c>
      <c r="H632" s="525" t="str">
        <f t="shared" si="143"/>
        <v>n.a.</v>
      </c>
      <c r="I632" s="525" t="str">
        <f t="shared" si="143"/>
        <v>n.a.</v>
      </c>
      <c r="J632" s="525" t="str">
        <f t="shared" si="143"/>
        <v>n.a.</v>
      </c>
      <c r="K632" s="525" t="str">
        <f t="shared" si="143"/>
        <v>n.a.</v>
      </c>
      <c r="L632" s="525" t="str">
        <f t="shared" si="144"/>
        <v>n.a.</v>
      </c>
      <c r="M632" s="525" t="str">
        <f t="shared" si="144"/>
        <v>n.a.</v>
      </c>
      <c r="N632" s="525" t="str">
        <f t="shared" si="144"/>
        <v>n.a.</v>
      </c>
      <c r="O632" s="525" t="str">
        <f t="shared" si="144"/>
        <v>n.a.</v>
      </c>
      <c r="P632" s="525" t="str">
        <f t="shared" si="144"/>
        <v>n.a.</v>
      </c>
      <c r="Q632" s="525" t="str">
        <f t="shared" si="144"/>
        <v>n.a.</v>
      </c>
      <c r="R632" s="525" t="str">
        <f t="shared" si="144"/>
        <v>n.a.</v>
      </c>
      <c r="S632" s="525" t="str">
        <f t="shared" si="144"/>
        <v>n.a.</v>
      </c>
    </row>
    <row r="633" spans="1:19" s="110" customFormat="1" x14ac:dyDescent="0.25">
      <c r="A633" s="785">
        <v>500</v>
      </c>
      <c r="B633" s="525" t="str">
        <f t="shared" si="143"/>
        <v>n.a.</v>
      </c>
      <c r="C633" s="525" t="str">
        <f t="shared" si="143"/>
        <v>n.a.</v>
      </c>
      <c r="D633" s="525" t="str">
        <f t="shared" si="143"/>
        <v>n.a.</v>
      </c>
      <c r="E633" s="525" t="str">
        <f t="shared" si="143"/>
        <v>n.a.</v>
      </c>
      <c r="F633" s="525" t="str">
        <f t="shared" si="143"/>
        <v>n.a.</v>
      </c>
      <c r="G633" s="525" t="str">
        <f t="shared" si="143"/>
        <v>n.a.</v>
      </c>
      <c r="H633" s="525" t="str">
        <f t="shared" si="143"/>
        <v>n.a.</v>
      </c>
      <c r="I633" s="525" t="str">
        <f t="shared" si="143"/>
        <v>n.a.</v>
      </c>
      <c r="J633" s="525" t="str">
        <f t="shared" si="143"/>
        <v>n.a.</v>
      </c>
      <c r="K633" s="525" t="str">
        <f t="shared" si="143"/>
        <v>n.a.</v>
      </c>
      <c r="L633" s="525" t="str">
        <f t="shared" si="144"/>
        <v>n.a.</v>
      </c>
      <c r="M633" s="525" t="str">
        <f t="shared" si="144"/>
        <v>n.a.</v>
      </c>
      <c r="N633" s="525" t="str">
        <f t="shared" si="144"/>
        <v>n.a.</v>
      </c>
      <c r="O633" s="525" t="str">
        <f t="shared" si="144"/>
        <v>n.a.</v>
      </c>
      <c r="P633" s="525" t="str">
        <f t="shared" si="144"/>
        <v>n.a.</v>
      </c>
      <c r="Q633" s="525" t="str">
        <f t="shared" si="144"/>
        <v>n.a.</v>
      </c>
      <c r="R633" s="525" t="str">
        <f t="shared" si="144"/>
        <v>n.a.</v>
      </c>
      <c r="S633" s="525" t="str">
        <f t="shared" si="144"/>
        <v>n.a.</v>
      </c>
    </row>
    <row r="634" spans="1:19" s="110" customFormat="1" x14ac:dyDescent="0.25">
      <c r="A634" s="785">
        <v>501</v>
      </c>
      <c r="B634" s="525" t="str">
        <f t="shared" ref="B634:K643" si="145">IFERROR(INDEX(CNCodes_ListKey,MATCH($A634&amp;"_"&amp;B$132,CNCodes_ListNumbering,0)),CONST_NA)</f>
        <v>n.a.</v>
      </c>
      <c r="C634" s="525" t="str">
        <f t="shared" si="145"/>
        <v>n.a.</v>
      </c>
      <c r="D634" s="525" t="str">
        <f t="shared" si="145"/>
        <v>n.a.</v>
      </c>
      <c r="E634" s="525" t="str">
        <f t="shared" si="145"/>
        <v>n.a.</v>
      </c>
      <c r="F634" s="525" t="str">
        <f t="shared" si="145"/>
        <v>n.a.</v>
      </c>
      <c r="G634" s="525" t="str">
        <f t="shared" si="145"/>
        <v>n.a.</v>
      </c>
      <c r="H634" s="525" t="str">
        <f t="shared" si="145"/>
        <v>n.a.</v>
      </c>
      <c r="I634" s="525" t="str">
        <f t="shared" si="145"/>
        <v>n.a.</v>
      </c>
      <c r="J634" s="525" t="str">
        <f t="shared" si="145"/>
        <v>n.a.</v>
      </c>
      <c r="K634" s="525" t="str">
        <f t="shared" si="145"/>
        <v>n.a.</v>
      </c>
      <c r="L634" s="525" t="str">
        <f t="shared" ref="L634:S643" si="146">IFERROR(INDEX(CNCodes_ListKey,MATCH($A634&amp;"_"&amp;L$132,CNCodes_ListNumbering,0)),CONST_NA)</f>
        <v>n.a.</v>
      </c>
      <c r="M634" s="525" t="str">
        <f t="shared" si="146"/>
        <v>n.a.</v>
      </c>
      <c r="N634" s="525" t="str">
        <f t="shared" si="146"/>
        <v>n.a.</v>
      </c>
      <c r="O634" s="525" t="str">
        <f t="shared" si="146"/>
        <v>n.a.</v>
      </c>
      <c r="P634" s="525" t="str">
        <f t="shared" si="146"/>
        <v>n.a.</v>
      </c>
      <c r="Q634" s="525" t="str">
        <f t="shared" si="146"/>
        <v>n.a.</v>
      </c>
      <c r="R634" s="525" t="str">
        <f t="shared" si="146"/>
        <v>n.a.</v>
      </c>
      <c r="S634" s="525" t="str">
        <f t="shared" si="146"/>
        <v>n.a.</v>
      </c>
    </row>
    <row r="635" spans="1:19" s="110" customFormat="1" x14ac:dyDescent="0.25">
      <c r="A635" s="785">
        <v>502</v>
      </c>
      <c r="B635" s="525" t="str">
        <f t="shared" si="145"/>
        <v>n.a.</v>
      </c>
      <c r="C635" s="525" t="str">
        <f t="shared" si="145"/>
        <v>n.a.</v>
      </c>
      <c r="D635" s="525" t="str">
        <f t="shared" si="145"/>
        <v>n.a.</v>
      </c>
      <c r="E635" s="525" t="str">
        <f t="shared" si="145"/>
        <v>n.a.</v>
      </c>
      <c r="F635" s="525" t="str">
        <f t="shared" si="145"/>
        <v>n.a.</v>
      </c>
      <c r="G635" s="525" t="str">
        <f t="shared" si="145"/>
        <v>n.a.</v>
      </c>
      <c r="H635" s="525" t="str">
        <f t="shared" si="145"/>
        <v>n.a.</v>
      </c>
      <c r="I635" s="525" t="str">
        <f t="shared" si="145"/>
        <v>n.a.</v>
      </c>
      <c r="J635" s="525" t="str">
        <f t="shared" si="145"/>
        <v>n.a.</v>
      </c>
      <c r="K635" s="525" t="str">
        <f t="shared" si="145"/>
        <v>n.a.</v>
      </c>
      <c r="L635" s="525" t="str">
        <f t="shared" si="146"/>
        <v>n.a.</v>
      </c>
      <c r="M635" s="525" t="str">
        <f t="shared" si="146"/>
        <v>n.a.</v>
      </c>
      <c r="N635" s="525" t="str">
        <f t="shared" si="146"/>
        <v>n.a.</v>
      </c>
      <c r="O635" s="525" t="str">
        <f t="shared" si="146"/>
        <v>n.a.</v>
      </c>
      <c r="P635" s="525" t="str">
        <f t="shared" si="146"/>
        <v>n.a.</v>
      </c>
      <c r="Q635" s="525" t="str">
        <f t="shared" si="146"/>
        <v>n.a.</v>
      </c>
      <c r="R635" s="525" t="str">
        <f t="shared" si="146"/>
        <v>n.a.</v>
      </c>
      <c r="S635" s="525" t="str">
        <f t="shared" si="146"/>
        <v>n.a.</v>
      </c>
    </row>
    <row r="636" spans="1:19" s="110" customFormat="1" x14ac:dyDescent="0.25">
      <c r="A636" s="785">
        <v>503</v>
      </c>
      <c r="B636" s="525" t="str">
        <f t="shared" si="145"/>
        <v>n.a.</v>
      </c>
      <c r="C636" s="525" t="str">
        <f t="shared" si="145"/>
        <v>n.a.</v>
      </c>
      <c r="D636" s="525" t="str">
        <f t="shared" si="145"/>
        <v>n.a.</v>
      </c>
      <c r="E636" s="525" t="str">
        <f t="shared" si="145"/>
        <v>n.a.</v>
      </c>
      <c r="F636" s="525" t="str">
        <f t="shared" si="145"/>
        <v>n.a.</v>
      </c>
      <c r="G636" s="525" t="str">
        <f t="shared" si="145"/>
        <v>n.a.</v>
      </c>
      <c r="H636" s="525" t="str">
        <f t="shared" si="145"/>
        <v>n.a.</v>
      </c>
      <c r="I636" s="525" t="str">
        <f t="shared" si="145"/>
        <v>n.a.</v>
      </c>
      <c r="J636" s="525" t="str">
        <f t="shared" si="145"/>
        <v>n.a.</v>
      </c>
      <c r="K636" s="525" t="str">
        <f t="shared" si="145"/>
        <v>n.a.</v>
      </c>
      <c r="L636" s="525" t="str">
        <f t="shared" si="146"/>
        <v>n.a.</v>
      </c>
      <c r="M636" s="525" t="str">
        <f t="shared" si="146"/>
        <v>n.a.</v>
      </c>
      <c r="N636" s="525" t="str">
        <f t="shared" si="146"/>
        <v>n.a.</v>
      </c>
      <c r="O636" s="525" t="str">
        <f t="shared" si="146"/>
        <v>n.a.</v>
      </c>
      <c r="P636" s="525" t="str">
        <f t="shared" si="146"/>
        <v>n.a.</v>
      </c>
      <c r="Q636" s="525" t="str">
        <f t="shared" si="146"/>
        <v>n.a.</v>
      </c>
      <c r="R636" s="525" t="str">
        <f t="shared" si="146"/>
        <v>n.a.</v>
      </c>
      <c r="S636" s="525" t="str">
        <f t="shared" si="146"/>
        <v>n.a.</v>
      </c>
    </row>
    <row r="637" spans="1:19" s="110" customFormat="1" x14ac:dyDescent="0.25">
      <c r="A637" s="785">
        <v>504</v>
      </c>
      <c r="B637" s="525" t="str">
        <f t="shared" si="145"/>
        <v>n.a.</v>
      </c>
      <c r="C637" s="525" t="str">
        <f t="shared" si="145"/>
        <v>n.a.</v>
      </c>
      <c r="D637" s="525" t="str">
        <f t="shared" si="145"/>
        <v>n.a.</v>
      </c>
      <c r="E637" s="525" t="str">
        <f t="shared" si="145"/>
        <v>n.a.</v>
      </c>
      <c r="F637" s="525" t="str">
        <f t="shared" si="145"/>
        <v>n.a.</v>
      </c>
      <c r="G637" s="525" t="str">
        <f t="shared" si="145"/>
        <v>n.a.</v>
      </c>
      <c r="H637" s="525" t="str">
        <f t="shared" si="145"/>
        <v>n.a.</v>
      </c>
      <c r="I637" s="525" t="str">
        <f t="shared" si="145"/>
        <v>n.a.</v>
      </c>
      <c r="J637" s="525" t="str">
        <f t="shared" si="145"/>
        <v>n.a.</v>
      </c>
      <c r="K637" s="525" t="str">
        <f t="shared" si="145"/>
        <v>n.a.</v>
      </c>
      <c r="L637" s="525" t="str">
        <f t="shared" si="146"/>
        <v>n.a.</v>
      </c>
      <c r="M637" s="525" t="str">
        <f t="shared" si="146"/>
        <v>n.a.</v>
      </c>
      <c r="N637" s="525" t="str">
        <f t="shared" si="146"/>
        <v>n.a.</v>
      </c>
      <c r="O637" s="525" t="str">
        <f t="shared" si="146"/>
        <v>n.a.</v>
      </c>
      <c r="P637" s="525" t="str">
        <f t="shared" si="146"/>
        <v>n.a.</v>
      </c>
      <c r="Q637" s="525" t="str">
        <f t="shared" si="146"/>
        <v>n.a.</v>
      </c>
      <c r="R637" s="525" t="str">
        <f t="shared" si="146"/>
        <v>n.a.</v>
      </c>
      <c r="S637" s="525" t="str">
        <f t="shared" si="146"/>
        <v>n.a.</v>
      </c>
    </row>
    <row r="638" spans="1:19" s="110" customFormat="1" x14ac:dyDescent="0.25">
      <c r="A638" s="785">
        <v>505</v>
      </c>
      <c r="B638" s="525" t="str">
        <f t="shared" si="145"/>
        <v>n.a.</v>
      </c>
      <c r="C638" s="525" t="str">
        <f t="shared" si="145"/>
        <v>n.a.</v>
      </c>
      <c r="D638" s="525" t="str">
        <f t="shared" si="145"/>
        <v>n.a.</v>
      </c>
      <c r="E638" s="525" t="str">
        <f t="shared" si="145"/>
        <v>n.a.</v>
      </c>
      <c r="F638" s="525" t="str">
        <f t="shared" si="145"/>
        <v>n.a.</v>
      </c>
      <c r="G638" s="525" t="str">
        <f t="shared" si="145"/>
        <v>n.a.</v>
      </c>
      <c r="H638" s="525" t="str">
        <f t="shared" si="145"/>
        <v>n.a.</v>
      </c>
      <c r="I638" s="525" t="str">
        <f t="shared" si="145"/>
        <v>n.a.</v>
      </c>
      <c r="J638" s="525" t="str">
        <f t="shared" si="145"/>
        <v>n.a.</v>
      </c>
      <c r="K638" s="525" t="str">
        <f t="shared" si="145"/>
        <v>n.a.</v>
      </c>
      <c r="L638" s="525" t="str">
        <f t="shared" si="146"/>
        <v>n.a.</v>
      </c>
      <c r="M638" s="525" t="str">
        <f t="shared" si="146"/>
        <v>n.a.</v>
      </c>
      <c r="N638" s="525" t="str">
        <f t="shared" si="146"/>
        <v>n.a.</v>
      </c>
      <c r="O638" s="525" t="str">
        <f t="shared" si="146"/>
        <v>n.a.</v>
      </c>
      <c r="P638" s="525" t="str">
        <f t="shared" si="146"/>
        <v>n.a.</v>
      </c>
      <c r="Q638" s="525" t="str">
        <f t="shared" si="146"/>
        <v>n.a.</v>
      </c>
      <c r="R638" s="525" t="str">
        <f t="shared" si="146"/>
        <v>n.a.</v>
      </c>
      <c r="S638" s="525" t="str">
        <f t="shared" si="146"/>
        <v>n.a.</v>
      </c>
    </row>
    <row r="639" spans="1:19" s="110" customFormat="1" x14ac:dyDescent="0.25">
      <c r="A639" s="785">
        <v>506</v>
      </c>
      <c r="B639" s="525" t="str">
        <f t="shared" si="145"/>
        <v>n.a.</v>
      </c>
      <c r="C639" s="525" t="str">
        <f t="shared" si="145"/>
        <v>n.a.</v>
      </c>
      <c r="D639" s="525" t="str">
        <f t="shared" si="145"/>
        <v>n.a.</v>
      </c>
      <c r="E639" s="525" t="str">
        <f t="shared" si="145"/>
        <v>n.a.</v>
      </c>
      <c r="F639" s="525" t="str">
        <f t="shared" si="145"/>
        <v>n.a.</v>
      </c>
      <c r="G639" s="525" t="str">
        <f t="shared" si="145"/>
        <v>n.a.</v>
      </c>
      <c r="H639" s="525" t="str">
        <f t="shared" si="145"/>
        <v>n.a.</v>
      </c>
      <c r="I639" s="525" t="str">
        <f t="shared" si="145"/>
        <v>n.a.</v>
      </c>
      <c r="J639" s="525" t="str">
        <f t="shared" si="145"/>
        <v>n.a.</v>
      </c>
      <c r="K639" s="525" t="str">
        <f t="shared" si="145"/>
        <v>n.a.</v>
      </c>
      <c r="L639" s="525" t="str">
        <f t="shared" si="146"/>
        <v>n.a.</v>
      </c>
      <c r="M639" s="525" t="str">
        <f t="shared" si="146"/>
        <v>n.a.</v>
      </c>
      <c r="N639" s="525" t="str">
        <f t="shared" si="146"/>
        <v>n.a.</v>
      </c>
      <c r="O639" s="525" t="str">
        <f t="shared" si="146"/>
        <v>n.a.</v>
      </c>
      <c r="P639" s="525" t="str">
        <f t="shared" si="146"/>
        <v>n.a.</v>
      </c>
      <c r="Q639" s="525" t="str">
        <f t="shared" si="146"/>
        <v>n.a.</v>
      </c>
      <c r="R639" s="525" t="str">
        <f t="shared" si="146"/>
        <v>n.a.</v>
      </c>
      <c r="S639" s="525" t="str">
        <f t="shared" si="146"/>
        <v>n.a.</v>
      </c>
    </row>
    <row r="640" spans="1:19" s="110" customFormat="1" x14ac:dyDescent="0.25">
      <c r="A640" s="785">
        <v>507</v>
      </c>
      <c r="B640" s="525" t="str">
        <f t="shared" si="145"/>
        <v>n.a.</v>
      </c>
      <c r="C640" s="525" t="str">
        <f t="shared" si="145"/>
        <v>n.a.</v>
      </c>
      <c r="D640" s="525" t="str">
        <f t="shared" si="145"/>
        <v>n.a.</v>
      </c>
      <c r="E640" s="525" t="str">
        <f t="shared" si="145"/>
        <v>n.a.</v>
      </c>
      <c r="F640" s="525" t="str">
        <f t="shared" si="145"/>
        <v>n.a.</v>
      </c>
      <c r="G640" s="525" t="str">
        <f t="shared" si="145"/>
        <v>n.a.</v>
      </c>
      <c r="H640" s="525" t="str">
        <f t="shared" si="145"/>
        <v>n.a.</v>
      </c>
      <c r="I640" s="525" t="str">
        <f t="shared" si="145"/>
        <v>n.a.</v>
      </c>
      <c r="J640" s="525" t="str">
        <f t="shared" si="145"/>
        <v>n.a.</v>
      </c>
      <c r="K640" s="525" t="str">
        <f t="shared" si="145"/>
        <v>n.a.</v>
      </c>
      <c r="L640" s="525" t="str">
        <f t="shared" si="146"/>
        <v>n.a.</v>
      </c>
      <c r="M640" s="525" t="str">
        <f t="shared" si="146"/>
        <v>n.a.</v>
      </c>
      <c r="N640" s="525" t="str">
        <f t="shared" si="146"/>
        <v>n.a.</v>
      </c>
      <c r="O640" s="525" t="str">
        <f t="shared" si="146"/>
        <v>n.a.</v>
      </c>
      <c r="P640" s="525" t="str">
        <f t="shared" si="146"/>
        <v>n.a.</v>
      </c>
      <c r="Q640" s="525" t="str">
        <f t="shared" si="146"/>
        <v>n.a.</v>
      </c>
      <c r="R640" s="525" t="str">
        <f t="shared" si="146"/>
        <v>n.a.</v>
      </c>
      <c r="S640" s="525" t="str">
        <f t="shared" si="146"/>
        <v>n.a.</v>
      </c>
    </row>
    <row r="641" spans="1:19" s="110" customFormat="1" x14ac:dyDescent="0.25">
      <c r="A641" s="785">
        <v>508</v>
      </c>
      <c r="B641" s="525" t="str">
        <f t="shared" si="145"/>
        <v>n.a.</v>
      </c>
      <c r="C641" s="525" t="str">
        <f t="shared" si="145"/>
        <v>n.a.</v>
      </c>
      <c r="D641" s="525" t="str">
        <f t="shared" si="145"/>
        <v>n.a.</v>
      </c>
      <c r="E641" s="525" t="str">
        <f t="shared" si="145"/>
        <v>n.a.</v>
      </c>
      <c r="F641" s="525" t="str">
        <f t="shared" si="145"/>
        <v>n.a.</v>
      </c>
      <c r="G641" s="525" t="str">
        <f t="shared" si="145"/>
        <v>n.a.</v>
      </c>
      <c r="H641" s="525" t="str">
        <f t="shared" si="145"/>
        <v>n.a.</v>
      </c>
      <c r="I641" s="525" t="str">
        <f t="shared" si="145"/>
        <v>n.a.</v>
      </c>
      <c r="J641" s="525" t="str">
        <f t="shared" si="145"/>
        <v>n.a.</v>
      </c>
      <c r="K641" s="525" t="str">
        <f t="shared" si="145"/>
        <v>n.a.</v>
      </c>
      <c r="L641" s="525" t="str">
        <f t="shared" si="146"/>
        <v>n.a.</v>
      </c>
      <c r="M641" s="525" t="str">
        <f t="shared" si="146"/>
        <v>n.a.</v>
      </c>
      <c r="N641" s="525" t="str">
        <f t="shared" si="146"/>
        <v>n.a.</v>
      </c>
      <c r="O641" s="525" t="str">
        <f t="shared" si="146"/>
        <v>n.a.</v>
      </c>
      <c r="P641" s="525" t="str">
        <f t="shared" si="146"/>
        <v>n.a.</v>
      </c>
      <c r="Q641" s="525" t="str">
        <f t="shared" si="146"/>
        <v>n.a.</v>
      </c>
      <c r="R641" s="525" t="str">
        <f t="shared" si="146"/>
        <v>n.a.</v>
      </c>
      <c r="S641" s="525" t="str">
        <f t="shared" si="146"/>
        <v>n.a.</v>
      </c>
    </row>
    <row r="642" spans="1:19" s="110" customFormat="1" x14ac:dyDescent="0.25">
      <c r="A642" s="785">
        <v>509</v>
      </c>
      <c r="B642" s="525" t="str">
        <f t="shared" si="145"/>
        <v>n.a.</v>
      </c>
      <c r="C642" s="525" t="str">
        <f t="shared" si="145"/>
        <v>n.a.</v>
      </c>
      <c r="D642" s="525" t="str">
        <f t="shared" si="145"/>
        <v>n.a.</v>
      </c>
      <c r="E642" s="525" t="str">
        <f t="shared" si="145"/>
        <v>n.a.</v>
      </c>
      <c r="F642" s="525" t="str">
        <f t="shared" si="145"/>
        <v>n.a.</v>
      </c>
      <c r="G642" s="525" t="str">
        <f t="shared" si="145"/>
        <v>n.a.</v>
      </c>
      <c r="H642" s="525" t="str">
        <f t="shared" si="145"/>
        <v>n.a.</v>
      </c>
      <c r="I642" s="525" t="str">
        <f t="shared" si="145"/>
        <v>n.a.</v>
      </c>
      <c r="J642" s="525" t="str">
        <f t="shared" si="145"/>
        <v>n.a.</v>
      </c>
      <c r="K642" s="525" t="str">
        <f t="shared" si="145"/>
        <v>n.a.</v>
      </c>
      <c r="L642" s="525" t="str">
        <f t="shared" si="146"/>
        <v>n.a.</v>
      </c>
      <c r="M642" s="525" t="str">
        <f t="shared" si="146"/>
        <v>n.a.</v>
      </c>
      <c r="N642" s="525" t="str">
        <f t="shared" si="146"/>
        <v>n.a.</v>
      </c>
      <c r="O642" s="525" t="str">
        <f t="shared" si="146"/>
        <v>n.a.</v>
      </c>
      <c r="P642" s="525" t="str">
        <f t="shared" si="146"/>
        <v>n.a.</v>
      </c>
      <c r="Q642" s="525" t="str">
        <f t="shared" si="146"/>
        <v>n.a.</v>
      </c>
      <c r="R642" s="525" t="str">
        <f t="shared" si="146"/>
        <v>n.a.</v>
      </c>
      <c r="S642" s="525" t="str">
        <f t="shared" si="146"/>
        <v>n.a.</v>
      </c>
    </row>
    <row r="643" spans="1:19" s="110" customFormat="1" x14ac:dyDescent="0.25">
      <c r="A643" s="785">
        <v>510</v>
      </c>
      <c r="B643" s="525" t="str">
        <f t="shared" si="145"/>
        <v>n.a.</v>
      </c>
      <c r="C643" s="525" t="str">
        <f t="shared" si="145"/>
        <v>n.a.</v>
      </c>
      <c r="D643" s="525" t="str">
        <f t="shared" si="145"/>
        <v>n.a.</v>
      </c>
      <c r="E643" s="525" t="str">
        <f t="shared" si="145"/>
        <v>n.a.</v>
      </c>
      <c r="F643" s="525" t="str">
        <f t="shared" si="145"/>
        <v>n.a.</v>
      </c>
      <c r="G643" s="525" t="str">
        <f t="shared" si="145"/>
        <v>n.a.</v>
      </c>
      <c r="H643" s="525" t="str">
        <f t="shared" si="145"/>
        <v>n.a.</v>
      </c>
      <c r="I643" s="525" t="str">
        <f t="shared" si="145"/>
        <v>n.a.</v>
      </c>
      <c r="J643" s="525" t="str">
        <f t="shared" si="145"/>
        <v>n.a.</v>
      </c>
      <c r="K643" s="525" t="str">
        <f t="shared" si="145"/>
        <v>n.a.</v>
      </c>
      <c r="L643" s="525" t="str">
        <f t="shared" si="146"/>
        <v>n.a.</v>
      </c>
      <c r="M643" s="525" t="str">
        <f t="shared" si="146"/>
        <v>n.a.</v>
      </c>
      <c r="N643" s="525" t="str">
        <f t="shared" si="146"/>
        <v>n.a.</v>
      </c>
      <c r="O643" s="525" t="str">
        <f t="shared" si="146"/>
        <v>n.a.</v>
      </c>
      <c r="P643" s="525" t="str">
        <f t="shared" si="146"/>
        <v>n.a.</v>
      </c>
      <c r="Q643" s="525" t="str">
        <f t="shared" si="146"/>
        <v>n.a.</v>
      </c>
      <c r="R643" s="525" t="str">
        <f t="shared" si="146"/>
        <v>n.a.</v>
      </c>
      <c r="S643" s="525" t="str">
        <f t="shared" si="146"/>
        <v>n.a.</v>
      </c>
    </row>
    <row r="644" spans="1:19" s="110" customFormat="1" x14ac:dyDescent="0.25">
      <c r="A644" s="785">
        <v>511</v>
      </c>
      <c r="B644" s="525" t="str">
        <f t="shared" ref="B644:K653" si="147">IFERROR(INDEX(CNCodes_ListKey,MATCH($A644&amp;"_"&amp;B$132,CNCodes_ListNumbering,0)),CONST_NA)</f>
        <v>n.a.</v>
      </c>
      <c r="C644" s="525" t="str">
        <f t="shared" si="147"/>
        <v>n.a.</v>
      </c>
      <c r="D644" s="525" t="str">
        <f t="shared" si="147"/>
        <v>n.a.</v>
      </c>
      <c r="E644" s="525" t="str">
        <f t="shared" si="147"/>
        <v>n.a.</v>
      </c>
      <c r="F644" s="525" t="str">
        <f t="shared" si="147"/>
        <v>n.a.</v>
      </c>
      <c r="G644" s="525" t="str">
        <f t="shared" si="147"/>
        <v>n.a.</v>
      </c>
      <c r="H644" s="525" t="str">
        <f t="shared" si="147"/>
        <v>n.a.</v>
      </c>
      <c r="I644" s="525" t="str">
        <f t="shared" si="147"/>
        <v>n.a.</v>
      </c>
      <c r="J644" s="525" t="str">
        <f t="shared" si="147"/>
        <v>n.a.</v>
      </c>
      <c r="K644" s="525" t="str">
        <f t="shared" si="147"/>
        <v>n.a.</v>
      </c>
      <c r="L644" s="525" t="str">
        <f t="shared" ref="L644:S653" si="148">IFERROR(INDEX(CNCodes_ListKey,MATCH($A644&amp;"_"&amp;L$132,CNCodes_ListNumbering,0)),CONST_NA)</f>
        <v>n.a.</v>
      </c>
      <c r="M644" s="525" t="str">
        <f t="shared" si="148"/>
        <v>n.a.</v>
      </c>
      <c r="N644" s="525" t="str">
        <f t="shared" si="148"/>
        <v>n.a.</v>
      </c>
      <c r="O644" s="525" t="str">
        <f t="shared" si="148"/>
        <v>n.a.</v>
      </c>
      <c r="P644" s="525" t="str">
        <f t="shared" si="148"/>
        <v>n.a.</v>
      </c>
      <c r="Q644" s="525" t="str">
        <f t="shared" si="148"/>
        <v>n.a.</v>
      </c>
      <c r="R644" s="525" t="str">
        <f t="shared" si="148"/>
        <v>n.a.</v>
      </c>
      <c r="S644" s="525" t="str">
        <f t="shared" si="148"/>
        <v>n.a.</v>
      </c>
    </row>
    <row r="645" spans="1:19" s="110" customFormat="1" x14ac:dyDescent="0.25">
      <c r="A645" s="785">
        <v>512</v>
      </c>
      <c r="B645" s="525" t="str">
        <f t="shared" si="147"/>
        <v>n.a.</v>
      </c>
      <c r="C645" s="525" t="str">
        <f t="shared" si="147"/>
        <v>n.a.</v>
      </c>
      <c r="D645" s="525" t="str">
        <f t="shared" si="147"/>
        <v>n.a.</v>
      </c>
      <c r="E645" s="525" t="str">
        <f t="shared" si="147"/>
        <v>n.a.</v>
      </c>
      <c r="F645" s="525" t="str">
        <f t="shared" si="147"/>
        <v>n.a.</v>
      </c>
      <c r="G645" s="525" t="str">
        <f t="shared" si="147"/>
        <v>n.a.</v>
      </c>
      <c r="H645" s="525" t="str">
        <f t="shared" si="147"/>
        <v>n.a.</v>
      </c>
      <c r="I645" s="525" t="str">
        <f t="shared" si="147"/>
        <v>n.a.</v>
      </c>
      <c r="J645" s="525" t="str">
        <f t="shared" si="147"/>
        <v>n.a.</v>
      </c>
      <c r="K645" s="525" t="str">
        <f t="shared" si="147"/>
        <v>n.a.</v>
      </c>
      <c r="L645" s="525" t="str">
        <f t="shared" si="148"/>
        <v>n.a.</v>
      </c>
      <c r="M645" s="525" t="str">
        <f t="shared" si="148"/>
        <v>n.a.</v>
      </c>
      <c r="N645" s="525" t="str">
        <f t="shared" si="148"/>
        <v>n.a.</v>
      </c>
      <c r="O645" s="525" t="str">
        <f t="shared" si="148"/>
        <v>n.a.</v>
      </c>
      <c r="P645" s="525" t="str">
        <f t="shared" si="148"/>
        <v>n.a.</v>
      </c>
      <c r="Q645" s="525" t="str">
        <f t="shared" si="148"/>
        <v>n.a.</v>
      </c>
      <c r="R645" s="525" t="str">
        <f t="shared" si="148"/>
        <v>n.a.</v>
      </c>
      <c r="S645" s="525" t="str">
        <f t="shared" si="148"/>
        <v>n.a.</v>
      </c>
    </row>
    <row r="646" spans="1:19" s="110" customFormat="1" x14ac:dyDescent="0.25">
      <c r="A646" s="785">
        <v>513</v>
      </c>
      <c r="B646" s="525" t="str">
        <f t="shared" si="147"/>
        <v>n.a.</v>
      </c>
      <c r="C646" s="525" t="str">
        <f t="shared" si="147"/>
        <v>n.a.</v>
      </c>
      <c r="D646" s="525" t="str">
        <f t="shared" si="147"/>
        <v>n.a.</v>
      </c>
      <c r="E646" s="525" t="str">
        <f t="shared" si="147"/>
        <v>n.a.</v>
      </c>
      <c r="F646" s="525" t="str">
        <f t="shared" si="147"/>
        <v>n.a.</v>
      </c>
      <c r="G646" s="525" t="str">
        <f t="shared" si="147"/>
        <v>n.a.</v>
      </c>
      <c r="H646" s="525" t="str">
        <f t="shared" si="147"/>
        <v>n.a.</v>
      </c>
      <c r="I646" s="525" t="str">
        <f t="shared" si="147"/>
        <v>n.a.</v>
      </c>
      <c r="J646" s="525" t="str">
        <f t="shared" si="147"/>
        <v>n.a.</v>
      </c>
      <c r="K646" s="525" t="str">
        <f t="shared" si="147"/>
        <v>n.a.</v>
      </c>
      <c r="L646" s="525" t="str">
        <f t="shared" si="148"/>
        <v>n.a.</v>
      </c>
      <c r="M646" s="525" t="str">
        <f t="shared" si="148"/>
        <v>n.a.</v>
      </c>
      <c r="N646" s="525" t="str">
        <f t="shared" si="148"/>
        <v>n.a.</v>
      </c>
      <c r="O646" s="525" t="str">
        <f t="shared" si="148"/>
        <v>n.a.</v>
      </c>
      <c r="P646" s="525" t="str">
        <f t="shared" si="148"/>
        <v>n.a.</v>
      </c>
      <c r="Q646" s="525" t="str">
        <f t="shared" si="148"/>
        <v>n.a.</v>
      </c>
      <c r="R646" s="525" t="str">
        <f t="shared" si="148"/>
        <v>n.a.</v>
      </c>
      <c r="S646" s="525" t="str">
        <f t="shared" si="148"/>
        <v>n.a.</v>
      </c>
    </row>
    <row r="647" spans="1:19" s="110" customFormat="1" x14ac:dyDescent="0.25">
      <c r="A647" s="785">
        <v>514</v>
      </c>
      <c r="B647" s="525" t="str">
        <f t="shared" si="147"/>
        <v>n.a.</v>
      </c>
      <c r="C647" s="525" t="str">
        <f t="shared" si="147"/>
        <v>n.a.</v>
      </c>
      <c r="D647" s="525" t="str">
        <f t="shared" si="147"/>
        <v>n.a.</v>
      </c>
      <c r="E647" s="525" t="str">
        <f t="shared" si="147"/>
        <v>n.a.</v>
      </c>
      <c r="F647" s="525" t="str">
        <f t="shared" si="147"/>
        <v>n.a.</v>
      </c>
      <c r="G647" s="525" t="str">
        <f t="shared" si="147"/>
        <v>n.a.</v>
      </c>
      <c r="H647" s="525" t="str">
        <f t="shared" si="147"/>
        <v>n.a.</v>
      </c>
      <c r="I647" s="525" t="str">
        <f t="shared" si="147"/>
        <v>n.a.</v>
      </c>
      <c r="J647" s="525" t="str">
        <f t="shared" si="147"/>
        <v>n.a.</v>
      </c>
      <c r="K647" s="525" t="str">
        <f t="shared" si="147"/>
        <v>n.a.</v>
      </c>
      <c r="L647" s="525" t="str">
        <f t="shared" si="148"/>
        <v>n.a.</v>
      </c>
      <c r="M647" s="525" t="str">
        <f t="shared" si="148"/>
        <v>n.a.</v>
      </c>
      <c r="N647" s="525" t="str">
        <f t="shared" si="148"/>
        <v>n.a.</v>
      </c>
      <c r="O647" s="525" t="str">
        <f t="shared" si="148"/>
        <v>n.a.</v>
      </c>
      <c r="P647" s="525" t="str">
        <f t="shared" si="148"/>
        <v>n.a.</v>
      </c>
      <c r="Q647" s="525" t="str">
        <f t="shared" si="148"/>
        <v>n.a.</v>
      </c>
      <c r="R647" s="525" t="str">
        <f t="shared" si="148"/>
        <v>n.a.</v>
      </c>
      <c r="S647" s="525" t="str">
        <f t="shared" si="148"/>
        <v>n.a.</v>
      </c>
    </row>
    <row r="648" spans="1:19" s="110" customFormat="1" x14ac:dyDescent="0.25">
      <c r="A648" s="785">
        <v>515</v>
      </c>
      <c r="B648" s="525" t="str">
        <f t="shared" si="147"/>
        <v>n.a.</v>
      </c>
      <c r="C648" s="525" t="str">
        <f t="shared" si="147"/>
        <v>n.a.</v>
      </c>
      <c r="D648" s="525" t="str">
        <f t="shared" si="147"/>
        <v>n.a.</v>
      </c>
      <c r="E648" s="525" t="str">
        <f t="shared" si="147"/>
        <v>n.a.</v>
      </c>
      <c r="F648" s="525" t="str">
        <f t="shared" si="147"/>
        <v>n.a.</v>
      </c>
      <c r="G648" s="525" t="str">
        <f t="shared" si="147"/>
        <v>n.a.</v>
      </c>
      <c r="H648" s="525" t="str">
        <f t="shared" si="147"/>
        <v>n.a.</v>
      </c>
      <c r="I648" s="525" t="str">
        <f t="shared" si="147"/>
        <v>n.a.</v>
      </c>
      <c r="J648" s="525" t="str">
        <f t="shared" si="147"/>
        <v>n.a.</v>
      </c>
      <c r="K648" s="525" t="str">
        <f t="shared" si="147"/>
        <v>n.a.</v>
      </c>
      <c r="L648" s="525" t="str">
        <f t="shared" si="148"/>
        <v>n.a.</v>
      </c>
      <c r="M648" s="525" t="str">
        <f t="shared" si="148"/>
        <v>n.a.</v>
      </c>
      <c r="N648" s="525" t="str">
        <f t="shared" si="148"/>
        <v>n.a.</v>
      </c>
      <c r="O648" s="525" t="str">
        <f t="shared" si="148"/>
        <v>n.a.</v>
      </c>
      <c r="P648" s="525" t="str">
        <f t="shared" si="148"/>
        <v>n.a.</v>
      </c>
      <c r="Q648" s="525" t="str">
        <f t="shared" si="148"/>
        <v>n.a.</v>
      </c>
      <c r="R648" s="525" t="str">
        <f t="shared" si="148"/>
        <v>n.a.</v>
      </c>
      <c r="S648" s="525" t="str">
        <f t="shared" si="148"/>
        <v>n.a.</v>
      </c>
    </row>
    <row r="649" spans="1:19" s="110" customFormat="1" x14ac:dyDescent="0.25">
      <c r="A649" s="785">
        <v>516</v>
      </c>
      <c r="B649" s="525" t="str">
        <f t="shared" si="147"/>
        <v>n.a.</v>
      </c>
      <c r="C649" s="525" t="str">
        <f t="shared" si="147"/>
        <v>n.a.</v>
      </c>
      <c r="D649" s="525" t="str">
        <f t="shared" si="147"/>
        <v>n.a.</v>
      </c>
      <c r="E649" s="525" t="str">
        <f t="shared" si="147"/>
        <v>n.a.</v>
      </c>
      <c r="F649" s="525" t="str">
        <f t="shared" si="147"/>
        <v>n.a.</v>
      </c>
      <c r="G649" s="525" t="str">
        <f t="shared" si="147"/>
        <v>n.a.</v>
      </c>
      <c r="H649" s="525" t="str">
        <f t="shared" si="147"/>
        <v>n.a.</v>
      </c>
      <c r="I649" s="525" t="str">
        <f t="shared" si="147"/>
        <v>n.a.</v>
      </c>
      <c r="J649" s="525" t="str">
        <f t="shared" si="147"/>
        <v>n.a.</v>
      </c>
      <c r="K649" s="525" t="str">
        <f t="shared" si="147"/>
        <v>n.a.</v>
      </c>
      <c r="L649" s="525" t="str">
        <f t="shared" si="148"/>
        <v>n.a.</v>
      </c>
      <c r="M649" s="525" t="str">
        <f t="shared" si="148"/>
        <v>n.a.</v>
      </c>
      <c r="N649" s="525" t="str">
        <f t="shared" si="148"/>
        <v>n.a.</v>
      </c>
      <c r="O649" s="525" t="str">
        <f t="shared" si="148"/>
        <v>n.a.</v>
      </c>
      <c r="P649" s="525" t="str">
        <f t="shared" si="148"/>
        <v>n.a.</v>
      </c>
      <c r="Q649" s="525" t="str">
        <f t="shared" si="148"/>
        <v>n.a.</v>
      </c>
      <c r="R649" s="525" t="str">
        <f t="shared" si="148"/>
        <v>n.a.</v>
      </c>
      <c r="S649" s="525" t="str">
        <f t="shared" si="148"/>
        <v>n.a.</v>
      </c>
    </row>
    <row r="650" spans="1:19" s="110" customFormat="1" x14ac:dyDescent="0.25">
      <c r="A650" s="785">
        <v>517</v>
      </c>
      <c r="B650" s="525" t="str">
        <f t="shared" si="147"/>
        <v>n.a.</v>
      </c>
      <c r="C650" s="525" t="str">
        <f t="shared" si="147"/>
        <v>n.a.</v>
      </c>
      <c r="D650" s="525" t="str">
        <f t="shared" si="147"/>
        <v>n.a.</v>
      </c>
      <c r="E650" s="525" t="str">
        <f t="shared" si="147"/>
        <v>n.a.</v>
      </c>
      <c r="F650" s="525" t="str">
        <f t="shared" si="147"/>
        <v>n.a.</v>
      </c>
      <c r="G650" s="525" t="str">
        <f t="shared" si="147"/>
        <v>n.a.</v>
      </c>
      <c r="H650" s="525" t="str">
        <f t="shared" si="147"/>
        <v>n.a.</v>
      </c>
      <c r="I650" s="525" t="str">
        <f t="shared" si="147"/>
        <v>n.a.</v>
      </c>
      <c r="J650" s="525" t="str">
        <f t="shared" si="147"/>
        <v>n.a.</v>
      </c>
      <c r="K650" s="525" t="str">
        <f t="shared" si="147"/>
        <v>n.a.</v>
      </c>
      <c r="L650" s="525" t="str">
        <f t="shared" si="148"/>
        <v>n.a.</v>
      </c>
      <c r="M650" s="525" t="str">
        <f t="shared" si="148"/>
        <v>n.a.</v>
      </c>
      <c r="N650" s="525" t="str">
        <f t="shared" si="148"/>
        <v>n.a.</v>
      </c>
      <c r="O650" s="525" t="str">
        <f t="shared" si="148"/>
        <v>n.a.</v>
      </c>
      <c r="P650" s="525" t="str">
        <f t="shared" si="148"/>
        <v>n.a.</v>
      </c>
      <c r="Q650" s="525" t="str">
        <f t="shared" si="148"/>
        <v>n.a.</v>
      </c>
      <c r="R650" s="525" t="str">
        <f t="shared" si="148"/>
        <v>n.a.</v>
      </c>
      <c r="S650" s="525" t="str">
        <f t="shared" si="148"/>
        <v>n.a.</v>
      </c>
    </row>
    <row r="651" spans="1:19" s="110" customFormat="1" x14ac:dyDescent="0.25">
      <c r="A651" s="785">
        <v>518</v>
      </c>
      <c r="B651" s="525" t="str">
        <f t="shared" si="147"/>
        <v>n.a.</v>
      </c>
      <c r="C651" s="525" t="str">
        <f t="shared" si="147"/>
        <v>n.a.</v>
      </c>
      <c r="D651" s="525" t="str">
        <f t="shared" si="147"/>
        <v>n.a.</v>
      </c>
      <c r="E651" s="525" t="str">
        <f t="shared" si="147"/>
        <v>n.a.</v>
      </c>
      <c r="F651" s="525" t="str">
        <f t="shared" si="147"/>
        <v>n.a.</v>
      </c>
      <c r="G651" s="525" t="str">
        <f t="shared" si="147"/>
        <v>n.a.</v>
      </c>
      <c r="H651" s="525" t="str">
        <f t="shared" si="147"/>
        <v>n.a.</v>
      </c>
      <c r="I651" s="525" t="str">
        <f t="shared" si="147"/>
        <v>n.a.</v>
      </c>
      <c r="J651" s="525" t="str">
        <f t="shared" si="147"/>
        <v>n.a.</v>
      </c>
      <c r="K651" s="525" t="str">
        <f t="shared" si="147"/>
        <v>n.a.</v>
      </c>
      <c r="L651" s="525" t="str">
        <f t="shared" si="148"/>
        <v>n.a.</v>
      </c>
      <c r="M651" s="525" t="str">
        <f t="shared" si="148"/>
        <v>n.a.</v>
      </c>
      <c r="N651" s="525" t="str">
        <f t="shared" si="148"/>
        <v>n.a.</v>
      </c>
      <c r="O651" s="525" t="str">
        <f t="shared" si="148"/>
        <v>n.a.</v>
      </c>
      <c r="P651" s="525" t="str">
        <f t="shared" si="148"/>
        <v>n.a.</v>
      </c>
      <c r="Q651" s="525" t="str">
        <f t="shared" si="148"/>
        <v>n.a.</v>
      </c>
      <c r="R651" s="525" t="str">
        <f t="shared" si="148"/>
        <v>n.a.</v>
      </c>
      <c r="S651" s="525" t="str">
        <f t="shared" si="148"/>
        <v>n.a.</v>
      </c>
    </row>
    <row r="652" spans="1:19" s="110" customFormat="1" x14ac:dyDescent="0.25">
      <c r="A652" s="785">
        <v>519</v>
      </c>
      <c r="B652" s="525" t="str">
        <f t="shared" si="147"/>
        <v>n.a.</v>
      </c>
      <c r="C652" s="525" t="str">
        <f t="shared" si="147"/>
        <v>n.a.</v>
      </c>
      <c r="D652" s="525" t="str">
        <f t="shared" si="147"/>
        <v>n.a.</v>
      </c>
      <c r="E652" s="525" t="str">
        <f t="shared" si="147"/>
        <v>n.a.</v>
      </c>
      <c r="F652" s="525" t="str">
        <f t="shared" si="147"/>
        <v>n.a.</v>
      </c>
      <c r="G652" s="525" t="str">
        <f t="shared" si="147"/>
        <v>n.a.</v>
      </c>
      <c r="H652" s="525" t="str">
        <f t="shared" si="147"/>
        <v>n.a.</v>
      </c>
      <c r="I652" s="525" t="str">
        <f t="shared" si="147"/>
        <v>n.a.</v>
      </c>
      <c r="J652" s="525" t="str">
        <f t="shared" si="147"/>
        <v>n.a.</v>
      </c>
      <c r="K652" s="525" t="str">
        <f t="shared" si="147"/>
        <v>n.a.</v>
      </c>
      <c r="L652" s="525" t="str">
        <f t="shared" si="148"/>
        <v>n.a.</v>
      </c>
      <c r="M652" s="525" t="str">
        <f t="shared" si="148"/>
        <v>n.a.</v>
      </c>
      <c r="N652" s="525" t="str">
        <f t="shared" si="148"/>
        <v>n.a.</v>
      </c>
      <c r="O652" s="525" t="str">
        <f t="shared" si="148"/>
        <v>n.a.</v>
      </c>
      <c r="P652" s="525" t="str">
        <f t="shared" si="148"/>
        <v>n.a.</v>
      </c>
      <c r="Q652" s="525" t="str">
        <f t="shared" si="148"/>
        <v>n.a.</v>
      </c>
      <c r="R652" s="525" t="str">
        <f t="shared" si="148"/>
        <v>n.a.</v>
      </c>
      <c r="S652" s="525" t="str">
        <f t="shared" si="148"/>
        <v>n.a.</v>
      </c>
    </row>
    <row r="653" spans="1:19" s="110" customFormat="1" x14ac:dyDescent="0.25">
      <c r="A653" s="785">
        <v>520</v>
      </c>
      <c r="B653" s="525" t="str">
        <f t="shared" si="147"/>
        <v>n.a.</v>
      </c>
      <c r="C653" s="525" t="str">
        <f t="shared" si="147"/>
        <v>n.a.</v>
      </c>
      <c r="D653" s="525" t="str">
        <f t="shared" si="147"/>
        <v>n.a.</v>
      </c>
      <c r="E653" s="525" t="str">
        <f t="shared" si="147"/>
        <v>n.a.</v>
      </c>
      <c r="F653" s="525" t="str">
        <f t="shared" si="147"/>
        <v>n.a.</v>
      </c>
      <c r="G653" s="525" t="str">
        <f t="shared" si="147"/>
        <v>n.a.</v>
      </c>
      <c r="H653" s="525" t="str">
        <f t="shared" si="147"/>
        <v>n.a.</v>
      </c>
      <c r="I653" s="525" t="str">
        <f t="shared" si="147"/>
        <v>n.a.</v>
      </c>
      <c r="J653" s="525" t="str">
        <f t="shared" si="147"/>
        <v>n.a.</v>
      </c>
      <c r="K653" s="525" t="str">
        <f t="shared" si="147"/>
        <v>n.a.</v>
      </c>
      <c r="L653" s="525" t="str">
        <f t="shared" si="148"/>
        <v>n.a.</v>
      </c>
      <c r="M653" s="525" t="str">
        <f t="shared" si="148"/>
        <v>n.a.</v>
      </c>
      <c r="N653" s="525" t="str">
        <f t="shared" si="148"/>
        <v>n.a.</v>
      </c>
      <c r="O653" s="525" t="str">
        <f t="shared" si="148"/>
        <v>n.a.</v>
      </c>
      <c r="P653" s="525" t="str">
        <f t="shared" si="148"/>
        <v>n.a.</v>
      </c>
      <c r="Q653" s="525" t="str">
        <f t="shared" si="148"/>
        <v>n.a.</v>
      </c>
      <c r="R653" s="525" t="str">
        <f t="shared" si="148"/>
        <v>n.a.</v>
      </c>
      <c r="S653" s="525" t="str">
        <f t="shared" si="148"/>
        <v>n.a.</v>
      </c>
    </row>
    <row r="654" spans="1:19" s="110" customFormat="1" x14ac:dyDescent="0.25">
      <c r="A654" s="785">
        <v>521</v>
      </c>
      <c r="B654" s="525" t="str">
        <f t="shared" ref="B654:K663" si="149">IFERROR(INDEX(CNCodes_ListKey,MATCH($A654&amp;"_"&amp;B$132,CNCodes_ListNumbering,0)),CONST_NA)</f>
        <v>n.a.</v>
      </c>
      <c r="C654" s="525" t="str">
        <f t="shared" si="149"/>
        <v>n.a.</v>
      </c>
      <c r="D654" s="525" t="str">
        <f t="shared" si="149"/>
        <v>n.a.</v>
      </c>
      <c r="E654" s="525" t="str">
        <f t="shared" si="149"/>
        <v>n.a.</v>
      </c>
      <c r="F654" s="525" t="str">
        <f t="shared" si="149"/>
        <v>n.a.</v>
      </c>
      <c r="G654" s="525" t="str">
        <f t="shared" si="149"/>
        <v>n.a.</v>
      </c>
      <c r="H654" s="525" t="str">
        <f t="shared" si="149"/>
        <v>n.a.</v>
      </c>
      <c r="I654" s="525" t="str">
        <f t="shared" si="149"/>
        <v>n.a.</v>
      </c>
      <c r="J654" s="525" t="str">
        <f t="shared" si="149"/>
        <v>n.a.</v>
      </c>
      <c r="K654" s="525" t="str">
        <f t="shared" si="149"/>
        <v>n.a.</v>
      </c>
      <c r="L654" s="525" t="str">
        <f t="shared" ref="L654:S663" si="150">IFERROR(INDEX(CNCodes_ListKey,MATCH($A654&amp;"_"&amp;L$132,CNCodes_ListNumbering,0)),CONST_NA)</f>
        <v>n.a.</v>
      </c>
      <c r="M654" s="525" t="str">
        <f t="shared" si="150"/>
        <v>n.a.</v>
      </c>
      <c r="N654" s="525" t="str">
        <f t="shared" si="150"/>
        <v>n.a.</v>
      </c>
      <c r="O654" s="525" t="str">
        <f t="shared" si="150"/>
        <v>n.a.</v>
      </c>
      <c r="P654" s="525" t="str">
        <f t="shared" si="150"/>
        <v>n.a.</v>
      </c>
      <c r="Q654" s="525" t="str">
        <f t="shared" si="150"/>
        <v>n.a.</v>
      </c>
      <c r="R654" s="525" t="str">
        <f t="shared" si="150"/>
        <v>n.a.</v>
      </c>
      <c r="S654" s="525" t="str">
        <f t="shared" si="150"/>
        <v>n.a.</v>
      </c>
    </row>
    <row r="655" spans="1:19" s="110" customFormat="1" x14ac:dyDescent="0.25">
      <c r="A655" s="785">
        <v>522</v>
      </c>
      <c r="B655" s="525" t="str">
        <f t="shared" si="149"/>
        <v>n.a.</v>
      </c>
      <c r="C655" s="525" t="str">
        <f t="shared" si="149"/>
        <v>n.a.</v>
      </c>
      <c r="D655" s="525" t="str">
        <f t="shared" si="149"/>
        <v>n.a.</v>
      </c>
      <c r="E655" s="525" t="str">
        <f t="shared" si="149"/>
        <v>n.a.</v>
      </c>
      <c r="F655" s="525" t="str">
        <f t="shared" si="149"/>
        <v>n.a.</v>
      </c>
      <c r="G655" s="525" t="str">
        <f t="shared" si="149"/>
        <v>n.a.</v>
      </c>
      <c r="H655" s="525" t="str">
        <f t="shared" si="149"/>
        <v>n.a.</v>
      </c>
      <c r="I655" s="525" t="str">
        <f t="shared" si="149"/>
        <v>n.a.</v>
      </c>
      <c r="J655" s="525" t="str">
        <f t="shared" si="149"/>
        <v>n.a.</v>
      </c>
      <c r="K655" s="525" t="str">
        <f t="shared" si="149"/>
        <v>n.a.</v>
      </c>
      <c r="L655" s="525" t="str">
        <f t="shared" si="150"/>
        <v>n.a.</v>
      </c>
      <c r="M655" s="525" t="str">
        <f t="shared" si="150"/>
        <v>n.a.</v>
      </c>
      <c r="N655" s="525" t="str">
        <f t="shared" si="150"/>
        <v>n.a.</v>
      </c>
      <c r="O655" s="525" t="str">
        <f t="shared" si="150"/>
        <v>n.a.</v>
      </c>
      <c r="P655" s="525" t="str">
        <f t="shared" si="150"/>
        <v>n.a.</v>
      </c>
      <c r="Q655" s="525" t="str">
        <f t="shared" si="150"/>
        <v>n.a.</v>
      </c>
      <c r="R655" s="525" t="str">
        <f t="shared" si="150"/>
        <v>n.a.</v>
      </c>
      <c r="S655" s="525" t="str">
        <f t="shared" si="150"/>
        <v>n.a.</v>
      </c>
    </row>
    <row r="656" spans="1:19" s="110" customFormat="1" x14ac:dyDescent="0.25">
      <c r="A656" s="785">
        <v>523</v>
      </c>
      <c r="B656" s="525" t="str">
        <f t="shared" si="149"/>
        <v>n.a.</v>
      </c>
      <c r="C656" s="525" t="str">
        <f t="shared" si="149"/>
        <v>n.a.</v>
      </c>
      <c r="D656" s="525" t="str">
        <f t="shared" si="149"/>
        <v>n.a.</v>
      </c>
      <c r="E656" s="525" t="str">
        <f t="shared" si="149"/>
        <v>n.a.</v>
      </c>
      <c r="F656" s="525" t="str">
        <f t="shared" si="149"/>
        <v>n.a.</v>
      </c>
      <c r="G656" s="525" t="str">
        <f t="shared" si="149"/>
        <v>n.a.</v>
      </c>
      <c r="H656" s="525" t="str">
        <f t="shared" si="149"/>
        <v>n.a.</v>
      </c>
      <c r="I656" s="525" t="str">
        <f t="shared" si="149"/>
        <v>n.a.</v>
      </c>
      <c r="J656" s="525" t="str">
        <f t="shared" si="149"/>
        <v>n.a.</v>
      </c>
      <c r="K656" s="525" t="str">
        <f t="shared" si="149"/>
        <v>n.a.</v>
      </c>
      <c r="L656" s="525" t="str">
        <f t="shared" si="150"/>
        <v>n.a.</v>
      </c>
      <c r="M656" s="525" t="str">
        <f t="shared" si="150"/>
        <v>n.a.</v>
      </c>
      <c r="N656" s="525" t="str">
        <f t="shared" si="150"/>
        <v>n.a.</v>
      </c>
      <c r="O656" s="525" t="str">
        <f t="shared" si="150"/>
        <v>n.a.</v>
      </c>
      <c r="P656" s="525" t="str">
        <f t="shared" si="150"/>
        <v>n.a.</v>
      </c>
      <c r="Q656" s="525" t="str">
        <f t="shared" si="150"/>
        <v>n.a.</v>
      </c>
      <c r="R656" s="525" t="str">
        <f t="shared" si="150"/>
        <v>n.a.</v>
      </c>
      <c r="S656" s="525" t="str">
        <f t="shared" si="150"/>
        <v>n.a.</v>
      </c>
    </row>
    <row r="657" spans="1:19" s="110" customFormat="1" x14ac:dyDescent="0.25">
      <c r="A657" s="785">
        <v>524</v>
      </c>
      <c r="B657" s="525" t="str">
        <f t="shared" si="149"/>
        <v>n.a.</v>
      </c>
      <c r="C657" s="525" t="str">
        <f t="shared" si="149"/>
        <v>n.a.</v>
      </c>
      <c r="D657" s="525" t="str">
        <f t="shared" si="149"/>
        <v>n.a.</v>
      </c>
      <c r="E657" s="525" t="str">
        <f t="shared" si="149"/>
        <v>n.a.</v>
      </c>
      <c r="F657" s="525" t="str">
        <f t="shared" si="149"/>
        <v>n.a.</v>
      </c>
      <c r="G657" s="525" t="str">
        <f t="shared" si="149"/>
        <v>n.a.</v>
      </c>
      <c r="H657" s="525" t="str">
        <f t="shared" si="149"/>
        <v>n.a.</v>
      </c>
      <c r="I657" s="525" t="str">
        <f t="shared" si="149"/>
        <v>n.a.</v>
      </c>
      <c r="J657" s="525" t="str">
        <f t="shared" si="149"/>
        <v>n.a.</v>
      </c>
      <c r="K657" s="525" t="str">
        <f t="shared" si="149"/>
        <v>n.a.</v>
      </c>
      <c r="L657" s="525" t="str">
        <f t="shared" si="150"/>
        <v>n.a.</v>
      </c>
      <c r="M657" s="525" t="str">
        <f t="shared" si="150"/>
        <v>n.a.</v>
      </c>
      <c r="N657" s="525" t="str">
        <f t="shared" si="150"/>
        <v>n.a.</v>
      </c>
      <c r="O657" s="525" t="str">
        <f t="shared" si="150"/>
        <v>n.a.</v>
      </c>
      <c r="P657" s="525" t="str">
        <f t="shared" si="150"/>
        <v>n.a.</v>
      </c>
      <c r="Q657" s="525" t="str">
        <f t="shared" si="150"/>
        <v>n.a.</v>
      </c>
      <c r="R657" s="525" t="str">
        <f t="shared" si="150"/>
        <v>n.a.</v>
      </c>
      <c r="S657" s="525" t="str">
        <f t="shared" si="150"/>
        <v>n.a.</v>
      </c>
    </row>
    <row r="658" spans="1:19" s="110" customFormat="1" x14ac:dyDescent="0.25">
      <c r="A658" s="785">
        <v>525</v>
      </c>
      <c r="B658" s="525" t="str">
        <f t="shared" si="149"/>
        <v>n.a.</v>
      </c>
      <c r="C658" s="525" t="str">
        <f t="shared" si="149"/>
        <v>n.a.</v>
      </c>
      <c r="D658" s="525" t="str">
        <f t="shared" si="149"/>
        <v>n.a.</v>
      </c>
      <c r="E658" s="525" t="str">
        <f t="shared" si="149"/>
        <v>n.a.</v>
      </c>
      <c r="F658" s="525" t="str">
        <f t="shared" si="149"/>
        <v>n.a.</v>
      </c>
      <c r="G658" s="525" t="str">
        <f t="shared" si="149"/>
        <v>n.a.</v>
      </c>
      <c r="H658" s="525" t="str">
        <f t="shared" si="149"/>
        <v>n.a.</v>
      </c>
      <c r="I658" s="525" t="str">
        <f t="shared" si="149"/>
        <v>n.a.</v>
      </c>
      <c r="J658" s="525" t="str">
        <f t="shared" si="149"/>
        <v>n.a.</v>
      </c>
      <c r="K658" s="525" t="str">
        <f t="shared" si="149"/>
        <v>n.a.</v>
      </c>
      <c r="L658" s="525" t="str">
        <f t="shared" si="150"/>
        <v>n.a.</v>
      </c>
      <c r="M658" s="525" t="str">
        <f t="shared" si="150"/>
        <v>n.a.</v>
      </c>
      <c r="N658" s="525" t="str">
        <f t="shared" si="150"/>
        <v>n.a.</v>
      </c>
      <c r="O658" s="525" t="str">
        <f t="shared" si="150"/>
        <v>n.a.</v>
      </c>
      <c r="P658" s="525" t="str">
        <f t="shared" si="150"/>
        <v>n.a.</v>
      </c>
      <c r="Q658" s="525" t="str">
        <f t="shared" si="150"/>
        <v>n.a.</v>
      </c>
      <c r="R658" s="525" t="str">
        <f t="shared" si="150"/>
        <v>n.a.</v>
      </c>
      <c r="S658" s="525" t="str">
        <f t="shared" si="150"/>
        <v>n.a.</v>
      </c>
    </row>
    <row r="659" spans="1:19" s="110" customFormat="1" x14ac:dyDescent="0.25">
      <c r="A659" s="785">
        <v>526</v>
      </c>
      <c r="B659" s="525" t="str">
        <f t="shared" si="149"/>
        <v>n.a.</v>
      </c>
      <c r="C659" s="525" t="str">
        <f t="shared" si="149"/>
        <v>n.a.</v>
      </c>
      <c r="D659" s="525" t="str">
        <f t="shared" si="149"/>
        <v>n.a.</v>
      </c>
      <c r="E659" s="525" t="str">
        <f t="shared" si="149"/>
        <v>n.a.</v>
      </c>
      <c r="F659" s="525" t="str">
        <f t="shared" si="149"/>
        <v>n.a.</v>
      </c>
      <c r="G659" s="525" t="str">
        <f t="shared" si="149"/>
        <v>n.a.</v>
      </c>
      <c r="H659" s="525" t="str">
        <f t="shared" si="149"/>
        <v>n.a.</v>
      </c>
      <c r="I659" s="525" t="str">
        <f t="shared" si="149"/>
        <v>n.a.</v>
      </c>
      <c r="J659" s="525" t="str">
        <f t="shared" si="149"/>
        <v>n.a.</v>
      </c>
      <c r="K659" s="525" t="str">
        <f t="shared" si="149"/>
        <v>n.a.</v>
      </c>
      <c r="L659" s="525" t="str">
        <f t="shared" si="150"/>
        <v>n.a.</v>
      </c>
      <c r="M659" s="525" t="str">
        <f t="shared" si="150"/>
        <v>n.a.</v>
      </c>
      <c r="N659" s="525" t="str">
        <f t="shared" si="150"/>
        <v>n.a.</v>
      </c>
      <c r="O659" s="525" t="str">
        <f t="shared" si="150"/>
        <v>n.a.</v>
      </c>
      <c r="P659" s="525" t="str">
        <f t="shared" si="150"/>
        <v>n.a.</v>
      </c>
      <c r="Q659" s="525" t="str">
        <f t="shared" si="150"/>
        <v>n.a.</v>
      </c>
      <c r="R659" s="525" t="str">
        <f t="shared" si="150"/>
        <v>n.a.</v>
      </c>
      <c r="S659" s="525" t="str">
        <f t="shared" si="150"/>
        <v>n.a.</v>
      </c>
    </row>
    <row r="660" spans="1:19" s="110" customFormat="1" x14ac:dyDescent="0.25">
      <c r="A660" s="785">
        <v>527</v>
      </c>
      <c r="B660" s="525" t="str">
        <f t="shared" si="149"/>
        <v>n.a.</v>
      </c>
      <c r="C660" s="525" t="str">
        <f t="shared" si="149"/>
        <v>n.a.</v>
      </c>
      <c r="D660" s="525" t="str">
        <f t="shared" si="149"/>
        <v>n.a.</v>
      </c>
      <c r="E660" s="525" t="str">
        <f t="shared" si="149"/>
        <v>n.a.</v>
      </c>
      <c r="F660" s="525" t="str">
        <f t="shared" si="149"/>
        <v>n.a.</v>
      </c>
      <c r="G660" s="525" t="str">
        <f t="shared" si="149"/>
        <v>n.a.</v>
      </c>
      <c r="H660" s="525" t="str">
        <f t="shared" si="149"/>
        <v>n.a.</v>
      </c>
      <c r="I660" s="525" t="str">
        <f t="shared" si="149"/>
        <v>n.a.</v>
      </c>
      <c r="J660" s="525" t="str">
        <f t="shared" si="149"/>
        <v>n.a.</v>
      </c>
      <c r="K660" s="525" t="str">
        <f t="shared" si="149"/>
        <v>n.a.</v>
      </c>
      <c r="L660" s="525" t="str">
        <f t="shared" si="150"/>
        <v>n.a.</v>
      </c>
      <c r="M660" s="525" t="str">
        <f t="shared" si="150"/>
        <v>n.a.</v>
      </c>
      <c r="N660" s="525" t="str">
        <f t="shared" si="150"/>
        <v>n.a.</v>
      </c>
      <c r="O660" s="525" t="str">
        <f t="shared" si="150"/>
        <v>n.a.</v>
      </c>
      <c r="P660" s="525" t="str">
        <f t="shared" si="150"/>
        <v>n.a.</v>
      </c>
      <c r="Q660" s="525" t="str">
        <f t="shared" si="150"/>
        <v>n.a.</v>
      </c>
      <c r="R660" s="525" t="str">
        <f t="shared" si="150"/>
        <v>n.a.</v>
      </c>
      <c r="S660" s="525" t="str">
        <f t="shared" si="150"/>
        <v>n.a.</v>
      </c>
    </row>
    <row r="661" spans="1:19" s="110" customFormat="1" x14ac:dyDescent="0.25">
      <c r="A661" s="785">
        <v>528</v>
      </c>
      <c r="B661" s="525" t="str">
        <f t="shared" si="149"/>
        <v>n.a.</v>
      </c>
      <c r="C661" s="525" t="str">
        <f t="shared" si="149"/>
        <v>n.a.</v>
      </c>
      <c r="D661" s="525" t="str">
        <f t="shared" si="149"/>
        <v>n.a.</v>
      </c>
      <c r="E661" s="525" t="str">
        <f t="shared" si="149"/>
        <v>n.a.</v>
      </c>
      <c r="F661" s="525" t="str">
        <f t="shared" si="149"/>
        <v>n.a.</v>
      </c>
      <c r="G661" s="525" t="str">
        <f t="shared" si="149"/>
        <v>n.a.</v>
      </c>
      <c r="H661" s="525" t="str">
        <f t="shared" si="149"/>
        <v>n.a.</v>
      </c>
      <c r="I661" s="525" t="str">
        <f t="shared" si="149"/>
        <v>n.a.</v>
      </c>
      <c r="J661" s="525" t="str">
        <f t="shared" si="149"/>
        <v>n.a.</v>
      </c>
      <c r="K661" s="525" t="str">
        <f t="shared" si="149"/>
        <v>n.a.</v>
      </c>
      <c r="L661" s="525" t="str">
        <f t="shared" si="150"/>
        <v>n.a.</v>
      </c>
      <c r="M661" s="525" t="str">
        <f t="shared" si="150"/>
        <v>n.a.</v>
      </c>
      <c r="N661" s="525" t="str">
        <f t="shared" si="150"/>
        <v>n.a.</v>
      </c>
      <c r="O661" s="525" t="str">
        <f t="shared" si="150"/>
        <v>n.a.</v>
      </c>
      <c r="P661" s="525" t="str">
        <f t="shared" si="150"/>
        <v>n.a.</v>
      </c>
      <c r="Q661" s="525" t="str">
        <f t="shared" si="150"/>
        <v>n.a.</v>
      </c>
      <c r="R661" s="525" t="str">
        <f t="shared" si="150"/>
        <v>n.a.</v>
      </c>
      <c r="S661" s="525" t="str">
        <f t="shared" si="150"/>
        <v>n.a.</v>
      </c>
    </row>
    <row r="662" spans="1:19" s="110" customFormat="1" x14ac:dyDescent="0.25">
      <c r="A662" s="785">
        <v>529</v>
      </c>
      <c r="B662" s="525" t="str">
        <f t="shared" si="149"/>
        <v>n.a.</v>
      </c>
      <c r="C662" s="525" t="str">
        <f t="shared" si="149"/>
        <v>n.a.</v>
      </c>
      <c r="D662" s="525" t="str">
        <f t="shared" si="149"/>
        <v>n.a.</v>
      </c>
      <c r="E662" s="525" t="str">
        <f t="shared" si="149"/>
        <v>n.a.</v>
      </c>
      <c r="F662" s="525" t="str">
        <f t="shared" si="149"/>
        <v>n.a.</v>
      </c>
      <c r="G662" s="525" t="str">
        <f t="shared" si="149"/>
        <v>n.a.</v>
      </c>
      <c r="H662" s="525" t="str">
        <f t="shared" si="149"/>
        <v>n.a.</v>
      </c>
      <c r="I662" s="525" t="str">
        <f t="shared" si="149"/>
        <v>n.a.</v>
      </c>
      <c r="J662" s="525" t="str">
        <f t="shared" si="149"/>
        <v>n.a.</v>
      </c>
      <c r="K662" s="525" t="str">
        <f t="shared" si="149"/>
        <v>n.a.</v>
      </c>
      <c r="L662" s="525" t="str">
        <f t="shared" si="150"/>
        <v>n.a.</v>
      </c>
      <c r="M662" s="525" t="str">
        <f t="shared" si="150"/>
        <v>n.a.</v>
      </c>
      <c r="N662" s="525" t="str">
        <f t="shared" si="150"/>
        <v>n.a.</v>
      </c>
      <c r="O662" s="525" t="str">
        <f t="shared" si="150"/>
        <v>n.a.</v>
      </c>
      <c r="P662" s="525" t="str">
        <f t="shared" si="150"/>
        <v>n.a.</v>
      </c>
      <c r="Q662" s="525" t="str">
        <f t="shared" si="150"/>
        <v>n.a.</v>
      </c>
      <c r="R662" s="525" t="str">
        <f t="shared" si="150"/>
        <v>n.a.</v>
      </c>
      <c r="S662" s="525" t="str">
        <f t="shared" si="150"/>
        <v>n.a.</v>
      </c>
    </row>
    <row r="663" spans="1:19" s="110" customFormat="1" x14ac:dyDescent="0.25">
      <c r="A663" s="785">
        <v>530</v>
      </c>
      <c r="B663" s="525" t="str">
        <f t="shared" si="149"/>
        <v>n.a.</v>
      </c>
      <c r="C663" s="525" t="str">
        <f t="shared" si="149"/>
        <v>n.a.</v>
      </c>
      <c r="D663" s="525" t="str">
        <f t="shared" si="149"/>
        <v>n.a.</v>
      </c>
      <c r="E663" s="525" t="str">
        <f t="shared" si="149"/>
        <v>n.a.</v>
      </c>
      <c r="F663" s="525" t="str">
        <f t="shared" si="149"/>
        <v>n.a.</v>
      </c>
      <c r="G663" s="525" t="str">
        <f t="shared" si="149"/>
        <v>n.a.</v>
      </c>
      <c r="H663" s="525" t="str">
        <f t="shared" si="149"/>
        <v>n.a.</v>
      </c>
      <c r="I663" s="525" t="str">
        <f t="shared" si="149"/>
        <v>n.a.</v>
      </c>
      <c r="J663" s="525" t="str">
        <f t="shared" si="149"/>
        <v>n.a.</v>
      </c>
      <c r="K663" s="525" t="str">
        <f t="shared" si="149"/>
        <v>n.a.</v>
      </c>
      <c r="L663" s="525" t="str">
        <f t="shared" si="150"/>
        <v>n.a.</v>
      </c>
      <c r="M663" s="525" t="str">
        <f t="shared" si="150"/>
        <v>n.a.</v>
      </c>
      <c r="N663" s="525" t="str">
        <f t="shared" si="150"/>
        <v>n.a.</v>
      </c>
      <c r="O663" s="525" t="str">
        <f t="shared" si="150"/>
        <v>n.a.</v>
      </c>
      <c r="P663" s="525" t="str">
        <f t="shared" si="150"/>
        <v>n.a.</v>
      </c>
      <c r="Q663" s="525" t="str">
        <f t="shared" si="150"/>
        <v>n.a.</v>
      </c>
      <c r="R663" s="525" t="str">
        <f t="shared" si="150"/>
        <v>n.a.</v>
      </c>
      <c r="S663" s="525" t="str">
        <f t="shared" si="150"/>
        <v>n.a.</v>
      </c>
    </row>
    <row r="664" spans="1:19" s="110" customFormat="1" x14ac:dyDescent="0.25">
      <c r="A664" s="785">
        <v>531</v>
      </c>
      <c r="B664" s="525" t="str">
        <f t="shared" ref="B664:K673" si="151">IFERROR(INDEX(CNCodes_ListKey,MATCH($A664&amp;"_"&amp;B$132,CNCodes_ListNumbering,0)),CONST_NA)</f>
        <v>n.a.</v>
      </c>
      <c r="C664" s="525" t="str">
        <f t="shared" si="151"/>
        <v>n.a.</v>
      </c>
      <c r="D664" s="525" t="str">
        <f t="shared" si="151"/>
        <v>n.a.</v>
      </c>
      <c r="E664" s="525" t="str">
        <f t="shared" si="151"/>
        <v>n.a.</v>
      </c>
      <c r="F664" s="525" t="str">
        <f t="shared" si="151"/>
        <v>n.a.</v>
      </c>
      <c r="G664" s="525" t="str">
        <f t="shared" si="151"/>
        <v>n.a.</v>
      </c>
      <c r="H664" s="525" t="str">
        <f t="shared" si="151"/>
        <v>n.a.</v>
      </c>
      <c r="I664" s="525" t="str">
        <f t="shared" si="151"/>
        <v>n.a.</v>
      </c>
      <c r="J664" s="525" t="str">
        <f t="shared" si="151"/>
        <v>n.a.</v>
      </c>
      <c r="K664" s="525" t="str">
        <f t="shared" si="151"/>
        <v>n.a.</v>
      </c>
      <c r="L664" s="525" t="str">
        <f t="shared" ref="L664:S673" si="152">IFERROR(INDEX(CNCodes_ListKey,MATCH($A664&amp;"_"&amp;L$132,CNCodes_ListNumbering,0)),CONST_NA)</f>
        <v>n.a.</v>
      </c>
      <c r="M664" s="525" t="str">
        <f t="shared" si="152"/>
        <v>n.a.</v>
      </c>
      <c r="N664" s="525" t="str">
        <f t="shared" si="152"/>
        <v>n.a.</v>
      </c>
      <c r="O664" s="525" t="str">
        <f t="shared" si="152"/>
        <v>n.a.</v>
      </c>
      <c r="P664" s="525" t="str">
        <f t="shared" si="152"/>
        <v>n.a.</v>
      </c>
      <c r="Q664" s="525" t="str">
        <f t="shared" si="152"/>
        <v>n.a.</v>
      </c>
      <c r="R664" s="525" t="str">
        <f t="shared" si="152"/>
        <v>n.a.</v>
      </c>
      <c r="S664" s="525" t="str">
        <f t="shared" si="152"/>
        <v>n.a.</v>
      </c>
    </row>
    <row r="665" spans="1:19" s="110" customFormat="1" x14ac:dyDescent="0.25">
      <c r="A665" s="785">
        <v>532</v>
      </c>
      <c r="B665" s="525" t="str">
        <f t="shared" si="151"/>
        <v>n.a.</v>
      </c>
      <c r="C665" s="525" t="str">
        <f t="shared" si="151"/>
        <v>n.a.</v>
      </c>
      <c r="D665" s="525" t="str">
        <f t="shared" si="151"/>
        <v>n.a.</v>
      </c>
      <c r="E665" s="525" t="str">
        <f t="shared" si="151"/>
        <v>n.a.</v>
      </c>
      <c r="F665" s="525" t="str">
        <f t="shared" si="151"/>
        <v>n.a.</v>
      </c>
      <c r="G665" s="525" t="str">
        <f t="shared" si="151"/>
        <v>n.a.</v>
      </c>
      <c r="H665" s="525" t="str">
        <f t="shared" si="151"/>
        <v>n.a.</v>
      </c>
      <c r="I665" s="525" t="str">
        <f t="shared" si="151"/>
        <v>n.a.</v>
      </c>
      <c r="J665" s="525" t="str">
        <f t="shared" si="151"/>
        <v>n.a.</v>
      </c>
      <c r="K665" s="525" t="str">
        <f t="shared" si="151"/>
        <v>n.a.</v>
      </c>
      <c r="L665" s="525" t="str">
        <f t="shared" si="152"/>
        <v>n.a.</v>
      </c>
      <c r="M665" s="525" t="str">
        <f t="shared" si="152"/>
        <v>n.a.</v>
      </c>
      <c r="N665" s="525" t="str">
        <f t="shared" si="152"/>
        <v>n.a.</v>
      </c>
      <c r="O665" s="525" t="str">
        <f t="shared" si="152"/>
        <v>n.a.</v>
      </c>
      <c r="P665" s="525" t="str">
        <f t="shared" si="152"/>
        <v>n.a.</v>
      </c>
      <c r="Q665" s="525" t="str">
        <f t="shared" si="152"/>
        <v>n.a.</v>
      </c>
      <c r="R665" s="525" t="str">
        <f t="shared" si="152"/>
        <v>n.a.</v>
      </c>
      <c r="S665" s="525" t="str">
        <f t="shared" si="152"/>
        <v>n.a.</v>
      </c>
    </row>
    <row r="666" spans="1:19" s="110" customFormat="1" x14ac:dyDescent="0.25">
      <c r="A666" s="785">
        <v>533</v>
      </c>
      <c r="B666" s="525" t="str">
        <f t="shared" si="151"/>
        <v>n.a.</v>
      </c>
      <c r="C666" s="525" t="str">
        <f t="shared" si="151"/>
        <v>n.a.</v>
      </c>
      <c r="D666" s="525" t="str">
        <f t="shared" si="151"/>
        <v>n.a.</v>
      </c>
      <c r="E666" s="525" t="str">
        <f t="shared" si="151"/>
        <v>n.a.</v>
      </c>
      <c r="F666" s="525" t="str">
        <f t="shared" si="151"/>
        <v>n.a.</v>
      </c>
      <c r="G666" s="525" t="str">
        <f t="shared" si="151"/>
        <v>n.a.</v>
      </c>
      <c r="H666" s="525" t="str">
        <f t="shared" si="151"/>
        <v>n.a.</v>
      </c>
      <c r="I666" s="525" t="str">
        <f t="shared" si="151"/>
        <v>n.a.</v>
      </c>
      <c r="J666" s="525" t="str">
        <f t="shared" si="151"/>
        <v>n.a.</v>
      </c>
      <c r="K666" s="525" t="str">
        <f t="shared" si="151"/>
        <v>n.a.</v>
      </c>
      <c r="L666" s="525" t="str">
        <f t="shared" si="152"/>
        <v>n.a.</v>
      </c>
      <c r="M666" s="525" t="str">
        <f t="shared" si="152"/>
        <v>n.a.</v>
      </c>
      <c r="N666" s="525" t="str">
        <f t="shared" si="152"/>
        <v>n.a.</v>
      </c>
      <c r="O666" s="525" t="str">
        <f t="shared" si="152"/>
        <v>n.a.</v>
      </c>
      <c r="P666" s="525" t="str">
        <f t="shared" si="152"/>
        <v>n.a.</v>
      </c>
      <c r="Q666" s="525" t="str">
        <f t="shared" si="152"/>
        <v>n.a.</v>
      </c>
      <c r="R666" s="525" t="str">
        <f t="shared" si="152"/>
        <v>n.a.</v>
      </c>
      <c r="S666" s="525" t="str">
        <f t="shared" si="152"/>
        <v>n.a.</v>
      </c>
    </row>
    <row r="667" spans="1:19" s="110" customFormat="1" x14ac:dyDescent="0.25">
      <c r="A667" s="785">
        <v>534</v>
      </c>
      <c r="B667" s="525" t="str">
        <f t="shared" si="151"/>
        <v>n.a.</v>
      </c>
      <c r="C667" s="525" t="str">
        <f t="shared" si="151"/>
        <v>n.a.</v>
      </c>
      <c r="D667" s="525" t="str">
        <f t="shared" si="151"/>
        <v>n.a.</v>
      </c>
      <c r="E667" s="525" t="str">
        <f t="shared" si="151"/>
        <v>n.a.</v>
      </c>
      <c r="F667" s="525" t="str">
        <f t="shared" si="151"/>
        <v>n.a.</v>
      </c>
      <c r="G667" s="525" t="str">
        <f t="shared" si="151"/>
        <v>n.a.</v>
      </c>
      <c r="H667" s="525" t="str">
        <f t="shared" si="151"/>
        <v>n.a.</v>
      </c>
      <c r="I667" s="525" t="str">
        <f t="shared" si="151"/>
        <v>n.a.</v>
      </c>
      <c r="J667" s="525" t="str">
        <f t="shared" si="151"/>
        <v>n.a.</v>
      </c>
      <c r="K667" s="525" t="str">
        <f t="shared" si="151"/>
        <v>n.a.</v>
      </c>
      <c r="L667" s="525" t="str">
        <f t="shared" si="152"/>
        <v>n.a.</v>
      </c>
      <c r="M667" s="525" t="str">
        <f t="shared" si="152"/>
        <v>n.a.</v>
      </c>
      <c r="N667" s="525" t="str">
        <f t="shared" si="152"/>
        <v>n.a.</v>
      </c>
      <c r="O667" s="525" t="str">
        <f t="shared" si="152"/>
        <v>n.a.</v>
      </c>
      <c r="P667" s="525" t="str">
        <f t="shared" si="152"/>
        <v>n.a.</v>
      </c>
      <c r="Q667" s="525" t="str">
        <f t="shared" si="152"/>
        <v>n.a.</v>
      </c>
      <c r="R667" s="525" t="str">
        <f t="shared" si="152"/>
        <v>n.a.</v>
      </c>
      <c r="S667" s="525" t="str">
        <f t="shared" si="152"/>
        <v>n.a.</v>
      </c>
    </row>
    <row r="668" spans="1:19" s="110" customFormat="1" x14ac:dyDescent="0.25">
      <c r="A668" s="785">
        <v>535</v>
      </c>
      <c r="B668" s="525" t="str">
        <f t="shared" si="151"/>
        <v>n.a.</v>
      </c>
      <c r="C668" s="525" t="str">
        <f t="shared" si="151"/>
        <v>n.a.</v>
      </c>
      <c r="D668" s="525" t="str">
        <f t="shared" si="151"/>
        <v>n.a.</v>
      </c>
      <c r="E668" s="525" t="str">
        <f t="shared" si="151"/>
        <v>n.a.</v>
      </c>
      <c r="F668" s="525" t="str">
        <f t="shared" si="151"/>
        <v>n.a.</v>
      </c>
      <c r="G668" s="525" t="str">
        <f t="shared" si="151"/>
        <v>n.a.</v>
      </c>
      <c r="H668" s="525" t="str">
        <f t="shared" si="151"/>
        <v>n.a.</v>
      </c>
      <c r="I668" s="525" t="str">
        <f t="shared" si="151"/>
        <v>n.a.</v>
      </c>
      <c r="J668" s="525" t="str">
        <f t="shared" si="151"/>
        <v>n.a.</v>
      </c>
      <c r="K668" s="525" t="str">
        <f t="shared" si="151"/>
        <v>n.a.</v>
      </c>
      <c r="L668" s="525" t="str">
        <f t="shared" si="152"/>
        <v>n.a.</v>
      </c>
      <c r="M668" s="525" t="str">
        <f t="shared" si="152"/>
        <v>n.a.</v>
      </c>
      <c r="N668" s="525" t="str">
        <f t="shared" si="152"/>
        <v>n.a.</v>
      </c>
      <c r="O668" s="525" t="str">
        <f t="shared" si="152"/>
        <v>n.a.</v>
      </c>
      <c r="P668" s="525" t="str">
        <f t="shared" si="152"/>
        <v>n.a.</v>
      </c>
      <c r="Q668" s="525" t="str">
        <f t="shared" si="152"/>
        <v>n.a.</v>
      </c>
      <c r="R668" s="525" t="str">
        <f t="shared" si="152"/>
        <v>n.a.</v>
      </c>
      <c r="S668" s="525" t="str">
        <f t="shared" si="152"/>
        <v>n.a.</v>
      </c>
    </row>
    <row r="669" spans="1:19" s="110" customFormat="1" x14ac:dyDescent="0.25">
      <c r="A669" s="785">
        <v>536</v>
      </c>
      <c r="B669" s="525" t="str">
        <f t="shared" si="151"/>
        <v>n.a.</v>
      </c>
      <c r="C669" s="525" t="str">
        <f t="shared" si="151"/>
        <v>n.a.</v>
      </c>
      <c r="D669" s="525" t="str">
        <f t="shared" si="151"/>
        <v>n.a.</v>
      </c>
      <c r="E669" s="525" t="str">
        <f t="shared" si="151"/>
        <v>n.a.</v>
      </c>
      <c r="F669" s="525" t="str">
        <f t="shared" si="151"/>
        <v>n.a.</v>
      </c>
      <c r="G669" s="525" t="str">
        <f t="shared" si="151"/>
        <v>n.a.</v>
      </c>
      <c r="H669" s="525" t="str">
        <f t="shared" si="151"/>
        <v>n.a.</v>
      </c>
      <c r="I669" s="525" t="str">
        <f t="shared" si="151"/>
        <v>n.a.</v>
      </c>
      <c r="J669" s="525" t="str">
        <f t="shared" si="151"/>
        <v>n.a.</v>
      </c>
      <c r="K669" s="525" t="str">
        <f t="shared" si="151"/>
        <v>n.a.</v>
      </c>
      <c r="L669" s="525" t="str">
        <f t="shared" si="152"/>
        <v>n.a.</v>
      </c>
      <c r="M669" s="525" t="str">
        <f t="shared" si="152"/>
        <v>n.a.</v>
      </c>
      <c r="N669" s="525" t="str">
        <f t="shared" si="152"/>
        <v>n.a.</v>
      </c>
      <c r="O669" s="525" t="str">
        <f t="shared" si="152"/>
        <v>n.a.</v>
      </c>
      <c r="P669" s="525" t="str">
        <f t="shared" si="152"/>
        <v>n.a.</v>
      </c>
      <c r="Q669" s="525" t="str">
        <f t="shared" si="152"/>
        <v>n.a.</v>
      </c>
      <c r="R669" s="525" t="str">
        <f t="shared" si="152"/>
        <v>n.a.</v>
      </c>
      <c r="S669" s="525" t="str">
        <f t="shared" si="152"/>
        <v>n.a.</v>
      </c>
    </row>
    <row r="670" spans="1:19" s="110" customFormat="1" x14ac:dyDescent="0.25">
      <c r="A670" s="785">
        <v>537</v>
      </c>
      <c r="B670" s="525" t="str">
        <f t="shared" si="151"/>
        <v>n.a.</v>
      </c>
      <c r="C670" s="525" t="str">
        <f t="shared" si="151"/>
        <v>n.a.</v>
      </c>
      <c r="D670" s="525" t="str">
        <f t="shared" si="151"/>
        <v>n.a.</v>
      </c>
      <c r="E670" s="525" t="str">
        <f t="shared" si="151"/>
        <v>n.a.</v>
      </c>
      <c r="F670" s="525" t="str">
        <f t="shared" si="151"/>
        <v>n.a.</v>
      </c>
      <c r="G670" s="525" t="str">
        <f t="shared" si="151"/>
        <v>n.a.</v>
      </c>
      <c r="H670" s="525" t="str">
        <f t="shared" si="151"/>
        <v>n.a.</v>
      </c>
      <c r="I670" s="525" t="str">
        <f t="shared" si="151"/>
        <v>n.a.</v>
      </c>
      <c r="J670" s="525" t="str">
        <f t="shared" si="151"/>
        <v>n.a.</v>
      </c>
      <c r="K670" s="525" t="str">
        <f t="shared" si="151"/>
        <v>n.a.</v>
      </c>
      <c r="L670" s="525" t="str">
        <f t="shared" si="152"/>
        <v>n.a.</v>
      </c>
      <c r="M670" s="525" t="str">
        <f t="shared" si="152"/>
        <v>n.a.</v>
      </c>
      <c r="N670" s="525" t="str">
        <f t="shared" si="152"/>
        <v>n.a.</v>
      </c>
      <c r="O670" s="525" t="str">
        <f t="shared" si="152"/>
        <v>n.a.</v>
      </c>
      <c r="P670" s="525" t="str">
        <f t="shared" si="152"/>
        <v>n.a.</v>
      </c>
      <c r="Q670" s="525" t="str">
        <f t="shared" si="152"/>
        <v>n.a.</v>
      </c>
      <c r="R670" s="525" t="str">
        <f t="shared" si="152"/>
        <v>n.a.</v>
      </c>
      <c r="S670" s="525" t="str">
        <f t="shared" si="152"/>
        <v>n.a.</v>
      </c>
    </row>
    <row r="671" spans="1:19" s="110" customFormat="1" x14ac:dyDescent="0.25">
      <c r="A671" s="785">
        <v>538</v>
      </c>
      <c r="B671" s="525" t="str">
        <f t="shared" si="151"/>
        <v>n.a.</v>
      </c>
      <c r="C671" s="525" t="str">
        <f t="shared" si="151"/>
        <v>n.a.</v>
      </c>
      <c r="D671" s="525" t="str">
        <f t="shared" si="151"/>
        <v>n.a.</v>
      </c>
      <c r="E671" s="525" t="str">
        <f t="shared" si="151"/>
        <v>n.a.</v>
      </c>
      <c r="F671" s="525" t="str">
        <f t="shared" si="151"/>
        <v>n.a.</v>
      </c>
      <c r="G671" s="525" t="str">
        <f t="shared" si="151"/>
        <v>n.a.</v>
      </c>
      <c r="H671" s="525" t="str">
        <f t="shared" si="151"/>
        <v>n.a.</v>
      </c>
      <c r="I671" s="525" t="str">
        <f t="shared" si="151"/>
        <v>n.a.</v>
      </c>
      <c r="J671" s="525" t="str">
        <f t="shared" si="151"/>
        <v>n.a.</v>
      </c>
      <c r="K671" s="525" t="str">
        <f t="shared" si="151"/>
        <v>n.a.</v>
      </c>
      <c r="L671" s="525" t="str">
        <f t="shared" si="152"/>
        <v>n.a.</v>
      </c>
      <c r="M671" s="525" t="str">
        <f t="shared" si="152"/>
        <v>n.a.</v>
      </c>
      <c r="N671" s="525" t="str">
        <f t="shared" si="152"/>
        <v>n.a.</v>
      </c>
      <c r="O671" s="525" t="str">
        <f t="shared" si="152"/>
        <v>n.a.</v>
      </c>
      <c r="P671" s="525" t="str">
        <f t="shared" si="152"/>
        <v>n.a.</v>
      </c>
      <c r="Q671" s="525" t="str">
        <f t="shared" si="152"/>
        <v>n.a.</v>
      </c>
      <c r="R671" s="525" t="str">
        <f t="shared" si="152"/>
        <v>n.a.</v>
      </c>
      <c r="S671" s="525" t="str">
        <f t="shared" si="152"/>
        <v>n.a.</v>
      </c>
    </row>
    <row r="672" spans="1:19" s="110" customFormat="1" x14ac:dyDescent="0.25">
      <c r="A672" s="785">
        <v>539</v>
      </c>
      <c r="B672" s="525" t="str">
        <f t="shared" si="151"/>
        <v>n.a.</v>
      </c>
      <c r="C672" s="525" t="str">
        <f t="shared" si="151"/>
        <v>n.a.</v>
      </c>
      <c r="D672" s="525" t="str">
        <f t="shared" si="151"/>
        <v>n.a.</v>
      </c>
      <c r="E672" s="525" t="str">
        <f t="shared" si="151"/>
        <v>n.a.</v>
      </c>
      <c r="F672" s="525" t="str">
        <f t="shared" si="151"/>
        <v>n.a.</v>
      </c>
      <c r="G672" s="525" t="str">
        <f t="shared" si="151"/>
        <v>n.a.</v>
      </c>
      <c r="H672" s="525" t="str">
        <f t="shared" si="151"/>
        <v>n.a.</v>
      </c>
      <c r="I672" s="525" t="str">
        <f t="shared" si="151"/>
        <v>n.a.</v>
      </c>
      <c r="J672" s="525" t="str">
        <f t="shared" si="151"/>
        <v>n.a.</v>
      </c>
      <c r="K672" s="525" t="str">
        <f t="shared" si="151"/>
        <v>n.a.</v>
      </c>
      <c r="L672" s="525" t="str">
        <f t="shared" si="152"/>
        <v>n.a.</v>
      </c>
      <c r="M672" s="525" t="str">
        <f t="shared" si="152"/>
        <v>n.a.</v>
      </c>
      <c r="N672" s="525" t="str">
        <f t="shared" si="152"/>
        <v>n.a.</v>
      </c>
      <c r="O672" s="525" t="str">
        <f t="shared" si="152"/>
        <v>n.a.</v>
      </c>
      <c r="P672" s="525" t="str">
        <f t="shared" si="152"/>
        <v>n.a.</v>
      </c>
      <c r="Q672" s="525" t="str">
        <f t="shared" si="152"/>
        <v>n.a.</v>
      </c>
      <c r="R672" s="525" t="str">
        <f t="shared" si="152"/>
        <v>n.a.</v>
      </c>
      <c r="S672" s="525" t="str">
        <f t="shared" si="152"/>
        <v>n.a.</v>
      </c>
    </row>
    <row r="673" spans="1:19" s="110" customFormat="1" x14ac:dyDescent="0.25">
      <c r="A673" s="785">
        <v>540</v>
      </c>
      <c r="B673" s="525" t="str">
        <f t="shared" si="151"/>
        <v>n.a.</v>
      </c>
      <c r="C673" s="525" t="str">
        <f t="shared" si="151"/>
        <v>n.a.</v>
      </c>
      <c r="D673" s="525" t="str">
        <f t="shared" si="151"/>
        <v>n.a.</v>
      </c>
      <c r="E673" s="525" t="str">
        <f t="shared" si="151"/>
        <v>n.a.</v>
      </c>
      <c r="F673" s="525" t="str">
        <f t="shared" si="151"/>
        <v>n.a.</v>
      </c>
      <c r="G673" s="525" t="str">
        <f t="shared" si="151"/>
        <v>n.a.</v>
      </c>
      <c r="H673" s="525" t="str">
        <f t="shared" si="151"/>
        <v>n.a.</v>
      </c>
      <c r="I673" s="525" t="str">
        <f t="shared" si="151"/>
        <v>n.a.</v>
      </c>
      <c r="J673" s="525" t="str">
        <f t="shared" si="151"/>
        <v>n.a.</v>
      </c>
      <c r="K673" s="525" t="str">
        <f t="shared" si="151"/>
        <v>n.a.</v>
      </c>
      <c r="L673" s="525" t="str">
        <f t="shared" si="152"/>
        <v>n.a.</v>
      </c>
      <c r="M673" s="525" t="str">
        <f t="shared" si="152"/>
        <v>n.a.</v>
      </c>
      <c r="N673" s="525" t="str">
        <f t="shared" si="152"/>
        <v>n.a.</v>
      </c>
      <c r="O673" s="525" t="str">
        <f t="shared" si="152"/>
        <v>n.a.</v>
      </c>
      <c r="P673" s="525" t="str">
        <f t="shared" si="152"/>
        <v>n.a.</v>
      </c>
      <c r="Q673" s="525" t="str">
        <f t="shared" si="152"/>
        <v>n.a.</v>
      </c>
      <c r="R673" s="525" t="str">
        <f t="shared" si="152"/>
        <v>n.a.</v>
      </c>
      <c r="S673" s="525" t="str">
        <f t="shared" si="152"/>
        <v>n.a.</v>
      </c>
    </row>
    <row r="674" spans="1:19" s="110" customFormat="1" x14ac:dyDescent="0.25">
      <c r="A674" s="785">
        <v>541</v>
      </c>
      <c r="B674" s="525" t="str">
        <f t="shared" ref="B674:K683" si="153">IFERROR(INDEX(CNCodes_ListKey,MATCH($A674&amp;"_"&amp;B$132,CNCodes_ListNumbering,0)),CONST_NA)</f>
        <v>n.a.</v>
      </c>
      <c r="C674" s="525" t="str">
        <f t="shared" si="153"/>
        <v>n.a.</v>
      </c>
      <c r="D674" s="525" t="str">
        <f t="shared" si="153"/>
        <v>n.a.</v>
      </c>
      <c r="E674" s="525" t="str">
        <f t="shared" si="153"/>
        <v>n.a.</v>
      </c>
      <c r="F674" s="525" t="str">
        <f t="shared" si="153"/>
        <v>n.a.</v>
      </c>
      <c r="G674" s="525" t="str">
        <f t="shared" si="153"/>
        <v>n.a.</v>
      </c>
      <c r="H674" s="525" t="str">
        <f t="shared" si="153"/>
        <v>n.a.</v>
      </c>
      <c r="I674" s="525" t="str">
        <f t="shared" si="153"/>
        <v>n.a.</v>
      </c>
      <c r="J674" s="525" t="str">
        <f t="shared" si="153"/>
        <v>n.a.</v>
      </c>
      <c r="K674" s="525" t="str">
        <f t="shared" si="153"/>
        <v>n.a.</v>
      </c>
      <c r="L674" s="525" t="str">
        <f t="shared" ref="L674:S683" si="154">IFERROR(INDEX(CNCodes_ListKey,MATCH($A674&amp;"_"&amp;L$132,CNCodes_ListNumbering,0)),CONST_NA)</f>
        <v>n.a.</v>
      </c>
      <c r="M674" s="525" t="str">
        <f t="shared" si="154"/>
        <v>n.a.</v>
      </c>
      <c r="N674" s="525" t="str">
        <f t="shared" si="154"/>
        <v>n.a.</v>
      </c>
      <c r="O674" s="525" t="str">
        <f t="shared" si="154"/>
        <v>n.a.</v>
      </c>
      <c r="P674" s="525" t="str">
        <f t="shared" si="154"/>
        <v>n.a.</v>
      </c>
      <c r="Q674" s="525" t="str">
        <f t="shared" si="154"/>
        <v>n.a.</v>
      </c>
      <c r="R674" s="525" t="str">
        <f t="shared" si="154"/>
        <v>n.a.</v>
      </c>
      <c r="S674" s="525" t="str">
        <f t="shared" si="154"/>
        <v>n.a.</v>
      </c>
    </row>
    <row r="675" spans="1:19" s="110" customFormat="1" x14ac:dyDescent="0.25">
      <c r="A675" s="785">
        <v>542</v>
      </c>
      <c r="B675" s="525" t="str">
        <f t="shared" si="153"/>
        <v>n.a.</v>
      </c>
      <c r="C675" s="525" t="str">
        <f t="shared" si="153"/>
        <v>n.a.</v>
      </c>
      <c r="D675" s="525" t="str">
        <f t="shared" si="153"/>
        <v>n.a.</v>
      </c>
      <c r="E675" s="525" t="str">
        <f t="shared" si="153"/>
        <v>n.a.</v>
      </c>
      <c r="F675" s="525" t="str">
        <f t="shared" si="153"/>
        <v>n.a.</v>
      </c>
      <c r="G675" s="525" t="str">
        <f t="shared" si="153"/>
        <v>n.a.</v>
      </c>
      <c r="H675" s="525" t="str">
        <f t="shared" si="153"/>
        <v>n.a.</v>
      </c>
      <c r="I675" s="525" t="str">
        <f t="shared" si="153"/>
        <v>n.a.</v>
      </c>
      <c r="J675" s="525" t="str">
        <f t="shared" si="153"/>
        <v>n.a.</v>
      </c>
      <c r="K675" s="525" t="str">
        <f t="shared" si="153"/>
        <v>n.a.</v>
      </c>
      <c r="L675" s="525" t="str">
        <f t="shared" si="154"/>
        <v>n.a.</v>
      </c>
      <c r="M675" s="525" t="str">
        <f t="shared" si="154"/>
        <v>n.a.</v>
      </c>
      <c r="N675" s="525" t="str">
        <f t="shared" si="154"/>
        <v>n.a.</v>
      </c>
      <c r="O675" s="525" t="str">
        <f t="shared" si="154"/>
        <v>n.a.</v>
      </c>
      <c r="P675" s="525" t="str">
        <f t="shared" si="154"/>
        <v>n.a.</v>
      </c>
      <c r="Q675" s="525" t="str">
        <f t="shared" si="154"/>
        <v>n.a.</v>
      </c>
      <c r="R675" s="525" t="str">
        <f t="shared" si="154"/>
        <v>n.a.</v>
      </c>
      <c r="S675" s="525" t="str">
        <f t="shared" si="154"/>
        <v>n.a.</v>
      </c>
    </row>
    <row r="676" spans="1:19" s="110" customFormat="1" x14ac:dyDescent="0.25">
      <c r="A676" s="785">
        <v>543</v>
      </c>
      <c r="B676" s="525" t="str">
        <f t="shared" si="153"/>
        <v>n.a.</v>
      </c>
      <c r="C676" s="525" t="str">
        <f t="shared" si="153"/>
        <v>n.a.</v>
      </c>
      <c r="D676" s="525" t="str">
        <f t="shared" si="153"/>
        <v>n.a.</v>
      </c>
      <c r="E676" s="525" t="str">
        <f t="shared" si="153"/>
        <v>n.a.</v>
      </c>
      <c r="F676" s="525" t="str">
        <f t="shared" si="153"/>
        <v>n.a.</v>
      </c>
      <c r="G676" s="525" t="str">
        <f t="shared" si="153"/>
        <v>n.a.</v>
      </c>
      <c r="H676" s="525" t="str">
        <f t="shared" si="153"/>
        <v>n.a.</v>
      </c>
      <c r="I676" s="525" t="str">
        <f t="shared" si="153"/>
        <v>n.a.</v>
      </c>
      <c r="J676" s="525" t="str">
        <f t="shared" si="153"/>
        <v>n.a.</v>
      </c>
      <c r="K676" s="525" t="str">
        <f t="shared" si="153"/>
        <v>n.a.</v>
      </c>
      <c r="L676" s="525" t="str">
        <f t="shared" si="154"/>
        <v>n.a.</v>
      </c>
      <c r="M676" s="525" t="str">
        <f t="shared" si="154"/>
        <v>n.a.</v>
      </c>
      <c r="N676" s="525" t="str">
        <f t="shared" si="154"/>
        <v>n.a.</v>
      </c>
      <c r="O676" s="525" t="str">
        <f t="shared" si="154"/>
        <v>n.a.</v>
      </c>
      <c r="P676" s="525" t="str">
        <f t="shared" si="154"/>
        <v>n.a.</v>
      </c>
      <c r="Q676" s="525" t="str">
        <f t="shared" si="154"/>
        <v>n.a.</v>
      </c>
      <c r="R676" s="525" t="str">
        <f t="shared" si="154"/>
        <v>n.a.</v>
      </c>
      <c r="S676" s="525" t="str">
        <f t="shared" si="154"/>
        <v>n.a.</v>
      </c>
    </row>
    <row r="677" spans="1:19" s="110" customFormat="1" x14ac:dyDescent="0.25">
      <c r="A677" s="785">
        <v>544</v>
      </c>
      <c r="B677" s="525" t="str">
        <f t="shared" si="153"/>
        <v>n.a.</v>
      </c>
      <c r="C677" s="525" t="str">
        <f t="shared" si="153"/>
        <v>n.a.</v>
      </c>
      <c r="D677" s="525" t="str">
        <f t="shared" si="153"/>
        <v>n.a.</v>
      </c>
      <c r="E677" s="525" t="str">
        <f t="shared" si="153"/>
        <v>n.a.</v>
      </c>
      <c r="F677" s="525" t="str">
        <f t="shared" si="153"/>
        <v>n.a.</v>
      </c>
      <c r="G677" s="525" t="str">
        <f t="shared" si="153"/>
        <v>n.a.</v>
      </c>
      <c r="H677" s="525" t="str">
        <f t="shared" si="153"/>
        <v>n.a.</v>
      </c>
      <c r="I677" s="525" t="str">
        <f t="shared" si="153"/>
        <v>n.a.</v>
      </c>
      <c r="J677" s="525" t="str">
        <f t="shared" si="153"/>
        <v>n.a.</v>
      </c>
      <c r="K677" s="525" t="str">
        <f t="shared" si="153"/>
        <v>n.a.</v>
      </c>
      <c r="L677" s="525" t="str">
        <f t="shared" si="154"/>
        <v>n.a.</v>
      </c>
      <c r="M677" s="525" t="str">
        <f t="shared" si="154"/>
        <v>n.a.</v>
      </c>
      <c r="N677" s="525" t="str">
        <f t="shared" si="154"/>
        <v>n.a.</v>
      </c>
      <c r="O677" s="525" t="str">
        <f t="shared" si="154"/>
        <v>n.a.</v>
      </c>
      <c r="P677" s="525" t="str">
        <f t="shared" si="154"/>
        <v>n.a.</v>
      </c>
      <c r="Q677" s="525" t="str">
        <f t="shared" si="154"/>
        <v>n.a.</v>
      </c>
      <c r="R677" s="525" t="str">
        <f t="shared" si="154"/>
        <v>n.a.</v>
      </c>
      <c r="S677" s="525" t="str">
        <f t="shared" si="154"/>
        <v>n.a.</v>
      </c>
    </row>
    <row r="678" spans="1:19" s="110" customFormat="1" x14ac:dyDescent="0.25">
      <c r="A678" s="785">
        <v>545</v>
      </c>
      <c r="B678" s="525" t="str">
        <f t="shared" si="153"/>
        <v>n.a.</v>
      </c>
      <c r="C678" s="525" t="str">
        <f t="shared" si="153"/>
        <v>n.a.</v>
      </c>
      <c r="D678" s="525" t="str">
        <f t="shared" si="153"/>
        <v>n.a.</v>
      </c>
      <c r="E678" s="525" t="str">
        <f t="shared" si="153"/>
        <v>n.a.</v>
      </c>
      <c r="F678" s="525" t="str">
        <f t="shared" si="153"/>
        <v>n.a.</v>
      </c>
      <c r="G678" s="525" t="str">
        <f t="shared" si="153"/>
        <v>n.a.</v>
      </c>
      <c r="H678" s="525" t="str">
        <f t="shared" si="153"/>
        <v>n.a.</v>
      </c>
      <c r="I678" s="525" t="str">
        <f t="shared" si="153"/>
        <v>n.a.</v>
      </c>
      <c r="J678" s="525" t="str">
        <f t="shared" si="153"/>
        <v>n.a.</v>
      </c>
      <c r="K678" s="525" t="str">
        <f t="shared" si="153"/>
        <v>n.a.</v>
      </c>
      <c r="L678" s="525" t="str">
        <f t="shared" si="154"/>
        <v>n.a.</v>
      </c>
      <c r="M678" s="525" t="str">
        <f t="shared" si="154"/>
        <v>n.a.</v>
      </c>
      <c r="N678" s="525" t="str">
        <f t="shared" si="154"/>
        <v>n.a.</v>
      </c>
      <c r="O678" s="525" t="str">
        <f t="shared" si="154"/>
        <v>n.a.</v>
      </c>
      <c r="P678" s="525" t="str">
        <f t="shared" si="154"/>
        <v>n.a.</v>
      </c>
      <c r="Q678" s="525" t="str">
        <f t="shared" si="154"/>
        <v>n.a.</v>
      </c>
      <c r="R678" s="525" t="str">
        <f t="shared" si="154"/>
        <v>n.a.</v>
      </c>
      <c r="S678" s="525" t="str">
        <f t="shared" si="154"/>
        <v>n.a.</v>
      </c>
    </row>
    <row r="679" spans="1:19" s="110" customFormat="1" x14ac:dyDescent="0.25">
      <c r="A679" s="785">
        <v>546</v>
      </c>
      <c r="B679" s="525" t="str">
        <f t="shared" si="153"/>
        <v>n.a.</v>
      </c>
      <c r="C679" s="525" t="str">
        <f t="shared" si="153"/>
        <v>n.a.</v>
      </c>
      <c r="D679" s="525" t="str">
        <f t="shared" si="153"/>
        <v>n.a.</v>
      </c>
      <c r="E679" s="525" t="str">
        <f t="shared" si="153"/>
        <v>n.a.</v>
      </c>
      <c r="F679" s="525" t="str">
        <f t="shared" si="153"/>
        <v>n.a.</v>
      </c>
      <c r="G679" s="525" t="str">
        <f t="shared" si="153"/>
        <v>n.a.</v>
      </c>
      <c r="H679" s="525" t="str">
        <f t="shared" si="153"/>
        <v>n.a.</v>
      </c>
      <c r="I679" s="525" t="str">
        <f t="shared" si="153"/>
        <v>n.a.</v>
      </c>
      <c r="J679" s="525" t="str">
        <f t="shared" si="153"/>
        <v>n.a.</v>
      </c>
      <c r="K679" s="525" t="str">
        <f t="shared" si="153"/>
        <v>n.a.</v>
      </c>
      <c r="L679" s="525" t="str">
        <f t="shared" si="154"/>
        <v>n.a.</v>
      </c>
      <c r="M679" s="525" t="str">
        <f t="shared" si="154"/>
        <v>n.a.</v>
      </c>
      <c r="N679" s="525" t="str">
        <f t="shared" si="154"/>
        <v>n.a.</v>
      </c>
      <c r="O679" s="525" t="str">
        <f t="shared" si="154"/>
        <v>n.a.</v>
      </c>
      <c r="P679" s="525" t="str">
        <f t="shared" si="154"/>
        <v>n.a.</v>
      </c>
      <c r="Q679" s="525" t="str">
        <f t="shared" si="154"/>
        <v>n.a.</v>
      </c>
      <c r="R679" s="525" t="str">
        <f t="shared" si="154"/>
        <v>n.a.</v>
      </c>
      <c r="S679" s="525" t="str">
        <f t="shared" si="154"/>
        <v>n.a.</v>
      </c>
    </row>
    <row r="680" spans="1:19" s="110" customFormat="1" x14ac:dyDescent="0.25">
      <c r="A680" s="785">
        <v>547</v>
      </c>
      <c r="B680" s="525" t="str">
        <f t="shared" si="153"/>
        <v>n.a.</v>
      </c>
      <c r="C680" s="525" t="str">
        <f t="shared" si="153"/>
        <v>n.a.</v>
      </c>
      <c r="D680" s="525" t="str">
        <f t="shared" si="153"/>
        <v>n.a.</v>
      </c>
      <c r="E680" s="525" t="str">
        <f t="shared" si="153"/>
        <v>n.a.</v>
      </c>
      <c r="F680" s="525" t="str">
        <f t="shared" si="153"/>
        <v>n.a.</v>
      </c>
      <c r="G680" s="525" t="str">
        <f t="shared" si="153"/>
        <v>n.a.</v>
      </c>
      <c r="H680" s="525" t="str">
        <f t="shared" si="153"/>
        <v>n.a.</v>
      </c>
      <c r="I680" s="525" t="str">
        <f t="shared" si="153"/>
        <v>n.a.</v>
      </c>
      <c r="J680" s="525" t="str">
        <f t="shared" si="153"/>
        <v>n.a.</v>
      </c>
      <c r="K680" s="525" t="str">
        <f t="shared" si="153"/>
        <v>n.a.</v>
      </c>
      <c r="L680" s="525" t="str">
        <f t="shared" si="154"/>
        <v>n.a.</v>
      </c>
      <c r="M680" s="525" t="str">
        <f t="shared" si="154"/>
        <v>n.a.</v>
      </c>
      <c r="N680" s="525" t="str">
        <f t="shared" si="154"/>
        <v>n.a.</v>
      </c>
      <c r="O680" s="525" t="str">
        <f t="shared" si="154"/>
        <v>n.a.</v>
      </c>
      <c r="P680" s="525" t="str">
        <f t="shared" si="154"/>
        <v>n.a.</v>
      </c>
      <c r="Q680" s="525" t="str">
        <f t="shared" si="154"/>
        <v>n.a.</v>
      </c>
      <c r="R680" s="525" t="str">
        <f t="shared" si="154"/>
        <v>n.a.</v>
      </c>
      <c r="S680" s="525" t="str">
        <f t="shared" si="154"/>
        <v>n.a.</v>
      </c>
    </row>
    <row r="681" spans="1:19" s="110" customFormat="1" x14ac:dyDescent="0.25">
      <c r="A681" s="785">
        <v>548</v>
      </c>
      <c r="B681" s="525" t="str">
        <f t="shared" si="153"/>
        <v>n.a.</v>
      </c>
      <c r="C681" s="525" t="str">
        <f t="shared" si="153"/>
        <v>n.a.</v>
      </c>
      <c r="D681" s="525" t="str">
        <f t="shared" si="153"/>
        <v>n.a.</v>
      </c>
      <c r="E681" s="525" t="str">
        <f t="shared" si="153"/>
        <v>n.a.</v>
      </c>
      <c r="F681" s="525" t="str">
        <f t="shared" si="153"/>
        <v>n.a.</v>
      </c>
      <c r="G681" s="525" t="str">
        <f t="shared" si="153"/>
        <v>n.a.</v>
      </c>
      <c r="H681" s="525" t="str">
        <f t="shared" si="153"/>
        <v>n.a.</v>
      </c>
      <c r="I681" s="525" t="str">
        <f t="shared" si="153"/>
        <v>n.a.</v>
      </c>
      <c r="J681" s="525" t="str">
        <f t="shared" si="153"/>
        <v>n.a.</v>
      </c>
      <c r="K681" s="525" t="str">
        <f t="shared" si="153"/>
        <v>n.a.</v>
      </c>
      <c r="L681" s="525" t="str">
        <f t="shared" si="154"/>
        <v>n.a.</v>
      </c>
      <c r="M681" s="525" t="str">
        <f t="shared" si="154"/>
        <v>n.a.</v>
      </c>
      <c r="N681" s="525" t="str">
        <f t="shared" si="154"/>
        <v>n.a.</v>
      </c>
      <c r="O681" s="525" t="str">
        <f t="shared" si="154"/>
        <v>n.a.</v>
      </c>
      <c r="P681" s="525" t="str">
        <f t="shared" si="154"/>
        <v>n.a.</v>
      </c>
      <c r="Q681" s="525" t="str">
        <f t="shared" si="154"/>
        <v>n.a.</v>
      </c>
      <c r="R681" s="525" t="str">
        <f t="shared" si="154"/>
        <v>n.a.</v>
      </c>
      <c r="S681" s="525" t="str">
        <f t="shared" si="154"/>
        <v>n.a.</v>
      </c>
    </row>
    <row r="682" spans="1:19" s="110" customFormat="1" x14ac:dyDescent="0.25">
      <c r="A682" s="785">
        <v>549</v>
      </c>
      <c r="B682" s="525" t="str">
        <f t="shared" si="153"/>
        <v>n.a.</v>
      </c>
      <c r="C682" s="525" t="str">
        <f t="shared" si="153"/>
        <v>n.a.</v>
      </c>
      <c r="D682" s="525" t="str">
        <f t="shared" si="153"/>
        <v>n.a.</v>
      </c>
      <c r="E682" s="525" t="str">
        <f t="shared" si="153"/>
        <v>n.a.</v>
      </c>
      <c r="F682" s="525" t="str">
        <f t="shared" si="153"/>
        <v>n.a.</v>
      </c>
      <c r="G682" s="525" t="str">
        <f t="shared" si="153"/>
        <v>n.a.</v>
      </c>
      <c r="H682" s="525" t="str">
        <f t="shared" si="153"/>
        <v>n.a.</v>
      </c>
      <c r="I682" s="525" t="str">
        <f t="shared" si="153"/>
        <v>n.a.</v>
      </c>
      <c r="J682" s="525" t="str">
        <f t="shared" si="153"/>
        <v>n.a.</v>
      </c>
      <c r="K682" s="525" t="str">
        <f t="shared" si="153"/>
        <v>n.a.</v>
      </c>
      <c r="L682" s="525" t="str">
        <f t="shared" si="154"/>
        <v>n.a.</v>
      </c>
      <c r="M682" s="525" t="str">
        <f t="shared" si="154"/>
        <v>n.a.</v>
      </c>
      <c r="N682" s="525" t="str">
        <f t="shared" si="154"/>
        <v>n.a.</v>
      </c>
      <c r="O682" s="525" t="str">
        <f t="shared" si="154"/>
        <v>n.a.</v>
      </c>
      <c r="P682" s="525" t="str">
        <f t="shared" si="154"/>
        <v>n.a.</v>
      </c>
      <c r="Q682" s="525" t="str">
        <f t="shared" si="154"/>
        <v>n.a.</v>
      </c>
      <c r="R682" s="525" t="str">
        <f t="shared" si="154"/>
        <v>n.a.</v>
      </c>
      <c r="S682" s="525" t="str">
        <f t="shared" si="154"/>
        <v>n.a.</v>
      </c>
    </row>
    <row r="683" spans="1:19" s="110" customFormat="1" x14ac:dyDescent="0.25">
      <c r="A683" s="785">
        <v>550</v>
      </c>
      <c r="B683" s="525" t="str">
        <f t="shared" si="153"/>
        <v>n.a.</v>
      </c>
      <c r="C683" s="525" t="str">
        <f t="shared" si="153"/>
        <v>n.a.</v>
      </c>
      <c r="D683" s="525" t="str">
        <f t="shared" si="153"/>
        <v>n.a.</v>
      </c>
      <c r="E683" s="525" t="str">
        <f t="shared" si="153"/>
        <v>n.a.</v>
      </c>
      <c r="F683" s="525" t="str">
        <f t="shared" si="153"/>
        <v>n.a.</v>
      </c>
      <c r="G683" s="525" t="str">
        <f t="shared" si="153"/>
        <v>n.a.</v>
      </c>
      <c r="H683" s="525" t="str">
        <f t="shared" si="153"/>
        <v>n.a.</v>
      </c>
      <c r="I683" s="525" t="str">
        <f t="shared" si="153"/>
        <v>n.a.</v>
      </c>
      <c r="J683" s="525" t="str">
        <f t="shared" si="153"/>
        <v>n.a.</v>
      </c>
      <c r="K683" s="525" t="str">
        <f t="shared" si="153"/>
        <v>n.a.</v>
      </c>
      <c r="L683" s="525" t="str">
        <f t="shared" si="154"/>
        <v>n.a.</v>
      </c>
      <c r="M683" s="525" t="str">
        <f t="shared" si="154"/>
        <v>n.a.</v>
      </c>
      <c r="N683" s="525" t="str">
        <f t="shared" si="154"/>
        <v>n.a.</v>
      </c>
      <c r="O683" s="525" t="str">
        <f t="shared" si="154"/>
        <v>n.a.</v>
      </c>
      <c r="P683" s="525" t="str">
        <f t="shared" si="154"/>
        <v>n.a.</v>
      </c>
      <c r="Q683" s="525" t="str">
        <f t="shared" si="154"/>
        <v>n.a.</v>
      </c>
      <c r="R683" s="525" t="str">
        <f t="shared" si="154"/>
        <v>n.a.</v>
      </c>
      <c r="S683" s="525" t="str">
        <f t="shared" si="154"/>
        <v>n.a.</v>
      </c>
    </row>
    <row r="684" spans="1:19" s="110" customFormat="1" x14ac:dyDescent="0.25">
      <c r="A684" s="785">
        <v>551</v>
      </c>
      <c r="B684" s="525" t="str">
        <f t="shared" ref="B684:K693" si="155">IFERROR(INDEX(CNCodes_ListKey,MATCH($A684&amp;"_"&amp;B$132,CNCodes_ListNumbering,0)),CONST_NA)</f>
        <v>n.a.</v>
      </c>
      <c r="C684" s="525" t="str">
        <f t="shared" si="155"/>
        <v>n.a.</v>
      </c>
      <c r="D684" s="525" t="str">
        <f t="shared" si="155"/>
        <v>n.a.</v>
      </c>
      <c r="E684" s="525" t="str">
        <f t="shared" si="155"/>
        <v>n.a.</v>
      </c>
      <c r="F684" s="525" t="str">
        <f t="shared" si="155"/>
        <v>n.a.</v>
      </c>
      <c r="G684" s="525" t="str">
        <f t="shared" si="155"/>
        <v>n.a.</v>
      </c>
      <c r="H684" s="525" t="str">
        <f t="shared" si="155"/>
        <v>n.a.</v>
      </c>
      <c r="I684" s="525" t="str">
        <f t="shared" si="155"/>
        <v>n.a.</v>
      </c>
      <c r="J684" s="525" t="str">
        <f t="shared" si="155"/>
        <v>n.a.</v>
      </c>
      <c r="K684" s="525" t="str">
        <f t="shared" si="155"/>
        <v>n.a.</v>
      </c>
      <c r="L684" s="525" t="str">
        <f t="shared" ref="L684:S693" si="156">IFERROR(INDEX(CNCodes_ListKey,MATCH($A684&amp;"_"&amp;L$132,CNCodes_ListNumbering,0)),CONST_NA)</f>
        <v>n.a.</v>
      </c>
      <c r="M684" s="525" t="str">
        <f t="shared" si="156"/>
        <v>n.a.</v>
      </c>
      <c r="N684" s="525" t="str">
        <f t="shared" si="156"/>
        <v>n.a.</v>
      </c>
      <c r="O684" s="525" t="str">
        <f t="shared" si="156"/>
        <v>n.a.</v>
      </c>
      <c r="P684" s="525" t="str">
        <f t="shared" si="156"/>
        <v>n.a.</v>
      </c>
      <c r="Q684" s="525" t="str">
        <f t="shared" si="156"/>
        <v>n.a.</v>
      </c>
      <c r="R684" s="525" t="str">
        <f t="shared" si="156"/>
        <v>n.a.</v>
      </c>
      <c r="S684" s="525" t="str">
        <f t="shared" si="156"/>
        <v>n.a.</v>
      </c>
    </row>
    <row r="685" spans="1:19" s="110" customFormat="1" x14ac:dyDescent="0.25">
      <c r="A685" s="785">
        <v>552</v>
      </c>
      <c r="B685" s="525" t="str">
        <f t="shared" si="155"/>
        <v>n.a.</v>
      </c>
      <c r="C685" s="525" t="str">
        <f t="shared" si="155"/>
        <v>n.a.</v>
      </c>
      <c r="D685" s="525" t="str">
        <f t="shared" si="155"/>
        <v>n.a.</v>
      </c>
      <c r="E685" s="525" t="str">
        <f t="shared" si="155"/>
        <v>n.a.</v>
      </c>
      <c r="F685" s="525" t="str">
        <f t="shared" si="155"/>
        <v>n.a.</v>
      </c>
      <c r="G685" s="525" t="str">
        <f t="shared" si="155"/>
        <v>n.a.</v>
      </c>
      <c r="H685" s="525" t="str">
        <f t="shared" si="155"/>
        <v>n.a.</v>
      </c>
      <c r="I685" s="525" t="str">
        <f t="shared" si="155"/>
        <v>n.a.</v>
      </c>
      <c r="J685" s="525" t="str">
        <f t="shared" si="155"/>
        <v>n.a.</v>
      </c>
      <c r="K685" s="525" t="str">
        <f t="shared" si="155"/>
        <v>n.a.</v>
      </c>
      <c r="L685" s="525" t="str">
        <f t="shared" si="156"/>
        <v>n.a.</v>
      </c>
      <c r="M685" s="525" t="str">
        <f t="shared" si="156"/>
        <v>n.a.</v>
      </c>
      <c r="N685" s="525" t="str">
        <f t="shared" si="156"/>
        <v>n.a.</v>
      </c>
      <c r="O685" s="525" t="str">
        <f t="shared" si="156"/>
        <v>n.a.</v>
      </c>
      <c r="P685" s="525" t="str">
        <f t="shared" si="156"/>
        <v>n.a.</v>
      </c>
      <c r="Q685" s="525" t="str">
        <f t="shared" si="156"/>
        <v>n.a.</v>
      </c>
      <c r="R685" s="525" t="str">
        <f t="shared" si="156"/>
        <v>n.a.</v>
      </c>
      <c r="S685" s="525" t="str">
        <f t="shared" si="156"/>
        <v>n.a.</v>
      </c>
    </row>
    <row r="686" spans="1:19" s="110" customFormat="1" x14ac:dyDescent="0.25">
      <c r="A686" s="785">
        <v>553</v>
      </c>
      <c r="B686" s="525" t="str">
        <f t="shared" si="155"/>
        <v>n.a.</v>
      </c>
      <c r="C686" s="525" t="str">
        <f t="shared" si="155"/>
        <v>n.a.</v>
      </c>
      <c r="D686" s="525" t="str">
        <f t="shared" si="155"/>
        <v>n.a.</v>
      </c>
      <c r="E686" s="525" t="str">
        <f t="shared" si="155"/>
        <v>n.a.</v>
      </c>
      <c r="F686" s="525" t="str">
        <f t="shared" si="155"/>
        <v>n.a.</v>
      </c>
      <c r="G686" s="525" t="str">
        <f t="shared" si="155"/>
        <v>n.a.</v>
      </c>
      <c r="H686" s="525" t="str">
        <f t="shared" si="155"/>
        <v>n.a.</v>
      </c>
      <c r="I686" s="525" t="str">
        <f t="shared" si="155"/>
        <v>n.a.</v>
      </c>
      <c r="J686" s="525" t="str">
        <f t="shared" si="155"/>
        <v>n.a.</v>
      </c>
      <c r="K686" s="525" t="str">
        <f t="shared" si="155"/>
        <v>n.a.</v>
      </c>
      <c r="L686" s="525" t="str">
        <f t="shared" si="156"/>
        <v>n.a.</v>
      </c>
      <c r="M686" s="525" t="str">
        <f t="shared" si="156"/>
        <v>n.a.</v>
      </c>
      <c r="N686" s="525" t="str">
        <f t="shared" si="156"/>
        <v>n.a.</v>
      </c>
      <c r="O686" s="525" t="str">
        <f t="shared" si="156"/>
        <v>n.a.</v>
      </c>
      <c r="P686" s="525" t="str">
        <f t="shared" si="156"/>
        <v>n.a.</v>
      </c>
      <c r="Q686" s="525" t="str">
        <f t="shared" si="156"/>
        <v>n.a.</v>
      </c>
      <c r="R686" s="525" t="str">
        <f t="shared" si="156"/>
        <v>n.a.</v>
      </c>
      <c r="S686" s="525" t="str">
        <f t="shared" si="156"/>
        <v>n.a.</v>
      </c>
    </row>
    <row r="687" spans="1:19" s="110" customFormat="1" x14ac:dyDescent="0.25">
      <c r="A687" s="785">
        <v>554</v>
      </c>
      <c r="B687" s="525" t="str">
        <f t="shared" si="155"/>
        <v>n.a.</v>
      </c>
      <c r="C687" s="525" t="str">
        <f t="shared" si="155"/>
        <v>n.a.</v>
      </c>
      <c r="D687" s="525" t="str">
        <f t="shared" si="155"/>
        <v>n.a.</v>
      </c>
      <c r="E687" s="525" t="str">
        <f t="shared" si="155"/>
        <v>n.a.</v>
      </c>
      <c r="F687" s="525" t="str">
        <f t="shared" si="155"/>
        <v>n.a.</v>
      </c>
      <c r="G687" s="525" t="str">
        <f t="shared" si="155"/>
        <v>n.a.</v>
      </c>
      <c r="H687" s="525" t="str">
        <f t="shared" si="155"/>
        <v>n.a.</v>
      </c>
      <c r="I687" s="525" t="str">
        <f t="shared" si="155"/>
        <v>n.a.</v>
      </c>
      <c r="J687" s="525" t="str">
        <f t="shared" si="155"/>
        <v>n.a.</v>
      </c>
      <c r="K687" s="525" t="str">
        <f t="shared" si="155"/>
        <v>n.a.</v>
      </c>
      <c r="L687" s="525" t="str">
        <f t="shared" si="156"/>
        <v>n.a.</v>
      </c>
      <c r="M687" s="525" t="str">
        <f t="shared" si="156"/>
        <v>n.a.</v>
      </c>
      <c r="N687" s="525" t="str">
        <f t="shared" si="156"/>
        <v>n.a.</v>
      </c>
      <c r="O687" s="525" t="str">
        <f t="shared" si="156"/>
        <v>n.a.</v>
      </c>
      <c r="P687" s="525" t="str">
        <f t="shared" si="156"/>
        <v>n.a.</v>
      </c>
      <c r="Q687" s="525" t="str">
        <f t="shared" si="156"/>
        <v>n.a.</v>
      </c>
      <c r="R687" s="525" t="str">
        <f t="shared" si="156"/>
        <v>n.a.</v>
      </c>
      <c r="S687" s="525" t="str">
        <f t="shared" si="156"/>
        <v>n.a.</v>
      </c>
    </row>
    <row r="688" spans="1:19" s="110" customFormat="1" x14ac:dyDescent="0.25">
      <c r="A688" s="785">
        <v>555</v>
      </c>
      <c r="B688" s="525" t="str">
        <f t="shared" si="155"/>
        <v>n.a.</v>
      </c>
      <c r="C688" s="525" t="str">
        <f t="shared" si="155"/>
        <v>n.a.</v>
      </c>
      <c r="D688" s="525" t="str">
        <f t="shared" si="155"/>
        <v>n.a.</v>
      </c>
      <c r="E688" s="525" t="str">
        <f t="shared" si="155"/>
        <v>n.a.</v>
      </c>
      <c r="F688" s="525" t="str">
        <f t="shared" si="155"/>
        <v>n.a.</v>
      </c>
      <c r="G688" s="525" t="str">
        <f t="shared" si="155"/>
        <v>n.a.</v>
      </c>
      <c r="H688" s="525" t="str">
        <f t="shared" si="155"/>
        <v>n.a.</v>
      </c>
      <c r="I688" s="525" t="str">
        <f t="shared" si="155"/>
        <v>n.a.</v>
      </c>
      <c r="J688" s="525" t="str">
        <f t="shared" si="155"/>
        <v>n.a.</v>
      </c>
      <c r="K688" s="525" t="str">
        <f t="shared" si="155"/>
        <v>n.a.</v>
      </c>
      <c r="L688" s="525" t="str">
        <f t="shared" si="156"/>
        <v>n.a.</v>
      </c>
      <c r="M688" s="525" t="str">
        <f t="shared" si="156"/>
        <v>n.a.</v>
      </c>
      <c r="N688" s="525" t="str">
        <f t="shared" si="156"/>
        <v>n.a.</v>
      </c>
      <c r="O688" s="525" t="str">
        <f t="shared" si="156"/>
        <v>n.a.</v>
      </c>
      <c r="P688" s="525" t="str">
        <f t="shared" si="156"/>
        <v>n.a.</v>
      </c>
      <c r="Q688" s="525" t="str">
        <f t="shared" si="156"/>
        <v>n.a.</v>
      </c>
      <c r="R688" s="525" t="str">
        <f t="shared" si="156"/>
        <v>n.a.</v>
      </c>
      <c r="S688" s="525" t="str">
        <f t="shared" si="156"/>
        <v>n.a.</v>
      </c>
    </row>
    <row r="689" spans="1:19" s="110" customFormat="1" x14ac:dyDescent="0.25">
      <c r="A689" s="785">
        <v>556</v>
      </c>
      <c r="B689" s="525" t="str">
        <f t="shared" si="155"/>
        <v>n.a.</v>
      </c>
      <c r="C689" s="525" t="str">
        <f t="shared" si="155"/>
        <v>n.a.</v>
      </c>
      <c r="D689" s="525" t="str">
        <f t="shared" si="155"/>
        <v>n.a.</v>
      </c>
      <c r="E689" s="525" t="str">
        <f t="shared" si="155"/>
        <v>n.a.</v>
      </c>
      <c r="F689" s="525" t="str">
        <f t="shared" si="155"/>
        <v>n.a.</v>
      </c>
      <c r="G689" s="525" t="str">
        <f t="shared" si="155"/>
        <v>n.a.</v>
      </c>
      <c r="H689" s="525" t="str">
        <f t="shared" si="155"/>
        <v>n.a.</v>
      </c>
      <c r="I689" s="525" t="str">
        <f t="shared" si="155"/>
        <v>n.a.</v>
      </c>
      <c r="J689" s="525" t="str">
        <f t="shared" si="155"/>
        <v>n.a.</v>
      </c>
      <c r="K689" s="525" t="str">
        <f t="shared" si="155"/>
        <v>n.a.</v>
      </c>
      <c r="L689" s="525" t="str">
        <f t="shared" si="156"/>
        <v>n.a.</v>
      </c>
      <c r="M689" s="525" t="str">
        <f t="shared" si="156"/>
        <v>n.a.</v>
      </c>
      <c r="N689" s="525" t="str">
        <f t="shared" si="156"/>
        <v>n.a.</v>
      </c>
      <c r="O689" s="525" t="str">
        <f t="shared" si="156"/>
        <v>n.a.</v>
      </c>
      <c r="P689" s="525" t="str">
        <f t="shared" si="156"/>
        <v>n.a.</v>
      </c>
      <c r="Q689" s="525" t="str">
        <f t="shared" si="156"/>
        <v>n.a.</v>
      </c>
      <c r="R689" s="525" t="str">
        <f t="shared" si="156"/>
        <v>n.a.</v>
      </c>
      <c r="S689" s="525" t="str">
        <f t="shared" si="156"/>
        <v>n.a.</v>
      </c>
    </row>
    <row r="690" spans="1:19" s="110" customFormat="1" x14ac:dyDescent="0.25">
      <c r="A690" s="785">
        <v>557</v>
      </c>
      <c r="B690" s="525" t="str">
        <f t="shared" si="155"/>
        <v>n.a.</v>
      </c>
      <c r="C690" s="525" t="str">
        <f t="shared" si="155"/>
        <v>n.a.</v>
      </c>
      <c r="D690" s="525" t="str">
        <f t="shared" si="155"/>
        <v>n.a.</v>
      </c>
      <c r="E690" s="525" t="str">
        <f t="shared" si="155"/>
        <v>n.a.</v>
      </c>
      <c r="F690" s="525" t="str">
        <f t="shared" si="155"/>
        <v>n.a.</v>
      </c>
      <c r="G690" s="525" t="str">
        <f t="shared" si="155"/>
        <v>n.a.</v>
      </c>
      <c r="H690" s="525" t="str">
        <f t="shared" si="155"/>
        <v>n.a.</v>
      </c>
      <c r="I690" s="525" t="str">
        <f t="shared" si="155"/>
        <v>n.a.</v>
      </c>
      <c r="J690" s="525" t="str">
        <f t="shared" si="155"/>
        <v>n.a.</v>
      </c>
      <c r="K690" s="525" t="str">
        <f t="shared" si="155"/>
        <v>n.a.</v>
      </c>
      <c r="L690" s="525" t="str">
        <f t="shared" si="156"/>
        <v>n.a.</v>
      </c>
      <c r="M690" s="525" t="str">
        <f t="shared" si="156"/>
        <v>n.a.</v>
      </c>
      <c r="N690" s="525" t="str">
        <f t="shared" si="156"/>
        <v>n.a.</v>
      </c>
      <c r="O690" s="525" t="str">
        <f t="shared" si="156"/>
        <v>n.a.</v>
      </c>
      <c r="P690" s="525" t="str">
        <f t="shared" si="156"/>
        <v>n.a.</v>
      </c>
      <c r="Q690" s="525" t="str">
        <f t="shared" si="156"/>
        <v>n.a.</v>
      </c>
      <c r="R690" s="525" t="str">
        <f t="shared" si="156"/>
        <v>n.a.</v>
      </c>
      <c r="S690" s="525" t="str">
        <f t="shared" si="156"/>
        <v>n.a.</v>
      </c>
    </row>
    <row r="691" spans="1:19" s="110" customFormat="1" x14ac:dyDescent="0.25">
      <c r="A691" s="785">
        <v>558</v>
      </c>
      <c r="B691" s="525" t="str">
        <f t="shared" si="155"/>
        <v>n.a.</v>
      </c>
      <c r="C691" s="525" t="str">
        <f t="shared" si="155"/>
        <v>n.a.</v>
      </c>
      <c r="D691" s="525" t="str">
        <f t="shared" si="155"/>
        <v>n.a.</v>
      </c>
      <c r="E691" s="525" t="str">
        <f t="shared" si="155"/>
        <v>n.a.</v>
      </c>
      <c r="F691" s="525" t="str">
        <f t="shared" si="155"/>
        <v>n.a.</v>
      </c>
      <c r="G691" s="525" t="str">
        <f t="shared" si="155"/>
        <v>n.a.</v>
      </c>
      <c r="H691" s="525" t="str">
        <f t="shared" si="155"/>
        <v>n.a.</v>
      </c>
      <c r="I691" s="525" t="str">
        <f t="shared" si="155"/>
        <v>n.a.</v>
      </c>
      <c r="J691" s="525" t="str">
        <f t="shared" si="155"/>
        <v>n.a.</v>
      </c>
      <c r="K691" s="525" t="str">
        <f t="shared" si="155"/>
        <v>n.a.</v>
      </c>
      <c r="L691" s="525" t="str">
        <f t="shared" si="156"/>
        <v>n.a.</v>
      </c>
      <c r="M691" s="525" t="str">
        <f t="shared" si="156"/>
        <v>n.a.</v>
      </c>
      <c r="N691" s="525" t="str">
        <f t="shared" si="156"/>
        <v>n.a.</v>
      </c>
      <c r="O691" s="525" t="str">
        <f t="shared" si="156"/>
        <v>n.a.</v>
      </c>
      <c r="P691" s="525" t="str">
        <f t="shared" si="156"/>
        <v>n.a.</v>
      </c>
      <c r="Q691" s="525" t="str">
        <f t="shared" si="156"/>
        <v>n.a.</v>
      </c>
      <c r="R691" s="525" t="str">
        <f t="shared" si="156"/>
        <v>n.a.</v>
      </c>
      <c r="S691" s="525" t="str">
        <f t="shared" si="156"/>
        <v>n.a.</v>
      </c>
    </row>
    <row r="692" spans="1:19" s="110" customFormat="1" x14ac:dyDescent="0.25">
      <c r="A692" s="785">
        <v>559</v>
      </c>
      <c r="B692" s="525" t="str">
        <f t="shared" si="155"/>
        <v>n.a.</v>
      </c>
      <c r="C692" s="525" t="str">
        <f t="shared" si="155"/>
        <v>n.a.</v>
      </c>
      <c r="D692" s="525" t="str">
        <f t="shared" si="155"/>
        <v>n.a.</v>
      </c>
      <c r="E692" s="525" t="str">
        <f t="shared" si="155"/>
        <v>n.a.</v>
      </c>
      <c r="F692" s="525" t="str">
        <f t="shared" si="155"/>
        <v>n.a.</v>
      </c>
      <c r="G692" s="525" t="str">
        <f t="shared" si="155"/>
        <v>n.a.</v>
      </c>
      <c r="H692" s="525" t="str">
        <f t="shared" si="155"/>
        <v>n.a.</v>
      </c>
      <c r="I692" s="525" t="str">
        <f t="shared" si="155"/>
        <v>n.a.</v>
      </c>
      <c r="J692" s="525" t="str">
        <f t="shared" si="155"/>
        <v>n.a.</v>
      </c>
      <c r="K692" s="525" t="str">
        <f t="shared" si="155"/>
        <v>n.a.</v>
      </c>
      <c r="L692" s="525" t="str">
        <f t="shared" si="156"/>
        <v>n.a.</v>
      </c>
      <c r="M692" s="525" t="str">
        <f t="shared" si="156"/>
        <v>n.a.</v>
      </c>
      <c r="N692" s="525" t="str">
        <f t="shared" si="156"/>
        <v>n.a.</v>
      </c>
      <c r="O692" s="525" t="str">
        <f t="shared" si="156"/>
        <v>n.a.</v>
      </c>
      <c r="P692" s="525" t="str">
        <f t="shared" si="156"/>
        <v>n.a.</v>
      </c>
      <c r="Q692" s="525" t="str">
        <f t="shared" si="156"/>
        <v>n.a.</v>
      </c>
      <c r="R692" s="525" t="str">
        <f t="shared" si="156"/>
        <v>n.a.</v>
      </c>
      <c r="S692" s="525" t="str">
        <f t="shared" si="156"/>
        <v>n.a.</v>
      </c>
    </row>
    <row r="693" spans="1:19" s="110" customFormat="1" x14ac:dyDescent="0.25">
      <c r="A693" s="785">
        <v>560</v>
      </c>
      <c r="B693" s="525" t="str">
        <f t="shared" si="155"/>
        <v>n.a.</v>
      </c>
      <c r="C693" s="525" t="str">
        <f t="shared" si="155"/>
        <v>n.a.</v>
      </c>
      <c r="D693" s="525" t="str">
        <f t="shared" si="155"/>
        <v>n.a.</v>
      </c>
      <c r="E693" s="525" t="str">
        <f t="shared" si="155"/>
        <v>n.a.</v>
      </c>
      <c r="F693" s="525" t="str">
        <f t="shared" si="155"/>
        <v>n.a.</v>
      </c>
      <c r="G693" s="525" t="str">
        <f t="shared" si="155"/>
        <v>n.a.</v>
      </c>
      <c r="H693" s="525" t="str">
        <f t="shared" si="155"/>
        <v>n.a.</v>
      </c>
      <c r="I693" s="525" t="str">
        <f t="shared" si="155"/>
        <v>n.a.</v>
      </c>
      <c r="J693" s="525" t="str">
        <f t="shared" si="155"/>
        <v>n.a.</v>
      </c>
      <c r="K693" s="525" t="str">
        <f t="shared" si="155"/>
        <v>n.a.</v>
      </c>
      <c r="L693" s="525" t="str">
        <f t="shared" si="156"/>
        <v>n.a.</v>
      </c>
      <c r="M693" s="525" t="str">
        <f t="shared" si="156"/>
        <v>n.a.</v>
      </c>
      <c r="N693" s="525" t="str">
        <f t="shared" si="156"/>
        <v>n.a.</v>
      </c>
      <c r="O693" s="525" t="str">
        <f t="shared" si="156"/>
        <v>n.a.</v>
      </c>
      <c r="P693" s="525" t="str">
        <f t="shared" si="156"/>
        <v>n.a.</v>
      </c>
      <c r="Q693" s="525" t="str">
        <f t="shared" si="156"/>
        <v>n.a.</v>
      </c>
      <c r="R693" s="525" t="str">
        <f t="shared" si="156"/>
        <v>n.a.</v>
      </c>
      <c r="S693" s="525" t="str">
        <f t="shared" si="156"/>
        <v>n.a.</v>
      </c>
    </row>
    <row r="694" spans="1:19" s="110" customFormat="1" x14ac:dyDescent="0.25">
      <c r="A694" s="785">
        <v>561</v>
      </c>
      <c r="B694" s="525" t="str">
        <f t="shared" ref="B694:K703" si="157">IFERROR(INDEX(CNCodes_ListKey,MATCH($A694&amp;"_"&amp;B$132,CNCodes_ListNumbering,0)),CONST_NA)</f>
        <v>n.a.</v>
      </c>
      <c r="C694" s="525" t="str">
        <f t="shared" si="157"/>
        <v>n.a.</v>
      </c>
      <c r="D694" s="525" t="str">
        <f t="shared" si="157"/>
        <v>n.a.</v>
      </c>
      <c r="E694" s="525" t="str">
        <f t="shared" si="157"/>
        <v>n.a.</v>
      </c>
      <c r="F694" s="525" t="str">
        <f t="shared" si="157"/>
        <v>n.a.</v>
      </c>
      <c r="G694" s="525" t="str">
        <f t="shared" si="157"/>
        <v>n.a.</v>
      </c>
      <c r="H694" s="525" t="str">
        <f t="shared" si="157"/>
        <v>n.a.</v>
      </c>
      <c r="I694" s="525" t="str">
        <f t="shared" si="157"/>
        <v>n.a.</v>
      </c>
      <c r="J694" s="525" t="str">
        <f t="shared" si="157"/>
        <v>n.a.</v>
      </c>
      <c r="K694" s="525" t="str">
        <f t="shared" si="157"/>
        <v>n.a.</v>
      </c>
      <c r="L694" s="525" t="str">
        <f t="shared" ref="L694:S703" si="158">IFERROR(INDEX(CNCodes_ListKey,MATCH($A694&amp;"_"&amp;L$132,CNCodes_ListNumbering,0)),CONST_NA)</f>
        <v>n.a.</v>
      </c>
      <c r="M694" s="525" t="str">
        <f t="shared" si="158"/>
        <v>n.a.</v>
      </c>
      <c r="N694" s="525" t="str">
        <f t="shared" si="158"/>
        <v>n.a.</v>
      </c>
      <c r="O694" s="525" t="str">
        <f t="shared" si="158"/>
        <v>n.a.</v>
      </c>
      <c r="P694" s="525" t="str">
        <f t="shared" si="158"/>
        <v>n.a.</v>
      </c>
      <c r="Q694" s="525" t="str">
        <f t="shared" si="158"/>
        <v>n.a.</v>
      </c>
      <c r="R694" s="525" t="str">
        <f t="shared" si="158"/>
        <v>n.a.</v>
      </c>
      <c r="S694" s="525" t="str">
        <f t="shared" si="158"/>
        <v>n.a.</v>
      </c>
    </row>
    <row r="695" spans="1:19" s="110" customFormat="1" x14ac:dyDescent="0.25">
      <c r="A695" s="785">
        <v>562</v>
      </c>
      <c r="B695" s="525" t="str">
        <f t="shared" si="157"/>
        <v>n.a.</v>
      </c>
      <c r="C695" s="525" t="str">
        <f t="shared" si="157"/>
        <v>n.a.</v>
      </c>
      <c r="D695" s="525" t="str">
        <f t="shared" si="157"/>
        <v>n.a.</v>
      </c>
      <c r="E695" s="525" t="str">
        <f t="shared" si="157"/>
        <v>n.a.</v>
      </c>
      <c r="F695" s="525" t="str">
        <f t="shared" si="157"/>
        <v>n.a.</v>
      </c>
      <c r="G695" s="525" t="str">
        <f t="shared" si="157"/>
        <v>n.a.</v>
      </c>
      <c r="H695" s="525" t="str">
        <f t="shared" si="157"/>
        <v>n.a.</v>
      </c>
      <c r="I695" s="525" t="str">
        <f t="shared" si="157"/>
        <v>n.a.</v>
      </c>
      <c r="J695" s="525" t="str">
        <f t="shared" si="157"/>
        <v>n.a.</v>
      </c>
      <c r="K695" s="525" t="str">
        <f t="shared" si="157"/>
        <v>n.a.</v>
      </c>
      <c r="L695" s="525" t="str">
        <f t="shared" si="158"/>
        <v>n.a.</v>
      </c>
      <c r="M695" s="525" t="str">
        <f t="shared" si="158"/>
        <v>n.a.</v>
      </c>
      <c r="N695" s="525" t="str">
        <f t="shared" si="158"/>
        <v>n.a.</v>
      </c>
      <c r="O695" s="525" t="str">
        <f t="shared" si="158"/>
        <v>n.a.</v>
      </c>
      <c r="P695" s="525" t="str">
        <f t="shared" si="158"/>
        <v>n.a.</v>
      </c>
      <c r="Q695" s="525" t="str">
        <f t="shared" si="158"/>
        <v>n.a.</v>
      </c>
      <c r="R695" s="525" t="str">
        <f t="shared" si="158"/>
        <v>n.a.</v>
      </c>
      <c r="S695" s="525" t="str">
        <f t="shared" si="158"/>
        <v>n.a.</v>
      </c>
    </row>
    <row r="696" spans="1:19" s="110" customFormat="1" x14ac:dyDescent="0.25">
      <c r="A696" s="785">
        <v>563</v>
      </c>
      <c r="B696" s="525" t="str">
        <f t="shared" si="157"/>
        <v>n.a.</v>
      </c>
      <c r="C696" s="525" t="str">
        <f t="shared" si="157"/>
        <v>n.a.</v>
      </c>
      <c r="D696" s="525" t="str">
        <f t="shared" si="157"/>
        <v>n.a.</v>
      </c>
      <c r="E696" s="525" t="str">
        <f t="shared" si="157"/>
        <v>n.a.</v>
      </c>
      <c r="F696" s="525" t="str">
        <f t="shared" si="157"/>
        <v>n.a.</v>
      </c>
      <c r="G696" s="525" t="str">
        <f t="shared" si="157"/>
        <v>n.a.</v>
      </c>
      <c r="H696" s="525" t="str">
        <f t="shared" si="157"/>
        <v>n.a.</v>
      </c>
      <c r="I696" s="525" t="str">
        <f t="shared" si="157"/>
        <v>n.a.</v>
      </c>
      <c r="J696" s="525" t="str">
        <f t="shared" si="157"/>
        <v>n.a.</v>
      </c>
      <c r="K696" s="525" t="str">
        <f t="shared" si="157"/>
        <v>n.a.</v>
      </c>
      <c r="L696" s="525" t="str">
        <f t="shared" si="158"/>
        <v>n.a.</v>
      </c>
      <c r="M696" s="525" t="str">
        <f t="shared" si="158"/>
        <v>n.a.</v>
      </c>
      <c r="N696" s="525" t="str">
        <f t="shared" si="158"/>
        <v>n.a.</v>
      </c>
      <c r="O696" s="525" t="str">
        <f t="shared" si="158"/>
        <v>n.a.</v>
      </c>
      <c r="P696" s="525" t="str">
        <f t="shared" si="158"/>
        <v>n.a.</v>
      </c>
      <c r="Q696" s="525" t="str">
        <f t="shared" si="158"/>
        <v>n.a.</v>
      </c>
      <c r="R696" s="525" t="str">
        <f t="shared" si="158"/>
        <v>n.a.</v>
      </c>
      <c r="S696" s="525" t="str">
        <f t="shared" si="158"/>
        <v>n.a.</v>
      </c>
    </row>
    <row r="697" spans="1:19" s="110" customFormat="1" x14ac:dyDescent="0.25">
      <c r="A697" s="785">
        <v>564</v>
      </c>
      <c r="B697" s="525" t="str">
        <f t="shared" si="157"/>
        <v>n.a.</v>
      </c>
      <c r="C697" s="525" t="str">
        <f t="shared" si="157"/>
        <v>n.a.</v>
      </c>
      <c r="D697" s="525" t="str">
        <f t="shared" si="157"/>
        <v>n.a.</v>
      </c>
      <c r="E697" s="525" t="str">
        <f t="shared" si="157"/>
        <v>n.a.</v>
      </c>
      <c r="F697" s="525" t="str">
        <f t="shared" si="157"/>
        <v>n.a.</v>
      </c>
      <c r="G697" s="525" t="str">
        <f t="shared" si="157"/>
        <v>n.a.</v>
      </c>
      <c r="H697" s="525" t="str">
        <f t="shared" si="157"/>
        <v>n.a.</v>
      </c>
      <c r="I697" s="525" t="str">
        <f t="shared" si="157"/>
        <v>n.a.</v>
      </c>
      <c r="J697" s="525" t="str">
        <f t="shared" si="157"/>
        <v>n.a.</v>
      </c>
      <c r="K697" s="525" t="str">
        <f t="shared" si="157"/>
        <v>n.a.</v>
      </c>
      <c r="L697" s="525" t="str">
        <f t="shared" si="158"/>
        <v>n.a.</v>
      </c>
      <c r="M697" s="525" t="str">
        <f t="shared" si="158"/>
        <v>n.a.</v>
      </c>
      <c r="N697" s="525" t="str">
        <f t="shared" si="158"/>
        <v>n.a.</v>
      </c>
      <c r="O697" s="525" t="str">
        <f t="shared" si="158"/>
        <v>n.a.</v>
      </c>
      <c r="P697" s="525" t="str">
        <f t="shared" si="158"/>
        <v>n.a.</v>
      </c>
      <c r="Q697" s="525" t="str">
        <f t="shared" si="158"/>
        <v>n.a.</v>
      </c>
      <c r="R697" s="525" t="str">
        <f t="shared" si="158"/>
        <v>n.a.</v>
      </c>
      <c r="S697" s="525" t="str">
        <f t="shared" si="158"/>
        <v>n.a.</v>
      </c>
    </row>
    <row r="698" spans="1:19" s="110" customFormat="1" x14ac:dyDescent="0.25">
      <c r="A698" s="785">
        <v>565</v>
      </c>
      <c r="B698" s="525" t="str">
        <f t="shared" si="157"/>
        <v>n.a.</v>
      </c>
      <c r="C698" s="525" t="str">
        <f t="shared" si="157"/>
        <v>n.a.</v>
      </c>
      <c r="D698" s="525" t="str">
        <f t="shared" si="157"/>
        <v>n.a.</v>
      </c>
      <c r="E698" s="525" t="str">
        <f t="shared" si="157"/>
        <v>n.a.</v>
      </c>
      <c r="F698" s="525" t="str">
        <f t="shared" si="157"/>
        <v>n.a.</v>
      </c>
      <c r="G698" s="525" t="str">
        <f t="shared" si="157"/>
        <v>n.a.</v>
      </c>
      <c r="H698" s="525" t="str">
        <f t="shared" si="157"/>
        <v>n.a.</v>
      </c>
      <c r="I698" s="525" t="str">
        <f t="shared" si="157"/>
        <v>n.a.</v>
      </c>
      <c r="J698" s="525" t="str">
        <f t="shared" si="157"/>
        <v>n.a.</v>
      </c>
      <c r="K698" s="525" t="str">
        <f t="shared" si="157"/>
        <v>n.a.</v>
      </c>
      <c r="L698" s="525" t="str">
        <f t="shared" si="158"/>
        <v>n.a.</v>
      </c>
      <c r="M698" s="525" t="str">
        <f t="shared" si="158"/>
        <v>n.a.</v>
      </c>
      <c r="N698" s="525" t="str">
        <f t="shared" si="158"/>
        <v>n.a.</v>
      </c>
      <c r="O698" s="525" t="str">
        <f t="shared" si="158"/>
        <v>n.a.</v>
      </c>
      <c r="P698" s="525" t="str">
        <f t="shared" si="158"/>
        <v>n.a.</v>
      </c>
      <c r="Q698" s="525" t="str">
        <f t="shared" si="158"/>
        <v>n.a.</v>
      </c>
      <c r="R698" s="525" t="str">
        <f t="shared" si="158"/>
        <v>n.a.</v>
      </c>
      <c r="S698" s="525" t="str">
        <f t="shared" si="158"/>
        <v>n.a.</v>
      </c>
    </row>
    <row r="699" spans="1:19" s="110" customFormat="1" x14ac:dyDescent="0.25">
      <c r="A699" s="785">
        <v>566</v>
      </c>
      <c r="B699" s="525" t="str">
        <f t="shared" si="157"/>
        <v>n.a.</v>
      </c>
      <c r="C699" s="525" t="str">
        <f t="shared" si="157"/>
        <v>n.a.</v>
      </c>
      <c r="D699" s="525" t="str">
        <f t="shared" si="157"/>
        <v>n.a.</v>
      </c>
      <c r="E699" s="525" t="str">
        <f t="shared" si="157"/>
        <v>n.a.</v>
      </c>
      <c r="F699" s="525" t="str">
        <f t="shared" si="157"/>
        <v>n.a.</v>
      </c>
      <c r="G699" s="525" t="str">
        <f t="shared" si="157"/>
        <v>n.a.</v>
      </c>
      <c r="H699" s="525" t="str">
        <f t="shared" si="157"/>
        <v>n.a.</v>
      </c>
      <c r="I699" s="525" t="str">
        <f t="shared" si="157"/>
        <v>n.a.</v>
      </c>
      <c r="J699" s="525" t="str">
        <f t="shared" si="157"/>
        <v>n.a.</v>
      </c>
      <c r="K699" s="525" t="str">
        <f t="shared" si="157"/>
        <v>n.a.</v>
      </c>
      <c r="L699" s="525" t="str">
        <f t="shared" si="158"/>
        <v>n.a.</v>
      </c>
      <c r="M699" s="525" t="str">
        <f t="shared" si="158"/>
        <v>n.a.</v>
      </c>
      <c r="N699" s="525" t="str">
        <f t="shared" si="158"/>
        <v>n.a.</v>
      </c>
      <c r="O699" s="525" t="str">
        <f t="shared" si="158"/>
        <v>n.a.</v>
      </c>
      <c r="P699" s="525" t="str">
        <f t="shared" si="158"/>
        <v>n.a.</v>
      </c>
      <c r="Q699" s="525" t="str">
        <f t="shared" si="158"/>
        <v>n.a.</v>
      </c>
      <c r="R699" s="525" t="str">
        <f t="shared" si="158"/>
        <v>n.a.</v>
      </c>
      <c r="S699" s="525" t="str">
        <f t="shared" si="158"/>
        <v>n.a.</v>
      </c>
    </row>
    <row r="700" spans="1:19" s="110" customFormat="1" x14ac:dyDescent="0.25">
      <c r="A700" s="785">
        <v>567</v>
      </c>
      <c r="B700" s="525" t="str">
        <f t="shared" si="157"/>
        <v>n.a.</v>
      </c>
      <c r="C700" s="525" t="str">
        <f t="shared" si="157"/>
        <v>n.a.</v>
      </c>
      <c r="D700" s="525" t="str">
        <f t="shared" si="157"/>
        <v>n.a.</v>
      </c>
      <c r="E700" s="525" t="str">
        <f t="shared" si="157"/>
        <v>n.a.</v>
      </c>
      <c r="F700" s="525" t="str">
        <f t="shared" si="157"/>
        <v>n.a.</v>
      </c>
      <c r="G700" s="525" t="str">
        <f t="shared" si="157"/>
        <v>n.a.</v>
      </c>
      <c r="H700" s="525" t="str">
        <f t="shared" si="157"/>
        <v>n.a.</v>
      </c>
      <c r="I700" s="525" t="str">
        <f t="shared" si="157"/>
        <v>n.a.</v>
      </c>
      <c r="J700" s="525" t="str">
        <f t="shared" si="157"/>
        <v>n.a.</v>
      </c>
      <c r="K700" s="525" t="str">
        <f t="shared" si="157"/>
        <v>n.a.</v>
      </c>
      <c r="L700" s="525" t="str">
        <f t="shared" si="158"/>
        <v>n.a.</v>
      </c>
      <c r="M700" s="525" t="str">
        <f t="shared" si="158"/>
        <v>n.a.</v>
      </c>
      <c r="N700" s="525" t="str">
        <f t="shared" si="158"/>
        <v>n.a.</v>
      </c>
      <c r="O700" s="525" t="str">
        <f t="shared" si="158"/>
        <v>n.a.</v>
      </c>
      <c r="P700" s="525" t="str">
        <f t="shared" si="158"/>
        <v>n.a.</v>
      </c>
      <c r="Q700" s="525" t="str">
        <f t="shared" si="158"/>
        <v>n.a.</v>
      </c>
      <c r="R700" s="525" t="str">
        <f t="shared" si="158"/>
        <v>n.a.</v>
      </c>
      <c r="S700" s="525" t="str">
        <f t="shared" si="158"/>
        <v>n.a.</v>
      </c>
    </row>
    <row r="701" spans="1:19" s="110" customFormat="1" x14ac:dyDescent="0.25">
      <c r="A701" s="785">
        <v>568</v>
      </c>
      <c r="B701" s="525" t="str">
        <f t="shared" si="157"/>
        <v>n.a.</v>
      </c>
      <c r="C701" s="525" t="str">
        <f t="shared" si="157"/>
        <v>n.a.</v>
      </c>
      <c r="D701" s="525" t="str">
        <f t="shared" si="157"/>
        <v>n.a.</v>
      </c>
      <c r="E701" s="525" t="str">
        <f t="shared" si="157"/>
        <v>n.a.</v>
      </c>
      <c r="F701" s="525" t="str">
        <f t="shared" si="157"/>
        <v>n.a.</v>
      </c>
      <c r="G701" s="525" t="str">
        <f t="shared" si="157"/>
        <v>n.a.</v>
      </c>
      <c r="H701" s="525" t="str">
        <f t="shared" si="157"/>
        <v>n.a.</v>
      </c>
      <c r="I701" s="525" t="str">
        <f t="shared" si="157"/>
        <v>n.a.</v>
      </c>
      <c r="J701" s="525" t="str">
        <f t="shared" si="157"/>
        <v>n.a.</v>
      </c>
      <c r="K701" s="525" t="str">
        <f t="shared" si="157"/>
        <v>n.a.</v>
      </c>
      <c r="L701" s="525" t="str">
        <f t="shared" si="158"/>
        <v>n.a.</v>
      </c>
      <c r="M701" s="525" t="str">
        <f t="shared" si="158"/>
        <v>n.a.</v>
      </c>
      <c r="N701" s="525" t="str">
        <f t="shared" si="158"/>
        <v>n.a.</v>
      </c>
      <c r="O701" s="525" t="str">
        <f t="shared" si="158"/>
        <v>n.a.</v>
      </c>
      <c r="P701" s="525" t="str">
        <f t="shared" si="158"/>
        <v>n.a.</v>
      </c>
      <c r="Q701" s="525" t="str">
        <f t="shared" si="158"/>
        <v>n.a.</v>
      </c>
      <c r="R701" s="525" t="str">
        <f t="shared" si="158"/>
        <v>n.a.</v>
      </c>
      <c r="S701" s="525" t="str">
        <f t="shared" si="158"/>
        <v>n.a.</v>
      </c>
    </row>
    <row r="702" spans="1:19" s="110" customFormat="1" x14ac:dyDescent="0.25">
      <c r="A702" s="785">
        <v>569</v>
      </c>
      <c r="B702" s="525" t="str">
        <f t="shared" si="157"/>
        <v>n.a.</v>
      </c>
      <c r="C702" s="525" t="str">
        <f t="shared" si="157"/>
        <v>n.a.</v>
      </c>
      <c r="D702" s="525" t="str">
        <f t="shared" si="157"/>
        <v>n.a.</v>
      </c>
      <c r="E702" s="525" t="str">
        <f t="shared" si="157"/>
        <v>n.a.</v>
      </c>
      <c r="F702" s="525" t="str">
        <f t="shared" si="157"/>
        <v>n.a.</v>
      </c>
      <c r="G702" s="525" t="str">
        <f t="shared" si="157"/>
        <v>n.a.</v>
      </c>
      <c r="H702" s="525" t="str">
        <f t="shared" si="157"/>
        <v>n.a.</v>
      </c>
      <c r="I702" s="525" t="str">
        <f t="shared" si="157"/>
        <v>n.a.</v>
      </c>
      <c r="J702" s="525" t="str">
        <f t="shared" si="157"/>
        <v>n.a.</v>
      </c>
      <c r="K702" s="525" t="str">
        <f t="shared" si="157"/>
        <v>n.a.</v>
      </c>
      <c r="L702" s="525" t="str">
        <f t="shared" si="158"/>
        <v>n.a.</v>
      </c>
      <c r="M702" s="525" t="str">
        <f t="shared" si="158"/>
        <v>n.a.</v>
      </c>
      <c r="N702" s="525" t="str">
        <f t="shared" si="158"/>
        <v>n.a.</v>
      </c>
      <c r="O702" s="525" t="str">
        <f t="shared" si="158"/>
        <v>n.a.</v>
      </c>
      <c r="P702" s="525" t="str">
        <f t="shared" si="158"/>
        <v>n.a.</v>
      </c>
      <c r="Q702" s="525" t="str">
        <f t="shared" si="158"/>
        <v>n.a.</v>
      </c>
      <c r="R702" s="525" t="str">
        <f t="shared" si="158"/>
        <v>n.a.</v>
      </c>
      <c r="S702" s="525" t="str">
        <f t="shared" si="158"/>
        <v>n.a.</v>
      </c>
    </row>
    <row r="703" spans="1:19" s="110" customFormat="1" x14ac:dyDescent="0.25">
      <c r="A703" s="785">
        <v>570</v>
      </c>
      <c r="B703" s="525" t="str">
        <f t="shared" si="157"/>
        <v>n.a.</v>
      </c>
      <c r="C703" s="525" t="str">
        <f t="shared" si="157"/>
        <v>n.a.</v>
      </c>
      <c r="D703" s="525" t="str">
        <f t="shared" si="157"/>
        <v>n.a.</v>
      </c>
      <c r="E703" s="525" t="str">
        <f t="shared" si="157"/>
        <v>n.a.</v>
      </c>
      <c r="F703" s="525" t="str">
        <f t="shared" si="157"/>
        <v>n.a.</v>
      </c>
      <c r="G703" s="525" t="str">
        <f t="shared" si="157"/>
        <v>n.a.</v>
      </c>
      <c r="H703" s="525" t="str">
        <f t="shared" si="157"/>
        <v>n.a.</v>
      </c>
      <c r="I703" s="525" t="str">
        <f t="shared" si="157"/>
        <v>n.a.</v>
      </c>
      <c r="J703" s="525" t="str">
        <f t="shared" si="157"/>
        <v>n.a.</v>
      </c>
      <c r="K703" s="525" t="str">
        <f t="shared" si="157"/>
        <v>n.a.</v>
      </c>
      <c r="L703" s="525" t="str">
        <f t="shared" si="158"/>
        <v>n.a.</v>
      </c>
      <c r="M703" s="525" t="str">
        <f t="shared" si="158"/>
        <v>n.a.</v>
      </c>
      <c r="N703" s="525" t="str">
        <f t="shared" si="158"/>
        <v>n.a.</v>
      </c>
      <c r="O703" s="525" t="str">
        <f t="shared" si="158"/>
        <v>n.a.</v>
      </c>
      <c r="P703" s="525" t="str">
        <f t="shared" si="158"/>
        <v>n.a.</v>
      </c>
      <c r="Q703" s="525" t="str">
        <f t="shared" si="158"/>
        <v>n.a.</v>
      </c>
      <c r="R703" s="525" t="str">
        <f t="shared" si="158"/>
        <v>n.a.</v>
      </c>
      <c r="S703" s="525" t="str">
        <f t="shared" si="158"/>
        <v>n.a.</v>
      </c>
    </row>
    <row r="704" spans="1:19" s="110" customFormat="1" x14ac:dyDescent="0.25">
      <c r="A704" s="785">
        <v>571</v>
      </c>
      <c r="B704" s="525" t="str">
        <f t="shared" ref="B704:K713" si="159">IFERROR(INDEX(CNCodes_ListKey,MATCH($A704&amp;"_"&amp;B$132,CNCodes_ListNumbering,0)),CONST_NA)</f>
        <v>n.a.</v>
      </c>
      <c r="C704" s="525" t="str">
        <f t="shared" si="159"/>
        <v>n.a.</v>
      </c>
      <c r="D704" s="525" t="str">
        <f t="shared" si="159"/>
        <v>n.a.</v>
      </c>
      <c r="E704" s="525" t="str">
        <f t="shared" si="159"/>
        <v>n.a.</v>
      </c>
      <c r="F704" s="525" t="str">
        <f t="shared" si="159"/>
        <v>n.a.</v>
      </c>
      <c r="G704" s="525" t="str">
        <f t="shared" si="159"/>
        <v>n.a.</v>
      </c>
      <c r="H704" s="525" t="str">
        <f t="shared" si="159"/>
        <v>n.a.</v>
      </c>
      <c r="I704" s="525" t="str">
        <f t="shared" si="159"/>
        <v>n.a.</v>
      </c>
      <c r="J704" s="525" t="str">
        <f t="shared" si="159"/>
        <v>n.a.</v>
      </c>
      <c r="K704" s="525" t="str">
        <f t="shared" si="159"/>
        <v>n.a.</v>
      </c>
      <c r="L704" s="525" t="str">
        <f t="shared" ref="L704:S713" si="160">IFERROR(INDEX(CNCodes_ListKey,MATCH($A704&amp;"_"&amp;L$132,CNCodes_ListNumbering,0)),CONST_NA)</f>
        <v>n.a.</v>
      </c>
      <c r="M704" s="525" t="str">
        <f t="shared" si="160"/>
        <v>n.a.</v>
      </c>
      <c r="N704" s="525" t="str">
        <f t="shared" si="160"/>
        <v>n.a.</v>
      </c>
      <c r="O704" s="525" t="str">
        <f t="shared" si="160"/>
        <v>n.a.</v>
      </c>
      <c r="P704" s="525" t="str">
        <f t="shared" si="160"/>
        <v>n.a.</v>
      </c>
      <c r="Q704" s="525" t="str">
        <f t="shared" si="160"/>
        <v>n.a.</v>
      </c>
      <c r="R704" s="525" t="str">
        <f t="shared" si="160"/>
        <v>n.a.</v>
      </c>
      <c r="S704" s="525" t="str">
        <f t="shared" si="160"/>
        <v>n.a.</v>
      </c>
    </row>
    <row r="705" spans="1:19" s="110" customFormat="1" x14ac:dyDescent="0.25">
      <c r="A705" s="785">
        <v>572</v>
      </c>
      <c r="B705" s="525" t="str">
        <f t="shared" si="159"/>
        <v>n.a.</v>
      </c>
      <c r="C705" s="525" t="str">
        <f t="shared" si="159"/>
        <v>n.a.</v>
      </c>
      <c r="D705" s="525" t="str">
        <f t="shared" si="159"/>
        <v>n.a.</v>
      </c>
      <c r="E705" s="525" t="str">
        <f t="shared" si="159"/>
        <v>n.a.</v>
      </c>
      <c r="F705" s="525" t="str">
        <f t="shared" si="159"/>
        <v>n.a.</v>
      </c>
      <c r="G705" s="525" t="str">
        <f t="shared" si="159"/>
        <v>n.a.</v>
      </c>
      <c r="H705" s="525" t="str">
        <f t="shared" si="159"/>
        <v>n.a.</v>
      </c>
      <c r="I705" s="525" t="str">
        <f t="shared" si="159"/>
        <v>n.a.</v>
      </c>
      <c r="J705" s="525" t="str">
        <f t="shared" si="159"/>
        <v>n.a.</v>
      </c>
      <c r="K705" s="525" t="str">
        <f t="shared" si="159"/>
        <v>n.a.</v>
      </c>
      <c r="L705" s="525" t="str">
        <f t="shared" si="160"/>
        <v>n.a.</v>
      </c>
      <c r="M705" s="525" t="str">
        <f t="shared" si="160"/>
        <v>n.a.</v>
      </c>
      <c r="N705" s="525" t="str">
        <f t="shared" si="160"/>
        <v>n.a.</v>
      </c>
      <c r="O705" s="525" t="str">
        <f t="shared" si="160"/>
        <v>n.a.</v>
      </c>
      <c r="P705" s="525" t="str">
        <f t="shared" si="160"/>
        <v>n.a.</v>
      </c>
      <c r="Q705" s="525" t="str">
        <f t="shared" si="160"/>
        <v>n.a.</v>
      </c>
      <c r="R705" s="525" t="str">
        <f t="shared" si="160"/>
        <v>n.a.</v>
      </c>
      <c r="S705" s="525" t="str">
        <f t="shared" si="160"/>
        <v>n.a.</v>
      </c>
    </row>
    <row r="706" spans="1:19" s="110" customFormat="1" x14ac:dyDescent="0.25">
      <c r="A706" s="785">
        <v>573</v>
      </c>
      <c r="B706" s="525" t="str">
        <f t="shared" si="159"/>
        <v>n.a.</v>
      </c>
      <c r="C706" s="525" t="str">
        <f t="shared" si="159"/>
        <v>n.a.</v>
      </c>
      <c r="D706" s="525" t="str">
        <f t="shared" si="159"/>
        <v>n.a.</v>
      </c>
      <c r="E706" s="525" t="str">
        <f t="shared" si="159"/>
        <v>n.a.</v>
      </c>
      <c r="F706" s="525" t="str">
        <f t="shared" si="159"/>
        <v>n.a.</v>
      </c>
      <c r="G706" s="525" t="str">
        <f t="shared" si="159"/>
        <v>n.a.</v>
      </c>
      <c r="H706" s="525" t="str">
        <f t="shared" si="159"/>
        <v>n.a.</v>
      </c>
      <c r="I706" s="525" t="str">
        <f t="shared" si="159"/>
        <v>n.a.</v>
      </c>
      <c r="J706" s="525" t="str">
        <f t="shared" si="159"/>
        <v>n.a.</v>
      </c>
      <c r="K706" s="525" t="str">
        <f t="shared" si="159"/>
        <v>n.a.</v>
      </c>
      <c r="L706" s="525" t="str">
        <f t="shared" si="160"/>
        <v>n.a.</v>
      </c>
      <c r="M706" s="525" t="str">
        <f t="shared" si="160"/>
        <v>n.a.</v>
      </c>
      <c r="N706" s="525" t="str">
        <f t="shared" si="160"/>
        <v>n.a.</v>
      </c>
      <c r="O706" s="525" t="str">
        <f t="shared" si="160"/>
        <v>n.a.</v>
      </c>
      <c r="P706" s="525" t="str">
        <f t="shared" si="160"/>
        <v>n.a.</v>
      </c>
      <c r="Q706" s="525" t="str">
        <f t="shared" si="160"/>
        <v>n.a.</v>
      </c>
      <c r="R706" s="525" t="str">
        <f t="shared" si="160"/>
        <v>n.a.</v>
      </c>
      <c r="S706" s="525" t="str">
        <f t="shared" si="160"/>
        <v>n.a.</v>
      </c>
    </row>
    <row r="707" spans="1:19" s="110" customFormat="1" x14ac:dyDescent="0.25">
      <c r="A707" s="785">
        <v>574</v>
      </c>
      <c r="B707" s="525" t="str">
        <f t="shared" si="159"/>
        <v>n.a.</v>
      </c>
      <c r="C707" s="525" t="str">
        <f t="shared" si="159"/>
        <v>n.a.</v>
      </c>
      <c r="D707" s="525" t="str">
        <f t="shared" si="159"/>
        <v>n.a.</v>
      </c>
      <c r="E707" s="525" t="str">
        <f t="shared" si="159"/>
        <v>n.a.</v>
      </c>
      <c r="F707" s="525" t="str">
        <f t="shared" si="159"/>
        <v>n.a.</v>
      </c>
      <c r="G707" s="525" t="str">
        <f t="shared" si="159"/>
        <v>n.a.</v>
      </c>
      <c r="H707" s="525" t="str">
        <f t="shared" si="159"/>
        <v>n.a.</v>
      </c>
      <c r="I707" s="525" t="str">
        <f t="shared" si="159"/>
        <v>n.a.</v>
      </c>
      <c r="J707" s="525" t="str">
        <f t="shared" si="159"/>
        <v>n.a.</v>
      </c>
      <c r="K707" s="525" t="str">
        <f t="shared" si="159"/>
        <v>n.a.</v>
      </c>
      <c r="L707" s="525" t="str">
        <f t="shared" si="160"/>
        <v>n.a.</v>
      </c>
      <c r="M707" s="525" t="str">
        <f t="shared" si="160"/>
        <v>n.a.</v>
      </c>
      <c r="N707" s="525" t="str">
        <f t="shared" si="160"/>
        <v>n.a.</v>
      </c>
      <c r="O707" s="525" t="str">
        <f t="shared" si="160"/>
        <v>n.a.</v>
      </c>
      <c r="P707" s="525" t="str">
        <f t="shared" si="160"/>
        <v>n.a.</v>
      </c>
      <c r="Q707" s="525" t="str">
        <f t="shared" si="160"/>
        <v>n.a.</v>
      </c>
      <c r="R707" s="525" t="str">
        <f t="shared" si="160"/>
        <v>n.a.</v>
      </c>
      <c r="S707" s="525" t="str">
        <f t="shared" si="160"/>
        <v>n.a.</v>
      </c>
    </row>
    <row r="708" spans="1:19" s="110" customFormat="1" x14ac:dyDescent="0.25">
      <c r="A708" s="785">
        <v>575</v>
      </c>
      <c r="B708" s="525" t="str">
        <f t="shared" si="159"/>
        <v>n.a.</v>
      </c>
      <c r="C708" s="525" t="str">
        <f t="shared" si="159"/>
        <v>n.a.</v>
      </c>
      <c r="D708" s="525" t="str">
        <f t="shared" si="159"/>
        <v>n.a.</v>
      </c>
      <c r="E708" s="525" t="str">
        <f t="shared" si="159"/>
        <v>n.a.</v>
      </c>
      <c r="F708" s="525" t="str">
        <f t="shared" si="159"/>
        <v>n.a.</v>
      </c>
      <c r="G708" s="525" t="str">
        <f t="shared" si="159"/>
        <v>n.a.</v>
      </c>
      <c r="H708" s="525" t="str">
        <f t="shared" si="159"/>
        <v>n.a.</v>
      </c>
      <c r="I708" s="525" t="str">
        <f t="shared" si="159"/>
        <v>n.a.</v>
      </c>
      <c r="J708" s="525" t="str">
        <f t="shared" si="159"/>
        <v>n.a.</v>
      </c>
      <c r="K708" s="525" t="str">
        <f t="shared" si="159"/>
        <v>n.a.</v>
      </c>
      <c r="L708" s="525" t="str">
        <f t="shared" si="160"/>
        <v>n.a.</v>
      </c>
      <c r="M708" s="525" t="str">
        <f t="shared" si="160"/>
        <v>n.a.</v>
      </c>
      <c r="N708" s="525" t="str">
        <f t="shared" si="160"/>
        <v>n.a.</v>
      </c>
      <c r="O708" s="525" t="str">
        <f t="shared" si="160"/>
        <v>n.a.</v>
      </c>
      <c r="P708" s="525" t="str">
        <f t="shared" si="160"/>
        <v>n.a.</v>
      </c>
      <c r="Q708" s="525" t="str">
        <f t="shared" si="160"/>
        <v>n.a.</v>
      </c>
      <c r="R708" s="525" t="str">
        <f t="shared" si="160"/>
        <v>n.a.</v>
      </c>
      <c r="S708" s="525" t="str">
        <f t="shared" si="160"/>
        <v>n.a.</v>
      </c>
    </row>
    <row r="709" spans="1:19" s="110" customFormat="1" x14ac:dyDescent="0.25">
      <c r="A709" s="785">
        <v>576</v>
      </c>
      <c r="B709" s="525" t="str">
        <f t="shared" si="159"/>
        <v>n.a.</v>
      </c>
      <c r="C709" s="525" t="str">
        <f t="shared" si="159"/>
        <v>n.a.</v>
      </c>
      <c r="D709" s="525" t="str">
        <f t="shared" si="159"/>
        <v>n.a.</v>
      </c>
      <c r="E709" s="525" t="str">
        <f t="shared" si="159"/>
        <v>n.a.</v>
      </c>
      <c r="F709" s="525" t="str">
        <f t="shared" si="159"/>
        <v>n.a.</v>
      </c>
      <c r="G709" s="525" t="str">
        <f t="shared" si="159"/>
        <v>n.a.</v>
      </c>
      <c r="H709" s="525" t="str">
        <f t="shared" si="159"/>
        <v>n.a.</v>
      </c>
      <c r="I709" s="525" t="str">
        <f t="shared" si="159"/>
        <v>n.a.</v>
      </c>
      <c r="J709" s="525" t="str">
        <f t="shared" si="159"/>
        <v>n.a.</v>
      </c>
      <c r="K709" s="525" t="str">
        <f t="shared" si="159"/>
        <v>n.a.</v>
      </c>
      <c r="L709" s="525" t="str">
        <f t="shared" si="160"/>
        <v>n.a.</v>
      </c>
      <c r="M709" s="525" t="str">
        <f t="shared" si="160"/>
        <v>n.a.</v>
      </c>
      <c r="N709" s="525" t="str">
        <f t="shared" si="160"/>
        <v>n.a.</v>
      </c>
      <c r="O709" s="525" t="str">
        <f t="shared" si="160"/>
        <v>n.a.</v>
      </c>
      <c r="P709" s="525" t="str">
        <f t="shared" si="160"/>
        <v>n.a.</v>
      </c>
      <c r="Q709" s="525" t="str">
        <f t="shared" si="160"/>
        <v>n.a.</v>
      </c>
      <c r="R709" s="525" t="str">
        <f t="shared" si="160"/>
        <v>n.a.</v>
      </c>
      <c r="S709" s="525" t="str">
        <f t="shared" si="160"/>
        <v>n.a.</v>
      </c>
    </row>
    <row r="710" spans="1:19" s="110" customFormat="1" x14ac:dyDescent="0.25">
      <c r="A710" s="785">
        <v>577</v>
      </c>
      <c r="B710" s="525" t="str">
        <f t="shared" si="159"/>
        <v>n.a.</v>
      </c>
      <c r="C710" s="525" t="str">
        <f t="shared" si="159"/>
        <v>n.a.</v>
      </c>
      <c r="D710" s="525" t="str">
        <f t="shared" si="159"/>
        <v>n.a.</v>
      </c>
      <c r="E710" s="525" t="str">
        <f t="shared" si="159"/>
        <v>n.a.</v>
      </c>
      <c r="F710" s="525" t="str">
        <f t="shared" si="159"/>
        <v>n.a.</v>
      </c>
      <c r="G710" s="525" t="str">
        <f t="shared" si="159"/>
        <v>n.a.</v>
      </c>
      <c r="H710" s="525" t="str">
        <f t="shared" si="159"/>
        <v>n.a.</v>
      </c>
      <c r="I710" s="525" t="str">
        <f t="shared" si="159"/>
        <v>n.a.</v>
      </c>
      <c r="J710" s="525" t="str">
        <f t="shared" si="159"/>
        <v>n.a.</v>
      </c>
      <c r="K710" s="525" t="str">
        <f t="shared" si="159"/>
        <v>n.a.</v>
      </c>
      <c r="L710" s="525" t="str">
        <f t="shared" si="160"/>
        <v>n.a.</v>
      </c>
      <c r="M710" s="525" t="str">
        <f t="shared" si="160"/>
        <v>n.a.</v>
      </c>
      <c r="N710" s="525" t="str">
        <f t="shared" si="160"/>
        <v>n.a.</v>
      </c>
      <c r="O710" s="525" t="str">
        <f t="shared" si="160"/>
        <v>n.a.</v>
      </c>
      <c r="P710" s="525" t="str">
        <f t="shared" si="160"/>
        <v>n.a.</v>
      </c>
      <c r="Q710" s="525" t="str">
        <f t="shared" si="160"/>
        <v>n.a.</v>
      </c>
      <c r="R710" s="525" t="str">
        <f t="shared" si="160"/>
        <v>n.a.</v>
      </c>
      <c r="S710" s="525" t="str">
        <f t="shared" si="160"/>
        <v>n.a.</v>
      </c>
    </row>
    <row r="711" spans="1:19" s="110" customFormat="1" x14ac:dyDescent="0.25">
      <c r="A711" s="785">
        <v>578</v>
      </c>
      <c r="B711" s="525" t="str">
        <f t="shared" si="159"/>
        <v>n.a.</v>
      </c>
      <c r="C711" s="525" t="str">
        <f t="shared" si="159"/>
        <v>n.a.</v>
      </c>
      <c r="D711" s="525" t="str">
        <f t="shared" si="159"/>
        <v>n.a.</v>
      </c>
      <c r="E711" s="525" t="str">
        <f t="shared" si="159"/>
        <v>n.a.</v>
      </c>
      <c r="F711" s="525" t="str">
        <f t="shared" si="159"/>
        <v>n.a.</v>
      </c>
      <c r="G711" s="525" t="str">
        <f t="shared" si="159"/>
        <v>n.a.</v>
      </c>
      <c r="H711" s="525" t="str">
        <f t="shared" si="159"/>
        <v>n.a.</v>
      </c>
      <c r="I711" s="525" t="str">
        <f t="shared" si="159"/>
        <v>n.a.</v>
      </c>
      <c r="J711" s="525" t="str">
        <f t="shared" si="159"/>
        <v>n.a.</v>
      </c>
      <c r="K711" s="525" t="str">
        <f t="shared" si="159"/>
        <v>n.a.</v>
      </c>
      <c r="L711" s="525" t="str">
        <f t="shared" si="160"/>
        <v>n.a.</v>
      </c>
      <c r="M711" s="525" t="str">
        <f t="shared" si="160"/>
        <v>n.a.</v>
      </c>
      <c r="N711" s="525" t="str">
        <f t="shared" si="160"/>
        <v>n.a.</v>
      </c>
      <c r="O711" s="525" t="str">
        <f t="shared" si="160"/>
        <v>n.a.</v>
      </c>
      <c r="P711" s="525" t="str">
        <f t="shared" si="160"/>
        <v>n.a.</v>
      </c>
      <c r="Q711" s="525" t="str">
        <f t="shared" si="160"/>
        <v>n.a.</v>
      </c>
      <c r="R711" s="525" t="str">
        <f t="shared" si="160"/>
        <v>n.a.</v>
      </c>
      <c r="S711" s="525" t="str">
        <f t="shared" si="160"/>
        <v>n.a.</v>
      </c>
    </row>
    <row r="712" spans="1:19" s="110" customFormat="1" x14ac:dyDescent="0.25">
      <c r="A712" s="785">
        <v>579</v>
      </c>
      <c r="B712" s="525" t="str">
        <f t="shared" si="159"/>
        <v>n.a.</v>
      </c>
      <c r="C712" s="525" t="str">
        <f t="shared" si="159"/>
        <v>n.a.</v>
      </c>
      <c r="D712" s="525" t="str">
        <f t="shared" si="159"/>
        <v>n.a.</v>
      </c>
      <c r="E712" s="525" t="str">
        <f t="shared" si="159"/>
        <v>n.a.</v>
      </c>
      <c r="F712" s="525" t="str">
        <f t="shared" si="159"/>
        <v>n.a.</v>
      </c>
      <c r="G712" s="525" t="str">
        <f t="shared" si="159"/>
        <v>n.a.</v>
      </c>
      <c r="H712" s="525" t="str">
        <f t="shared" si="159"/>
        <v>n.a.</v>
      </c>
      <c r="I712" s="525" t="str">
        <f t="shared" si="159"/>
        <v>n.a.</v>
      </c>
      <c r="J712" s="525" t="str">
        <f t="shared" si="159"/>
        <v>n.a.</v>
      </c>
      <c r="K712" s="525" t="str">
        <f t="shared" si="159"/>
        <v>n.a.</v>
      </c>
      <c r="L712" s="525" t="str">
        <f t="shared" si="160"/>
        <v>n.a.</v>
      </c>
      <c r="M712" s="525" t="str">
        <f t="shared" si="160"/>
        <v>n.a.</v>
      </c>
      <c r="N712" s="525" t="str">
        <f t="shared" si="160"/>
        <v>n.a.</v>
      </c>
      <c r="O712" s="525" t="str">
        <f t="shared" si="160"/>
        <v>n.a.</v>
      </c>
      <c r="P712" s="525" t="str">
        <f t="shared" si="160"/>
        <v>n.a.</v>
      </c>
      <c r="Q712" s="525" t="str">
        <f t="shared" si="160"/>
        <v>n.a.</v>
      </c>
      <c r="R712" s="525" t="str">
        <f t="shared" si="160"/>
        <v>n.a.</v>
      </c>
      <c r="S712" s="525" t="str">
        <f t="shared" si="160"/>
        <v>n.a.</v>
      </c>
    </row>
    <row r="713" spans="1:19" s="110" customFormat="1" x14ac:dyDescent="0.25">
      <c r="A713" s="785">
        <v>580</v>
      </c>
      <c r="B713" s="525" t="str">
        <f t="shared" si="159"/>
        <v>n.a.</v>
      </c>
      <c r="C713" s="525" t="str">
        <f t="shared" si="159"/>
        <v>n.a.</v>
      </c>
      <c r="D713" s="525" t="str">
        <f t="shared" si="159"/>
        <v>n.a.</v>
      </c>
      <c r="E713" s="525" t="str">
        <f t="shared" si="159"/>
        <v>n.a.</v>
      </c>
      <c r="F713" s="525" t="str">
        <f t="shared" si="159"/>
        <v>n.a.</v>
      </c>
      <c r="G713" s="525" t="str">
        <f t="shared" si="159"/>
        <v>n.a.</v>
      </c>
      <c r="H713" s="525" t="str">
        <f t="shared" si="159"/>
        <v>n.a.</v>
      </c>
      <c r="I713" s="525" t="str">
        <f t="shared" si="159"/>
        <v>n.a.</v>
      </c>
      <c r="J713" s="525" t="str">
        <f t="shared" si="159"/>
        <v>n.a.</v>
      </c>
      <c r="K713" s="525" t="str">
        <f t="shared" si="159"/>
        <v>n.a.</v>
      </c>
      <c r="L713" s="525" t="str">
        <f t="shared" si="160"/>
        <v>n.a.</v>
      </c>
      <c r="M713" s="525" t="str">
        <f t="shared" si="160"/>
        <v>n.a.</v>
      </c>
      <c r="N713" s="525" t="str">
        <f t="shared" si="160"/>
        <v>n.a.</v>
      </c>
      <c r="O713" s="525" t="str">
        <f t="shared" si="160"/>
        <v>n.a.</v>
      </c>
      <c r="P713" s="525" t="str">
        <f t="shared" si="160"/>
        <v>n.a.</v>
      </c>
      <c r="Q713" s="525" t="str">
        <f t="shared" si="160"/>
        <v>n.a.</v>
      </c>
      <c r="R713" s="525" t="str">
        <f t="shared" si="160"/>
        <v>n.a.</v>
      </c>
      <c r="S713" s="525" t="str">
        <f t="shared" si="160"/>
        <v>n.a.</v>
      </c>
    </row>
    <row r="714" spans="1:19" s="110" customFormat="1" x14ac:dyDescent="0.25">
      <c r="A714" s="785">
        <v>581</v>
      </c>
      <c r="B714" s="525" t="str">
        <f t="shared" ref="B714:K729" si="161">IFERROR(INDEX(CNCodes_ListKey,MATCH($A714&amp;"_"&amp;B$132,CNCodes_ListNumbering,0)),CONST_NA)</f>
        <v>n.a.</v>
      </c>
      <c r="C714" s="525" t="str">
        <f t="shared" si="161"/>
        <v>n.a.</v>
      </c>
      <c r="D714" s="525" t="str">
        <f t="shared" si="161"/>
        <v>n.a.</v>
      </c>
      <c r="E714" s="525" t="str">
        <f t="shared" si="161"/>
        <v>n.a.</v>
      </c>
      <c r="F714" s="525" t="str">
        <f t="shared" si="161"/>
        <v>n.a.</v>
      </c>
      <c r="G714" s="525" t="str">
        <f t="shared" si="161"/>
        <v>n.a.</v>
      </c>
      <c r="H714" s="525" t="str">
        <f t="shared" si="161"/>
        <v>n.a.</v>
      </c>
      <c r="I714" s="525" t="str">
        <f t="shared" si="161"/>
        <v>n.a.</v>
      </c>
      <c r="J714" s="525" t="str">
        <f t="shared" si="161"/>
        <v>n.a.</v>
      </c>
      <c r="K714" s="525" t="str">
        <f t="shared" si="161"/>
        <v>n.a.</v>
      </c>
      <c r="L714" s="525" t="str">
        <f t="shared" ref="L714:S729" si="162">IFERROR(INDEX(CNCodes_ListKey,MATCH($A714&amp;"_"&amp;L$132,CNCodes_ListNumbering,0)),CONST_NA)</f>
        <v>n.a.</v>
      </c>
      <c r="M714" s="525" t="str">
        <f t="shared" si="162"/>
        <v>n.a.</v>
      </c>
      <c r="N714" s="525" t="str">
        <f t="shared" si="162"/>
        <v>n.a.</v>
      </c>
      <c r="O714" s="525" t="str">
        <f t="shared" si="162"/>
        <v>n.a.</v>
      </c>
      <c r="P714" s="525" t="str">
        <f t="shared" si="162"/>
        <v>n.a.</v>
      </c>
      <c r="Q714" s="525" t="str">
        <f t="shared" si="162"/>
        <v>n.a.</v>
      </c>
      <c r="R714" s="525" t="str">
        <f t="shared" si="162"/>
        <v>n.a.</v>
      </c>
      <c r="S714" s="525" t="str">
        <f t="shared" si="162"/>
        <v>n.a.</v>
      </c>
    </row>
    <row r="715" spans="1:19" s="110" customFormat="1" x14ac:dyDescent="0.25">
      <c r="A715" s="785">
        <v>582</v>
      </c>
      <c r="B715" s="525" t="str">
        <f t="shared" si="161"/>
        <v>n.a.</v>
      </c>
      <c r="C715" s="525" t="str">
        <f t="shared" si="161"/>
        <v>n.a.</v>
      </c>
      <c r="D715" s="525" t="str">
        <f t="shared" si="161"/>
        <v>n.a.</v>
      </c>
      <c r="E715" s="525" t="str">
        <f t="shared" si="161"/>
        <v>n.a.</v>
      </c>
      <c r="F715" s="525" t="str">
        <f t="shared" si="161"/>
        <v>n.a.</v>
      </c>
      <c r="G715" s="525" t="str">
        <f t="shared" si="161"/>
        <v>n.a.</v>
      </c>
      <c r="H715" s="525" t="str">
        <f t="shared" si="161"/>
        <v>n.a.</v>
      </c>
      <c r="I715" s="525" t="str">
        <f t="shared" si="161"/>
        <v>n.a.</v>
      </c>
      <c r="J715" s="525" t="str">
        <f t="shared" si="161"/>
        <v>n.a.</v>
      </c>
      <c r="K715" s="525" t="str">
        <f t="shared" si="161"/>
        <v>n.a.</v>
      </c>
      <c r="L715" s="525" t="str">
        <f t="shared" si="162"/>
        <v>n.a.</v>
      </c>
      <c r="M715" s="525" t="str">
        <f t="shared" si="162"/>
        <v>n.a.</v>
      </c>
      <c r="N715" s="525" t="str">
        <f t="shared" si="162"/>
        <v>n.a.</v>
      </c>
      <c r="O715" s="525" t="str">
        <f t="shared" si="162"/>
        <v>n.a.</v>
      </c>
      <c r="P715" s="525" t="str">
        <f t="shared" si="162"/>
        <v>n.a.</v>
      </c>
      <c r="Q715" s="525" t="str">
        <f t="shared" si="162"/>
        <v>n.a.</v>
      </c>
      <c r="R715" s="525" t="str">
        <f t="shared" si="162"/>
        <v>n.a.</v>
      </c>
      <c r="S715" s="525" t="str">
        <f t="shared" si="162"/>
        <v>n.a.</v>
      </c>
    </row>
    <row r="716" spans="1:19" s="110" customFormat="1" x14ac:dyDescent="0.25">
      <c r="A716" s="785">
        <v>583</v>
      </c>
      <c r="B716" s="525" t="str">
        <f t="shared" si="161"/>
        <v>n.a.</v>
      </c>
      <c r="C716" s="525" t="str">
        <f t="shared" si="161"/>
        <v>n.a.</v>
      </c>
      <c r="D716" s="525" t="str">
        <f t="shared" si="161"/>
        <v>n.a.</v>
      </c>
      <c r="E716" s="525" t="str">
        <f t="shared" si="161"/>
        <v>n.a.</v>
      </c>
      <c r="F716" s="525" t="str">
        <f t="shared" si="161"/>
        <v>n.a.</v>
      </c>
      <c r="G716" s="525" t="str">
        <f t="shared" si="161"/>
        <v>n.a.</v>
      </c>
      <c r="H716" s="525" t="str">
        <f t="shared" si="161"/>
        <v>n.a.</v>
      </c>
      <c r="I716" s="525" t="str">
        <f t="shared" si="161"/>
        <v>n.a.</v>
      </c>
      <c r="J716" s="525" t="str">
        <f t="shared" si="161"/>
        <v>n.a.</v>
      </c>
      <c r="K716" s="525" t="str">
        <f t="shared" si="161"/>
        <v>n.a.</v>
      </c>
      <c r="L716" s="525" t="str">
        <f t="shared" si="162"/>
        <v>n.a.</v>
      </c>
      <c r="M716" s="525" t="str">
        <f t="shared" si="162"/>
        <v>n.a.</v>
      </c>
      <c r="N716" s="525" t="str">
        <f t="shared" si="162"/>
        <v>n.a.</v>
      </c>
      <c r="O716" s="525" t="str">
        <f t="shared" si="162"/>
        <v>n.a.</v>
      </c>
      <c r="P716" s="525" t="str">
        <f t="shared" si="162"/>
        <v>n.a.</v>
      </c>
      <c r="Q716" s="525" t="str">
        <f t="shared" si="162"/>
        <v>n.a.</v>
      </c>
      <c r="R716" s="525" t="str">
        <f t="shared" si="162"/>
        <v>n.a.</v>
      </c>
      <c r="S716" s="525" t="str">
        <f t="shared" si="162"/>
        <v>n.a.</v>
      </c>
    </row>
    <row r="717" spans="1:19" s="110" customFormat="1" x14ac:dyDescent="0.25">
      <c r="A717" s="785">
        <v>584</v>
      </c>
      <c r="B717" s="525" t="str">
        <f t="shared" si="161"/>
        <v>n.a.</v>
      </c>
      <c r="C717" s="525" t="str">
        <f t="shared" si="161"/>
        <v>n.a.</v>
      </c>
      <c r="D717" s="525" t="str">
        <f t="shared" si="161"/>
        <v>n.a.</v>
      </c>
      <c r="E717" s="525" t="str">
        <f t="shared" si="161"/>
        <v>n.a.</v>
      </c>
      <c r="F717" s="525" t="str">
        <f t="shared" si="161"/>
        <v>n.a.</v>
      </c>
      <c r="G717" s="525" t="str">
        <f t="shared" si="161"/>
        <v>n.a.</v>
      </c>
      <c r="H717" s="525" t="str">
        <f t="shared" si="161"/>
        <v>n.a.</v>
      </c>
      <c r="I717" s="525" t="str">
        <f t="shared" si="161"/>
        <v>n.a.</v>
      </c>
      <c r="J717" s="525" t="str">
        <f t="shared" si="161"/>
        <v>n.a.</v>
      </c>
      <c r="K717" s="525" t="str">
        <f t="shared" si="161"/>
        <v>n.a.</v>
      </c>
      <c r="L717" s="525" t="str">
        <f t="shared" si="162"/>
        <v>n.a.</v>
      </c>
      <c r="M717" s="525" t="str">
        <f t="shared" si="162"/>
        <v>n.a.</v>
      </c>
      <c r="N717" s="525" t="str">
        <f t="shared" si="162"/>
        <v>n.a.</v>
      </c>
      <c r="O717" s="525" t="str">
        <f t="shared" si="162"/>
        <v>n.a.</v>
      </c>
      <c r="P717" s="525" t="str">
        <f t="shared" si="162"/>
        <v>n.a.</v>
      </c>
      <c r="Q717" s="525" t="str">
        <f t="shared" si="162"/>
        <v>n.a.</v>
      </c>
      <c r="R717" s="525" t="str">
        <f t="shared" si="162"/>
        <v>n.a.</v>
      </c>
      <c r="S717" s="525" t="str">
        <f t="shared" si="162"/>
        <v>n.a.</v>
      </c>
    </row>
    <row r="718" spans="1:19" s="110" customFormat="1" x14ac:dyDescent="0.25">
      <c r="A718" s="785">
        <v>585</v>
      </c>
      <c r="B718" s="525" t="str">
        <f t="shared" si="161"/>
        <v>n.a.</v>
      </c>
      <c r="C718" s="525" t="str">
        <f t="shared" si="161"/>
        <v>n.a.</v>
      </c>
      <c r="D718" s="525" t="str">
        <f t="shared" si="161"/>
        <v>n.a.</v>
      </c>
      <c r="E718" s="525" t="str">
        <f t="shared" si="161"/>
        <v>n.a.</v>
      </c>
      <c r="F718" s="525" t="str">
        <f t="shared" si="161"/>
        <v>n.a.</v>
      </c>
      <c r="G718" s="525" t="str">
        <f t="shared" si="161"/>
        <v>n.a.</v>
      </c>
      <c r="H718" s="525" t="str">
        <f t="shared" si="161"/>
        <v>n.a.</v>
      </c>
      <c r="I718" s="525" t="str">
        <f t="shared" si="161"/>
        <v>n.a.</v>
      </c>
      <c r="J718" s="525" t="str">
        <f t="shared" si="161"/>
        <v>n.a.</v>
      </c>
      <c r="K718" s="525" t="str">
        <f t="shared" si="161"/>
        <v>n.a.</v>
      </c>
      <c r="L718" s="525" t="str">
        <f t="shared" si="162"/>
        <v>n.a.</v>
      </c>
      <c r="M718" s="525" t="str">
        <f t="shared" si="162"/>
        <v>n.a.</v>
      </c>
      <c r="N718" s="525" t="str">
        <f t="shared" si="162"/>
        <v>n.a.</v>
      </c>
      <c r="O718" s="525" t="str">
        <f t="shared" si="162"/>
        <v>n.a.</v>
      </c>
      <c r="P718" s="525" t="str">
        <f t="shared" si="162"/>
        <v>n.a.</v>
      </c>
      <c r="Q718" s="525" t="str">
        <f t="shared" si="162"/>
        <v>n.a.</v>
      </c>
      <c r="R718" s="525" t="str">
        <f t="shared" si="162"/>
        <v>n.a.</v>
      </c>
      <c r="S718" s="525" t="str">
        <f t="shared" si="162"/>
        <v>n.a.</v>
      </c>
    </row>
    <row r="719" spans="1:19" s="110" customFormat="1" x14ac:dyDescent="0.25">
      <c r="A719" s="785">
        <v>586</v>
      </c>
      <c r="B719" s="525" t="str">
        <f t="shared" si="161"/>
        <v>n.a.</v>
      </c>
      <c r="C719" s="525" t="str">
        <f t="shared" si="161"/>
        <v>n.a.</v>
      </c>
      <c r="D719" s="525" t="str">
        <f t="shared" si="161"/>
        <v>n.a.</v>
      </c>
      <c r="E719" s="525" t="str">
        <f t="shared" si="161"/>
        <v>n.a.</v>
      </c>
      <c r="F719" s="525" t="str">
        <f t="shared" si="161"/>
        <v>n.a.</v>
      </c>
      <c r="G719" s="525" t="str">
        <f t="shared" si="161"/>
        <v>n.a.</v>
      </c>
      <c r="H719" s="525" t="str">
        <f t="shared" si="161"/>
        <v>n.a.</v>
      </c>
      <c r="I719" s="525" t="str">
        <f t="shared" si="161"/>
        <v>n.a.</v>
      </c>
      <c r="J719" s="525" t="str">
        <f t="shared" si="161"/>
        <v>n.a.</v>
      </c>
      <c r="K719" s="525" t="str">
        <f t="shared" si="161"/>
        <v>n.a.</v>
      </c>
      <c r="L719" s="525" t="str">
        <f t="shared" si="162"/>
        <v>n.a.</v>
      </c>
      <c r="M719" s="525" t="str">
        <f t="shared" si="162"/>
        <v>n.a.</v>
      </c>
      <c r="N719" s="525" t="str">
        <f t="shared" si="162"/>
        <v>n.a.</v>
      </c>
      <c r="O719" s="525" t="str">
        <f t="shared" si="162"/>
        <v>n.a.</v>
      </c>
      <c r="P719" s="525" t="str">
        <f t="shared" si="162"/>
        <v>n.a.</v>
      </c>
      <c r="Q719" s="525" t="str">
        <f t="shared" si="162"/>
        <v>n.a.</v>
      </c>
      <c r="R719" s="525" t="str">
        <f t="shared" si="162"/>
        <v>n.a.</v>
      </c>
      <c r="S719" s="525" t="str">
        <f t="shared" si="162"/>
        <v>n.a.</v>
      </c>
    </row>
    <row r="720" spans="1:19" s="110" customFormat="1" x14ac:dyDescent="0.25">
      <c r="A720" s="785">
        <v>587</v>
      </c>
      <c r="B720" s="525" t="str">
        <f t="shared" si="161"/>
        <v>n.a.</v>
      </c>
      <c r="C720" s="525" t="str">
        <f t="shared" si="161"/>
        <v>n.a.</v>
      </c>
      <c r="D720" s="525" t="str">
        <f t="shared" si="161"/>
        <v>n.a.</v>
      </c>
      <c r="E720" s="525" t="str">
        <f t="shared" si="161"/>
        <v>n.a.</v>
      </c>
      <c r="F720" s="525" t="str">
        <f t="shared" si="161"/>
        <v>n.a.</v>
      </c>
      <c r="G720" s="525" t="str">
        <f t="shared" si="161"/>
        <v>n.a.</v>
      </c>
      <c r="H720" s="525" t="str">
        <f t="shared" si="161"/>
        <v>n.a.</v>
      </c>
      <c r="I720" s="525" t="str">
        <f t="shared" si="161"/>
        <v>n.a.</v>
      </c>
      <c r="J720" s="525" t="str">
        <f t="shared" si="161"/>
        <v>n.a.</v>
      </c>
      <c r="K720" s="525" t="str">
        <f t="shared" si="161"/>
        <v>n.a.</v>
      </c>
      <c r="L720" s="525" t="str">
        <f t="shared" si="162"/>
        <v>n.a.</v>
      </c>
      <c r="M720" s="525" t="str">
        <f t="shared" si="162"/>
        <v>n.a.</v>
      </c>
      <c r="N720" s="525" t="str">
        <f t="shared" si="162"/>
        <v>n.a.</v>
      </c>
      <c r="O720" s="525" t="str">
        <f t="shared" si="162"/>
        <v>n.a.</v>
      </c>
      <c r="P720" s="525" t="str">
        <f t="shared" si="162"/>
        <v>n.a.</v>
      </c>
      <c r="Q720" s="525" t="str">
        <f t="shared" si="162"/>
        <v>n.a.</v>
      </c>
      <c r="R720" s="525" t="str">
        <f t="shared" si="162"/>
        <v>n.a.</v>
      </c>
      <c r="S720" s="525" t="str">
        <f t="shared" si="162"/>
        <v>n.a.</v>
      </c>
    </row>
    <row r="721" spans="1:19" s="110" customFormat="1" x14ac:dyDescent="0.25">
      <c r="A721" s="785">
        <v>588</v>
      </c>
      <c r="B721" s="525" t="str">
        <f t="shared" si="161"/>
        <v>n.a.</v>
      </c>
      <c r="C721" s="525" t="str">
        <f t="shared" si="161"/>
        <v>n.a.</v>
      </c>
      <c r="D721" s="525" t="str">
        <f t="shared" si="161"/>
        <v>n.a.</v>
      </c>
      <c r="E721" s="525" t="str">
        <f t="shared" si="161"/>
        <v>n.a.</v>
      </c>
      <c r="F721" s="525" t="str">
        <f t="shared" si="161"/>
        <v>n.a.</v>
      </c>
      <c r="G721" s="525" t="str">
        <f t="shared" si="161"/>
        <v>n.a.</v>
      </c>
      <c r="H721" s="525" t="str">
        <f t="shared" si="161"/>
        <v>n.a.</v>
      </c>
      <c r="I721" s="525" t="str">
        <f t="shared" si="161"/>
        <v>n.a.</v>
      </c>
      <c r="J721" s="525" t="str">
        <f t="shared" si="161"/>
        <v>n.a.</v>
      </c>
      <c r="K721" s="525" t="str">
        <f t="shared" si="161"/>
        <v>n.a.</v>
      </c>
      <c r="L721" s="525" t="str">
        <f t="shared" si="162"/>
        <v>n.a.</v>
      </c>
      <c r="M721" s="525" t="str">
        <f t="shared" si="162"/>
        <v>n.a.</v>
      </c>
      <c r="N721" s="525" t="str">
        <f t="shared" si="162"/>
        <v>n.a.</v>
      </c>
      <c r="O721" s="525" t="str">
        <f t="shared" si="162"/>
        <v>n.a.</v>
      </c>
      <c r="P721" s="525" t="str">
        <f t="shared" si="162"/>
        <v>n.a.</v>
      </c>
      <c r="Q721" s="525" t="str">
        <f t="shared" si="162"/>
        <v>n.a.</v>
      </c>
      <c r="R721" s="525" t="str">
        <f t="shared" si="162"/>
        <v>n.a.</v>
      </c>
      <c r="S721" s="525" t="str">
        <f t="shared" si="162"/>
        <v>n.a.</v>
      </c>
    </row>
    <row r="722" spans="1:19" s="110" customFormat="1" x14ac:dyDescent="0.25">
      <c r="A722" s="785">
        <v>589</v>
      </c>
      <c r="B722" s="525" t="str">
        <f t="shared" si="161"/>
        <v>n.a.</v>
      </c>
      <c r="C722" s="525" t="str">
        <f t="shared" si="161"/>
        <v>n.a.</v>
      </c>
      <c r="D722" s="525" t="str">
        <f t="shared" si="161"/>
        <v>n.a.</v>
      </c>
      <c r="E722" s="525" t="str">
        <f t="shared" si="161"/>
        <v>n.a.</v>
      </c>
      <c r="F722" s="525" t="str">
        <f t="shared" si="161"/>
        <v>n.a.</v>
      </c>
      <c r="G722" s="525" t="str">
        <f t="shared" si="161"/>
        <v>n.a.</v>
      </c>
      <c r="H722" s="525" t="str">
        <f t="shared" si="161"/>
        <v>n.a.</v>
      </c>
      <c r="I722" s="525" t="str">
        <f t="shared" si="161"/>
        <v>n.a.</v>
      </c>
      <c r="J722" s="525" t="str">
        <f t="shared" si="161"/>
        <v>n.a.</v>
      </c>
      <c r="K722" s="525" t="str">
        <f t="shared" si="161"/>
        <v>n.a.</v>
      </c>
      <c r="L722" s="525" t="str">
        <f t="shared" si="162"/>
        <v>n.a.</v>
      </c>
      <c r="M722" s="525" t="str">
        <f t="shared" si="162"/>
        <v>n.a.</v>
      </c>
      <c r="N722" s="525" t="str">
        <f t="shared" si="162"/>
        <v>n.a.</v>
      </c>
      <c r="O722" s="525" t="str">
        <f t="shared" si="162"/>
        <v>n.a.</v>
      </c>
      <c r="P722" s="525" t="str">
        <f t="shared" si="162"/>
        <v>n.a.</v>
      </c>
      <c r="Q722" s="525" t="str">
        <f t="shared" si="162"/>
        <v>n.a.</v>
      </c>
      <c r="R722" s="525" t="str">
        <f t="shared" si="162"/>
        <v>n.a.</v>
      </c>
      <c r="S722" s="525" t="str">
        <f t="shared" si="162"/>
        <v>n.a.</v>
      </c>
    </row>
    <row r="723" spans="1:19" s="110" customFormat="1" x14ac:dyDescent="0.25">
      <c r="A723" s="785">
        <v>590</v>
      </c>
      <c r="B723" s="525" t="str">
        <f t="shared" si="161"/>
        <v>n.a.</v>
      </c>
      <c r="C723" s="525" t="str">
        <f t="shared" si="161"/>
        <v>n.a.</v>
      </c>
      <c r="D723" s="525" t="str">
        <f t="shared" si="161"/>
        <v>n.a.</v>
      </c>
      <c r="E723" s="525" t="str">
        <f t="shared" si="161"/>
        <v>n.a.</v>
      </c>
      <c r="F723" s="525" t="str">
        <f t="shared" si="161"/>
        <v>n.a.</v>
      </c>
      <c r="G723" s="525" t="str">
        <f t="shared" si="161"/>
        <v>n.a.</v>
      </c>
      <c r="H723" s="525" t="str">
        <f t="shared" si="161"/>
        <v>n.a.</v>
      </c>
      <c r="I723" s="525" t="str">
        <f t="shared" si="161"/>
        <v>n.a.</v>
      </c>
      <c r="J723" s="525" t="str">
        <f t="shared" si="161"/>
        <v>n.a.</v>
      </c>
      <c r="K723" s="525" t="str">
        <f t="shared" si="161"/>
        <v>n.a.</v>
      </c>
      <c r="L723" s="525" t="str">
        <f t="shared" si="162"/>
        <v>n.a.</v>
      </c>
      <c r="M723" s="525" t="str">
        <f t="shared" si="162"/>
        <v>n.a.</v>
      </c>
      <c r="N723" s="525" t="str">
        <f t="shared" si="162"/>
        <v>n.a.</v>
      </c>
      <c r="O723" s="525" t="str">
        <f t="shared" si="162"/>
        <v>n.a.</v>
      </c>
      <c r="P723" s="525" t="str">
        <f t="shared" si="162"/>
        <v>n.a.</v>
      </c>
      <c r="Q723" s="525" t="str">
        <f t="shared" si="162"/>
        <v>n.a.</v>
      </c>
      <c r="R723" s="525" t="str">
        <f t="shared" si="162"/>
        <v>n.a.</v>
      </c>
      <c r="S723" s="525" t="str">
        <f t="shared" si="162"/>
        <v>n.a.</v>
      </c>
    </row>
    <row r="724" spans="1:19" s="110" customFormat="1" x14ac:dyDescent="0.25">
      <c r="A724" s="785">
        <v>591</v>
      </c>
      <c r="B724" s="525" t="str">
        <f t="shared" si="161"/>
        <v>n.a.</v>
      </c>
      <c r="C724" s="525" t="str">
        <f t="shared" si="161"/>
        <v>n.a.</v>
      </c>
      <c r="D724" s="525" t="str">
        <f t="shared" si="161"/>
        <v>n.a.</v>
      </c>
      <c r="E724" s="525" t="str">
        <f t="shared" si="161"/>
        <v>n.a.</v>
      </c>
      <c r="F724" s="525" t="str">
        <f t="shared" si="161"/>
        <v>n.a.</v>
      </c>
      <c r="G724" s="525" t="str">
        <f t="shared" si="161"/>
        <v>n.a.</v>
      </c>
      <c r="H724" s="525" t="str">
        <f t="shared" si="161"/>
        <v>n.a.</v>
      </c>
      <c r="I724" s="525" t="str">
        <f t="shared" si="161"/>
        <v>n.a.</v>
      </c>
      <c r="J724" s="525" t="str">
        <f t="shared" si="161"/>
        <v>n.a.</v>
      </c>
      <c r="K724" s="525" t="str">
        <f t="shared" si="161"/>
        <v>n.a.</v>
      </c>
      <c r="L724" s="525" t="str">
        <f t="shared" si="162"/>
        <v>n.a.</v>
      </c>
      <c r="M724" s="525" t="str">
        <f t="shared" si="162"/>
        <v>n.a.</v>
      </c>
      <c r="N724" s="525" t="str">
        <f t="shared" si="162"/>
        <v>n.a.</v>
      </c>
      <c r="O724" s="525" t="str">
        <f t="shared" si="162"/>
        <v>n.a.</v>
      </c>
      <c r="P724" s="525" t="str">
        <f t="shared" si="162"/>
        <v>n.a.</v>
      </c>
      <c r="Q724" s="525" t="str">
        <f t="shared" si="162"/>
        <v>n.a.</v>
      </c>
      <c r="R724" s="525" t="str">
        <f t="shared" si="162"/>
        <v>n.a.</v>
      </c>
      <c r="S724" s="525" t="str">
        <f t="shared" si="162"/>
        <v>n.a.</v>
      </c>
    </row>
    <row r="725" spans="1:19" s="110" customFormat="1" x14ac:dyDescent="0.25">
      <c r="A725" s="785">
        <v>592</v>
      </c>
      <c r="B725" s="525" t="str">
        <f t="shared" si="161"/>
        <v>n.a.</v>
      </c>
      <c r="C725" s="525" t="str">
        <f t="shared" si="161"/>
        <v>n.a.</v>
      </c>
      <c r="D725" s="525" t="str">
        <f t="shared" si="161"/>
        <v>n.a.</v>
      </c>
      <c r="E725" s="525" t="str">
        <f t="shared" si="161"/>
        <v>n.a.</v>
      </c>
      <c r="F725" s="525" t="str">
        <f t="shared" si="161"/>
        <v>n.a.</v>
      </c>
      <c r="G725" s="525" t="str">
        <f t="shared" si="161"/>
        <v>n.a.</v>
      </c>
      <c r="H725" s="525" t="str">
        <f t="shared" si="161"/>
        <v>n.a.</v>
      </c>
      <c r="I725" s="525" t="str">
        <f t="shared" si="161"/>
        <v>n.a.</v>
      </c>
      <c r="J725" s="525" t="str">
        <f t="shared" si="161"/>
        <v>n.a.</v>
      </c>
      <c r="K725" s="525" t="str">
        <f t="shared" si="161"/>
        <v>n.a.</v>
      </c>
      <c r="L725" s="525" t="str">
        <f t="shared" si="162"/>
        <v>n.a.</v>
      </c>
      <c r="M725" s="525" t="str">
        <f t="shared" si="162"/>
        <v>n.a.</v>
      </c>
      <c r="N725" s="525" t="str">
        <f t="shared" si="162"/>
        <v>n.a.</v>
      </c>
      <c r="O725" s="525" t="str">
        <f t="shared" si="162"/>
        <v>n.a.</v>
      </c>
      <c r="P725" s="525" t="str">
        <f t="shared" si="162"/>
        <v>n.a.</v>
      </c>
      <c r="Q725" s="525" t="str">
        <f t="shared" si="162"/>
        <v>n.a.</v>
      </c>
      <c r="R725" s="525" t="str">
        <f t="shared" si="162"/>
        <v>n.a.</v>
      </c>
      <c r="S725" s="525" t="str">
        <f t="shared" si="162"/>
        <v>n.a.</v>
      </c>
    </row>
    <row r="726" spans="1:19" s="110" customFormat="1" x14ac:dyDescent="0.25">
      <c r="A726" s="785">
        <v>593</v>
      </c>
      <c r="B726" s="525" t="str">
        <f t="shared" si="161"/>
        <v>n.a.</v>
      </c>
      <c r="C726" s="525" t="str">
        <f t="shared" si="161"/>
        <v>n.a.</v>
      </c>
      <c r="D726" s="525" t="str">
        <f t="shared" si="161"/>
        <v>n.a.</v>
      </c>
      <c r="E726" s="525" t="str">
        <f t="shared" si="161"/>
        <v>n.a.</v>
      </c>
      <c r="F726" s="525" t="str">
        <f t="shared" si="161"/>
        <v>n.a.</v>
      </c>
      <c r="G726" s="525" t="str">
        <f t="shared" si="161"/>
        <v>n.a.</v>
      </c>
      <c r="H726" s="525" t="str">
        <f t="shared" si="161"/>
        <v>n.a.</v>
      </c>
      <c r="I726" s="525" t="str">
        <f t="shared" si="161"/>
        <v>n.a.</v>
      </c>
      <c r="J726" s="525" t="str">
        <f t="shared" si="161"/>
        <v>n.a.</v>
      </c>
      <c r="K726" s="525" t="str">
        <f t="shared" si="161"/>
        <v>n.a.</v>
      </c>
      <c r="L726" s="525" t="str">
        <f t="shared" si="162"/>
        <v>n.a.</v>
      </c>
      <c r="M726" s="525" t="str">
        <f t="shared" si="162"/>
        <v>n.a.</v>
      </c>
      <c r="N726" s="525" t="str">
        <f t="shared" si="162"/>
        <v>n.a.</v>
      </c>
      <c r="O726" s="525" t="str">
        <f t="shared" si="162"/>
        <v>n.a.</v>
      </c>
      <c r="P726" s="525" t="str">
        <f t="shared" si="162"/>
        <v>n.a.</v>
      </c>
      <c r="Q726" s="525" t="str">
        <f t="shared" si="162"/>
        <v>n.a.</v>
      </c>
      <c r="R726" s="525" t="str">
        <f t="shared" si="162"/>
        <v>n.a.</v>
      </c>
      <c r="S726" s="525" t="str">
        <f t="shared" si="162"/>
        <v>n.a.</v>
      </c>
    </row>
    <row r="727" spans="1:19" s="110" customFormat="1" x14ac:dyDescent="0.25">
      <c r="A727" s="785">
        <v>594</v>
      </c>
      <c r="B727" s="525" t="str">
        <f t="shared" si="161"/>
        <v>n.a.</v>
      </c>
      <c r="C727" s="525" t="str">
        <f t="shared" si="161"/>
        <v>n.a.</v>
      </c>
      <c r="D727" s="525" t="str">
        <f t="shared" si="161"/>
        <v>n.a.</v>
      </c>
      <c r="E727" s="525" t="str">
        <f t="shared" si="161"/>
        <v>n.a.</v>
      </c>
      <c r="F727" s="525" t="str">
        <f t="shared" si="161"/>
        <v>n.a.</v>
      </c>
      <c r="G727" s="525" t="str">
        <f t="shared" si="161"/>
        <v>n.a.</v>
      </c>
      <c r="H727" s="525" t="str">
        <f t="shared" si="161"/>
        <v>n.a.</v>
      </c>
      <c r="I727" s="525" t="str">
        <f t="shared" si="161"/>
        <v>n.a.</v>
      </c>
      <c r="J727" s="525" t="str">
        <f t="shared" si="161"/>
        <v>n.a.</v>
      </c>
      <c r="K727" s="525" t="str">
        <f t="shared" si="161"/>
        <v>n.a.</v>
      </c>
      <c r="L727" s="525" t="str">
        <f t="shared" si="162"/>
        <v>n.a.</v>
      </c>
      <c r="M727" s="525" t="str">
        <f t="shared" si="162"/>
        <v>n.a.</v>
      </c>
      <c r="N727" s="525" t="str">
        <f t="shared" si="162"/>
        <v>n.a.</v>
      </c>
      <c r="O727" s="525" t="str">
        <f t="shared" si="162"/>
        <v>n.a.</v>
      </c>
      <c r="P727" s="525" t="str">
        <f t="shared" si="162"/>
        <v>n.a.</v>
      </c>
      <c r="Q727" s="525" t="str">
        <f t="shared" si="162"/>
        <v>n.a.</v>
      </c>
      <c r="R727" s="525" t="str">
        <f t="shared" si="162"/>
        <v>n.a.</v>
      </c>
      <c r="S727" s="525" t="str">
        <f t="shared" si="162"/>
        <v>n.a.</v>
      </c>
    </row>
    <row r="728" spans="1:19" s="110" customFormat="1" x14ac:dyDescent="0.25">
      <c r="A728" s="785">
        <v>595</v>
      </c>
      <c r="B728" s="525" t="str">
        <f t="shared" si="161"/>
        <v>n.a.</v>
      </c>
      <c r="C728" s="525" t="str">
        <f t="shared" si="161"/>
        <v>n.a.</v>
      </c>
      <c r="D728" s="525" t="str">
        <f t="shared" si="161"/>
        <v>n.a.</v>
      </c>
      <c r="E728" s="525" t="str">
        <f t="shared" si="161"/>
        <v>n.a.</v>
      </c>
      <c r="F728" s="525" t="str">
        <f t="shared" si="161"/>
        <v>n.a.</v>
      </c>
      <c r="G728" s="525" t="str">
        <f t="shared" si="161"/>
        <v>n.a.</v>
      </c>
      <c r="H728" s="525" t="str">
        <f t="shared" si="161"/>
        <v>n.a.</v>
      </c>
      <c r="I728" s="525" t="str">
        <f t="shared" si="161"/>
        <v>n.a.</v>
      </c>
      <c r="J728" s="525" t="str">
        <f t="shared" si="161"/>
        <v>n.a.</v>
      </c>
      <c r="K728" s="525" t="str">
        <f t="shared" si="161"/>
        <v>n.a.</v>
      </c>
      <c r="L728" s="525" t="str">
        <f t="shared" si="162"/>
        <v>n.a.</v>
      </c>
      <c r="M728" s="525" t="str">
        <f t="shared" si="162"/>
        <v>n.a.</v>
      </c>
      <c r="N728" s="525" t="str">
        <f t="shared" si="162"/>
        <v>n.a.</v>
      </c>
      <c r="O728" s="525" t="str">
        <f t="shared" si="162"/>
        <v>n.a.</v>
      </c>
      <c r="P728" s="525" t="str">
        <f t="shared" si="162"/>
        <v>n.a.</v>
      </c>
      <c r="Q728" s="525" t="str">
        <f t="shared" si="162"/>
        <v>n.a.</v>
      </c>
      <c r="R728" s="525" t="str">
        <f t="shared" si="162"/>
        <v>n.a.</v>
      </c>
      <c r="S728" s="525" t="str">
        <f t="shared" si="162"/>
        <v>n.a.</v>
      </c>
    </row>
    <row r="729" spans="1:19" s="110" customFormat="1" x14ac:dyDescent="0.25">
      <c r="A729" s="785">
        <v>596</v>
      </c>
      <c r="B729" s="525" t="str">
        <f t="shared" si="161"/>
        <v>n.a.</v>
      </c>
      <c r="C729" s="525" t="str">
        <f t="shared" si="161"/>
        <v>n.a.</v>
      </c>
      <c r="D729" s="525" t="str">
        <f t="shared" si="161"/>
        <v>n.a.</v>
      </c>
      <c r="E729" s="525" t="str">
        <f t="shared" si="161"/>
        <v>n.a.</v>
      </c>
      <c r="F729" s="525" t="str">
        <f t="shared" si="161"/>
        <v>n.a.</v>
      </c>
      <c r="G729" s="525" t="str">
        <f t="shared" si="161"/>
        <v>n.a.</v>
      </c>
      <c r="H729" s="525" t="str">
        <f t="shared" si="161"/>
        <v>n.a.</v>
      </c>
      <c r="I729" s="525" t="str">
        <f t="shared" si="161"/>
        <v>n.a.</v>
      </c>
      <c r="J729" s="525" t="str">
        <f t="shared" si="161"/>
        <v>n.a.</v>
      </c>
      <c r="K729" s="525" t="str">
        <f t="shared" si="161"/>
        <v>n.a.</v>
      </c>
      <c r="L729" s="525" t="str">
        <f t="shared" si="162"/>
        <v>n.a.</v>
      </c>
      <c r="M729" s="525" t="str">
        <f t="shared" si="162"/>
        <v>n.a.</v>
      </c>
      <c r="N729" s="525" t="str">
        <f t="shared" si="162"/>
        <v>n.a.</v>
      </c>
      <c r="O729" s="525" t="str">
        <f t="shared" si="162"/>
        <v>n.a.</v>
      </c>
      <c r="P729" s="525" t="str">
        <f t="shared" si="162"/>
        <v>n.a.</v>
      </c>
      <c r="Q729" s="525" t="str">
        <f t="shared" si="162"/>
        <v>n.a.</v>
      </c>
      <c r="R729" s="525" t="str">
        <f t="shared" si="162"/>
        <v>n.a.</v>
      </c>
      <c r="S729" s="525" t="str">
        <f t="shared" si="162"/>
        <v>n.a.</v>
      </c>
    </row>
    <row r="730" spans="1:19" s="110" customFormat="1" x14ac:dyDescent="0.25">
      <c r="A730" s="785">
        <v>597</v>
      </c>
      <c r="B730" s="525" t="str">
        <f t="shared" ref="B730:Q733" si="163">IFERROR(INDEX(CNCodes_ListKey,MATCH($A730&amp;"_"&amp;B$132,CNCodes_ListNumbering,0)),CONST_NA)</f>
        <v>n.a.</v>
      </c>
      <c r="C730" s="525" t="str">
        <f t="shared" si="163"/>
        <v>n.a.</v>
      </c>
      <c r="D730" s="525" t="str">
        <f t="shared" si="163"/>
        <v>n.a.</v>
      </c>
      <c r="E730" s="525" t="str">
        <f t="shared" si="163"/>
        <v>n.a.</v>
      </c>
      <c r="F730" s="525" t="str">
        <f t="shared" si="163"/>
        <v>n.a.</v>
      </c>
      <c r="G730" s="525" t="str">
        <f t="shared" si="163"/>
        <v>n.a.</v>
      </c>
      <c r="H730" s="525" t="str">
        <f t="shared" si="163"/>
        <v>n.a.</v>
      </c>
      <c r="I730" s="525" t="str">
        <f t="shared" si="163"/>
        <v>n.a.</v>
      </c>
      <c r="J730" s="525" t="str">
        <f t="shared" si="163"/>
        <v>n.a.</v>
      </c>
      <c r="K730" s="525" t="str">
        <f t="shared" si="163"/>
        <v>n.a.</v>
      </c>
      <c r="L730" s="525" t="str">
        <f t="shared" si="163"/>
        <v>n.a.</v>
      </c>
      <c r="M730" s="525" t="str">
        <f t="shared" si="163"/>
        <v>n.a.</v>
      </c>
      <c r="N730" s="525" t="str">
        <f t="shared" si="163"/>
        <v>n.a.</v>
      </c>
      <c r="O730" s="525" t="str">
        <f t="shared" si="163"/>
        <v>n.a.</v>
      </c>
      <c r="P730" s="525" t="str">
        <f t="shared" si="163"/>
        <v>n.a.</v>
      </c>
      <c r="Q730" s="525" t="str">
        <f t="shared" si="163"/>
        <v>n.a.</v>
      </c>
      <c r="R730" s="525" t="str">
        <f t="shared" ref="L730:S733" si="164">IFERROR(INDEX(CNCodes_ListKey,MATCH($A730&amp;"_"&amp;R$132,CNCodes_ListNumbering,0)),CONST_NA)</f>
        <v>n.a.</v>
      </c>
      <c r="S730" s="525" t="str">
        <f t="shared" si="164"/>
        <v>n.a.</v>
      </c>
    </row>
    <row r="731" spans="1:19" s="110" customFormat="1" x14ac:dyDescent="0.25">
      <c r="A731" s="785">
        <v>598</v>
      </c>
      <c r="B731" s="525" t="str">
        <f t="shared" si="163"/>
        <v>n.a.</v>
      </c>
      <c r="C731" s="525" t="str">
        <f t="shared" si="163"/>
        <v>n.a.</v>
      </c>
      <c r="D731" s="525" t="str">
        <f t="shared" si="163"/>
        <v>n.a.</v>
      </c>
      <c r="E731" s="525" t="str">
        <f t="shared" si="163"/>
        <v>n.a.</v>
      </c>
      <c r="F731" s="525" t="str">
        <f t="shared" si="163"/>
        <v>n.a.</v>
      </c>
      <c r="G731" s="525" t="str">
        <f t="shared" si="163"/>
        <v>n.a.</v>
      </c>
      <c r="H731" s="525" t="str">
        <f t="shared" si="163"/>
        <v>n.a.</v>
      </c>
      <c r="I731" s="525" t="str">
        <f t="shared" si="163"/>
        <v>n.a.</v>
      </c>
      <c r="J731" s="525" t="str">
        <f t="shared" si="163"/>
        <v>n.a.</v>
      </c>
      <c r="K731" s="525" t="str">
        <f t="shared" si="163"/>
        <v>n.a.</v>
      </c>
      <c r="L731" s="525" t="str">
        <f t="shared" si="164"/>
        <v>n.a.</v>
      </c>
      <c r="M731" s="525" t="str">
        <f t="shared" si="164"/>
        <v>n.a.</v>
      </c>
      <c r="N731" s="525" t="str">
        <f t="shared" si="164"/>
        <v>n.a.</v>
      </c>
      <c r="O731" s="525" t="str">
        <f t="shared" si="164"/>
        <v>n.a.</v>
      </c>
      <c r="P731" s="525" t="str">
        <f t="shared" si="164"/>
        <v>n.a.</v>
      </c>
      <c r="Q731" s="525" t="str">
        <f t="shared" si="164"/>
        <v>n.a.</v>
      </c>
      <c r="R731" s="525" t="str">
        <f t="shared" si="164"/>
        <v>n.a.</v>
      </c>
      <c r="S731" s="525" t="str">
        <f t="shared" si="164"/>
        <v>n.a.</v>
      </c>
    </row>
    <row r="732" spans="1:19" s="110" customFormat="1" x14ac:dyDescent="0.25">
      <c r="A732" s="785">
        <v>599</v>
      </c>
      <c r="B732" s="525" t="str">
        <f t="shared" si="163"/>
        <v>n.a.</v>
      </c>
      <c r="C732" s="525" t="str">
        <f t="shared" si="163"/>
        <v>n.a.</v>
      </c>
      <c r="D732" s="525" t="str">
        <f t="shared" si="163"/>
        <v>n.a.</v>
      </c>
      <c r="E732" s="525" t="str">
        <f t="shared" si="163"/>
        <v>n.a.</v>
      </c>
      <c r="F732" s="525" t="str">
        <f t="shared" si="163"/>
        <v>n.a.</v>
      </c>
      <c r="G732" s="525" t="str">
        <f t="shared" si="163"/>
        <v>n.a.</v>
      </c>
      <c r="H732" s="525" t="str">
        <f t="shared" si="163"/>
        <v>n.a.</v>
      </c>
      <c r="I732" s="525" t="str">
        <f t="shared" si="163"/>
        <v>n.a.</v>
      </c>
      <c r="J732" s="525" t="str">
        <f t="shared" si="163"/>
        <v>n.a.</v>
      </c>
      <c r="K732" s="525" t="str">
        <f t="shared" si="163"/>
        <v>n.a.</v>
      </c>
      <c r="L732" s="525" t="str">
        <f t="shared" si="164"/>
        <v>n.a.</v>
      </c>
      <c r="M732" s="525" t="str">
        <f t="shared" si="164"/>
        <v>n.a.</v>
      </c>
      <c r="N732" s="525" t="str">
        <f t="shared" si="164"/>
        <v>n.a.</v>
      </c>
      <c r="O732" s="525" t="str">
        <f t="shared" si="164"/>
        <v>n.a.</v>
      </c>
      <c r="P732" s="525" t="str">
        <f t="shared" si="164"/>
        <v>n.a.</v>
      </c>
      <c r="Q732" s="525" t="str">
        <f t="shared" si="164"/>
        <v>n.a.</v>
      </c>
      <c r="R732" s="525" t="str">
        <f t="shared" si="164"/>
        <v>n.a.</v>
      </c>
      <c r="S732" s="525" t="str">
        <f t="shared" si="164"/>
        <v>n.a.</v>
      </c>
    </row>
    <row r="733" spans="1:19" s="110" customFormat="1" x14ac:dyDescent="0.25">
      <c r="A733" s="785">
        <v>600</v>
      </c>
      <c r="B733" s="526" t="str">
        <f t="shared" si="163"/>
        <v>n.a.</v>
      </c>
      <c r="C733" s="526" t="str">
        <f t="shared" si="163"/>
        <v>n.a.</v>
      </c>
      <c r="D733" s="526" t="str">
        <f t="shared" si="163"/>
        <v>n.a.</v>
      </c>
      <c r="E733" s="526" t="str">
        <f t="shared" si="163"/>
        <v>n.a.</v>
      </c>
      <c r="F733" s="526" t="str">
        <f t="shared" si="163"/>
        <v>n.a.</v>
      </c>
      <c r="G733" s="526" t="str">
        <f t="shared" si="163"/>
        <v>n.a.</v>
      </c>
      <c r="H733" s="526" t="str">
        <f t="shared" si="163"/>
        <v>n.a.</v>
      </c>
      <c r="I733" s="526" t="str">
        <f t="shared" si="163"/>
        <v>n.a.</v>
      </c>
      <c r="J733" s="526" t="str">
        <f t="shared" si="163"/>
        <v>n.a.</v>
      </c>
      <c r="K733" s="526" t="str">
        <f t="shared" si="163"/>
        <v>n.a.</v>
      </c>
      <c r="L733" s="526" t="str">
        <f t="shared" si="164"/>
        <v>n.a.</v>
      </c>
      <c r="M733" s="526" t="str">
        <f t="shared" si="164"/>
        <v>n.a.</v>
      </c>
      <c r="N733" s="526" t="str">
        <f t="shared" si="164"/>
        <v>n.a.</v>
      </c>
      <c r="O733" s="526" t="str">
        <f t="shared" si="164"/>
        <v>n.a.</v>
      </c>
      <c r="P733" s="526" t="str">
        <f t="shared" si="164"/>
        <v>n.a.</v>
      </c>
      <c r="Q733" s="526" t="str">
        <f t="shared" si="164"/>
        <v>n.a.</v>
      </c>
      <c r="R733" s="526" t="str">
        <f t="shared" si="164"/>
        <v>n.a.</v>
      </c>
      <c r="S733" s="526" t="str">
        <f t="shared" si="164"/>
        <v>n.a.</v>
      </c>
    </row>
  </sheetData>
  <sheetProtection sheet="1" objects="1" scenarios="1" formatCells="0" formatColumns="0" formatRows="0"/>
  <dataValidations count="1">
    <dataValidation type="list" allowBlank="1" showInputMessage="1" showErrorMessage="1" sqref="B1" xr:uid="{00000000-0002-0000-0F00-000000000000}">
      <formula1>CONST_TransitionalOrDefinitive</formula1>
    </dataValidation>
  </dataValidation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tabColor theme="2"/>
  </sheetPr>
  <dimension ref="A1:H572"/>
  <sheetViews>
    <sheetView workbookViewId="0">
      <pane xSplit="2" ySplit="3" topLeftCell="C4" activePane="bottomRight" state="frozen"/>
      <selection activeCell="B2" sqref="B2:F2"/>
      <selection pane="topRight" activeCell="B2" sqref="B2:F2"/>
      <selection pane="bottomLeft" activeCell="B2" sqref="B2:F2"/>
      <selection pane="bottomRight" activeCell="B2" sqref="B2:F2"/>
    </sheetView>
  </sheetViews>
  <sheetFormatPr defaultColWidth="11.453125" defaultRowHeight="12" x14ac:dyDescent="0.3"/>
  <cols>
    <col min="1" max="1" width="15.7265625" style="628" hidden="1" customWidth="1"/>
    <col min="2" max="2" width="15.7265625" style="628" customWidth="1"/>
    <col min="3" max="3" width="78.81640625" style="628" customWidth="1"/>
    <col min="4" max="5" width="15.7265625" style="628" customWidth="1"/>
    <col min="6" max="6" width="25.1796875" style="628" customWidth="1"/>
    <col min="7" max="7" width="22.26953125" style="628" customWidth="1"/>
    <col min="8" max="8" width="15.7265625" style="628" hidden="1" customWidth="1"/>
    <col min="9" max="16384" width="11.453125" style="448"/>
  </cols>
  <sheetData>
    <row r="1" spans="1:8" hidden="1" x14ac:dyDescent="0.3">
      <c r="A1" s="628" t="s">
        <v>3</v>
      </c>
      <c r="F1" s="628" t="str">
        <f>IF(E1=" --- ","",COUNTIF($E1:E$3,E1)&amp;"_"&amp;E1)</f>
        <v>0_</v>
      </c>
      <c r="H1" s="628" t="s">
        <v>3</v>
      </c>
    </row>
    <row r="2" spans="1:8" hidden="1" x14ac:dyDescent="0.3">
      <c r="A2" s="628" t="s">
        <v>3</v>
      </c>
      <c r="C2" s="628" t="s">
        <v>2713</v>
      </c>
      <c r="D2" s="628" t="s">
        <v>2710</v>
      </c>
      <c r="F2" s="628" t="s">
        <v>2711</v>
      </c>
    </row>
    <row r="3" spans="1:8" s="449" customFormat="1" x14ac:dyDescent="0.3">
      <c r="A3" s="629" t="s">
        <v>650</v>
      </c>
      <c r="B3" s="629" t="s">
        <v>651</v>
      </c>
      <c r="C3" s="629" t="s">
        <v>2999</v>
      </c>
      <c r="D3" s="629" t="s">
        <v>651</v>
      </c>
      <c r="E3" s="629" t="str">
        <f>Translations!$B$2098</f>
        <v>CBAM good</v>
      </c>
      <c r="F3" s="629" t="s">
        <v>195</v>
      </c>
      <c r="G3" s="629"/>
      <c r="H3" s="665" t="s">
        <v>652</v>
      </c>
    </row>
    <row r="4" spans="1:8" x14ac:dyDescent="0.3">
      <c r="A4" s="628" t="s">
        <v>653</v>
      </c>
      <c r="B4" s="628" t="s">
        <v>654</v>
      </c>
      <c r="C4" s="628" t="str">
        <f>Translations!$B$694</f>
        <v>Kaolinic clays (other than kaolin)</v>
      </c>
      <c r="D4" s="628" t="str">
        <f t="shared" ref="D4:D17" si="0">SUBSTITUTE(B4," ","")</f>
        <v>25070080</v>
      </c>
      <c r="E4" s="1140" t="str">
        <f>Translations!$B$666</f>
        <v xml:space="preserve">Calcined clays </v>
      </c>
      <c r="F4" s="628" t="str">
        <f>IF(E4=" --- ","",COUNTIF($E$4:E4,E4)&amp;"_"&amp;E4)</f>
        <v xml:space="preserve">1_Calcined clays </v>
      </c>
      <c r="H4" s="628" t="s">
        <v>655</v>
      </c>
    </row>
    <row r="5" spans="1:8" x14ac:dyDescent="0.3">
      <c r="A5" s="628" t="s">
        <v>656</v>
      </c>
      <c r="B5" s="628" t="s">
        <v>657</v>
      </c>
      <c r="C5" s="628" t="str">
        <f>Translations!$B$695</f>
        <v>Cement clinkers</v>
      </c>
      <c r="D5" s="628" t="str">
        <f t="shared" si="0"/>
        <v>25231000</v>
      </c>
      <c r="E5" s="1140" t="str">
        <f>Translations!$B$665</f>
        <v>Cement clinker</v>
      </c>
      <c r="F5" s="628" t="str">
        <f>IF(E5=" --- ","",COUNTIF($E$4:E5,E5)&amp;"_"&amp;E5)</f>
        <v>1_Cement clinker</v>
      </c>
      <c r="H5" s="628" t="s">
        <v>658</v>
      </c>
    </row>
    <row r="6" spans="1:8" x14ac:dyDescent="0.3">
      <c r="A6" s="628" t="s">
        <v>659</v>
      </c>
      <c r="B6" s="628" t="s">
        <v>660</v>
      </c>
      <c r="C6" s="628" t="str">
        <f>Translations!$B$696</f>
        <v>White portland cement, whether or not artificially coloured</v>
      </c>
      <c r="D6" s="628" t="str">
        <f t="shared" si="0"/>
        <v>25232100</v>
      </c>
      <c r="E6" s="1140" t="str">
        <f>Translations!$B$664</f>
        <v>Cement</v>
      </c>
      <c r="F6" s="628" t="str">
        <f>IF(E6=" --- ","",COUNTIF($E$4:E6,E6)&amp;"_"&amp;E6)</f>
        <v>1_Cement</v>
      </c>
      <c r="H6" s="628" t="s">
        <v>661</v>
      </c>
    </row>
    <row r="7" spans="1:8" x14ac:dyDescent="0.3">
      <c r="A7" s="628" t="s">
        <v>662</v>
      </c>
      <c r="B7" s="628" t="s">
        <v>663</v>
      </c>
      <c r="C7" s="628" t="str">
        <f>Translations!$B$697</f>
        <v>Portland cement (excl. white, whether or not artificially coloured)</v>
      </c>
      <c r="D7" s="628" t="str">
        <f t="shared" si="0"/>
        <v>25232900</v>
      </c>
      <c r="E7" s="1140" t="str">
        <f>Translations!$B$664</f>
        <v>Cement</v>
      </c>
      <c r="F7" s="628" t="str">
        <f>IF(E7=" --- ","",COUNTIF($E$4:E7,E7)&amp;"_"&amp;E7)</f>
        <v>2_Cement</v>
      </c>
      <c r="H7" s="628" t="s">
        <v>664</v>
      </c>
    </row>
    <row r="8" spans="1:8" x14ac:dyDescent="0.3">
      <c r="A8" s="628" t="s">
        <v>665</v>
      </c>
      <c r="B8" s="628" t="s">
        <v>666</v>
      </c>
      <c r="C8" s="628" t="str">
        <f>Translations!$B$667</f>
        <v>Aluminous cement</v>
      </c>
      <c r="D8" s="628" t="str">
        <f t="shared" si="0"/>
        <v>25233000</v>
      </c>
      <c r="E8" s="1140" t="str">
        <f>Translations!$B$667</f>
        <v>Aluminous cement</v>
      </c>
      <c r="F8" s="628" t="str">
        <f>IF(E8=" --- ","",COUNTIF($E$4:E8,E8)&amp;"_"&amp;E8)</f>
        <v>1_Aluminous cement</v>
      </c>
      <c r="H8" s="628" t="s">
        <v>18</v>
      </c>
    </row>
    <row r="9" spans="1:8" x14ac:dyDescent="0.3">
      <c r="A9" s="628" t="s">
        <v>667</v>
      </c>
      <c r="B9" s="628" t="s">
        <v>668</v>
      </c>
      <c r="C9" s="628" t="str">
        <f>Translations!$B$698</f>
        <v>Cement, whether or not coloured (excl. portland cement and aluminous cement)</v>
      </c>
      <c r="D9" s="628" t="str">
        <f t="shared" si="0"/>
        <v>25239000</v>
      </c>
      <c r="E9" s="1140" t="str">
        <f>Translations!$B$664</f>
        <v>Cement</v>
      </c>
      <c r="F9" s="628" t="str">
        <f>IF(E9=" --- ","",COUNTIF($E$4:E9,E9)&amp;"_"&amp;E9)</f>
        <v>3_Cement</v>
      </c>
      <c r="H9" s="628" t="s">
        <v>669</v>
      </c>
    </row>
    <row r="10" spans="1:8" x14ac:dyDescent="0.3">
      <c r="A10" s="628" t="s">
        <v>670</v>
      </c>
      <c r="B10" s="628" t="s">
        <v>671</v>
      </c>
      <c r="C10" s="628" t="str">
        <f>Translations!$B$699</f>
        <v>Agglomerated iron ores and concentrates (excl. roasted iron pyrites)</v>
      </c>
      <c r="D10" s="628" t="str">
        <f t="shared" si="0"/>
        <v>26011200</v>
      </c>
      <c r="E10" s="1140" t="str">
        <f>Translations!$B$678</f>
        <v>Sintered Ore</v>
      </c>
      <c r="F10" s="628" t="str">
        <f>IF(E10=" --- ","",COUNTIF($E$4:E10,E10)&amp;"_"&amp;E10)</f>
        <v>1_Sintered Ore</v>
      </c>
      <c r="H10" s="628" t="s">
        <v>672</v>
      </c>
    </row>
    <row r="11" spans="1:8" x14ac:dyDescent="0.3">
      <c r="A11" s="628" t="s">
        <v>676</v>
      </c>
      <c r="B11" s="628" t="s">
        <v>677</v>
      </c>
      <c r="C11" s="628" t="str">
        <f>Translations!$B$650</f>
        <v>Hydrogen</v>
      </c>
      <c r="D11" s="628" t="str">
        <f t="shared" si="0"/>
        <v>28041000</v>
      </c>
      <c r="E11" s="1140" t="str">
        <f>Translations!$B$650</f>
        <v>Hydrogen</v>
      </c>
      <c r="F11" s="628" t="str">
        <f>IF(E11=" --- ","",COUNTIF($E$4:E11,E11)&amp;"_"&amp;E11)</f>
        <v>1_Hydrogen</v>
      </c>
      <c r="H11" s="628" t="s">
        <v>14</v>
      </c>
    </row>
    <row r="12" spans="1:8" x14ac:dyDescent="0.3">
      <c r="A12" s="628" t="s">
        <v>678</v>
      </c>
      <c r="B12" s="628" t="s">
        <v>679</v>
      </c>
      <c r="C12" s="628" t="str">
        <f>Translations!$B$701</f>
        <v>Nitric acid; sulphonitric acids</v>
      </c>
      <c r="D12" s="628" t="str">
        <f t="shared" si="0"/>
        <v>28080000</v>
      </c>
      <c r="E12" s="1140" t="str">
        <f>Translations!$B$685</f>
        <v>Nitric acid</v>
      </c>
      <c r="F12" s="628" t="str">
        <f>IF(E12=" --- ","",COUNTIF($E$4:E12,E12)&amp;"_"&amp;E12)</f>
        <v>1_Nitric acid</v>
      </c>
      <c r="H12" s="628" t="s">
        <v>680</v>
      </c>
    </row>
    <row r="13" spans="1:8" x14ac:dyDescent="0.3">
      <c r="A13" s="628" t="s">
        <v>683</v>
      </c>
      <c r="B13" s="628" t="s">
        <v>684</v>
      </c>
      <c r="C13" s="628" t="str">
        <f>Translations!$B$703</f>
        <v>Anhydrous ammonia</v>
      </c>
      <c r="D13" s="628" t="str">
        <f t="shared" si="0"/>
        <v>28141000</v>
      </c>
      <c r="E13" s="1140" t="str">
        <f>Translations!$B$682</f>
        <v>Ammonia</v>
      </c>
      <c r="F13" s="628" t="str">
        <f>IF(E13=" --- ","",COUNTIF($E$4:E13,E13)&amp;"_"&amp;E13)</f>
        <v>1_Ammonia</v>
      </c>
      <c r="H13" s="628" t="s">
        <v>685</v>
      </c>
    </row>
    <row r="14" spans="1:8" x14ac:dyDescent="0.3">
      <c r="A14" s="628" t="s">
        <v>686</v>
      </c>
      <c r="B14" s="628" t="s">
        <v>687</v>
      </c>
      <c r="C14" s="628" t="str">
        <f>Translations!$B$704</f>
        <v>Ammonia in aqueous solution</v>
      </c>
      <c r="D14" s="628" t="str">
        <f t="shared" si="0"/>
        <v>28142000</v>
      </c>
      <c r="E14" s="1140" t="str">
        <f>Translations!$B$682</f>
        <v>Ammonia</v>
      </c>
      <c r="F14" s="628" t="str">
        <f>IF(E14=" --- ","",COUNTIF($E$4:E14,E14)&amp;"_"&amp;E14)</f>
        <v>2_Ammonia</v>
      </c>
      <c r="H14" s="628" t="s">
        <v>688</v>
      </c>
    </row>
    <row r="15" spans="1:8" x14ac:dyDescent="0.3">
      <c r="A15" s="628" t="s">
        <v>689</v>
      </c>
      <c r="B15" s="628" t="s">
        <v>690</v>
      </c>
      <c r="C15" s="628" t="str">
        <f>Translations!$B$705</f>
        <v>Nitrate of potassium</v>
      </c>
      <c r="D15" s="628" t="str">
        <f t="shared" si="0"/>
        <v>28342100</v>
      </c>
      <c r="E15" s="1140" t="str">
        <f>Translations!$B$687</f>
        <v>Mixed fertilisers</v>
      </c>
      <c r="F15" s="628" t="str">
        <f>IF(E15=" --- ","",COUNTIF($E$4:E15,E15)&amp;"_"&amp;E15)</f>
        <v>1_Mixed fertilisers</v>
      </c>
      <c r="H15" s="628" t="s">
        <v>691</v>
      </c>
    </row>
    <row r="16" spans="1:8" x14ac:dyDescent="0.3">
      <c r="A16" s="628" t="s">
        <v>696</v>
      </c>
      <c r="B16" s="628" t="s">
        <v>697</v>
      </c>
      <c r="C16" s="628" t="str">
        <f>Translations!$B$708</f>
        <v>Urea, whether or not in aqueous solution, containing &gt; 45% nitrogen in relation to the weight of the dry product (excl. that in tablets or similar forms, or in packages with a gross weight of &lt;= 10 kg)</v>
      </c>
      <c r="D16" s="628" t="str">
        <f t="shared" si="0"/>
        <v>31021010</v>
      </c>
      <c r="E16" s="1140" t="str">
        <f>Translations!$B$686</f>
        <v>Urea</v>
      </c>
      <c r="F16" s="628" t="str">
        <f>IF(E16=" --- ","",COUNTIF($E$4:E16,E16)&amp;"_"&amp;E16)</f>
        <v>1_Urea</v>
      </c>
      <c r="H16" s="628" t="s">
        <v>698</v>
      </c>
    </row>
    <row r="17" spans="1:8" x14ac:dyDescent="0.3">
      <c r="A17" s="628" t="s">
        <v>699</v>
      </c>
      <c r="B17" s="628" t="s">
        <v>700</v>
      </c>
      <c r="C17" s="628" t="str">
        <f>Translations!$B$709</f>
        <v>Urea, whether or not in aqueous solution, containing &lt;= 45% by weight of nitrogen on the dry anhydrous product (excl. goods of this chapter in tablets or similar forms or in packages of a gross weight of &lt;= 10 kg)</v>
      </c>
      <c r="D17" s="628" t="str">
        <f t="shared" si="0"/>
        <v>31021090</v>
      </c>
      <c r="E17" s="1140" t="str">
        <f>Translations!$B$686</f>
        <v>Urea</v>
      </c>
      <c r="F17" s="628" t="str">
        <f>IF(E17=" --- ","",COUNTIF($E$4:E17,E17)&amp;"_"&amp;E17)</f>
        <v>2_Urea</v>
      </c>
      <c r="H17" s="628" t="s">
        <v>701</v>
      </c>
    </row>
    <row r="18" spans="1:8" x14ac:dyDescent="0.3">
      <c r="A18" s="628" t="s">
        <v>702</v>
      </c>
      <c r="B18" s="628" t="s">
        <v>703</v>
      </c>
      <c r="C18" s="628" t="str">
        <f>Translations!$B$710</f>
        <v>Ammonium sulphate (excl. that in tablets or similar forms, or in packages with a gross weight of &lt;= 10 kg)</v>
      </c>
      <c r="D18" s="628" t="str">
        <f t="shared" ref="D18:D81" si="1">SUBSTITUTE(B18," ","")</f>
        <v>31022100</v>
      </c>
      <c r="E18" s="1140" t="str">
        <f>Translations!$B$687</f>
        <v>Mixed fertilisers</v>
      </c>
      <c r="F18" s="628" t="str">
        <f>IF(E18=" --- ","",COUNTIF($E$4:E18,E18)&amp;"_"&amp;E18)</f>
        <v>2_Mixed fertilisers</v>
      </c>
      <c r="H18" s="628" t="s">
        <v>704</v>
      </c>
    </row>
    <row r="19" spans="1:8" x14ac:dyDescent="0.3">
      <c r="A19" s="628" t="s">
        <v>705</v>
      </c>
      <c r="B19" s="628" t="s">
        <v>706</v>
      </c>
      <c r="C19" s="628" t="str">
        <f>Translations!$B$711</f>
        <v>Double salts and mixtures of ammonium sulphate and ammonium nitrate (excl. goods of this chapter in tablets or similar forms or in packages of a gross weight of &lt;= 10 kg)</v>
      </c>
      <c r="D19" s="628" t="str">
        <f t="shared" si="1"/>
        <v>31022900</v>
      </c>
      <c r="E19" s="1140" t="str">
        <f>Translations!$B$687</f>
        <v>Mixed fertilisers</v>
      </c>
      <c r="F19" s="628" t="str">
        <f>IF(E19=" --- ","",COUNTIF($E$4:E19,E19)&amp;"_"&amp;E19)</f>
        <v>3_Mixed fertilisers</v>
      </c>
      <c r="H19" s="628" t="s">
        <v>707</v>
      </c>
    </row>
    <row r="20" spans="1:8" x14ac:dyDescent="0.3">
      <c r="A20" s="628" t="s">
        <v>710</v>
      </c>
      <c r="B20" s="628" t="s">
        <v>711</v>
      </c>
      <c r="C20" s="628" t="str">
        <f>Translations!$B$713</f>
        <v>Ammonium nitrate in aqueous solution (excl. that in packages with a gross weight of &lt;= 10 kg)</v>
      </c>
      <c r="D20" s="628" t="str">
        <f t="shared" si="1"/>
        <v>31023010</v>
      </c>
      <c r="E20" s="1140" t="str">
        <f>Translations!$B$687</f>
        <v>Mixed fertilisers</v>
      </c>
      <c r="F20" s="628" t="str">
        <f>IF(E20=" --- ","",COUNTIF($E$4:E20,E20)&amp;"_"&amp;E20)</f>
        <v>4_Mixed fertilisers</v>
      </c>
      <c r="H20" s="628" t="s">
        <v>712</v>
      </c>
    </row>
    <row r="21" spans="1:8" x14ac:dyDescent="0.3">
      <c r="A21" s="628" t="s">
        <v>713</v>
      </c>
      <c r="B21" s="628" t="s">
        <v>714</v>
      </c>
      <c r="C21" s="628" t="str">
        <f>Translations!$B$714</f>
        <v>Ammonium nitrate (excl. that in aqueous solution, in tablets or similar forms, or in packages with a gross weight of &lt;= 10 kg)</v>
      </c>
      <c r="D21" s="628" t="str">
        <f t="shared" si="1"/>
        <v>31023090</v>
      </c>
      <c r="E21" s="1140" t="str">
        <f>Translations!$B$687</f>
        <v>Mixed fertilisers</v>
      </c>
      <c r="F21" s="628" t="str">
        <f>IF(E21=" --- ","",COUNTIF($E$4:E21,E21)&amp;"_"&amp;E21)</f>
        <v>5_Mixed fertilisers</v>
      </c>
      <c r="H21" s="628" t="s">
        <v>715</v>
      </c>
    </row>
    <row r="22" spans="1:8" x14ac:dyDescent="0.3">
      <c r="A22" s="628" t="s">
        <v>718</v>
      </c>
      <c r="B22" s="628" t="s">
        <v>719</v>
      </c>
      <c r="C22" s="628" t="str">
        <f>Translations!$B$716</f>
        <v>Mixtures of ammonium nitrate with calcium carbonate or other inorganic non-fertilising substances, for use as fertilisers, containing &lt;= 28% nitrogen by weight (excl. those in tablets or similar forms, or in packages with a gross weight of &lt;= 10 kg)</v>
      </c>
      <c r="D22" s="628" t="str">
        <f t="shared" si="1"/>
        <v>31024010</v>
      </c>
      <c r="E22" s="1140" t="str">
        <f>Translations!$B$687</f>
        <v>Mixed fertilisers</v>
      </c>
      <c r="F22" s="628" t="str">
        <f>IF(E22=" --- ","",COUNTIF($E$4:E22,E22)&amp;"_"&amp;E22)</f>
        <v>6_Mixed fertilisers</v>
      </c>
      <c r="H22" s="628" t="s">
        <v>720</v>
      </c>
    </row>
    <row r="23" spans="1:8" x14ac:dyDescent="0.3">
      <c r="A23" s="628" t="s">
        <v>721</v>
      </c>
      <c r="B23" s="628" t="s">
        <v>722</v>
      </c>
      <c r="C23" s="628" t="str">
        <f>Translations!$B$717</f>
        <v>Mixtures of ammonium nitrate with calcium carbonate or other inorganic non-fertilising substances, for use as fertilisers, containing &gt; 28% nitrogen by weight (excl. those in tablets or similar forms, or in packages with a gross weight of &lt;= 10 kg)</v>
      </c>
      <c r="D23" s="628" t="str">
        <f t="shared" si="1"/>
        <v>31024090</v>
      </c>
      <c r="E23" s="1140" t="str">
        <f>Translations!$B$687</f>
        <v>Mixed fertilisers</v>
      </c>
      <c r="F23" s="628" t="str">
        <f>IF(E23=" --- ","",COUNTIF($E$4:E23,E23)&amp;"_"&amp;E23)</f>
        <v>7_Mixed fertilisers</v>
      </c>
      <c r="H23" s="628" t="s">
        <v>723</v>
      </c>
    </row>
    <row r="24" spans="1:8" x14ac:dyDescent="0.3">
      <c r="A24" s="628" t="s">
        <v>724</v>
      </c>
      <c r="B24" s="628" t="s">
        <v>725</v>
      </c>
      <c r="C24" s="628" t="str">
        <f>Translations!$B$718</f>
        <v>Sodium nitrate (excl. that in tablets or similar forms, or in packages with a gross weight of &lt;= 10 kg)</v>
      </c>
      <c r="D24" s="628" t="str">
        <f t="shared" si="1"/>
        <v>31025000</v>
      </c>
      <c r="E24" s="1140" t="str">
        <f>Translations!$B$687</f>
        <v>Mixed fertilisers</v>
      </c>
      <c r="F24" s="628" t="str">
        <f>IF(E24=" --- ","",COUNTIF($E$4:E24,E24)&amp;"_"&amp;E24)</f>
        <v>8_Mixed fertilisers</v>
      </c>
      <c r="H24" s="628" t="s">
        <v>726</v>
      </c>
    </row>
    <row r="25" spans="1:8" x14ac:dyDescent="0.3">
      <c r="A25" s="628" t="s">
        <v>727</v>
      </c>
      <c r="B25" s="628" t="s">
        <v>728</v>
      </c>
      <c r="C25" s="628" t="str">
        <f>Translations!$B$719</f>
        <v>Double salts and mixtures of calcium nitrate and ammonium nitrate (excl. those in tablets or similar forms, or in packages with a gross weight of &lt;= 10 kg)</v>
      </c>
      <c r="D25" s="628" t="str">
        <f t="shared" si="1"/>
        <v>31026000</v>
      </c>
      <c r="E25" s="1140" t="str">
        <f>Translations!$B$687</f>
        <v>Mixed fertilisers</v>
      </c>
      <c r="F25" s="628" t="str">
        <f>IF(E25=" --- ","",COUNTIF($E$4:E25,E25)&amp;"_"&amp;E25)</f>
        <v>9_Mixed fertilisers</v>
      </c>
      <c r="H25" s="628" t="s">
        <v>729</v>
      </c>
    </row>
    <row r="26" spans="1:8" x14ac:dyDescent="0.3">
      <c r="A26" s="628" t="s">
        <v>730</v>
      </c>
      <c r="B26" s="628" t="s">
        <v>731</v>
      </c>
      <c r="C26" s="628" t="str">
        <f>Translations!$B$720</f>
        <v>Mixtures of urea and ammonium nitrate in aqueous or ammoniacal solution (excl. those in packages with a gross weight of &lt;= 10 kg)</v>
      </c>
      <c r="D26" s="628" t="str">
        <f t="shared" si="1"/>
        <v>31028000</v>
      </c>
      <c r="E26" s="1140" t="str">
        <f>Translations!$B$687</f>
        <v>Mixed fertilisers</v>
      </c>
      <c r="F26" s="628" t="str">
        <f>IF(E26=" --- ","",COUNTIF($E$4:E26,E26)&amp;"_"&amp;E26)</f>
        <v>10_Mixed fertilisers</v>
      </c>
      <c r="H26" s="628" t="s">
        <v>732</v>
      </c>
    </row>
    <row r="27" spans="1:8" x14ac:dyDescent="0.3">
      <c r="A27" s="628" t="s">
        <v>733</v>
      </c>
      <c r="B27" s="628" t="s">
        <v>734</v>
      </c>
      <c r="C27" s="628" t="str">
        <f>Translations!$B$721</f>
        <v>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v>
      </c>
      <c r="D27" s="628" t="str">
        <f t="shared" si="1"/>
        <v>31029000</v>
      </c>
      <c r="E27" s="1140" t="str">
        <f>Translations!$B$687</f>
        <v>Mixed fertilisers</v>
      </c>
      <c r="F27" s="628" t="str">
        <f>IF(E27=" --- ","",COUNTIF($E$4:E27,E27)&amp;"_"&amp;E27)</f>
        <v>11_Mixed fertilisers</v>
      </c>
      <c r="H27" s="628" t="s">
        <v>735</v>
      </c>
    </row>
    <row r="28" spans="1:8" x14ac:dyDescent="0.3">
      <c r="A28" s="628" t="s">
        <v>738</v>
      </c>
      <c r="B28" s="628" t="s">
        <v>739</v>
      </c>
      <c r="C28" s="628" t="str">
        <f>Translations!$B$723</f>
        <v>Mineral or chemical fertilisers of animal or vegetable origin, in tablets or similar forms, or in packages with a gross weight of &lt;= 10 kg</v>
      </c>
      <c r="D28" s="628" t="str">
        <f t="shared" si="1"/>
        <v>31051000</v>
      </c>
      <c r="E28" s="1140" t="str">
        <f>Translations!$B$687</f>
        <v>Mixed fertilisers</v>
      </c>
      <c r="F28" s="628" t="str">
        <f>IF(E28=" --- ","",COUNTIF($E$4:E28,E28)&amp;"_"&amp;E28)</f>
        <v>12_Mixed fertilisers</v>
      </c>
      <c r="H28" s="628" t="s">
        <v>740</v>
      </c>
    </row>
    <row r="29" spans="1:8" x14ac:dyDescent="0.3">
      <c r="A29" s="628" t="s">
        <v>743</v>
      </c>
      <c r="B29" s="628" t="s">
        <v>744</v>
      </c>
      <c r="C29" s="628" t="str">
        <f>Translations!$B$725</f>
        <v>Mineral or chemical fertilisers containing phosphorus and potassium, with a nitrogen content &gt; 10 % by weight on the dry anhydrous product (excl. those in tablets or similar forms, or in packages with a gross weight of &lt;= 10 kg)</v>
      </c>
      <c r="D29" s="628" t="str">
        <f t="shared" si="1"/>
        <v>31052010</v>
      </c>
      <c r="E29" s="1140" t="str">
        <f>Translations!$B$687</f>
        <v>Mixed fertilisers</v>
      </c>
      <c r="F29" s="628" t="str">
        <f>IF(E29=" --- ","",COUNTIF($E$4:E29,E29)&amp;"_"&amp;E29)</f>
        <v>13_Mixed fertilisers</v>
      </c>
      <c r="H29" s="628" t="s">
        <v>745</v>
      </c>
    </row>
    <row r="30" spans="1:8" x14ac:dyDescent="0.3">
      <c r="A30" s="628" t="s">
        <v>746</v>
      </c>
      <c r="B30" s="628" t="s">
        <v>747</v>
      </c>
      <c r="C30" s="628" t="str">
        <f>Translations!$B$726</f>
        <v>Mineral or chemical fertilisers containing nitrogen, phosphorus and potassium, with a nitrogen content &lt;= 10 % by weight on the dry anhydrous product (excl. those in tablets or similar forms, or in packages with a gross weight of &lt;= 10 kg)</v>
      </c>
      <c r="D30" s="628" t="str">
        <f t="shared" si="1"/>
        <v>31052090</v>
      </c>
      <c r="E30" s="1140" t="str">
        <f>Translations!$B$687</f>
        <v>Mixed fertilisers</v>
      </c>
      <c r="F30" s="628" t="str">
        <f>IF(E30=" --- ","",COUNTIF($E$4:E30,E30)&amp;"_"&amp;E30)</f>
        <v>14_Mixed fertilisers</v>
      </c>
      <c r="H30" s="628" t="s">
        <v>748</v>
      </c>
    </row>
    <row r="31" spans="1:8" x14ac:dyDescent="0.3">
      <c r="A31" s="628" t="s">
        <v>749</v>
      </c>
      <c r="B31" s="628" t="s">
        <v>750</v>
      </c>
      <c r="C31" s="628" t="str">
        <f>Translations!$B$727</f>
        <v>Diammonium hydrogenorthophosphate "diammonium phosphate" (excl. that in tablets or similar forms, or in packages with a gross weight of &lt;= 10 kg)</v>
      </c>
      <c r="D31" s="628" t="str">
        <f t="shared" si="1"/>
        <v>31053000</v>
      </c>
      <c r="E31" s="1140" t="str">
        <f>Translations!$B$687</f>
        <v>Mixed fertilisers</v>
      </c>
      <c r="F31" s="628" t="str">
        <f>IF(E31=" --- ","",COUNTIF($E$4:E31,E31)&amp;"_"&amp;E31)</f>
        <v>15_Mixed fertilisers</v>
      </c>
      <c r="H31" s="628" t="s">
        <v>751</v>
      </c>
    </row>
    <row r="32" spans="1:8" x14ac:dyDescent="0.3">
      <c r="A32" s="628" t="s">
        <v>752</v>
      </c>
      <c r="B32" s="628" t="s">
        <v>753</v>
      </c>
      <c r="C32" s="628" t="str">
        <f>Translations!$B$728</f>
        <v>Ammonium dihydrogenorthophosphate "monoammonium phosphate", whether or not mixed with diammonium hydrogenorthophosphate "diammonium phosphate" (excl. that in tablets or similar forms, or in packages with a gross weight of &lt;= 10 kg)</v>
      </c>
      <c r="D32" s="628" t="str">
        <f t="shared" si="1"/>
        <v>31054000</v>
      </c>
      <c r="E32" s="1140" t="str">
        <f>Translations!$B$687</f>
        <v>Mixed fertilisers</v>
      </c>
      <c r="F32" s="628" t="str">
        <f>IF(E32=" --- ","",COUNTIF($E$4:E32,E32)&amp;"_"&amp;E32)</f>
        <v>16_Mixed fertilisers</v>
      </c>
      <c r="H32" s="628" t="s">
        <v>754</v>
      </c>
    </row>
    <row r="33" spans="1:8" x14ac:dyDescent="0.3">
      <c r="A33" s="628" t="s">
        <v>755</v>
      </c>
      <c r="B33" s="628" t="s">
        <v>756</v>
      </c>
      <c r="C33" s="628" t="str">
        <f>Translations!$B$729</f>
        <v>Mineral or chemical fertilisers containing nitrates and phosphates (excl. ammonium dihydrogenorthophosphate "Monoammonium phosphate", diammonium hydrogenorthophosphate "Diammonium phosphate", and those in tablets or similar forms, or in packages with a gross weight of &lt;= 10 kg)</v>
      </c>
      <c r="D33" s="628" t="str">
        <f t="shared" si="1"/>
        <v>31055100</v>
      </c>
      <c r="E33" s="1140" t="str">
        <f>Translations!$B$687</f>
        <v>Mixed fertilisers</v>
      </c>
      <c r="F33" s="628" t="str">
        <f>IF(E33=" --- ","",COUNTIF($E$4:E33,E33)&amp;"_"&amp;E33)</f>
        <v>17_Mixed fertilisers</v>
      </c>
      <c r="H33" s="628" t="s">
        <v>757</v>
      </c>
    </row>
    <row r="34" spans="1:8" x14ac:dyDescent="0.3">
      <c r="A34" s="628" t="s">
        <v>758</v>
      </c>
      <c r="B34" s="628" t="s">
        <v>759</v>
      </c>
      <c r="C34" s="628" t="str">
        <f>Translations!$B$730</f>
        <v>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v>
      </c>
      <c r="D34" s="628" t="str">
        <f t="shared" si="1"/>
        <v>31055900</v>
      </c>
      <c r="E34" s="1140" t="str">
        <f>Translations!$B$687</f>
        <v>Mixed fertilisers</v>
      </c>
      <c r="F34" s="628" t="str">
        <f>IF(E34=" --- ","",COUNTIF($E$4:E34,E34)&amp;"_"&amp;E34)</f>
        <v>18_Mixed fertilisers</v>
      </c>
      <c r="H34" s="628" t="s">
        <v>760</v>
      </c>
    </row>
    <row r="35" spans="1:8" x14ac:dyDescent="0.3">
      <c r="A35" s="628" t="s">
        <v>763</v>
      </c>
      <c r="B35" s="628" t="s">
        <v>764</v>
      </c>
      <c r="C35" s="628" t="str">
        <f>Translations!$B$732</f>
        <v>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v>
      </c>
      <c r="D35" s="628" t="str">
        <f t="shared" si="1"/>
        <v>31059020</v>
      </c>
      <c r="E35" s="1140" t="str">
        <f>Translations!$B$687</f>
        <v>Mixed fertilisers</v>
      </c>
      <c r="F35" s="628" t="str">
        <f>IF(E35=" --- ","",COUNTIF($E$4:E35,E35)&amp;"_"&amp;E35)</f>
        <v>19_Mixed fertilisers</v>
      </c>
      <c r="H35" s="628" t="s">
        <v>765</v>
      </c>
    </row>
    <row r="36" spans="1:8" x14ac:dyDescent="0.3">
      <c r="A36" s="628" t="s">
        <v>766</v>
      </c>
      <c r="B36" s="628" t="s">
        <v>767</v>
      </c>
      <c r="C36" s="628" t="str">
        <f>Translations!$B$733</f>
        <v>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v>
      </c>
      <c r="D36" s="628" t="str">
        <f t="shared" si="1"/>
        <v>31059080</v>
      </c>
      <c r="E36" s="1140" t="str">
        <f>Translations!$B$687</f>
        <v>Mixed fertilisers</v>
      </c>
      <c r="F36" s="628" t="str">
        <f>IF(E36=" --- ","",COUNTIF($E$4:E36,E36)&amp;"_"&amp;E36)</f>
        <v>20_Mixed fertilisers</v>
      </c>
      <c r="H36" s="628" t="s">
        <v>768</v>
      </c>
    </row>
    <row r="37" spans="1:8" x14ac:dyDescent="0.3">
      <c r="A37" s="628" t="s">
        <v>773</v>
      </c>
      <c r="B37" s="628" t="s">
        <v>774</v>
      </c>
      <c r="C37" s="628" t="str">
        <f>Translations!$B$736</f>
        <v>Non-alloy pig iron in pigs, blocks or other primary forms, containing by weight &lt;= 0,5% phosphorus, &gt;= 0,4% manganese and &lt;= 1% silicon</v>
      </c>
      <c r="D37" s="628" t="str">
        <f t="shared" si="1"/>
        <v>72011011</v>
      </c>
      <c r="E37" s="1140" t="str">
        <f>Translations!$B$674</f>
        <v>Pig iron</v>
      </c>
      <c r="F37" s="628" t="str">
        <f>IF(E37=" --- ","",COUNTIF($E$4:E37,E37)&amp;"_"&amp;E37)</f>
        <v>1_Pig iron</v>
      </c>
      <c r="H37" s="628" t="s">
        <v>775</v>
      </c>
    </row>
    <row r="38" spans="1:8" x14ac:dyDescent="0.3">
      <c r="A38" s="628" t="s">
        <v>776</v>
      </c>
      <c r="B38" s="628" t="s">
        <v>777</v>
      </c>
      <c r="C38" s="628" t="str">
        <f>Translations!$B$737</f>
        <v>Non-alloy pig iron in pigs, blocks or other primary forms, containing by weight &lt;= 0,5% phosphorus, &gt;= 0,4% manganese and &gt; 1% silicon</v>
      </c>
      <c r="D38" s="628" t="str">
        <f t="shared" si="1"/>
        <v>72011019</v>
      </c>
      <c r="E38" s="1140" t="str">
        <f>Translations!$B$674</f>
        <v>Pig iron</v>
      </c>
      <c r="F38" s="628" t="str">
        <f>IF(E38=" --- ","",COUNTIF($E$4:E38,E38)&amp;"_"&amp;E38)</f>
        <v>2_Pig iron</v>
      </c>
      <c r="H38" s="628" t="s">
        <v>778</v>
      </c>
    </row>
    <row r="39" spans="1:8" x14ac:dyDescent="0.3">
      <c r="A39" s="628" t="s">
        <v>779</v>
      </c>
      <c r="B39" s="628" t="s">
        <v>780</v>
      </c>
      <c r="C39" s="628" t="str">
        <f>Translations!$B$738</f>
        <v>Non-alloy pig iron in pigs, blocks or other primary forms, containing by weight &lt;= 0,5% phosphorus, and &gt;= 0,1% but &lt; 0,4% manganese</v>
      </c>
      <c r="D39" s="628" t="str">
        <f t="shared" si="1"/>
        <v>72011030</v>
      </c>
      <c r="E39" s="1140" t="str">
        <f>Translations!$B$674</f>
        <v>Pig iron</v>
      </c>
      <c r="F39" s="628" t="str">
        <f>IF(E39=" --- ","",COUNTIF($E$4:E39,E39)&amp;"_"&amp;E39)</f>
        <v>3_Pig iron</v>
      </c>
      <c r="H39" s="628" t="s">
        <v>781</v>
      </c>
    </row>
    <row r="40" spans="1:8" x14ac:dyDescent="0.3">
      <c r="A40" s="628" t="s">
        <v>782</v>
      </c>
      <c r="B40" s="628" t="s">
        <v>783</v>
      </c>
      <c r="C40" s="628" t="str">
        <f>Translations!$B$739</f>
        <v>Non-alloy pig iron in pigs, blocks or other primary forms, containing by weight &lt;= 0,5% phosphorus, and &lt;= 0,1% manganese</v>
      </c>
      <c r="D40" s="628" t="str">
        <f t="shared" si="1"/>
        <v>72011090</v>
      </c>
      <c r="E40" s="1140" t="str">
        <f>Translations!$B$674</f>
        <v>Pig iron</v>
      </c>
      <c r="F40" s="628" t="str">
        <f>IF(E40=" --- ","",COUNTIF($E$4:E40,E40)&amp;"_"&amp;E40)</f>
        <v>4_Pig iron</v>
      </c>
      <c r="H40" s="628" t="s">
        <v>784</v>
      </c>
    </row>
    <row r="41" spans="1:8" x14ac:dyDescent="0.3">
      <c r="A41" s="628" t="s">
        <v>785</v>
      </c>
      <c r="B41" s="628" t="s">
        <v>786</v>
      </c>
      <c r="C41" s="628" t="str">
        <f>Translations!$B$740</f>
        <v>Non-alloy pig iron in pigs, blocks or other primary forms, containing by weight &gt;= 0,5% phosphorus</v>
      </c>
      <c r="D41" s="628" t="str">
        <f t="shared" si="1"/>
        <v>72012000</v>
      </c>
      <c r="E41" s="1140" t="str">
        <f>Translations!$B$674</f>
        <v>Pig iron</v>
      </c>
      <c r="F41" s="628" t="str">
        <f>IF(E41=" --- ","",COUNTIF($E$4:E41,E41)&amp;"_"&amp;E41)</f>
        <v>5_Pig iron</v>
      </c>
      <c r="H41" s="628" t="s">
        <v>787</v>
      </c>
    </row>
    <row r="42" spans="1:8" x14ac:dyDescent="0.3">
      <c r="A42" s="628" t="s">
        <v>790</v>
      </c>
      <c r="B42" s="628" t="s">
        <v>791</v>
      </c>
      <c r="C42" s="628" t="str">
        <f>Translations!$B$742</f>
        <v>Alloy pig iron in pigs, blocks or other primary forms, containing by weight &gt;= 0,3% but &lt;= 1% titanium and &gt;= 0,5% but &lt;= 1% vanadium</v>
      </c>
      <c r="D42" s="628" t="str">
        <f t="shared" si="1"/>
        <v>72015010</v>
      </c>
      <c r="E42" s="1140" t="str">
        <f>Translations!$B$674</f>
        <v>Pig iron</v>
      </c>
      <c r="F42" s="628" t="str">
        <f>IF(E42=" --- ","",COUNTIF($E$4:E42,E42)&amp;"_"&amp;E42)</f>
        <v>6_Pig iron</v>
      </c>
      <c r="H42" s="628" t="s">
        <v>792</v>
      </c>
    </row>
    <row r="43" spans="1:8" x14ac:dyDescent="0.3">
      <c r="A43" s="628" t="s">
        <v>793</v>
      </c>
      <c r="B43" s="628" t="s">
        <v>794</v>
      </c>
      <c r="C43" s="628" t="str">
        <f>Translations!$B$743</f>
        <v>Alloy pig iron and spiegeleisen, in pigs, blocks or other primary forms (excl. alloy iron containing, by weight, &gt;= 0,3% but &lt;= 1% titanium and &gt;= 0,5% but &lt;= 1% vanadium)</v>
      </c>
      <c r="D43" s="628" t="str">
        <f t="shared" si="1"/>
        <v>72015090</v>
      </c>
      <c r="E43" s="1140" t="str">
        <f>Translations!$B$674</f>
        <v>Pig iron</v>
      </c>
      <c r="F43" s="628" t="str">
        <f>IF(E43=" --- ","",COUNTIF($E$4:E43,E43)&amp;"_"&amp;E43)</f>
        <v>7_Pig iron</v>
      </c>
      <c r="H43" s="628" t="s">
        <v>795</v>
      </c>
    </row>
    <row r="44" spans="1:8" x14ac:dyDescent="0.3">
      <c r="A44" s="628" t="s">
        <v>798</v>
      </c>
      <c r="B44" s="628" t="s">
        <v>799</v>
      </c>
      <c r="C44" s="628" t="str">
        <f>Translations!$B$745</f>
        <v>Ferro-manganese, containing by weight &gt; 2% carbon, with a granulometry &lt;= 5 mm and a manganese content by weight &gt; 65%</v>
      </c>
      <c r="D44" s="628" t="str">
        <f t="shared" si="1"/>
        <v>72021120</v>
      </c>
      <c r="E44" s="1140" t="str">
        <f>Translations!$B$677</f>
        <v>Alloys (FeMn, FeCr, FeNi)</v>
      </c>
      <c r="F44" s="628" t="str">
        <f>IF(E44=" --- ","",COUNTIF($E$4:E44,E44)&amp;"_"&amp;E44)</f>
        <v>1_Alloys (FeMn, FeCr, FeNi)</v>
      </c>
      <c r="H44" s="628" t="s">
        <v>800</v>
      </c>
    </row>
    <row r="45" spans="1:8" x14ac:dyDescent="0.3">
      <c r="A45" s="628" t="s">
        <v>801</v>
      </c>
      <c r="B45" s="628" t="s">
        <v>802</v>
      </c>
      <c r="C45" s="628" t="str">
        <f>Translations!$B$746</f>
        <v>Ferro-manganese, containing by weight &gt; 2% carbon (excl. ferro-manganese with a granulometry of &lt;= 5 mm and containing by weight &gt; 65% manganese)</v>
      </c>
      <c r="D45" s="628" t="str">
        <f t="shared" si="1"/>
        <v>72021180</v>
      </c>
      <c r="E45" s="1140" t="str">
        <f>Translations!$B$677</f>
        <v>Alloys (FeMn, FeCr, FeNi)</v>
      </c>
      <c r="F45" s="628" t="str">
        <f>IF(E45=" --- ","",COUNTIF($E$4:E45,E45)&amp;"_"&amp;E45)</f>
        <v>2_Alloys (FeMn, FeCr, FeNi)</v>
      </c>
      <c r="H45" s="628" t="s">
        <v>803</v>
      </c>
    </row>
    <row r="46" spans="1:8" x14ac:dyDescent="0.3">
      <c r="A46" s="628" t="s">
        <v>804</v>
      </c>
      <c r="B46" s="628" t="s">
        <v>805</v>
      </c>
      <c r="C46" s="628" t="str">
        <f>Translations!$B$747</f>
        <v>Ferro-manganese, containing by weight &lt;= 2% carbon</v>
      </c>
      <c r="D46" s="628" t="str">
        <f t="shared" si="1"/>
        <v>72021900</v>
      </c>
      <c r="E46" s="1140" t="str">
        <f>Translations!$B$677</f>
        <v>Alloys (FeMn, FeCr, FeNi)</v>
      </c>
      <c r="F46" s="628" t="str">
        <f>IF(E46=" --- ","",COUNTIF($E$4:E46,E46)&amp;"_"&amp;E46)</f>
        <v>3_Alloys (FeMn, FeCr, FeNi)</v>
      </c>
      <c r="H46" s="628" t="s">
        <v>806</v>
      </c>
    </row>
    <row r="47" spans="1:8" x14ac:dyDescent="0.3">
      <c r="A47" s="628" t="s">
        <v>809</v>
      </c>
      <c r="B47" s="628" t="s">
        <v>810</v>
      </c>
      <c r="C47" s="628" t="str">
        <f>Translations!$B$749</f>
        <v>Ferro-chromium, containing by weight &gt; 4% but &lt;= 6% carbon</v>
      </c>
      <c r="D47" s="628" t="str">
        <f t="shared" si="1"/>
        <v>72024110</v>
      </c>
      <c r="E47" s="1140" t="str">
        <f>Translations!$B$677</f>
        <v>Alloys (FeMn, FeCr, FeNi)</v>
      </c>
      <c r="F47" s="628" t="str">
        <f>IF(E47=" --- ","",COUNTIF($E$4:E47,E47)&amp;"_"&amp;E47)</f>
        <v>4_Alloys (FeMn, FeCr, FeNi)</v>
      </c>
      <c r="H47" s="628" t="s">
        <v>811</v>
      </c>
    </row>
    <row r="48" spans="1:8" x14ac:dyDescent="0.3">
      <c r="A48" s="628" t="s">
        <v>812</v>
      </c>
      <c r="B48" s="628" t="s">
        <v>813</v>
      </c>
      <c r="C48" s="628" t="str">
        <f>Translations!$B$750</f>
        <v>Ferro-chromium, containing by weight &gt; 6% carbon</v>
      </c>
      <c r="D48" s="628" t="str">
        <f t="shared" si="1"/>
        <v>72024190</v>
      </c>
      <c r="E48" s="1140" t="str">
        <f>Translations!$B$677</f>
        <v>Alloys (FeMn, FeCr, FeNi)</v>
      </c>
      <c r="F48" s="628" t="str">
        <f>IF(E48=" --- ","",COUNTIF($E$4:E48,E48)&amp;"_"&amp;E48)</f>
        <v>5_Alloys (FeMn, FeCr, FeNi)</v>
      </c>
      <c r="H48" s="628" t="s">
        <v>814</v>
      </c>
    </row>
    <row r="49" spans="1:8" x14ac:dyDescent="0.3">
      <c r="A49" s="628" t="s">
        <v>817</v>
      </c>
      <c r="B49" s="628" t="s">
        <v>818</v>
      </c>
      <c r="C49" s="628" t="str">
        <f>Translations!$B$752</f>
        <v>Ferro-chromium, containing by weight &lt;= 0,05% carbon</v>
      </c>
      <c r="D49" s="628" t="str">
        <f t="shared" si="1"/>
        <v>72024910</v>
      </c>
      <c r="E49" s="1140" t="str">
        <f>Translations!$B$677</f>
        <v>Alloys (FeMn, FeCr, FeNi)</v>
      </c>
      <c r="F49" s="628" t="str">
        <f>IF(E49=" --- ","",COUNTIF($E$4:E49,E49)&amp;"_"&amp;E49)</f>
        <v>6_Alloys (FeMn, FeCr, FeNi)</v>
      </c>
      <c r="H49" s="628" t="s">
        <v>819</v>
      </c>
    </row>
    <row r="50" spans="1:8" x14ac:dyDescent="0.3">
      <c r="A50" s="628" t="s">
        <v>820</v>
      </c>
      <c r="B50" s="628" t="s">
        <v>821</v>
      </c>
      <c r="C50" s="628" t="str">
        <f>Translations!$B$753</f>
        <v>Ferro-chromium, containing by weight &gt; 0,05% but &lt;= 0,5% carbon</v>
      </c>
      <c r="D50" s="628" t="str">
        <f t="shared" si="1"/>
        <v>72024950</v>
      </c>
      <c r="E50" s="1140" t="str">
        <f>Translations!$B$677</f>
        <v>Alloys (FeMn, FeCr, FeNi)</v>
      </c>
      <c r="F50" s="628" t="str">
        <f>IF(E50=" --- ","",COUNTIF($E$4:E50,E50)&amp;"_"&amp;E50)</f>
        <v>7_Alloys (FeMn, FeCr, FeNi)</v>
      </c>
      <c r="H50" s="628" t="s">
        <v>822</v>
      </c>
    </row>
    <row r="51" spans="1:8" x14ac:dyDescent="0.3">
      <c r="A51" s="628" t="s">
        <v>823</v>
      </c>
      <c r="B51" s="628" t="s">
        <v>824</v>
      </c>
      <c r="C51" s="628" t="str">
        <f>Translations!$B$754</f>
        <v>Ferro-chromium, containing by weight &gt; 0,5% but &lt;= 4% carbon</v>
      </c>
      <c r="D51" s="628" t="str">
        <f t="shared" si="1"/>
        <v>72024990</v>
      </c>
      <c r="E51" s="1140" t="str">
        <f>Translations!$B$677</f>
        <v>Alloys (FeMn, FeCr, FeNi)</v>
      </c>
      <c r="F51" s="628" t="str">
        <f>IF(E51=" --- ","",COUNTIF($E$4:E51,E51)&amp;"_"&amp;E51)</f>
        <v>8_Alloys (FeMn, FeCr, FeNi)</v>
      </c>
      <c r="H51" s="628" t="s">
        <v>825</v>
      </c>
    </row>
    <row r="52" spans="1:8" x14ac:dyDescent="0.3">
      <c r="A52" s="628" t="s">
        <v>826</v>
      </c>
      <c r="B52" s="628" t="s">
        <v>827</v>
      </c>
      <c r="C52" s="628" t="str">
        <f>Translations!$B$755</f>
        <v>Ferro-nickel</v>
      </c>
      <c r="D52" s="628" t="str">
        <f t="shared" si="1"/>
        <v>72026000</v>
      </c>
      <c r="E52" s="1140" t="str">
        <f>Translations!$B$677</f>
        <v>Alloys (FeMn, FeCr, FeNi)</v>
      </c>
      <c r="F52" s="628" t="str">
        <f>IF(E52=" --- ","",COUNTIF($E$4:E52,E52)&amp;"_"&amp;E52)</f>
        <v>9_Alloys (FeMn, FeCr, FeNi)</v>
      </c>
      <c r="H52" s="628" t="s">
        <v>828</v>
      </c>
    </row>
    <row r="53" spans="1:8" x14ac:dyDescent="0.3">
      <c r="A53" s="628" t="s">
        <v>831</v>
      </c>
      <c r="B53" s="628" t="s">
        <v>832</v>
      </c>
      <c r="C53" s="628" t="str">
        <f>Translations!$B$757</f>
        <v>Ferrous products obtained by direct reduction of iron ore, in lumps, pellets or similar forms</v>
      </c>
      <c r="D53" s="628" t="str">
        <f t="shared" si="1"/>
        <v>72031000</v>
      </c>
      <c r="E53" s="1140" t="str">
        <f>Translations!$B$673</f>
        <v>Direct reduced iron</v>
      </c>
      <c r="F53" s="628" t="str">
        <f>IF(E53=" --- ","",COUNTIF($E$4:E53,E53)&amp;"_"&amp;E53)</f>
        <v>1_Direct reduced iron</v>
      </c>
      <c r="H53" s="628" t="s">
        <v>833</v>
      </c>
    </row>
    <row r="54" spans="1:8" x14ac:dyDescent="0.3">
      <c r="A54" s="628" t="s">
        <v>834</v>
      </c>
      <c r="B54" s="628" t="s">
        <v>835</v>
      </c>
      <c r="C54" s="628" t="str">
        <f>Translations!$B$758</f>
        <v>Spongy ferrous products, obtained from molten pig iron by atomisation, iron of a purity of &gt;= 99,94%, in lumps, pellets or similar forms</v>
      </c>
      <c r="D54" s="628" t="str">
        <f t="shared" si="1"/>
        <v>72039000</v>
      </c>
      <c r="E54" s="1140" t="str">
        <f>Translations!$B$673</f>
        <v>Direct reduced iron</v>
      </c>
      <c r="F54" s="628" t="str">
        <f>IF(E54=" --- ","",COUNTIF($E$4:E54,E54)&amp;"_"&amp;E54)</f>
        <v>2_Direct reduced iron</v>
      </c>
      <c r="H54" s="628" t="s">
        <v>836</v>
      </c>
    </row>
    <row r="55" spans="1:8" x14ac:dyDescent="0.3">
      <c r="A55" s="628" t="s">
        <v>839</v>
      </c>
      <c r="B55" s="628" t="s">
        <v>840</v>
      </c>
      <c r="C55" s="628" t="str">
        <f>Translations!$B$760</f>
        <v>Granules, of pig iron, spiegeleisen, iron or steel (excl. granules of ferro-alloys, turnings and filings of iron or steel, certain small calibre items, defective balls for ball-bearings)</v>
      </c>
      <c r="D55" s="628" t="str">
        <f t="shared" si="1"/>
        <v>72051000</v>
      </c>
      <c r="E55" s="1140" t="str">
        <f>Translations!$B$611</f>
        <v>Iron or steel products</v>
      </c>
      <c r="F55" s="628" t="str">
        <f>IF(E55=" --- ","",COUNTIF($E$4:E55,E55)&amp;"_"&amp;E55)</f>
        <v>1_Iron or steel products</v>
      </c>
      <c r="H55" s="628" t="s">
        <v>841</v>
      </c>
    </row>
    <row r="56" spans="1:8" x14ac:dyDescent="0.3">
      <c r="A56" s="628" t="s">
        <v>842</v>
      </c>
      <c r="B56" s="628" t="s">
        <v>843</v>
      </c>
      <c r="C56" s="628" t="str">
        <f>Translations!$B$761</f>
        <v>Powders, of alloy steel (excl. powders of ferro-alloys and radioactive iron powders "isotopes")</v>
      </c>
      <c r="D56" s="628" t="str">
        <f t="shared" si="1"/>
        <v>72052100</v>
      </c>
      <c r="E56" s="1140" t="str">
        <f>Translations!$B$611</f>
        <v>Iron or steel products</v>
      </c>
      <c r="F56" s="628" t="str">
        <f>IF(E56=" --- ","",COUNTIF($E$4:E56,E56)&amp;"_"&amp;E56)</f>
        <v>2_Iron or steel products</v>
      </c>
      <c r="H56" s="628" t="s">
        <v>844</v>
      </c>
    </row>
    <row r="57" spans="1:8" x14ac:dyDescent="0.3">
      <c r="A57" s="628" t="s">
        <v>845</v>
      </c>
      <c r="B57" s="628" t="s">
        <v>846</v>
      </c>
      <c r="C57" s="628" t="str">
        <f>Translations!$B$762</f>
        <v>Powders, of pig iron, spiegeleisen, iron or non-alloy steel (excl. powders of ferro-alloys and radioactive iron powders "isotopes")</v>
      </c>
      <c r="D57" s="628" t="str">
        <f t="shared" si="1"/>
        <v>72052900</v>
      </c>
      <c r="E57" s="1140" t="str">
        <f>Translations!$B$611</f>
        <v>Iron or steel products</v>
      </c>
      <c r="F57" s="628" t="str">
        <f>IF(E57=" --- ","",COUNTIF($E$4:E57,E57)&amp;"_"&amp;E57)</f>
        <v>3_Iron or steel products</v>
      </c>
      <c r="H57" s="628" t="s">
        <v>847</v>
      </c>
    </row>
    <row r="58" spans="1:8" x14ac:dyDescent="0.3">
      <c r="A58" s="628" t="s">
        <v>850</v>
      </c>
      <c r="B58" s="628" t="s">
        <v>851</v>
      </c>
      <c r="C58" s="628" t="str">
        <f>Translations!$B$764</f>
        <v>Ingots, of iron and non-alloy steel (excl. remelted scrap ingots, continuous cast products, iron of heading 7203)</v>
      </c>
      <c r="D58" s="628" t="str">
        <f t="shared" si="1"/>
        <v>72061000</v>
      </c>
      <c r="E58" s="1140" t="str">
        <f>Translations!$B$668</f>
        <v>Crude steel</v>
      </c>
      <c r="F58" s="628" t="str">
        <f>IF(E58=" --- ","",COUNTIF($E$4:E58,E58)&amp;"_"&amp;E58)</f>
        <v>1_Crude steel</v>
      </c>
      <c r="H58" s="628" t="s">
        <v>852</v>
      </c>
    </row>
    <row r="59" spans="1:8" x14ac:dyDescent="0.3">
      <c r="A59" s="628" t="s">
        <v>853</v>
      </c>
      <c r="B59" s="628" t="s">
        <v>854</v>
      </c>
      <c r="C59" s="628" t="str">
        <f>Translations!$B$765</f>
        <v>Iron and non-alloy steel, in puddled bars or other primary forms (excl. ingots, remelted scrap ingots, continuous cast products, iron of heading 7203)</v>
      </c>
      <c r="D59" s="628" t="str">
        <f t="shared" si="1"/>
        <v>72069000</v>
      </c>
      <c r="E59" s="1140" t="str">
        <f>Translations!$B$668</f>
        <v>Crude steel</v>
      </c>
      <c r="F59" s="628" t="str">
        <f>IF(E59=" --- ","",COUNTIF($E$4:E59,E59)&amp;"_"&amp;E59)</f>
        <v>2_Crude steel</v>
      </c>
      <c r="H59" s="628" t="s">
        <v>855</v>
      </c>
    </row>
    <row r="60" spans="1:8" x14ac:dyDescent="0.3">
      <c r="A60" s="628" t="s">
        <v>860</v>
      </c>
      <c r="B60" s="628" t="s">
        <v>861</v>
      </c>
      <c r="C60" s="628" t="str">
        <f>Translations!$B$768</f>
        <v>Semi-finished products, of non-alloy free-cutting steel, containing by weight &lt; 0,25% carbon, of square or rectangular cross-section, the width &lt; twice the thickness, rolled or obtained by continuous casting</v>
      </c>
      <c r="D60" s="628" t="str">
        <f t="shared" si="1"/>
        <v>72071111</v>
      </c>
      <c r="E60" s="1140" t="str">
        <f>Translations!$B$668</f>
        <v>Crude steel</v>
      </c>
      <c r="F60" s="628" t="str">
        <f>IF(E60=" --- ","",COUNTIF($E$4:E60,E60)&amp;"_"&amp;E60)</f>
        <v>3_Crude steel</v>
      </c>
      <c r="H60" s="628" t="s">
        <v>862</v>
      </c>
    </row>
    <row r="61" spans="1:8" x14ac:dyDescent="0.3">
      <c r="A61" s="628" t="s">
        <v>863</v>
      </c>
      <c r="B61" s="628" t="s">
        <v>864</v>
      </c>
      <c r="C61" s="628" t="str">
        <f>Translations!$B$769</f>
        <v>Semi-finished products, of iron or non-alloy steel, containing by weight &lt; 0,25% carbon, of square or rectangular cross-section, the width &lt; twice the thickness of &lt;= 130 mm, rolled or obtained by continuous casting (excl. free-cutting steel)</v>
      </c>
      <c r="D61" s="628" t="str">
        <f t="shared" si="1"/>
        <v>72071114</v>
      </c>
      <c r="E61" s="1140" t="str">
        <f>Translations!$B$668</f>
        <v>Crude steel</v>
      </c>
      <c r="F61" s="628" t="str">
        <f>IF(E61=" --- ","",COUNTIF($E$4:E61,E61)&amp;"_"&amp;E61)</f>
        <v>4_Crude steel</v>
      </c>
      <c r="H61" s="628" t="s">
        <v>865</v>
      </c>
    </row>
    <row r="62" spans="1:8" x14ac:dyDescent="0.3">
      <c r="A62" s="628" t="s">
        <v>866</v>
      </c>
      <c r="B62" s="628" t="s">
        <v>867</v>
      </c>
      <c r="C62" s="628" t="str">
        <f>Translations!$B$770</f>
        <v>Semi-finished products, of iron or non-alloy steel, containing by weight &lt; 0,25% carbon, of square or rectangular cross-section, the width &lt; twice the thickness of &gt; 130 mm, rolled or obtained by continuous casting (excl. free-cutting steel)</v>
      </c>
      <c r="D62" s="628" t="str">
        <f t="shared" si="1"/>
        <v>72071116</v>
      </c>
      <c r="E62" s="1140" t="str">
        <f>Translations!$B$668</f>
        <v>Crude steel</v>
      </c>
      <c r="F62" s="628" t="str">
        <f>IF(E62=" --- ","",COUNTIF($E$4:E62,E62)&amp;"_"&amp;E62)</f>
        <v>5_Crude steel</v>
      </c>
      <c r="H62" s="628" t="s">
        <v>868</v>
      </c>
    </row>
    <row r="63" spans="1:8" x14ac:dyDescent="0.3">
      <c r="A63" s="628" t="s">
        <v>869</v>
      </c>
      <c r="B63" s="628" t="s">
        <v>870</v>
      </c>
      <c r="C63" s="628" t="str">
        <f>Translations!$B$771</f>
        <v>Semi-finished products of iron or non-alloy steel, containing by weight &lt; 0,25% carbon, of rectangular cross-section, the width &lt; twice the thickness, forged</v>
      </c>
      <c r="D63" s="628" t="str">
        <f t="shared" si="1"/>
        <v>72071190</v>
      </c>
      <c r="E63" s="1140" t="str">
        <f>Translations!$B$668</f>
        <v>Crude steel</v>
      </c>
      <c r="F63" s="628" t="str">
        <f>IF(E63=" --- ","",COUNTIF($E$4:E63,E63)&amp;"_"&amp;E63)</f>
        <v>6_Crude steel</v>
      </c>
      <c r="H63" s="628" t="s">
        <v>871</v>
      </c>
    </row>
    <row r="64" spans="1:8" x14ac:dyDescent="0.3">
      <c r="A64" s="628" t="s">
        <v>874</v>
      </c>
      <c r="B64" s="628" t="s">
        <v>875</v>
      </c>
      <c r="C64" s="628" t="str">
        <f>Translations!$B$773</f>
        <v>Semi-finished products of iron or non-alloy steel, containing by weight &lt; 0,25 of carbon, of rectangular "other than square" cross-section, the width measuring &gt;= twice the thickness, rolled or obtained by continuous casting</v>
      </c>
      <c r="D64" s="628" t="str">
        <f t="shared" si="1"/>
        <v>72071210</v>
      </c>
      <c r="E64" s="1140" t="str">
        <f>Translations!$B$668</f>
        <v>Crude steel</v>
      </c>
      <c r="F64" s="628" t="str">
        <f>IF(E64=" --- ","",COUNTIF($E$4:E64,E64)&amp;"_"&amp;E64)</f>
        <v>7_Crude steel</v>
      </c>
      <c r="H64" s="628" t="s">
        <v>876</v>
      </c>
    </row>
    <row r="65" spans="1:8" x14ac:dyDescent="0.3">
      <c r="A65" s="628" t="s">
        <v>877</v>
      </c>
      <c r="B65" s="628" t="s">
        <v>878</v>
      </c>
      <c r="C65" s="628" t="str">
        <f>Translations!$B$774</f>
        <v>Semi-finished products of iron or non-alloy steel, containing by weight &lt; 0,25% carbon, of rectangular "other than square" cross-section, the width &gt;= twice the thickness, forged</v>
      </c>
      <c r="D65" s="628" t="str">
        <f t="shared" si="1"/>
        <v>72071290</v>
      </c>
      <c r="E65" s="1140" t="str">
        <f>Translations!$B$668</f>
        <v>Crude steel</v>
      </c>
      <c r="F65" s="628" t="str">
        <f>IF(E65=" --- ","",COUNTIF($E$4:E65,E65)&amp;"_"&amp;E65)</f>
        <v>8_Crude steel</v>
      </c>
      <c r="H65" s="628" t="s">
        <v>879</v>
      </c>
    </row>
    <row r="66" spans="1:8" x14ac:dyDescent="0.3">
      <c r="A66" s="628" t="s">
        <v>882</v>
      </c>
      <c r="B66" s="628" t="s">
        <v>883</v>
      </c>
      <c r="C66" s="628" t="str">
        <f>Translations!$B$776</f>
        <v>Semi-finished products, of iron or non-alloy steel, containing by weight &lt; 0,25% carbon, of circular or polygonal cross-section, rolled or obtained by continuous casting</v>
      </c>
      <c r="D66" s="628" t="str">
        <f t="shared" si="1"/>
        <v>72071912</v>
      </c>
      <c r="E66" s="1140" t="str">
        <f>Translations!$B$668</f>
        <v>Crude steel</v>
      </c>
      <c r="F66" s="628" t="str">
        <f>IF(E66=" --- ","",COUNTIF($E$4:E66,E66)&amp;"_"&amp;E66)</f>
        <v>9_Crude steel</v>
      </c>
      <c r="H66" s="628" t="s">
        <v>884</v>
      </c>
    </row>
    <row r="67" spans="1:8" x14ac:dyDescent="0.3">
      <c r="A67" s="628" t="s">
        <v>885</v>
      </c>
      <c r="B67" s="628" t="s">
        <v>886</v>
      </c>
      <c r="C67" s="628" t="str">
        <f>Translations!$B$612</f>
        <v>Semi-finished products of iron or non-alloy steel, containing by weight &lt; 0,25% carbon, of circular or polygonal cross-section, forged</v>
      </c>
      <c r="D67" s="628" t="str">
        <f t="shared" si="1"/>
        <v>72071919</v>
      </c>
      <c r="E67" s="1140" t="str">
        <f>Translations!$B$668</f>
        <v>Crude steel</v>
      </c>
      <c r="F67" s="628" t="str">
        <f>IF(E67=" --- ","",COUNTIF($E$4:E67,E67)&amp;"_"&amp;E67)</f>
        <v>10_Crude steel</v>
      </c>
      <c r="H67" s="628" t="s">
        <v>887</v>
      </c>
    </row>
    <row r="68" spans="1:8" x14ac:dyDescent="0.3">
      <c r="A68" s="628" t="s">
        <v>888</v>
      </c>
      <c r="B68" s="628" t="s">
        <v>889</v>
      </c>
      <c r="C68" s="628" t="str">
        <f>Translations!$B$777</f>
        <v>Semi-finished products of iron or non-alloy steel, containing by weight &lt; 0,25% carbon (excl. semi-products, of square, rectangular, circular or polygonal cross-section)</v>
      </c>
      <c r="D68" s="628" t="str">
        <f t="shared" si="1"/>
        <v>72071980</v>
      </c>
      <c r="E68" s="1140" t="str">
        <f>Translations!$B$668</f>
        <v>Crude steel</v>
      </c>
      <c r="F68" s="628" t="str">
        <f>IF(E68=" --- ","",COUNTIF($E$4:E68,E68)&amp;"_"&amp;E68)</f>
        <v>11_Crude steel</v>
      </c>
      <c r="H68" s="628" t="s">
        <v>890</v>
      </c>
    </row>
    <row r="69" spans="1:8" x14ac:dyDescent="0.3">
      <c r="A69" s="628" t="s">
        <v>893</v>
      </c>
      <c r="B69" s="628" t="s">
        <v>894</v>
      </c>
      <c r="C69" s="628" t="str">
        <f>Translations!$B$779</f>
        <v>Semi-finished products, of non-alloy free-cutting steel, containing by weight &gt;= 0,25% carbon, of square or rectangular cross-section, the width &lt; twice the thickness, rolled or obtained by continuous casting</v>
      </c>
      <c r="D69" s="628" t="str">
        <f t="shared" si="1"/>
        <v>72072011</v>
      </c>
      <c r="E69" s="1140" t="str">
        <f>Translations!$B$668</f>
        <v>Crude steel</v>
      </c>
      <c r="F69" s="628" t="str">
        <f>IF(E69=" --- ","",COUNTIF($E$4:E69,E69)&amp;"_"&amp;E69)</f>
        <v>12_Crude steel</v>
      </c>
      <c r="H69" s="628" t="s">
        <v>895</v>
      </c>
    </row>
    <row r="70" spans="1:8" x14ac:dyDescent="0.3">
      <c r="A70" s="628" t="s">
        <v>896</v>
      </c>
      <c r="B70" s="628" t="s">
        <v>897</v>
      </c>
      <c r="C70" s="628" t="str">
        <f>Translations!$B$780</f>
        <v>Semi-finished products of iron or non-alloy steel, containing by weight &gt;= 0,25% but &lt; 0,6% carbon, of square or rectangular cross-section, the width &lt; twice the thickness, rolled or obtained by continuous casting (excl. free-cutting steel)</v>
      </c>
      <c r="D70" s="628" t="str">
        <f t="shared" si="1"/>
        <v>72072015</v>
      </c>
      <c r="E70" s="1140" t="str">
        <f>Translations!$B$668</f>
        <v>Crude steel</v>
      </c>
      <c r="F70" s="628" t="str">
        <f>IF(E70=" --- ","",COUNTIF($E$4:E70,E70)&amp;"_"&amp;E70)</f>
        <v>13_Crude steel</v>
      </c>
      <c r="H70" s="628" t="s">
        <v>898</v>
      </c>
    </row>
    <row r="71" spans="1:8" x14ac:dyDescent="0.3">
      <c r="A71" s="628" t="s">
        <v>899</v>
      </c>
      <c r="B71" s="628" t="s">
        <v>900</v>
      </c>
      <c r="C71" s="628" t="str">
        <f>Translations!$B$781</f>
        <v>Semi-finished products of iron or non-alloy steel, containing by weight &gt;= 0,6% carbon, of square or rectangular cross-section, the width &lt; twice the thickness, rolled or obtained by continuous casting (excl. free-cutting steel)</v>
      </c>
      <c r="D71" s="628" t="str">
        <f t="shared" si="1"/>
        <v>72072017</v>
      </c>
      <c r="E71" s="1140" t="str">
        <f>Translations!$B$668</f>
        <v>Crude steel</v>
      </c>
      <c r="F71" s="628" t="str">
        <f>IF(E71=" --- ","",COUNTIF($E$4:E71,E71)&amp;"_"&amp;E71)</f>
        <v>14_Crude steel</v>
      </c>
      <c r="H71" s="628" t="s">
        <v>901</v>
      </c>
    </row>
    <row r="72" spans="1:8" x14ac:dyDescent="0.3">
      <c r="A72" s="628" t="s">
        <v>902</v>
      </c>
      <c r="B72" s="628" t="s">
        <v>903</v>
      </c>
      <c r="C72" s="628" t="str">
        <f>Translations!$B$782</f>
        <v>Semi-finished products of iron or non-alloy steel, containing by weight &gt;= 0,25% carbon, of square or rectangular cross-section, the width &lt; twice the thickness, forged</v>
      </c>
      <c r="D72" s="628" t="str">
        <f t="shared" si="1"/>
        <v>72072019</v>
      </c>
      <c r="E72" s="1140" t="str">
        <f>Translations!$B$668</f>
        <v>Crude steel</v>
      </c>
      <c r="F72" s="628" t="str">
        <f>IF(E72=" --- ","",COUNTIF($E$4:E72,E72)&amp;"_"&amp;E72)</f>
        <v>15_Crude steel</v>
      </c>
      <c r="H72" s="628" t="s">
        <v>904</v>
      </c>
    </row>
    <row r="73" spans="1:8" x14ac:dyDescent="0.3">
      <c r="A73" s="628" t="s">
        <v>905</v>
      </c>
      <c r="B73" s="628" t="s">
        <v>906</v>
      </c>
      <c r="C73" s="628" t="str">
        <f>Translations!$B$783</f>
        <v>Semi-finished products of iron or non-alloy steel, containing by weight &gt;= 0,25 of carbon, of rectangular "other than square" cross-section, the width measuring &gt;= twice the thickness, rolled or obtained by continuous casting</v>
      </c>
      <c r="D73" s="628" t="str">
        <f t="shared" si="1"/>
        <v>72072032</v>
      </c>
      <c r="E73" s="1140" t="str">
        <f>Translations!$B$668</f>
        <v>Crude steel</v>
      </c>
      <c r="F73" s="628" t="str">
        <f>IF(E73=" --- ","",COUNTIF($E$4:E73,E73)&amp;"_"&amp;E73)</f>
        <v>16_Crude steel</v>
      </c>
      <c r="H73" s="628" t="s">
        <v>907</v>
      </c>
    </row>
    <row r="74" spans="1:8" x14ac:dyDescent="0.3">
      <c r="A74" s="628" t="s">
        <v>908</v>
      </c>
      <c r="B74" s="628" t="s">
        <v>909</v>
      </c>
      <c r="C74" s="628" t="str">
        <f>Translations!$B$784</f>
        <v>Semi-finished products of iron or non-alloy steel, containing by weight &gt;= 0,25% carbon, of rectangular "other than square" cross-section and the width &gt;= twice the thickness, forged</v>
      </c>
      <c r="D74" s="628" t="str">
        <f t="shared" si="1"/>
        <v>72072039</v>
      </c>
      <c r="E74" s="1140" t="str">
        <f>Translations!$B$668</f>
        <v>Crude steel</v>
      </c>
      <c r="F74" s="628" t="str">
        <f>IF(E74=" --- ","",COUNTIF($E$4:E74,E74)&amp;"_"&amp;E74)</f>
        <v>17_Crude steel</v>
      </c>
      <c r="H74" s="628" t="s">
        <v>910</v>
      </c>
    </row>
    <row r="75" spans="1:8" x14ac:dyDescent="0.3">
      <c r="A75" s="628" t="s">
        <v>911</v>
      </c>
      <c r="B75" s="628" t="s">
        <v>912</v>
      </c>
      <c r="C75" s="628" t="str">
        <f>Translations!$B$785</f>
        <v>Semi-finished products of iron or non-alloy steel, containing by weight &gt;= 0,25% carbon, of circular or polygonal cross-section, rolled or obtained by continuous casting</v>
      </c>
      <c r="D75" s="628" t="str">
        <f t="shared" si="1"/>
        <v>72072052</v>
      </c>
      <c r="E75" s="1140" t="str">
        <f>Translations!$B$668</f>
        <v>Crude steel</v>
      </c>
      <c r="F75" s="628" t="str">
        <f>IF(E75=" --- ","",COUNTIF($E$4:E75,E75)&amp;"_"&amp;E75)</f>
        <v>18_Crude steel</v>
      </c>
      <c r="H75" s="628" t="s">
        <v>913</v>
      </c>
    </row>
    <row r="76" spans="1:8" x14ac:dyDescent="0.3">
      <c r="A76" s="628" t="s">
        <v>914</v>
      </c>
      <c r="B76" s="628" t="s">
        <v>915</v>
      </c>
      <c r="C76" s="628" t="str">
        <f>Translations!$B$786</f>
        <v>Semi-finished products of iron or non-alloy steel, containing by weight &gt;= 0,6% carbon, of circular or polygonal cross-section, forged</v>
      </c>
      <c r="D76" s="628" t="str">
        <f t="shared" si="1"/>
        <v>72072059</v>
      </c>
      <c r="E76" s="1140" t="str">
        <f>Translations!$B$668</f>
        <v>Crude steel</v>
      </c>
      <c r="F76" s="628" t="str">
        <f>IF(E76=" --- ","",COUNTIF($E$4:E76,E76)&amp;"_"&amp;E76)</f>
        <v>19_Crude steel</v>
      </c>
      <c r="H76" s="628" t="s">
        <v>916</v>
      </c>
    </row>
    <row r="77" spans="1:8" x14ac:dyDescent="0.3">
      <c r="A77" s="628" t="s">
        <v>917</v>
      </c>
      <c r="B77" s="628" t="s">
        <v>918</v>
      </c>
      <c r="C77" s="628" t="str">
        <f>Translations!$B$787</f>
        <v>Semi-finished products of iron or non-alloy steel, containing by weight &gt;= 0,25% carbon (excl. those of square, rectangular, circular or polygonal cross-section)</v>
      </c>
      <c r="D77" s="628" t="str">
        <f t="shared" si="1"/>
        <v>72072080</v>
      </c>
      <c r="E77" s="1140" t="str">
        <f>Translations!$B$668</f>
        <v>Crude steel</v>
      </c>
      <c r="F77" s="628" t="str">
        <f>IF(E77=" --- ","",COUNTIF($E$4:E77,E77)&amp;"_"&amp;E77)</f>
        <v>20_Crude steel</v>
      </c>
      <c r="H77" s="628" t="s">
        <v>919</v>
      </c>
    </row>
    <row r="78" spans="1:8" x14ac:dyDescent="0.3">
      <c r="A78" s="628" t="s">
        <v>922</v>
      </c>
      <c r="B78" s="628" t="s">
        <v>923</v>
      </c>
      <c r="C78" s="628" t="str">
        <f>Translations!$B$789</f>
        <v>Flat-rolled products of iron or non-alloy steel, of a width of &gt;= 600 mm, in coils, simply hot-rolled, not clad, plated or coated, with patterns in relief directly due to the rolling process</v>
      </c>
      <c r="D78" s="628" t="str">
        <f t="shared" si="1"/>
        <v>72081000</v>
      </c>
      <c r="E78" s="1140" t="str">
        <f>Translations!$B$611</f>
        <v>Iron or steel products</v>
      </c>
      <c r="F78" s="628" t="str">
        <f>IF(E78=" --- ","",COUNTIF($E$4:E78,E78)&amp;"_"&amp;E78)</f>
        <v>4_Iron or steel products</v>
      </c>
      <c r="H78" s="628" t="s">
        <v>924</v>
      </c>
    </row>
    <row r="79" spans="1:8" x14ac:dyDescent="0.3">
      <c r="A79" s="628" t="s">
        <v>925</v>
      </c>
      <c r="B79" s="628" t="s">
        <v>926</v>
      </c>
      <c r="C79" s="628" t="str">
        <f>Translations!$B$790</f>
        <v>Flat-rolled products of iron or non-alloy steel, of a width of &gt;= 600 mm, in coils, simply hot-rolled, not clad, plated or coated, of a thickness of &gt;= 4,75 mm, pickled, without patterns in relief</v>
      </c>
      <c r="D79" s="628" t="str">
        <f t="shared" si="1"/>
        <v>72082500</v>
      </c>
      <c r="E79" s="1140" t="str">
        <f>Translations!$B$611</f>
        <v>Iron or steel products</v>
      </c>
      <c r="F79" s="628" t="str">
        <f>IF(E79=" --- ","",COUNTIF($E$4:E79,E79)&amp;"_"&amp;E79)</f>
        <v>5_Iron or steel products</v>
      </c>
      <c r="H79" s="628" t="s">
        <v>927</v>
      </c>
    </row>
    <row r="80" spans="1:8" x14ac:dyDescent="0.3">
      <c r="A80" s="628" t="s">
        <v>928</v>
      </c>
      <c r="B80" s="628" t="s">
        <v>929</v>
      </c>
      <c r="C80" s="628" t="str">
        <f>Translations!$B$791</f>
        <v>Flat-rolled products of iron or non-alloy steel, of a width of &gt;= 600 mm, in coils, simply hot-rolled, not clad, plated or coated, of a thickness of &gt;= 3 mm but &lt; 4,75 mm, pickled, without patterns in relief</v>
      </c>
      <c r="D80" s="628" t="str">
        <f t="shared" si="1"/>
        <v>72082600</v>
      </c>
      <c r="E80" s="1140" t="str">
        <f>Translations!$B$611</f>
        <v>Iron or steel products</v>
      </c>
      <c r="F80" s="628" t="str">
        <f>IF(E80=" --- ","",COUNTIF($E$4:E80,E80)&amp;"_"&amp;E80)</f>
        <v>6_Iron or steel products</v>
      </c>
      <c r="H80" s="628" t="s">
        <v>930</v>
      </c>
    </row>
    <row r="81" spans="1:8" x14ac:dyDescent="0.3">
      <c r="A81" s="628" t="s">
        <v>931</v>
      </c>
      <c r="B81" s="628" t="s">
        <v>932</v>
      </c>
      <c r="C81" s="628" t="str">
        <f>Translations!$B$792</f>
        <v>Flat-rolled products of iron or non-alloy steel, of a width of &gt;= 600 mm, in coils, simply hot-rolled, not clad, plated or coated, of a thickness of &lt; 3 mm, pickled, without patterns in relief</v>
      </c>
      <c r="D81" s="628" t="str">
        <f t="shared" si="1"/>
        <v>72082700</v>
      </c>
      <c r="E81" s="1140" t="str">
        <f>Translations!$B$611</f>
        <v>Iron or steel products</v>
      </c>
      <c r="F81" s="628" t="str">
        <f>IF(E81=" --- ","",COUNTIF($E$4:E81,E81)&amp;"_"&amp;E81)</f>
        <v>7_Iron or steel products</v>
      </c>
      <c r="H81" s="628" t="s">
        <v>933</v>
      </c>
    </row>
    <row r="82" spans="1:8" x14ac:dyDescent="0.3">
      <c r="A82" s="628" t="s">
        <v>934</v>
      </c>
      <c r="B82" s="628" t="s">
        <v>935</v>
      </c>
      <c r="C82" s="628" t="str">
        <f>Translations!$B$793</f>
        <v>Flat-rolled products of iron or non-alloy steel, of a width of &gt;= 600 mm, in coils, simply hot-rolled, not clad, plated or coated, of a thickness of &gt;= 10 mm, not pickled, without patterns in relief</v>
      </c>
      <c r="D82" s="628" t="str">
        <f t="shared" ref="D82:D145" si="2">SUBSTITUTE(B82," ","")</f>
        <v>72083600</v>
      </c>
      <c r="E82" s="1140" t="str">
        <f>Translations!$B$611</f>
        <v>Iron or steel products</v>
      </c>
      <c r="F82" s="628" t="str">
        <f>IF(E82=" --- ","",COUNTIF($E$4:E82,E82)&amp;"_"&amp;E82)</f>
        <v>8_Iron or steel products</v>
      </c>
      <c r="H82" s="628" t="s">
        <v>936</v>
      </c>
    </row>
    <row r="83" spans="1:8" x14ac:dyDescent="0.3">
      <c r="A83" s="628" t="s">
        <v>937</v>
      </c>
      <c r="B83" s="628" t="s">
        <v>938</v>
      </c>
      <c r="C83" s="628" t="str">
        <f>Translations!$B$794</f>
        <v>Flat-rolled products of iron or non-alloy steel, of a width of &gt;= 600 mm, in coils, simply hot-rolled, not clad, plated or coated, of a thickness of &gt;= 4,75 mm but &lt; 10 mm, not pickled, without patterns in relief</v>
      </c>
      <c r="D83" s="628" t="str">
        <f t="shared" si="2"/>
        <v>72083700</v>
      </c>
      <c r="E83" s="1140" t="str">
        <f>Translations!$B$611</f>
        <v>Iron or steel products</v>
      </c>
      <c r="F83" s="628" t="str">
        <f>IF(E83=" --- ","",COUNTIF($E$4:E83,E83)&amp;"_"&amp;E83)</f>
        <v>9_Iron or steel products</v>
      </c>
      <c r="H83" s="628" t="s">
        <v>939</v>
      </c>
    </row>
    <row r="84" spans="1:8" x14ac:dyDescent="0.3">
      <c r="A84" s="628" t="s">
        <v>940</v>
      </c>
      <c r="B84" s="628" t="s">
        <v>941</v>
      </c>
      <c r="C84" s="628" t="str">
        <f>Translations!$B$795</f>
        <v>Flat-rolled products of iron or non-alloy steel, of a width of &gt;= 600 mm, in coils, simply hot-rolled, not clad, plated or coated, of a thickness of &gt;= 3 mm but &lt; 4,75 mm, not pickled, without patterns in relief</v>
      </c>
      <c r="D84" s="628" t="str">
        <f t="shared" si="2"/>
        <v>72083800</v>
      </c>
      <c r="E84" s="1140" t="str">
        <f>Translations!$B$611</f>
        <v>Iron or steel products</v>
      </c>
      <c r="F84" s="628" t="str">
        <f>IF(E84=" --- ","",COUNTIF($E$4:E84,E84)&amp;"_"&amp;E84)</f>
        <v>10_Iron or steel products</v>
      </c>
      <c r="H84" s="628" t="s">
        <v>942</v>
      </c>
    </row>
    <row r="85" spans="1:8" x14ac:dyDescent="0.3">
      <c r="A85" s="628" t="s">
        <v>943</v>
      </c>
      <c r="B85" s="628" t="s">
        <v>944</v>
      </c>
      <c r="C85" s="628" t="str">
        <f>Translations!$B$796</f>
        <v>Flat-rolled products of iron or non-alloy steel, of a width of &gt;= 600 mm, in coils, simply hot-rolled, not clad, plated or coated, of a thickness of &lt; 3 mm, not pickled, without patterns in relief</v>
      </c>
      <c r="D85" s="628" t="str">
        <f t="shared" si="2"/>
        <v>72083900</v>
      </c>
      <c r="E85" s="1140" t="str">
        <f>Translations!$B$611</f>
        <v>Iron or steel products</v>
      </c>
      <c r="F85" s="628" t="str">
        <f>IF(E85=" --- ","",COUNTIF($E$4:E85,E85)&amp;"_"&amp;E85)</f>
        <v>11_Iron or steel products</v>
      </c>
      <c r="H85" s="628" t="s">
        <v>945</v>
      </c>
    </row>
    <row r="86" spans="1:8" x14ac:dyDescent="0.3">
      <c r="A86" s="628" t="s">
        <v>946</v>
      </c>
      <c r="B86" s="628" t="s">
        <v>947</v>
      </c>
      <c r="C86" s="628" t="str">
        <f>Translations!$B$797</f>
        <v>Flat-rolled products of iron or non-alloy steel, of a width of &gt;= 600 mm, not in coils, simply hot-rolled, not clad, plated or coated, with patterns in relief directly due to the rolling process</v>
      </c>
      <c r="D86" s="628" t="str">
        <f t="shared" si="2"/>
        <v>72084000</v>
      </c>
      <c r="E86" s="1140" t="str">
        <f>Translations!$B$611</f>
        <v>Iron or steel products</v>
      </c>
      <c r="F86" s="628" t="str">
        <f>IF(E86=" --- ","",COUNTIF($E$4:E86,E86)&amp;"_"&amp;E86)</f>
        <v>12_Iron or steel products</v>
      </c>
      <c r="H86" s="628" t="s">
        <v>948</v>
      </c>
    </row>
    <row r="87" spans="1:8" x14ac:dyDescent="0.3">
      <c r="A87" s="628" t="s">
        <v>951</v>
      </c>
      <c r="B87" s="628" t="s">
        <v>952</v>
      </c>
      <c r="C87" s="628" t="str">
        <f>Translations!$B$799</f>
        <v>Flat-rolled products of iron or non-alloy steel, of a width of &gt;= 600 mm, not in coils, simply hot-rolled, not clad, plated or coated, of a thickness of &gt; 15 mm, without patterns in relief</v>
      </c>
      <c r="D87" s="628" t="str">
        <f t="shared" si="2"/>
        <v>72085120</v>
      </c>
      <c r="E87" s="1140" t="str">
        <f>Translations!$B$611</f>
        <v>Iron or steel products</v>
      </c>
      <c r="F87" s="628" t="str">
        <f>IF(E87=" --- ","",COUNTIF($E$4:E87,E87)&amp;"_"&amp;E87)</f>
        <v>13_Iron or steel products</v>
      </c>
      <c r="H87" s="628" t="s">
        <v>953</v>
      </c>
    </row>
    <row r="88" spans="1:8" x14ac:dyDescent="0.3">
      <c r="A88" s="628" t="s">
        <v>954</v>
      </c>
      <c r="B88" s="628" t="s">
        <v>955</v>
      </c>
      <c r="C88" s="628" t="str">
        <f>Translations!$B$800</f>
        <v>Flat-rolled products of iron or non-alloy steel, of a width of &gt;= 2.050 mm, not in coils, simply hot-rolled, not clad, plated or coated, of a thickness of &gt; 10 mm but &lt;= 15 mm, without patterns in relief (excl. "wide flats")</v>
      </c>
      <c r="D88" s="628" t="str">
        <f t="shared" si="2"/>
        <v>72085191</v>
      </c>
      <c r="E88" s="1140" t="str">
        <f>Translations!$B$611</f>
        <v>Iron or steel products</v>
      </c>
      <c r="F88" s="628" t="str">
        <f>IF(E88=" --- ","",COUNTIF($E$4:E88,E88)&amp;"_"&amp;E88)</f>
        <v>14_Iron or steel products</v>
      </c>
      <c r="H88" s="628" t="s">
        <v>956</v>
      </c>
    </row>
    <row r="89" spans="1:8" x14ac:dyDescent="0.3">
      <c r="A89" s="628" t="s">
        <v>957</v>
      </c>
      <c r="B89" s="628" t="s">
        <v>958</v>
      </c>
      <c r="C89" s="628" t="str">
        <f>Translations!$B$801</f>
        <v>Flat-rolled products of iron or non-alloy steel, of a width of &lt; 2.050 mm but &gt;= 600 mm, not in coils, simply hot-rolled, not clad, plated or coated, of a thickness of &gt; 10 mm but &lt;= 15 mm, without patterns in relief</v>
      </c>
      <c r="D89" s="628" t="str">
        <f t="shared" si="2"/>
        <v>72085198</v>
      </c>
      <c r="E89" s="1140" t="str">
        <f>Translations!$B$611</f>
        <v>Iron or steel products</v>
      </c>
      <c r="F89" s="628" t="str">
        <f>IF(E89=" --- ","",COUNTIF($E$4:E89,E89)&amp;"_"&amp;E89)</f>
        <v>15_Iron or steel products</v>
      </c>
      <c r="H89" s="628" t="s">
        <v>959</v>
      </c>
    </row>
    <row r="90" spans="1:8" x14ac:dyDescent="0.3">
      <c r="A90" s="628" t="s">
        <v>962</v>
      </c>
      <c r="B90" s="628" t="s">
        <v>963</v>
      </c>
      <c r="C90" s="628" t="str">
        <f>Translations!$B$803</f>
        <v>Flat-rolled products of iron or non-alloy steel, of a width of &lt;= 1.250 mm, not in coils, simply hot-rolled on four faces or in a closed box pass, not clad, plated or coated, of a thickness of &gt;= 4,75 mm but &lt;= 10 mm, without patterns in relief</v>
      </c>
      <c r="D90" s="628" t="str">
        <f t="shared" si="2"/>
        <v>72085210</v>
      </c>
      <c r="E90" s="1140" t="str">
        <f>Translations!$B$611</f>
        <v>Iron or steel products</v>
      </c>
      <c r="F90" s="628" t="str">
        <f>IF(E90=" --- ","",COUNTIF($E$4:E90,E90)&amp;"_"&amp;E90)</f>
        <v>16_Iron or steel products</v>
      </c>
      <c r="H90" s="628" t="s">
        <v>964</v>
      </c>
    </row>
    <row r="91" spans="1:8" x14ac:dyDescent="0.3">
      <c r="A91" s="628" t="s">
        <v>965</v>
      </c>
      <c r="B91" s="628" t="s">
        <v>966</v>
      </c>
      <c r="C91" s="628" t="str">
        <f>Translations!$B$804</f>
        <v>Flat-rolled products of iron or non-alloy steel, of a width of &gt;= 2.050 mm, not in coils, simply hot-rolled, not clad, plated or coated, of a thickness of &gt;= 4,75 mm but &lt;= 10 mm, without patterns in relief</v>
      </c>
      <c r="D91" s="628" t="str">
        <f t="shared" si="2"/>
        <v>72085291</v>
      </c>
      <c r="E91" s="1140" t="str">
        <f>Translations!$B$611</f>
        <v>Iron or steel products</v>
      </c>
      <c r="F91" s="628" t="str">
        <f>IF(E91=" --- ","",COUNTIF($E$4:E91,E91)&amp;"_"&amp;E91)</f>
        <v>17_Iron or steel products</v>
      </c>
      <c r="H91" s="628" t="s">
        <v>967</v>
      </c>
    </row>
    <row r="92" spans="1:8" x14ac:dyDescent="0.3">
      <c r="A92" s="628" t="s">
        <v>968</v>
      </c>
      <c r="B92" s="628" t="s">
        <v>969</v>
      </c>
      <c r="C92" s="628" t="str">
        <f>Translations!$B$805</f>
        <v>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v>
      </c>
      <c r="D92" s="628" t="str">
        <f t="shared" si="2"/>
        <v>72085299</v>
      </c>
      <c r="E92" s="1140" t="str">
        <f>Translations!$B$611</f>
        <v>Iron or steel products</v>
      </c>
      <c r="F92" s="628" t="str">
        <f>IF(E92=" --- ","",COUNTIF($E$4:E92,E92)&amp;"_"&amp;E92)</f>
        <v>18_Iron or steel products</v>
      </c>
      <c r="H92" s="628" t="s">
        <v>970</v>
      </c>
    </row>
    <row r="93" spans="1:8" x14ac:dyDescent="0.3">
      <c r="A93" s="628" t="s">
        <v>973</v>
      </c>
      <c r="B93" s="628" t="s">
        <v>974</v>
      </c>
      <c r="C93" s="628" t="str">
        <f>Translations!$B$807</f>
        <v>Flat-rolled products of iron or non-alloy steel, of a width of &lt;= 1.250 mm, not in coils, simply hot-rolled on four faces or in a closed box pass, not clad, plated or coated, of a thickness of &gt;= 4 mm but &lt; 4,75 mm, without patterns in relief</v>
      </c>
      <c r="D93" s="628" t="str">
        <f t="shared" si="2"/>
        <v>72085310</v>
      </c>
      <c r="E93" s="1140" t="str">
        <f>Translations!$B$611</f>
        <v>Iron or steel products</v>
      </c>
      <c r="F93" s="628" t="str">
        <f>IF(E93=" --- ","",COUNTIF($E$4:E93,E93)&amp;"_"&amp;E93)</f>
        <v>19_Iron or steel products</v>
      </c>
      <c r="H93" s="628" t="s">
        <v>975</v>
      </c>
    </row>
    <row r="94" spans="1:8" x14ac:dyDescent="0.3">
      <c r="A94" s="628" t="s">
        <v>976</v>
      </c>
      <c r="B94" s="628" t="s">
        <v>977</v>
      </c>
      <c r="C94" s="628" t="str">
        <f>Translations!$B$808</f>
        <v>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v>
      </c>
      <c r="D94" s="628" t="str">
        <f t="shared" si="2"/>
        <v>72085390</v>
      </c>
      <c r="E94" s="1140" t="str">
        <f>Translations!$B$611</f>
        <v>Iron or steel products</v>
      </c>
      <c r="F94" s="628" t="str">
        <f>IF(E94=" --- ","",COUNTIF($E$4:E94,E94)&amp;"_"&amp;E94)</f>
        <v>20_Iron or steel products</v>
      </c>
      <c r="H94" s="628" t="s">
        <v>978</v>
      </c>
    </row>
    <row r="95" spans="1:8" x14ac:dyDescent="0.3">
      <c r="A95" s="628" t="s">
        <v>979</v>
      </c>
      <c r="B95" s="628" t="s">
        <v>980</v>
      </c>
      <c r="C95" s="628" t="str">
        <f>Translations!$B$809</f>
        <v>Flat-rolled products of iron or non-alloy steel, of a width of &gt;= 600 mm, not in coils, simply hot-rolled, not clad, plated or coated, of a thickness of &lt; 3 mm, without patterns in relief</v>
      </c>
      <c r="D95" s="628" t="str">
        <f t="shared" si="2"/>
        <v>72085400</v>
      </c>
      <c r="E95" s="1140" t="str">
        <f>Translations!$B$611</f>
        <v>Iron or steel products</v>
      </c>
      <c r="F95" s="628" t="str">
        <f>IF(E95=" --- ","",COUNTIF($E$4:E95,E95)&amp;"_"&amp;E95)</f>
        <v>21_Iron or steel products</v>
      </c>
      <c r="H95" s="628" t="s">
        <v>981</v>
      </c>
    </row>
    <row r="96" spans="1:8" x14ac:dyDescent="0.3">
      <c r="A96" s="628" t="s">
        <v>984</v>
      </c>
      <c r="B96" s="628" t="s">
        <v>985</v>
      </c>
      <c r="C96" s="628" t="str">
        <f>Translations!$B$811</f>
        <v>Flat-rolled products of iron or steel, of a width &gt;= 600 mm, hot-rolled and further worked, but not clad, plated or coated, perforated</v>
      </c>
      <c r="D96" s="628" t="str">
        <f t="shared" si="2"/>
        <v>72089020</v>
      </c>
      <c r="E96" s="1140" t="str">
        <f>Translations!$B$611</f>
        <v>Iron or steel products</v>
      </c>
      <c r="F96" s="628" t="str">
        <f>IF(E96=" --- ","",COUNTIF($E$4:E96,E96)&amp;"_"&amp;E96)</f>
        <v>22_Iron or steel products</v>
      </c>
      <c r="H96" s="628" t="s">
        <v>986</v>
      </c>
    </row>
    <row r="97" spans="1:8" x14ac:dyDescent="0.3">
      <c r="A97" s="628" t="s">
        <v>987</v>
      </c>
      <c r="B97" s="628" t="s">
        <v>988</v>
      </c>
      <c r="C97" s="628" t="str">
        <f>Translations!$B$812</f>
        <v>Flat-rolled products of iron or steel, of a width &gt;= 600 mm, hot-rolled and further worked, but not clad, plated or coated, non-perforated</v>
      </c>
      <c r="D97" s="628" t="str">
        <f t="shared" si="2"/>
        <v>72089080</v>
      </c>
      <c r="E97" s="1140" t="str">
        <f>Translations!$B$611</f>
        <v>Iron or steel products</v>
      </c>
      <c r="F97" s="628" t="str">
        <f>IF(E97=" --- ","",COUNTIF($E$4:E97,E97)&amp;"_"&amp;E97)</f>
        <v>23_Iron or steel products</v>
      </c>
      <c r="H97" s="628" t="s">
        <v>989</v>
      </c>
    </row>
    <row r="98" spans="1:8" x14ac:dyDescent="0.3">
      <c r="A98" s="628" t="s">
        <v>992</v>
      </c>
      <c r="B98" s="628" t="s">
        <v>993</v>
      </c>
      <c r="C98" s="628" t="str">
        <f>Translations!$B$814</f>
        <v>Flat-rolled products of iron or non-alloy steel, of a width of &gt;= 600 mm, in coils, simply cold-rolled "cold-reduced", not clad, plated or coated, of a thickness of &gt;= 3 mm</v>
      </c>
      <c r="D98" s="628" t="str">
        <f t="shared" si="2"/>
        <v>72091500</v>
      </c>
      <c r="E98" s="1140" t="str">
        <f>Translations!$B$611</f>
        <v>Iron or steel products</v>
      </c>
      <c r="F98" s="628" t="str">
        <f>IF(E98=" --- ","",COUNTIF($E$4:E98,E98)&amp;"_"&amp;E98)</f>
        <v>24_Iron or steel products</v>
      </c>
      <c r="H98" s="628" t="s">
        <v>994</v>
      </c>
    </row>
    <row r="99" spans="1:8" x14ac:dyDescent="0.3">
      <c r="A99" s="628" t="s">
        <v>997</v>
      </c>
      <c r="B99" s="628" t="s">
        <v>998</v>
      </c>
      <c r="C99" s="628" t="str">
        <f>Translations!$B$816</f>
        <v>Flat-rolled products of iron or non-alloy steel, of a width of &gt;= 600 mm, in coils, simply cold-rolled "cold-reduced", of a thickness of &gt; 1 mm but &lt; 3 mm "electrical"</v>
      </c>
      <c r="D99" s="628" t="str">
        <f t="shared" si="2"/>
        <v>72091610</v>
      </c>
      <c r="E99" s="1140" t="str">
        <f>Translations!$B$611</f>
        <v>Iron or steel products</v>
      </c>
      <c r="F99" s="628" t="str">
        <f>IF(E99=" --- ","",COUNTIF($E$4:E99,E99)&amp;"_"&amp;E99)</f>
        <v>25_Iron or steel products</v>
      </c>
      <c r="H99" s="628" t="s">
        <v>999</v>
      </c>
    </row>
    <row r="100" spans="1:8" x14ac:dyDescent="0.3">
      <c r="A100" s="628" t="s">
        <v>1000</v>
      </c>
      <c r="B100" s="628" t="s">
        <v>1001</v>
      </c>
      <c r="C100" s="628" t="str">
        <f>Translations!$B$816</f>
        <v>Flat-rolled products of iron or non-alloy steel, of a width of &gt;= 600 mm, in coils, simply cold-rolled "cold-reduced", of a thickness of &gt; 1 mm but &lt; 3 mm "electrical"</v>
      </c>
      <c r="D100" s="628" t="str">
        <f t="shared" si="2"/>
        <v>72091690</v>
      </c>
      <c r="E100" s="1140" t="str">
        <f>Translations!$B$611</f>
        <v>Iron or steel products</v>
      </c>
      <c r="F100" s="628" t="str">
        <f>IF(E100=" --- ","",COUNTIF($E$4:E100,E100)&amp;"_"&amp;E100)</f>
        <v>26_Iron or steel products</v>
      </c>
      <c r="H100" s="628" t="s">
        <v>1002</v>
      </c>
    </row>
    <row r="101" spans="1:8" x14ac:dyDescent="0.3">
      <c r="A101" s="628" t="s">
        <v>1005</v>
      </c>
      <c r="B101" s="628" t="s">
        <v>1006</v>
      </c>
      <c r="C101" s="628" t="str">
        <f>Translations!$B$819</f>
        <v>Flat-rolled products of iron or non-alloy steel, of a width of &gt;= 600 mm, in coils, simply cold-rolled "cold-reduced", of a thickness of &gt;= 0,5 mm but &lt;= 1 mm "electrical"</v>
      </c>
      <c r="D101" s="628" t="str">
        <f t="shared" si="2"/>
        <v>72091710</v>
      </c>
      <c r="E101" s="1140" t="str">
        <f>Translations!$B$611</f>
        <v>Iron or steel products</v>
      </c>
      <c r="F101" s="628" t="str">
        <f>IF(E101=" --- ","",COUNTIF($E$4:E101,E101)&amp;"_"&amp;E101)</f>
        <v>27_Iron or steel products</v>
      </c>
      <c r="H101" s="628" t="s">
        <v>1007</v>
      </c>
    </row>
    <row r="102" spans="1:8" x14ac:dyDescent="0.3">
      <c r="A102" s="628" t="s">
        <v>1008</v>
      </c>
      <c r="B102" s="628" t="s">
        <v>1009</v>
      </c>
      <c r="C102" s="628" t="str">
        <f>Translations!$B$820</f>
        <v>Flat-rolled products of iron or non-alloy steel, of a width of &gt;= 600 mm, in coils, simply cold-rolled "cold-reduced", not clad, plated or coated, of a thickness of &gt;= 0,5 mm but &lt;= 1 mm (excl. electrical)</v>
      </c>
      <c r="D102" s="628" t="str">
        <f t="shared" si="2"/>
        <v>72091790</v>
      </c>
      <c r="E102" s="1140" t="str">
        <f>Translations!$B$611</f>
        <v>Iron or steel products</v>
      </c>
      <c r="F102" s="628" t="str">
        <f>IF(E102=" --- ","",COUNTIF($E$4:E102,E102)&amp;"_"&amp;E102)</f>
        <v>28_Iron or steel products</v>
      </c>
      <c r="H102" s="628" t="s">
        <v>1010</v>
      </c>
    </row>
    <row r="103" spans="1:8" x14ac:dyDescent="0.3">
      <c r="A103" s="628" t="s">
        <v>1013</v>
      </c>
      <c r="B103" s="628" t="s">
        <v>1014</v>
      </c>
      <c r="C103" s="628" t="str">
        <f>Translations!$B$822</f>
        <v>Flat-rolled products of iron or non-alloy steel, of a width of &gt;= 600 mm, in coils, simply cold-rolled "cold-reduced", of a thickness of &lt; 0,5 mm "electrical"</v>
      </c>
      <c r="D103" s="628" t="str">
        <f t="shared" si="2"/>
        <v>72091810</v>
      </c>
      <c r="E103" s="1140" t="str">
        <f>Translations!$B$611</f>
        <v>Iron or steel products</v>
      </c>
      <c r="F103" s="628" t="str">
        <f>IF(E103=" --- ","",COUNTIF($E$4:E103,E103)&amp;"_"&amp;E103)</f>
        <v>29_Iron or steel products</v>
      </c>
      <c r="H103" s="628" t="s">
        <v>1015</v>
      </c>
    </row>
    <row r="104" spans="1:8" x14ac:dyDescent="0.3">
      <c r="A104" s="628" t="s">
        <v>1016</v>
      </c>
      <c r="B104" s="628" t="s">
        <v>1017</v>
      </c>
      <c r="C104" s="628" t="str">
        <f>Translations!$B$823</f>
        <v>Flat-rolled products of iron or non-alloy steel, of a width of &gt;= 600 mm, in coils, simply cold-rolled "cold-reduced", not clad, plated or coated, of a thickness of &gt;= 0,35 mm but &lt; 0,5 mm (excl. electrical)</v>
      </c>
      <c r="D104" s="628" t="str">
        <f t="shared" si="2"/>
        <v>72091891</v>
      </c>
      <c r="E104" s="1140" t="str">
        <f>Translations!$B$611</f>
        <v>Iron or steel products</v>
      </c>
      <c r="F104" s="628" t="str">
        <f>IF(E104=" --- ","",COUNTIF($E$4:E104,E104)&amp;"_"&amp;E104)</f>
        <v>30_Iron or steel products</v>
      </c>
      <c r="H104" s="628" t="s">
        <v>1018</v>
      </c>
    </row>
    <row r="105" spans="1:8" x14ac:dyDescent="0.3">
      <c r="A105" s="628" t="s">
        <v>1019</v>
      </c>
      <c r="B105" s="628" t="s">
        <v>1020</v>
      </c>
      <c r="C105" s="628" t="str">
        <f>Translations!$B$824</f>
        <v>Flat-rolled products of iron or non-alloy steel, of a width of &gt;= 600 mm, in coils, simply cold-rolled "cold-reduced", not clad, plated or coated, of a thickness of &lt; 0,35 mm (excl. electrical)</v>
      </c>
      <c r="D105" s="628" t="str">
        <f t="shared" si="2"/>
        <v>72091899</v>
      </c>
      <c r="E105" s="1140" t="str">
        <f>Translations!$B$611</f>
        <v>Iron or steel products</v>
      </c>
      <c r="F105" s="628" t="str">
        <f>IF(E105=" --- ","",COUNTIF($E$4:E105,E105)&amp;"_"&amp;E105)</f>
        <v>31_Iron or steel products</v>
      </c>
      <c r="H105" s="628" t="s">
        <v>1021</v>
      </c>
    </row>
    <row r="106" spans="1:8" x14ac:dyDescent="0.3">
      <c r="A106" s="628" t="s">
        <v>1022</v>
      </c>
      <c r="B106" s="628" t="s">
        <v>1023</v>
      </c>
      <c r="C106" s="628" t="str">
        <f>Translations!$B$825</f>
        <v>Flat-rolled products of iron or non-alloy steel, of a width of &gt;= 600 mm, not in coils, simply cold-rolled "cold-reduced", not clad, plated or coated, of a thickness of &gt;= 3 mm</v>
      </c>
      <c r="D106" s="628" t="str">
        <f t="shared" si="2"/>
        <v>72092500</v>
      </c>
      <c r="E106" s="1140" t="str">
        <f>Translations!$B$611</f>
        <v>Iron or steel products</v>
      </c>
      <c r="F106" s="628" t="str">
        <f>IF(E106=" --- ","",COUNTIF($E$4:E106,E106)&amp;"_"&amp;E106)</f>
        <v>32_Iron or steel products</v>
      </c>
      <c r="H106" s="628" t="s">
        <v>1024</v>
      </c>
    </row>
    <row r="107" spans="1:8" x14ac:dyDescent="0.3">
      <c r="A107" s="628" t="s">
        <v>1027</v>
      </c>
      <c r="B107" s="628" t="s">
        <v>1028</v>
      </c>
      <c r="C107" s="628" t="str">
        <f>Translations!$B$827</f>
        <v>Flat-rolled products of iron or non-alloy steel, of a width of &gt;= 600 mm, not in coils, simply cold-rolled "cold-reduced", of a thickness of &gt; 1 mm but &lt; 3 mm "electrical"</v>
      </c>
      <c r="D107" s="628" t="str">
        <f t="shared" si="2"/>
        <v>72092610</v>
      </c>
      <c r="E107" s="1140" t="str">
        <f>Translations!$B$611</f>
        <v>Iron or steel products</v>
      </c>
      <c r="F107" s="628" t="str">
        <f>IF(E107=" --- ","",COUNTIF($E$4:E107,E107)&amp;"_"&amp;E107)</f>
        <v>33_Iron or steel products</v>
      </c>
      <c r="H107" s="628" t="s">
        <v>1029</v>
      </c>
    </row>
    <row r="108" spans="1:8" x14ac:dyDescent="0.3">
      <c r="A108" s="628" t="s">
        <v>1030</v>
      </c>
      <c r="B108" s="628" t="s">
        <v>1031</v>
      </c>
      <c r="C108" s="628" t="str">
        <f>Translations!$B$828</f>
        <v>Flat-rolled products of iron or non-alloy steel, of a width of &gt;= 600 mm, not in coils, simply cold-rolled "cold-reduced", not clad, plated or coated, of a thickness of &gt; 1 mm but &lt; 3 mm (excl. electrical)</v>
      </c>
      <c r="D108" s="628" t="str">
        <f t="shared" si="2"/>
        <v>72092690</v>
      </c>
      <c r="E108" s="1140" t="str">
        <f>Translations!$B$611</f>
        <v>Iron or steel products</v>
      </c>
      <c r="F108" s="628" t="str">
        <f>IF(E108=" --- ","",COUNTIF($E$4:E108,E108)&amp;"_"&amp;E108)</f>
        <v>34_Iron or steel products</v>
      </c>
      <c r="H108" s="628" t="s">
        <v>1032</v>
      </c>
    </row>
    <row r="109" spans="1:8" x14ac:dyDescent="0.3">
      <c r="A109" s="628" t="s">
        <v>1035</v>
      </c>
      <c r="B109" s="628" t="s">
        <v>1036</v>
      </c>
      <c r="C109" s="628" t="str">
        <f>Translations!$B$830</f>
        <v>Flat-rolled products of iron or non-alloy steel, of a width of &gt;= 600 mm, not in coils, simply cold-rolled "cold-reduced", of a thickness of &gt;= 0,5 mm but &lt;= 1 mm "electrical"</v>
      </c>
      <c r="D109" s="628" t="str">
        <f t="shared" si="2"/>
        <v>72092710</v>
      </c>
      <c r="E109" s="1140" t="str">
        <f>Translations!$B$611</f>
        <v>Iron or steel products</v>
      </c>
      <c r="F109" s="628" t="str">
        <f>IF(E109=" --- ","",COUNTIF($E$4:E109,E109)&amp;"_"&amp;E109)</f>
        <v>35_Iron or steel products</v>
      </c>
      <c r="H109" s="628" t="s">
        <v>1037</v>
      </c>
    </row>
    <row r="110" spans="1:8" x14ac:dyDescent="0.3">
      <c r="A110" s="628" t="s">
        <v>1038</v>
      </c>
      <c r="B110" s="628" t="s">
        <v>1039</v>
      </c>
      <c r="C110" s="628" t="str">
        <f>Translations!$B$831</f>
        <v>Flat-rolled products of iron or non-alloy steel, of a width of &gt;= 600 mm, not in coils, simply cold-rolled "cold-reduced", not clad, plated or coated, of a thickness of &gt;= 0,5 mm but &lt;= 1 mm (excl. electrical)</v>
      </c>
      <c r="D110" s="628" t="str">
        <f t="shared" si="2"/>
        <v>72092790</v>
      </c>
      <c r="E110" s="1140" t="str">
        <f>Translations!$B$611</f>
        <v>Iron or steel products</v>
      </c>
      <c r="F110" s="628" t="str">
        <f>IF(E110=" --- ","",COUNTIF($E$4:E110,E110)&amp;"_"&amp;E110)</f>
        <v>36_Iron or steel products</v>
      </c>
      <c r="H110" s="628" t="s">
        <v>1040</v>
      </c>
    </row>
    <row r="111" spans="1:8" x14ac:dyDescent="0.3">
      <c r="A111" s="628" t="s">
        <v>1043</v>
      </c>
      <c r="B111" s="628" t="s">
        <v>1044</v>
      </c>
      <c r="C111" s="628" t="str">
        <f>Translations!$B$833</f>
        <v>Flat-rolled products of iron or non-alloy steel, of a width of &gt;= 600 mm, not in coils, simply cold-rolled "cold-reduced", of a thickness of &lt; 0,5 mm "electrical"</v>
      </c>
      <c r="D111" s="628" t="str">
        <f t="shared" si="2"/>
        <v>72092810</v>
      </c>
      <c r="E111" s="1140" t="str">
        <f>Translations!$B$611</f>
        <v>Iron or steel products</v>
      </c>
      <c r="F111" s="628" t="str">
        <f>IF(E111=" --- ","",COUNTIF($E$4:E111,E111)&amp;"_"&amp;E111)</f>
        <v>37_Iron or steel products</v>
      </c>
      <c r="H111" s="628" t="s">
        <v>1045</v>
      </c>
    </row>
    <row r="112" spans="1:8" x14ac:dyDescent="0.3">
      <c r="A112" s="628" t="s">
        <v>1046</v>
      </c>
      <c r="B112" s="628" t="s">
        <v>1047</v>
      </c>
      <c r="C112" s="628" t="str">
        <f>Translations!$B$834</f>
        <v>Flat-rolled products of iron or non-alloy steel, of a width of &gt;= 600 mm, not in coils, simply cold-rolled "cold-reduced", not clad, plated or coated, of a thickness of &lt; 0,5 mm (excl. electrical)</v>
      </c>
      <c r="D112" s="628" t="str">
        <f t="shared" si="2"/>
        <v>72092890</v>
      </c>
      <c r="E112" s="1140" t="str">
        <f>Translations!$B$611</f>
        <v>Iron or steel products</v>
      </c>
      <c r="F112" s="628" t="str">
        <f>IF(E112=" --- ","",COUNTIF($E$4:E112,E112)&amp;"_"&amp;E112)</f>
        <v>38_Iron or steel products</v>
      </c>
      <c r="H112" s="628" t="s">
        <v>1048</v>
      </c>
    </row>
    <row r="113" spans="1:8" x14ac:dyDescent="0.3">
      <c r="A113" s="628" t="s">
        <v>1051</v>
      </c>
      <c r="B113" s="628" t="s">
        <v>1052</v>
      </c>
      <c r="C113" s="628" t="str">
        <f>Translations!$B$836</f>
        <v>Flat-rolled products of iron or steel, of a width of &gt;= 600 mm, cold-rolled "cold-reduced" and further worked, but not clad, plated or coated, perforated</v>
      </c>
      <c r="D113" s="628" t="str">
        <f t="shared" si="2"/>
        <v>72099020</v>
      </c>
      <c r="E113" s="1140" t="str">
        <f>Translations!$B$611</f>
        <v>Iron or steel products</v>
      </c>
      <c r="F113" s="628" t="str">
        <f>IF(E113=" --- ","",COUNTIF($E$4:E113,E113)&amp;"_"&amp;E113)</f>
        <v>39_Iron or steel products</v>
      </c>
      <c r="H113" s="628" t="s">
        <v>1053</v>
      </c>
    </row>
    <row r="114" spans="1:8" x14ac:dyDescent="0.3">
      <c r="A114" s="628" t="s">
        <v>1054</v>
      </c>
      <c r="B114" s="628" t="s">
        <v>1055</v>
      </c>
      <c r="C114" s="628" t="str">
        <f>Translations!$B$837</f>
        <v>Flat-rolled products of iron or steel, of a width of &gt;= 600 mm, cold-rolled "cold-reduced" and further worked, but not clad, plated or coated, non-perforated</v>
      </c>
      <c r="D114" s="628" t="str">
        <f t="shared" si="2"/>
        <v>72099080</v>
      </c>
      <c r="E114" s="1140" t="str">
        <f>Translations!$B$611</f>
        <v>Iron or steel products</v>
      </c>
      <c r="F114" s="628" t="str">
        <f>IF(E114=" --- ","",COUNTIF($E$4:E114,E114)&amp;"_"&amp;E114)</f>
        <v>40_Iron or steel products</v>
      </c>
      <c r="H114" s="628" t="s">
        <v>1056</v>
      </c>
    </row>
    <row r="115" spans="1:8" x14ac:dyDescent="0.3">
      <c r="A115" s="628" t="s">
        <v>1058</v>
      </c>
      <c r="B115" s="628" t="s">
        <v>1059</v>
      </c>
      <c r="C115" s="628" t="str">
        <f>Translations!$B$839</f>
        <v>Flat-rolled products of iron or non-alloy steel, of a width of &gt;= 600 mm, hot-rolled or cold-rolled "cold-reduced", tinned, of a thickness of &gt;= 0,5 mm</v>
      </c>
      <c r="D115" s="628" t="str">
        <f t="shared" si="2"/>
        <v>72101100</v>
      </c>
      <c r="E115" s="1140" t="str">
        <f>Translations!$B$611</f>
        <v>Iron or steel products</v>
      </c>
      <c r="F115" s="628" t="str">
        <f>IF(E115=" --- ","",COUNTIF($E$4:E115,E115)&amp;"_"&amp;E115)</f>
        <v>41_Iron or steel products</v>
      </c>
      <c r="H115" s="628" t="s">
        <v>1060</v>
      </c>
    </row>
    <row r="116" spans="1:8" x14ac:dyDescent="0.3">
      <c r="A116" s="628" t="s">
        <v>1063</v>
      </c>
      <c r="B116" s="628" t="s">
        <v>1064</v>
      </c>
      <c r="C116" s="628" t="str">
        <f>Translations!$B$841</f>
        <v>Tinplate of iron or non-alloy steel, of a width of &gt;= 600 mm and of a thickness of &lt; 0,5 mm, tinned [coated with a layer of metal containing, by weight,  &gt;= 97% of tin], not further worked than surface-treated</v>
      </c>
      <c r="D116" s="628" t="str">
        <f t="shared" si="2"/>
        <v>72101220</v>
      </c>
      <c r="E116" s="1140" t="str">
        <f>Translations!$B$611</f>
        <v>Iron or steel products</v>
      </c>
      <c r="F116" s="628" t="str">
        <f>IF(E116=" --- ","",COUNTIF($E$4:E116,E116)&amp;"_"&amp;E116)</f>
        <v>42_Iron or steel products</v>
      </c>
      <c r="H116" s="628" t="s">
        <v>1065</v>
      </c>
    </row>
    <row r="117" spans="1:8" x14ac:dyDescent="0.3">
      <c r="A117" s="628" t="s">
        <v>1066</v>
      </c>
      <c r="B117" s="628" t="s">
        <v>1067</v>
      </c>
      <c r="C117" s="628" t="str">
        <f>Translations!$B$842</f>
        <v>Flat-rolled products of iron or non-alloy steel, of a width of &gt;= 600 mm, hot-rolled or cold-rolled "cold-reduced", plated or coated with tin, of a thickness of &lt; 0,5 mm (excl. tinplate)</v>
      </c>
      <c r="D117" s="628" t="str">
        <f t="shared" si="2"/>
        <v>72101280</v>
      </c>
      <c r="E117" s="1140" t="str">
        <f>Translations!$B$611</f>
        <v>Iron or steel products</v>
      </c>
      <c r="F117" s="628" t="str">
        <f>IF(E117=" --- ","",COUNTIF($E$4:E117,E117)&amp;"_"&amp;E117)</f>
        <v>43_Iron or steel products</v>
      </c>
      <c r="H117" s="628" t="s">
        <v>1068</v>
      </c>
    </row>
    <row r="118" spans="1:8" x14ac:dyDescent="0.3">
      <c r="A118" s="628" t="s">
        <v>1069</v>
      </c>
      <c r="B118" s="628" t="s">
        <v>1070</v>
      </c>
      <c r="C118" s="628" t="str">
        <f>Translations!$B$843</f>
        <v>Flat-rolled products of iron or non-alloy steel, of a width of &gt;= 600 mm, hot-rolled or cold-rolled "cold-reduced", plated or coated with lead, incl. terne-plate</v>
      </c>
      <c r="D118" s="628" t="str">
        <f t="shared" si="2"/>
        <v>72102000</v>
      </c>
      <c r="E118" s="1140" t="str">
        <f>Translations!$B$611</f>
        <v>Iron or steel products</v>
      </c>
      <c r="F118" s="628" t="str">
        <f>IF(E118=" --- ","",COUNTIF($E$4:E118,E118)&amp;"_"&amp;E118)</f>
        <v>44_Iron or steel products</v>
      </c>
      <c r="H118" s="628" t="s">
        <v>1071</v>
      </c>
    </row>
    <row r="119" spans="1:8" x14ac:dyDescent="0.3">
      <c r="A119" s="628" t="s">
        <v>1072</v>
      </c>
      <c r="B119" s="628" t="s">
        <v>1073</v>
      </c>
      <c r="C119" s="628" t="str">
        <f>Translations!$B$844</f>
        <v>Flat-rolled products of iron or non-alloy steel, of a width of &gt;= 600 mm, hot-rolled or cold-rolled "cold-reduced", electrolytically plated or coated with zinc</v>
      </c>
      <c r="D119" s="628" t="str">
        <f t="shared" si="2"/>
        <v>72103000</v>
      </c>
      <c r="E119" s="1140" t="str">
        <f>Translations!$B$611</f>
        <v>Iron or steel products</v>
      </c>
      <c r="F119" s="628" t="str">
        <f>IF(E119=" --- ","",COUNTIF($E$4:E119,E119)&amp;"_"&amp;E119)</f>
        <v>45_Iron or steel products</v>
      </c>
      <c r="H119" s="628" t="s">
        <v>1074</v>
      </c>
    </row>
    <row r="120" spans="1:8" x14ac:dyDescent="0.3">
      <c r="A120" s="628" t="s">
        <v>1075</v>
      </c>
      <c r="B120" s="628" t="s">
        <v>1076</v>
      </c>
      <c r="C120" s="628" t="str">
        <f>Translations!$B$845</f>
        <v>Flat-rolled products of iron or non-alloy steel, of a width of &gt;= 600 mm, hot-rolled or cold-rolled "cold-reduced", corrugated, plated or coated with zinc (excl. electrolytically plated or coated with zinc)</v>
      </c>
      <c r="D120" s="628" t="str">
        <f t="shared" si="2"/>
        <v>72104100</v>
      </c>
      <c r="E120" s="1140" t="str">
        <f>Translations!$B$611</f>
        <v>Iron or steel products</v>
      </c>
      <c r="F120" s="628" t="str">
        <f>IF(E120=" --- ","",COUNTIF($E$4:E120,E120)&amp;"_"&amp;E120)</f>
        <v>46_Iron or steel products</v>
      </c>
      <c r="H120" s="628" t="s">
        <v>1077</v>
      </c>
    </row>
    <row r="121" spans="1:8" x14ac:dyDescent="0.3">
      <c r="A121" s="628" t="s">
        <v>1078</v>
      </c>
      <c r="B121" s="628" t="s">
        <v>1079</v>
      </c>
      <c r="C121" s="628" t="str">
        <f>Translations!$B$846</f>
        <v>Flat-rolled products of iron or non-alloy steel, of a width of &gt;= 600 mm, hot-rolled or cold-rolled "cold-reduced", not corrugated, plated or coated with zinc (excl. electrolytically plated or coated with zinc)</v>
      </c>
      <c r="D121" s="628" t="str">
        <f t="shared" si="2"/>
        <v>72104900</v>
      </c>
      <c r="E121" s="1140" t="str">
        <f>Translations!$B$611</f>
        <v>Iron or steel products</v>
      </c>
      <c r="F121" s="628" t="str">
        <f>IF(E121=" --- ","",COUNTIF($E$4:E121,E121)&amp;"_"&amp;E121)</f>
        <v>47_Iron or steel products</v>
      </c>
      <c r="H121" s="628" t="s">
        <v>1080</v>
      </c>
    </row>
    <row r="122" spans="1:8" x14ac:dyDescent="0.3">
      <c r="A122" s="628" t="s">
        <v>1081</v>
      </c>
      <c r="B122" s="628" t="s">
        <v>1082</v>
      </c>
      <c r="C122" s="628" t="str">
        <f>Translations!$B$847</f>
        <v>Flat-rolled products of iron or non-alloy steel, of a width of &gt;= 600 mm, hot-rolled or cold-rolled "cold-reduced", plated or coated with chromium oxides or with chromium and chromium oxides</v>
      </c>
      <c r="D122" s="628" t="str">
        <f t="shared" si="2"/>
        <v>72105000</v>
      </c>
      <c r="E122" s="1140" t="str">
        <f>Translations!$B$611</f>
        <v>Iron or steel products</v>
      </c>
      <c r="F122" s="628" t="str">
        <f>IF(E122=" --- ","",COUNTIF($E$4:E122,E122)&amp;"_"&amp;E122)</f>
        <v>48_Iron or steel products</v>
      </c>
      <c r="H122" s="628" t="s">
        <v>1083</v>
      </c>
    </row>
    <row r="123" spans="1:8" x14ac:dyDescent="0.3">
      <c r="A123" s="628" t="s">
        <v>1084</v>
      </c>
      <c r="B123" s="628" t="s">
        <v>1085</v>
      </c>
      <c r="C123" s="628" t="str">
        <f>Translations!$B$848</f>
        <v>Flat-rolled products of iron or non-alloy steel, of a width of &gt;= 600 mm, hot-rolled or cold-rolled "cold-reduced", plated or coated with aluminium-zinc alloys</v>
      </c>
      <c r="D123" s="628" t="str">
        <f t="shared" si="2"/>
        <v>72106100</v>
      </c>
      <c r="E123" s="1140" t="str">
        <f>Translations!$B$611</f>
        <v>Iron or steel products</v>
      </c>
      <c r="F123" s="628" t="str">
        <f>IF(E123=" --- ","",COUNTIF($E$4:E123,E123)&amp;"_"&amp;E123)</f>
        <v>49_Iron or steel products</v>
      </c>
      <c r="H123" s="628" t="s">
        <v>1086</v>
      </c>
    </row>
    <row r="124" spans="1:8" x14ac:dyDescent="0.3">
      <c r="A124" s="628" t="s">
        <v>1087</v>
      </c>
      <c r="B124" s="628" t="s">
        <v>1088</v>
      </c>
      <c r="C124" s="628" t="str">
        <f>Translations!$B$849</f>
        <v>Flat-rolled products of iron or non-alloy steel, of a width of &gt;= 600 mm, hot-rolled or cold-rolled "cold-reduced", plated or coated with aluminium (excl. products plated or coated with aluminium-zinc alloys)</v>
      </c>
      <c r="D124" s="628" t="str">
        <f t="shared" si="2"/>
        <v>72106900</v>
      </c>
      <c r="E124" s="1140" t="str">
        <f>Translations!$B$611</f>
        <v>Iron or steel products</v>
      </c>
      <c r="F124" s="628" t="str">
        <f>IF(E124=" --- ","",COUNTIF($E$4:E124,E124)&amp;"_"&amp;E124)</f>
        <v>50_Iron or steel products</v>
      </c>
      <c r="H124" s="628" t="s">
        <v>1089</v>
      </c>
    </row>
    <row r="125" spans="1:8" x14ac:dyDescent="0.3">
      <c r="A125" s="628" t="s">
        <v>1092</v>
      </c>
      <c r="B125" s="628" t="s">
        <v>1093</v>
      </c>
      <c r="C125" s="628" t="str">
        <f>Translations!$B$851</f>
        <v>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v>
      </c>
      <c r="D125" s="628" t="str">
        <f t="shared" si="2"/>
        <v>72107010</v>
      </c>
      <c r="E125" s="1140" t="str">
        <f>Translations!$B$611</f>
        <v>Iron or steel products</v>
      </c>
      <c r="F125" s="628" t="str">
        <f>IF(E125=" --- ","",COUNTIF($E$4:E125,E125)&amp;"_"&amp;E125)</f>
        <v>51_Iron or steel products</v>
      </c>
      <c r="H125" s="628" t="s">
        <v>1094</v>
      </c>
    </row>
    <row r="126" spans="1:8" x14ac:dyDescent="0.3">
      <c r="A126" s="628" t="s">
        <v>1095</v>
      </c>
      <c r="B126" s="628" t="s">
        <v>1096</v>
      </c>
      <c r="C126" s="628" t="str">
        <f>Translations!$B$852</f>
        <v>Flat-rolled products of iron or non-alloy steel, of a width of &gt;= 600 mm, hot-rolled or cold-rolled "cold-reduced", painted, varnished or plastic coated (excl. tinplate and products electrolytically plated or coated with chrome, varnished)</v>
      </c>
      <c r="D126" s="628" t="str">
        <f t="shared" si="2"/>
        <v>72107080</v>
      </c>
      <c r="E126" s="1140" t="str">
        <f>Translations!$B$611</f>
        <v>Iron or steel products</v>
      </c>
      <c r="F126" s="628" t="str">
        <f>IF(E126=" --- ","",COUNTIF($E$4:E126,E126)&amp;"_"&amp;E126)</f>
        <v>52_Iron or steel products</v>
      </c>
      <c r="H126" s="628" t="s">
        <v>1097</v>
      </c>
    </row>
    <row r="127" spans="1:8" x14ac:dyDescent="0.3">
      <c r="A127" s="628" t="s">
        <v>1100</v>
      </c>
      <c r="B127" s="628" t="s">
        <v>1101</v>
      </c>
      <c r="C127" s="628" t="str">
        <f>Translations!$B$854</f>
        <v>Flat-rolled products of iron or non-alloy steel, of a width of &gt;= 600 mm, hot-rolled or cold-rolled "cold-reduced", clad</v>
      </c>
      <c r="D127" s="628" t="str">
        <f t="shared" si="2"/>
        <v>72109030</v>
      </c>
      <c r="E127" s="1140" t="str">
        <f>Translations!$B$611</f>
        <v>Iron or steel products</v>
      </c>
      <c r="F127" s="628" t="str">
        <f>IF(E127=" --- ","",COUNTIF($E$4:E127,E127)&amp;"_"&amp;E127)</f>
        <v>53_Iron or steel products</v>
      </c>
      <c r="H127" s="628" t="s">
        <v>1102</v>
      </c>
    </row>
    <row r="128" spans="1:8" x14ac:dyDescent="0.3">
      <c r="A128" s="628" t="s">
        <v>1103</v>
      </c>
      <c r="B128" s="628" t="s">
        <v>1104</v>
      </c>
      <c r="C128" s="628" t="str">
        <f>Translations!$B$855</f>
        <v>Flat-rolled products of iron or non-alloy steel, tinned and printed, of a width of &gt;= 600 mm, hot-rolled or cold-rolled "cold-reduced"</v>
      </c>
      <c r="D128" s="628" t="str">
        <f t="shared" si="2"/>
        <v>72109040</v>
      </c>
      <c r="E128" s="1140" t="str">
        <f>Translations!$B$611</f>
        <v>Iron or steel products</v>
      </c>
      <c r="F128" s="628" t="str">
        <f>IF(E128=" --- ","",COUNTIF($E$4:E128,E128)&amp;"_"&amp;E128)</f>
        <v>54_Iron or steel products</v>
      </c>
      <c r="H128" s="628" t="s">
        <v>1105</v>
      </c>
    </row>
    <row r="129" spans="1:8" x14ac:dyDescent="0.3">
      <c r="A129" s="628" t="s">
        <v>1106</v>
      </c>
      <c r="B129" s="628" t="s">
        <v>1107</v>
      </c>
      <c r="C129" s="628" t="str">
        <f>Translations!$B$856</f>
        <v>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v>
      </c>
      <c r="D129" s="628" t="str">
        <f t="shared" si="2"/>
        <v>72109080</v>
      </c>
      <c r="E129" s="1140" t="str">
        <f>Translations!$B$611</f>
        <v>Iron or steel products</v>
      </c>
      <c r="F129" s="628" t="str">
        <f>IF(E129=" --- ","",COUNTIF($E$4:E129,E129)&amp;"_"&amp;E129)</f>
        <v>55_Iron or steel products</v>
      </c>
      <c r="H129" s="628" t="s">
        <v>1108</v>
      </c>
    </row>
    <row r="130" spans="1:8" x14ac:dyDescent="0.3">
      <c r="A130" s="628" t="s">
        <v>1111</v>
      </c>
      <c r="B130" s="628" t="s">
        <v>1112</v>
      </c>
      <c r="C130" s="628" t="str">
        <f>Translations!$B$858</f>
        <v>Flat-rolled products of iron or non-alloy steel, simply hot-rolled on four faces or in a closed box pass, not clad, plated or coated, of a width of &gt; 150 mm but &lt; 600 mm and a thickness of &gt;= 4 mm, not in coils, without patterns in relief, commonly known as "wide flats"</v>
      </c>
      <c r="D130" s="628" t="str">
        <f t="shared" si="2"/>
        <v>72111300</v>
      </c>
      <c r="E130" s="1140" t="str">
        <f>Translations!$B$611</f>
        <v>Iron or steel products</v>
      </c>
      <c r="F130" s="628" t="str">
        <f>IF(E130=" --- ","",COUNTIF($E$4:E130,E130)&amp;"_"&amp;E130)</f>
        <v>56_Iron or steel products</v>
      </c>
      <c r="H130" s="628" t="s">
        <v>1113</v>
      </c>
    </row>
    <row r="131" spans="1:8" x14ac:dyDescent="0.3">
      <c r="A131" s="628" t="s">
        <v>1114</v>
      </c>
      <c r="B131" s="628" t="s">
        <v>1115</v>
      </c>
      <c r="C131" s="628" t="str">
        <f>Translations!$B$859</f>
        <v>Flat-rolled products of iron or non-alloy steel, of a width &lt; 600 mm, not further worked than hot-rolled, not clad, plated or coated, of a thickness of &gt;= 4,75 mm (excl. "wide flats")</v>
      </c>
      <c r="D131" s="628" t="str">
        <f t="shared" si="2"/>
        <v>72111400</v>
      </c>
      <c r="E131" s="1140" t="str">
        <f>Translations!$B$611</f>
        <v>Iron or steel products</v>
      </c>
      <c r="F131" s="628" t="str">
        <f>IF(E131=" --- ","",COUNTIF($E$4:E131,E131)&amp;"_"&amp;E131)</f>
        <v>57_Iron or steel products</v>
      </c>
      <c r="H131" s="628" t="s">
        <v>1116</v>
      </c>
    </row>
    <row r="132" spans="1:8" x14ac:dyDescent="0.3">
      <c r="A132" s="628" t="s">
        <v>1117</v>
      </c>
      <c r="B132" s="628" t="s">
        <v>1118</v>
      </c>
      <c r="C132" s="628" t="str">
        <f>Translations!$B$860</f>
        <v>Flat-rolled products of iron or non-alloy steel, of a width &lt; 600 mm, simply hot-rolled, not clad, plated or coated, of a thickness &lt; 4,75 mm (excl. "wide flats")</v>
      </c>
      <c r="D132" s="628" t="str">
        <f t="shared" si="2"/>
        <v>72111900</v>
      </c>
      <c r="E132" s="1140" t="str">
        <f>Translations!$B$611</f>
        <v>Iron or steel products</v>
      </c>
      <c r="F132" s="628" t="str">
        <f>IF(E132=" --- ","",COUNTIF($E$4:E132,E132)&amp;"_"&amp;E132)</f>
        <v>58_Iron or steel products</v>
      </c>
      <c r="H132" s="628" t="s">
        <v>1119</v>
      </c>
    </row>
    <row r="133" spans="1:8" x14ac:dyDescent="0.3">
      <c r="A133" s="628" t="s">
        <v>1122</v>
      </c>
      <c r="B133" s="628" t="s">
        <v>1123</v>
      </c>
      <c r="C133" s="628" t="str">
        <f>Translations!$B$862</f>
        <v>Flat-rolled products of iron or non-alloy steel, of a width of &lt; 600 mm, simply cold-rolled "cold-reduced", not clad, plated or coated, containing by weight &lt; 0,25% of carbon "electrical"</v>
      </c>
      <c r="D133" s="628" t="str">
        <f t="shared" si="2"/>
        <v>72112320</v>
      </c>
      <c r="E133" s="1140" t="str">
        <f>Translations!$B$611</f>
        <v>Iron or steel products</v>
      </c>
      <c r="F133" s="628" t="str">
        <f>IF(E133=" --- ","",COUNTIF($E$4:E133,E133)&amp;"_"&amp;E133)</f>
        <v>59_Iron or steel products</v>
      </c>
      <c r="H133" s="628" t="s">
        <v>1124</v>
      </c>
    </row>
    <row r="134" spans="1:8" x14ac:dyDescent="0.3">
      <c r="A134" s="628" t="s">
        <v>1125</v>
      </c>
      <c r="B134" s="628" t="s">
        <v>1126</v>
      </c>
      <c r="C134" s="628" t="str">
        <f>Translations!$B$863</f>
        <v>Flat-rolled products of iron or non-alloy steel, of a width of &lt; 600 mm and of a thickness of &gt;= 0,35 mm, simply cold-rolled "cold-reduced", not clad, plated or coated, containing by weight &lt; 0,25% of carbon (excl. electrical plate)</v>
      </c>
      <c r="D134" s="628" t="str">
        <f t="shared" si="2"/>
        <v>72112330</v>
      </c>
      <c r="E134" s="1140" t="str">
        <f>Translations!$B$611</f>
        <v>Iron or steel products</v>
      </c>
      <c r="F134" s="628" t="str">
        <f>IF(E134=" --- ","",COUNTIF($E$4:E134,E134)&amp;"_"&amp;E134)</f>
        <v>60_Iron or steel products</v>
      </c>
      <c r="H134" s="628" t="s">
        <v>1127</v>
      </c>
    </row>
    <row r="135" spans="1:8" x14ac:dyDescent="0.3">
      <c r="A135" s="628" t="s">
        <v>1128</v>
      </c>
      <c r="B135" s="628" t="s">
        <v>1129</v>
      </c>
      <c r="C135" s="628" t="str">
        <f>Translations!$B$864</f>
        <v>Flat-rolled products of iron or non-alloy steel, of a width of &lt; 600 mm and of a thickness of &lt; 0,35 mm, simply cold-rolled "cold-reduced", not clad, plated or coated, containing by weight &lt; 0,25% of carbon (excl. electrical plate)</v>
      </c>
      <c r="D135" s="628" t="str">
        <f t="shared" si="2"/>
        <v>72112380</v>
      </c>
      <c r="E135" s="1140" t="str">
        <f>Translations!$B$611</f>
        <v>Iron or steel products</v>
      </c>
      <c r="F135" s="628" t="str">
        <f>IF(E135=" --- ","",COUNTIF($E$4:E135,E135)&amp;"_"&amp;E135)</f>
        <v>61_Iron or steel products</v>
      </c>
      <c r="H135" s="628" t="s">
        <v>1130</v>
      </c>
    </row>
    <row r="136" spans="1:8" x14ac:dyDescent="0.3">
      <c r="A136" s="628" t="s">
        <v>1131</v>
      </c>
      <c r="B136" s="628" t="s">
        <v>1132</v>
      </c>
      <c r="C136" s="628" t="str">
        <f>Translations!$B$865</f>
        <v>Flat-rolled products of iron or non-alloy steel, of a width of &lt; 600 mm, simply cold-rolled "cold-reduced", not clad, plated or coated, containing by weight &gt;= 0,25% of carbon</v>
      </c>
      <c r="D136" s="628" t="str">
        <f t="shared" si="2"/>
        <v>72112900</v>
      </c>
      <c r="E136" s="1140" t="str">
        <f>Translations!$B$611</f>
        <v>Iron or steel products</v>
      </c>
      <c r="F136" s="628" t="str">
        <f>IF(E136=" --- ","",COUNTIF($E$4:E136,E136)&amp;"_"&amp;E136)</f>
        <v>62_Iron or steel products</v>
      </c>
      <c r="H136" s="628" t="s">
        <v>1133</v>
      </c>
    </row>
    <row r="137" spans="1:8" x14ac:dyDescent="0.3">
      <c r="A137" s="628" t="s">
        <v>1136</v>
      </c>
      <c r="B137" s="628" t="s">
        <v>1137</v>
      </c>
      <c r="C137" s="628" t="str">
        <f>Translations!$B$867</f>
        <v>Flat-rolled products of iron or non-alloy steel, of a width of &lt; 600 mm, hot-rolled or cold-rolled "cold-reduced" and further worked, but not clad, plated or coated, perforated</v>
      </c>
      <c r="D137" s="628" t="str">
        <f t="shared" si="2"/>
        <v>72119020</v>
      </c>
      <c r="E137" s="1140" t="str">
        <f>Translations!$B$611</f>
        <v>Iron or steel products</v>
      </c>
      <c r="F137" s="628" t="str">
        <f>IF(E137=" --- ","",COUNTIF($E$4:E137,E137)&amp;"_"&amp;E137)</f>
        <v>63_Iron or steel products</v>
      </c>
      <c r="H137" s="628" t="s">
        <v>1138</v>
      </c>
    </row>
    <row r="138" spans="1:8" x14ac:dyDescent="0.3">
      <c r="A138" s="628" t="s">
        <v>1139</v>
      </c>
      <c r="B138" s="628" t="s">
        <v>1140</v>
      </c>
      <c r="C138" s="628" t="str">
        <f>Translations!$B$868</f>
        <v>Flat-rolled products of iron or non-alloy steel, of a width of &lt; 600 mm, hot-rolled or cold-rolled "cold-reduced" and further worked, but not clad, plated or coatednon-perforated</v>
      </c>
      <c r="D138" s="628" t="str">
        <f t="shared" si="2"/>
        <v>72119080</v>
      </c>
      <c r="E138" s="1140" t="str">
        <f>Translations!$B$611</f>
        <v>Iron or steel products</v>
      </c>
      <c r="F138" s="628" t="str">
        <f>IF(E138=" --- ","",COUNTIF($E$4:E138,E138)&amp;"_"&amp;E138)</f>
        <v>64_Iron or steel products</v>
      </c>
      <c r="H138" s="628" t="s">
        <v>1141</v>
      </c>
    </row>
    <row r="139" spans="1:8" x14ac:dyDescent="0.3">
      <c r="A139" s="628" t="s">
        <v>1146</v>
      </c>
      <c r="B139" s="628" t="s">
        <v>1147</v>
      </c>
      <c r="C139" s="628" t="str">
        <f>Translations!$B$871</f>
        <v>Tinplate of iron or non-alloy steel, of a width of &lt; 600 mm and of a thickness of &lt; 0,5 mm, tinned [coated with a layer of metal containing, by weight,  &gt;= 97% of tin], not further worked than surface-treated</v>
      </c>
      <c r="D139" s="628" t="str">
        <f t="shared" si="2"/>
        <v>72121010</v>
      </c>
      <c r="E139" s="1140" t="str">
        <f>Translations!$B$611</f>
        <v>Iron or steel products</v>
      </c>
      <c r="F139" s="628" t="str">
        <f>IF(E139=" --- ","",COUNTIF($E$4:E139,E139)&amp;"_"&amp;E139)</f>
        <v>65_Iron or steel products</v>
      </c>
      <c r="H139" s="628" t="s">
        <v>1148</v>
      </c>
    </row>
    <row r="140" spans="1:8" x14ac:dyDescent="0.3">
      <c r="A140" s="628" t="s">
        <v>1149</v>
      </c>
      <c r="B140" s="628" t="s">
        <v>1150</v>
      </c>
      <c r="C140" s="628" t="str">
        <f>Translations!$B$872</f>
        <v>Flat-rolled products of iron or non-alloy steel, hot-rolled or cold-rolled "cold-reduced", of a width of &lt; 600 mm, tinned (excl. tinplate, not further worked than surface-treated)</v>
      </c>
      <c r="D140" s="628" t="str">
        <f t="shared" si="2"/>
        <v>72121090</v>
      </c>
      <c r="E140" s="1140" t="str">
        <f>Translations!$B$611</f>
        <v>Iron or steel products</v>
      </c>
      <c r="F140" s="628" t="str">
        <f>IF(E140=" --- ","",COUNTIF($E$4:E140,E140)&amp;"_"&amp;E140)</f>
        <v>66_Iron or steel products</v>
      </c>
      <c r="H140" s="628" t="s">
        <v>1151</v>
      </c>
    </row>
    <row r="141" spans="1:8" x14ac:dyDescent="0.3">
      <c r="A141" s="628" t="s">
        <v>1152</v>
      </c>
      <c r="B141" s="628" t="s">
        <v>1153</v>
      </c>
      <c r="C141" s="628" t="str">
        <f>Translations!$B$873</f>
        <v>Flat-rolled products of iron or non-alloy steel, of a width of &lt; 600 mm, hot-rolled or cold-rolled "cold-reduced", electrolytically plated or coated with zinc</v>
      </c>
      <c r="D141" s="628" t="str">
        <f t="shared" si="2"/>
        <v>72122000</v>
      </c>
      <c r="E141" s="1140" t="str">
        <f>Translations!$B$611</f>
        <v>Iron or steel products</v>
      </c>
      <c r="F141" s="628" t="str">
        <f>IF(E141=" --- ","",COUNTIF($E$4:E141,E141)&amp;"_"&amp;E141)</f>
        <v>67_Iron or steel products</v>
      </c>
      <c r="H141" s="628" t="s">
        <v>1154</v>
      </c>
    </row>
    <row r="142" spans="1:8" x14ac:dyDescent="0.3">
      <c r="A142" s="628" t="s">
        <v>1155</v>
      </c>
      <c r="B142" s="628" t="s">
        <v>1156</v>
      </c>
      <c r="C142" s="628" t="str">
        <f>Translations!$B$874</f>
        <v>Flat-rolled products of iron or non-alloy steel, of a width of &lt; 600 mm, hot-rolled or cold-rolled "cold-reduced", tinned (excl. electrolytically plated or coated with zinc)</v>
      </c>
      <c r="D142" s="628" t="str">
        <f t="shared" si="2"/>
        <v>72123000</v>
      </c>
      <c r="E142" s="1140" t="str">
        <f>Translations!$B$611</f>
        <v>Iron or steel products</v>
      </c>
      <c r="F142" s="628" t="str">
        <f>IF(E142=" --- ","",COUNTIF($E$4:E142,E142)&amp;"_"&amp;E142)</f>
        <v>68_Iron or steel products</v>
      </c>
      <c r="H142" s="628" t="s">
        <v>1157</v>
      </c>
    </row>
    <row r="143" spans="1:8" x14ac:dyDescent="0.3">
      <c r="A143" s="628" t="s">
        <v>1160</v>
      </c>
      <c r="B143" s="628" t="s">
        <v>1161</v>
      </c>
      <c r="C143" s="628" t="str">
        <f>Translations!$B$876</f>
        <v>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v>
      </c>
      <c r="D143" s="628" t="str">
        <f t="shared" si="2"/>
        <v>72124020</v>
      </c>
      <c r="E143" s="1140" t="str">
        <f>Translations!$B$611</f>
        <v>Iron or steel products</v>
      </c>
      <c r="F143" s="628" t="str">
        <f>IF(E143=" --- ","",COUNTIF($E$4:E143,E143)&amp;"_"&amp;E143)</f>
        <v>69_Iron or steel products</v>
      </c>
      <c r="H143" s="628" t="s">
        <v>1162</v>
      </c>
    </row>
    <row r="144" spans="1:8" x14ac:dyDescent="0.3">
      <c r="A144" s="628" t="s">
        <v>1163</v>
      </c>
      <c r="B144" s="628" t="s">
        <v>1164</v>
      </c>
      <c r="C144" s="628" t="str">
        <f>Translations!$B$877</f>
        <v>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v>
      </c>
      <c r="D144" s="628" t="str">
        <f t="shared" si="2"/>
        <v>72124080</v>
      </c>
      <c r="E144" s="1140" t="str">
        <f>Translations!$B$611</f>
        <v>Iron or steel products</v>
      </c>
      <c r="F144" s="628" t="str">
        <f>IF(E144=" --- ","",COUNTIF($E$4:E144,E144)&amp;"_"&amp;E144)</f>
        <v>70_Iron or steel products</v>
      </c>
      <c r="H144" s="628" t="s">
        <v>1165</v>
      </c>
    </row>
    <row r="145" spans="1:8" x14ac:dyDescent="0.3">
      <c r="A145" s="628" t="s">
        <v>1168</v>
      </c>
      <c r="B145" s="628" t="s">
        <v>1169</v>
      </c>
      <c r="C145" s="628" t="str">
        <f>Translations!$B$879</f>
        <v>Flat-rolled products of iron or non-alloy steel, of a width of &lt; 600 mm, hot-rolled or cold-rolled "cold-reduced", plated or coated with chromium oxides or with chromium and chromium oxides (excl. varnished)</v>
      </c>
      <c r="D145" s="628" t="str">
        <f t="shared" si="2"/>
        <v>72125020</v>
      </c>
      <c r="E145" s="1140" t="str">
        <f>Translations!$B$611</f>
        <v>Iron or steel products</v>
      </c>
      <c r="F145" s="628" t="str">
        <f>IF(E145=" --- ","",COUNTIF($E$4:E145,E145)&amp;"_"&amp;E145)</f>
        <v>71_Iron or steel products</v>
      </c>
      <c r="H145" s="628" t="s">
        <v>1170</v>
      </c>
    </row>
    <row r="146" spans="1:8" x14ac:dyDescent="0.3">
      <c r="A146" s="628" t="s">
        <v>1171</v>
      </c>
      <c r="B146" s="628" t="s">
        <v>1172</v>
      </c>
      <c r="C146" s="628" t="str">
        <f>Translations!$B$880</f>
        <v>Flat-rolled products of iron or non-alloy steel, of a width of &lt; 600 mm, hot-rolled or cold-rolled "cold-reduced", plated or coated with chromium or nickel</v>
      </c>
      <c r="D146" s="628" t="str">
        <f t="shared" ref="D146:D209" si="3">SUBSTITUTE(B146," ","")</f>
        <v>72125030</v>
      </c>
      <c r="E146" s="1140" t="str">
        <f>Translations!$B$611</f>
        <v>Iron or steel products</v>
      </c>
      <c r="F146" s="628" t="str">
        <f>IF(E146=" --- ","",COUNTIF($E$4:E146,E146)&amp;"_"&amp;E146)</f>
        <v>72_Iron or steel products</v>
      </c>
      <c r="H146" s="628" t="s">
        <v>1173</v>
      </c>
    </row>
    <row r="147" spans="1:8" x14ac:dyDescent="0.3">
      <c r="A147" s="628" t="s">
        <v>1174</v>
      </c>
      <c r="B147" s="628" t="s">
        <v>1175</v>
      </c>
      <c r="C147" s="628" t="str">
        <f>Translations!$B$881</f>
        <v>Flat-rolled products of iron or non-alloy steel, of a width of &lt; 600 mm, hot-rolled or cold-rolled "cold-reduced", plated or coated with copper</v>
      </c>
      <c r="D147" s="628" t="str">
        <f t="shared" si="3"/>
        <v>72125040</v>
      </c>
      <c r="E147" s="1140" t="str">
        <f>Translations!$B$611</f>
        <v>Iron or steel products</v>
      </c>
      <c r="F147" s="628" t="str">
        <f>IF(E147=" --- ","",COUNTIF($E$4:E147,E147)&amp;"_"&amp;E147)</f>
        <v>73_Iron or steel products</v>
      </c>
      <c r="H147" s="628" t="s">
        <v>1176</v>
      </c>
    </row>
    <row r="148" spans="1:8" x14ac:dyDescent="0.3">
      <c r="A148" s="628" t="s">
        <v>1177</v>
      </c>
      <c r="B148" s="628" t="s">
        <v>1178</v>
      </c>
      <c r="C148" s="628" t="str">
        <f>Translations!$B$882</f>
        <v>Flat-rolled products of iron or non-alloy steel, of a width of &lt; 600 mm, hot-rolled or cold-rolled "cold-reduced", plated or coated with aluminium-zinc alloys</v>
      </c>
      <c r="D148" s="628" t="str">
        <f t="shared" si="3"/>
        <v>72125061</v>
      </c>
      <c r="E148" s="1140" t="str">
        <f>Translations!$B$611</f>
        <v>Iron or steel products</v>
      </c>
      <c r="F148" s="628" t="str">
        <f>IF(E148=" --- ","",COUNTIF($E$4:E148,E148)&amp;"_"&amp;E148)</f>
        <v>74_Iron or steel products</v>
      </c>
      <c r="H148" s="628" t="s">
        <v>1179</v>
      </c>
    </row>
    <row r="149" spans="1:8" x14ac:dyDescent="0.3">
      <c r="A149" s="628" t="s">
        <v>1180</v>
      </c>
      <c r="B149" s="628" t="s">
        <v>1181</v>
      </c>
      <c r="C149" s="628" t="str">
        <f>Translations!$B$883</f>
        <v>Flat-rolled products of iron or non-alloy steel, of a width of &lt; 600 mm, hot-rolled or cold-rolled "cold-reduced", plated or coated with aluminium (excl. products plated or coated with aluminium-zinc alloys)</v>
      </c>
      <c r="D149" s="628" t="str">
        <f t="shared" si="3"/>
        <v>72125069</v>
      </c>
      <c r="E149" s="1140" t="str">
        <f>Translations!$B$611</f>
        <v>Iron or steel products</v>
      </c>
      <c r="F149" s="628" t="str">
        <f>IF(E149=" --- ","",COUNTIF($E$4:E149,E149)&amp;"_"&amp;E149)</f>
        <v>75_Iron or steel products</v>
      </c>
      <c r="H149" s="628" t="s">
        <v>1182</v>
      </c>
    </row>
    <row r="150" spans="1:8" x14ac:dyDescent="0.3">
      <c r="A150" s="628" t="s">
        <v>1183</v>
      </c>
      <c r="B150" s="628" t="s">
        <v>1184</v>
      </c>
      <c r="C150" s="628" t="str">
        <f>Translations!$B$884</f>
        <v>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v>
      </c>
      <c r="D150" s="628" t="str">
        <f t="shared" si="3"/>
        <v>72125090</v>
      </c>
      <c r="E150" s="1140" t="str">
        <f>Translations!$B$611</f>
        <v>Iron or steel products</v>
      </c>
      <c r="F150" s="628" t="str">
        <f>IF(E150=" --- ","",COUNTIF($E$4:E150,E150)&amp;"_"&amp;E150)</f>
        <v>76_Iron or steel products</v>
      </c>
      <c r="H150" s="628" t="s">
        <v>1185</v>
      </c>
    </row>
    <row r="151" spans="1:8" x14ac:dyDescent="0.3">
      <c r="A151" s="628" t="s">
        <v>1186</v>
      </c>
      <c r="B151" s="628" t="s">
        <v>1187</v>
      </c>
      <c r="C151" s="628" t="str">
        <f>Translations!$B$885</f>
        <v>Flat-rolled products of iron or non-alloy steel, of a width of &lt; 600 mm, hot-rolled or cold-rolled "cold-reduced", clad</v>
      </c>
      <c r="D151" s="628" t="str">
        <f t="shared" si="3"/>
        <v>72126000</v>
      </c>
      <c r="E151" s="1140" t="str">
        <f>Translations!$B$611</f>
        <v>Iron or steel products</v>
      </c>
      <c r="F151" s="628" t="str">
        <f>IF(E151=" --- ","",COUNTIF($E$4:E151,E151)&amp;"_"&amp;E151)</f>
        <v>77_Iron or steel products</v>
      </c>
      <c r="H151" s="628" t="s">
        <v>1188</v>
      </c>
    </row>
    <row r="152" spans="1:8" x14ac:dyDescent="0.3">
      <c r="A152" s="628" t="s">
        <v>1191</v>
      </c>
      <c r="B152" s="628" t="s">
        <v>1192</v>
      </c>
      <c r="C152" s="628" t="str">
        <f>Translations!$B$887</f>
        <v>Bars and rods, hot-rolled, in irregularly wound coils of iron or non-alloy steel, with indentations, ribs, grooves or other deformations produced during the rolling process</v>
      </c>
      <c r="D152" s="628" t="str">
        <f t="shared" si="3"/>
        <v>72131000</v>
      </c>
      <c r="E152" s="1140" t="str">
        <f>Translations!$B$611</f>
        <v>Iron or steel products</v>
      </c>
      <c r="F152" s="628" t="str">
        <f>IF(E152=" --- ","",COUNTIF($E$4:E152,E152)&amp;"_"&amp;E152)</f>
        <v>78_Iron or steel products</v>
      </c>
      <c r="H152" s="628" t="s">
        <v>1193</v>
      </c>
    </row>
    <row r="153" spans="1:8" x14ac:dyDescent="0.3">
      <c r="A153" s="628" t="s">
        <v>1194</v>
      </c>
      <c r="B153" s="628" t="s">
        <v>1195</v>
      </c>
      <c r="C153" s="628" t="str">
        <f>Translations!$B$888</f>
        <v>Bars and rods, hot-rolled, in irregularly wound coils, of non-alloy free-cutting steel (excl. bars and rods containing indentations, ribs, grooves or other deformations produced during the rolling process)</v>
      </c>
      <c r="D153" s="628" t="str">
        <f t="shared" si="3"/>
        <v>72132000</v>
      </c>
      <c r="E153" s="1140" t="str">
        <f>Translations!$B$611</f>
        <v>Iron or steel products</v>
      </c>
      <c r="F153" s="628" t="str">
        <f>IF(E153=" --- ","",COUNTIF($E$4:E153,E153)&amp;"_"&amp;E153)</f>
        <v>79_Iron or steel products</v>
      </c>
      <c r="H153" s="628" t="s">
        <v>1196</v>
      </c>
    </row>
    <row r="154" spans="1:8" x14ac:dyDescent="0.3">
      <c r="A154" s="628" t="s">
        <v>1199</v>
      </c>
      <c r="B154" s="628" t="s">
        <v>1200</v>
      </c>
      <c r="C154" s="628" t="str">
        <f>Translations!$B$890</f>
        <v>Bars and rods, hot-rolled, of the type used for concrete reinforcement, smooth, of iron or non-alloy steel, in irregularly wound coils, of circular cross-section measuring &lt; 14 mm in diameter</v>
      </c>
      <c r="D154" s="628" t="str">
        <f t="shared" si="3"/>
        <v>72139110</v>
      </c>
      <c r="E154" s="1140" t="str">
        <f>Translations!$B$611</f>
        <v>Iron or steel products</v>
      </c>
      <c r="F154" s="628" t="str">
        <f>IF(E154=" --- ","",COUNTIF($E$4:E154,E154)&amp;"_"&amp;E154)</f>
        <v>80_Iron or steel products</v>
      </c>
      <c r="H154" s="628" t="s">
        <v>1201</v>
      </c>
    </row>
    <row r="155" spans="1:8" x14ac:dyDescent="0.3">
      <c r="A155" s="628" t="s">
        <v>1202</v>
      </c>
      <c r="B155" s="628" t="s">
        <v>1203</v>
      </c>
      <c r="C155" s="628" t="str">
        <f>Translations!$B$891</f>
        <v>Bars and rods, hot-rolled, of the type used for tyre cord, smooth, of iron or non-alloy steel, in irregularly wound coils</v>
      </c>
      <c r="D155" s="628" t="str">
        <f t="shared" si="3"/>
        <v>72139120</v>
      </c>
      <c r="E155" s="1140" t="str">
        <f>Translations!$B$611</f>
        <v>Iron or steel products</v>
      </c>
      <c r="F155" s="628" t="str">
        <f>IF(E155=" --- ","",COUNTIF($E$4:E155,E155)&amp;"_"&amp;E155)</f>
        <v>81_Iron or steel products</v>
      </c>
      <c r="H155" s="628" t="s">
        <v>1204</v>
      </c>
    </row>
    <row r="156" spans="1:8" x14ac:dyDescent="0.3">
      <c r="A156" s="628" t="s">
        <v>1205</v>
      </c>
      <c r="B156" s="628" t="s">
        <v>1206</v>
      </c>
      <c r="C156" s="628" t="str">
        <f>Translations!$B$892</f>
        <v>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v>
      </c>
      <c r="D156" s="628" t="str">
        <f t="shared" si="3"/>
        <v>72139141</v>
      </c>
      <c r="E156" s="1140" t="str">
        <f>Translations!$B$611</f>
        <v>Iron or steel products</v>
      </c>
      <c r="F156" s="628" t="str">
        <f>IF(E156=" --- ","",COUNTIF($E$4:E156,E156)&amp;"_"&amp;E156)</f>
        <v>82_Iron or steel products</v>
      </c>
      <c r="H156" s="628" t="s">
        <v>1207</v>
      </c>
    </row>
    <row r="157" spans="1:8" x14ac:dyDescent="0.3">
      <c r="A157" s="628" t="s">
        <v>1208</v>
      </c>
      <c r="B157" s="628" t="s">
        <v>1209</v>
      </c>
      <c r="C157" s="628" t="str">
        <f>Translations!$B$893</f>
        <v>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v>
      </c>
      <c r="D157" s="628" t="str">
        <f t="shared" si="3"/>
        <v>72139149</v>
      </c>
      <c r="E157" s="1140" t="str">
        <f>Translations!$B$611</f>
        <v>Iron or steel products</v>
      </c>
      <c r="F157" s="628" t="str">
        <f>IF(E157=" --- ","",COUNTIF($E$4:E157,E157)&amp;"_"&amp;E157)</f>
        <v>83_Iron or steel products</v>
      </c>
      <c r="H157" s="628" t="s">
        <v>1210</v>
      </c>
    </row>
    <row r="158" spans="1:8" x14ac:dyDescent="0.3">
      <c r="A158" s="628" t="s">
        <v>1211</v>
      </c>
      <c r="B158" s="628" t="s">
        <v>1212</v>
      </c>
      <c r="C158" s="628" t="str">
        <f>Translations!$B$894</f>
        <v>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v>
      </c>
      <c r="D158" s="628" t="str">
        <f t="shared" si="3"/>
        <v>72139170</v>
      </c>
      <c r="E158" s="1140" t="str">
        <f>Translations!$B$611</f>
        <v>Iron or steel products</v>
      </c>
      <c r="F158" s="628" t="str">
        <f>IF(E158=" --- ","",COUNTIF($E$4:E158,E158)&amp;"_"&amp;E158)</f>
        <v>84_Iron or steel products</v>
      </c>
      <c r="H158" s="628" t="s">
        <v>1213</v>
      </c>
    </row>
    <row r="159" spans="1:8" x14ac:dyDescent="0.3">
      <c r="A159" s="628" t="s">
        <v>1214</v>
      </c>
      <c r="B159" s="628" t="s">
        <v>1215</v>
      </c>
      <c r="C159" s="628" t="str">
        <f>Translations!$B$895</f>
        <v>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v>
      </c>
      <c r="D159" s="628" t="str">
        <f t="shared" si="3"/>
        <v>72139190</v>
      </c>
      <c r="E159" s="1140" t="str">
        <f>Translations!$B$611</f>
        <v>Iron or steel products</v>
      </c>
      <c r="F159" s="628" t="str">
        <f>IF(E159=" --- ","",COUNTIF($E$4:E159,E159)&amp;"_"&amp;E159)</f>
        <v>85_Iron or steel products</v>
      </c>
      <c r="H159" s="628" t="s">
        <v>1216</v>
      </c>
    </row>
    <row r="160" spans="1:8" x14ac:dyDescent="0.3">
      <c r="A160" s="628" t="s">
        <v>1219</v>
      </c>
      <c r="B160" s="628" t="s">
        <v>1220</v>
      </c>
      <c r="C160" s="628" t="str">
        <f>Translations!$B$897</f>
        <v>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v>
      </c>
      <c r="D160" s="628" t="str">
        <f t="shared" si="3"/>
        <v>72139910</v>
      </c>
      <c r="E160" s="1140" t="str">
        <f>Translations!$B$611</f>
        <v>Iron or steel products</v>
      </c>
      <c r="F160" s="628" t="str">
        <f>IF(E160=" --- ","",COUNTIF($E$4:E160,E160)&amp;"_"&amp;E160)</f>
        <v>86_Iron or steel products</v>
      </c>
      <c r="H160" s="628" t="s">
        <v>1221</v>
      </c>
    </row>
    <row r="161" spans="1:8" x14ac:dyDescent="0.3">
      <c r="A161" s="628" t="s">
        <v>1222</v>
      </c>
      <c r="B161" s="628" t="s">
        <v>1223</v>
      </c>
      <c r="C161" s="628" t="str">
        <f>Translations!$B$898</f>
        <v>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v>
      </c>
      <c r="D161" s="628" t="str">
        <f t="shared" si="3"/>
        <v>72139990</v>
      </c>
      <c r="E161" s="1140" t="str">
        <f>Translations!$B$611</f>
        <v>Iron or steel products</v>
      </c>
      <c r="F161" s="628" t="str">
        <f>IF(E161=" --- ","",COUNTIF($E$4:E161,E161)&amp;"_"&amp;E161)</f>
        <v>87_Iron or steel products</v>
      </c>
      <c r="H161" s="628" t="s">
        <v>1224</v>
      </c>
    </row>
    <row r="162" spans="1:8" x14ac:dyDescent="0.3">
      <c r="A162" s="628" t="s">
        <v>1227</v>
      </c>
      <c r="B162" s="628" t="s">
        <v>1228</v>
      </c>
      <c r="C162" s="628" t="str">
        <f>Translations!$B$900</f>
        <v>Bars and rods, of iron or non-alloy steel, not further worked than forged (excl. in irregularly wound coils)</v>
      </c>
      <c r="D162" s="628" t="str">
        <f t="shared" si="3"/>
        <v>72141000</v>
      </c>
      <c r="E162" s="1140" t="str">
        <f>Translations!$B$611</f>
        <v>Iron or steel products</v>
      </c>
      <c r="F162" s="628" t="str">
        <f>IF(E162=" --- ","",COUNTIF($E$4:E162,E162)&amp;"_"&amp;E162)</f>
        <v>88_Iron or steel products</v>
      </c>
      <c r="H162" s="628" t="s">
        <v>1229</v>
      </c>
    </row>
    <row r="163" spans="1:8" x14ac:dyDescent="0.3">
      <c r="A163" s="628" t="s">
        <v>1230</v>
      </c>
      <c r="B163" s="628" t="s">
        <v>1231</v>
      </c>
      <c r="C163" s="628" t="str">
        <f>Translations!$B$901</f>
        <v>Bars and rods, of iron or non-alloy steel, with indentations, ribs, groves or other deformations produced during the rolling process</v>
      </c>
      <c r="D163" s="628" t="str">
        <f t="shared" si="3"/>
        <v>72142000</v>
      </c>
      <c r="E163" s="1140" t="str">
        <f>Translations!$B$611</f>
        <v>Iron or steel products</v>
      </c>
      <c r="F163" s="628" t="str">
        <f>IF(E163=" --- ","",COUNTIF($E$4:E163,E163)&amp;"_"&amp;E163)</f>
        <v>89_Iron or steel products</v>
      </c>
      <c r="H163" s="628" t="s">
        <v>1232</v>
      </c>
    </row>
    <row r="164" spans="1:8" x14ac:dyDescent="0.3">
      <c r="A164" s="628" t="s">
        <v>1233</v>
      </c>
      <c r="B164" s="628" t="s">
        <v>1234</v>
      </c>
      <c r="C164" s="628" t="str">
        <f>Translations!$B$902</f>
        <v>Bars and rods, of non-alloy free-cutting steel, not further worked than hot-rolled, hot-drawn or hot-extruded (excl. containing indentations, ribs, grooves or other deformations produced during the rolling process or twisted after rolling)</v>
      </c>
      <c r="D164" s="628" t="str">
        <f t="shared" si="3"/>
        <v>72143000</v>
      </c>
      <c r="E164" s="1140" t="str">
        <f>Translations!$B$611</f>
        <v>Iron or steel products</v>
      </c>
      <c r="F164" s="628" t="str">
        <f>IF(E164=" --- ","",COUNTIF($E$4:E164,E164)&amp;"_"&amp;E164)</f>
        <v>90_Iron or steel products</v>
      </c>
      <c r="H164" s="628" t="s">
        <v>1235</v>
      </c>
    </row>
    <row r="165" spans="1:8" x14ac:dyDescent="0.3">
      <c r="A165" s="628" t="s">
        <v>1238</v>
      </c>
      <c r="B165" s="628" t="s">
        <v>1239</v>
      </c>
      <c r="C165" s="628" t="str">
        <f>Translations!$B$904</f>
        <v>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v>
      </c>
      <c r="D165" s="628" t="str">
        <f t="shared" si="3"/>
        <v>72149110</v>
      </c>
      <c r="E165" s="1140" t="str">
        <f>Translations!$B$611</f>
        <v>Iron or steel products</v>
      </c>
      <c r="F165" s="628" t="str">
        <f>IF(E165=" --- ","",COUNTIF($E$4:E165,E165)&amp;"_"&amp;E165)</f>
        <v>91_Iron or steel products</v>
      </c>
      <c r="H165" s="628" t="s">
        <v>1240</v>
      </c>
    </row>
    <row r="166" spans="1:8" x14ac:dyDescent="0.3">
      <c r="A166" s="628" t="s">
        <v>1241</v>
      </c>
      <c r="B166" s="628" t="s">
        <v>1242</v>
      </c>
      <c r="C166" s="628" t="str">
        <f>Translations!$B$905</f>
        <v>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v>
      </c>
      <c r="D166" s="628" t="str">
        <f t="shared" si="3"/>
        <v>72149190</v>
      </c>
      <c r="E166" s="1140" t="str">
        <f>Translations!$B$611</f>
        <v>Iron or steel products</v>
      </c>
      <c r="F166" s="628" t="str">
        <f>IF(E166=" --- ","",COUNTIF($E$4:E166,E166)&amp;"_"&amp;E166)</f>
        <v>92_Iron or steel products</v>
      </c>
      <c r="H166" s="628" t="s">
        <v>1243</v>
      </c>
    </row>
    <row r="167" spans="1:8" x14ac:dyDescent="0.3">
      <c r="A167" s="628" t="s">
        <v>1246</v>
      </c>
      <c r="B167" s="628" t="s">
        <v>1247</v>
      </c>
      <c r="C167" s="628" t="str">
        <f>Translations!$B$907</f>
        <v>Bars and rods of the type used for concrete reinforcement, smooth, of iron or non-alloy steel, only hot-rolled, only hot-drawn or only hot-extruded, containing &lt; 0,25% of carbon, of square cross-section or of a cross-section other than rectangular</v>
      </c>
      <c r="D167" s="628" t="str">
        <f t="shared" si="3"/>
        <v>72149910</v>
      </c>
      <c r="E167" s="1140" t="str">
        <f>Translations!$B$611</f>
        <v>Iron or steel products</v>
      </c>
      <c r="F167" s="628" t="str">
        <f>IF(E167=" --- ","",COUNTIF($E$4:E167,E167)&amp;"_"&amp;E167)</f>
        <v>93_Iron or steel products</v>
      </c>
      <c r="H167" s="628" t="s">
        <v>1248</v>
      </c>
    </row>
    <row r="168" spans="1:8" x14ac:dyDescent="0.3">
      <c r="A168" s="628" t="s">
        <v>1249</v>
      </c>
      <c r="B168" s="628" t="s">
        <v>1250</v>
      </c>
      <c r="C168" s="628" t="str">
        <f>Translations!$B$908</f>
        <v>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v>
      </c>
      <c r="D168" s="628" t="str">
        <f t="shared" si="3"/>
        <v>72149931</v>
      </c>
      <c r="E168" s="1140" t="str">
        <f>Translations!$B$611</f>
        <v>Iron or steel products</v>
      </c>
      <c r="F168" s="628" t="str">
        <f>IF(E168=" --- ","",COUNTIF($E$4:E168,E168)&amp;"_"&amp;E168)</f>
        <v>94_Iron or steel products</v>
      </c>
      <c r="H168" s="628" t="s">
        <v>1251</v>
      </c>
    </row>
    <row r="169" spans="1:8" x14ac:dyDescent="0.3">
      <c r="A169" s="628" t="s">
        <v>1252</v>
      </c>
      <c r="B169" s="628" t="s">
        <v>1253</v>
      </c>
      <c r="C169" s="628" t="str">
        <f>Translations!$B$909</f>
        <v>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v>
      </c>
      <c r="D169" s="628" t="str">
        <f t="shared" si="3"/>
        <v>72149939</v>
      </c>
      <c r="E169" s="1140" t="str">
        <f>Translations!$B$611</f>
        <v>Iron or steel products</v>
      </c>
      <c r="F169" s="628" t="str">
        <f>IF(E169=" --- ","",COUNTIF($E$4:E169,E169)&amp;"_"&amp;E169)</f>
        <v>95_Iron or steel products</v>
      </c>
      <c r="H169" s="628" t="s">
        <v>1254</v>
      </c>
    </row>
    <row r="170" spans="1:8" x14ac:dyDescent="0.3">
      <c r="A170" s="628" t="s">
        <v>1255</v>
      </c>
      <c r="B170" s="628" t="s">
        <v>1256</v>
      </c>
      <c r="C170" s="628" t="str">
        <f>Translations!$B$910</f>
        <v>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v>
      </c>
      <c r="D170" s="628" t="str">
        <f t="shared" si="3"/>
        <v>72149950</v>
      </c>
      <c r="E170" s="1140" t="str">
        <f>Translations!$B$611</f>
        <v>Iron or steel products</v>
      </c>
      <c r="F170" s="628" t="str">
        <f>IF(E170=" --- ","",COUNTIF($E$4:E170,E170)&amp;"_"&amp;E170)</f>
        <v>96_Iron or steel products</v>
      </c>
      <c r="H170" s="628" t="s">
        <v>1257</v>
      </c>
    </row>
    <row r="171" spans="1:8" x14ac:dyDescent="0.3">
      <c r="A171" s="628" t="s">
        <v>1258</v>
      </c>
      <c r="B171" s="628" t="s">
        <v>1259</v>
      </c>
      <c r="C171" s="628" t="str">
        <f>Translations!$B$911</f>
        <v>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v>
      </c>
      <c r="D171" s="628" t="str">
        <f t="shared" si="3"/>
        <v>72149971</v>
      </c>
      <c r="E171" s="1140" t="str">
        <f>Translations!$B$611</f>
        <v>Iron or steel products</v>
      </c>
      <c r="F171" s="628" t="str">
        <f>IF(E171=" --- ","",COUNTIF($E$4:E171,E171)&amp;"_"&amp;E171)</f>
        <v>97_Iron or steel products</v>
      </c>
      <c r="H171" s="628" t="s">
        <v>1260</v>
      </c>
    </row>
    <row r="172" spans="1:8" x14ac:dyDescent="0.3">
      <c r="A172" s="628" t="s">
        <v>1261</v>
      </c>
      <c r="B172" s="628" t="s">
        <v>1262</v>
      </c>
      <c r="C172" s="628" t="str">
        <f>Translations!$B$912</f>
        <v>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v>
      </c>
      <c r="D172" s="628" t="str">
        <f t="shared" si="3"/>
        <v>72149979</v>
      </c>
      <c r="E172" s="1140" t="str">
        <f>Translations!$B$611</f>
        <v>Iron or steel products</v>
      </c>
      <c r="F172" s="628" t="str">
        <f>IF(E172=" --- ","",COUNTIF($E$4:E172,E172)&amp;"_"&amp;E172)</f>
        <v>98_Iron or steel products</v>
      </c>
      <c r="H172" s="628" t="s">
        <v>1263</v>
      </c>
    </row>
    <row r="173" spans="1:8" x14ac:dyDescent="0.3">
      <c r="A173" s="628" t="s">
        <v>1264</v>
      </c>
      <c r="B173" s="628" t="s">
        <v>1265</v>
      </c>
      <c r="C173" s="628" t="str">
        <f>Translations!$B$913</f>
        <v>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v>
      </c>
      <c r="D173" s="628" t="str">
        <f t="shared" si="3"/>
        <v>72149995</v>
      </c>
      <c r="E173" s="1140" t="str">
        <f>Translations!$B$611</f>
        <v>Iron or steel products</v>
      </c>
      <c r="F173" s="628" t="str">
        <f>IF(E173=" --- ","",COUNTIF($E$4:E173,E173)&amp;"_"&amp;E173)</f>
        <v>99_Iron or steel products</v>
      </c>
      <c r="H173" s="628" t="s">
        <v>1266</v>
      </c>
    </row>
    <row r="174" spans="1:8" x14ac:dyDescent="0.3">
      <c r="A174" s="628" t="s">
        <v>1269</v>
      </c>
      <c r="B174" s="628" t="s">
        <v>1270</v>
      </c>
      <c r="C174" s="628" t="str">
        <f>Translations!$B$915</f>
        <v>Bars and rods, of non-alloy free-cutting steel, not further worked than cold-formed or cold-finished</v>
      </c>
      <c r="D174" s="628" t="str">
        <f t="shared" si="3"/>
        <v>72151000</v>
      </c>
      <c r="E174" s="1140" t="str">
        <f>Translations!$B$611</f>
        <v>Iron or steel products</v>
      </c>
      <c r="F174" s="628" t="str">
        <f>IF(E174=" --- ","",COUNTIF($E$4:E174,E174)&amp;"_"&amp;E174)</f>
        <v>100_Iron or steel products</v>
      </c>
      <c r="H174" s="628" t="s">
        <v>1271</v>
      </c>
    </row>
    <row r="175" spans="1:8" x14ac:dyDescent="0.3">
      <c r="A175" s="628" t="s">
        <v>1274</v>
      </c>
      <c r="B175" s="628" t="s">
        <v>1275</v>
      </c>
      <c r="C175" s="628" t="str">
        <f>Translations!$B$917</f>
        <v>Other bars and rods of iron or non-alloy steel, not further worked than cold-formed or cold-finished, containing by weight &lt; 0,25% of carbon of rectangular "other than square" cross-section (excl. those of free-cutting steel)</v>
      </c>
      <c r="D175" s="628" t="str">
        <f t="shared" si="3"/>
        <v>72155011</v>
      </c>
      <c r="E175" s="1140" t="str">
        <f>Translations!$B$611</f>
        <v>Iron or steel products</v>
      </c>
      <c r="F175" s="628" t="str">
        <f>IF(E175=" --- ","",COUNTIF($E$4:E175,E175)&amp;"_"&amp;E175)</f>
        <v>101_Iron or steel products</v>
      </c>
      <c r="H175" s="628" t="s">
        <v>1276</v>
      </c>
    </row>
    <row r="176" spans="1:8" x14ac:dyDescent="0.3">
      <c r="A176" s="628" t="s">
        <v>1277</v>
      </c>
      <c r="B176" s="628" t="s">
        <v>1278</v>
      </c>
      <c r="C176" s="628" t="str">
        <f>Translations!$B$918</f>
        <v>Other bars and rods of iron or non-alloy steel, not further worked than cold-formed or cold-finished, containing by weight &lt; 0,25% of carbon, of square or other than rectangular cross-section (excl. those of free-cutting steel)</v>
      </c>
      <c r="D176" s="628" t="str">
        <f t="shared" si="3"/>
        <v>72155019</v>
      </c>
      <c r="E176" s="1140" t="str">
        <f>Translations!$B$611</f>
        <v>Iron or steel products</v>
      </c>
      <c r="F176" s="628" t="str">
        <f>IF(E176=" --- ","",COUNTIF($E$4:E176,E176)&amp;"_"&amp;E176)</f>
        <v>102_Iron or steel products</v>
      </c>
      <c r="H176" s="628" t="s">
        <v>1279</v>
      </c>
    </row>
    <row r="177" spans="1:8" x14ac:dyDescent="0.3">
      <c r="A177" s="628" t="s">
        <v>1280</v>
      </c>
      <c r="B177" s="628" t="s">
        <v>1281</v>
      </c>
      <c r="C177" s="628" t="str">
        <f>Translations!$B$919</f>
        <v>Other bars and rods of iron or non-alloy steel, not further worked than cold-formed or cold-finished, containing by weight &gt;= 0,25% of carbon (excl. those of free-cutting steel)</v>
      </c>
      <c r="D177" s="628" t="str">
        <f t="shared" si="3"/>
        <v>72155080</v>
      </c>
      <c r="E177" s="1140" t="str">
        <f>Translations!$B$611</f>
        <v>Iron or steel products</v>
      </c>
      <c r="F177" s="628" t="str">
        <f>IF(E177=" --- ","",COUNTIF($E$4:E177,E177)&amp;"_"&amp;E177)</f>
        <v>103_Iron or steel products</v>
      </c>
      <c r="H177" s="628" t="s">
        <v>1282</v>
      </c>
    </row>
    <row r="178" spans="1:8" x14ac:dyDescent="0.3">
      <c r="A178" s="628" t="s">
        <v>1283</v>
      </c>
      <c r="B178" s="628" t="s">
        <v>1284</v>
      </c>
      <c r="C178" s="628" t="str">
        <f>Translations!$B$920</f>
        <v>Bars or rods, of iron or non-alloy steel, cold-formed or cold-finished and further worked or hot-formed and further worked, n.e.s.</v>
      </c>
      <c r="D178" s="628" t="str">
        <f t="shared" si="3"/>
        <v>72159000</v>
      </c>
      <c r="E178" s="1140" t="str">
        <f>Translations!$B$611</f>
        <v>Iron or steel products</v>
      </c>
      <c r="F178" s="628" t="str">
        <f>IF(E178=" --- ","",COUNTIF($E$4:E178,E178)&amp;"_"&amp;E178)</f>
        <v>104_Iron or steel products</v>
      </c>
      <c r="H178" s="628" t="s">
        <v>1285</v>
      </c>
    </row>
    <row r="179" spans="1:8" x14ac:dyDescent="0.3">
      <c r="A179" s="628" t="s">
        <v>1288</v>
      </c>
      <c r="B179" s="628" t="s">
        <v>1289</v>
      </c>
      <c r="C179" s="628" t="str">
        <f>Translations!$B$922</f>
        <v>U, I or H sections of iron or non-alloy steel, not further worked than hot-rolled, hot-drawn or extruded, of a height of &lt; 80 mm</v>
      </c>
      <c r="D179" s="628" t="str">
        <f t="shared" si="3"/>
        <v>72161000</v>
      </c>
      <c r="E179" s="1140" t="str">
        <f>Translations!$B$611</f>
        <v>Iron or steel products</v>
      </c>
      <c r="F179" s="628" t="str">
        <f>IF(E179=" --- ","",COUNTIF($E$4:E179,E179)&amp;"_"&amp;E179)</f>
        <v>105_Iron or steel products</v>
      </c>
      <c r="H179" s="628" t="s">
        <v>1290</v>
      </c>
    </row>
    <row r="180" spans="1:8" x14ac:dyDescent="0.3">
      <c r="A180" s="628" t="s">
        <v>1291</v>
      </c>
      <c r="B180" s="628" t="s">
        <v>1292</v>
      </c>
      <c r="C180" s="628" t="str">
        <f>Translations!$B$923</f>
        <v>L sections of iron or non-alloy steel, not further worked than hot-rolled, hot-drawn or extruded, of a height of &lt; 80 mm</v>
      </c>
      <c r="D180" s="628" t="str">
        <f t="shared" si="3"/>
        <v>72162100</v>
      </c>
      <c r="E180" s="1140" t="str">
        <f>Translations!$B$611</f>
        <v>Iron or steel products</v>
      </c>
      <c r="F180" s="628" t="str">
        <f>IF(E180=" --- ","",COUNTIF($E$4:E180,E180)&amp;"_"&amp;E180)</f>
        <v>106_Iron or steel products</v>
      </c>
      <c r="H180" s="628" t="s">
        <v>1293</v>
      </c>
    </row>
    <row r="181" spans="1:8" x14ac:dyDescent="0.3">
      <c r="A181" s="628" t="s">
        <v>1294</v>
      </c>
      <c r="B181" s="628" t="s">
        <v>1295</v>
      </c>
      <c r="C181" s="628" t="str">
        <f>Translations!$B$924</f>
        <v>T sections of iron or non-alloy steel, not further worked than hot-rolled, hot-drawn or extruded, of a height of &lt; 80 mm</v>
      </c>
      <c r="D181" s="628" t="str">
        <f t="shared" si="3"/>
        <v>72162200</v>
      </c>
      <c r="E181" s="1140" t="str">
        <f>Translations!$B$611</f>
        <v>Iron or steel products</v>
      </c>
      <c r="F181" s="628" t="str">
        <f>IF(E181=" --- ","",COUNTIF($E$4:E181,E181)&amp;"_"&amp;E181)</f>
        <v>107_Iron or steel products</v>
      </c>
      <c r="H181" s="628" t="s">
        <v>1296</v>
      </c>
    </row>
    <row r="182" spans="1:8" x14ac:dyDescent="0.3">
      <c r="A182" s="628" t="s">
        <v>1299</v>
      </c>
      <c r="B182" s="628" t="s">
        <v>1300</v>
      </c>
      <c r="C182" s="628" t="str">
        <f>Translations!$B$926</f>
        <v>U sections of iron or non-alloy steel, simply hot-rolled, hot-drawn or extruded, of a height &gt;= 80 mm but &lt;= 220 mm</v>
      </c>
      <c r="D182" s="628" t="str">
        <f t="shared" si="3"/>
        <v>72163110</v>
      </c>
      <c r="E182" s="1140" t="str">
        <f>Translations!$B$611</f>
        <v>Iron or steel products</v>
      </c>
      <c r="F182" s="628" t="str">
        <f>IF(E182=" --- ","",COUNTIF($E$4:E182,E182)&amp;"_"&amp;E182)</f>
        <v>108_Iron or steel products</v>
      </c>
      <c r="H182" s="628" t="s">
        <v>1301</v>
      </c>
    </row>
    <row r="183" spans="1:8" x14ac:dyDescent="0.3">
      <c r="A183" s="628" t="s">
        <v>1302</v>
      </c>
      <c r="B183" s="628" t="s">
        <v>1303</v>
      </c>
      <c r="C183" s="628" t="str">
        <f>Translations!$B$927</f>
        <v>U sections of iron or non-alloy steel, simply hot-rolled, hot-drawn or extruded, of a height &gt; 220 mm</v>
      </c>
      <c r="D183" s="628" t="str">
        <f t="shared" si="3"/>
        <v>72163190</v>
      </c>
      <c r="E183" s="1140" t="str">
        <f>Translations!$B$611</f>
        <v>Iron or steel products</v>
      </c>
      <c r="F183" s="628" t="str">
        <f>IF(E183=" --- ","",COUNTIF($E$4:E183,E183)&amp;"_"&amp;E183)</f>
        <v>109_Iron or steel products</v>
      </c>
      <c r="H183" s="628" t="s">
        <v>1304</v>
      </c>
    </row>
    <row r="184" spans="1:8" x14ac:dyDescent="0.3">
      <c r="A184" s="628" t="s">
        <v>1307</v>
      </c>
      <c r="B184" s="628" t="s">
        <v>1308</v>
      </c>
      <c r="C184" s="628" t="str">
        <f>Translations!$B$929</f>
        <v>I sections with parallel flange faces, of iron or non-alloy steel, simply hot-rolled, hot-drawn or extruded, of a height &gt;= 80 mm but &lt;= 220 mm</v>
      </c>
      <c r="D184" s="628" t="str">
        <f t="shared" si="3"/>
        <v>72163211</v>
      </c>
      <c r="E184" s="1140" t="str">
        <f>Translations!$B$611</f>
        <v>Iron or steel products</v>
      </c>
      <c r="F184" s="628" t="str">
        <f>IF(E184=" --- ","",COUNTIF($E$4:E184,E184)&amp;"_"&amp;E184)</f>
        <v>110_Iron or steel products</v>
      </c>
      <c r="H184" s="628" t="s">
        <v>1309</v>
      </c>
    </row>
    <row r="185" spans="1:8" x14ac:dyDescent="0.3">
      <c r="A185" s="628" t="s">
        <v>1310</v>
      </c>
      <c r="B185" s="628" t="s">
        <v>1311</v>
      </c>
      <c r="C185" s="628" t="str">
        <f>Translations!$B$930</f>
        <v>I sections of iron or non-alloy steel, simply hot-rolled, hot-drawn or extruded, of a height &gt;= 80 mm but &lt;= 220 mm (excl. 7216.32.11)</v>
      </c>
      <c r="D185" s="628" t="str">
        <f t="shared" si="3"/>
        <v>72163219</v>
      </c>
      <c r="E185" s="1140" t="str">
        <f>Translations!$B$611</f>
        <v>Iron or steel products</v>
      </c>
      <c r="F185" s="628" t="str">
        <f>IF(E185=" --- ","",COUNTIF($E$4:E185,E185)&amp;"_"&amp;E185)</f>
        <v>111_Iron or steel products</v>
      </c>
      <c r="H185" s="628" t="s">
        <v>1312</v>
      </c>
    </row>
    <row r="186" spans="1:8" x14ac:dyDescent="0.3">
      <c r="A186" s="628" t="s">
        <v>1313</v>
      </c>
      <c r="B186" s="628" t="s">
        <v>1314</v>
      </c>
      <c r="C186" s="628" t="str">
        <f>Translations!$B$931</f>
        <v>I sections with parallel flange faces, of iron or non-alloy steel, simply hot-rolled, hot-drawn or extruded, of a height &gt; 220 mm</v>
      </c>
      <c r="D186" s="628" t="str">
        <f t="shared" si="3"/>
        <v>72163291</v>
      </c>
      <c r="E186" s="1140" t="str">
        <f>Translations!$B$611</f>
        <v>Iron or steel products</v>
      </c>
      <c r="F186" s="628" t="str">
        <f>IF(E186=" --- ","",COUNTIF($E$4:E186,E186)&amp;"_"&amp;E186)</f>
        <v>112_Iron or steel products</v>
      </c>
      <c r="H186" s="628" t="s">
        <v>1315</v>
      </c>
    </row>
    <row r="187" spans="1:8" x14ac:dyDescent="0.3">
      <c r="A187" s="628" t="s">
        <v>1316</v>
      </c>
      <c r="B187" s="628" t="s">
        <v>1317</v>
      </c>
      <c r="C187" s="628" t="str">
        <f>Translations!$B$932</f>
        <v>I sections of iron or non-alloy steel, simply hot-rolled, hot-drawn or extruded, of a height &gt; 220 mm (excl. 7216.32.91)</v>
      </c>
      <c r="D187" s="628" t="str">
        <f t="shared" si="3"/>
        <v>72163299</v>
      </c>
      <c r="E187" s="1140" t="str">
        <f>Translations!$B$611</f>
        <v>Iron or steel products</v>
      </c>
      <c r="F187" s="628" t="str">
        <f>IF(E187=" --- ","",COUNTIF($E$4:E187,E187)&amp;"_"&amp;E187)</f>
        <v>113_Iron or steel products</v>
      </c>
      <c r="H187" s="628" t="s">
        <v>1318</v>
      </c>
    </row>
    <row r="188" spans="1:8" x14ac:dyDescent="0.3">
      <c r="A188" s="628" t="s">
        <v>1321</v>
      </c>
      <c r="B188" s="628" t="s">
        <v>1322</v>
      </c>
      <c r="C188" s="628" t="str">
        <f>Translations!$B$934</f>
        <v>H sections of iron or non-alloy steel, simply hot-rolled, hot-drawn or extruded, of a height &gt;= 80 mm but &lt;= 180 mm</v>
      </c>
      <c r="D188" s="628" t="str">
        <f t="shared" si="3"/>
        <v>72163310</v>
      </c>
      <c r="E188" s="1140" t="str">
        <f>Translations!$B$611</f>
        <v>Iron or steel products</v>
      </c>
      <c r="F188" s="628" t="str">
        <f>IF(E188=" --- ","",COUNTIF($E$4:E188,E188)&amp;"_"&amp;E188)</f>
        <v>114_Iron or steel products</v>
      </c>
      <c r="H188" s="628" t="s">
        <v>1323</v>
      </c>
    </row>
    <row r="189" spans="1:8" x14ac:dyDescent="0.3">
      <c r="A189" s="628" t="s">
        <v>1324</v>
      </c>
      <c r="B189" s="628" t="s">
        <v>1325</v>
      </c>
      <c r="C189" s="628" t="str">
        <f>Translations!$B$935</f>
        <v>H sections of iron or non-alloy steel, simply hot-rolled, hot-drawn or extruded, of a height &gt; 180 mm</v>
      </c>
      <c r="D189" s="628" t="str">
        <f t="shared" si="3"/>
        <v>72163390</v>
      </c>
      <c r="E189" s="1140" t="str">
        <f>Translations!$B$611</f>
        <v>Iron or steel products</v>
      </c>
      <c r="F189" s="628" t="str">
        <f>IF(E189=" --- ","",COUNTIF($E$4:E189,E189)&amp;"_"&amp;E189)</f>
        <v>115_Iron or steel products</v>
      </c>
      <c r="H189" s="628" t="s">
        <v>1326</v>
      </c>
    </row>
    <row r="190" spans="1:8" x14ac:dyDescent="0.3">
      <c r="A190" s="628" t="s">
        <v>1329</v>
      </c>
      <c r="B190" s="628" t="s">
        <v>1330</v>
      </c>
      <c r="C190" s="628" t="str">
        <f>Translations!$B$937</f>
        <v>L sections of iron or non-alloy steel, not further worked than hot-rolled, hot-drawn or extruded, of a height of &gt;= 80 mm</v>
      </c>
      <c r="D190" s="628" t="str">
        <f t="shared" si="3"/>
        <v>72164010</v>
      </c>
      <c r="E190" s="1140" t="str">
        <f>Translations!$B$611</f>
        <v>Iron or steel products</v>
      </c>
      <c r="F190" s="628" t="str">
        <f>IF(E190=" --- ","",COUNTIF($E$4:E190,E190)&amp;"_"&amp;E190)</f>
        <v>116_Iron or steel products</v>
      </c>
      <c r="H190" s="628" t="s">
        <v>1331</v>
      </c>
    </row>
    <row r="191" spans="1:8" x14ac:dyDescent="0.3">
      <c r="A191" s="628" t="s">
        <v>1332</v>
      </c>
      <c r="B191" s="628" t="s">
        <v>1333</v>
      </c>
      <c r="C191" s="628" t="str">
        <f>Translations!$B$938</f>
        <v>T sections of iron or non-alloy steel, not further worked than hot-rolled, hot-drawn or extruded, of a height of &gt;= 80 mm</v>
      </c>
      <c r="D191" s="628" t="str">
        <f t="shared" si="3"/>
        <v>72164090</v>
      </c>
      <c r="E191" s="1140" t="str">
        <f>Translations!$B$611</f>
        <v>Iron or steel products</v>
      </c>
      <c r="F191" s="628" t="str">
        <f>IF(E191=" --- ","",COUNTIF($E$4:E191,E191)&amp;"_"&amp;E191)</f>
        <v>117_Iron or steel products</v>
      </c>
      <c r="H191" s="628" t="s">
        <v>1334</v>
      </c>
    </row>
    <row r="192" spans="1:8" x14ac:dyDescent="0.3">
      <c r="A192" s="628" t="s">
        <v>1337</v>
      </c>
      <c r="B192" s="628" t="s">
        <v>1338</v>
      </c>
      <c r="C192" s="628" t="str">
        <f>Translations!$B$940</f>
        <v>Sections of iron or non-alloy steel, not further worked than hot-rolled, hot-drawn or hot-extruded, with a cross-section which is capable of being enclosed in a square the side of which is &lt;= 80 mm (excl. U, I, H, L or T sections)</v>
      </c>
      <c r="D192" s="628" t="str">
        <f t="shared" si="3"/>
        <v>72165010</v>
      </c>
      <c r="E192" s="1140" t="str">
        <f>Translations!$B$611</f>
        <v>Iron or steel products</v>
      </c>
      <c r="F192" s="628" t="str">
        <f>IF(E192=" --- ","",COUNTIF($E$4:E192,E192)&amp;"_"&amp;E192)</f>
        <v>118_Iron or steel products</v>
      </c>
      <c r="H192" s="628" t="s">
        <v>1339</v>
      </c>
    </row>
    <row r="193" spans="1:8" x14ac:dyDescent="0.3">
      <c r="A193" s="628" t="s">
        <v>1340</v>
      </c>
      <c r="B193" s="628" t="s">
        <v>1341</v>
      </c>
      <c r="C193" s="628" t="str">
        <f>Translations!$B$941</f>
        <v>Bulb sections "bulb flat", only hot-rolled, hot-drawn or hot-extruded</v>
      </c>
      <c r="D193" s="628" t="str">
        <f t="shared" si="3"/>
        <v>72165091</v>
      </c>
      <c r="E193" s="1140" t="str">
        <f>Translations!$B$611</f>
        <v>Iron or steel products</v>
      </c>
      <c r="F193" s="628" t="str">
        <f>IF(E193=" --- ","",COUNTIF($E$4:E193,E193)&amp;"_"&amp;E193)</f>
        <v>119_Iron or steel products</v>
      </c>
      <c r="H193" s="628" t="s">
        <v>1342</v>
      </c>
    </row>
    <row r="194" spans="1:8" x14ac:dyDescent="0.3">
      <c r="A194" s="628" t="s">
        <v>1343</v>
      </c>
      <c r="B194" s="628" t="s">
        <v>1344</v>
      </c>
      <c r="C194" s="628" t="str">
        <f>Translations!$B$942</f>
        <v>Profile of iron or non-alloy steel, only hot-rolled, hot-drawn or hot-extruded (other than with a cross-section which is capable of being enclosed in a square the side of which is &lt;= 80 mm, and U-, I-, H-, L- or T-sections and ribbed sections [ribbed steel])</v>
      </c>
      <c r="D194" s="628" t="str">
        <f t="shared" si="3"/>
        <v>72165099</v>
      </c>
      <c r="E194" s="1140" t="str">
        <f>Translations!$B$611</f>
        <v>Iron or steel products</v>
      </c>
      <c r="F194" s="628" t="str">
        <f>IF(E194=" --- ","",COUNTIF($E$4:E194,E194)&amp;"_"&amp;E194)</f>
        <v>120_Iron or steel products</v>
      </c>
      <c r="H194" s="628" t="s">
        <v>1345</v>
      </c>
    </row>
    <row r="195" spans="1:8" x14ac:dyDescent="0.3">
      <c r="A195" s="628" t="s">
        <v>1348</v>
      </c>
      <c r="B195" s="628" t="s">
        <v>1349</v>
      </c>
      <c r="C195" s="628" t="str">
        <f>Translations!$B$944</f>
        <v>c, l, u, z, omega or open-ended sections of iron or non-alloy steel, simply cold-formed or cold-finished, obtained from flat-rolled products</v>
      </c>
      <c r="D195" s="628" t="str">
        <f t="shared" si="3"/>
        <v>72166110</v>
      </c>
      <c r="E195" s="1140" t="str">
        <f>Translations!$B$611</f>
        <v>Iron or steel products</v>
      </c>
      <c r="F195" s="628" t="str">
        <f>IF(E195=" --- ","",COUNTIF($E$4:E195,E195)&amp;"_"&amp;E195)</f>
        <v>121_Iron or steel products</v>
      </c>
      <c r="H195" s="628" t="s">
        <v>1350</v>
      </c>
    </row>
    <row r="196" spans="1:8" x14ac:dyDescent="0.3">
      <c r="A196" s="628" t="s">
        <v>1351</v>
      </c>
      <c r="B196" s="628" t="s">
        <v>1352</v>
      </c>
      <c r="C196" s="628" t="str">
        <f>Translations!$B$945</f>
        <v>Angles, shapes and sections (other than c, l, u, z, omega or open-ended sections) of iron or non-alloy steel, simply cold-formed or cold-finished, obtained from flat-rolled products</v>
      </c>
      <c r="D196" s="628" t="str">
        <f t="shared" si="3"/>
        <v>72166190</v>
      </c>
      <c r="E196" s="1140" t="str">
        <f>Translations!$B$611</f>
        <v>Iron or steel products</v>
      </c>
      <c r="F196" s="628" t="str">
        <f>IF(E196=" --- ","",COUNTIF($E$4:E196,E196)&amp;"_"&amp;E196)</f>
        <v>122_Iron or steel products</v>
      </c>
      <c r="H196" s="628" t="s">
        <v>1353</v>
      </c>
    </row>
    <row r="197" spans="1:8" x14ac:dyDescent="0.3">
      <c r="A197" s="628" t="s">
        <v>1354</v>
      </c>
      <c r="B197" s="628" t="s">
        <v>1355</v>
      </c>
      <c r="C197" s="628" t="str">
        <f>Translations!$B$946</f>
        <v>Angles, shapes and sections, of iron or non-alloy steel, not further worked than cold-formed or cold-finished (excl. profiled sheet)</v>
      </c>
      <c r="D197" s="628" t="str">
        <f t="shared" si="3"/>
        <v>72166900</v>
      </c>
      <c r="E197" s="1140" t="str">
        <f>Translations!$B$611</f>
        <v>Iron or steel products</v>
      </c>
      <c r="F197" s="628" t="str">
        <f>IF(E197=" --- ","",COUNTIF($E$4:E197,E197)&amp;"_"&amp;E197)</f>
        <v>123_Iron or steel products</v>
      </c>
      <c r="H197" s="628" t="s">
        <v>1356</v>
      </c>
    </row>
    <row r="198" spans="1:8" x14ac:dyDescent="0.3">
      <c r="A198" s="628" t="s">
        <v>1359</v>
      </c>
      <c r="B198" s="628" t="s">
        <v>1360</v>
      </c>
      <c r="C198" s="628" t="str">
        <f>Translations!$B$948</f>
        <v>Sheets sheets of iron or non-alloy steel, cold-formed or cold finished, profiled "ribbed"</v>
      </c>
      <c r="D198" s="628" t="str">
        <f t="shared" si="3"/>
        <v>72169110</v>
      </c>
      <c r="E198" s="1140" t="str">
        <f>Translations!$B$611</f>
        <v>Iron or steel products</v>
      </c>
      <c r="F198" s="628" t="str">
        <f>IF(E198=" --- ","",COUNTIF($E$4:E198,E198)&amp;"_"&amp;E198)</f>
        <v>124_Iron or steel products</v>
      </c>
      <c r="H198" s="628" t="s">
        <v>1361</v>
      </c>
    </row>
    <row r="199" spans="1:8" x14ac:dyDescent="0.3">
      <c r="A199" s="628" t="s">
        <v>1362</v>
      </c>
      <c r="B199" s="628" t="s">
        <v>1363</v>
      </c>
      <c r="C199" s="628" t="str">
        <f>Translations!$B$949</f>
        <v>Angles, shapes and sections, of iron or non-alloy steel, cold-formed or cold-finished from flat-rolled products and further worked (excl. profiled sheet)</v>
      </c>
      <c r="D199" s="628" t="str">
        <f t="shared" si="3"/>
        <v>72169180</v>
      </c>
      <c r="E199" s="1140" t="str">
        <f>Translations!$B$611</f>
        <v>Iron or steel products</v>
      </c>
      <c r="F199" s="628" t="str">
        <f>IF(E199=" --- ","",COUNTIF($E$4:E199,E199)&amp;"_"&amp;E199)</f>
        <v>125_Iron or steel products</v>
      </c>
      <c r="H199" s="628" t="s">
        <v>1364</v>
      </c>
    </row>
    <row r="200" spans="1:8" x14ac:dyDescent="0.3">
      <c r="A200" s="628" t="s">
        <v>1365</v>
      </c>
      <c r="B200" s="628" t="s">
        <v>1366</v>
      </c>
      <c r="C200" s="628" t="str">
        <f>Translations!$B$950</f>
        <v>Angles, shapes and sections, of iron or non-alloy steel, cold-formed or cold-finished and further worked, or hot-forged, or hot-formed by other means and further worked, n.e.s. (excl. from flat-rolled products)</v>
      </c>
      <c r="D200" s="628" t="str">
        <f t="shared" si="3"/>
        <v>72169900</v>
      </c>
      <c r="E200" s="1140" t="str">
        <f>Translations!$B$611</f>
        <v>Iron or steel products</v>
      </c>
      <c r="F200" s="628" t="str">
        <f>IF(E200=" --- ","",COUNTIF($E$4:E200,E200)&amp;"_"&amp;E200)</f>
        <v>126_Iron or steel products</v>
      </c>
      <c r="H200" s="628" t="s">
        <v>1367</v>
      </c>
    </row>
    <row r="201" spans="1:8" x14ac:dyDescent="0.3">
      <c r="A201" s="628" t="s">
        <v>1372</v>
      </c>
      <c r="B201" s="628" t="s">
        <v>1373</v>
      </c>
      <c r="C201" s="628" t="str">
        <f>Translations!$B$953</f>
        <v>Wire of iron or non-alloy steel, in coils, containing by weight &lt; 0,25% carbon, not plated or coated, whether or not polished, with a maximum cross-sectional dimension of &lt; 0,8 mm</v>
      </c>
      <c r="D201" s="628" t="str">
        <f t="shared" si="3"/>
        <v>72171010</v>
      </c>
      <c r="E201" s="1140" t="str">
        <f>Translations!$B$611</f>
        <v>Iron or steel products</v>
      </c>
      <c r="F201" s="628" t="str">
        <f>IF(E201=" --- ","",COUNTIF($E$4:E201,E201)&amp;"_"&amp;E201)</f>
        <v>127_Iron or steel products</v>
      </c>
      <c r="H201" s="628" t="s">
        <v>1374</v>
      </c>
    </row>
    <row r="202" spans="1:8" x14ac:dyDescent="0.3">
      <c r="A202" s="628" t="s">
        <v>1375</v>
      </c>
      <c r="B202" s="628" t="s">
        <v>1376</v>
      </c>
      <c r="C202" s="628" t="str">
        <f>Translations!$B$954</f>
        <v>Wire of iron or non-alloy steel, in coils, containing by weight &lt; 0,25% carbon, with indentations, ribs, grooves or other deformations produced during the rolling process, not plated or coated, with a maximum cross-sectional dimension of &gt;= 0,8 mm</v>
      </c>
      <c r="D202" s="628" t="str">
        <f t="shared" si="3"/>
        <v>72171031</v>
      </c>
      <c r="E202" s="1140" t="str">
        <f>Translations!$B$611</f>
        <v>Iron or steel products</v>
      </c>
      <c r="F202" s="628" t="str">
        <f>IF(E202=" --- ","",COUNTIF($E$4:E202,E202)&amp;"_"&amp;E202)</f>
        <v>128_Iron or steel products</v>
      </c>
      <c r="H202" s="628" t="s">
        <v>1377</v>
      </c>
    </row>
    <row r="203" spans="1:8" x14ac:dyDescent="0.3">
      <c r="A203" s="628" t="s">
        <v>1378</v>
      </c>
      <c r="B203" s="628" t="s">
        <v>1379</v>
      </c>
      <c r="C203" s="628" t="str">
        <f>Translations!$B$955</f>
        <v>Wire of iron or non-alloy steel, in coils, containing by weight &lt; 0,25% carbon, not plated or coated, with a maximum cross-sectional dimension of &gt;= 0,8 mm (without indentations, ribs, grooves or other deformations produced during the rolling process)</v>
      </c>
      <c r="D203" s="628" t="str">
        <f t="shared" si="3"/>
        <v>72171039</v>
      </c>
      <c r="E203" s="1140" t="str">
        <f>Translations!$B$611</f>
        <v>Iron or steel products</v>
      </c>
      <c r="F203" s="628" t="str">
        <f>IF(E203=" --- ","",COUNTIF($E$4:E203,E203)&amp;"_"&amp;E203)</f>
        <v>129_Iron or steel products</v>
      </c>
      <c r="H203" s="628" t="s">
        <v>1380</v>
      </c>
    </row>
    <row r="204" spans="1:8" x14ac:dyDescent="0.3">
      <c r="A204" s="628" t="s">
        <v>1381</v>
      </c>
      <c r="B204" s="628" t="s">
        <v>1382</v>
      </c>
      <c r="C204" s="628" t="str">
        <f>Translations!$B$956</f>
        <v>Wire of iron or non-alloy steel, in coils, containing by weight &gt;= 0,25% but &lt; 0,6% carbon, not plated or coated, whether or not polished (excl. hot-rolled bars and rods)</v>
      </c>
      <c r="D204" s="628" t="str">
        <f t="shared" si="3"/>
        <v>72171050</v>
      </c>
      <c r="E204" s="1140" t="str">
        <f>Translations!$B$611</f>
        <v>Iron or steel products</v>
      </c>
      <c r="F204" s="628" t="str">
        <f>IF(E204=" --- ","",COUNTIF($E$4:E204,E204)&amp;"_"&amp;E204)</f>
        <v>130_Iron or steel products</v>
      </c>
      <c r="H204" s="628" t="s">
        <v>1383</v>
      </c>
    </row>
    <row r="205" spans="1:8" x14ac:dyDescent="0.3">
      <c r="A205" s="628" t="s">
        <v>1384</v>
      </c>
      <c r="B205" s="628" t="s">
        <v>1385</v>
      </c>
      <c r="C205" s="628" t="str">
        <f>Translations!$B$957</f>
        <v>Wire of iron or non-alloy steel, in coils, containing by weight &gt;= 0,6% carbon, not plated or coated, whether or not polished (excl. hot-rolled bars and rods)</v>
      </c>
      <c r="D205" s="628" t="str">
        <f t="shared" si="3"/>
        <v>72171090</v>
      </c>
      <c r="E205" s="1140" t="str">
        <f>Translations!$B$611</f>
        <v>Iron or steel products</v>
      </c>
      <c r="F205" s="628" t="str">
        <f>IF(E205=" --- ","",COUNTIF($E$4:E205,E205)&amp;"_"&amp;E205)</f>
        <v>131_Iron or steel products</v>
      </c>
      <c r="H205" s="628" t="s">
        <v>1386</v>
      </c>
    </row>
    <row r="206" spans="1:8" x14ac:dyDescent="0.3">
      <c r="A206" s="628" t="s">
        <v>1389</v>
      </c>
      <c r="B206" s="628" t="s">
        <v>1390</v>
      </c>
      <c r="C206" s="628" t="str">
        <f>Translations!$B$959</f>
        <v>Wire of iron or non-alloy steel, in coils, containing by weight &lt; 0,25% carbon, plated or coated with zinc, with a maximum cross-sectional dimension of &lt; 0,8 mm</v>
      </c>
      <c r="D206" s="628" t="str">
        <f t="shared" si="3"/>
        <v>72172010</v>
      </c>
      <c r="E206" s="1140" t="str">
        <f>Translations!$B$611</f>
        <v>Iron or steel products</v>
      </c>
      <c r="F206" s="628" t="str">
        <f>IF(E206=" --- ","",COUNTIF($E$4:E206,E206)&amp;"_"&amp;E206)</f>
        <v>132_Iron or steel products</v>
      </c>
      <c r="H206" s="628" t="s">
        <v>1391</v>
      </c>
    </row>
    <row r="207" spans="1:8" x14ac:dyDescent="0.3">
      <c r="A207" s="628" t="s">
        <v>1392</v>
      </c>
      <c r="B207" s="628" t="s">
        <v>1393</v>
      </c>
      <c r="C207" s="628" t="str">
        <f>Translations!$B$960</f>
        <v>Wire of iron or non-alloy steel, in coils, containing by weight &lt; 0,25% carbon, plated or coated with zinc, with a maximum cross-sectional dimension of &lt; 0,8 mm (excl. bars and rods)</v>
      </c>
      <c r="D207" s="628" t="str">
        <f t="shared" si="3"/>
        <v>72172030</v>
      </c>
      <c r="E207" s="1140" t="str">
        <f>Translations!$B$611</f>
        <v>Iron or steel products</v>
      </c>
      <c r="F207" s="628" t="str">
        <f>IF(E207=" --- ","",COUNTIF($E$4:E207,E207)&amp;"_"&amp;E207)</f>
        <v>133_Iron or steel products</v>
      </c>
      <c r="H207" s="628" t="s">
        <v>1394</v>
      </c>
    </row>
    <row r="208" spans="1:8" x14ac:dyDescent="0.3">
      <c r="A208" s="628" t="s">
        <v>1395</v>
      </c>
      <c r="B208" s="628" t="s">
        <v>1396</v>
      </c>
      <c r="C208" s="628" t="str">
        <f>Translations!$B$961</f>
        <v>Wire of iron or non-alloy steel, in coils, containing by weight &gt;= 0,25% but &lt; 0,6% carbon, plated or coated with zinc (excl. bars and rods)</v>
      </c>
      <c r="D208" s="628" t="str">
        <f t="shared" si="3"/>
        <v>72172050</v>
      </c>
      <c r="E208" s="1140" t="str">
        <f>Translations!$B$611</f>
        <v>Iron or steel products</v>
      </c>
      <c r="F208" s="628" t="str">
        <f>IF(E208=" --- ","",COUNTIF($E$4:E208,E208)&amp;"_"&amp;E208)</f>
        <v>134_Iron or steel products</v>
      </c>
      <c r="H208" s="628" t="s">
        <v>1397</v>
      </c>
    </row>
    <row r="209" spans="1:8" x14ac:dyDescent="0.3">
      <c r="A209" s="628" t="s">
        <v>1398</v>
      </c>
      <c r="B209" s="628" t="s">
        <v>1399</v>
      </c>
      <c r="C209" s="628" t="str">
        <f>Translations!$B$962</f>
        <v>Wire of iron or non-alloy steel, in coils, containing by weight &gt;= 0,6% carbon, plated or coated with zinc (excl. bars and rods)</v>
      </c>
      <c r="D209" s="628" t="str">
        <f t="shared" si="3"/>
        <v>72172090</v>
      </c>
      <c r="E209" s="1140" t="str">
        <f>Translations!$B$611</f>
        <v>Iron or steel products</v>
      </c>
      <c r="F209" s="628" t="str">
        <f>IF(E209=" --- ","",COUNTIF($E$4:E209,E209)&amp;"_"&amp;E209)</f>
        <v>135_Iron or steel products</v>
      </c>
      <c r="H209" s="628" t="s">
        <v>1400</v>
      </c>
    </row>
    <row r="210" spans="1:8" x14ac:dyDescent="0.3">
      <c r="A210" s="628" t="s">
        <v>1403</v>
      </c>
      <c r="B210" s="628" t="s">
        <v>1404</v>
      </c>
      <c r="C210" s="628" t="str">
        <f>Translations!$B$964</f>
        <v>Wire of iron or non-alloy steel, in coils, containing by weight &lt; 0,25% carbon, copper-coated (excl. bars and rods)</v>
      </c>
      <c r="D210" s="628" t="str">
        <f t="shared" ref="D210:D273" si="4">SUBSTITUTE(B210," ","")</f>
        <v>72173041</v>
      </c>
      <c r="E210" s="1140" t="str">
        <f>Translations!$B$611</f>
        <v>Iron or steel products</v>
      </c>
      <c r="F210" s="628" t="str">
        <f>IF(E210=" --- ","",COUNTIF($E$4:E210,E210)&amp;"_"&amp;E210)</f>
        <v>136_Iron or steel products</v>
      </c>
      <c r="H210" s="628" t="s">
        <v>1405</v>
      </c>
    </row>
    <row r="211" spans="1:8" x14ac:dyDescent="0.3">
      <c r="A211" s="628" t="s">
        <v>1406</v>
      </c>
      <c r="B211" s="628" t="s">
        <v>1407</v>
      </c>
      <c r="C211" s="628" t="str">
        <f>Translations!$B$965</f>
        <v>Wire of iron or non-alloy steel, in coils, containing by weight &lt; 0,25% carbon, plated or coated with base metals (excl. products plated or coated with zinc or copper and bars and rods)</v>
      </c>
      <c r="D211" s="628" t="str">
        <f t="shared" si="4"/>
        <v>72173049</v>
      </c>
      <c r="E211" s="1140" t="str">
        <f>Translations!$B$611</f>
        <v>Iron or steel products</v>
      </c>
      <c r="F211" s="628" t="str">
        <f>IF(E211=" --- ","",COUNTIF($E$4:E211,E211)&amp;"_"&amp;E211)</f>
        <v>137_Iron or steel products</v>
      </c>
      <c r="H211" s="628" t="s">
        <v>1408</v>
      </c>
    </row>
    <row r="212" spans="1:8" x14ac:dyDescent="0.3">
      <c r="A212" s="628" t="s">
        <v>1409</v>
      </c>
      <c r="B212" s="628" t="s">
        <v>1410</v>
      </c>
      <c r="C212" s="628" t="str">
        <f>Translations!$B$966</f>
        <v>Wire of iron or non-alloy steel, in coils, containing by weight &gt;= 0,25% but &lt; 0,6% carbon, plated or coated with base metals (excl. products plated or coated with zinc, and bars and rods)</v>
      </c>
      <c r="D212" s="628" t="str">
        <f t="shared" si="4"/>
        <v>72173050</v>
      </c>
      <c r="E212" s="1140" t="str">
        <f>Translations!$B$611</f>
        <v>Iron or steel products</v>
      </c>
      <c r="F212" s="628" t="str">
        <f>IF(E212=" --- ","",COUNTIF($E$4:E212,E212)&amp;"_"&amp;E212)</f>
        <v>138_Iron or steel products</v>
      </c>
      <c r="H212" s="628" t="s">
        <v>1411</v>
      </c>
    </row>
    <row r="213" spans="1:8" x14ac:dyDescent="0.3">
      <c r="A213" s="628" t="s">
        <v>1412</v>
      </c>
      <c r="B213" s="628" t="s">
        <v>1413</v>
      </c>
      <c r="C213" s="628" t="str">
        <f>Translations!$B$967</f>
        <v>Wire of iron or non-alloy steel, in coils, containing by weight &gt;= 0,6% carbon, plated or coated with base metals (excl. products plated or coated with zinc, and bars and rods)</v>
      </c>
      <c r="D213" s="628" t="str">
        <f t="shared" si="4"/>
        <v>72173090</v>
      </c>
      <c r="E213" s="1140" t="str">
        <f>Translations!$B$611</f>
        <v>Iron or steel products</v>
      </c>
      <c r="F213" s="628" t="str">
        <f>IF(E213=" --- ","",COUNTIF($E$4:E213,E213)&amp;"_"&amp;E213)</f>
        <v>139_Iron or steel products</v>
      </c>
      <c r="H213" s="628" t="s">
        <v>1414</v>
      </c>
    </row>
    <row r="214" spans="1:8" x14ac:dyDescent="0.3">
      <c r="A214" s="628" t="s">
        <v>1417</v>
      </c>
      <c r="B214" s="628" t="s">
        <v>1418</v>
      </c>
      <c r="C214" s="628" t="str">
        <f>Translations!$B$969</f>
        <v>Wire of iron or non-alloy steel, in coils, containing by weight &lt; 0,25% carbon, plated or coated (excl. products plated or coated with base metals and bars and rods)</v>
      </c>
      <c r="D214" s="628" t="str">
        <f t="shared" si="4"/>
        <v>72179020</v>
      </c>
      <c r="E214" s="1140" t="str">
        <f>Translations!$B$611</f>
        <v>Iron or steel products</v>
      </c>
      <c r="F214" s="628" t="str">
        <f>IF(E214=" --- ","",COUNTIF($E$4:E214,E214)&amp;"_"&amp;E214)</f>
        <v>140_Iron or steel products</v>
      </c>
      <c r="H214" s="628" t="s">
        <v>1419</v>
      </c>
    </row>
    <row r="215" spans="1:8" x14ac:dyDescent="0.3">
      <c r="A215" s="628" t="s">
        <v>1420</v>
      </c>
      <c r="B215" s="628" t="s">
        <v>1421</v>
      </c>
      <c r="C215" s="628" t="str">
        <f>Translations!$B$970</f>
        <v>Wire of iron or non-alloy steel, in coils, containing by weight &gt;= 0,25% but &lt; 0,6% carbon, plated or coated (excl. products plated or coated with with base metals, and bars and rods)</v>
      </c>
      <c r="D215" s="628" t="str">
        <f t="shared" si="4"/>
        <v>72179050</v>
      </c>
      <c r="E215" s="1140" t="str">
        <f>Translations!$B$611</f>
        <v>Iron or steel products</v>
      </c>
      <c r="F215" s="628" t="str">
        <f>IF(E215=" --- ","",COUNTIF($E$4:E215,E215)&amp;"_"&amp;E215)</f>
        <v>141_Iron or steel products</v>
      </c>
      <c r="H215" s="628" t="s">
        <v>1422</v>
      </c>
    </row>
    <row r="216" spans="1:8" x14ac:dyDescent="0.3">
      <c r="A216" s="628" t="s">
        <v>1423</v>
      </c>
      <c r="B216" s="628" t="s">
        <v>1424</v>
      </c>
      <c r="C216" s="628" t="str">
        <f>Translations!$B$971</f>
        <v>Wire of iron or non-alloy steel, in coils, containing by weight &gt;= 0,6% carbon, plated or coated (excl. products plated or coated with base metals, and bars and rods)</v>
      </c>
      <c r="D216" s="628" t="str">
        <f t="shared" si="4"/>
        <v>72179090</v>
      </c>
      <c r="E216" s="1140" t="str">
        <f>Translations!$B$611</f>
        <v>Iron or steel products</v>
      </c>
      <c r="F216" s="628" t="str">
        <f>IF(E216=" --- ","",COUNTIF($E$4:E216,E216)&amp;"_"&amp;E216)</f>
        <v>142_Iron or steel products</v>
      </c>
      <c r="H216" s="628" t="s">
        <v>1425</v>
      </c>
    </row>
    <row r="217" spans="1:8" x14ac:dyDescent="0.3">
      <c r="A217" s="628" t="s">
        <v>1428</v>
      </c>
      <c r="B217" s="628" t="s">
        <v>1429</v>
      </c>
      <c r="C217" s="628" t="str">
        <f>Translations!$B$973</f>
        <v>Steel, stainless, in ingots and other primary forms (excl. waste and scrap in ingot form, and products obtained by continuous casting)</v>
      </c>
      <c r="D217" s="628" t="str">
        <f t="shared" si="4"/>
        <v>72181000</v>
      </c>
      <c r="E217" s="1140" t="str">
        <f>Translations!$B$668</f>
        <v>Crude steel</v>
      </c>
      <c r="F217" s="628" t="str">
        <f>IF(E217=" --- ","",COUNTIF($E$4:E217,E217)&amp;"_"&amp;E217)</f>
        <v>21_Crude steel</v>
      </c>
      <c r="H217" s="628" t="s">
        <v>1430</v>
      </c>
    </row>
    <row r="218" spans="1:8" x14ac:dyDescent="0.3">
      <c r="A218" s="628" t="s">
        <v>1433</v>
      </c>
      <c r="B218" s="628" t="s">
        <v>1434</v>
      </c>
      <c r="C218" s="628" t="str">
        <f>Translations!$B$975</f>
        <v>Semi-finished products of stainless steel, of rectangular "other than square" cross-section, containing by weight &gt;= 2,5% nickel</v>
      </c>
      <c r="D218" s="628" t="str">
        <f t="shared" si="4"/>
        <v>72189110</v>
      </c>
      <c r="E218" s="1140" t="str">
        <f>Translations!$B$668</f>
        <v>Crude steel</v>
      </c>
      <c r="F218" s="628" t="str">
        <f>IF(E218=" --- ","",COUNTIF($E$4:E218,E218)&amp;"_"&amp;E218)</f>
        <v>22_Crude steel</v>
      </c>
      <c r="H218" s="628" t="s">
        <v>1435</v>
      </c>
    </row>
    <row r="219" spans="1:8" x14ac:dyDescent="0.3">
      <c r="A219" s="628" t="s">
        <v>1436</v>
      </c>
      <c r="B219" s="628" t="s">
        <v>1437</v>
      </c>
      <c r="C219" s="628" t="str">
        <f>Translations!$B$976</f>
        <v>Semi-finished products of stainless steel, of rectangular "other than square" cross-section, containing by weight &lt; 2,5 nickel</v>
      </c>
      <c r="D219" s="628" t="str">
        <f t="shared" si="4"/>
        <v>72189180</v>
      </c>
      <c r="E219" s="1140" t="str">
        <f>Translations!$B$668</f>
        <v>Crude steel</v>
      </c>
      <c r="F219" s="628" t="str">
        <f>IF(E219=" --- ","",COUNTIF($E$4:E219,E219)&amp;"_"&amp;E219)</f>
        <v>23_Crude steel</v>
      </c>
      <c r="H219" s="628" t="s">
        <v>1438</v>
      </c>
    </row>
    <row r="220" spans="1:8" x14ac:dyDescent="0.3">
      <c r="A220" s="628" t="s">
        <v>1441</v>
      </c>
      <c r="B220" s="628" t="s">
        <v>1442</v>
      </c>
      <c r="C220" s="628" t="str">
        <f>Translations!$B$978</f>
        <v>Semi-finished products of stainless steel, of square cross-section, rolled or obtained by continuous casting</v>
      </c>
      <c r="D220" s="628" t="str">
        <f t="shared" si="4"/>
        <v>72189911</v>
      </c>
      <c r="E220" s="1140" t="str">
        <f>Translations!$B$668</f>
        <v>Crude steel</v>
      </c>
      <c r="F220" s="628" t="str">
        <f>IF(E220=" --- ","",COUNTIF($E$4:E220,E220)&amp;"_"&amp;E220)</f>
        <v>24_Crude steel</v>
      </c>
      <c r="H220" s="628" t="s">
        <v>1443</v>
      </c>
    </row>
    <row r="221" spans="1:8" x14ac:dyDescent="0.3">
      <c r="A221" s="628" t="s">
        <v>1444</v>
      </c>
      <c r="B221" s="628" t="s">
        <v>1445</v>
      </c>
      <c r="C221" s="628" t="str">
        <f>Translations!$B$979</f>
        <v>Semi-finished products of stainless steel, of square cross-section, forged</v>
      </c>
      <c r="D221" s="628" t="str">
        <f t="shared" si="4"/>
        <v>72189919</v>
      </c>
      <c r="E221" s="1140" t="str">
        <f>Translations!$B$668</f>
        <v>Crude steel</v>
      </c>
      <c r="F221" s="628" t="str">
        <f>IF(E221=" --- ","",COUNTIF($E$4:E221,E221)&amp;"_"&amp;E221)</f>
        <v>25_Crude steel</v>
      </c>
      <c r="H221" s="628" t="s">
        <v>1446</v>
      </c>
    </row>
    <row r="222" spans="1:8" x14ac:dyDescent="0.3">
      <c r="A222" s="628" t="s">
        <v>1447</v>
      </c>
      <c r="B222" s="628" t="s">
        <v>1448</v>
      </c>
      <c r="C222" s="628" t="str">
        <f>Translations!$B$980</f>
        <v>Semi-finished products of stainless steel, of circular cross-section or of cross-section other than square or rectangular, rolled or obtained by continuous casting</v>
      </c>
      <c r="D222" s="628" t="str">
        <f t="shared" si="4"/>
        <v>72189920</v>
      </c>
      <c r="E222" s="1140" t="str">
        <f>Translations!$B$668</f>
        <v>Crude steel</v>
      </c>
      <c r="F222" s="628" t="str">
        <f>IF(E222=" --- ","",COUNTIF($E$4:E222,E222)&amp;"_"&amp;E222)</f>
        <v>26_Crude steel</v>
      </c>
      <c r="H222" s="628" t="s">
        <v>1449</v>
      </c>
    </row>
    <row r="223" spans="1:8" x14ac:dyDescent="0.3">
      <c r="A223" s="628" t="s">
        <v>1450</v>
      </c>
      <c r="B223" s="628" t="s">
        <v>1451</v>
      </c>
      <c r="C223" s="628" t="str">
        <f>Translations!$B$981</f>
        <v>Semi-finished products of stainless steel, forged (excl. products of square or rectangular cross-section)</v>
      </c>
      <c r="D223" s="628" t="str">
        <f t="shared" si="4"/>
        <v>72189980</v>
      </c>
      <c r="E223" s="1140" t="str">
        <f>Translations!$B$668</f>
        <v>Crude steel</v>
      </c>
      <c r="F223" s="628" t="str">
        <f>IF(E223=" --- ","",COUNTIF($E$4:E223,E223)&amp;"_"&amp;E223)</f>
        <v>27_Crude steel</v>
      </c>
      <c r="H223" s="628" t="s">
        <v>1452</v>
      </c>
    </row>
    <row r="224" spans="1:8" x14ac:dyDescent="0.3">
      <c r="A224" s="628" t="s">
        <v>1455</v>
      </c>
      <c r="B224" s="628" t="s">
        <v>1456</v>
      </c>
      <c r="C224" s="628" t="str">
        <f>Translations!$B$983</f>
        <v>Flat-rolled products of stainless steel, of a width of &gt;= 600 mm, not further worked than hot-rolled, in coils, of a thickness of &gt; 10 mm</v>
      </c>
      <c r="D224" s="628" t="str">
        <f t="shared" si="4"/>
        <v>72191100</v>
      </c>
      <c r="E224" s="1140" t="str">
        <f>Translations!$B$611</f>
        <v>Iron or steel products</v>
      </c>
      <c r="F224" s="628" t="str">
        <f>IF(E224=" --- ","",COUNTIF($E$4:E224,E224)&amp;"_"&amp;E224)</f>
        <v>143_Iron or steel products</v>
      </c>
      <c r="H224" s="628" t="s">
        <v>1457</v>
      </c>
    </row>
    <row r="225" spans="1:8" x14ac:dyDescent="0.3">
      <c r="A225" s="628" t="s">
        <v>1460</v>
      </c>
      <c r="B225" s="628" t="s">
        <v>1461</v>
      </c>
      <c r="C225" s="628" t="str">
        <f>Translations!$B$985</f>
        <v>Flat-rolled products of stainless steel, of a width of &gt;= 600 mm, not further worked than hot-rolled, in coils, of a thickness of &gt;= 4,75 mm but &lt;= 10 mm, containing by weight &gt;= 2,5 nickel</v>
      </c>
      <c r="D225" s="628" t="str">
        <f t="shared" si="4"/>
        <v>72191210</v>
      </c>
      <c r="E225" s="1140" t="str">
        <f>Translations!$B$611</f>
        <v>Iron or steel products</v>
      </c>
      <c r="F225" s="628" t="str">
        <f>IF(E225=" --- ","",COUNTIF($E$4:E225,E225)&amp;"_"&amp;E225)</f>
        <v>144_Iron or steel products</v>
      </c>
      <c r="H225" s="628" t="s">
        <v>1462</v>
      </c>
    </row>
    <row r="226" spans="1:8" x14ac:dyDescent="0.3">
      <c r="A226" s="628" t="s">
        <v>1463</v>
      </c>
      <c r="B226" s="628" t="s">
        <v>1464</v>
      </c>
      <c r="C226" s="628" t="str">
        <f>Translations!$B$986</f>
        <v>Flat-rolled products of stainless steel, of a width of &gt;= 600 mm, not further worked than hot-rolled, in coils, of a thickness of &gt;= 4,75 mm but &lt;= 10 mm, containing by weight &lt; 2,5 nickel</v>
      </c>
      <c r="D226" s="628" t="str">
        <f t="shared" si="4"/>
        <v>72191290</v>
      </c>
      <c r="E226" s="1140" t="str">
        <f>Translations!$B$611</f>
        <v>Iron or steel products</v>
      </c>
      <c r="F226" s="628" t="str">
        <f>IF(E226=" --- ","",COUNTIF($E$4:E226,E226)&amp;"_"&amp;E226)</f>
        <v>145_Iron or steel products</v>
      </c>
      <c r="H226" s="628" t="s">
        <v>1465</v>
      </c>
    </row>
    <row r="227" spans="1:8" x14ac:dyDescent="0.3">
      <c r="A227" s="628" t="s">
        <v>1468</v>
      </c>
      <c r="B227" s="628" t="s">
        <v>1469</v>
      </c>
      <c r="C227" s="628" t="str">
        <f>Translations!$B$988</f>
        <v>Flat-rolled products of stainless steel, of a width of &gt;= 600 mm, not further worked than hot-rolled, in coils, of a thickness of &gt;= 3 mm but &lt;= 4,75 mm, containing by weight &gt;= 2,5 nickel</v>
      </c>
      <c r="D227" s="628" t="str">
        <f t="shared" si="4"/>
        <v>72191310</v>
      </c>
      <c r="E227" s="1140" t="str">
        <f>Translations!$B$611</f>
        <v>Iron or steel products</v>
      </c>
      <c r="F227" s="628" t="str">
        <f>IF(E227=" --- ","",COUNTIF($E$4:E227,E227)&amp;"_"&amp;E227)</f>
        <v>146_Iron or steel products</v>
      </c>
      <c r="H227" s="628" t="s">
        <v>1470</v>
      </c>
    </row>
    <row r="228" spans="1:8" x14ac:dyDescent="0.3">
      <c r="A228" s="628" t="s">
        <v>1471</v>
      </c>
      <c r="B228" s="628" t="s">
        <v>1472</v>
      </c>
      <c r="C228" s="628" t="str">
        <f>Translations!$B$989</f>
        <v>Flat-rolled products of stainless steel, of a width of &gt;= 600 mm, not further worked than hot-rolled, in coils, of a thickness of &gt;= 3 mm but &lt;= 4,75 mm, containing by weight &lt; 2,5 nickel</v>
      </c>
      <c r="D228" s="628" t="str">
        <f t="shared" si="4"/>
        <v>72191390</v>
      </c>
      <c r="E228" s="1140" t="str">
        <f>Translations!$B$611</f>
        <v>Iron or steel products</v>
      </c>
      <c r="F228" s="628" t="str">
        <f>IF(E228=" --- ","",COUNTIF($E$4:E228,E228)&amp;"_"&amp;E228)</f>
        <v>147_Iron or steel products</v>
      </c>
      <c r="H228" s="628" t="s">
        <v>1473</v>
      </c>
    </row>
    <row r="229" spans="1:8" x14ac:dyDescent="0.3">
      <c r="A229" s="628" t="s">
        <v>1476</v>
      </c>
      <c r="B229" s="628" t="s">
        <v>1477</v>
      </c>
      <c r="C229" s="628" t="str">
        <f>Translations!$B$991</f>
        <v>Flat-rolled products of stainless steel, of a width of &gt;= 600 mm, not further worked than hot-rolled, in coils, of a thickness of &lt; 3 mm, containing by weight &gt;= 2,5 nickel</v>
      </c>
      <c r="D229" s="628" t="str">
        <f t="shared" si="4"/>
        <v>72191410</v>
      </c>
      <c r="E229" s="1140" t="str">
        <f>Translations!$B$611</f>
        <v>Iron or steel products</v>
      </c>
      <c r="F229" s="628" t="str">
        <f>IF(E229=" --- ","",COUNTIF($E$4:E229,E229)&amp;"_"&amp;E229)</f>
        <v>148_Iron or steel products</v>
      </c>
      <c r="H229" s="628" t="s">
        <v>1478</v>
      </c>
    </row>
    <row r="230" spans="1:8" x14ac:dyDescent="0.3">
      <c r="A230" s="628" t="s">
        <v>1479</v>
      </c>
      <c r="B230" s="628" t="s">
        <v>1480</v>
      </c>
      <c r="C230" s="628" t="str">
        <f>Translations!$B$992</f>
        <v>Flat-rolled products of stainless steel, of a width of &gt;= 600 mm, not further worked than hot-rolled, in coils, of a thickness of &lt; 3 mm, containing by weight &lt; 2,5 nickel</v>
      </c>
      <c r="D230" s="628" t="str">
        <f t="shared" si="4"/>
        <v>72191490</v>
      </c>
      <c r="E230" s="1140" t="str">
        <f>Translations!$B$611</f>
        <v>Iron or steel products</v>
      </c>
      <c r="F230" s="628" t="str">
        <f>IF(E230=" --- ","",COUNTIF($E$4:E230,E230)&amp;"_"&amp;E230)</f>
        <v>149_Iron or steel products</v>
      </c>
      <c r="H230" s="628" t="s">
        <v>1481</v>
      </c>
    </row>
    <row r="231" spans="1:8" x14ac:dyDescent="0.3">
      <c r="A231" s="628" t="s">
        <v>1484</v>
      </c>
      <c r="B231" s="628" t="s">
        <v>1485</v>
      </c>
      <c r="C231" s="628" t="str">
        <f>Translations!$B$994</f>
        <v>Flat-rolled products of stainless steel, of a width of &gt;= 600 mm, not further worked than hot-rolled, not in coils, of a thickness of &gt; 10 mm, containing by weight &gt;= 2,5 nickel</v>
      </c>
      <c r="D231" s="628" t="str">
        <f t="shared" si="4"/>
        <v>72192110</v>
      </c>
      <c r="E231" s="1140" t="str">
        <f>Translations!$B$611</f>
        <v>Iron or steel products</v>
      </c>
      <c r="F231" s="628" t="str">
        <f>IF(E231=" --- ","",COUNTIF($E$4:E231,E231)&amp;"_"&amp;E231)</f>
        <v>150_Iron or steel products</v>
      </c>
      <c r="H231" s="628" t="s">
        <v>1486</v>
      </c>
    </row>
    <row r="232" spans="1:8" x14ac:dyDescent="0.3">
      <c r="A232" s="628" t="s">
        <v>1487</v>
      </c>
      <c r="B232" s="628" t="s">
        <v>1488</v>
      </c>
      <c r="C232" s="628" t="str">
        <f>Translations!$B$995</f>
        <v>Flat-rolled products of stainless steel, of a width of &gt;= 600 mm, not further worked than hot-rolled, not in coils, of a thickness of &gt; 10 mm, containing by weight &lt; 2,5 nickel</v>
      </c>
      <c r="D232" s="628" t="str">
        <f t="shared" si="4"/>
        <v>72192190</v>
      </c>
      <c r="E232" s="1140" t="str">
        <f>Translations!$B$611</f>
        <v>Iron or steel products</v>
      </c>
      <c r="F232" s="628" t="str">
        <f>IF(E232=" --- ","",COUNTIF($E$4:E232,E232)&amp;"_"&amp;E232)</f>
        <v>151_Iron or steel products</v>
      </c>
      <c r="H232" s="628" t="s">
        <v>1489</v>
      </c>
    </row>
    <row r="233" spans="1:8" x14ac:dyDescent="0.3">
      <c r="A233" s="628" t="s">
        <v>1492</v>
      </c>
      <c r="B233" s="628" t="s">
        <v>1493</v>
      </c>
      <c r="C233" s="628" t="str">
        <f>Translations!$B$997</f>
        <v>Flat-rolled products of stainless steel, of a width of &gt;= 600 mm, not further worked than hot-rolled, not in coils, of a thickness of &gt;= 4,75 mm but &lt;= 10 mm, containing by weight &gt;= 2,5% nickel</v>
      </c>
      <c r="D233" s="628" t="str">
        <f t="shared" si="4"/>
        <v>72192210</v>
      </c>
      <c r="E233" s="1140" t="str">
        <f>Translations!$B$611</f>
        <v>Iron or steel products</v>
      </c>
      <c r="F233" s="628" t="str">
        <f>IF(E233=" --- ","",COUNTIF($E$4:E233,E233)&amp;"_"&amp;E233)</f>
        <v>152_Iron or steel products</v>
      </c>
      <c r="H233" s="628" t="s">
        <v>1494</v>
      </c>
    </row>
    <row r="234" spans="1:8" x14ac:dyDescent="0.3">
      <c r="A234" s="628" t="s">
        <v>1495</v>
      </c>
      <c r="B234" s="628" t="s">
        <v>1496</v>
      </c>
      <c r="C234" s="628" t="str">
        <f>Translations!$B$998</f>
        <v>Flat-rolled products of stainless steel, of a width of &gt;= 600 mm, not further worked than hot-rolled, not in coils, of a thickness of &gt;= 4,75 mm but &lt;= 10 mm, containing by weight &lt; 2,5% nickel</v>
      </c>
      <c r="D234" s="628" t="str">
        <f t="shared" si="4"/>
        <v>72192290</v>
      </c>
      <c r="E234" s="1140" t="str">
        <f>Translations!$B$611</f>
        <v>Iron or steel products</v>
      </c>
      <c r="F234" s="628" t="str">
        <f>IF(E234=" --- ","",COUNTIF($E$4:E234,E234)&amp;"_"&amp;E234)</f>
        <v>153_Iron or steel products</v>
      </c>
      <c r="H234" s="628" t="s">
        <v>1497</v>
      </c>
    </row>
    <row r="235" spans="1:8" x14ac:dyDescent="0.3">
      <c r="A235" s="628" t="s">
        <v>1498</v>
      </c>
      <c r="B235" s="628" t="s">
        <v>1499</v>
      </c>
      <c r="C235" s="628" t="str">
        <f>Translations!$B$999</f>
        <v>Flat-rolled products of stainless steel, of a width of &gt;= 600 mm, not further worked than hot-rolled, not in coils, of a thickness of &gt;= 3 mm and &lt; 4,75 mm</v>
      </c>
      <c r="D235" s="628" t="str">
        <f t="shared" si="4"/>
        <v>72192300</v>
      </c>
      <c r="E235" s="1140" t="str">
        <f>Translations!$B$611</f>
        <v>Iron or steel products</v>
      </c>
      <c r="F235" s="628" t="str">
        <f>IF(E235=" --- ","",COUNTIF($E$4:E235,E235)&amp;"_"&amp;E235)</f>
        <v>154_Iron or steel products</v>
      </c>
      <c r="H235" s="628" t="s">
        <v>1500</v>
      </c>
    </row>
    <row r="236" spans="1:8" x14ac:dyDescent="0.3">
      <c r="A236" s="628" t="s">
        <v>1501</v>
      </c>
      <c r="B236" s="628" t="s">
        <v>1502</v>
      </c>
      <c r="C236" s="628" t="str">
        <f>Translations!$B$1000</f>
        <v>Flat-rolled products of stainless steel, of a width of &gt;= 600 mm, not further worked than hot-rolled, not in coils, of a thickness of &lt; 3 mm</v>
      </c>
      <c r="D236" s="628" t="str">
        <f t="shared" si="4"/>
        <v>72192400</v>
      </c>
      <c r="E236" s="1140" t="str">
        <f>Translations!$B$611</f>
        <v>Iron or steel products</v>
      </c>
      <c r="F236" s="628" t="str">
        <f>IF(E236=" --- ","",COUNTIF($E$4:E236,E236)&amp;"_"&amp;E236)</f>
        <v>155_Iron or steel products</v>
      </c>
      <c r="H236" s="628" t="s">
        <v>1503</v>
      </c>
    </row>
    <row r="237" spans="1:8" x14ac:dyDescent="0.3">
      <c r="A237" s="628" t="s">
        <v>1504</v>
      </c>
      <c r="B237" s="628" t="s">
        <v>1505</v>
      </c>
      <c r="C237" s="628" t="str">
        <f>Translations!$B$1001</f>
        <v>Flat-rolled products of stainless steel, of a width of &gt;= 600 mm, not further worked than cold-rolled "cold-reduced", of a thickness of &gt;= 4,75 mm</v>
      </c>
      <c r="D237" s="628" t="str">
        <f t="shared" si="4"/>
        <v>72193100</v>
      </c>
      <c r="E237" s="1140" t="str">
        <f>Translations!$B$611</f>
        <v>Iron or steel products</v>
      </c>
      <c r="F237" s="628" t="str">
        <f>IF(E237=" --- ","",COUNTIF($E$4:E237,E237)&amp;"_"&amp;E237)</f>
        <v>156_Iron or steel products</v>
      </c>
      <c r="H237" s="628" t="s">
        <v>1506</v>
      </c>
    </row>
    <row r="238" spans="1:8" x14ac:dyDescent="0.3">
      <c r="A238" s="628" t="s">
        <v>1509</v>
      </c>
      <c r="B238" s="628" t="s">
        <v>1510</v>
      </c>
      <c r="C238" s="628" t="str">
        <f>Translations!$B$1003</f>
        <v>Flat-rolled products of stainless steel, of a width of &gt;= 600 mm, not further worked than cold-rolled "cold-reduced", of a thickness of &gt;= 3 mm but &lt;= 4,75 mm, containing by weight &gt;= 2,5% nickel</v>
      </c>
      <c r="D238" s="628" t="str">
        <f t="shared" si="4"/>
        <v>72193210</v>
      </c>
      <c r="E238" s="1140" t="str">
        <f>Translations!$B$611</f>
        <v>Iron or steel products</v>
      </c>
      <c r="F238" s="628" t="str">
        <f>IF(E238=" --- ","",COUNTIF($E$4:E238,E238)&amp;"_"&amp;E238)</f>
        <v>157_Iron or steel products</v>
      </c>
      <c r="H238" s="628" t="s">
        <v>1511</v>
      </c>
    </row>
    <row r="239" spans="1:8" x14ac:dyDescent="0.3">
      <c r="A239" s="628" t="s">
        <v>1512</v>
      </c>
      <c r="B239" s="628" t="s">
        <v>1513</v>
      </c>
      <c r="C239" s="628" t="str">
        <f>Translations!$B$1004</f>
        <v>Flat-rolled products of stainless steel, of a width of &gt;= 600 mm, not further worked than cold-rolled "cold-reduced", of a thickness of &gt;= 3 mm but &lt;= 4,75 mm, containing by weight &lt; 2,5% nickel</v>
      </c>
      <c r="D239" s="628" t="str">
        <f t="shared" si="4"/>
        <v>72193290</v>
      </c>
      <c r="E239" s="1140" t="str">
        <f>Translations!$B$611</f>
        <v>Iron or steel products</v>
      </c>
      <c r="F239" s="628" t="str">
        <f>IF(E239=" --- ","",COUNTIF($E$4:E239,E239)&amp;"_"&amp;E239)</f>
        <v>158_Iron or steel products</v>
      </c>
      <c r="H239" s="628" t="s">
        <v>1514</v>
      </c>
    </row>
    <row r="240" spans="1:8" x14ac:dyDescent="0.3">
      <c r="A240" s="628" t="s">
        <v>1517</v>
      </c>
      <c r="B240" s="628" t="s">
        <v>1518</v>
      </c>
      <c r="C240" s="628" t="str">
        <f>Translations!$B$1006</f>
        <v>Flat-rolled products of stainless steel, of a width of &gt;= 600 mm, not further worked than cold-rolled "cold-reduced", of a thickness of &gt; 1 mm but &lt; 3 mm, containing by weight &gt;= 2,5% nickel</v>
      </c>
      <c r="D240" s="628" t="str">
        <f t="shared" si="4"/>
        <v>72193310</v>
      </c>
      <c r="E240" s="1140" t="str">
        <f>Translations!$B$611</f>
        <v>Iron or steel products</v>
      </c>
      <c r="F240" s="628" t="str">
        <f>IF(E240=" --- ","",COUNTIF($E$4:E240,E240)&amp;"_"&amp;E240)</f>
        <v>159_Iron or steel products</v>
      </c>
      <c r="H240" s="628" t="s">
        <v>1519</v>
      </c>
    </row>
    <row r="241" spans="1:8" x14ac:dyDescent="0.3">
      <c r="A241" s="628" t="s">
        <v>1520</v>
      </c>
      <c r="B241" s="628" t="s">
        <v>1521</v>
      </c>
      <c r="C241" s="628" t="str">
        <f>Translations!$B$1007</f>
        <v>Flat-rolled products of stainless steel, of a width of &gt;= 600 mm, not further worked than cold-rolled "cold-reduced", of a thickness of &gt; 1 mm but &lt; 3 mm, containing by weight &lt; 2,5% nickel</v>
      </c>
      <c r="D241" s="628" t="str">
        <f t="shared" si="4"/>
        <v>72193390</v>
      </c>
      <c r="E241" s="1140" t="str">
        <f>Translations!$B$611</f>
        <v>Iron or steel products</v>
      </c>
      <c r="F241" s="628" t="str">
        <f>IF(E241=" --- ","",COUNTIF($E$4:E241,E241)&amp;"_"&amp;E241)</f>
        <v>160_Iron or steel products</v>
      </c>
      <c r="H241" s="628" t="s">
        <v>1522</v>
      </c>
    </row>
    <row r="242" spans="1:8" x14ac:dyDescent="0.3">
      <c r="A242" s="628" t="s">
        <v>1525</v>
      </c>
      <c r="B242" s="628" t="s">
        <v>1526</v>
      </c>
      <c r="C242" s="628" t="str">
        <f>Translations!$B$1009</f>
        <v>Flat-rolled products of stainless steel, of a width of &gt;= 600 mm, not further worked than cold-rolled "cold-reduced", of a thickness of &gt;= 0,5 mm but &lt;= 1 mm, containing by weight &gt;= 2,5% nickel</v>
      </c>
      <c r="D242" s="628" t="str">
        <f t="shared" si="4"/>
        <v>72193410</v>
      </c>
      <c r="E242" s="1140" t="str">
        <f>Translations!$B$611</f>
        <v>Iron or steel products</v>
      </c>
      <c r="F242" s="628" t="str">
        <f>IF(E242=" --- ","",COUNTIF($E$4:E242,E242)&amp;"_"&amp;E242)</f>
        <v>161_Iron or steel products</v>
      </c>
      <c r="H242" s="628" t="s">
        <v>1527</v>
      </c>
    </row>
    <row r="243" spans="1:8" x14ac:dyDescent="0.3">
      <c r="A243" s="628" t="s">
        <v>1528</v>
      </c>
      <c r="B243" s="628" t="s">
        <v>1529</v>
      </c>
      <c r="C243" s="628" t="str">
        <f>Translations!$B$1010</f>
        <v>Flat-rolled products of stainless steel, of a width of &gt;= 600 mm, not further worked than cold-rolled "cold-reduced", of a thickness of &gt;= 0,5 mm but &lt;= 1 mm, containing by weight &lt; 2,5% nickel</v>
      </c>
      <c r="D243" s="628" t="str">
        <f t="shared" si="4"/>
        <v>72193490</v>
      </c>
      <c r="E243" s="1140" t="str">
        <f>Translations!$B$611</f>
        <v>Iron or steel products</v>
      </c>
      <c r="F243" s="628" t="str">
        <f>IF(E243=" --- ","",COUNTIF($E$4:E243,E243)&amp;"_"&amp;E243)</f>
        <v>162_Iron or steel products</v>
      </c>
      <c r="H243" s="628" t="s">
        <v>1530</v>
      </c>
    </row>
    <row r="244" spans="1:8" x14ac:dyDescent="0.3">
      <c r="A244" s="628" t="s">
        <v>1533</v>
      </c>
      <c r="B244" s="628" t="s">
        <v>1534</v>
      </c>
      <c r="C244" s="628" t="str">
        <f>Translations!$B$1012</f>
        <v>Flat-rolled products of stainless steel, of a width of &gt;= 600 mm, not further worked than cold-rolled "cold-reduced", of a thickness of &lt; 0,5 mm, containing by weight &gt;= 2,5% nickel</v>
      </c>
      <c r="D244" s="628" t="str">
        <f t="shared" si="4"/>
        <v>72193510</v>
      </c>
      <c r="E244" s="1140" t="str">
        <f>Translations!$B$611</f>
        <v>Iron or steel products</v>
      </c>
      <c r="F244" s="628" t="str">
        <f>IF(E244=" --- ","",COUNTIF($E$4:E244,E244)&amp;"_"&amp;E244)</f>
        <v>163_Iron or steel products</v>
      </c>
      <c r="H244" s="628" t="s">
        <v>1535</v>
      </c>
    </row>
    <row r="245" spans="1:8" x14ac:dyDescent="0.3">
      <c r="A245" s="628" t="s">
        <v>1536</v>
      </c>
      <c r="B245" s="628" t="s">
        <v>1537</v>
      </c>
      <c r="C245" s="628" t="str">
        <f>Translations!$B$1013</f>
        <v>Flat-rolled products of stainless steel, of a width of &gt;= 600 mm, not further worked than cold-rolled "cold-reduced", of a thickness of &lt; 0,5 mm, containing by weight &lt; 2,5% nickel</v>
      </c>
      <c r="D245" s="628" t="str">
        <f t="shared" si="4"/>
        <v>72193590</v>
      </c>
      <c r="E245" s="1140" t="str">
        <f>Translations!$B$611</f>
        <v>Iron or steel products</v>
      </c>
      <c r="F245" s="628" t="str">
        <f>IF(E245=" --- ","",COUNTIF($E$4:E245,E245)&amp;"_"&amp;E245)</f>
        <v>164_Iron or steel products</v>
      </c>
      <c r="H245" s="628" t="s">
        <v>1538</v>
      </c>
    </row>
    <row r="246" spans="1:8" x14ac:dyDescent="0.3">
      <c r="A246" s="628" t="s">
        <v>1541</v>
      </c>
      <c r="B246" s="628" t="s">
        <v>1542</v>
      </c>
      <c r="C246" s="628" t="str">
        <f>Translations!$B$1015</f>
        <v>Flat-rolled products of stainless steel, of a width of &gt;= 600 mm, hot-rolled or cold-rolled "cold-reduced" and further worked, perforated</v>
      </c>
      <c r="D246" s="628" t="str">
        <f t="shared" si="4"/>
        <v>72199020</v>
      </c>
      <c r="E246" s="1140" t="str">
        <f>Translations!$B$611</f>
        <v>Iron or steel products</v>
      </c>
      <c r="F246" s="628" t="str">
        <f>IF(E246=" --- ","",COUNTIF($E$4:E246,E246)&amp;"_"&amp;E246)</f>
        <v>165_Iron or steel products</v>
      </c>
      <c r="H246" s="628" t="s">
        <v>1543</v>
      </c>
    </row>
    <row r="247" spans="1:8" x14ac:dyDescent="0.3">
      <c r="A247" s="628" t="s">
        <v>1544</v>
      </c>
      <c r="B247" s="628" t="s">
        <v>1545</v>
      </c>
      <c r="C247" s="628" t="str">
        <f>Translations!$B$1016</f>
        <v>Flat-rolled products of stainless steel, of a width of &gt;= 600 mm, hot-rolled or cold-rolled "cold-reduced" and further worked, non-perforated</v>
      </c>
      <c r="D247" s="628" t="str">
        <f t="shared" si="4"/>
        <v>72199080</v>
      </c>
      <c r="E247" s="1140" t="str">
        <f>Translations!$B$611</f>
        <v>Iron or steel products</v>
      </c>
      <c r="F247" s="628" t="str">
        <f>IF(E247=" --- ","",COUNTIF($E$4:E247,E247)&amp;"_"&amp;E247)</f>
        <v>166_Iron or steel products</v>
      </c>
      <c r="H247" s="628" t="s">
        <v>1546</v>
      </c>
    </row>
    <row r="248" spans="1:8" x14ac:dyDescent="0.3">
      <c r="A248" s="628" t="s">
        <v>1548</v>
      </c>
      <c r="B248" s="628" t="s">
        <v>1549</v>
      </c>
      <c r="C248" s="628" t="str">
        <f>Translations!$B$1018</f>
        <v>Flat-rolled products of stainless steel, of a width of &lt; 600 mm, not further worked than hot-rolled, of a thickness of &gt;= 4,75 mm</v>
      </c>
      <c r="D248" s="628" t="str">
        <f t="shared" si="4"/>
        <v>72201100</v>
      </c>
      <c r="E248" s="1140" t="str">
        <f>Translations!$B$611</f>
        <v>Iron or steel products</v>
      </c>
      <c r="F248" s="628" t="str">
        <f>IF(E248=" --- ","",COUNTIF($E$4:E248,E248)&amp;"_"&amp;E248)</f>
        <v>167_Iron or steel products</v>
      </c>
      <c r="H248" s="628" t="s">
        <v>1550</v>
      </c>
    </row>
    <row r="249" spans="1:8" x14ac:dyDescent="0.3">
      <c r="A249" s="628" t="s">
        <v>1551</v>
      </c>
      <c r="B249" s="628" t="s">
        <v>1552</v>
      </c>
      <c r="C249" s="628" t="str">
        <f>Translations!$B$1019</f>
        <v>Flat-rolled products of stainless steel, of a width of &lt; 600 mm, not further worked than hot-rolled, of a thickness of &lt; 4,75 mm</v>
      </c>
      <c r="D249" s="628" t="str">
        <f t="shared" si="4"/>
        <v>72201200</v>
      </c>
      <c r="E249" s="1140" t="str">
        <f>Translations!$B$611</f>
        <v>Iron or steel products</v>
      </c>
      <c r="F249" s="628" t="str">
        <f>IF(E249=" --- ","",COUNTIF($E$4:E249,E249)&amp;"_"&amp;E249)</f>
        <v>168_Iron or steel products</v>
      </c>
      <c r="H249" s="628" t="s">
        <v>1553</v>
      </c>
    </row>
    <row r="250" spans="1:8" x14ac:dyDescent="0.3">
      <c r="A250" s="628" t="s">
        <v>1556</v>
      </c>
      <c r="B250" s="628" t="s">
        <v>1557</v>
      </c>
      <c r="C250" s="628" t="str">
        <f>Translations!$B$1021</f>
        <v>Flat-rolled products of stainless steel, of a width of &lt; 600 mm, not further worked than cold-rolled "cold-reduced", of a thickness of &gt;= 3 mm and containing by weight &gt;= 2,5% nickel</v>
      </c>
      <c r="D250" s="628" t="str">
        <f t="shared" si="4"/>
        <v>72202021</v>
      </c>
      <c r="E250" s="1140" t="str">
        <f>Translations!$B$611</f>
        <v>Iron or steel products</v>
      </c>
      <c r="F250" s="628" t="str">
        <f>IF(E250=" --- ","",COUNTIF($E$4:E250,E250)&amp;"_"&amp;E250)</f>
        <v>169_Iron or steel products</v>
      </c>
      <c r="H250" s="628" t="s">
        <v>1558</v>
      </c>
    </row>
    <row r="251" spans="1:8" x14ac:dyDescent="0.3">
      <c r="A251" s="628" t="s">
        <v>1559</v>
      </c>
      <c r="B251" s="628" t="s">
        <v>1560</v>
      </c>
      <c r="C251" s="628" t="str">
        <f>Translations!$B$1022</f>
        <v>Flat-rolled products of stainless steel, of a width of &lt; 600 mm, not further worked than cold-rolled "cold-reduced", of a thickness of &gt;= 3 mm and containing by weight &lt; 2,5% nickel</v>
      </c>
      <c r="D251" s="628" t="str">
        <f t="shared" si="4"/>
        <v>72202029</v>
      </c>
      <c r="E251" s="1140" t="str">
        <f>Translations!$B$611</f>
        <v>Iron or steel products</v>
      </c>
      <c r="F251" s="628" t="str">
        <f>IF(E251=" --- ","",COUNTIF($E$4:E251,E251)&amp;"_"&amp;E251)</f>
        <v>170_Iron or steel products</v>
      </c>
      <c r="H251" s="628" t="s">
        <v>1561</v>
      </c>
    </row>
    <row r="252" spans="1:8" x14ac:dyDescent="0.3">
      <c r="A252" s="628" t="s">
        <v>1562</v>
      </c>
      <c r="B252" s="628" t="s">
        <v>1563</v>
      </c>
      <c r="C252" s="628" t="str">
        <f>Translations!$B$1023</f>
        <v>Flat-rolled products of stainless steel, of a width of &lt; 600 mm, not further worked than cold-rolled "cold-reduced", of a thickness of &gt; 0,35 mm but &lt; 3 mm, and containing by weight &gt;= 2,5% nickel</v>
      </c>
      <c r="D252" s="628" t="str">
        <f t="shared" si="4"/>
        <v>72202041</v>
      </c>
      <c r="E252" s="1140" t="str">
        <f>Translations!$B$611</f>
        <v>Iron or steel products</v>
      </c>
      <c r="F252" s="628" t="str">
        <f>IF(E252=" --- ","",COUNTIF($E$4:E252,E252)&amp;"_"&amp;E252)</f>
        <v>171_Iron or steel products</v>
      </c>
      <c r="H252" s="628" t="s">
        <v>1564</v>
      </c>
    </row>
    <row r="253" spans="1:8" x14ac:dyDescent="0.3">
      <c r="A253" s="628" t="s">
        <v>1565</v>
      </c>
      <c r="B253" s="628" t="s">
        <v>1566</v>
      </c>
      <c r="C253" s="628" t="str">
        <f>Translations!$B$1024</f>
        <v>Flat-rolled products of stainless steel, of a width of &lt; 600 mm, not further worked than cold-rolled "cold-reduced", of a thickness of &gt; 0,35 mm but &lt; 3 mm, and containing by weight &lt; 2,5% nickel</v>
      </c>
      <c r="D253" s="628" t="str">
        <f t="shared" si="4"/>
        <v>72202049</v>
      </c>
      <c r="E253" s="1140" t="str">
        <f>Translations!$B$611</f>
        <v>Iron or steel products</v>
      </c>
      <c r="F253" s="628" t="str">
        <f>IF(E253=" --- ","",COUNTIF($E$4:E253,E253)&amp;"_"&amp;E253)</f>
        <v>172_Iron or steel products</v>
      </c>
      <c r="H253" s="628" t="s">
        <v>1567</v>
      </c>
    </row>
    <row r="254" spans="1:8" x14ac:dyDescent="0.3">
      <c r="A254" s="628" t="s">
        <v>1568</v>
      </c>
      <c r="B254" s="628" t="s">
        <v>1569</v>
      </c>
      <c r="C254" s="628" t="str">
        <f>Translations!$B$1025</f>
        <v>Flat-rolled products of stainless steel, of a width of &lt; 600 mm, not further worked than cold-rolled "cold-reduced", of a thickness of &lt;= 0,35 mm and containing by weight &gt;= 2,5% nickel</v>
      </c>
      <c r="D254" s="628" t="str">
        <f t="shared" si="4"/>
        <v>72202081</v>
      </c>
      <c r="E254" s="1140" t="str">
        <f>Translations!$B$611</f>
        <v>Iron or steel products</v>
      </c>
      <c r="F254" s="628" t="str">
        <f>IF(E254=" --- ","",COUNTIF($E$4:E254,E254)&amp;"_"&amp;E254)</f>
        <v>173_Iron or steel products</v>
      </c>
      <c r="H254" s="628" t="s">
        <v>1570</v>
      </c>
    </row>
    <row r="255" spans="1:8" x14ac:dyDescent="0.3">
      <c r="A255" s="628" t="s">
        <v>1571</v>
      </c>
      <c r="B255" s="628" t="s">
        <v>1572</v>
      </c>
      <c r="C255" s="628" t="str">
        <f>Translations!$B$1026</f>
        <v>Flat-rolled products of stainless steel, of a width of &lt; 600 mm, not further worked than cold-rolled "cold-reduced", of a thickness of &lt;= 0,35 mm and containing by weight &lt; 2,5% nickel</v>
      </c>
      <c r="D255" s="628" t="str">
        <f t="shared" si="4"/>
        <v>72202089</v>
      </c>
      <c r="E255" s="1140" t="str">
        <f>Translations!$B$611</f>
        <v>Iron or steel products</v>
      </c>
      <c r="F255" s="628" t="str">
        <f>IF(E255=" --- ","",COUNTIF($E$4:E255,E255)&amp;"_"&amp;E255)</f>
        <v>174_Iron or steel products</v>
      </c>
      <c r="H255" s="628" t="s">
        <v>1573</v>
      </c>
    </row>
    <row r="256" spans="1:8" x14ac:dyDescent="0.3">
      <c r="A256" s="628" t="s">
        <v>1576</v>
      </c>
      <c r="B256" s="628" t="s">
        <v>1577</v>
      </c>
      <c r="C256" s="628" t="str">
        <f>Translations!$B$1028</f>
        <v>Flat-rolled products of stainless steel, of a width of &lt; 600 mm, hot-rolled or cold-rolled "cold-reduced" and further worked, perforated</v>
      </c>
      <c r="D256" s="628" t="str">
        <f t="shared" si="4"/>
        <v>72209020</v>
      </c>
      <c r="E256" s="1140" t="str">
        <f>Translations!$B$611</f>
        <v>Iron or steel products</v>
      </c>
      <c r="F256" s="628" t="str">
        <f>IF(E256=" --- ","",COUNTIF($E$4:E256,E256)&amp;"_"&amp;E256)</f>
        <v>175_Iron or steel products</v>
      </c>
      <c r="H256" s="628" t="s">
        <v>1578</v>
      </c>
    </row>
    <row r="257" spans="1:8" x14ac:dyDescent="0.3">
      <c r="A257" s="628" t="s">
        <v>1579</v>
      </c>
      <c r="B257" s="628" t="s">
        <v>1580</v>
      </c>
      <c r="C257" s="628" t="str">
        <f>Translations!$B$1029</f>
        <v>Flat-rolled products of stainless steel, of a width of &lt; 600 mm, hot-rolled or cold-rolled "cold-reduced" and further worked, non-perforated</v>
      </c>
      <c r="D257" s="628" t="str">
        <f t="shared" si="4"/>
        <v>72209080</v>
      </c>
      <c r="E257" s="1140" t="str">
        <f>Translations!$B$611</f>
        <v>Iron or steel products</v>
      </c>
      <c r="F257" s="628" t="str">
        <f>IF(E257=" --- ","",COUNTIF($E$4:E257,E257)&amp;"_"&amp;E257)</f>
        <v>176_Iron or steel products</v>
      </c>
      <c r="H257" s="628" t="s">
        <v>1581</v>
      </c>
    </row>
    <row r="258" spans="1:8" x14ac:dyDescent="0.3">
      <c r="A258" s="628" t="s">
        <v>1584</v>
      </c>
      <c r="B258" s="628" t="s">
        <v>1585</v>
      </c>
      <c r="C258" s="628" t="str">
        <f>Translations!$B$1031</f>
        <v>Bars and rods of stainless steel, hot-rolled, in irregularly wound coils, containing by weight &gt;= 2,5% nickel</v>
      </c>
      <c r="D258" s="628" t="str">
        <f t="shared" si="4"/>
        <v>72210010</v>
      </c>
      <c r="E258" s="1140" t="str">
        <f>Translations!$B$611</f>
        <v>Iron or steel products</v>
      </c>
      <c r="F258" s="628" t="str">
        <f>IF(E258=" --- ","",COUNTIF($E$4:E258,E258)&amp;"_"&amp;E258)</f>
        <v>177_Iron or steel products</v>
      </c>
      <c r="H258" s="628" t="s">
        <v>1586</v>
      </c>
    </row>
    <row r="259" spans="1:8" x14ac:dyDescent="0.3">
      <c r="A259" s="628" t="s">
        <v>1587</v>
      </c>
      <c r="B259" s="628" t="s">
        <v>1588</v>
      </c>
      <c r="C259" s="628" t="str">
        <f>Translations!$B$1032</f>
        <v>Bars and rods of stainless steel, hot-rolled, in irregularly wound coils, containing by weight &lt; 2,5% nickel</v>
      </c>
      <c r="D259" s="628" t="str">
        <f t="shared" si="4"/>
        <v>72210090</v>
      </c>
      <c r="E259" s="1140" t="str">
        <f>Translations!$B$611</f>
        <v>Iron or steel products</v>
      </c>
      <c r="F259" s="628" t="str">
        <f>IF(E259=" --- ","",COUNTIF($E$4:E259,E259)&amp;"_"&amp;E259)</f>
        <v>178_Iron or steel products</v>
      </c>
      <c r="H259" s="628" t="s">
        <v>1589</v>
      </c>
    </row>
    <row r="260" spans="1:8" x14ac:dyDescent="0.3">
      <c r="A260" s="628" t="s">
        <v>1594</v>
      </c>
      <c r="B260" s="628" t="s">
        <v>1595</v>
      </c>
      <c r="C260" s="628" t="str">
        <f>Translations!$B$1035</f>
        <v>Bars and rods of stainless steel, not further worked than hot-rolled, hot-drawn or extruded, of circular cross-section of a diameter of &gt;= 800 mm, containing by weight &gt;= 2,5% nickel</v>
      </c>
      <c r="D260" s="628" t="str">
        <f t="shared" si="4"/>
        <v>72221111</v>
      </c>
      <c r="E260" s="1140" t="str">
        <f>Translations!$B$611</f>
        <v>Iron or steel products</v>
      </c>
      <c r="F260" s="628" t="str">
        <f>IF(E260=" --- ","",COUNTIF($E$4:E260,E260)&amp;"_"&amp;E260)</f>
        <v>179_Iron or steel products</v>
      </c>
      <c r="H260" s="628" t="s">
        <v>1596</v>
      </c>
    </row>
    <row r="261" spans="1:8" x14ac:dyDescent="0.3">
      <c r="A261" s="628" t="s">
        <v>1597</v>
      </c>
      <c r="B261" s="628" t="s">
        <v>1598</v>
      </c>
      <c r="C261" s="628" t="str">
        <f>Translations!$B$1036</f>
        <v>Bars and rods of stainless steel, not further worked than hot-rolled, hot-drawn or extruded, of circular cross-section of a diameter of &gt;= 800 mm, containing by weight &lt; 2,5% nickel</v>
      </c>
      <c r="D261" s="628" t="str">
        <f t="shared" si="4"/>
        <v>72221119</v>
      </c>
      <c r="E261" s="1140" t="str">
        <f>Translations!$B$611</f>
        <v>Iron or steel products</v>
      </c>
      <c r="F261" s="628" t="str">
        <f>IF(E261=" --- ","",COUNTIF($E$4:E261,E261)&amp;"_"&amp;E261)</f>
        <v>180_Iron or steel products</v>
      </c>
      <c r="H261" s="628" t="s">
        <v>1599</v>
      </c>
    </row>
    <row r="262" spans="1:8" x14ac:dyDescent="0.3">
      <c r="A262" s="628" t="s">
        <v>1600</v>
      </c>
      <c r="B262" s="628" t="s">
        <v>1601</v>
      </c>
      <c r="C262" s="628" t="str">
        <f>Translations!$B$1037</f>
        <v>Bars and rods of stainless steel, not further worked than hot-rolled, hot-drawn or extruded, of circular cross-section measuring &lt; 80 mm and containing by weight &gt;= 2,5% nickel</v>
      </c>
      <c r="D262" s="628" t="str">
        <f t="shared" si="4"/>
        <v>72221181</v>
      </c>
      <c r="E262" s="1140" t="str">
        <f>Translations!$B$611</f>
        <v>Iron or steel products</v>
      </c>
      <c r="F262" s="628" t="str">
        <f>IF(E262=" --- ","",COUNTIF($E$4:E262,E262)&amp;"_"&amp;E262)</f>
        <v>181_Iron or steel products</v>
      </c>
      <c r="H262" s="628" t="s">
        <v>1602</v>
      </c>
    </row>
    <row r="263" spans="1:8" x14ac:dyDescent="0.3">
      <c r="A263" s="628" t="s">
        <v>1603</v>
      </c>
      <c r="B263" s="628" t="s">
        <v>1604</v>
      </c>
      <c r="C263" s="628" t="str">
        <f>Translations!$B$1038</f>
        <v>Bars and rods of stainless steel, not further worked than hot-rolled, hot-drawn or extruded, of circular cross-section measuring &lt; 80 mm and containing by weight &lt; 2,5% nickel</v>
      </c>
      <c r="D263" s="628" t="str">
        <f t="shared" si="4"/>
        <v>72221189</v>
      </c>
      <c r="E263" s="1140" t="str">
        <f>Translations!$B$611</f>
        <v>Iron or steel products</v>
      </c>
      <c r="F263" s="628" t="str">
        <f>IF(E263=" --- ","",COUNTIF($E$4:E263,E263)&amp;"_"&amp;E263)</f>
        <v>182_Iron or steel products</v>
      </c>
      <c r="H263" s="628" t="s">
        <v>1605</v>
      </c>
    </row>
    <row r="264" spans="1:8" x14ac:dyDescent="0.3">
      <c r="A264" s="628" t="s">
        <v>1608</v>
      </c>
      <c r="B264" s="628" t="s">
        <v>1609</v>
      </c>
      <c r="C264" s="628" t="str">
        <f>Translations!$B$1040</f>
        <v>Bars and rods of stainless steel, not further worked than hot-rolled, hot-drawn or extruded, containing by weight &gt;= 2,5% nickel (excl. such products of circular cross-section)</v>
      </c>
      <c r="D264" s="628" t="str">
        <f t="shared" si="4"/>
        <v>72221910</v>
      </c>
      <c r="E264" s="1140" t="str">
        <f>Translations!$B$611</f>
        <v>Iron or steel products</v>
      </c>
      <c r="F264" s="628" t="str">
        <f>IF(E264=" --- ","",COUNTIF($E$4:E264,E264)&amp;"_"&amp;E264)</f>
        <v>183_Iron or steel products</v>
      </c>
      <c r="H264" s="628" t="s">
        <v>1610</v>
      </c>
    </row>
    <row r="265" spans="1:8" x14ac:dyDescent="0.3">
      <c r="A265" s="628" t="s">
        <v>1611</v>
      </c>
      <c r="B265" s="628" t="s">
        <v>1612</v>
      </c>
      <c r="C265" s="628" t="str">
        <f>Translations!$B$1041</f>
        <v>Bars and rods of stainless steel, not further worked than hot-rolled, hot-drawn or extruded, containing by weight &lt; 2,5% nickel (excl. such products of circular cross-section)</v>
      </c>
      <c r="D265" s="628" t="str">
        <f t="shared" si="4"/>
        <v>72221990</v>
      </c>
      <c r="E265" s="1140" t="str">
        <f>Translations!$B$611</f>
        <v>Iron or steel products</v>
      </c>
      <c r="F265" s="628" t="str">
        <f>IF(E265=" --- ","",COUNTIF($E$4:E265,E265)&amp;"_"&amp;E265)</f>
        <v>184_Iron or steel products</v>
      </c>
      <c r="H265" s="628" t="s">
        <v>1613</v>
      </c>
    </row>
    <row r="266" spans="1:8" x14ac:dyDescent="0.3">
      <c r="A266" s="628" t="s">
        <v>1616</v>
      </c>
      <c r="B266" s="628" t="s">
        <v>1617</v>
      </c>
      <c r="C266" s="628" t="str">
        <f>Translations!$B$1043</f>
        <v>Bars and rods of stainless steel, of circular cross-section of a diameter &gt;= 80 mm, simply cold-formed or cold-finished, containing by weight &gt;= 2,5% nickel</v>
      </c>
      <c r="D266" s="628" t="str">
        <f t="shared" si="4"/>
        <v>72222011</v>
      </c>
      <c r="E266" s="1140" t="str">
        <f>Translations!$B$611</f>
        <v>Iron or steel products</v>
      </c>
      <c r="F266" s="628" t="str">
        <f>IF(E266=" --- ","",COUNTIF($E$4:E266,E266)&amp;"_"&amp;E266)</f>
        <v>185_Iron or steel products</v>
      </c>
      <c r="H266" s="628" t="s">
        <v>1618</v>
      </c>
    </row>
    <row r="267" spans="1:8" x14ac:dyDescent="0.3">
      <c r="A267" s="628" t="s">
        <v>1619</v>
      </c>
      <c r="B267" s="628" t="s">
        <v>1620</v>
      </c>
      <c r="C267" s="628" t="str">
        <f>Translations!$B$1044</f>
        <v>Bars and rods of stainless steel, of circular cross-section of a diameter &gt;= 80 mm, simply cold-formed or cold-finished, containing by weight &lt; 2,5% nickel</v>
      </c>
      <c r="D267" s="628" t="str">
        <f t="shared" si="4"/>
        <v>72222019</v>
      </c>
      <c r="E267" s="1140" t="str">
        <f>Translations!$B$611</f>
        <v>Iron or steel products</v>
      </c>
      <c r="F267" s="628" t="str">
        <f>IF(E267=" --- ","",COUNTIF($E$4:E267,E267)&amp;"_"&amp;E267)</f>
        <v>186_Iron or steel products</v>
      </c>
      <c r="H267" s="628" t="s">
        <v>1621</v>
      </c>
    </row>
    <row r="268" spans="1:8" x14ac:dyDescent="0.3">
      <c r="A268" s="628" t="s">
        <v>1622</v>
      </c>
      <c r="B268" s="628" t="s">
        <v>1623</v>
      </c>
      <c r="C268" s="628" t="str">
        <f>Translations!$B$1045</f>
        <v>Bars and rods of stainless steel, not further worked than cold-formed or cold-finished, of circular cross-section measuring &gt;= 25 mm but &lt; 80 mm and containing by weight &gt;= 2,5% nickel</v>
      </c>
      <c r="D268" s="628" t="str">
        <f t="shared" si="4"/>
        <v>72222021</v>
      </c>
      <c r="E268" s="1140" t="str">
        <f>Translations!$B$611</f>
        <v>Iron or steel products</v>
      </c>
      <c r="F268" s="628" t="str">
        <f>IF(E268=" --- ","",COUNTIF($E$4:E268,E268)&amp;"_"&amp;E268)</f>
        <v>187_Iron or steel products</v>
      </c>
      <c r="H268" s="628" t="s">
        <v>1624</v>
      </c>
    </row>
    <row r="269" spans="1:8" x14ac:dyDescent="0.3">
      <c r="A269" s="628" t="s">
        <v>1625</v>
      </c>
      <c r="B269" s="628" t="s">
        <v>1626</v>
      </c>
      <c r="C269" s="628" t="str">
        <f>Translations!$B$1046</f>
        <v>Bars and rods of stainless steel, not further worked than cold-formed or cold-finished, of circular cross-section measuring &gt;= 25 mm but &lt; 80 mm and containing by weight &lt; 2,5% nickel</v>
      </c>
      <c r="D269" s="628" t="str">
        <f t="shared" si="4"/>
        <v>72222029</v>
      </c>
      <c r="E269" s="1140" t="str">
        <f>Translations!$B$611</f>
        <v>Iron or steel products</v>
      </c>
      <c r="F269" s="628" t="str">
        <f>IF(E269=" --- ","",COUNTIF($E$4:E269,E269)&amp;"_"&amp;E269)</f>
        <v>188_Iron or steel products</v>
      </c>
      <c r="H269" s="628" t="s">
        <v>1627</v>
      </c>
    </row>
    <row r="270" spans="1:8" x14ac:dyDescent="0.3">
      <c r="A270" s="628" t="s">
        <v>1628</v>
      </c>
      <c r="B270" s="628" t="s">
        <v>1629</v>
      </c>
      <c r="C270" s="628" t="str">
        <f>Translations!$B$1047</f>
        <v>Bars and rods of stainless steel, not further worked than cold-formed or cold-finished, of circular cross-section measuring &lt; 25 mm and containing by weight &gt;= 2,5% nickel</v>
      </c>
      <c r="D270" s="628" t="str">
        <f t="shared" si="4"/>
        <v>72222031</v>
      </c>
      <c r="E270" s="1140" t="str">
        <f>Translations!$B$611</f>
        <v>Iron or steel products</v>
      </c>
      <c r="F270" s="628" t="str">
        <f>IF(E270=" --- ","",COUNTIF($E$4:E270,E270)&amp;"_"&amp;E270)</f>
        <v>189_Iron or steel products</v>
      </c>
      <c r="H270" s="628" t="s">
        <v>1630</v>
      </c>
    </row>
    <row r="271" spans="1:8" x14ac:dyDescent="0.3">
      <c r="A271" s="628" t="s">
        <v>1631</v>
      </c>
      <c r="B271" s="628" t="s">
        <v>1632</v>
      </c>
      <c r="C271" s="628" t="str">
        <f>Translations!$B$1048</f>
        <v>Bars and rods of stainless steel, not further worked than cold-formed or cold-finished, of circular cross-section measuring &lt; 25 mm and containing by weight &lt; 2,5% nickel</v>
      </c>
      <c r="D271" s="628" t="str">
        <f t="shared" si="4"/>
        <v>72222039</v>
      </c>
      <c r="E271" s="1140" t="str">
        <f>Translations!$B$611</f>
        <v>Iron or steel products</v>
      </c>
      <c r="F271" s="628" t="str">
        <f>IF(E271=" --- ","",COUNTIF($E$4:E271,E271)&amp;"_"&amp;E271)</f>
        <v>190_Iron or steel products</v>
      </c>
      <c r="H271" s="628" t="s">
        <v>1633</v>
      </c>
    </row>
    <row r="272" spans="1:8" x14ac:dyDescent="0.3">
      <c r="A272" s="628" t="s">
        <v>1634</v>
      </c>
      <c r="B272" s="628" t="s">
        <v>1635</v>
      </c>
      <c r="C272" s="628" t="str">
        <f>Translations!$B$1049</f>
        <v>Bars and rods of stainless steel, not further worked than cold-formed or cold-finished, containing by weight &gt;= 2,5% nickel (excl. such products of circular cross-section)</v>
      </c>
      <c r="D272" s="628" t="str">
        <f t="shared" si="4"/>
        <v>72222081</v>
      </c>
      <c r="E272" s="1140" t="str">
        <f>Translations!$B$611</f>
        <v>Iron or steel products</v>
      </c>
      <c r="F272" s="628" t="str">
        <f>IF(E272=" --- ","",COUNTIF($E$4:E272,E272)&amp;"_"&amp;E272)</f>
        <v>191_Iron or steel products</v>
      </c>
      <c r="H272" s="628" t="s">
        <v>1636</v>
      </c>
    </row>
    <row r="273" spans="1:8" x14ac:dyDescent="0.3">
      <c r="A273" s="628" t="s">
        <v>1637</v>
      </c>
      <c r="B273" s="628" t="s">
        <v>1638</v>
      </c>
      <c r="C273" s="628" t="str">
        <f>Translations!$B$1050</f>
        <v>Bars and rods of stainless steel, not further worked than cold-formed or cold-finished, containing by weight &lt; 2,5% nickel (excl. such products of circular cross-section)</v>
      </c>
      <c r="D273" s="628" t="str">
        <f t="shared" si="4"/>
        <v>72222089</v>
      </c>
      <c r="E273" s="1140" t="str">
        <f>Translations!$B$611</f>
        <v>Iron or steel products</v>
      </c>
      <c r="F273" s="628" t="str">
        <f>IF(E273=" --- ","",COUNTIF($E$4:E273,E273)&amp;"_"&amp;E273)</f>
        <v>192_Iron or steel products</v>
      </c>
      <c r="H273" s="628" t="s">
        <v>1639</v>
      </c>
    </row>
    <row r="274" spans="1:8" x14ac:dyDescent="0.3">
      <c r="A274" s="628" t="s">
        <v>1642</v>
      </c>
      <c r="B274" s="628" t="s">
        <v>1643</v>
      </c>
      <c r="C274" s="628" t="str">
        <f>Translations!$B$1052</f>
        <v>Other bars and rods of stainless steel, containing by weight &gt;= 2,5% of nickel, forged</v>
      </c>
      <c r="D274" s="628" t="str">
        <f t="shared" ref="D274:D337" si="5">SUBSTITUTE(B274," ","")</f>
        <v>72223051</v>
      </c>
      <c r="E274" s="1140" t="str">
        <f>Translations!$B$611</f>
        <v>Iron or steel products</v>
      </c>
      <c r="F274" s="628" t="str">
        <f>IF(E274=" --- ","",COUNTIF($E$4:E274,E274)&amp;"_"&amp;E274)</f>
        <v>193_Iron or steel products</v>
      </c>
      <c r="H274" s="628" t="s">
        <v>1644</v>
      </c>
    </row>
    <row r="275" spans="1:8" x14ac:dyDescent="0.3">
      <c r="A275" s="628" t="s">
        <v>1645</v>
      </c>
      <c r="B275" s="628" t="s">
        <v>1646</v>
      </c>
      <c r="C275" s="628" t="str">
        <f>Translations!$B$1053</f>
        <v>Other bars and rods of stainless steel, containing by weight &lt; 2,5% of nickel, forged</v>
      </c>
      <c r="D275" s="628" t="str">
        <f t="shared" si="5"/>
        <v>72223091</v>
      </c>
      <c r="E275" s="1140" t="str">
        <f>Translations!$B$611</f>
        <v>Iron or steel products</v>
      </c>
      <c r="F275" s="628" t="str">
        <f>IF(E275=" --- ","",COUNTIF($E$4:E275,E275)&amp;"_"&amp;E275)</f>
        <v>194_Iron or steel products</v>
      </c>
      <c r="H275" s="628" t="s">
        <v>1647</v>
      </c>
    </row>
    <row r="276" spans="1:8" x14ac:dyDescent="0.3">
      <c r="A276" s="628" t="s">
        <v>1648</v>
      </c>
      <c r="B276" s="628" t="s">
        <v>1649</v>
      </c>
      <c r="C276" s="628" t="str">
        <f>Translations!$B$1054</f>
        <v>Bars and rods of stainless steel, cold-formed or cold-finished and further worked, or hot-formed and further worked, n.e.s. (excl. forged products)</v>
      </c>
      <c r="D276" s="628" t="str">
        <f t="shared" si="5"/>
        <v>72223097</v>
      </c>
      <c r="E276" s="1140" t="str">
        <f>Translations!$B$611</f>
        <v>Iron or steel products</v>
      </c>
      <c r="F276" s="628" t="str">
        <f>IF(E276=" --- ","",COUNTIF($E$4:E276,E276)&amp;"_"&amp;E276)</f>
        <v>195_Iron or steel products</v>
      </c>
      <c r="H276" s="628" t="s">
        <v>1650</v>
      </c>
    </row>
    <row r="277" spans="1:8" x14ac:dyDescent="0.3">
      <c r="A277" s="628" t="s">
        <v>1653</v>
      </c>
      <c r="B277" s="628" t="s">
        <v>1654</v>
      </c>
      <c r="C277" s="628" t="str">
        <f>Translations!$B$1056</f>
        <v>Angles, shapes and sections of stainless steel, only hot-rolled, only hot-drawn or only extruded</v>
      </c>
      <c r="D277" s="628" t="str">
        <f t="shared" si="5"/>
        <v>72224010</v>
      </c>
      <c r="E277" s="1140" t="str">
        <f>Translations!$B$611</f>
        <v>Iron or steel products</v>
      </c>
      <c r="F277" s="628" t="str">
        <f>IF(E277=" --- ","",COUNTIF($E$4:E277,E277)&amp;"_"&amp;E277)</f>
        <v>196_Iron or steel products</v>
      </c>
      <c r="H277" s="628" t="s">
        <v>1655</v>
      </c>
    </row>
    <row r="278" spans="1:8" x14ac:dyDescent="0.3">
      <c r="A278" s="628" t="s">
        <v>1656</v>
      </c>
      <c r="B278" s="628" t="s">
        <v>1657</v>
      </c>
      <c r="C278" s="628" t="str">
        <f>Translations!$B$1057</f>
        <v>Angles, shapes and sections of stainless steel, not further worked than cold-formed or cold-finished</v>
      </c>
      <c r="D278" s="628" t="str">
        <f t="shared" si="5"/>
        <v>72224050</v>
      </c>
      <c r="E278" s="1140" t="str">
        <f>Translations!$B$611</f>
        <v>Iron or steel products</v>
      </c>
      <c r="F278" s="628" t="str">
        <f>IF(E278=" --- ","",COUNTIF($E$4:E278,E278)&amp;"_"&amp;E278)</f>
        <v>197_Iron or steel products</v>
      </c>
      <c r="H278" s="628" t="s">
        <v>1658</v>
      </c>
    </row>
    <row r="279" spans="1:8" x14ac:dyDescent="0.3">
      <c r="A279" s="628" t="s">
        <v>1659</v>
      </c>
      <c r="B279" s="628" t="s">
        <v>1660</v>
      </c>
      <c r="C279" s="628" t="str">
        <f>Translations!$B$1058</f>
        <v>Angles, shapes and sections of stainless steel, cold-formed or cold-finished and further worked, or not further worked than forged, or forged, or hot-formed by other means and further worked, n.e.s.</v>
      </c>
      <c r="D279" s="628" t="str">
        <f t="shared" si="5"/>
        <v>72224090</v>
      </c>
      <c r="E279" s="1140" t="str">
        <f>Translations!$B$611</f>
        <v>Iron or steel products</v>
      </c>
      <c r="F279" s="628" t="str">
        <f>IF(E279=" --- ","",COUNTIF($E$4:E279,E279)&amp;"_"&amp;E279)</f>
        <v>198_Iron or steel products</v>
      </c>
      <c r="H279" s="628" t="s">
        <v>1661</v>
      </c>
    </row>
    <row r="280" spans="1:8" x14ac:dyDescent="0.3">
      <c r="A280" s="628" t="s">
        <v>1664</v>
      </c>
      <c r="B280" s="628" t="s">
        <v>1665</v>
      </c>
      <c r="C280" s="628" t="str">
        <f>Translations!$B$1060</f>
        <v>Wire of stainless steel, in coils, containing by weight 28% to 31% nickel and 20% to 22% chromium (excl. bars and rods)</v>
      </c>
      <c r="D280" s="628" t="str">
        <f t="shared" si="5"/>
        <v>72230011</v>
      </c>
      <c r="E280" s="1140" t="str">
        <f>Translations!$B$611</f>
        <v>Iron or steel products</v>
      </c>
      <c r="F280" s="628" t="str">
        <f>IF(E280=" --- ","",COUNTIF($E$4:E280,E280)&amp;"_"&amp;E280)</f>
        <v>199_Iron or steel products</v>
      </c>
      <c r="H280" s="628" t="s">
        <v>1666</v>
      </c>
    </row>
    <row r="281" spans="1:8" x14ac:dyDescent="0.3">
      <c r="A281" s="628" t="s">
        <v>1667</v>
      </c>
      <c r="B281" s="628" t="s">
        <v>1668</v>
      </c>
      <c r="C281" s="628" t="str">
        <f>Translations!$B$1061</f>
        <v>Wire of stainless steel, in coils, containing by weight &gt;= 2,5% nickel (excl. such products containing 28% to 31% nickel and 20% to 22% chromium, and bars and rods)</v>
      </c>
      <c r="D281" s="628" t="str">
        <f t="shared" si="5"/>
        <v>72230019</v>
      </c>
      <c r="E281" s="1140" t="str">
        <f>Translations!$B$611</f>
        <v>Iron or steel products</v>
      </c>
      <c r="F281" s="628" t="str">
        <f>IF(E281=" --- ","",COUNTIF($E$4:E281,E281)&amp;"_"&amp;E281)</f>
        <v>200_Iron or steel products</v>
      </c>
      <c r="H281" s="628" t="s">
        <v>1669</v>
      </c>
    </row>
    <row r="282" spans="1:8" x14ac:dyDescent="0.3">
      <c r="A282" s="628" t="s">
        <v>1670</v>
      </c>
      <c r="B282" s="628" t="s">
        <v>1671</v>
      </c>
      <c r="C282" s="628" t="str">
        <f>Translations!$B$1062</f>
        <v>Wire of stainless steel, in coils, containing by weight &lt; 2,5% nickel, 13% to 25% chromium and 3,5% to 6% aluminium (excl. bars and rods)</v>
      </c>
      <c r="D282" s="628" t="str">
        <f t="shared" si="5"/>
        <v>72230091</v>
      </c>
      <c r="E282" s="1140" t="str">
        <f>Translations!$B$611</f>
        <v>Iron or steel products</v>
      </c>
      <c r="F282" s="628" t="str">
        <f>IF(E282=" --- ","",COUNTIF($E$4:E282,E282)&amp;"_"&amp;E282)</f>
        <v>201_Iron or steel products</v>
      </c>
      <c r="H282" s="628" t="s">
        <v>1672</v>
      </c>
    </row>
    <row r="283" spans="1:8" x14ac:dyDescent="0.3">
      <c r="A283" s="628" t="s">
        <v>1673</v>
      </c>
      <c r="B283" s="628" t="s">
        <v>1674</v>
      </c>
      <c r="C283" s="628" t="str">
        <f>Translations!$B$1063</f>
        <v>Wire of stainless steel, in coils, containing by weight &lt; 2,5% nickel (excl. such products containing 13% to 25% chromium and 3,5% to 6% aluminium, and bars and rods)</v>
      </c>
      <c r="D283" s="628" t="str">
        <f t="shared" si="5"/>
        <v>72230099</v>
      </c>
      <c r="E283" s="1140" t="str">
        <f>Translations!$B$611</f>
        <v>Iron or steel products</v>
      </c>
      <c r="F283" s="628" t="str">
        <f>IF(E283=" --- ","",COUNTIF($E$4:E283,E283)&amp;"_"&amp;E283)</f>
        <v>202_Iron or steel products</v>
      </c>
      <c r="H283" s="628" t="s">
        <v>1675</v>
      </c>
    </row>
    <row r="284" spans="1:8" x14ac:dyDescent="0.3">
      <c r="A284" s="628" t="s">
        <v>1680</v>
      </c>
      <c r="B284" s="628" t="s">
        <v>1681</v>
      </c>
      <c r="C284" s="628" t="str">
        <f>Translations!$B$1066</f>
        <v>Ingots and other primary forms, of tool steel</v>
      </c>
      <c r="D284" s="628" t="str">
        <f t="shared" si="5"/>
        <v>72241010</v>
      </c>
      <c r="E284" s="1140" t="str">
        <f>Translations!$B$668</f>
        <v>Crude steel</v>
      </c>
      <c r="F284" s="628" t="str">
        <f>IF(E284=" --- ","",COUNTIF($E$4:E284,E284)&amp;"_"&amp;E284)</f>
        <v>28_Crude steel</v>
      </c>
      <c r="H284" s="628" t="s">
        <v>1682</v>
      </c>
    </row>
    <row r="285" spans="1:8" x14ac:dyDescent="0.3">
      <c r="A285" s="628" t="s">
        <v>1683</v>
      </c>
      <c r="B285" s="628" t="s">
        <v>1684</v>
      </c>
      <c r="C285" s="628" t="str">
        <f>Translations!$B$1067</f>
        <v>Steel, alloy, other than stainless, in ingots or other primary forms (excl. of tool steel, waste and scrap in ingot form and products obtained by continuous casting)</v>
      </c>
      <c r="D285" s="628" t="str">
        <f t="shared" si="5"/>
        <v>72241090</v>
      </c>
      <c r="E285" s="1140" t="str">
        <f>Translations!$B$668</f>
        <v>Crude steel</v>
      </c>
      <c r="F285" s="628" t="str">
        <f>IF(E285=" --- ","",COUNTIF($E$4:E285,E285)&amp;"_"&amp;E285)</f>
        <v>29_Crude steel</v>
      </c>
      <c r="H285" s="628" t="s">
        <v>1685</v>
      </c>
    </row>
    <row r="286" spans="1:8" x14ac:dyDescent="0.3">
      <c r="A286" s="628" t="s">
        <v>1688</v>
      </c>
      <c r="B286" s="628" t="s">
        <v>1689</v>
      </c>
      <c r="C286" s="628" t="str">
        <f>Translations!$B$1069</f>
        <v>Semi-finished products of tool steel</v>
      </c>
      <c r="D286" s="628" t="str">
        <f t="shared" si="5"/>
        <v>72249002</v>
      </c>
      <c r="E286" s="1140" t="str">
        <f>Translations!$B$668</f>
        <v>Crude steel</v>
      </c>
      <c r="F286" s="628" t="str">
        <f>IF(E286=" --- ","",COUNTIF($E$4:E286,E286)&amp;"_"&amp;E286)</f>
        <v>30_Crude steel</v>
      </c>
      <c r="H286" s="628" t="s">
        <v>1690</v>
      </c>
    </row>
    <row r="287" spans="1:8" x14ac:dyDescent="0.3">
      <c r="A287" s="628" t="s">
        <v>1691</v>
      </c>
      <c r="B287" s="628" t="s">
        <v>1692</v>
      </c>
      <c r="C287" s="628" t="str">
        <f>Translations!$B$1070</f>
        <v>Semi-finished products of high-speed steel, of square or rectangular cross-section, hot-rolled or obtained by continuous casting the width measuring &lt; twice the thickness</v>
      </c>
      <c r="D287" s="628" t="str">
        <f t="shared" si="5"/>
        <v>72249003</v>
      </c>
      <c r="E287" s="1140" t="str">
        <f>Translations!$B$668</f>
        <v>Crude steel</v>
      </c>
      <c r="F287" s="628" t="str">
        <f>IF(E287=" --- ","",COUNTIF($E$4:E287,E287)&amp;"_"&amp;E287)</f>
        <v>31_Crude steel</v>
      </c>
      <c r="H287" s="628" t="s">
        <v>1693</v>
      </c>
    </row>
    <row r="288" spans="1:8" x14ac:dyDescent="0.3">
      <c r="A288" s="628" t="s">
        <v>1694</v>
      </c>
      <c r="B288" s="628" t="s">
        <v>1695</v>
      </c>
      <c r="C288" s="628" t="str">
        <f>Translations!$B$1071</f>
        <v>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v>
      </c>
      <c r="D288" s="628" t="str">
        <f t="shared" si="5"/>
        <v>72249005</v>
      </c>
      <c r="E288" s="1140" t="str">
        <f>Translations!$B$668</f>
        <v>Crude steel</v>
      </c>
      <c r="F288" s="628" t="str">
        <f>IF(E288=" --- ","",COUNTIF($E$4:E288,E288)&amp;"_"&amp;E288)</f>
        <v>32_Crude steel</v>
      </c>
      <c r="H288" s="628" t="s">
        <v>1696</v>
      </c>
    </row>
    <row r="289" spans="1:8" x14ac:dyDescent="0.3">
      <c r="A289" s="628" t="s">
        <v>1697</v>
      </c>
      <c r="B289" s="628" t="s">
        <v>1698</v>
      </c>
      <c r="C289" s="628" t="str">
        <f>Translations!$B$1072</f>
        <v>Semi-finished products of alloy steel other than stainless steel, of square or rectangular cross-section, hot-rolled or obtained by continuous casting, the width measuring &lt; twice the thickness (excl. of tool steel, high-speed steel and articles of subheading 7224.90.05)</v>
      </c>
      <c r="D289" s="628" t="str">
        <f t="shared" si="5"/>
        <v>72249007</v>
      </c>
      <c r="E289" s="1140" t="str">
        <f>Translations!$B$668</f>
        <v>Crude steel</v>
      </c>
      <c r="F289" s="628" t="str">
        <f>IF(E289=" --- ","",COUNTIF($E$4:E289,E289)&amp;"_"&amp;E289)</f>
        <v>33_Crude steel</v>
      </c>
      <c r="H289" s="628" t="s">
        <v>1699</v>
      </c>
    </row>
    <row r="290" spans="1:8" x14ac:dyDescent="0.3">
      <c r="A290" s="628" t="s">
        <v>1700</v>
      </c>
      <c r="B290" s="628" t="s">
        <v>1701</v>
      </c>
      <c r="C290" s="628" t="str">
        <f>Translations!$B$1073</f>
        <v>Semi-finished products of alloy steel other than stainless steel, of square or rectangular cross-section, hot-rolled or obtained by continuous casting, the width measuring &gt;= twice the thickness (excl. of tool steel)</v>
      </c>
      <c r="D290" s="628" t="str">
        <f t="shared" si="5"/>
        <v>72249014</v>
      </c>
      <c r="E290" s="1140" t="str">
        <f>Translations!$B$668</f>
        <v>Crude steel</v>
      </c>
      <c r="F290" s="628" t="str">
        <f>IF(E290=" --- ","",COUNTIF($E$4:E290,E290)&amp;"_"&amp;E290)</f>
        <v>34_Crude steel</v>
      </c>
      <c r="H290" s="628" t="s">
        <v>1702</v>
      </c>
    </row>
    <row r="291" spans="1:8" x14ac:dyDescent="0.3">
      <c r="A291" s="628" t="s">
        <v>1703</v>
      </c>
      <c r="B291" s="628" t="s">
        <v>1704</v>
      </c>
      <c r="C291" s="628" t="str">
        <f>Translations!$B$1074</f>
        <v>Semi-finished products of alloy steel other than stainless steel, of square or rectangular cross-section, forged (excl. of tool steel)</v>
      </c>
      <c r="D291" s="628" t="str">
        <f t="shared" si="5"/>
        <v>72249018</v>
      </c>
      <c r="E291" s="1140" t="str">
        <f>Translations!$B$668</f>
        <v>Crude steel</v>
      </c>
      <c r="F291" s="628" t="str">
        <f>IF(E291=" --- ","",COUNTIF($E$4:E291,E291)&amp;"_"&amp;E291)</f>
        <v>35_Crude steel</v>
      </c>
      <c r="H291" s="628" t="s">
        <v>1705</v>
      </c>
    </row>
    <row r="292" spans="1:8" x14ac:dyDescent="0.3">
      <c r="A292" s="628" t="s">
        <v>1706</v>
      </c>
      <c r="B292" s="628" t="s">
        <v>1707</v>
      </c>
      <c r="C292" s="628" t="str">
        <f>Translations!$B$1075</f>
        <v>Semi-finished products of steel containing by weight 0,9% to 1,15% carbon, 0,5% to 2% of chromium and, if present, &lt;= 0,5% of molybdenum, cut into shapes other than square or rectangular, hot-rolled or obtained by continuous casting</v>
      </c>
      <c r="D292" s="628" t="str">
        <f t="shared" si="5"/>
        <v>72249031</v>
      </c>
      <c r="E292" s="1140" t="str">
        <f>Translations!$B$668</f>
        <v>Crude steel</v>
      </c>
      <c r="F292" s="628" t="str">
        <f>IF(E292=" --- ","",COUNTIF($E$4:E292,E292)&amp;"_"&amp;E292)</f>
        <v>36_Crude steel</v>
      </c>
      <c r="H292" s="628" t="s">
        <v>1708</v>
      </c>
    </row>
    <row r="293" spans="1:8" x14ac:dyDescent="0.3">
      <c r="A293" s="628" t="s">
        <v>1709</v>
      </c>
      <c r="B293" s="628" t="s">
        <v>1710</v>
      </c>
      <c r="C293" s="628" t="str">
        <f>Translations!$B$1076</f>
        <v>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v>
      </c>
      <c r="D293" s="628" t="str">
        <f t="shared" si="5"/>
        <v>72249038</v>
      </c>
      <c r="E293" s="1140" t="str">
        <f>Translations!$B$668</f>
        <v>Crude steel</v>
      </c>
      <c r="F293" s="628" t="str">
        <f>IF(E293=" --- ","",COUNTIF($E$4:E293,E293)&amp;"_"&amp;E293)</f>
        <v>37_Crude steel</v>
      </c>
      <c r="H293" s="628" t="s">
        <v>1711</v>
      </c>
    </row>
    <row r="294" spans="1:8" x14ac:dyDescent="0.3">
      <c r="A294" s="628" t="s">
        <v>1712</v>
      </c>
      <c r="B294" s="628" t="s">
        <v>1713</v>
      </c>
      <c r="C294" s="628" t="str">
        <f>Translations!$B$1077</f>
        <v>Semi-finished products of alloy steel, other than stainless steel, forged (excl. of tool steel and products of square or rectangular, circular or polygamol cross-section)</v>
      </c>
      <c r="D294" s="628" t="str">
        <f t="shared" si="5"/>
        <v>72249090</v>
      </c>
      <c r="E294" s="1140" t="str">
        <f>Translations!$B$668</f>
        <v>Crude steel</v>
      </c>
      <c r="F294" s="628" t="str">
        <f>IF(E294=" --- ","",COUNTIF($E$4:E294,E294)&amp;"_"&amp;E294)</f>
        <v>38_Crude steel</v>
      </c>
      <c r="H294" s="628" t="s">
        <v>1714</v>
      </c>
    </row>
    <row r="295" spans="1:8" x14ac:dyDescent="0.3">
      <c r="A295" s="628" t="s">
        <v>1717</v>
      </c>
      <c r="B295" s="628" t="s">
        <v>1718</v>
      </c>
      <c r="C295" s="628" t="str">
        <f>Translations!$B$1079</f>
        <v>Flat-rolled products of silicon-electrical steel, of a width of &gt;= 600 mm, grain-oriented</v>
      </c>
      <c r="D295" s="628" t="str">
        <f t="shared" si="5"/>
        <v>72251100</v>
      </c>
      <c r="E295" s="1140" t="str">
        <f>Translations!$B$611</f>
        <v>Iron or steel products</v>
      </c>
      <c r="F295" s="628" t="str">
        <f>IF(E295=" --- ","",COUNTIF($E$4:E295,E295)&amp;"_"&amp;E295)</f>
        <v>203_Iron or steel products</v>
      </c>
      <c r="H295" s="628" t="s">
        <v>1719</v>
      </c>
    </row>
    <row r="296" spans="1:8" x14ac:dyDescent="0.3">
      <c r="A296" s="628" t="s">
        <v>1722</v>
      </c>
      <c r="B296" s="628" t="s">
        <v>1723</v>
      </c>
      <c r="C296" s="628" t="str">
        <f>Translations!$B$1081</f>
        <v>Flat-rolled products of silicon-electrical steel, of a width of &gt;= 600 mm, hot-rolled</v>
      </c>
      <c r="D296" s="628" t="str">
        <f t="shared" si="5"/>
        <v>72251910</v>
      </c>
      <c r="E296" s="1140" t="str">
        <f>Translations!$B$611</f>
        <v>Iron or steel products</v>
      </c>
      <c r="F296" s="628" t="str">
        <f>IF(E296=" --- ","",COUNTIF($E$4:E296,E296)&amp;"_"&amp;E296)</f>
        <v>204_Iron or steel products</v>
      </c>
      <c r="H296" s="628" t="s">
        <v>1724</v>
      </c>
    </row>
    <row r="297" spans="1:8" x14ac:dyDescent="0.3">
      <c r="A297" s="628" t="s">
        <v>1725</v>
      </c>
      <c r="B297" s="628" t="s">
        <v>1726</v>
      </c>
      <c r="C297" s="628" t="str">
        <f>Translations!$B$1082</f>
        <v>Flat-rolled products of silicon-electrical steel, of a width of &gt;= 600 mm, cold-rolled "cold-reduced", non-grain-oriented</v>
      </c>
      <c r="D297" s="628" t="str">
        <f t="shared" si="5"/>
        <v>72251990</v>
      </c>
      <c r="E297" s="1140" t="str">
        <f>Translations!$B$611</f>
        <v>Iron or steel products</v>
      </c>
      <c r="F297" s="628" t="str">
        <f>IF(E297=" --- ","",COUNTIF($E$4:E297,E297)&amp;"_"&amp;E297)</f>
        <v>205_Iron or steel products</v>
      </c>
      <c r="H297" s="628" t="s">
        <v>1727</v>
      </c>
    </row>
    <row r="298" spans="1:8" x14ac:dyDescent="0.3">
      <c r="A298" s="628" t="s">
        <v>1730</v>
      </c>
      <c r="B298" s="628" t="s">
        <v>1731</v>
      </c>
      <c r="C298" s="628" t="str">
        <f>Translations!$B$1084</f>
        <v>Flat-rolled products of tool steel, of a width of &gt;= 600 mm, not further worked than hot-rolled, in coils</v>
      </c>
      <c r="D298" s="628" t="str">
        <f t="shared" si="5"/>
        <v>72253010</v>
      </c>
      <c r="E298" s="1140" t="str">
        <f>Translations!$B$611</f>
        <v>Iron or steel products</v>
      </c>
      <c r="F298" s="628" t="str">
        <f>IF(E298=" --- ","",COUNTIF($E$4:E298,E298)&amp;"_"&amp;E298)</f>
        <v>206_Iron or steel products</v>
      </c>
      <c r="H298" s="628" t="s">
        <v>1732</v>
      </c>
    </row>
    <row r="299" spans="1:8" x14ac:dyDescent="0.3">
      <c r="A299" s="628" t="s">
        <v>1733</v>
      </c>
      <c r="B299" s="628" t="s">
        <v>1734</v>
      </c>
      <c r="C299" s="628" t="str">
        <f>Translations!$B$1085</f>
        <v>Flat-rolled products of high-speed steel, of a width of &gt;= 600 mm, not further worked than hot-rolled, in coils</v>
      </c>
      <c r="D299" s="628" t="str">
        <f t="shared" si="5"/>
        <v>72253030</v>
      </c>
      <c r="E299" s="1140" t="str">
        <f>Translations!$B$611</f>
        <v>Iron or steel products</v>
      </c>
      <c r="F299" s="628" t="str">
        <f>IF(E299=" --- ","",COUNTIF($E$4:E299,E299)&amp;"_"&amp;E299)</f>
        <v>207_Iron or steel products</v>
      </c>
      <c r="H299" s="628" t="s">
        <v>1735</v>
      </c>
    </row>
    <row r="300" spans="1:8" x14ac:dyDescent="0.3">
      <c r="A300" s="628" t="s">
        <v>1736</v>
      </c>
      <c r="B300" s="628" t="s">
        <v>1737</v>
      </c>
      <c r="C300" s="628" t="str">
        <f>Translations!$B$1086</f>
        <v>Flat-rolled products of alloy steel other than stainless, of a width of &gt;= 600 mm, not further worked than hot-rolled, in coils (excl. products of tool steel, high-speed steel or silicon-electrical steel)</v>
      </c>
      <c r="D300" s="628" t="str">
        <f t="shared" si="5"/>
        <v>72253090</v>
      </c>
      <c r="E300" s="1140" t="str">
        <f>Translations!$B$611</f>
        <v>Iron or steel products</v>
      </c>
      <c r="F300" s="628" t="str">
        <f>IF(E300=" --- ","",COUNTIF($E$4:E300,E300)&amp;"_"&amp;E300)</f>
        <v>208_Iron or steel products</v>
      </c>
      <c r="H300" s="628" t="s">
        <v>1738</v>
      </c>
    </row>
    <row r="301" spans="1:8" x14ac:dyDescent="0.3">
      <c r="A301" s="628" t="s">
        <v>1741</v>
      </c>
      <c r="B301" s="628" t="s">
        <v>1742</v>
      </c>
      <c r="C301" s="628" t="str">
        <f>Translations!$B$1088</f>
        <v>Flat-rolled products of tool steel, of a width of &gt;= 600 mm, not further worked than hot-rolled, not in coils</v>
      </c>
      <c r="D301" s="628" t="str">
        <f t="shared" si="5"/>
        <v>72254012</v>
      </c>
      <c r="E301" s="1140" t="str">
        <f>Translations!$B$611</f>
        <v>Iron or steel products</v>
      </c>
      <c r="F301" s="628" t="str">
        <f>IF(E301=" --- ","",COUNTIF($E$4:E301,E301)&amp;"_"&amp;E301)</f>
        <v>209_Iron or steel products</v>
      </c>
      <c r="H301" s="628" t="s">
        <v>1743</v>
      </c>
    </row>
    <row r="302" spans="1:8" x14ac:dyDescent="0.3">
      <c r="A302" s="628" t="s">
        <v>1744</v>
      </c>
      <c r="B302" s="628" t="s">
        <v>1745</v>
      </c>
      <c r="C302" s="628" t="str">
        <f>Translations!$B$1089</f>
        <v>Flat-rolled products of high-speed steel, of a width of &gt;= 600 mm, not further worked than hot-rolled, not in coils</v>
      </c>
      <c r="D302" s="628" t="str">
        <f t="shared" si="5"/>
        <v>72254015</v>
      </c>
      <c r="E302" s="1140" t="str">
        <f>Translations!$B$611</f>
        <v>Iron or steel products</v>
      </c>
      <c r="F302" s="628" t="str">
        <f>IF(E302=" --- ","",COUNTIF($E$4:E302,E302)&amp;"_"&amp;E302)</f>
        <v>210_Iron or steel products</v>
      </c>
      <c r="H302" s="628" t="s">
        <v>1746</v>
      </c>
    </row>
    <row r="303" spans="1:8" x14ac:dyDescent="0.3">
      <c r="A303" s="628" t="s">
        <v>1747</v>
      </c>
      <c r="B303" s="628" t="s">
        <v>1748</v>
      </c>
      <c r="C303" s="628" t="str">
        <f>Translations!$B$1090</f>
        <v>Flat-rolled products of alloy steel other than stainless, of a width of &gt;= 600 mm, not further worked than hot-rolled, not in coils, of a thickness of &gt; 10 mm (excl. products of tool steel, high-speed steel or silicon-electrical steel)</v>
      </c>
      <c r="D303" s="628" t="str">
        <f t="shared" si="5"/>
        <v>72254040</v>
      </c>
      <c r="E303" s="1140" t="str">
        <f>Translations!$B$611</f>
        <v>Iron or steel products</v>
      </c>
      <c r="F303" s="628" t="str">
        <f>IF(E303=" --- ","",COUNTIF($E$4:E303,E303)&amp;"_"&amp;E303)</f>
        <v>211_Iron or steel products</v>
      </c>
      <c r="H303" s="628" t="s">
        <v>1749</v>
      </c>
    </row>
    <row r="304" spans="1:8" x14ac:dyDescent="0.3">
      <c r="A304" s="628" t="s">
        <v>1750</v>
      </c>
      <c r="B304" s="628" t="s">
        <v>1751</v>
      </c>
      <c r="C304" s="628" t="str">
        <f>Translations!$B$1091</f>
        <v>Flat-rolled products of alloy steel other than stainless, of a width of &gt;= 600 mm, not further worked than hot-rolled, not in coils, of a thickness of &gt;= 4,75 mm but &lt;= 10 mm (excl. products of tool steel, high-speed steel or silicon-electrical steel)</v>
      </c>
      <c r="D304" s="628" t="str">
        <f t="shared" si="5"/>
        <v>72254060</v>
      </c>
      <c r="E304" s="1140" t="str">
        <f>Translations!$B$611</f>
        <v>Iron or steel products</v>
      </c>
      <c r="F304" s="628" t="str">
        <f>IF(E304=" --- ","",COUNTIF($E$4:E304,E304)&amp;"_"&amp;E304)</f>
        <v>212_Iron or steel products</v>
      </c>
      <c r="H304" s="628" t="s">
        <v>1752</v>
      </c>
    </row>
    <row r="305" spans="1:8" x14ac:dyDescent="0.3">
      <c r="A305" s="628" t="s">
        <v>1753</v>
      </c>
      <c r="B305" s="628" t="s">
        <v>1754</v>
      </c>
      <c r="C305" s="628" t="str">
        <f>Translations!$B$1092</f>
        <v>Flat-rolled products of alloy steel other than stainless, of a width of &gt;= 600 mm, not further worked than hot-rolled, not in coils, of a thickness of &lt; 4,75 mm (excl. products of tool steel, high-speed steel or silicon-electrical steel)</v>
      </c>
      <c r="D305" s="628" t="str">
        <f t="shared" si="5"/>
        <v>72254090</v>
      </c>
      <c r="E305" s="1140" t="str">
        <f>Translations!$B$611</f>
        <v>Iron or steel products</v>
      </c>
      <c r="F305" s="628" t="str">
        <f>IF(E305=" --- ","",COUNTIF($E$4:E305,E305)&amp;"_"&amp;E305)</f>
        <v>213_Iron or steel products</v>
      </c>
      <c r="H305" s="628" t="s">
        <v>1755</v>
      </c>
    </row>
    <row r="306" spans="1:8" x14ac:dyDescent="0.3">
      <c r="A306" s="628" t="s">
        <v>1758</v>
      </c>
      <c r="B306" s="628" t="s">
        <v>1759</v>
      </c>
      <c r="C306" s="628" t="str">
        <f>Translations!$B$1094</f>
        <v>Flat-rolled products of high-speed steel, of a width of &gt;= 600 mm, not further worked than cold-rolled "cold-reduced"</v>
      </c>
      <c r="D306" s="628" t="str">
        <f t="shared" si="5"/>
        <v>72255020</v>
      </c>
      <c r="E306" s="1140" t="str">
        <f>Translations!$B$611</f>
        <v>Iron or steel products</v>
      </c>
      <c r="F306" s="628" t="str">
        <f>IF(E306=" --- ","",COUNTIF($E$4:E306,E306)&amp;"_"&amp;E306)</f>
        <v>214_Iron or steel products</v>
      </c>
      <c r="H306" s="628" t="s">
        <v>1760</v>
      </c>
    </row>
    <row r="307" spans="1:8" x14ac:dyDescent="0.3">
      <c r="A307" s="628" t="s">
        <v>1761</v>
      </c>
      <c r="B307" s="628" t="s">
        <v>1762</v>
      </c>
      <c r="C307" s="628" t="str">
        <f>Translations!$B$1095</f>
        <v>Flat-rolled products of alloy steel other than stainless, of a width of &gt;= 600 mm, not further worked than cold-rolled "cold-reduced" (excl. products of high-speed steel or silicon-electrical steel)</v>
      </c>
      <c r="D307" s="628" t="str">
        <f t="shared" si="5"/>
        <v>72255080</v>
      </c>
      <c r="E307" s="1140" t="str">
        <f>Translations!$B$611</f>
        <v>Iron or steel products</v>
      </c>
      <c r="F307" s="628" t="str">
        <f>IF(E307=" --- ","",COUNTIF($E$4:E307,E307)&amp;"_"&amp;E307)</f>
        <v>215_Iron or steel products</v>
      </c>
      <c r="H307" s="628" t="s">
        <v>1763</v>
      </c>
    </row>
    <row r="308" spans="1:8" x14ac:dyDescent="0.3">
      <c r="A308" s="628" t="s">
        <v>1764</v>
      </c>
      <c r="B308" s="628" t="s">
        <v>1765</v>
      </c>
      <c r="C308" s="628" t="str">
        <f>Translations!$B$1096</f>
        <v>Flat-rolled products of alloy steel other than stainless, of a width of &gt;= 600 mm, hot-rolled or cold-rolled "cold-reduced" and electrolytically plated or coated with zinc (excl. products of silicon-electrical steel)</v>
      </c>
      <c r="D308" s="628" t="str">
        <f t="shared" si="5"/>
        <v>72259100</v>
      </c>
      <c r="E308" s="1140" t="str">
        <f>Translations!$B$611</f>
        <v>Iron or steel products</v>
      </c>
      <c r="F308" s="628" t="str">
        <f>IF(E308=" --- ","",COUNTIF($E$4:E308,E308)&amp;"_"&amp;E308)</f>
        <v>216_Iron or steel products</v>
      </c>
      <c r="H308" s="628" t="s">
        <v>1766</v>
      </c>
    </row>
    <row r="309" spans="1:8" x14ac:dyDescent="0.3">
      <c r="A309" s="628" t="s">
        <v>1767</v>
      </c>
      <c r="B309" s="628" t="s">
        <v>1768</v>
      </c>
      <c r="C309" s="628" t="str">
        <f>Translations!$B$1097</f>
        <v>Flat-rolled products of alloy steel other than stainless, of a width of &gt;= 600 mm, hot-rolled or cold-rolled "cold-reduced" and plated or coated with zinc (excl. electrolytically plated or coated and products of silicon-electrical steel)</v>
      </c>
      <c r="D309" s="628" t="str">
        <f t="shared" si="5"/>
        <v>72259200</v>
      </c>
      <c r="E309" s="1140" t="str">
        <f>Translations!$B$611</f>
        <v>Iron or steel products</v>
      </c>
      <c r="F309" s="628" t="str">
        <f>IF(E309=" --- ","",COUNTIF($E$4:E309,E309)&amp;"_"&amp;E309)</f>
        <v>217_Iron or steel products</v>
      </c>
      <c r="H309" s="628" t="s">
        <v>1769</v>
      </c>
    </row>
    <row r="310" spans="1:8" x14ac:dyDescent="0.3">
      <c r="A310" s="628" t="s">
        <v>1770</v>
      </c>
      <c r="B310" s="628" t="s">
        <v>1771</v>
      </c>
      <c r="C310" s="628" t="str">
        <f>Translations!$B$1098</f>
        <v>Flat-rolled products of alloy steel other than stainless, of a width of &gt;= 600 mm, hot-rolled or cold-rolled "cold-reduced" and further worked (excl. plated or coated with zinc and products of silicon-electrical steel)</v>
      </c>
      <c r="D310" s="628" t="str">
        <f t="shared" si="5"/>
        <v>72259900</v>
      </c>
      <c r="E310" s="1140" t="str">
        <f>Translations!$B$611</f>
        <v>Iron or steel products</v>
      </c>
      <c r="F310" s="628" t="str">
        <f>IF(E310=" --- ","",COUNTIF($E$4:E310,E310)&amp;"_"&amp;E310)</f>
        <v>218_Iron or steel products</v>
      </c>
      <c r="H310" s="628" t="s">
        <v>1772</v>
      </c>
    </row>
    <row r="311" spans="1:8" x14ac:dyDescent="0.3">
      <c r="A311" s="628" t="s">
        <v>1775</v>
      </c>
      <c r="B311" s="628" t="s">
        <v>1776</v>
      </c>
      <c r="C311" s="628" t="str">
        <f>Translations!$B$1100</f>
        <v>Flat-rolled products of silicon-electrical steel, of a width of &lt; 600 mm, hot-rolled or cold-rolled "cold-reduced", grain-oriented</v>
      </c>
      <c r="D311" s="628" t="str">
        <f t="shared" si="5"/>
        <v>72261100</v>
      </c>
      <c r="E311" s="1140" t="str">
        <f>Translations!$B$611</f>
        <v>Iron or steel products</v>
      </c>
      <c r="F311" s="628" t="str">
        <f>IF(E311=" --- ","",COUNTIF($E$4:E311,E311)&amp;"_"&amp;E311)</f>
        <v>219_Iron or steel products</v>
      </c>
      <c r="H311" s="628" t="s">
        <v>1777</v>
      </c>
    </row>
    <row r="312" spans="1:8" x14ac:dyDescent="0.3">
      <c r="A312" s="628" t="s">
        <v>1780</v>
      </c>
      <c r="B312" s="628" t="s">
        <v>1781</v>
      </c>
      <c r="C312" s="628" t="str">
        <f>Translations!$B$1102</f>
        <v>Flat-rolled products of silicon-electrical steel, of a width of &lt; 600 mm, not further worked than hot-rolled</v>
      </c>
      <c r="D312" s="628" t="str">
        <f t="shared" si="5"/>
        <v>72261910</v>
      </c>
      <c r="E312" s="1140" t="str">
        <f>Translations!$B$611</f>
        <v>Iron or steel products</v>
      </c>
      <c r="F312" s="628" t="str">
        <f>IF(E312=" --- ","",COUNTIF($E$4:E312,E312)&amp;"_"&amp;E312)</f>
        <v>220_Iron or steel products</v>
      </c>
      <c r="H312" s="628" t="s">
        <v>1782</v>
      </c>
    </row>
    <row r="313" spans="1:8" x14ac:dyDescent="0.3">
      <c r="A313" s="628" t="s">
        <v>1783</v>
      </c>
      <c r="B313" s="628" t="s">
        <v>1784</v>
      </c>
      <c r="C313" s="628" t="str">
        <f>Translations!$B$1103</f>
        <v>Flat-rolled products of silicon-electrical steel, of a width of &lt; 600 mm, cold-rolled "cold-reduced", whether or not further worked, or hot-rolled and further worked, non-grain-oriented</v>
      </c>
      <c r="D313" s="628" t="str">
        <f t="shared" si="5"/>
        <v>72261980</v>
      </c>
      <c r="E313" s="1140" t="str">
        <f>Translations!$B$611</f>
        <v>Iron or steel products</v>
      </c>
      <c r="F313" s="628" t="str">
        <f>IF(E313=" --- ","",COUNTIF($E$4:E313,E313)&amp;"_"&amp;E313)</f>
        <v>221_Iron or steel products</v>
      </c>
      <c r="H313" s="628" t="s">
        <v>1785</v>
      </c>
    </row>
    <row r="314" spans="1:8" x14ac:dyDescent="0.3">
      <c r="A314" s="628" t="s">
        <v>1786</v>
      </c>
      <c r="B314" s="628" t="s">
        <v>1787</v>
      </c>
      <c r="C314" s="628" t="str">
        <f>Translations!$B$1104</f>
        <v>Flat-rolled products of high-speed steel, of a width of &lt;= 600 mm, hot-rolled or cold-rolled "cold-reduced"</v>
      </c>
      <c r="D314" s="628" t="str">
        <f t="shared" si="5"/>
        <v>72262000</v>
      </c>
      <c r="E314" s="1140" t="str">
        <f>Translations!$B$611</f>
        <v>Iron or steel products</v>
      </c>
      <c r="F314" s="628" t="str">
        <f>IF(E314=" --- ","",COUNTIF($E$4:E314,E314)&amp;"_"&amp;E314)</f>
        <v>222_Iron or steel products</v>
      </c>
      <c r="H314" s="628" t="s">
        <v>1788</v>
      </c>
    </row>
    <row r="315" spans="1:8" x14ac:dyDescent="0.3">
      <c r="A315" s="628" t="s">
        <v>1791</v>
      </c>
      <c r="B315" s="628" t="s">
        <v>1792</v>
      </c>
      <c r="C315" s="628" t="str">
        <f>Translations!$B$1106</f>
        <v>Flat-rolled products of tool steel, of a width of &lt; 600 mm, simply hot-rolled</v>
      </c>
      <c r="D315" s="628" t="str">
        <f t="shared" si="5"/>
        <v>72269120</v>
      </c>
      <c r="E315" s="1140" t="str">
        <f>Translations!$B$611</f>
        <v>Iron or steel products</v>
      </c>
      <c r="F315" s="628" t="str">
        <f>IF(E315=" --- ","",COUNTIF($E$4:E315,E315)&amp;"_"&amp;E315)</f>
        <v>223_Iron or steel products</v>
      </c>
      <c r="H315" s="628" t="s">
        <v>1793</v>
      </c>
    </row>
    <row r="316" spans="1:8" x14ac:dyDescent="0.3">
      <c r="A316" s="628" t="s">
        <v>1794</v>
      </c>
      <c r="B316" s="628" t="s">
        <v>1795</v>
      </c>
      <c r="C316" s="628" t="str">
        <f>Translations!$B$1107</f>
        <v>Flat-rolled products of alloy steel other than stainless steel, simply hot-rolled, of a thickness of &gt;= 4,75 mm, of a width of &lt; 600 mm (excl. of tool steel, silicon-electrical steel or high speed steel)</v>
      </c>
      <c r="D316" s="628" t="str">
        <f t="shared" si="5"/>
        <v>72269191</v>
      </c>
      <c r="E316" s="1140" t="str">
        <f>Translations!$B$611</f>
        <v>Iron or steel products</v>
      </c>
      <c r="F316" s="628" t="str">
        <f>IF(E316=" --- ","",COUNTIF($E$4:E316,E316)&amp;"_"&amp;E316)</f>
        <v>224_Iron or steel products</v>
      </c>
      <c r="H316" s="628" t="s">
        <v>1796</v>
      </c>
    </row>
    <row r="317" spans="1:8" x14ac:dyDescent="0.3">
      <c r="A317" s="628" t="s">
        <v>1797</v>
      </c>
      <c r="B317" s="628" t="s">
        <v>1798</v>
      </c>
      <c r="C317" s="628" t="str">
        <f>Translations!$B$1108</f>
        <v>Flat-rolled products of alloy steel other than stainless steel, simply hot-rolled, of a thickness of &lt; 4,75 mm, of a width of &lt; 600 mm (excl. of tool steel, silicon-electrical steel or high speed steel)</v>
      </c>
      <c r="D317" s="628" t="str">
        <f t="shared" si="5"/>
        <v>72269199</v>
      </c>
      <c r="E317" s="1140" t="str">
        <f>Translations!$B$611</f>
        <v>Iron or steel products</v>
      </c>
      <c r="F317" s="628" t="str">
        <f>IF(E317=" --- ","",COUNTIF($E$4:E317,E317)&amp;"_"&amp;E317)</f>
        <v>225_Iron or steel products</v>
      </c>
      <c r="H317" s="628" t="s">
        <v>1799</v>
      </c>
    </row>
    <row r="318" spans="1:8" x14ac:dyDescent="0.3">
      <c r="A318" s="628" t="s">
        <v>1800</v>
      </c>
      <c r="B318" s="628" t="s">
        <v>1801</v>
      </c>
      <c r="C318" s="628" t="str">
        <f>Translations!$B$1109</f>
        <v>Flat-rolled products of alloy steel other than stainless, of a width of &lt; 600 mm, not further worked than cold-rolled "cold-reduced" (excl. products of high-speed steel or silicon-electrical steel)</v>
      </c>
      <c r="D318" s="628" t="str">
        <f t="shared" si="5"/>
        <v>72269200</v>
      </c>
      <c r="E318" s="1140" t="str">
        <f>Translations!$B$611</f>
        <v>Iron or steel products</v>
      </c>
      <c r="F318" s="628" t="str">
        <f>IF(E318=" --- ","",COUNTIF($E$4:E318,E318)&amp;"_"&amp;E318)</f>
        <v>226_Iron or steel products</v>
      </c>
      <c r="H318" s="628" t="s">
        <v>1802</v>
      </c>
    </row>
    <row r="319" spans="1:8" x14ac:dyDescent="0.3">
      <c r="A319" s="628" t="s">
        <v>1805</v>
      </c>
      <c r="B319" s="628" t="s">
        <v>1806</v>
      </c>
      <c r="C319" s="628" t="str">
        <f>Translations!$B$1111</f>
        <v>Flat-rolled products of alloy steel other than stainless, of a width of &lt; 600 mm, hot-rolled or cold-rolled "cold-reduced" and electrolytically plated or coated with zinc (excl. products of high-speed steel or silicon-electrical steel)</v>
      </c>
      <c r="D319" s="628" t="str">
        <f t="shared" si="5"/>
        <v>72269910</v>
      </c>
      <c r="E319" s="1140" t="str">
        <f>Translations!$B$611</f>
        <v>Iron or steel products</v>
      </c>
      <c r="F319" s="628" t="str">
        <f>IF(E319=" --- ","",COUNTIF($E$4:E319,E319)&amp;"_"&amp;E319)</f>
        <v>227_Iron or steel products</v>
      </c>
      <c r="H319" s="628" t="s">
        <v>1807</v>
      </c>
    </row>
    <row r="320" spans="1:8" x14ac:dyDescent="0.3">
      <c r="A320" s="628" t="s">
        <v>1808</v>
      </c>
      <c r="B320" s="628" t="s">
        <v>1809</v>
      </c>
      <c r="C320" s="628" t="str">
        <f>Translations!$B$1112</f>
        <v>Flat-rolled products of alloy steel other than stainless, of a width of &lt; 600 mm, hot-rolled or cold-rolled "cold-reduced" and plated or coated with zinc (excl. electrolytically plated or coated, and products of high-speed steel or silicon-electrical steel)</v>
      </c>
      <c r="D320" s="628" t="str">
        <f t="shared" si="5"/>
        <v>72269930</v>
      </c>
      <c r="E320" s="1140" t="str">
        <f>Translations!$B$611</f>
        <v>Iron or steel products</v>
      </c>
      <c r="F320" s="628" t="str">
        <f>IF(E320=" --- ","",COUNTIF($E$4:E320,E320)&amp;"_"&amp;E320)</f>
        <v>228_Iron or steel products</v>
      </c>
      <c r="H320" s="628" t="s">
        <v>1810</v>
      </c>
    </row>
    <row r="321" spans="1:8" x14ac:dyDescent="0.3">
      <c r="A321" s="628" t="s">
        <v>1811</v>
      </c>
      <c r="B321" s="628" t="s">
        <v>1812</v>
      </c>
      <c r="C321" s="628" t="str">
        <f>Translations!$B$1113</f>
        <v>Flat-rolled products of alloy steel other than stainless, of a width of &lt; 600 mm, hot-rolled or cold-rolled "cold-reduced" and further worked (excl. plated or coated with zinc, and products of high-speed steel or silicon-electrical steel)</v>
      </c>
      <c r="D321" s="628" t="str">
        <f t="shared" si="5"/>
        <v>72269970</v>
      </c>
      <c r="E321" s="1140" t="str">
        <f>Translations!$B$611</f>
        <v>Iron or steel products</v>
      </c>
      <c r="F321" s="628" t="str">
        <f>IF(E321=" --- ","",COUNTIF($E$4:E321,E321)&amp;"_"&amp;E321)</f>
        <v>229_Iron or steel products</v>
      </c>
      <c r="H321" s="628" t="s">
        <v>1813</v>
      </c>
    </row>
    <row r="322" spans="1:8" x14ac:dyDescent="0.3">
      <c r="A322" s="628" t="s">
        <v>1816</v>
      </c>
      <c r="B322" s="628" t="s">
        <v>1817</v>
      </c>
      <c r="C322" s="628" t="str">
        <f>Translations!$B$1115</f>
        <v>Bars and rods of high-speed steel, hot-rolled, in irregularly wound coils</v>
      </c>
      <c r="D322" s="628" t="str">
        <f t="shared" si="5"/>
        <v>72271000</v>
      </c>
      <c r="E322" s="1140" t="str">
        <f>Translations!$B$611</f>
        <v>Iron or steel products</v>
      </c>
      <c r="F322" s="628" t="str">
        <f>IF(E322=" --- ","",COUNTIF($E$4:E322,E322)&amp;"_"&amp;E322)</f>
        <v>230_Iron or steel products</v>
      </c>
      <c r="H322" s="628" t="s">
        <v>1818</v>
      </c>
    </row>
    <row r="323" spans="1:8" x14ac:dyDescent="0.3">
      <c r="A323" s="628" t="s">
        <v>1819</v>
      </c>
      <c r="B323" s="628" t="s">
        <v>1820</v>
      </c>
      <c r="C323" s="628" t="str">
        <f>Translations!$B$1116</f>
        <v>Bars and rods of silico-manganese steel, hot-rolled, in irregularly wound coils</v>
      </c>
      <c r="D323" s="628" t="str">
        <f t="shared" si="5"/>
        <v>72272000</v>
      </c>
      <c r="E323" s="1140" t="str">
        <f>Translations!$B$611</f>
        <v>Iron or steel products</v>
      </c>
      <c r="F323" s="628" t="str">
        <f>IF(E323=" --- ","",COUNTIF($E$4:E323,E323)&amp;"_"&amp;E323)</f>
        <v>231_Iron or steel products</v>
      </c>
      <c r="H323" s="628" t="s">
        <v>1821</v>
      </c>
    </row>
    <row r="324" spans="1:8" x14ac:dyDescent="0.3">
      <c r="A324" s="628" t="s">
        <v>1824</v>
      </c>
      <c r="B324" s="628" t="s">
        <v>1825</v>
      </c>
      <c r="C324" s="628" t="str">
        <f>Translations!$B$1118</f>
        <v>Bars and rods, hot-rolled, of steel containing by weight &gt;= 0,0008% of boron with any other element &lt; the minimum content referred to in Note 1 f to this chapter, in irregularly wound coils</v>
      </c>
      <c r="D324" s="628" t="str">
        <f t="shared" si="5"/>
        <v>72279010</v>
      </c>
      <c r="E324" s="1140" t="str">
        <f>Translations!$B$611</f>
        <v>Iron or steel products</v>
      </c>
      <c r="F324" s="628" t="str">
        <f>IF(E324=" --- ","",COUNTIF($E$4:E324,E324)&amp;"_"&amp;E324)</f>
        <v>232_Iron or steel products</v>
      </c>
      <c r="H324" s="628" t="s">
        <v>1826</v>
      </c>
    </row>
    <row r="325" spans="1:8" x14ac:dyDescent="0.3">
      <c r="A325" s="628" t="s">
        <v>1827</v>
      </c>
      <c r="B325" s="628" t="s">
        <v>1828</v>
      </c>
      <c r="C325" s="628" t="str">
        <f>Translations!$B$1119</f>
        <v>Bars and rods, hot-rolled, of steel containing by weight 0,9% to 1,15% carbon, 0,5% to 2% of chromium and, if present, &lt;= 0,5 of molybdenum, in irregularly wound coils</v>
      </c>
      <c r="D325" s="628" t="str">
        <f t="shared" si="5"/>
        <v>72279050</v>
      </c>
      <c r="E325" s="1140" t="str">
        <f>Translations!$B$611</f>
        <v>Iron or steel products</v>
      </c>
      <c r="F325" s="628" t="str">
        <f>IF(E325=" --- ","",COUNTIF($E$4:E325,E325)&amp;"_"&amp;E325)</f>
        <v>233_Iron or steel products</v>
      </c>
      <c r="H325" s="628" t="s">
        <v>1829</v>
      </c>
    </row>
    <row r="326" spans="1:8" x14ac:dyDescent="0.3">
      <c r="A326" s="628" t="s">
        <v>1830</v>
      </c>
      <c r="B326" s="628" t="s">
        <v>1831</v>
      </c>
      <c r="C326" s="628" t="str">
        <f>Translations!$B$1120</f>
        <v>Bars and rods, hot-rolled, in irregularly wound coils of alloy steel other than stainless (excl. of high-speed steel or silico-manganese steel and bars and rods of subheadings 7227.90.10 and 7227.90.50)</v>
      </c>
      <c r="D326" s="628" t="str">
        <f t="shared" si="5"/>
        <v>72279095</v>
      </c>
      <c r="E326" s="1140" t="str">
        <f>Translations!$B$611</f>
        <v>Iron or steel products</v>
      </c>
      <c r="F326" s="628" t="str">
        <f>IF(E326=" --- ","",COUNTIF($E$4:E326,E326)&amp;"_"&amp;E326)</f>
        <v>234_Iron or steel products</v>
      </c>
      <c r="H326" s="628" t="s">
        <v>1832</v>
      </c>
    </row>
    <row r="327" spans="1:8" x14ac:dyDescent="0.3">
      <c r="A327" s="628" t="s">
        <v>1837</v>
      </c>
      <c r="B327" s="628" t="s">
        <v>1838</v>
      </c>
      <c r="C327" s="628" t="str">
        <f>Translations!$B$1123</f>
        <v>Bars and rods of high-speed steel, not further worked than hot-rolled, hot-drawn or extruded, and hot-rolled, hot-drawn or extruded, not further worked than clad (excl. semi-finished products, flat-rolled products and hot-rolled bars and rods in irregularly wound coils)</v>
      </c>
      <c r="D327" s="628" t="str">
        <f t="shared" si="5"/>
        <v>72281020</v>
      </c>
      <c r="E327" s="1140" t="str">
        <f>Translations!$B$611</f>
        <v>Iron or steel products</v>
      </c>
      <c r="F327" s="628" t="str">
        <f>IF(E327=" --- ","",COUNTIF($E$4:E327,E327)&amp;"_"&amp;E327)</f>
        <v>235_Iron or steel products</v>
      </c>
      <c r="H327" s="628" t="s">
        <v>1839</v>
      </c>
    </row>
    <row r="328" spans="1:8" x14ac:dyDescent="0.3">
      <c r="A328" s="628" t="s">
        <v>1840</v>
      </c>
      <c r="B328" s="628" t="s">
        <v>1841</v>
      </c>
      <c r="C328" s="628" t="str">
        <f>Translations!$B$1124</f>
        <v>Bars and rods of high-speed steel, forged (excl. semi-finished products, flat-rolled products and hot-rolled bars and rods in irregularly wound coils)</v>
      </c>
      <c r="D328" s="628" t="str">
        <f t="shared" si="5"/>
        <v>72281050</v>
      </c>
      <c r="E328" s="1140" t="str">
        <f>Translations!$B$611</f>
        <v>Iron or steel products</v>
      </c>
      <c r="F328" s="628" t="str">
        <f>IF(E328=" --- ","",COUNTIF($E$4:E328,E328)&amp;"_"&amp;E328)</f>
        <v>236_Iron or steel products</v>
      </c>
      <c r="H328" s="628" t="s">
        <v>1842</v>
      </c>
    </row>
    <row r="329" spans="1:8" x14ac:dyDescent="0.3">
      <c r="A329" s="628" t="s">
        <v>1843</v>
      </c>
      <c r="B329" s="628" t="s">
        <v>1844</v>
      </c>
      <c r="C329" s="628" t="str">
        <f>Translations!$B$1125</f>
        <v>Bars and rods of high-speed steel, not further worked than cold-formed or cold-finished, whether or not further worked, or hot-formed and further worked (excl. forged products, semi-finished products, flat-rolled products and hot-rolled bars and rods in irregularly wound coils)</v>
      </c>
      <c r="D329" s="628" t="str">
        <f t="shared" si="5"/>
        <v>72281090</v>
      </c>
      <c r="E329" s="1140" t="str">
        <f>Translations!$B$611</f>
        <v>Iron or steel products</v>
      </c>
      <c r="F329" s="628" t="str">
        <f>IF(E329=" --- ","",COUNTIF($E$4:E329,E329)&amp;"_"&amp;E329)</f>
        <v>237_Iron or steel products</v>
      </c>
      <c r="H329" s="628" t="s">
        <v>1845</v>
      </c>
    </row>
    <row r="330" spans="1:8" x14ac:dyDescent="0.3">
      <c r="A330" s="628" t="s">
        <v>1848</v>
      </c>
      <c r="B330" s="628" t="s">
        <v>1849</v>
      </c>
      <c r="C330" s="628" t="str">
        <f>Translations!$B$1127</f>
        <v>Bars and rods of silico-manganese steel, of rectangular "other than square" cross-section, hot-rolled on four faces (excl. semi-finished products, flat-rolled products and hot-rolled bars and rods in irregularly wound coils)</v>
      </c>
      <c r="D330" s="628" t="str">
        <f t="shared" si="5"/>
        <v>72282010</v>
      </c>
      <c r="E330" s="1140" t="str">
        <f>Translations!$B$611</f>
        <v>Iron or steel products</v>
      </c>
      <c r="F330" s="628" t="str">
        <f>IF(E330=" --- ","",COUNTIF($E$4:E330,E330)&amp;"_"&amp;E330)</f>
        <v>238_Iron or steel products</v>
      </c>
      <c r="H330" s="628" t="s">
        <v>1850</v>
      </c>
    </row>
    <row r="331" spans="1:8" x14ac:dyDescent="0.3">
      <c r="A331" s="628" t="s">
        <v>1851</v>
      </c>
      <c r="B331" s="628" t="s">
        <v>1852</v>
      </c>
      <c r="C331" s="628" t="str">
        <f>Translations!$B$1128</f>
        <v>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v>
      </c>
      <c r="D331" s="628" t="str">
        <f t="shared" si="5"/>
        <v>72282091</v>
      </c>
      <c r="E331" s="1140" t="str">
        <f>Translations!$B$611</f>
        <v>Iron or steel products</v>
      </c>
      <c r="F331" s="628" t="str">
        <f>IF(E331=" --- ","",COUNTIF($E$4:E331,E331)&amp;"_"&amp;E331)</f>
        <v>239_Iron or steel products</v>
      </c>
      <c r="H331" s="628" t="s">
        <v>1853</v>
      </c>
    </row>
    <row r="332" spans="1:8" x14ac:dyDescent="0.3">
      <c r="A332" s="628" t="s">
        <v>1854</v>
      </c>
      <c r="B332" s="628" t="s">
        <v>1855</v>
      </c>
      <c r="C332" s="628" t="str">
        <f>Translations!$B$1129</f>
        <v>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v>
      </c>
      <c r="D332" s="628" t="str">
        <f t="shared" si="5"/>
        <v>72282099</v>
      </c>
      <c r="E332" s="1140" t="str">
        <f>Translations!$B$611</f>
        <v>Iron or steel products</v>
      </c>
      <c r="F332" s="628" t="str">
        <f>IF(E332=" --- ","",COUNTIF($E$4:E332,E332)&amp;"_"&amp;E332)</f>
        <v>240_Iron or steel products</v>
      </c>
      <c r="H332" s="628" t="s">
        <v>1856</v>
      </c>
    </row>
    <row r="333" spans="1:8" x14ac:dyDescent="0.3">
      <c r="A333" s="628" t="s">
        <v>1859</v>
      </c>
      <c r="B333" s="628" t="s">
        <v>1860</v>
      </c>
      <c r="C333" s="628" t="str">
        <f>Translations!$B$1131</f>
        <v>Bars and rods of tool steel, only hot-rolled, only hot-drawn or only extruded (excl. semi-finished products, flat-rolled products and hot-rolled bars and rods in irregularly wound coils)</v>
      </c>
      <c r="D333" s="628" t="str">
        <f t="shared" si="5"/>
        <v>72283020</v>
      </c>
      <c r="E333" s="1140" t="str">
        <f>Translations!$B$611</f>
        <v>Iron or steel products</v>
      </c>
      <c r="F333" s="628" t="str">
        <f>IF(E333=" --- ","",COUNTIF($E$4:E333,E333)&amp;"_"&amp;E333)</f>
        <v>241_Iron or steel products</v>
      </c>
      <c r="H333" s="628" t="s">
        <v>1861</v>
      </c>
    </row>
    <row r="334" spans="1:8" x14ac:dyDescent="0.3">
      <c r="A334" s="628" t="s">
        <v>1862</v>
      </c>
      <c r="B334" s="628" t="s">
        <v>1863</v>
      </c>
      <c r="C334" s="628" t="str">
        <f>Translations!$B$1132</f>
        <v>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v>
      </c>
      <c r="D334" s="628" t="str">
        <f t="shared" si="5"/>
        <v>72283041</v>
      </c>
      <c r="E334" s="1140" t="str">
        <f>Translations!$B$611</f>
        <v>Iron or steel products</v>
      </c>
      <c r="F334" s="628" t="str">
        <f>IF(E334=" --- ","",COUNTIF($E$4:E334,E334)&amp;"_"&amp;E334)</f>
        <v>242_Iron or steel products</v>
      </c>
      <c r="H334" s="628" t="s">
        <v>1864</v>
      </c>
    </row>
    <row r="335" spans="1:8" x14ac:dyDescent="0.3">
      <c r="A335" s="628" t="s">
        <v>1865</v>
      </c>
      <c r="B335" s="628" t="s">
        <v>1866</v>
      </c>
      <c r="C335" s="628" t="str">
        <f>Translations!$B$1133</f>
        <v>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v>
      </c>
      <c r="D335" s="628" t="str">
        <f t="shared" si="5"/>
        <v>72283049</v>
      </c>
      <c r="E335" s="1140" t="str">
        <f>Translations!$B$611</f>
        <v>Iron or steel products</v>
      </c>
      <c r="F335" s="628" t="str">
        <f>IF(E335=" --- ","",COUNTIF($E$4:E335,E335)&amp;"_"&amp;E335)</f>
        <v>243_Iron or steel products</v>
      </c>
      <c r="H335" s="628" t="s">
        <v>1867</v>
      </c>
    </row>
    <row r="336" spans="1:8" x14ac:dyDescent="0.3">
      <c r="A336" s="628" t="s">
        <v>1868</v>
      </c>
      <c r="B336" s="628" t="s">
        <v>1869</v>
      </c>
      <c r="C336" s="628" t="str">
        <f>Translations!$B$1134</f>
        <v>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v>
      </c>
      <c r="D336" s="628" t="str">
        <f t="shared" si="5"/>
        <v>72283061</v>
      </c>
      <c r="E336" s="1140" t="str">
        <f>Translations!$B$611</f>
        <v>Iron or steel products</v>
      </c>
      <c r="F336" s="628" t="str">
        <f>IF(E336=" --- ","",COUNTIF($E$4:E336,E336)&amp;"_"&amp;E336)</f>
        <v>244_Iron or steel products</v>
      </c>
      <c r="H336" s="628" t="s">
        <v>1870</v>
      </c>
    </row>
    <row r="337" spans="1:8" x14ac:dyDescent="0.3">
      <c r="A337" s="628" t="s">
        <v>1871</v>
      </c>
      <c r="B337" s="628" t="s">
        <v>1872</v>
      </c>
      <c r="C337" s="628" t="str">
        <f>Translations!$B$1135</f>
        <v>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v>
      </c>
      <c r="D337" s="628" t="str">
        <f t="shared" si="5"/>
        <v>72283069</v>
      </c>
      <c r="E337" s="1140" t="str">
        <f>Translations!$B$611</f>
        <v>Iron or steel products</v>
      </c>
      <c r="F337" s="628" t="str">
        <f>IF(E337=" --- ","",COUNTIF($E$4:E337,E337)&amp;"_"&amp;E337)</f>
        <v>245_Iron or steel products</v>
      </c>
      <c r="H337" s="628" t="s">
        <v>1873</v>
      </c>
    </row>
    <row r="338" spans="1:8" x14ac:dyDescent="0.3">
      <c r="A338" s="628" t="s">
        <v>1874</v>
      </c>
      <c r="B338" s="628" t="s">
        <v>1875</v>
      </c>
      <c r="C338" s="628" t="str">
        <f>Translations!$B$1136</f>
        <v>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v>
      </c>
      <c r="D338" s="628" t="str">
        <f t="shared" ref="D338:D401" si="6">SUBSTITUTE(B338," ","")</f>
        <v>72283070</v>
      </c>
      <c r="E338" s="1140" t="str">
        <f>Translations!$B$611</f>
        <v>Iron or steel products</v>
      </c>
      <c r="F338" s="628" t="str">
        <f>IF(E338=" --- ","",COUNTIF($E$4:E338,E338)&amp;"_"&amp;E338)</f>
        <v>246_Iron or steel products</v>
      </c>
      <c r="H338" s="628" t="s">
        <v>1876</v>
      </c>
    </row>
    <row r="339" spans="1:8" x14ac:dyDescent="0.3">
      <c r="A339" s="628" t="s">
        <v>1877</v>
      </c>
      <c r="B339" s="628" t="s">
        <v>1878</v>
      </c>
      <c r="C339" s="628" t="str">
        <f>Translations!$B$1137</f>
        <v>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v>
      </c>
      <c r="D339" s="628" t="str">
        <f t="shared" si="6"/>
        <v>72283089</v>
      </c>
      <c r="E339" s="1140" t="str">
        <f>Translations!$B$611</f>
        <v>Iron or steel products</v>
      </c>
      <c r="F339" s="628" t="str">
        <f>IF(E339=" --- ","",COUNTIF($E$4:E339,E339)&amp;"_"&amp;E339)</f>
        <v>247_Iron or steel products</v>
      </c>
      <c r="H339" s="628" t="s">
        <v>1879</v>
      </c>
    </row>
    <row r="340" spans="1:8" x14ac:dyDescent="0.3">
      <c r="A340" s="628" t="s">
        <v>1882</v>
      </c>
      <c r="B340" s="628" t="s">
        <v>1883</v>
      </c>
      <c r="C340" s="628" t="str">
        <f>Translations!$B$1139</f>
        <v>Bars and rods of tool steel, only forged (excl. semi-finished products, flat-rolled products and hot-rolled bars and rods in irregularly wound coils)</v>
      </c>
      <c r="D340" s="628" t="str">
        <f t="shared" si="6"/>
        <v>72284010</v>
      </c>
      <c r="E340" s="1140" t="str">
        <f>Translations!$B$611</f>
        <v>Iron or steel products</v>
      </c>
      <c r="F340" s="628" t="str">
        <f>IF(E340=" --- ","",COUNTIF($E$4:E340,E340)&amp;"_"&amp;E340)</f>
        <v>248_Iron or steel products</v>
      </c>
      <c r="H340" s="628" t="s">
        <v>1884</v>
      </c>
    </row>
    <row r="341" spans="1:8" x14ac:dyDescent="0.3">
      <c r="A341" s="628" t="s">
        <v>1885</v>
      </c>
      <c r="B341" s="628" t="s">
        <v>1886</v>
      </c>
      <c r="C341" s="628" t="str">
        <f>Translations!$B$1140</f>
        <v>Bars and rods of alloy steel, other than stainless steel, only forged (excl. of high-speed steel, silico-manganese steel, tool steel, semi-finished products, flat-rolled products and hot-rolled bars and rods in irregularly wound coils)</v>
      </c>
      <c r="D341" s="628" t="str">
        <f t="shared" si="6"/>
        <v>72284090</v>
      </c>
      <c r="E341" s="1140" t="str">
        <f>Translations!$B$611</f>
        <v>Iron or steel products</v>
      </c>
      <c r="F341" s="628" t="str">
        <f>IF(E341=" --- ","",COUNTIF($E$4:E341,E341)&amp;"_"&amp;E341)</f>
        <v>249_Iron or steel products</v>
      </c>
      <c r="H341" s="628" t="s">
        <v>1887</v>
      </c>
    </row>
    <row r="342" spans="1:8" x14ac:dyDescent="0.3">
      <c r="A342" s="628" t="s">
        <v>1890</v>
      </c>
      <c r="B342" s="628" t="s">
        <v>1891</v>
      </c>
      <c r="C342" s="628" t="str">
        <f>Translations!$B$1142</f>
        <v>Bars and rods of tool steel, only cold-formed or cold-finished (excl. semi-finished products, flat-rolled products and hot-rolled bars and rods in irregularly wound coils)</v>
      </c>
      <c r="D342" s="628" t="str">
        <f t="shared" si="6"/>
        <v>72285020</v>
      </c>
      <c r="E342" s="1140" t="str">
        <f>Translations!$B$611</f>
        <v>Iron or steel products</v>
      </c>
      <c r="F342" s="628" t="str">
        <f>IF(E342=" --- ","",COUNTIF($E$4:E342,E342)&amp;"_"&amp;E342)</f>
        <v>250_Iron or steel products</v>
      </c>
      <c r="H342" s="628" t="s">
        <v>1892</v>
      </c>
    </row>
    <row r="343" spans="1:8" x14ac:dyDescent="0.3">
      <c r="A343" s="628" t="s">
        <v>1893</v>
      </c>
      <c r="B343" s="628" t="s">
        <v>1894</v>
      </c>
      <c r="C343" s="628" t="str">
        <f>Translations!$B$1143</f>
        <v>Bars and rods of steel containing 0,9% to 1,15% of carbon, 0,5% to 2% of chromium and, if present &lt;= 0,5% of molybdenum, only cold-formed or cold-finished (excl. semi-finished products, flat-rolled products and hot-rolled bars and rods in irregularly wound coils)</v>
      </c>
      <c r="D343" s="628" t="str">
        <f t="shared" si="6"/>
        <v>72285040</v>
      </c>
      <c r="E343" s="1140" t="str">
        <f>Translations!$B$611</f>
        <v>Iron or steel products</v>
      </c>
      <c r="F343" s="628" t="str">
        <f>IF(E343=" --- ","",COUNTIF($E$4:E343,E343)&amp;"_"&amp;E343)</f>
        <v>251_Iron or steel products</v>
      </c>
      <c r="H343" s="628" t="s">
        <v>1895</v>
      </c>
    </row>
    <row r="344" spans="1:8" x14ac:dyDescent="0.3">
      <c r="A344" s="628" t="s">
        <v>1896</v>
      </c>
      <c r="B344" s="628" t="s">
        <v>1897</v>
      </c>
      <c r="C344" s="628" t="str">
        <f>Translations!$B$1144</f>
        <v>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v>
      </c>
      <c r="D344" s="628" t="str">
        <f t="shared" si="6"/>
        <v>72285061</v>
      </c>
      <c r="E344" s="1140" t="str">
        <f>Translations!$B$611</f>
        <v>Iron or steel products</v>
      </c>
      <c r="F344" s="628" t="str">
        <f>IF(E344=" --- ","",COUNTIF($E$4:E344,E344)&amp;"_"&amp;E344)</f>
        <v>252_Iron or steel products</v>
      </c>
      <c r="H344" s="628" t="s">
        <v>1898</v>
      </c>
    </row>
    <row r="345" spans="1:8" x14ac:dyDescent="0.3">
      <c r="A345" s="628" t="s">
        <v>1899</v>
      </c>
      <c r="B345" s="628" t="s">
        <v>1900</v>
      </c>
      <c r="C345" s="628" t="str">
        <f>Translations!$B$1145</f>
        <v>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v>
      </c>
      <c r="D345" s="628" t="str">
        <f t="shared" si="6"/>
        <v>72285069</v>
      </c>
      <c r="E345" s="1140" t="str">
        <f>Translations!$B$611</f>
        <v>Iron or steel products</v>
      </c>
      <c r="F345" s="628" t="str">
        <f>IF(E345=" --- ","",COUNTIF($E$4:E345,E345)&amp;"_"&amp;E345)</f>
        <v>253_Iron or steel products</v>
      </c>
      <c r="H345" s="628" t="s">
        <v>1901</v>
      </c>
    </row>
    <row r="346" spans="1:8" x14ac:dyDescent="0.3">
      <c r="A346" s="628" t="s">
        <v>1902</v>
      </c>
      <c r="B346" s="628" t="s">
        <v>1903</v>
      </c>
      <c r="C346" s="628" t="str">
        <f>Translations!$B$1146</f>
        <v>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v>
      </c>
      <c r="D346" s="628" t="str">
        <f t="shared" si="6"/>
        <v>72285080</v>
      </c>
      <c r="E346" s="1140" t="str">
        <f>Translations!$B$611</f>
        <v>Iron or steel products</v>
      </c>
      <c r="F346" s="628" t="str">
        <f>IF(E346=" --- ","",COUNTIF($E$4:E346,E346)&amp;"_"&amp;E346)</f>
        <v>254_Iron or steel products</v>
      </c>
      <c r="H346" s="628" t="s">
        <v>1904</v>
      </c>
    </row>
    <row r="347" spans="1:8" x14ac:dyDescent="0.3">
      <c r="A347" s="628" t="s">
        <v>1907</v>
      </c>
      <c r="B347" s="628" t="s">
        <v>1908</v>
      </c>
      <c r="C347" s="628" t="str">
        <f>Translations!$B$1148</f>
        <v>Bars and rods of tool steel, cold-formed or cold-finished and further worked or hot-formed and further worked (excl. semi-finished products, flat-rolled products and hot-rolled bars and rods in irregularly wound coils)</v>
      </c>
      <c r="D347" s="628" t="str">
        <f t="shared" si="6"/>
        <v>72286020</v>
      </c>
      <c r="E347" s="1140" t="str">
        <f>Translations!$B$611</f>
        <v>Iron or steel products</v>
      </c>
      <c r="F347" s="628" t="str">
        <f>IF(E347=" --- ","",COUNTIF($E$4:E347,E347)&amp;"_"&amp;E347)</f>
        <v>255_Iron or steel products</v>
      </c>
      <c r="H347" s="628" t="s">
        <v>1909</v>
      </c>
    </row>
    <row r="348" spans="1:8" x14ac:dyDescent="0.3">
      <c r="A348" s="628" t="s">
        <v>1910</v>
      </c>
      <c r="B348" s="628" t="s">
        <v>1911</v>
      </c>
      <c r="C348" s="628" t="str">
        <f>Translations!$B$1149</f>
        <v>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v>
      </c>
      <c r="D348" s="628" t="str">
        <f t="shared" si="6"/>
        <v>72286080</v>
      </c>
      <c r="E348" s="1140" t="str">
        <f>Translations!$B$611</f>
        <v>Iron or steel products</v>
      </c>
      <c r="F348" s="628" t="str">
        <f>IF(E348=" --- ","",COUNTIF($E$4:E348,E348)&amp;"_"&amp;E348)</f>
        <v>256_Iron or steel products</v>
      </c>
      <c r="H348" s="628" t="s">
        <v>1912</v>
      </c>
    </row>
    <row r="349" spans="1:8" x14ac:dyDescent="0.3">
      <c r="A349" s="628" t="s">
        <v>1915</v>
      </c>
      <c r="B349" s="628" t="s">
        <v>1916</v>
      </c>
      <c r="C349" s="628" t="str">
        <f>Translations!$B$1151</f>
        <v>Angles, shapes and sections of alloy steel other than stainless, not further worked than hot-rolled, hot-drawn or extruded</v>
      </c>
      <c r="D349" s="628" t="str">
        <f t="shared" si="6"/>
        <v>72287010</v>
      </c>
      <c r="E349" s="1140" t="str">
        <f>Translations!$B$611</f>
        <v>Iron or steel products</v>
      </c>
      <c r="F349" s="628" t="str">
        <f>IF(E349=" --- ","",COUNTIF($E$4:E349,E349)&amp;"_"&amp;E349)</f>
        <v>257_Iron or steel products</v>
      </c>
      <c r="H349" s="628" t="s">
        <v>1917</v>
      </c>
    </row>
    <row r="350" spans="1:8" x14ac:dyDescent="0.3">
      <c r="A350" s="628" t="s">
        <v>1918</v>
      </c>
      <c r="B350" s="628" t="s">
        <v>1919</v>
      </c>
      <c r="C350" s="628" t="str">
        <f>Translations!$B$1152</f>
        <v>Angles, shapes and sections of alloy steel other than stainless, n.e.s. (excl. products not further worked than hot-rolled, hot-drawn or extruded)</v>
      </c>
      <c r="D350" s="628" t="str">
        <f t="shared" si="6"/>
        <v>72287090</v>
      </c>
      <c r="E350" s="1140" t="str">
        <f>Translations!$B$611</f>
        <v>Iron or steel products</v>
      </c>
      <c r="F350" s="628" t="str">
        <f>IF(E350=" --- ","",COUNTIF($E$4:E350,E350)&amp;"_"&amp;E350)</f>
        <v>258_Iron or steel products</v>
      </c>
      <c r="H350" s="628" t="s">
        <v>1920</v>
      </c>
    </row>
    <row r="351" spans="1:8" x14ac:dyDescent="0.3">
      <c r="A351" s="628" t="s">
        <v>1921</v>
      </c>
      <c r="B351" s="628" t="s">
        <v>1922</v>
      </c>
      <c r="C351" s="628" t="str">
        <f>Translations!$B$1153</f>
        <v>Hollow drill bars and rods, of alloy or non-alloy steel</v>
      </c>
      <c r="D351" s="628" t="str">
        <f t="shared" si="6"/>
        <v>72288000</v>
      </c>
      <c r="E351" s="1140" t="str">
        <f>Translations!$B$611</f>
        <v>Iron or steel products</v>
      </c>
      <c r="F351" s="628" t="str">
        <f>IF(E351=" --- ","",COUNTIF($E$4:E351,E351)&amp;"_"&amp;E351)</f>
        <v>259_Iron or steel products</v>
      </c>
      <c r="H351" s="628" t="s">
        <v>1923</v>
      </c>
    </row>
    <row r="352" spans="1:8" x14ac:dyDescent="0.3">
      <c r="A352" s="628" t="s">
        <v>1926</v>
      </c>
      <c r="B352" s="628" t="s">
        <v>1927</v>
      </c>
      <c r="C352" s="628" t="str">
        <f>Translations!$B$1155</f>
        <v>Wire of silico-manganese steel, in coils (excl. bars and rods)</v>
      </c>
      <c r="D352" s="628" t="str">
        <f t="shared" si="6"/>
        <v>72292000</v>
      </c>
      <c r="E352" s="1140" t="str">
        <f>Translations!$B$611</f>
        <v>Iron or steel products</v>
      </c>
      <c r="F352" s="628" t="str">
        <f>IF(E352=" --- ","",COUNTIF($E$4:E352,E352)&amp;"_"&amp;E352)</f>
        <v>260_Iron or steel products</v>
      </c>
      <c r="H352" s="628" t="s">
        <v>1928</v>
      </c>
    </row>
    <row r="353" spans="1:8" x14ac:dyDescent="0.3">
      <c r="A353" s="628" t="s">
        <v>1931</v>
      </c>
      <c r="B353" s="628" t="s">
        <v>1932</v>
      </c>
      <c r="C353" s="628" t="str">
        <f>Translations!$B$1157</f>
        <v>Wire of high-speed steel, in coils (excl. bars and rods)</v>
      </c>
      <c r="D353" s="628" t="str">
        <f t="shared" si="6"/>
        <v>72299020</v>
      </c>
      <c r="E353" s="1140" t="str">
        <f>Translations!$B$611</f>
        <v>Iron or steel products</v>
      </c>
      <c r="F353" s="628" t="str">
        <f>IF(E353=" --- ","",COUNTIF($E$4:E353,E353)&amp;"_"&amp;E353)</f>
        <v>261_Iron or steel products</v>
      </c>
      <c r="H353" s="628" t="s">
        <v>1933</v>
      </c>
    </row>
    <row r="354" spans="1:8" x14ac:dyDescent="0.3">
      <c r="A354" s="628" t="s">
        <v>1934</v>
      </c>
      <c r="B354" s="628" t="s">
        <v>1935</v>
      </c>
      <c r="C354" s="628" t="str">
        <f>Translations!$B$1158</f>
        <v>Wire of steel containing by weight 0,9% to 1,1% of carbon, 0,5% to 2% of chromium and, if present, &lt;= 0,5% of molybdenum, in coils (excl. rolled bars and rods)</v>
      </c>
      <c r="D354" s="628" t="str">
        <f t="shared" si="6"/>
        <v>72299050</v>
      </c>
      <c r="E354" s="1140" t="str">
        <f>Translations!$B$611</f>
        <v>Iron or steel products</v>
      </c>
      <c r="F354" s="628" t="str">
        <f>IF(E354=" --- ","",COUNTIF($E$4:E354,E354)&amp;"_"&amp;E354)</f>
        <v>262_Iron or steel products</v>
      </c>
      <c r="H354" s="628" t="s">
        <v>1936</v>
      </c>
    </row>
    <row r="355" spans="1:8" x14ac:dyDescent="0.3">
      <c r="A355" s="628" t="s">
        <v>1937</v>
      </c>
      <c r="B355" s="628" t="s">
        <v>1938</v>
      </c>
      <c r="C355" s="628" t="str">
        <f>Translations!$B$1159</f>
        <v>Wire of alloy steel other than stainless, in coils (excl. rolled bars and rods, wire of high-speed steel or silico-manganese steel and articles of subheading 7229.90.50)</v>
      </c>
      <c r="D355" s="628" t="str">
        <f t="shared" si="6"/>
        <v>72299090</v>
      </c>
      <c r="E355" s="1140" t="str">
        <f>Translations!$B$611</f>
        <v>Iron or steel products</v>
      </c>
      <c r="F355" s="628" t="str">
        <f>IF(E355=" --- ","",COUNTIF($E$4:E355,E355)&amp;"_"&amp;E355)</f>
        <v>263_Iron or steel products</v>
      </c>
      <c r="H355" s="628" t="s">
        <v>1939</v>
      </c>
    </row>
    <row r="356" spans="1:8" x14ac:dyDescent="0.3">
      <c r="A356" s="628" t="s">
        <v>1942</v>
      </c>
      <c r="B356" s="628" t="s">
        <v>1943</v>
      </c>
      <c r="C356" s="628" t="str">
        <f>Translations!$B$1161</f>
        <v>Sheet piling of iron or steel, whether or not drilled, punched or made from assembled elements</v>
      </c>
      <c r="D356" s="628" t="str">
        <f t="shared" si="6"/>
        <v>73011000</v>
      </c>
      <c r="E356" s="1140" t="str">
        <f>Translations!$B$611</f>
        <v>Iron or steel products</v>
      </c>
      <c r="F356" s="628" t="str">
        <f>IF(E356=" --- ","",COUNTIF($E$4:E356,E356)&amp;"_"&amp;E356)</f>
        <v>264_Iron or steel products</v>
      </c>
      <c r="H356" s="628" t="s">
        <v>1944</v>
      </c>
    </row>
    <row r="357" spans="1:8" x14ac:dyDescent="0.3">
      <c r="A357" s="628" t="s">
        <v>1945</v>
      </c>
      <c r="B357" s="628" t="s">
        <v>1946</v>
      </c>
      <c r="C357" s="628" t="str">
        <f>Translations!$B$1162</f>
        <v>Angles, shapes and sections, of iron or steel, welded</v>
      </c>
      <c r="D357" s="628" t="str">
        <f t="shared" si="6"/>
        <v>73012000</v>
      </c>
      <c r="E357" s="1140" t="str">
        <f>Translations!$B$611</f>
        <v>Iron or steel products</v>
      </c>
      <c r="F357" s="628" t="str">
        <f>IF(E357=" --- ","",COUNTIF($E$4:E357,E357)&amp;"_"&amp;E357)</f>
        <v>265_Iron or steel products</v>
      </c>
      <c r="H357" s="628" t="s">
        <v>1947</v>
      </c>
    </row>
    <row r="358" spans="1:8" x14ac:dyDescent="0.3">
      <c r="A358" s="628" t="s">
        <v>1952</v>
      </c>
      <c r="B358" s="628" t="s">
        <v>1953</v>
      </c>
      <c r="C358" s="628" t="str">
        <f>Translations!$B$1165</f>
        <v>Current-conducting rails of iron or steel, with parts of non-ferrous metal, for railway or tramway track (excl. check-rails)</v>
      </c>
      <c r="D358" s="628" t="str">
        <f t="shared" si="6"/>
        <v>73021010</v>
      </c>
      <c r="E358" s="1140" t="str">
        <f>Translations!$B$611</f>
        <v>Iron or steel products</v>
      </c>
      <c r="F358" s="628" t="str">
        <f>IF(E358=" --- ","",COUNTIF($E$4:E358,E358)&amp;"_"&amp;E358)</f>
        <v>266_Iron or steel products</v>
      </c>
      <c r="H358" s="628" t="s">
        <v>1954</v>
      </c>
    </row>
    <row r="359" spans="1:8" x14ac:dyDescent="0.3">
      <c r="A359" s="628" t="s">
        <v>1955</v>
      </c>
      <c r="B359" s="628" t="s">
        <v>1956</v>
      </c>
      <c r="C359" s="628" t="str">
        <f>Translations!$B$1166</f>
        <v>Vignole rails of iron or steel, for railway or tramway track, new, of a weight of &gt;= 36 kg/m</v>
      </c>
      <c r="D359" s="628" t="str">
        <f t="shared" si="6"/>
        <v>73021022</v>
      </c>
      <c r="E359" s="1140" t="str">
        <f>Translations!$B$611</f>
        <v>Iron or steel products</v>
      </c>
      <c r="F359" s="628" t="str">
        <f>IF(E359=" --- ","",COUNTIF($E$4:E359,E359)&amp;"_"&amp;E359)</f>
        <v>267_Iron or steel products</v>
      </c>
      <c r="H359" s="628" t="s">
        <v>1957</v>
      </c>
    </row>
    <row r="360" spans="1:8" x14ac:dyDescent="0.3">
      <c r="A360" s="628" t="s">
        <v>1958</v>
      </c>
      <c r="B360" s="628" t="s">
        <v>1959</v>
      </c>
      <c r="C360" s="628" t="str">
        <f>Translations!$B$1167</f>
        <v>Vignole rails of iron or steel, for railway or tramway track, new, of a weight of &lt; 36 kg/m</v>
      </c>
      <c r="D360" s="628" t="str">
        <f t="shared" si="6"/>
        <v>73021028</v>
      </c>
      <c r="E360" s="1140" t="str">
        <f>Translations!$B$611</f>
        <v>Iron or steel products</v>
      </c>
      <c r="F360" s="628" t="str">
        <f>IF(E360=" --- ","",COUNTIF($E$4:E360,E360)&amp;"_"&amp;E360)</f>
        <v>268_Iron or steel products</v>
      </c>
      <c r="H360" s="628" t="s">
        <v>1960</v>
      </c>
    </row>
    <row r="361" spans="1:8" x14ac:dyDescent="0.3">
      <c r="A361" s="628" t="s">
        <v>1961</v>
      </c>
      <c r="B361" s="628" t="s">
        <v>1962</v>
      </c>
      <c r="C361" s="628" t="str">
        <f>Translations!$B$1168</f>
        <v>Grooved rails of iron or steel, for railway or tramway track, new</v>
      </c>
      <c r="D361" s="628" t="str">
        <f t="shared" si="6"/>
        <v>73021040</v>
      </c>
      <c r="E361" s="1140" t="str">
        <f>Translations!$B$611</f>
        <v>Iron or steel products</v>
      </c>
      <c r="F361" s="628" t="str">
        <f>IF(E361=" --- ","",COUNTIF($E$4:E361,E361)&amp;"_"&amp;E361)</f>
        <v>269_Iron or steel products</v>
      </c>
      <c r="H361" s="628" t="s">
        <v>1963</v>
      </c>
    </row>
    <row r="362" spans="1:8" x14ac:dyDescent="0.3">
      <c r="A362" s="628" t="s">
        <v>1964</v>
      </c>
      <c r="B362" s="628" t="s">
        <v>1965</v>
      </c>
      <c r="C362" s="628" t="str">
        <f>Translations!$B$1169</f>
        <v>Rails of iron or steel, for railway or tramway track, new (excl. vignole rails, grooved rails, and current-conducting rails with parts of non-ferrous metal)</v>
      </c>
      <c r="D362" s="628" t="str">
        <f t="shared" si="6"/>
        <v>73021050</v>
      </c>
      <c r="E362" s="1140" t="str">
        <f>Translations!$B$611</f>
        <v>Iron or steel products</v>
      </c>
      <c r="F362" s="628" t="str">
        <f>IF(E362=" --- ","",COUNTIF($E$4:E362,E362)&amp;"_"&amp;E362)</f>
        <v>270_Iron or steel products</v>
      </c>
      <c r="H362" s="628" t="s">
        <v>1966</v>
      </c>
    </row>
    <row r="363" spans="1:8" x14ac:dyDescent="0.3">
      <c r="A363" s="628" t="s">
        <v>1967</v>
      </c>
      <c r="B363" s="628" t="s">
        <v>1968</v>
      </c>
      <c r="C363" s="628" t="str">
        <f>Translations!$B$1170</f>
        <v>Rails of iron or steel, for railway or tramway track, used (excl. current-conducting rails with parts of non-ferrous metal)</v>
      </c>
      <c r="D363" s="628" t="str">
        <f t="shared" si="6"/>
        <v>73021090</v>
      </c>
      <c r="E363" s="1140" t="str">
        <f>Translations!$B$611</f>
        <v>Iron or steel products</v>
      </c>
      <c r="F363" s="628" t="str">
        <f>IF(E363=" --- ","",COUNTIF($E$4:E363,E363)&amp;"_"&amp;E363)</f>
        <v>271_Iron or steel products</v>
      </c>
      <c r="H363" s="628" t="s">
        <v>1969</v>
      </c>
    </row>
    <row r="364" spans="1:8" x14ac:dyDescent="0.3">
      <c r="A364" s="628" t="s">
        <v>1970</v>
      </c>
      <c r="B364" s="628" t="s">
        <v>1971</v>
      </c>
      <c r="C364" s="628" t="str">
        <f>Translations!$B$1171</f>
        <v>Switch blades, crossing frogs, point rods and other crossing pieces, for railway or tramway track, of iron or steel</v>
      </c>
      <c r="D364" s="628" t="str">
        <f t="shared" si="6"/>
        <v>73023000</v>
      </c>
      <c r="E364" s="1140" t="str">
        <f>Translations!$B$611</f>
        <v>Iron or steel products</v>
      </c>
      <c r="F364" s="628" t="str">
        <f>IF(E364=" --- ","",COUNTIF($E$4:E364,E364)&amp;"_"&amp;E364)</f>
        <v>272_Iron or steel products</v>
      </c>
      <c r="H364" s="628" t="s">
        <v>1972</v>
      </c>
    </row>
    <row r="365" spans="1:8" x14ac:dyDescent="0.3">
      <c r="A365" s="628" t="s">
        <v>1973</v>
      </c>
      <c r="B365" s="628" t="s">
        <v>1974</v>
      </c>
      <c r="C365" s="628" t="str">
        <f>Translations!$B$1172</f>
        <v>Fish-plates and sole plates of iron or steel, for railways or tramways</v>
      </c>
      <c r="D365" s="628" t="str">
        <f t="shared" si="6"/>
        <v>73024000</v>
      </c>
      <c r="E365" s="1140" t="str">
        <f>Translations!$B$611</f>
        <v>Iron or steel products</v>
      </c>
      <c r="F365" s="628" t="str">
        <f>IF(E365=" --- ","",COUNTIF($E$4:E365,E365)&amp;"_"&amp;E365)</f>
        <v>273_Iron or steel products</v>
      </c>
      <c r="H365" s="628" t="s">
        <v>1975</v>
      </c>
    </row>
    <row r="366" spans="1:8" x14ac:dyDescent="0.3">
      <c r="A366" s="628" t="s">
        <v>1976</v>
      </c>
      <c r="B366" s="628" t="s">
        <v>1977</v>
      </c>
      <c r="C366" s="628" t="str">
        <f>Translations!$B$1173</f>
        <v>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v>
      </c>
      <c r="D366" s="628" t="str">
        <f t="shared" si="6"/>
        <v>73029000</v>
      </c>
      <c r="E366" s="1140" t="str">
        <f>Translations!$B$611</f>
        <v>Iron or steel products</v>
      </c>
      <c r="F366" s="628" t="str">
        <f>IF(E366=" --- ","",COUNTIF($E$4:E366,E366)&amp;"_"&amp;E366)</f>
        <v>274_Iron or steel products</v>
      </c>
      <c r="H366" s="628" t="s">
        <v>1978</v>
      </c>
    </row>
    <row r="367" spans="1:8" x14ac:dyDescent="0.3">
      <c r="A367" s="628" t="s">
        <v>1981</v>
      </c>
      <c r="B367" s="628" t="s">
        <v>1982</v>
      </c>
      <c r="C367" s="628" t="str">
        <f>Translations!$B$1175</f>
        <v>Tubes and pipes of a kind used in pressure systems, of cast iron</v>
      </c>
      <c r="D367" s="628" t="str">
        <f t="shared" si="6"/>
        <v>73030010</v>
      </c>
      <c r="E367" s="1140" t="str">
        <f>Translations!$B$611</f>
        <v>Iron or steel products</v>
      </c>
      <c r="F367" s="628" t="str">
        <f>IF(E367=" --- ","",COUNTIF($E$4:E367,E367)&amp;"_"&amp;E367)</f>
        <v>275_Iron or steel products</v>
      </c>
      <c r="H367" s="628" t="s">
        <v>1983</v>
      </c>
    </row>
    <row r="368" spans="1:8" x14ac:dyDescent="0.3">
      <c r="A368" s="628" t="s">
        <v>1984</v>
      </c>
      <c r="B368" s="628" t="s">
        <v>1985</v>
      </c>
      <c r="C368" s="628" t="str">
        <f>Translations!$B$1176</f>
        <v>Tubes, pipes and hollow profiles, of cast iron (excl. products of a kind used in pressure systems)</v>
      </c>
      <c r="D368" s="628" t="str">
        <f t="shared" si="6"/>
        <v>73030090</v>
      </c>
      <c r="E368" s="1140" t="str">
        <f>Translations!$B$611</f>
        <v>Iron or steel products</v>
      </c>
      <c r="F368" s="628" t="str">
        <f>IF(E368=" --- ","",COUNTIF($E$4:E368,E368)&amp;"_"&amp;E368)</f>
        <v>276_Iron or steel products</v>
      </c>
      <c r="H368" s="628" t="s">
        <v>1986</v>
      </c>
    </row>
    <row r="369" spans="1:8" x14ac:dyDescent="0.3">
      <c r="A369" s="628" t="s">
        <v>1989</v>
      </c>
      <c r="B369" s="628" t="s">
        <v>1990</v>
      </c>
      <c r="C369" s="628" t="str">
        <f>Translations!$B$1178</f>
        <v>Line pipe of a kind used for oil or gas pipelines, seamless, of stainless steel</v>
      </c>
      <c r="D369" s="628" t="str">
        <f t="shared" si="6"/>
        <v>73041100</v>
      </c>
      <c r="E369" s="1140" t="str">
        <f>Translations!$B$611</f>
        <v>Iron or steel products</v>
      </c>
      <c r="F369" s="628" t="str">
        <f>IF(E369=" --- ","",COUNTIF($E$4:E369,E369)&amp;"_"&amp;E369)</f>
        <v>277_Iron or steel products</v>
      </c>
      <c r="H369" s="628" t="s">
        <v>1991</v>
      </c>
    </row>
    <row r="370" spans="1:8" x14ac:dyDescent="0.3">
      <c r="A370" s="628" t="s">
        <v>1994</v>
      </c>
      <c r="B370" s="628" t="s">
        <v>1995</v>
      </c>
      <c r="C370" s="628" t="str">
        <f>Translations!$B$1180</f>
        <v>Line pipe of a kind used for oil or gas pipelines, seamless, of iron or steel, of an external diameter of &lt;= 168,3 mm (excl. products of stainless steel or of cast iron)</v>
      </c>
      <c r="D370" s="628" t="str">
        <f t="shared" si="6"/>
        <v>73041910</v>
      </c>
      <c r="E370" s="1140" t="str">
        <f>Translations!$B$611</f>
        <v>Iron or steel products</v>
      </c>
      <c r="F370" s="628" t="str">
        <f>IF(E370=" --- ","",COUNTIF($E$4:E370,E370)&amp;"_"&amp;E370)</f>
        <v>278_Iron or steel products</v>
      </c>
      <c r="H370" s="628" t="s">
        <v>1996</v>
      </c>
    </row>
    <row r="371" spans="1:8" x14ac:dyDescent="0.3">
      <c r="A371" s="628" t="s">
        <v>1997</v>
      </c>
      <c r="B371" s="628" t="s">
        <v>1998</v>
      </c>
      <c r="C371" s="628" t="str">
        <f>Translations!$B$1181</f>
        <v>Line pipe of a kind used for oil or gas pipelines, seamless, of iron or steel, of an external diameter of &gt; 168,3 mm but &lt;= 406,4 mm (excl. products of stainless steel or of cast iron)</v>
      </c>
      <c r="D371" s="628" t="str">
        <f t="shared" si="6"/>
        <v>73041930</v>
      </c>
      <c r="E371" s="1140" t="str">
        <f>Translations!$B$611</f>
        <v>Iron or steel products</v>
      </c>
      <c r="F371" s="628" t="str">
        <f>IF(E371=" --- ","",COUNTIF($E$4:E371,E371)&amp;"_"&amp;E371)</f>
        <v>279_Iron or steel products</v>
      </c>
      <c r="H371" s="628" t="s">
        <v>1999</v>
      </c>
    </row>
    <row r="372" spans="1:8" x14ac:dyDescent="0.3">
      <c r="A372" s="628" t="s">
        <v>2000</v>
      </c>
      <c r="B372" s="628" t="s">
        <v>2001</v>
      </c>
      <c r="C372" s="628" t="str">
        <f>Translations!$B$1182</f>
        <v>Line pipe of a kind used for oil or gas pipelines, seamless, of iron or steel, of an external diameter of &gt; 406,4 mm (excl. products of stainless steel or of cast iron)</v>
      </c>
      <c r="D372" s="628" t="str">
        <f t="shared" si="6"/>
        <v>73041990</v>
      </c>
      <c r="E372" s="1140" t="str">
        <f>Translations!$B$611</f>
        <v>Iron or steel products</v>
      </c>
      <c r="F372" s="628" t="str">
        <f>IF(E372=" --- ","",COUNTIF($E$4:E372,E372)&amp;"_"&amp;E372)</f>
        <v>280_Iron or steel products</v>
      </c>
      <c r="H372" s="628" t="s">
        <v>2002</v>
      </c>
    </row>
    <row r="373" spans="1:8" x14ac:dyDescent="0.3">
      <c r="A373" s="628" t="s">
        <v>2003</v>
      </c>
      <c r="B373" s="628" t="s">
        <v>2004</v>
      </c>
      <c r="C373" s="628" t="str">
        <f>Translations!$B$1183</f>
        <v>Drill pipe, seamless, of stainless steel, of a kind used in drilling for oil or gas</v>
      </c>
      <c r="D373" s="628" t="str">
        <f t="shared" si="6"/>
        <v>73042200</v>
      </c>
      <c r="E373" s="1140" t="str">
        <f>Translations!$B$611</f>
        <v>Iron or steel products</v>
      </c>
      <c r="F373" s="628" t="str">
        <f>IF(E373=" --- ","",COUNTIF($E$4:E373,E373)&amp;"_"&amp;E373)</f>
        <v>281_Iron or steel products</v>
      </c>
      <c r="H373" s="628" t="s">
        <v>2005</v>
      </c>
    </row>
    <row r="374" spans="1:8" x14ac:dyDescent="0.3">
      <c r="A374" s="628" t="s">
        <v>2006</v>
      </c>
      <c r="B374" s="628" t="s">
        <v>2007</v>
      </c>
      <c r="C374" s="628" t="str">
        <f>Translations!$B$1184</f>
        <v>Drill pipe, seamless, of a kind used in drilling for oil or gas, of iron or steel (excl. products of stainless steel or of cast iron)</v>
      </c>
      <c r="D374" s="628" t="str">
        <f t="shared" si="6"/>
        <v>73042300</v>
      </c>
      <c r="E374" s="1140" t="str">
        <f>Translations!$B$611</f>
        <v>Iron or steel products</v>
      </c>
      <c r="F374" s="628" t="str">
        <f>IF(E374=" --- ","",COUNTIF($E$4:E374,E374)&amp;"_"&amp;E374)</f>
        <v>282_Iron or steel products</v>
      </c>
      <c r="H374" s="628" t="s">
        <v>2008</v>
      </c>
    </row>
    <row r="375" spans="1:8" x14ac:dyDescent="0.3">
      <c r="A375" s="628" t="s">
        <v>2009</v>
      </c>
      <c r="B375" s="628" t="s">
        <v>2010</v>
      </c>
      <c r="C375" s="628" t="str">
        <f>Translations!$B$1185</f>
        <v>Casing and tubing, seamless, of a kind used for drilling for oil or gas, of stainless steel</v>
      </c>
      <c r="D375" s="628" t="str">
        <f t="shared" si="6"/>
        <v>73042400</v>
      </c>
      <c r="E375" s="1140" t="str">
        <f>Translations!$B$611</f>
        <v>Iron or steel products</v>
      </c>
      <c r="F375" s="628" t="str">
        <f>IF(E375=" --- ","",COUNTIF($E$4:E375,E375)&amp;"_"&amp;E375)</f>
        <v>283_Iron or steel products</v>
      </c>
      <c r="H375" s="628" t="s">
        <v>2011</v>
      </c>
    </row>
    <row r="376" spans="1:8" x14ac:dyDescent="0.3">
      <c r="A376" s="628" t="s">
        <v>2014</v>
      </c>
      <c r="B376" s="628" t="s">
        <v>2015</v>
      </c>
      <c r="C376" s="628" t="str">
        <f>Translations!$B$1187</f>
        <v>Casing and tubing of a kind used for drilling for oil or gas, seamless, of iron or steel, of an external diameter &lt;= 168,3 mm (excl. products of cast iron)</v>
      </c>
      <c r="D376" s="628" t="str">
        <f t="shared" si="6"/>
        <v>73042910</v>
      </c>
      <c r="E376" s="1140" t="str">
        <f>Translations!$B$611</f>
        <v>Iron or steel products</v>
      </c>
      <c r="F376" s="628" t="str">
        <f>IF(E376=" --- ","",COUNTIF($E$4:E376,E376)&amp;"_"&amp;E376)</f>
        <v>284_Iron or steel products</v>
      </c>
      <c r="H376" s="628" t="s">
        <v>4225</v>
      </c>
    </row>
    <row r="377" spans="1:8" x14ac:dyDescent="0.3">
      <c r="A377" s="628" t="s">
        <v>2017</v>
      </c>
      <c r="B377" s="628" t="s">
        <v>2018</v>
      </c>
      <c r="C377" s="628" t="str">
        <f>Translations!$B$1188</f>
        <v>Casing and tubing of a kind used for drilling for oil or gas, seamless, of iron or steel, of an external diameter &gt; 168,3 mm, but &lt;= 406,4 mm (excl. products of cast iron)</v>
      </c>
      <c r="D377" s="628" t="str">
        <f t="shared" si="6"/>
        <v>73042930</v>
      </c>
      <c r="E377" s="1140" t="str">
        <f>Translations!$B$611</f>
        <v>Iron or steel products</v>
      </c>
      <c r="F377" s="628" t="str">
        <f>IF(E377=" --- ","",COUNTIF($E$4:E377,E377)&amp;"_"&amp;E377)</f>
        <v>285_Iron or steel products</v>
      </c>
      <c r="H377" s="628" t="s">
        <v>4226</v>
      </c>
    </row>
    <row r="378" spans="1:8" x14ac:dyDescent="0.3">
      <c r="A378" s="628" t="s">
        <v>2020</v>
      </c>
      <c r="B378" s="628" t="s">
        <v>2021</v>
      </c>
      <c r="C378" s="628" t="str">
        <f>Translations!$B$1189</f>
        <v>Casing and tubing of a kind used for drilling for oil or gas, seamless, of iron or steel, of an external diameter &gt; 406,4 mm (excl. products of cast iron)</v>
      </c>
      <c r="D378" s="628" t="str">
        <f t="shared" si="6"/>
        <v>73042990</v>
      </c>
      <c r="E378" s="1140" t="str">
        <f>Translations!$B$611</f>
        <v>Iron or steel products</v>
      </c>
      <c r="F378" s="628" t="str">
        <f>IF(E378=" --- ","",COUNTIF($E$4:E378,E378)&amp;"_"&amp;E378)</f>
        <v>286_Iron or steel products</v>
      </c>
      <c r="H378" s="628" t="s">
        <v>2022</v>
      </c>
    </row>
    <row r="379" spans="1:8" x14ac:dyDescent="0.3">
      <c r="A379" s="628" t="s">
        <v>2025</v>
      </c>
      <c r="B379" s="628" t="s">
        <v>2026</v>
      </c>
      <c r="C379" s="628" t="str">
        <f>Translations!$B$1191</f>
        <v>Precision tubes, seamless, of circular cross-section, of iron or non-alloy steel, cold-drawn or cold-rolled "cold-reduced" (excl. line pipe of a kind used for oil or gas pipelines or casing and tubing of a kind used for drilling for oil or gas)</v>
      </c>
      <c r="D379" s="628" t="str">
        <f t="shared" si="6"/>
        <v>73043120</v>
      </c>
      <c r="E379" s="1140" t="str">
        <f>Translations!$B$611</f>
        <v>Iron or steel products</v>
      </c>
      <c r="F379" s="628" t="str">
        <f>IF(E379=" --- ","",COUNTIF($E$4:E379,E379)&amp;"_"&amp;E379)</f>
        <v>287_Iron or steel products</v>
      </c>
      <c r="H379" s="628" t="s">
        <v>2027</v>
      </c>
    </row>
    <row r="380" spans="1:8" x14ac:dyDescent="0.3">
      <c r="A380" s="628" t="s">
        <v>2028</v>
      </c>
      <c r="B380" s="628" t="s">
        <v>2029</v>
      </c>
      <c r="C380" s="628" t="str">
        <f>Translations!$B$1192</f>
        <v>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v>
      </c>
      <c r="D380" s="628" t="str">
        <f t="shared" si="6"/>
        <v>73043180</v>
      </c>
      <c r="E380" s="1140" t="str">
        <f>Translations!$B$611</f>
        <v>Iron or steel products</v>
      </c>
      <c r="F380" s="628" t="str">
        <f>IF(E380=" --- ","",COUNTIF($E$4:E380,E380)&amp;"_"&amp;E380)</f>
        <v>288_Iron or steel products</v>
      </c>
      <c r="H380" s="628" t="s">
        <v>2030</v>
      </c>
    </row>
    <row r="381" spans="1:8" x14ac:dyDescent="0.3">
      <c r="A381" s="628" t="s">
        <v>2033</v>
      </c>
      <c r="B381" s="628" t="s">
        <v>2034</v>
      </c>
      <c r="C381" s="628" t="str">
        <f>Translations!$B$1194</f>
        <v>Threaded or threadable tubes "gas pipe", seamless, of iron or non-alloy steel (excl. of cast iron)</v>
      </c>
      <c r="D381" s="628" t="str">
        <f t="shared" si="6"/>
        <v>73043950</v>
      </c>
      <c r="E381" s="1140" t="str">
        <f>Translations!$B$611</f>
        <v>Iron or steel products</v>
      </c>
      <c r="F381" s="628" t="str">
        <f>IF(E381=" --- ","",COUNTIF($E$4:E381,E381)&amp;"_"&amp;E381)</f>
        <v>289_Iron or steel products</v>
      </c>
      <c r="H381" s="628" t="s">
        <v>2035</v>
      </c>
    </row>
    <row r="382" spans="1:8" x14ac:dyDescent="0.3">
      <c r="A382" s="628" t="s">
        <v>2036</v>
      </c>
      <c r="B382" s="628" t="s">
        <v>2037</v>
      </c>
      <c r="C382" s="628" t="str">
        <f>Translations!$B$1195</f>
        <v>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v>
      </c>
      <c r="D382" s="628" t="str">
        <f t="shared" si="6"/>
        <v>73043982</v>
      </c>
      <c r="E382" s="1140" t="str">
        <f>Translations!$B$611</f>
        <v>Iron or steel products</v>
      </c>
      <c r="F382" s="628" t="str">
        <f>IF(E382=" --- ","",COUNTIF($E$4:E382,E382)&amp;"_"&amp;E382)</f>
        <v>290_Iron or steel products</v>
      </c>
      <c r="H382" s="628" t="s">
        <v>2038</v>
      </c>
    </row>
    <row r="383" spans="1:8" x14ac:dyDescent="0.3">
      <c r="A383" s="628" t="s">
        <v>2039</v>
      </c>
      <c r="B383" s="628" t="s">
        <v>2040</v>
      </c>
      <c r="C383" s="628" t="str">
        <f>Translations!$B$1196</f>
        <v>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v>
      </c>
      <c r="D383" s="628" t="str">
        <f t="shared" si="6"/>
        <v>73043983</v>
      </c>
      <c r="E383" s="1140" t="str">
        <f>Translations!$B$611</f>
        <v>Iron or steel products</v>
      </c>
      <c r="F383" s="628" t="str">
        <f>IF(E383=" --- ","",COUNTIF($E$4:E383,E383)&amp;"_"&amp;E383)</f>
        <v>291_Iron or steel products</v>
      </c>
      <c r="H383" s="628" t="s">
        <v>2041</v>
      </c>
    </row>
    <row r="384" spans="1:8" x14ac:dyDescent="0.3">
      <c r="A384" s="628" t="s">
        <v>2042</v>
      </c>
      <c r="B384" s="628" t="s">
        <v>2043</v>
      </c>
      <c r="C384" s="628" t="str">
        <f>Translations!$B$1197</f>
        <v>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v>
      </c>
      <c r="D384" s="628" t="str">
        <f t="shared" si="6"/>
        <v>73043988</v>
      </c>
      <c r="E384" s="1140" t="str">
        <f>Translations!$B$611</f>
        <v>Iron or steel products</v>
      </c>
      <c r="F384" s="628" t="str">
        <f>IF(E384=" --- ","",COUNTIF($E$4:E384,E384)&amp;"_"&amp;E384)</f>
        <v>292_Iron or steel products</v>
      </c>
      <c r="H384" s="628" t="s">
        <v>2044</v>
      </c>
    </row>
    <row r="385" spans="1:8" x14ac:dyDescent="0.3">
      <c r="A385" s="628" t="s">
        <v>2045</v>
      </c>
      <c r="B385" s="628" t="s">
        <v>2046</v>
      </c>
      <c r="C385" s="628" t="str">
        <f>Translations!$B$1198</f>
        <v>Tubes, pipes and hollow profiles, seamless, of circular cross-section, of stainless steel, cold-drawn or cold-rolled "cold-reduced" (excl. line pipe of a kind used for oil or gas pipelines, casing and tubing of a kind used for drilling for oil or gas)</v>
      </c>
      <c r="D385" s="628" t="str">
        <f t="shared" si="6"/>
        <v>73044100</v>
      </c>
      <c r="E385" s="1140" t="str">
        <f>Translations!$B$611</f>
        <v>Iron or steel products</v>
      </c>
      <c r="F385" s="628" t="str">
        <f>IF(E385=" --- ","",COUNTIF($E$4:E385,E385)&amp;"_"&amp;E385)</f>
        <v>293_Iron or steel products</v>
      </c>
      <c r="H385" s="628" t="s">
        <v>2047</v>
      </c>
    </row>
    <row r="386" spans="1:8" x14ac:dyDescent="0.3">
      <c r="A386" s="628" t="s">
        <v>2050</v>
      </c>
      <c r="B386" s="628" t="s">
        <v>2051</v>
      </c>
      <c r="C386" s="628" t="str">
        <f>Translations!$B$1200</f>
        <v>Tubes, pipes and hollow profiles, seamless, of circular cross-section, of stainless steel, of an external diameter of &lt;= 168,3 mm (excl. cold-drawn or cold-rolled, line pipe of a kind used for oil or gas pipelines, and casing and tubing of a kind used for drilling for oil or gas and tubes)</v>
      </c>
      <c r="D386" s="628" t="str">
        <f t="shared" si="6"/>
        <v>73044983</v>
      </c>
      <c r="E386" s="1140" t="str">
        <f>Translations!$B$611</f>
        <v>Iron or steel products</v>
      </c>
      <c r="F386" s="628" t="str">
        <f>IF(E386=" --- ","",COUNTIF($E$4:E386,E386)&amp;"_"&amp;E386)</f>
        <v>294_Iron or steel products</v>
      </c>
      <c r="H386" s="628" t="s">
        <v>2052</v>
      </c>
    </row>
    <row r="387" spans="1:8" x14ac:dyDescent="0.3">
      <c r="A387" s="628" t="s">
        <v>2053</v>
      </c>
      <c r="B387" s="628" t="s">
        <v>2054</v>
      </c>
      <c r="C387" s="628" t="str">
        <f>Translations!$B$1201</f>
        <v>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v>
      </c>
      <c r="D387" s="628" t="str">
        <f t="shared" si="6"/>
        <v>73044985</v>
      </c>
      <c r="E387" s="1140" t="str">
        <f>Translations!$B$611</f>
        <v>Iron or steel products</v>
      </c>
      <c r="F387" s="628" t="str">
        <f>IF(E387=" --- ","",COUNTIF($E$4:E387,E387)&amp;"_"&amp;E387)</f>
        <v>295_Iron or steel products</v>
      </c>
      <c r="H387" s="628" t="s">
        <v>2055</v>
      </c>
    </row>
    <row r="388" spans="1:8" x14ac:dyDescent="0.3">
      <c r="A388" s="628" t="s">
        <v>2056</v>
      </c>
      <c r="B388" s="628" t="s">
        <v>2057</v>
      </c>
      <c r="C388" s="628" t="str">
        <f>Translations!$B$1202</f>
        <v>Tubes, pipes and hollow profiles, seamless, of circular cross-section, of stainless steel, of an external diameter of &gt; 406,4 mm (excl. cold-drawn or cold-rolled, line pipe of a kind used for oil or gas pipelines, and casing and tubing of a kind used for drilling for oil or gas and tubes)</v>
      </c>
      <c r="D388" s="628" t="str">
        <f t="shared" si="6"/>
        <v>73044989</v>
      </c>
      <c r="E388" s="1140" t="str">
        <f>Translations!$B$611</f>
        <v>Iron or steel products</v>
      </c>
      <c r="F388" s="628" t="str">
        <f>IF(E388=" --- ","",COUNTIF($E$4:E388,E388)&amp;"_"&amp;E388)</f>
        <v>296_Iron or steel products</v>
      </c>
      <c r="H388" s="628" t="s">
        <v>2058</v>
      </c>
    </row>
    <row r="389" spans="1:8" x14ac:dyDescent="0.3">
      <c r="A389" s="628" t="s">
        <v>2061</v>
      </c>
      <c r="B389" s="628" t="s">
        <v>2062</v>
      </c>
      <c r="C389" s="628" t="str">
        <f>Translations!$B$1204</f>
        <v>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v>
      </c>
      <c r="D389" s="628" t="str">
        <f t="shared" si="6"/>
        <v>73045110</v>
      </c>
      <c r="E389" s="1140" t="str">
        <f>Translations!$B$611</f>
        <v>Iron or steel products</v>
      </c>
      <c r="F389" s="628" t="str">
        <f>IF(E389=" --- ","",COUNTIF($E$4:E389,E389)&amp;"_"&amp;E389)</f>
        <v>297_Iron or steel products</v>
      </c>
      <c r="H389" s="628" t="s">
        <v>2063</v>
      </c>
    </row>
    <row r="390" spans="1:8" x14ac:dyDescent="0.3">
      <c r="A390" s="628" t="s">
        <v>2064</v>
      </c>
      <c r="B390" s="628" t="s">
        <v>2065</v>
      </c>
      <c r="C390" s="628" t="str">
        <f>Translations!$B$1205</f>
        <v>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v>
      </c>
      <c r="D390" s="628" t="str">
        <f t="shared" si="6"/>
        <v>73045181</v>
      </c>
      <c r="E390" s="1140" t="str">
        <f>Translations!$B$611</f>
        <v>Iron or steel products</v>
      </c>
      <c r="F390" s="628" t="str">
        <f>IF(E390=" --- ","",COUNTIF($E$4:E390,E390)&amp;"_"&amp;E390)</f>
        <v>298_Iron or steel products</v>
      </c>
      <c r="H390" s="628" t="s">
        <v>2066</v>
      </c>
    </row>
    <row r="391" spans="1:8" x14ac:dyDescent="0.3">
      <c r="A391" s="628" t="s">
        <v>2067</v>
      </c>
      <c r="B391" s="628" t="s">
        <v>2068</v>
      </c>
      <c r="C391" s="628" t="str">
        <f>Translations!$B$1206</f>
        <v>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v>
      </c>
      <c r="D391" s="628" t="str">
        <f t="shared" si="6"/>
        <v>73045189</v>
      </c>
      <c r="E391" s="1140" t="str">
        <f>Translations!$B$611</f>
        <v>Iron or steel products</v>
      </c>
      <c r="F391" s="628" t="str">
        <f>IF(E391=" --- ","",COUNTIF($E$4:E391,E391)&amp;"_"&amp;E391)</f>
        <v>299_Iron or steel products</v>
      </c>
      <c r="H391" s="628" t="s">
        <v>2069</v>
      </c>
    </row>
    <row r="392" spans="1:8" x14ac:dyDescent="0.3">
      <c r="A392" s="628" t="s">
        <v>2072</v>
      </c>
      <c r="B392" s="628" t="s">
        <v>2073</v>
      </c>
      <c r="C392" s="628" t="str">
        <f>Translations!$B$1208</f>
        <v>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v>
      </c>
      <c r="D392" s="628" t="str">
        <f t="shared" si="6"/>
        <v>73045930</v>
      </c>
      <c r="E392" s="1140" t="str">
        <f>Translations!$B$611</f>
        <v>Iron or steel products</v>
      </c>
      <c r="F392" s="628" t="str">
        <f>IF(E392=" --- ","",COUNTIF($E$4:E392,E392)&amp;"_"&amp;E392)</f>
        <v>300_Iron or steel products</v>
      </c>
      <c r="H392" s="628" t="s">
        <v>2074</v>
      </c>
    </row>
    <row r="393" spans="1:8" x14ac:dyDescent="0.3">
      <c r="A393" s="628" t="s">
        <v>2075</v>
      </c>
      <c r="B393" s="628" t="s">
        <v>2076</v>
      </c>
      <c r="C393" s="628" t="str">
        <f>Translations!$B$1209</f>
        <v>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v>
      </c>
      <c r="D393" s="628" t="str">
        <f t="shared" si="6"/>
        <v>73045982</v>
      </c>
      <c r="E393" s="1140" t="str">
        <f>Translations!$B$611</f>
        <v>Iron or steel products</v>
      </c>
      <c r="F393" s="628" t="str">
        <f>IF(E393=" --- ","",COUNTIF($E$4:E393,E393)&amp;"_"&amp;E393)</f>
        <v>301_Iron or steel products</v>
      </c>
      <c r="H393" s="628" t="s">
        <v>2077</v>
      </c>
    </row>
    <row r="394" spans="1:8" x14ac:dyDescent="0.3">
      <c r="A394" s="628" t="s">
        <v>2078</v>
      </c>
      <c r="B394" s="628" t="s">
        <v>2079</v>
      </c>
      <c r="C394" s="628" t="str">
        <f>Translations!$B$1210</f>
        <v>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v>
      </c>
      <c r="D394" s="628" t="str">
        <f t="shared" si="6"/>
        <v>73045983</v>
      </c>
      <c r="E394" s="1140" t="str">
        <f>Translations!$B$611</f>
        <v>Iron or steel products</v>
      </c>
      <c r="F394" s="628" t="str">
        <f>IF(E394=" --- ","",COUNTIF($E$4:E394,E394)&amp;"_"&amp;E394)</f>
        <v>302_Iron or steel products</v>
      </c>
      <c r="H394" s="628" t="s">
        <v>2080</v>
      </c>
    </row>
    <row r="395" spans="1:8" x14ac:dyDescent="0.3">
      <c r="A395" s="628" t="s">
        <v>2081</v>
      </c>
      <c r="B395" s="628" t="s">
        <v>2082</v>
      </c>
      <c r="C395" s="628" t="str">
        <f>Translations!$B$1211</f>
        <v>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v>
      </c>
      <c r="D395" s="628" t="str">
        <f t="shared" si="6"/>
        <v>73045989</v>
      </c>
      <c r="E395" s="1140" t="str">
        <f>Translations!$B$611</f>
        <v>Iron or steel products</v>
      </c>
      <c r="F395" s="628" t="str">
        <f>IF(E395=" --- ","",COUNTIF($E$4:E395,E395)&amp;"_"&amp;E395)</f>
        <v>303_Iron or steel products</v>
      </c>
      <c r="H395" s="628" t="s">
        <v>2083</v>
      </c>
    </row>
    <row r="396" spans="1:8" x14ac:dyDescent="0.3">
      <c r="A396" s="628" t="s">
        <v>2084</v>
      </c>
      <c r="B396" s="628" t="s">
        <v>2085</v>
      </c>
      <c r="C396" s="628" t="str">
        <f>Translations!$B$1212</f>
        <v>Tubes, pipes and hollow profiles, seamless, of non-circular cross-section, of iron or steel (excl. products of cast iron)</v>
      </c>
      <c r="D396" s="628" t="str">
        <f t="shared" si="6"/>
        <v>73049000</v>
      </c>
      <c r="E396" s="1140" t="str">
        <f>Translations!$B$611</f>
        <v>Iron or steel products</v>
      </c>
      <c r="F396" s="628" t="str">
        <f>IF(E396=" --- ","",COUNTIF($E$4:E396,E396)&amp;"_"&amp;E396)</f>
        <v>304_Iron or steel products</v>
      </c>
      <c r="H396" s="628" t="s">
        <v>2086</v>
      </c>
    </row>
    <row r="397" spans="1:8" x14ac:dyDescent="0.3">
      <c r="A397" s="628" t="s">
        <v>2089</v>
      </c>
      <c r="B397" s="628" t="s">
        <v>2090</v>
      </c>
      <c r="C397" s="628" t="str">
        <f>Translations!$B$1214</f>
        <v>Line pipe of a kind used for oil or gas pipelines, having circular cross-sections and an external diameter of &gt; 406,4 mm, of iron or steel, longitudinally submerged arc welded</v>
      </c>
      <c r="D397" s="628" t="str">
        <f t="shared" si="6"/>
        <v>73051100</v>
      </c>
      <c r="E397" s="1140" t="str">
        <f>Translations!$B$611</f>
        <v>Iron or steel products</v>
      </c>
      <c r="F397" s="628" t="str">
        <f>IF(E397=" --- ","",COUNTIF($E$4:E397,E397)&amp;"_"&amp;E397)</f>
        <v>305_Iron or steel products</v>
      </c>
      <c r="H397" s="628" t="s">
        <v>2091</v>
      </c>
    </row>
    <row r="398" spans="1:8" x14ac:dyDescent="0.3">
      <c r="A398" s="628" t="s">
        <v>2092</v>
      </c>
      <c r="B398" s="628" t="s">
        <v>2093</v>
      </c>
      <c r="C398" s="628" t="str">
        <f>Translations!$B$1215</f>
        <v>Line pipe of a kind used for oil or gas pipelines, having circular cross-sections and an external diameter of &gt; 406,4 mm, of iron or steel, longitudinally arc welded (excl. products longitudinally submerged arc welded)</v>
      </c>
      <c r="D398" s="628" t="str">
        <f t="shared" si="6"/>
        <v>73051200</v>
      </c>
      <c r="E398" s="1140" t="str">
        <f>Translations!$B$611</f>
        <v>Iron or steel products</v>
      </c>
      <c r="F398" s="628" t="str">
        <f>IF(E398=" --- ","",COUNTIF($E$4:E398,E398)&amp;"_"&amp;E398)</f>
        <v>306_Iron or steel products</v>
      </c>
      <c r="H398" s="628" t="s">
        <v>2094</v>
      </c>
    </row>
    <row r="399" spans="1:8" x14ac:dyDescent="0.3">
      <c r="A399" s="628" t="s">
        <v>2095</v>
      </c>
      <c r="B399" s="628" t="s">
        <v>2096</v>
      </c>
      <c r="C399" s="628" t="str">
        <f>Translations!$B$1216</f>
        <v>Line pipe of a kind used for oil or gas pipelines, having circular cross-sections and an external diameter of &gt; 406,4 mm, of flat-rolled products of iron or steel (excl. products longitudinally arc welded)</v>
      </c>
      <c r="D399" s="628" t="str">
        <f t="shared" si="6"/>
        <v>73051900</v>
      </c>
      <c r="E399" s="1140" t="str">
        <f>Translations!$B$611</f>
        <v>Iron or steel products</v>
      </c>
      <c r="F399" s="628" t="str">
        <f>IF(E399=" --- ","",COUNTIF($E$4:E399,E399)&amp;"_"&amp;E399)</f>
        <v>307_Iron or steel products</v>
      </c>
      <c r="H399" s="628" t="s">
        <v>2097</v>
      </c>
    </row>
    <row r="400" spans="1:8" x14ac:dyDescent="0.3">
      <c r="A400" s="628" t="s">
        <v>2098</v>
      </c>
      <c r="B400" s="628" t="s">
        <v>2099</v>
      </c>
      <c r="C400" s="628" t="str">
        <f>Translations!$B$1217</f>
        <v>Casing of a kind used in drilling for oil or gas, having circular cross-sections and an external diameter of &gt; 406,4 mm, of flat-rolled products of iron or steel</v>
      </c>
      <c r="D400" s="628" t="str">
        <f t="shared" si="6"/>
        <v>73052000</v>
      </c>
      <c r="E400" s="1140" t="str">
        <f>Translations!$B$611</f>
        <v>Iron or steel products</v>
      </c>
      <c r="F400" s="628" t="str">
        <f>IF(E400=" --- ","",COUNTIF($E$4:E400,E400)&amp;"_"&amp;E400)</f>
        <v>308_Iron or steel products</v>
      </c>
      <c r="H400" s="628" t="s">
        <v>2100</v>
      </c>
    </row>
    <row r="401" spans="1:8" x14ac:dyDescent="0.3">
      <c r="A401" s="628" t="s">
        <v>2101</v>
      </c>
      <c r="B401" s="628" t="s">
        <v>2102</v>
      </c>
      <c r="C401" s="628" t="str">
        <f>Translations!$B$1218</f>
        <v>Tubes and pipes having circular cross-sections and an external diameter of &gt; 406,4 mm, of iron or steel, longitudinally welded (excl. products of a kind used for oil or gas pipelines or of a kind used in drilling for oil or gas)</v>
      </c>
      <c r="D401" s="628" t="str">
        <f t="shared" si="6"/>
        <v>73053100</v>
      </c>
      <c r="E401" s="1140" t="str">
        <f>Translations!$B$611</f>
        <v>Iron or steel products</v>
      </c>
      <c r="F401" s="628" t="str">
        <f>IF(E401=" --- ","",COUNTIF($E$4:E401,E401)&amp;"_"&amp;E401)</f>
        <v>309_Iron or steel products</v>
      </c>
      <c r="H401" s="628" t="s">
        <v>2103</v>
      </c>
    </row>
    <row r="402" spans="1:8" x14ac:dyDescent="0.3">
      <c r="A402" s="628" t="s">
        <v>2104</v>
      </c>
      <c r="B402" s="628" t="s">
        <v>2105</v>
      </c>
      <c r="C402" s="628" t="str">
        <f>Translations!$B$1219</f>
        <v>Tubes and pipes having circular cross-sections and an external diameter of &gt; 406,4 mm, of iron or steel, welded (excl. products longitudinally welded or of a kind used for oil or gas pipelines or of a kind used in drilling for oil or gas)</v>
      </c>
      <c r="D402" s="628" t="str">
        <f t="shared" ref="D402:D465" si="7">SUBSTITUTE(B402," ","")</f>
        <v>73053900</v>
      </c>
      <c r="E402" s="1140" t="str">
        <f>Translations!$B$611</f>
        <v>Iron or steel products</v>
      </c>
      <c r="F402" s="628" t="str">
        <f>IF(E402=" --- ","",COUNTIF($E$4:E402,E402)&amp;"_"&amp;E402)</f>
        <v>310_Iron or steel products</v>
      </c>
      <c r="H402" s="628" t="s">
        <v>2106</v>
      </c>
    </row>
    <row r="403" spans="1:8" x14ac:dyDescent="0.3">
      <c r="A403" s="628" t="s">
        <v>2107</v>
      </c>
      <c r="B403" s="628" t="s">
        <v>2108</v>
      </c>
      <c r="C403" s="628" t="str">
        <f>Translations!$B$1220</f>
        <v>Tubes and pipes having circular cross-sections and an external diameter of &gt; 406,4 mm, of flat-rolled products of iron or steel, welded (excl. welded products or products of a kind used for oil or gas pipelines or of a kind used in drilling for oil or gas)</v>
      </c>
      <c r="D403" s="628" t="str">
        <f t="shared" si="7"/>
        <v>73059000</v>
      </c>
      <c r="E403" s="1140" t="str">
        <f>Translations!$B$611</f>
        <v>Iron or steel products</v>
      </c>
      <c r="F403" s="628" t="str">
        <f>IF(E403=" --- ","",COUNTIF($E$4:E403,E403)&amp;"_"&amp;E403)</f>
        <v>311_Iron or steel products</v>
      </c>
      <c r="H403" s="628" t="s">
        <v>2109</v>
      </c>
    </row>
    <row r="404" spans="1:8" x14ac:dyDescent="0.3">
      <c r="A404" s="628" t="s">
        <v>2112</v>
      </c>
      <c r="B404" s="628" t="s">
        <v>2113</v>
      </c>
      <c r="C404" s="628" t="str">
        <f>Translations!$B$1222</f>
        <v>Line pipe of a kind used for oil or gas pipelines, welded, of flat-rolled products of stainless steel, of an external diameter of &lt;= 406,4 mm</v>
      </c>
      <c r="D404" s="628" t="str">
        <f t="shared" si="7"/>
        <v>73061100</v>
      </c>
      <c r="E404" s="1140" t="str">
        <f>Translations!$B$611</f>
        <v>Iron or steel products</v>
      </c>
      <c r="F404" s="628" t="str">
        <f>IF(E404=" --- ","",COUNTIF($E$4:E404,E404)&amp;"_"&amp;E404)</f>
        <v>312_Iron or steel products</v>
      </c>
      <c r="H404" s="628" t="s">
        <v>2114</v>
      </c>
    </row>
    <row r="405" spans="1:8" x14ac:dyDescent="0.3">
      <c r="A405" s="628" t="s">
        <v>2115</v>
      </c>
      <c r="B405" s="628" t="s">
        <v>2116</v>
      </c>
      <c r="C405" s="628" t="str">
        <f>Translations!$B$1223</f>
        <v>Line pipe of a kind used for oil or gas pipelines, welded, of flat-rolled products of iron or steel, of an external diameter of &lt;= 406,4 mm (excl. products of stainless steel or of cast iron)</v>
      </c>
      <c r="D405" s="628" t="str">
        <f t="shared" si="7"/>
        <v>73061900</v>
      </c>
      <c r="E405" s="1140" t="str">
        <f>Translations!$B$611</f>
        <v>Iron or steel products</v>
      </c>
      <c r="F405" s="628" t="str">
        <f>IF(E405=" --- ","",COUNTIF($E$4:E405,E405)&amp;"_"&amp;E405)</f>
        <v>313_Iron or steel products</v>
      </c>
      <c r="H405" s="628" t="s">
        <v>2117</v>
      </c>
    </row>
    <row r="406" spans="1:8" x14ac:dyDescent="0.3">
      <c r="A406" s="628" t="s">
        <v>2118</v>
      </c>
      <c r="B406" s="628" t="s">
        <v>2119</v>
      </c>
      <c r="C406" s="628" t="str">
        <f>Translations!$B$1224</f>
        <v>Casing and tubing of a kind used in drilling for oil or gas, welded, of flat-rolled products of stainless steel, of an external diameter of &lt;= 406,4 mm</v>
      </c>
      <c r="D406" s="628" t="str">
        <f t="shared" si="7"/>
        <v>73062100</v>
      </c>
      <c r="E406" s="1140" t="str">
        <f>Translations!$B$611</f>
        <v>Iron or steel products</v>
      </c>
      <c r="F406" s="628" t="str">
        <f>IF(E406=" --- ","",COUNTIF($E$4:E406,E406)&amp;"_"&amp;E406)</f>
        <v>314_Iron or steel products</v>
      </c>
      <c r="H406" s="628" t="s">
        <v>2120</v>
      </c>
    </row>
    <row r="407" spans="1:8" x14ac:dyDescent="0.3">
      <c r="A407" s="628" t="s">
        <v>2121</v>
      </c>
      <c r="B407" s="628" t="s">
        <v>2122</v>
      </c>
      <c r="C407" s="628" t="str">
        <f>Translations!$B$1225</f>
        <v>Casing and tubing of a kind used in drilling for oil or gas, welded, of flat-rolled products of iron or steel, of an external diameter of &lt;= 406,4 mm (excl. products of stainless steel or of cast iron)</v>
      </c>
      <c r="D407" s="628" t="str">
        <f t="shared" si="7"/>
        <v>73062900</v>
      </c>
      <c r="E407" s="1140" t="str">
        <f>Translations!$B$611</f>
        <v>Iron or steel products</v>
      </c>
      <c r="F407" s="628" t="str">
        <f>IF(E407=" --- ","",COUNTIF($E$4:E407,E407)&amp;"_"&amp;E407)</f>
        <v>315_Iron or steel products</v>
      </c>
      <c r="H407" s="628" t="s">
        <v>2123</v>
      </c>
    </row>
    <row r="408" spans="1:8" x14ac:dyDescent="0.3">
      <c r="A408" s="628" t="s">
        <v>2126</v>
      </c>
      <c r="B408" s="628" t="s">
        <v>2127</v>
      </c>
      <c r="C408" s="628" t="str">
        <f>Translations!$B$1227</f>
        <v>Precision tubes, welded, of circular cross-section, of iron or non-alloy steel, cold-drawn or cold-rolled "cold-reduced"</v>
      </c>
      <c r="D408" s="628" t="str">
        <f t="shared" si="7"/>
        <v>73063012</v>
      </c>
      <c r="E408" s="1140" t="str">
        <f>Translations!$B$611</f>
        <v>Iron or steel products</v>
      </c>
      <c r="F408" s="628" t="str">
        <f>IF(E408=" --- ","",COUNTIF($E$4:E408,E408)&amp;"_"&amp;E408)</f>
        <v>316_Iron or steel products</v>
      </c>
      <c r="H408" s="628" t="s">
        <v>2128</v>
      </c>
    </row>
    <row r="409" spans="1:8" x14ac:dyDescent="0.3">
      <c r="A409" s="628" t="s">
        <v>2129</v>
      </c>
      <c r="B409" s="628" t="s">
        <v>2130</v>
      </c>
      <c r="C409" s="628" t="str">
        <f>Translations!$B$1228</f>
        <v>Precision tubes, welded, of circular cross-section, of iron or non-alloy steel (excl. cold-drawn or cold-rolled)</v>
      </c>
      <c r="D409" s="628" t="str">
        <f t="shared" si="7"/>
        <v>73063018</v>
      </c>
      <c r="E409" s="1140" t="str">
        <f>Translations!$B$611</f>
        <v>Iron or steel products</v>
      </c>
      <c r="F409" s="628" t="str">
        <f>IF(E409=" --- ","",COUNTIF($E$4:E409,E409)&amp;"_"&amp;E409)</f>
        <v>317_Iron or steel products</v>
      </c>
      <c r="H409" s="628" t="s">
        <v>2131</v>
      </c>
    </row>
    <row r="410" spans="1:8" x14ac:dyDescent="0.3">
      <c r="A410" s="628" t="s">
        <v>2132</v>
      </c>
      <c r="B410" s="628" t="s">
        <v>2133</v>
      </c>
      <c r="C410" s="628" t="str">
        <f>Translations!$B$1229</f>
        <v>Threaded or threadable tubes "gas pipe", welded, of circular cross-section, of iron or non-alloy steel, plated or coated with zinc</v>
      </c>
      <c r="D410" s="628" t="str">
        <f t="shared" si="7"/>
        <v>73063041</v>
      </c>
      <c r="E410" s="1140" t="str">
        <f>Translations!$B$611</f>
        <v>Iron or steel products</v>
      </c>
      <c r="F410" s="628" t="str">
        <f>IF(E410=" --- ","",COUNTIF($E$4:E410,E410)&amp;"_"&amp;E410)</f>
        <v>318_Iron or steel products</v>
      </c>
      <c r="H410" s="628" t="s">
        <v>2134</v>
      </c>
    </row>
    <row r="411" spans="1:8" x14ac:dyDescent="0.3">
      <c r="A411" s="628" t="s">
        <v>2135</v>
      </c>
      <c r="B411" s="628" t="s">
        <v>2136</v>
      </c>
      <c r="C411" s="628" t="str">
        <f>Translations!$B$1230</f>
        <v>Threaded or threadable tubes "gas pipe", welded, of circular cross-section, of iron or non-alloy steel (excl. products plated or coated with zinc)</v>
      </c>
      <c r="D411" s="628" t="str">
        <f t="shared" si="7"/>
        <v>73063049</v>
      </c>
      <c r="E411" s="1140" t="str">
        <f>Translations!$B$611</f>
        <v>Iron or steel products</v>
      </c>
      <c r="F411" s="628" t="str">
        <f>IF(E411=" --- ","",COUNTIF($E$4:E411,E411)&amp;"_"&amp;E411)</f>
        <v>319_Iron or steel products</v>
      </c>
      <c r="H411" s="628" t="s">
        <v>2137</v>
      </c>
    </row>
    <row r="412" spans="1:8" x14ac:dyDescent="0.3">
      <c r="A412" s="628" t="s">
        <v>2138</v>
      </c>
      <c r="B412" s="628" t="s">
        <v>2139</v>
      </c>
      <c r="C412" s="628" t="str">
        <f>Translations!$B$1231</f>
        <v>Other tubes, pipes and hollow profiles, welded, of circular cross-section, of iron or non-alloy steel, of an external diameter of &lt;= 168,3 mm, plated or coated with zinc (excl. line pipe of a kind used for oil or gas pipelines or casing and tubingof a kind used in drilling for oil or gas)</v>
      </c>
      <c r="D412" s="628" t="str">
        <f t="shared" si="7"/>
        <v>73063072</v>
      </c>
      <c r="E412" s="1140" t="str">
        <f>Translations!$B$611</f>
        <v>Iron or steel products</v>
      </c>
      <c r="F412" s="628" t="str">
        <f>IF(E412=" --- ","",COUNTIF($E$4:E412,E412)&amp;"_"&amp;E412)</f>
        <v>320_Iron or steel products</v>
      </c>
      <c r="H412" s="628" t="s">
        <v>2140</v>
      </c>
    </row>
    <row r="413" spans="1:8" x14ac:dyDescent="0.3">
      <c r="A413" s="628" t="s">
        <v>2141</v>
      </c>
      <c r="B413" s="628" t="s">
        <v>2142</v>
      </c>
      <c r="C413" s="628" t="str">
        <f>Translations!$B$1232</f>
        <v>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v>
      </c>
      <c r="D413" s="628" t="str">
        <f t="shared" si="7"/>
        <v>73063077</v>
      </c>
      <c r="E413" s="1140" t="str">
        <f>Translations!$B$611</f>
        <v>Iron or steel products</v>
      </c>
      <c r="F413" s="628" t="str">
        <f>IF(E413=" --- ","",COUNTIF($E$4:E413,E413)&amp;"_"&amp;E413)</f>
        <v>321_Iron or steel products</v>
      </c>
      <c r="H413" s="628" t="s">
        <v>2143</v>
      </c>
    </row>
    <row r="414" spans="1:8" x14ac:dyDescent="0.3">
      <c r="A414" s="628" t="s">
        <v>2144</v>
      </c>
      <c r="B414" s="628" t="s">
        <v>2145</v>
      </c>
      <c r="C414" s="628" t="str">
        <f>Translations!$B$1233</f>
        <v>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v>
      </c>
      <c r="D414" s="628" t="str">
        <f t="shared" si="7"/>
        <v>73063080</v>
      </c>
      <c r="E414" s="1140" t="str">
        <f>Translations!$B$611</f>
        <v>Iron or steel products</v>
      </c>
      <c r="F414" s="628" t="str">
        <f>IF(E414=" --- ","",COUNTIF($E$4:E414,E414)&amp;"_"&amp;E414)</f>
        <v>322_Iron or steel products</v>
      </c>
      <c r="H414" s="628" t="s">
        <v>2146</v>
      </c>
    </row>
    <row r="415" spans="1:8" x14ac:dyDescent="0.3">
      <c r="A415" s="628" t="s">
        <v>2149</v>
      </c>
      <c r="B415" s="628" t="s">
        <v>2150</v>
      </c>
      <c r="C415" s="628" t="str">
        <f>Translations!$B$1235</f>
        <v>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v>
      </c>
      <c r="D415" s="628" t="str">
        <f t="shared" si="7"/>
        <v>73064020</v>
      </c>
      <c r="E415" s="1140" t="str">
        <f>Translations!$B$611</f>
        <v>Iron or steel products</v>
      </c>
      <c r="F415" s="628" t="str">
        <f>IF(E415=" --- ","",COUNTIF($E$4:E415,E415)&amp;"_"&amp;E415)</f>
        <v>323_Iron or steel products</v>
      </c>
      <c r="H415" s="628" t="s">
        <v>2151</v>
      </c>
    </row>
    <row r="416" spans="1:8" x14ac:dyDescent="0.3">
      <c r="A416" s="628" t="s">
        <v>2152</v>
      </c>
      <c r="B416" s="628" t="s">
        <v>2153</v>
      </c>
      <c r="C416" s="628" t="str">
        <f>Translations!$B$1236</f>
        <v>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v>
      </c>
      <c r="D416" s="628" t="str">
        <f t="shared" si="7"/>
        <v>73064080</v>
      </c>
      <c r="E416" s="1140" t="str">
        <f>Translations!$B$611</f>
        <v>Iron or steel products</v>
      </c>
      <c r="F416" s="628" t="str">
        <f>IF(E416=" --- ","",COUNTIF($E$4:E416,E416)&amp;"_"&amp;E416)</f>
        <v>324_Iron or steel products</v>
      </c>
      <c r="H416" s="628" t="s">
        <v>2154</v>
      </c>
    </row>
    <row r="417" spans="1:8" x14ac:dyDescent="0.3">
      <c r="A417" s="628" t="s">
        <v>2157</v>
      </c>
      <c r="B417" s="628" t="s">
        <v>2158</v>
      </c>
      <c r="C417" s="628" t="str">
        <f>Translations!$B$1238</f>
        <v>Precision steel tubes, welded, of circular cross-section, of alloy steel other than stainless, cold-drawn or cold-rolled "cold-reduced"</v>
      </c>
      <c r="D417" s="628" t="str">
        <f t="shared" si="7"/>
        <v>73065021</v>
      </c>
      <c r="E417" s="1140" t="str">
        <f>Translations!$B$611</f>
        <v>Iron or steel products</v>
      </c>
      <c r="F417" s="628" t="str">
        <f>IF(E417=" --- ","",COUNTIF($E$4:E417,E417)&amp;"_"&amp;E417)</f>
        <v>325_Iron or steel products</v>
      </c>
      <c r="H417" s="628" t="s">
        <v>2159</v>
      </c>
    </row>
    <row r="418" spans="1:8" x14ac:dyDescent="0.3">
      <c r="A418" s="628" t="s">
        <v>2160</v>
      </c>
      <c r="B418" s="628" t="s">
        <v>2161</v>
      </c>
      <c r="C418" s="628" t="str">
        <f>Translations!$B$1239</f>
        <v>Precision steel tubes, welded, of circular cross-section, of alloy steel other than stainless (excl. cold-drawn or cold-rolled)</v>
      </c>
      <c r="D418" s="628" t="str">
        <f t="shared" si="7"/>
        <v>73065029</v>
      </c>
      <c r="E418" s="1140" t="str">
        <f>Translations!$B$611</f>
        <v>Iron or steel products</v>
      </c>
      <c r="F418" s="628" t="str">
        <f>IF(E418=" --- ","",COUNTIF($E$4:E418,E418)&amp;"_"&amp;E418)</f>
        <v>326_Iron or steel products</v>
      </c>
      <c r="H418" s="628" t="s">
        <v>2162</v>
      </c>
    </row>
    <row r="419" spans="1:8" x14ac:dyDescent="0.3">
      <c r="A419" s="628" t="s">
        <v>2163</v>
      </c>
      <c r="B419" s="628" t="s">
        <v>2164</v>
      </c>
      <c r="C419" s="628" t="str">
        <f>Translations!$B$1240</f>
        <v>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v>
      </c>
      <c r="D419" s="628" t="str">
        <f t="shared" si="7"/>
        <v>73065080</v>
      </c>
      <c r="E419" s="1140" t="str">
        <f>Translations!$B$611</f>
        <v>Iron or steel products</v>
      </c>
      <c r="F419" s="628" t="str">
        <f>IF(E419=" --- ","",COUNTIF($E$4:E419,E419)&amp;"_"&amp;E419)</f>
        <v>327_Iron or steel products</v>
      </c>
      <c r="H419" s="628" t="s">
        <v>2165</v>
      </c>
    </row>
    <row r="420" spans="1:8" x14ac:dyDescent="0.3">
      <c r="A420" s="628" t="s">
        <v>2168</v>
      </c>
      <c r="B420" s="628" t="s">
        <v>2169</v>
      </c>
      <c r="C420" s="628" t="str">
        <f>Translations!$B$1242</f>
        <v>Tubes and pipes and hollow profiles, welded, of square or rectangular cross-section, of stainless steel</v>
      </c>
      <c r="D420" s="628" t="str">
        <f t="shared" si="7"/>
        <v>73066110</v>
      </c>
      <c r="E420" s="1140" t="str">
        <f>Translations!$B$611</f>
        <v>Iron or steel products</v>
      </c>
      <c r="F420" s="628" t="str">
        <f>IF(E420=" --- ","",COUNTIF($E$4:E420,E420)&amp;"_"&amp;E420)</f>
        <v>328_Iron or steel products</v>
      </c>
      <c r="H420" s="628" t="s">
        <v>2170</v>
      </c>
    </row>
    <row r="421" spans="1:8" x14ac:dyDescent="0.3">
      <c r="A421" s="628" t="s">
        <v>2171</v>
      </c>
      <c r="B421" s="628" t="s">
        <v>2172</v>
      </c>
      <c r="C421" s="628" t="str">
        <f>Translations!$B$1243</f>
        <v>Tubes and pipes and hollow profiles, welded, of square or rectangular cross-section, of iron or steel other than stainless steel, with a wall thickness of &lt;= 2 mm</v>
      </c>
      <c r="D421" s="628" t="str">
        <f t="shared" si="7"/>
        <v>73066192</v>
      </c>
      <c r="E421" s="1140" t="str">
        <f>Translations!$B$611</f>
        <v>Iron or steel products</v>
      </c>
      <c r="F421" s="628" t="str">
        <f>IF(E421=" --- ","",COUNTIF($E$4:E421,E421)&amp;"_"&amp;E421)</f>
        <v>329_Iron or steel products</v>
      </c>
      <c r="H421" s="628" t="s">
        <v>2173</v>
      </c>
    </row>
    <row r="422" spans="1:8" x14ac:dyDescent="0.3">
      <c r="A422" s="628" t="s">
        <v>2174</v>
      </c>
      <c r="B422" s="628" t="s">
        <v>2175</v>
      </c>
      <c r="C422" s="628" t="str">
        <f>Translations!$B$1244</f>
        <v>Tubes and pipes and hollow profiles, welded, of square or rectangular cross-section, of iron or steel other than stainless steel, with a wall thickness of &gt; 2 mm</v>
      </c>
      <c r="D422" s="628" t="str">
        <f t="shared" si="7"/>
        <v>73066199</v>
      </c>
      <c r="E422" s="1140" t="str">
        <f>Translations!$B$611</f>
        <v>Iron or steel products</v>
      </c>
      <c r="F422" s="628" t="str">
        <f>IF(E422=" --- ","",COUNTIF($E$4:E422,E422)&amp;"_"&amp;E422)</f>
        <v>330_Iron or steel products</v>
      </c>
      <c r="H422" s="628" t="s">
        <v>2176</v>
      </c>
    </row>
    <row r="423" spans="1:8" x14ac:dyDescent="0.3">
      <c r="A423" s="628" t="s">
        <v>2179</v>
      </c>
      <c r="B423" s="628" t="s">
        <v>2180</v>
      </c>
      <c r="C423" s="628" t="str">
        <f>Translations!$B$1246</f>
        <v>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D423" s="628" t="str">
        <f t="shared" si="7"/>
        <v>73066910</v>
      </c>
      <c r="E423" s="1140" t="str">
        <f>Translations!$B$611</f>
        <v>Iron or steel products</v>
      </c>
      <c r="F423" s="628" t="str">
        <f>IF(E423=" --- ","",COUNTIF($E$4:E423,E423)&amp;"_"&amp;E423)</f>
        <v>331_Iron or steel products</v>
      </c>
      <c r="H423" s="628" t="s">
        <v>2181</v>
      </c>
    </row>
    <row r="424" spans="1:8" x14ac:dyDescent="0.3">
      <c r="A424" s="628" t="s">
        <v>2182</v>
      </c>
      <c r="B424" s="628" t="s">
        <v>2183</v>
      </c>
      <c r="C424" s="628" t="str">
        <f>Translations!$B$1247</f>
        <v>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D424" s="628" t="str">
        <f t="shared" si="7"/>
        <v>73066990</v>
      </c>
      <c r="E424" s="1140" t="str">
        <f>Translations!$B$611</f>
        <v>Iron or steel products</v>
      </c>
      <c r="F424" s="628" t="str">
        <f>IF(E424=" --- ","",COUNTIF($E$4:E424,E424)&amp;"_"&amp;E424)</f>
        <v>332_Iron or steel products</v>
      </c>
      <c r="H424" s="628" t="s">
        <v>2184</v>
      </c>
    </row>
    <row r="425" spans="1:8" x14ac:dyDescent="0.3">
      <c r="A425" s="628" t="s">
        <v>2185</v>
      </c>
      <c r="B425" s="628" t="s">
        <v>2186</v>
      </c>
      <c r="C425" s="628" t="str">
        <f>Translations!$B$1248</f>
        <v>Tubes, pipes and hollow profiles "e.g., open seam, riveted or similarly closed", of iron or steel (excl. of cast iron, seamless or welded tubes and pipes and tubes and pipes having internal and external circular cross-sections and an external diameter of &gt; 406,4 mm)</v>
      </c>
      <c r="D425" s="628" t="str">
        <f t="shared" si="7"/>
        <v>73069000</v>
      </c>
      <c r="E425" s="1140" t="str">
        <f>Translations!$B$611</f>
        <v>Iron or steel products</v>
      </c>
      <c r="F425" s="628" t="str">
        <f>IF(E425=" --- ","",COUNTIF($E$4:E425,E425)&amp;"_"&amp;E425)</f>
        <v>333_Iron or steel products</v>
      </c>
      <c r="H425" s="628" t="s">
        <v>2187</v>
      </c>
    </row>
    <row r="426" spans="1:8" x14ac:dyDescent="0.3">
      <c r="A426" s="628" t="s">
        <v>2192</v>
      </c>
      <c r="B426" s="628" t="s">
        <v>2193</v>
      </c>
      <c r="C426" s="628" t="str">
        <f>Translations!$B$1251</f>
        <v>Tube or pipe fittings of non-malleable cast iron, of a kind used in pressure systems</v>
      </c>
      <c r="D426" s="628" t="str">
        <f t="shared" si="7"/>
        <v>73071110</v>
      </c>
      <c r="E426" s="1140" t="str">
        <f>Translations!$B$611</f>
        <v>Iron or steel products</v>
      </c>
      <c r="F426" s="628" t="str">
        <f>IF(E426=" --- ","",COUNTIF($E$4:E426,E426)&amp;"_"&amp;E426)</f>
        <v>334_Iron or steel products</v>
      </c>
      <c r="H426" s="628" t="s">
        <v>2194</v>
      </c>
    </row>
    <row r="427" spans="1:8" x14ac:dyDescent="0.3">
      <c r="A427" s="628" t="s">
        <v>2195</v>
      </c>
      <c r="B427" s="628" t="s">
        <v>2196</v>
      </c>
      <c r="C427" s="628" t="str">
        <f>Translations!$B$1252</f>
        <v>Tube or pipe fittings of non-malleable cast iron (excl. products of a kind used in pressure systems)</v>
      </c>
      <c r="D427" s="628" t="str">
        <f t="shared" si="7"/>
        <v>73071190</v>
      </c>
      <c r="E427" s="1140" t="str">
        <f>Translations!$B$611</f>
        <v>Iron or steel products</v>
      </c>
      <c r="F427" s="628" t="str">
        <f>IF(E427=" --- ","",COUNTIF($E$4:E427,E427)&amp;"_"&amp;E427)</f>
        <v>335_Iron or steel products</v>
      </c>
      <c r="H427" s="628" t="s">
        <v>2197</v>
      </c>
    </row>
    <row r="428" spans="1:8" x14ac:dyDescent="0.3">
      <c r="A428" s="628" t="s">
        <v>2200</v>
      </c>
      <c r="B428" s="628" t="s">
        <v>2201</v>
      </c>
      <c r="C428" s="628" t="str">
        <f>Translations!$B$1254</f>
        <v>Tube or pipe fittings of cast iron (excl. of non-malleable)</v>
      </c>
      <c r="D428" s="628" t="str">
        <f t="shared" si="7"/>
        <v>73071910</v>
      </c>
      <c r="E428" s="1140" t="str">
        <f>Translations!$B$611</f>
        <v>Iron or steel products</v>
      </c>
      <c r="F428" s="628" t="str">
        <f>IF(E428=" --- ","",COUNTIF($E$4:E428,E428)&amp;"_"&amp;E428)</f>
        <v>336_Iron or steel products</v>
      </c>
      <c r="H428" s="628" t="s">
        <v>2202</v>
      </c>
    </row>
    <row r="429" spans="1:8" x14ac:dyDescent="0.3">
      <c r="A429" s="628" t="s">
        <v>2203</v>
      </c>
      <c r="B429" s="628" t="s">
        <v>2204</v>
      </c>
      <c r="C429" s="628" t="str">
        <f>Translations!$B$1255</f>
        <v>Cast tube or pipe fittings of steel</v>
      </c>
      <c r="D429" s="628" t="str">
        <f t="shared" si="7"/>
        <v>73071990</v>
      </c>
      <c r="E429" s="1140" t="str">
        <f>Translations!$B$611</f>
        <v>Iron or steel products</v>
      </c>
      <c r="F429" s="628" t="str">
        <f>IF(E429=" --- ","",COUNTIF($E$4:E429,E429)&amp;"_"&amp;E429)</f>
        <v>337_Iron or steel products</v>
      </c>
      <c r="H429" s="628" t="s">
        <v>2205</v>
      </c>
    </row>
    <row r="430" spans="1:8" x14ac:dyDescent="0.3">
      <c r="A430" s="628" t="s">
        <v>2206</v>
      </c>
      <c r="B430" s="628" t="s">
        <v>2207</v>
      </c>
      <c r="C430" s="628" t="str">
        <f>Translations!$B$1256</f>
        <v>Flanges of stainless steel (excl. cast products)</v>
      </c>
      <c r="D430" s="628" t="str">
        <f t="shared" si="7"/>
        <v>73072100</v>
      </c>
      <c r="E430" s="1140" t="str">
        <f>Translations!$B$611</f>
        <v>Iron or steel products</v>
      </c>
      <c r="F430" s="628" t="str">
        <f>IF(E430=" --- ","",COUNTIF($E$4:E430,E430)&amp;"_"&amp;E430)</f>
        <v>338_Iron or steel products</v>
      </c>
      <c r="H430" s="628" t="s">
        <v>2208</v>
      </c>
    </row>
    <row r="431" spans="1:8" x14ac:dyDescent="0.3">
      <c r="A431" s="628" t="s">
        <v>2211</v>
      </c>
      <c r="B431" s="628" t="s">
        <v>2212</v>
      </c>
      <c r="C431" s="628" t="str">
        <f>Translations!$B$1258</f>
        <v>Sleeves, of stainless steel, threaded (excl. cast products)</v>
      </c>
      <c r="D431" s="628" t="str">
        <f t="shared" si="7"/>
        <v>73072210</v>
      </c>
      <c r="E431" s="1140" t="str">
        <f>Translations!$B$611</f>
        <v>Iron or steel products</v>
      </c>
      <c r="F431" s="628" t="str">
        <f>IF(E431=" --- ","",COUNTIF($E$4:E431,E431)&amp;"_"&amp;E431)</f>
        <v>339_Iron or steel products</v>
      </c>
      <c r="H431" s="628" t="s">
        <v>2213</v>
      </c>
    </row>
    <row r="432" spans="1:8" x14ac:dyDescent="0.3">
      <c r="A432" s="628" t="s">
        <v>2214</v>
      </c>
      <c r="B432" s="628" t="s">
        <v>2215</v>
      </c>
      <c r="C432" s="628" t="str">
        <f>Translations!$B$1259</f>
        <v>Elbows and bends, of stainless steel, threaded (excl. cast products)</v>
      </c>
      <c r="D432" s="628" t="str">
        <f t="shared" si="7"/>
        <v>73072290</v>
      </c>
      <c r="E432" s="1140" t="str">
        <f>Translations!$B$611</f>
        <v>Iron or steel products</v>
      </c>
      <c r="F432" s="628" t="str">
        <f>IF(E432=" --- ","",COUNTIF($E$4:E432,E432)&amp;"_"&amp;E432)</f>
        <v>340_Iron or steel products</v>
      </c>
      <c r="H432" s="628" t="s">
        <v>2216</v>
      </c>
    </row>
    <row r="433" spans="1:8" x14ac:dyDescent="0.3">
      <c r="A433" s="628" t="s">
        <v>2219</v>
      </c>
      <c r="B433" s="628" t="s">
        <v>2220</v>
      </c>
      <c r="C433" s="628" t="str">
        <f>Translations!$B$1261</f>
        <v>Butt welding elbows and bends of stainless steel (excl. cast products)</v>
      </c>
      <c r="D433" s="628" t="str">
        <f t="shared" si="7"/>
        <v>73072310</v>
      </c>
      <c r="E433" s="1140" t="str">
        <f>Translations!$B$611</f>
        <v>Iron or steel products</v>
      </c>
      <c r="F433" s="628" t="str">
        <f>IF(E433=" --- ","",COUNTIF($E$4:E433,E433)&amp;"_"&amp;E433)</f>
        <v>341_Iron or steel products</v>
      </c>
      <c r="H433" s="628" t="s">
        <v>2221</v>
      </c>
    </row>
    <row r="434" spans="1:8" x14ac:dyDescent="0.3">
      <c r="A434" s="628" t="s">
        <v>2222</v>
      </c>
      <c r="B434" s="628" t="s">
        <v>2223</v>
      </c>
      <c r="C434" s="628" t="str">
        <f>Translations!$B$1262</f>
        <v>Butt welding tube or pipe fittings of stainless steel (excl. cast products and elbows and bends)</v>
      </c>
      <c r="D434" s="628" t="str">
        <f t="shared" si="7"/>
        <v>73072390</v>
      </c>
      <c r="E434" s="1140" t="str">
        <f>Translations!$B$611</f>
        <v>Iron or steel products</v>
      </c>
      <c r="F434" s="628" t="str">
        <f>IF(E434=" --- ","",COUNTIF($E$4:E434,E434)&amp;"_"&amp;E434)</f>
        <v>342_Iron or steel products</v>
      </c>
      <c r="H434" s="628" t="s">
        <v>2224</v>
      </c>
    </row>
    <row r="435" spans="1:8" x14ac:dyDescent="0.3">
      <c r="A435" s="628" t="s">
        <v>2227</v>
      </c>
      <c r="B435" s="628" t="s">
        <v>2228</v>
      </c>
      <c r="C435" s="628" t="str">
        <f>Translations!$B$1264</f>
        <v>Threaded tube or pipe fittings of stainless steel (excl. cast products, flanges, elbows, bends and sleeves)</v>
      </c>
      <c r="D435" s="628" t="str">
        <f t="shared" si="7"/>
        <v>73072910</v>
      </c>
      <c r="E435" s="1140" t="str">
        <f>Translations!$B$611</f>
        <v>Iron or steel products</v>
      </c>
      <c r="F435" s="628" t="str">
        <f>IF(E435=" --- ","",COUNTIF($E$4:E435,E435)&amp;"_"&amp;E435)</f>
        <v>343_Iron or steel products</v>
      </c>
      <c r="H435" s="628" t="s">
        <v>2229</v>
      </c>
    </row>
    <row r="436" spans="1:8" x14ac:dyDescent="0.3">
      <c r="A436" s="628" t="s">
        <v>2230</v>
      </c>
      <c r="B436" s="628" t="s">
        <v>2231</v>
      </c>
      <c r="C436" s="628" t="str">
        <f>Translations!$B$1265</f>
        <v>Tube or pipe fittings of stainless steel (excl. cast, threaded, butt welding fittings and flanges)</v>
      </c>
      <c r="D436" s="628" t="str">
        <f t="shared" si="7"/>
        <v>73072980</v>
      </c>
      <c r="E436" s="1140" t="str">
        <f>Translations!$B$611</f>
        <v>Iron or steel products</v>
      </c>
      <c r="F436" s="628" t="str">
        <f>IF(E436=" --- ","",COUNTIF($E$4:E436,E436)&amp;"_"&amp;E436)</f>
        <v>344_Iron or steel products</v>
      </c>
      <c r="H436" s="628" t="s">
        <v>2232</v>
      </c>
    </row>
    <row r="437" spans="1:8" x14ac:dyDescent="0.3">
      <c r="A437" s="628" t="s">
        <v>2233</v>
      </c>
      <c r="B437" s="628" t="s">
        <v>2234</v>
      </c>
      <c r="C437" s="628" t="str">
        <f>Translations!$B$1266</f>
        <v>Flanges of iron or steel (excl. cast or stainless products)</v>
      </c>
      <c r="D437" s="628" t="str">
        <f t="shared" si="7"/>
        <v>73079100</v>
      </c>
      <c r="E437" s="1140" t="str">
        <f>Translations!$B$611</f>
        <v>Iron or steel products</v>
      </c>
      <c r="F437" s="628" t="str">
        <f>IF(E437=" --- ","",COUNTIF($E$4:E437,E437)&amp;"_"&amp;E437)</f>
        <v>345_Iron or steel products</v>
      </c>
      <c r="H437" s="628" t="s">
        <v>2235</v>
      </c>
    </row>
    <row r="438" spans="1:8" x14ac:dyDescent="0.3">
      <c r="A438" s="628" t="s">
        <v>2238</v>
      </c>
      <c r="B438" s="628" t="s">
        <v>2239</v>
      </c>
      <c r="C438" s="628" t="str">
        <f>Translations!$B$1268</f>
        <v>Sleeves of iron or steel, threaded (excl. cast or of stainless steel)</v>
      </c>
      <c r="D438" s="628" t="str">
        <f t="shared" si="7"/>
        <v>73079210</v>
      </c>
      <c r="E438" s="1140" t="str">
        <f>Translations!$B$611</f>
        <v>Iron or steel products</v>
      </c>
      <c r="F438" s="628" t="str">
        <f>IF(E438=" --- ","",COUNTIF($E$4:E438,E438)&amp;"_"&amp;E438)</f>
        <v>346_Iron or steel products</v>
      </c>
      <c r="H438" s="628" t="s">
        <v>2240</v>
      </c>
    </row>
    <row r="439" spans="1:8" x14ac:dyDescent="0.3">
      <c r="A439" s="628" t="s">
        <v>2241</v>
      </c>
      <c r="B439" s="628" t="s">
        <v>2242</v>
      </c>
      <c r="C439" s="628" t="str">
        <f>Translations!$B$1269</f>
        <v>Elbows and bends, of iron or steel, threaded (excl. cast or of stainless steel)</v>
      </c>
      <c r="D439" s="628" t="str">
        <f t="shared" si="7"/>
        <v>73079290</v>
      </c>
      <c r="E439" s="1140" t="str">
        <f>Translations!$B$611</f>
        <v>Iron or steel products</v>
      </c>
      <c r="F439" s="628" t="str">
        <f>IF(E439=" --- ","",COUNTIF($E$4:E439,E439)&amp;"_"&amp;E439)</f>
        <v>347_Iron or steel products</v>
      </c>
      <c r="H439" s="628" t="s">
        <v>2243</v>
      </c>
    </row>
    <row r="440" spans="1:8" x14ac:dyDescent="0.3">
      <c r="A440" s="628" t="s">
        <v>2246</v>
      </c>
      <c r="B440" s="628" t="s">
        <v>2247</v>
      </c>
      <c r="C440" s="628" t="str">
        <f>Translations!$B$1271</f>
        <v>Butt welding elbows and bends, of iron or steel, with greatest external diameter &lt;= 609,6 mm (excl. cast iron or stainless steel products)</v>
      </c>
      <c r="D440" s="628" t="str">
        <f t="shared" si="7"/>
        <v>73079311</v>
      </c>
      <c r="E440" s="1140" t="str">
        <f>Translations!$B$611</f>
        <v>Iron or steel products</v>
      </c>
      <c r="F440" s="628" t="str">
        <f>IF(E440=" --- ","",COUNTIF($E$4:E440,E440)&amp;"_"&amp;E440)</f>
        <v>348_Iron or steel products</v>
      </c>
      <c r="H440" s="628" t="s">
        <v>2248</v>
      </c>
    </row>
    <row r="441" spans="1:8" x14ac:dyDescent="0.3">
      <c r="A441" s="628" t="s">
        <v>2249</v>
      </c>
      <c r="B441" s="628" t="s">
        <v>2250</v>
      </c>
      <c r="C441" s="628" t="str">
        <f>Translations!$B$1272</f>
        <v>Butt welding fittings of iron or steel, with greatest external diameter &lt;= 609,6 mm (excl. cast iron or stainless steel products, elbows, bends and flanges)</v>
      </c>
      <c r="D441" s="628" t="str">
        <f t="shared" si="7"/>
        <v>73079319</v>
      </c>
      <c r="E441" s="1140" t="str">
        <f>Translations!$B$611</f>
        <v>Iron or steel products</v>
      </c>
      <c r="F441" s="628" t="str">
        <f>IF(E441=" --- ","",COUNTIF($E$4:E441,E441)&amp;"_"&amp;E441)</f>
        <v>349_Iron or steel products</v>
      </c>
      <c r="H441" s="628" t="s">
        <v>2251</v>
      </c>
    </row>
    <row r="442" spans="1:8" x14ac:dyDescent="0.3">
      <c r="A442" s="628" t="s">
        <v>2252</v>
      </c>
      <c r="B442" s="628" t="s">
        <v>2253</v>
      </c>
      <c r="C442" s="628" t="str">
        <f>Translations!$B$1273</f>
        <v>Butt welding elbows and bends, of iron or steel, with greatest external diameter &gt; 609,6 mm (excl. cast iron or stainless steel products)</v>
      </c>
      <c r="D442" s="628" t="str">
        <f t="shared" si="7"/>
        <v>73079391</v>
      </c>
      <c r="E442" s="1140" t="str">
        <f>Translations!$B$611</f>
        <v>Iron or steel products</v>
      </c>
      <c r="F442" s="628" t="str">
        <f>IF(E442=" --- ","",COUNTIF($E$4:E442,E442)&amp;"_"&amp;E442)</f>
        <v>350_Iron or steel products</v>
      </c>
      <c r="H442" s="628" t="s">
        <v>2254</v>
      </c>
    </row>
    <row r="443" spans="1:8" x14ac:dyDescent="0.3">
      <c r="A443" s="628" t="s">
        <v>2255</v>
      </c>
      <c r="B443" s="628" t="s">
        <v>2256</v>
      </c>
      <c r="C443" s="628" t="str">
        <f>Translations!$B$1274</f>
        <v>Butt welding fittings of iron or steel, with greatest external diameter &gt; 609,6 mm (excl. cast iron or stainless steel products, elbows, bends and flanges)</v>
      </c>
      <c r="D443" s="628" t="str">
        <f t="shared" si="7"/>
        <v>73079399</v>
      </c>
      <c r="E443" s="1140" t="str">
        <f>Translations!$B$611</f>
        <v>Iron or steel products</v>
      </c>
      <c r="F443" s="628" t="str">
        <f>IF(E443=" --- ","",COUNTIF($E$4:E443,E443)&amp;"_"&amp;E443)</f>
        <v>351_Iron or steel products</v>
      </c>
      <c r="H443" s="628" t="s">
        <v>2257</v>
      </c>
    </row>
    <row r="444" spans="1:8" x14ac:dyDescent="0.3">
      <c r="A444" s="628" t="s">
        <v>2260</v>
      </c>
      <c r="B444" s="628" t="s">
        <v>2261</v>
      </c>
      <c r="C444" s="628" t="str">
        <f>Translations!$B$1276</f>
        <v>Threaded tube or pipe fittings, of iron or steel (excl. cast iron or stainless steel products, flanges, elbows, bends and sleeves)</v>
      </c>
      <c r="D444" s="628" t="str">
        <f t="shared" si="7"/>
        <v>73079910</v>
      </c>
      <c r="E444" s="1140" t="str">
        <f>Translations!$B$611</f>
        <v>Iron or steel products</v>
      </c>
      <c r="F444" s="628" t="str">
        <f>IF(E444=" --- ","",COUNTIF($E$4:E444,E444)&amp;"_"&amp;E444)</f>
        <v>352_Iron or steel products</v>
      </c>
      <c r="H444" s="628" t="s">
        <v>2262</v>
      </c>
    </row>
    <row r="445" spans="1:8" x14ac:dyDescent="0.3">
      <c r="A445" s="628" t="s">
        <v>2263</v>
      </c>
      <c r="B445" s="628" t="s">
        <v>2264</v>
      </c>
      <c r="C445" s="628" t="str">
        <f>Translations!$B$1277</f>
        <v>Tube or pipe fittings, of iron or steel (excl. of cast iron or stainless steel, threaded, butt welding fittings, and flanges)</v>
      </c>
      <c r="D445" s="628" t="str">
        <f t="shared" si="7"/>
        <v>73079980</v>
      </c>
      <c r="E445" s="1140" t="str">
        <f>Translations!$B$611</f>
        <v>Iron or steel products</v>
      </c>
      <c r="F445" s="628" t="str">
        <f>IF(E445=" --- ","",COUNTIF($E$4:E445,E445)&amp;"_"&amp;E445)</f>
        <v>353_Iron or steel products</v>
      </c>
      <c r="H445" s="628" t="s">
        <v>2265</v>
      </c>
    </row>
    <row r="446" spans="1:8" x14ac:dyDescent="0.3">
      <c r="A446" s="628" t="s">
        <v>2268</v>
      </c>
      <c r="B446" s="628" t="s">
        <v>2269</v>
      </c>
      <c r="C446" s="628" t="str">
        <f>Translations!$B$1279</f>
        <v>Bridges and bridge-sections, of iron or steel</v>
      </c>
      <c r="D446" s="628" t="str">
        <f t="shared" si="7"/>
        <v>73081000</v>
      </c>
      <c r="E446" s="1140" t="str">
        <f>Translations!$B$611</f>
        <v>Iron or steel products</v>
      </c>
      <c r="F446" s="628" t="str">
        <f>IF(E446=" --- ","",COUNTIF($E$4:E446,E446)&amp;"_"&amp;E446)</f>
        <v>354_Iron or steel products</v>
      </c>
      <c r="H446" s="628" t="s">
        <v>2270</v>
      </c>
    </row>
    <row r="447" spans="1:8" x14ac:dyDescent="0.3">
      <c r="A447" s="628" t="s">
        <v>2271</v>
      </c>
      <c r="B447" s="628" t="s">
        <v>2272</v>
      </c>
      <c r="C447" s="628" t="str">
        <f>Translations!$B$1280</f>
        <v>Towers and lattice masts, of iron or steel</v>
      </c>
      <c r="D447" s="628" t="str">
        <f t="shared" si="7"/>
        <v>73082000</v>
      </c>
      <c r="E447" s="1140" t="str">
        <f>Translations!$B$611</f>
        <v>Iron or steel products</v>
      </c>
      <c r="F447" s="628" t="str">
        <f>IF(E447=" --- ","",COUNTIF($E$4:E447,E447)&amp;"_"&amp;E447)</f>
        <v>355_Iron or steel products</v>
      </c>
      <c r="H447" s="628" t="s">
        <v>2273</v>
      </c>
    </row>
    <row r="448" spans="1:8" x14ac:dyDescent="0.3">
      <c r="A448" s="628" t="s">
        <v>2274</v>
      </c>
      <c r="B448" s="628" t="s">
        <v>2275</v>
      </c>
      <c r="C448" s="628" t="str">
        <f>Translations!$B$1281</f>
        <v>Doors, windows and their frames and thresholds for doors, of iron or steel</v>
      </c>
      <c r="D448" s="628" t="str">
        <f t="shared" si="7"/>
        <v>73083000</v>
      </c>
      <c r="E448" s="1140" t="str">
        <f>Translations!$B$611</f>
        <v>Iron or steel products</v>
      </c>
      <c r="F448" s="628" t="str">
        <f>IF(E448=" --- ","",COUNTIF($E$4:E448,E448)&amp;"_"&amp;E448)</f>
        <v>356_Iron or steel products</v>
      </c>
      <c r="H448" s="628" t="s">
        <v>2276</v>
      </c>
    </row>
    <row r="449" spans="1:8" x14ac:dyDescent="0.3">
      <c r="A449" s="628" t="s">
        <v>2277</v>
      </c>
      <c r="B449" s="628" t="s">
        <v>2278</v>
      </c>
      <c r="C449" s="628" t="str">
        <f>Translations!$B$1282</f>
        <v>Equipment for scaffolding, shuttering, propping or pit-propping (excl. composite sheetpiling products and formwork panels for poured-in-place concrete, which have the characteristics of moulds)</v>
      </c>
      <c r="D449" s="628" t="str">
        <f t="shared" si="7"/>
        <v>73084000</v>
      </c>
      <c r="E449" s="1140" t="str">
        <f>Translations!$B$611</f>
        <v>Iron or steel products</v>
      </c>
      <c r="F449" s="628" t="str">
        <f>IF(E449=" --- ","",COUNTIF($E$4:E449,E449)&amp;"_"&amp;E449)</f>
        <v>357_Iron or steel products</v>
      </c>
      <c r="H449" s="628" t="s">
        <v>2279</v>
      </c>
    </row>
    <row r="450" spans="1:8" x14ac:dyDescent="0.3">
      <c r="A450" s="628" t="s">
        <v>2282</v>
      </c>
      <c r="B450" s="628" t="s">
        <v>2283</v>
      </c>
      <c r="C450" s="628" t="str">
        <f>Translations!$B$1284</f>
        <v>Panels comprising two walls of profiled "ribbed" sheet, of iron or steel, with an insulating core</v>
      </c>
      <c r="D450" s="628" t="str">
        <f t="shared" si="7"/>
        <v>73089051</v>
      </c>
      <c r="E450" s="1140" t="str">
        <f>Translations!$B$611</f>
        <v>Iron or steel products</v>
      </c>
      <c r="F450" s="628" t="str">
        <f>IF(E450=" --- ","",COUNTIF($E$4:E450,E450)&amp;"_"&amp;E450)</f>
        <v>358_Iron or steel products</v>
      </c>
      <c r="H450" s="628" t="s">
        <v>2284</v>
      </c>
    </row>
    <row r="451" spans="1:8" x14ac:dyDescent="0.3">
      <c r="A451" s="628" t="s">
        <v>2285</v>
      </c>
      <c r="B451" s="628" t="s">
        <v>2286</v>
      </c>
      <c r="C451" s="628" t="str">
        <f>Translations!$B$1285</f>
        <v>Structures and parts of structures, of iron or steel, solely or principally of sheet, n.e.s. (excl. doors and windows and their frames, and panels comprising two walls of profiled "ribbed" sheet, of iron or steel, with an insulating core)</v>
      </c>
      <c r="D451" s="628" t="str">
        <f t="shared" si="7"/>
        <v>73089059</v>
      </c>
      <c r="E451" s="1140" t="str">
        <f>Translations!$B$611</f>
        <v>Iron or steel products</v>
      </c>
      <c r="F451" s="628" t="str">
        <f>IF(E451=" --- ","",COUNTIF($E$4:E451,E451)&amp;"_"&amp;E451)</f>
        <v>359_Iron or steel products</v>
      </c>
      <c r="H451" s="628" t="s">
        <v>2287</v>
      </c>
    </row>
    <row r="452" spans="1:8" x14ac:dyDescent="0.3">
      <c r="A452" s="628" t="s">
        <v>2288</v>
      </c>
      <c r="B452" s="628" t="s">
        <v>2289</v>
      </c>
      <c r="C452" s="628" t="str">
        <f>Translations!$B$1286</f>
        <v>Structures and parts of structures of iron or steel, n.e.s. (excl. bridges and bridge-sections; towers; lattice masts; doors, windows and their frames and thresholds; equipment for scaffolding, shuttering, propping or pit-propping, and products made principally of sheet)</v>
      </c>
      <c r="D452" s="628" t="str">
        <f t="shared" si="7"/>
        <v>73089098</v>
      </c>
      <c r="E452" s="1140" t="str">
        <f>Translations!$B$611</f>
        <v>Iron or steel products</v>
      </c>
      <c r="F452" s="628" t="str">
        <f>IF(E452=" --- ","",COUNTIF($E$4:E452,E452)&amp;"_"&amp;E452)</f>
        <v>360_Iron or steel products</v>
      </c>
      <c r="H452" s="628" t="s">
        <v>2290</v>
      </c>
    </row>
    <row r="453" spans="1:8" x14ac:dyDescent="0.3">
      <c r="A453" s="628" t="s">
        <v>2293</v>
      </c>
      <c r="B453" s="628" t="s">
        <v>2294</v>
      </c>
      <c r="C453" s="628" t="str">
        <f>Translations!$B$1288</f>
        <v>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v>
      </c>
      <c r="D453" s="628" t="str">
        <f t="shared" si="7"/>
        <v>73090010</v>
      </c>
      <c r="E453" s="1140" t="str">
        <f>Translations!$B$611</f>
        <v>Iron or steel products</v>
      </c>
      <c r="F453" s="628" t="str">
        <f>IF(E453=" --- ","",COUNTIF($E$4:E453,E453)&amp;"_"&amp;E453)</f>
        <v>361_Iron or steel products</v>
      </c>
      <c r="H453" s="628" t="s">
        <v>2295</v>
      </c>
    </row>
    <row r="454" spans="1:8" x14ac:dyDescent="0.3">
      <c r="A454" s="628" t="s">
        <v>2296</v>
      </c>
      <c r="B454" s="628" t="s">
        <v>2297</v>
      </c>
      <c r="C454" s="628" t="str">
        <f>Translations!$B$1289</f>
        <v>Reservoirs, tanks, vats and similar containers, of iron or steel, for liquids, lined or heat-insulated and of a capacity of &gt; 300 l (excl. containers fitted with mechanical or thermal equipment and containers specifically constructed or equipped for one or more types of transport)</v>
      </c>
      <c r="D454" s="628" t="str">
        <f t="shared" si="7"/>
        <v>73090030</v>
      </c>
      <c r="E454" s="1140" t="str">
        <f>Translations!$B$611</f>
        <v>Iron or steel products</v>
      </c>
      <c r="F454" s="628" t="str">
        <f>IF(E454=" --- ","",COUNTIF($E$4:E454,E454)&amp;"_"&amp;E454)</f>
        <v>362_Iron or steel products</v>
      </c>
      <c r="H454" s="628" t="s">
        <v>2298</v>
      </c>
    </row>
    <row r="455" spans="1:8" x14ac:dyDescent="0.3">
      <c r="A455" s="628" t="s">
        <v>2299</v>
      </c>
      <c r="B455" s="628" t="s">
        <v>2300</v>
      </c>
      <c r="C455" s="628" t="str">
        <f>Translations!$B$1290</f>
        <v>Reservoirs, tanks, vats and similar containers, of iron or steel, for liquids, of a capacity of &gt; 100.000 l (excl. containers lined or heat-insulated or fitted with mechanical or thermal equipment and containers specifically constructed or equipped for one or more types of transport)</v>
      </c>
      <c r="D455" s="628" t="str">
        <f t="shared" si="7"/>
        <v>73090051</v>
      </c>
      <c r="E455" s="1140" t="str">
        <f>Translations!$B$611</f>
        <v>Iron or steel products</v>
      </c>
      <c r="F455" s="628" t="str">
        <f>IF(E455=" --- ","",COUNTIF($E$4:E455,E455)&amp;"_"&amp;E455)</f>
        <v>363_Iron or steel products</v>
      </c>
      <c r="H455" s="628" t="s">
        <v>2301</v>
      </c>
    </row>
    <row r="456" spans="1:8" x14ac:dyDescent="0.3">
      <c r="A456" s="628" t="s">
        <v>2302</v>
      </c>
      <c r="B456" s="628" t="s">
        <v>2303</v>
      </c>
      <c r="C456" s="628" t="str">
        <f>Translations!$B$1291</f>
        <v>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v>
      </c>
      <c r="D456" s="628" t="str">
        <f t="shared" si="7"/>
        <v>73090059</v>
      </c>
      <c r="E456" s="1140" t="str">
        <f>Translations!$B$611</f>
        <v>Iron or steel products</v>
      </c>
      <c r="F456" s="628" t="str">
        <f>IF(E456=" --- ","",COUNTIF($E$4:E456,E456)&amp;"_"&amp;E456)</f>
        <v>364_Iron or steel products</v>
      </c>
      <c r="H456" s="628" t="s">
        <v>2304</v>
      </c>
    </row>
    <row r="457" spans="1:8" x14ac:dyDescent="0.3">
      <c r="A457" s="628" t="s">
        <v>2305</v>
      </c>
      <c r="B457" s="628" t="s">
        <v>2306</v>
      </c>
      <c r="C457" s="628" t="str">
        <f>Translations!$B$1292</f>
        <v>Reservoirs, tanks, vats and similar containers, of iron or steel, for solids, of a capacity of &gt; 300 l (excl. containers lined or heat-insulated or fitted with mechanical or thermal equipment and containers specifically constructed or equipped for one or more types of transport)</v>
      </c>
      <c r="D457" s="628" t="str">
        <f t="shared" si="7"/>
        <v>73090090</v>
      </c>
      <c r="E457" s="1140" t="str">
        <f>Translations!$B$611</f>
        <v>Iron or steel products</v>
      </c>
      <c r="F457" s="628" t="str">
        <f>IF(E457=" --- ","",COUNTIF($E$4:E457,E457)&amp;"_"&amp;E457)</f>
        <v>365_Iron or steel products</v>
      </c>
      <c r="H457" s="628" t="s">
        <v>2307</v>
      </c>
    </row>
    <row r="458" spans="1:8" x14ac:dyDescent="0.3">
      <c r="A458" s="628" t="s">
        <v>2310</v>
      </c>
      <c r="B458" s="628" t="s">
        <v>2311</v>
      </c>
      <c r="C458" s="628" t="str">
        <f>Translations!$B$1294</f>
        <v>Tanks, casks, drums, cans, boxes and similar containers, of iron or steel, for any material, of a capacity of &gt;= 50 l but &lt;= 300 l, n.e.s. (excl. containers for compressed or liquefied gas, or containers fitted with mechanical or thermal equipment)</v>
      </c>
      <c r="D458" s="628" t="str">
        <f t="shared" si="7"/>
        <v>73101000</v>
      </c>
      <c r="E458" s="1140" t="str">
        <f>Translations!$B$611</f>
        <v>Iron or steel products</v>
      </c>
      <c r="F458" s="628" t="str">
        <f>IF(E458=" --- ","",COUNTIF($E$4:E458,E458)&amp;"_"&amp;E458)</f>
        <v>366_Iron or steel products</v>
      </c>
      <c r="H458" s="628" t="s">
        <v>2312</v>
      </c>
    </row>
    <row r="459" spans="1:8" x14ac:dyDescent="0.3">
      <c r="A459" s="628" t="s">
        <v>2315</v>
      </c>
      <c r="B459" s="628" t="s">
        <v>2316</v>
      </c>
      <c r="C459" s="628" t="str">
        <f>Translations!$B$1296</f>
        <v>Cans of iron or steel, of a capacity of &lt; 50 l, which are to be closed by soldering or crimping, of a kind used for preserving food</v>
      </c>
      <c r="D459" s="628" t="str">
        <f t="shared" si="7"/>
        <v>73102111</v>
      </c>
      <c r="E459" s="1140" t="str">
        <f>Translations!$B$611</f>
        <v>Iron or steel products</v>
      </c>
      <c r="F459" s="628" t="str">
        <f>IF(E459=" --- ","",COUNTIF($E$4:E459,E459)&amp;"_"&amp;E459)</f>
        <v>367_Iron or steel products</v>
      </c>
      <c r="H459" s="628" t="s">
        <v>2317</v>
      </c>
    </row>
    <row r="460" spans="1:8" x14ac:dyDescent="0.3">
      <c r="A460" s="628" t="s">
        <v>2318</v>
      </c>
      <c r="B460" s="628" t="s">
        <v>2319</v>
      </c>
      <c r="C460" s="628" t="str">
        <f>Translations!$B$1297</f>
        <v>Cans of iron or steel, of a capacity of &lt; 50 l, which are to be closed by soldering or crimping, of a kind used for preserving drink</v>
      </c>
      <c r="D460" s="628" t="str">
        <f t="shared" si="7"/>
        <v>73102119</v>
      </c>
      <c r="E460" s="1140" t="str">
        <f>Translations!$B$611</f>
        <v>Iron or steel products</v>
      </c>
      <c r="F460" s="628" t="str">
        <f>IF(E460=" --- ","",COUNTIF($E$4:E460,E460)&amp;"_"&amp;E460)</f>
        <v>368_Iron or steel products</v>
      </c>
      <c r="H460" s="628" t="s">
        <v>2320</v>
      </c>
    </row>
    <row r="461" spans="1:8" x14ac:dyDescent="0.3">
      <c r="A461" s="628" t="s">
        <v>2321</v>
      </c>
      <c r="B461" s="628" t="s">
        <v>2322</v>
      </c>
      <c r="C461" s="628" t="str">
        <f>Translations!$B$1298</f>
        <v>Cans of iron or steel, of a capacity of &lt; 50 l, which are to be closed by soldering or crimping, of a wall thickness of &lt; 0,5 mm (excl. cans for compressed or liquefied gas, and cans of a kind used for preserving food and drink)</v>
      </c>
      <c r="D461" s="628" t="str">
        <f t="shared" si="7"/>
        <v>73102191</v>
      </c>
      <c r="E461" s="1140" t="str">
        <f>Translations!$B$611</f>
        <v>Iron or steel products</v>
      </c>
      <c r="F461" s="628" t="str">
        <f>IF(E461=" --- ","",COUNTIF($E$4:E461,E461)&amp;"_"&amp;E461)</f>
        <v>369_Iron or steel products</v>
      </c>
      <c r="H461" s="628" t="s">
        <v>2323</v>
      </c>
    </row>
    <row r="462" spans="1:8" x14ac:dyDescent="0.3">
      <c r="A462" s="628" t="s">
        <v>2324</v>
      </c>
      <c r="B462" s="628" t="s">
        <v>2325</v>
      </c>
      <c r="C462" s="628" t="str">
        <f>Translations!$B$1299</f>
        <v>Cans of iron or steel, of a capacity of &lt; 50 l, which are to be closed by soldering or crimping, of a wall thickness of &gt;= 0,5 mm (excl. cans for compressed or liquefied gas, and cans of a kind used for preserving food and drink)</v>
      </c>
      <c r="D462" s="628" t="str">
        <f t="shared" si="7"/>
        <v>73102199</v>
      </c>
      <c r="E462" s="1140" t="str">
        <f>Translations!$B$611</f>
        <v>Iron or steel products</v>
      </c>
      <c r="F462" s="628" t="str">
        <f>IF(E462=" --- ","",COUNTIF($E$4:E462,E462)&amp;"_"&amp;E462)</f>
        <v>370_Iron or steel products</v>
      </c>
      <c r="H462" s="628" t="s">
        <v>2326</v>
      </c>
    </row>
    <row r="463" spans="1:8" x14ac:dyDescent="0.3">
      <c r="A463" s="628" t="s">
        <v>2329</v>
      </c>
      <c r="B463" s="628" t="s">
        <v>2330</v>
      </c>
      <c r="C463" s="628" t="str">
        <f>Translations!$B$1301</f>
        <v>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v>
      </c>
      <c r="D463" s="628" t="str">
        <f t="shared" si="7"/>
        <v>73102910</v>
      </c>
      <c r="E463" s="1140" t="str">
        <f>Translations!$B$611</f>
        <v>Iron or steel products</v>
      </c>
      <c r="F463" s="628" t="str">
        <f>IF(E463=" --- ","",COUNTIF($E$4:E463,E463)&amp;"_"&amp;E463)</f>
        <v>371_Iron or steel products</v>
      </c>
      <c r="H463" s="628" t="s">
        <v>2331</v>
      </c>
    </row>
    <row r="464" spans="1:8" x14ac:dyDescent="0.3">
      <c r="A464" s="628" t="s">
        <v>2332</v>
      </c>
      <c r="B464" s="628" t="s">
        <v>2333</v>
      </c>
      <c r="C464" s="628" t="str">
        <f>Translations!$B$1302</f>
        <v>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v>
      </c>
      <c r="D464" s="628" t="str">
        <f t="shared" si="7"/>
        <v>73102990</v>
      </c>
      <c r="E464" s="1140" t="str">
        <f>Translations!$B$611</f>
        <v>Iron or steel products</v>
      </c>
      <c r="F464" s="628" t="str">
        <f>IF(E464=" --- ","",COUNTIF($E$4:E464,E464)&amp;"_"&amp;E464)</f>
        <v>372_Iron or steel products</v>
      </c>
      <c r="H464" s="628" t="s">
        <v>2334</v>
      </c>
    </row>
    <row r="465" spans="1:8" x14ac:dyDescent="0.3">
      <c r="A465" s="628" t="s">
        <v>2337</v>
      </c>
      <c r="B465" s="628" t="s">
        <v>2338</v>
      </c>
      <c r="C465" s="628" t="str">
        <f>Translations!$B$1304</f>
        <v>Containers of iron or steel, seamless, for compressed or liquefied gas, for a pressure &gt;= 165 bar, of a capacity &lt; 20 l (excl. containers specifically constructed or equipped for one or more types of transport)</v>
      </c>
      <c r="D465" s="628" t="str">
        <f t="shared" si="7"/>
        <v>73110011</v>
      </c>
      <c r="E465" s="1140" t="str">
        <f>Translations!$B$611</f>
        <v>Iron or steel products</v>
      </c>
      <c r="F465" s="628" t="str">
        <f>IF(E465=" --- ","",COUNTIF($E$4:E465,E465)&amp;"_"&amp;E465)</f>
        <v>373_Iron or steel products</v>
      </c>
      <c r="H465" s="628" t="s">
        <v>4227</v>
      </c>
    </row>
    <row r="466" spans="1:8" x14ac:dyDescent="0.3">
      <c r="A466" s="628" t="s">
        <v>2340</v>
      </c>
      <c r="B466" s="628" t="s">
        <v>2341</v>
      </c>
      <c r="C466" s="628" t="str">
        <f>Translations!$B$1305</f>
        <v>Containers of iron or steel, seamless, for compressed or liquefied gas, for a pressure &gt;= 165 bar, of a capacity &gt;= 20 l to &lt;= 50 l (excl. containers specifically constructed or equipped for one or more types of transport)</v>
      </c>
      <c r="D466" s="628" t="str">
        <f t="shared" ref="D466:D529" si="8">SUBSTITUTE(B466," ","")</f>
        <v>73110013</v>
      </c>
      <c r="E466" s="1140" t="str">
        <f>Translations!$B$611</f>
        <v>Iron or steel products</v>
      </c>
      <c r="F466" s="628" t="str">
        <f>IF(E466=" --- ","",COUNTIF($E$4:E466,E466)&amp;"_"&amp;E466)</f>
        <v>374_Iron or steel products</v>
      </c>
      <c r="H466" s="628" t="s">
        <v>4228</v>
      </c>
    </row>
    <row r="467" spans="1:8" x14ac:dyDescent="0.3">
      <c r="A467" s="628" t="s">
        <v>2343</v>
      </c>
      <c r="B467" s="628" t="s">
        <v>2344</v>
      </c>
      <c r="C467" s="628" t="str">
        <f>Translations!$B$1306</f>
        <v>Containers of iron or steel, seamless, for compressed or liquefied gas, for a pressure &gt;= 165 bar, of a capacity &gt; 50 l (excl. containers specifically constructed or equipped for one or more types of transport)</v>
      </c>
      <c r="D467" s="628" t="str">
        <f t="shared" si="8"/>
        <v>73110019</v>
      </c>
      <c r="E467" s="1140" t="str">
        <f>Translations!$B$611</f>
        <v>Iron or steel products</v>
      </c>
      <c r="F467" s="628" t="str">
        <f>IF(E467=" --- ","",COUNTIF($E$4:E467,E467)&amp;"_"&amp;E467)</f>
        <v>375_Iron or steel products</v>
      </c>
      <c r="H467" s="628" t="s">
        <v>4229</v>
      </c>
    </row>
    <row r="468" spans="1:8" x14ac:dyDescent="0.3">
      <c r="A468" s="628" t="s">
        <v>2346</v>
      </c>
      <c r="B468" s="628" t="s">
        <v>2347</v>
      </c>
      <c r="C468" s="628" t="str">
        <f>Translations!$B$1307</f>
        <v>Containers of iron or steel, seamless, for compressed or liquefied gas, for a pressure &lt; 165 bar (excl. containers specifically constructed or equipped for one or more types of transport)</v>
      </c>
      <c r="D468" s="628" t="str">
        <f t="shared" si="8"/>
        <v>73110030</v>
      </c>
      <c r="E468" s="1140" t="str">
        <f>Translations!$B$611</f>
        <v>Iron or steel products</v>
      </c>
      <c r="F468" s="628" t="str">
        <f>IF(E468=" --- ","",COUNTIF($E$4:E468,E468)&amp;"_"&amp;E468)</f>
        <v>376_Iron or steel products</v>
      </c>
      <c r="H468" s="628" t="s">
        <v>4230</v>
      </c>
    </row>
    <row r="469" spans="1:8" x14ac:dyDescent="0.3">
      <c r="A469" s="628" t="s">
        <v>2349</v>
      </c>
      <c r="B469" s="628" t="s">
        <v>2350</v>
      </c>
      <c r="C469" s="628" t="str">
        <f>Translations!$B$1308</f>
        <v>Containers of iron or steel, seamless, for compressed or liquefied gas, of a capacity of &lt; 1.000 l (excl. seamless containers and containers specifically constructed or equipped for one or more types of transport)</v>
      </c>
      <c r="D469" s="628" t="str">
        <f t="shared" si="8"/>
        <v>73110091</v>
      </c>
      <c r="E469" s="1140" t="str">
        <f>Translations!$B$611</f>
        <v>Iron or steel products</v>
      </c>
      <c r="F469" s="628" t="str">
        <f>IF(E469=" --- ","",COUNTIF($E$4:E469,E469)&amp;"_"&amp;E469)</f>
        <v>377_Iron or steel products</v>
      </c>
      <c r="H469" s="628" t="s">
        <v>2351</v>
      </c>
    </row>
    <row r="470" spans="1:8" x14ac:dyDescent="0.3">
      <c r="A470" s="628" t="s">
        <v>2352</v>
      </c>
      <c r="B470" s="628" t="s">
        <v>2353</v>
      </c>
      <c r="C470" s="628" t="str">
        <f>Translations!$B$1309</f>
        <v>Containers of iron or steel, seamless, for compressed or liquefied gas, of a capacity of &gt;= 1.000 l (excl. seamless containers and containers specifically constructed or equipped for one or more types of transport)</v>
      </c>
      <c r="D470" s="628" t="str">
        <f t="shared" si="8"/>
        <v>73110099</v>
      </c>
      <c r="E470" s="1140" t="str">
        <f>Translations!$B$611</f>
        <v>Iron or steel products</v>
      </c>
      <c r="F470" s="628" t="str">
        <f>IF(E470=" --- ","",COUNTIF($E$4:E470,E470)&amp;"_"&amp;E470)</f>
        <v>378_Iron or steel products</v>
      </c>
      <c r="H470" s="628" t="s">
        <v>2354</v>
      </c>
    </row>
    <row r="471" spans="1:8" x14ac:dyDescent="0.3">
      <c r="A471" s="628" t="s">
        <v>2357</v>
      </c>
      <c r="B471" s="628" t="s">
        <v>2358</v>
      </c>
      <c r="C471" s="628" t="str">
        <f>Translations!$B$1311</f>
        <v>Coach screws of iron or steel</v>
      </c>
      <c r="D471" s="628" t="str">
        <f t="shared" si="8"/>
        <v>73181100</v>
      </c>
      <c r="E471" s="1140" t="str">
        <f>Translations!$B$611</f>
        <v>Iron or steel products</v>
      </c>
      <c r="F471" s="628" t="str">
        <f>IF(E471=" --- ","",COUNTIF($E$4:E471,E471)&amp;"_"&amp;E471)</f>
        <v>379_Iron or steel products</v>
      </c>
      <c r="H471" s="628" t="s">
        <v>2359</v>
      </c>
    </row>
    <row r="472" spans="1:8" x14ac:dyDescent="0.3">
      <c r="A472" s="628" t="s">
        <v>2362</v>
      </c>
      <c r="B472" s="628" t="s">
        <v>2363</v>
      </c>
      <c r="C472" s="628" t="str">
        <f>Translations!$B$1313</f>
        <v>Wood screws of stainless steel (excl. coach screws)</v>
      </c>
      <c r="D472" s="628" t="str">
        <f t="shared" si="8"/>
        <v>73181210</v>
      </c>
      <c r="E472" s="1140" t="str">
        <f>Translations!$B$611</f>
        <v>Iron or steel products</v>
      </c>
      <c r="F472" s="628" t="str">
        <f>IF(E472=" --- ","",COUNTIF($E$4:E472,E472)&amp;"_"&amp;E472)</f>
        <v>380_Iron or steel products</v>
      </c>
      <c r="H472" s="628" t="s">
        <v>2364</v>
      </c>
    </row>
    <row r="473" spans="1:8" x14ac:dyDescent="0.3">
      <c r="A473" s="628" t="s">
        <v>2365</v>
      </c>
      <c r="B473" s="628" t="s">
        <v>2366</v>
      </c>
      <c r="C473" s="628" t="str">
        <f>Translations!$B$1314</f>
        <v>Wood screws of iron or steel other than stainless (excl. coach screws)</v>
      </c>
      <c r="D473" s="628" t="str">
        <f t="shared" si="8"/>
        <v>73181290</v>
      </c>
      <c r="E473" s="1140" t="str">
        <f>Translations!$B$611</f>
        <v>Iron or steel products</v>
      </c>
      <c r="F473" s="628" t="str">
        <f>IF(E473=" --- ","",COUNTIF($E$4:E473,E473)&amp;"_"&amp;E473)</f>
        <v>381_Iron or steel products</v>
      </c>
      <c r="H473" s="628" t="s">
        <v>2367</v>
      </c>
    </row>
    <row r="474" spans="1:8" x14ac:dyDescent="0.3">
      <c r="A474" s="628" t="s">
        <v>2368</v>
      </c>
      <c r="B474" s="628" t="s">
        <v>2369</v>
      </c>
      <c r="C474" s="628" t="str">
        <f>Translations!$B$1315</f>
        <v>Screw hooks and screw rings, of iron or steel</v>
      </c>
      <c r="D474" s="628" t="str">
        <f t="shared" si="8"/>
        <v>73181300</v>
      </c>
      <c r="E474" s="1140" t="str">
        <f>Translations!$B$611</f>
        <v>Iron or steel products</v>
      </c>
      <c r="F474" s="628" t="str">
        <f>IF(E474=" --- ","",COUNTIF($E$4:E474,E474)&amp;"_"&amp;E474)</f>
        <v>382_Iron or steel products</v>
      </c>
      <c r="H474" s="628" t="s">
        <v>2370</v>
      </c>
    </row>
    <row r="475" spans="1:8" x14ac:dyDescent="0.3">
      <c r="A475" s="628" t="s">
        <v>2373</v>
      </c>
      <c r="B475" s="628" t="s">
        <v>2374</v>
      </c>
      <c r="C475" s="628" t="str">
        <f>Translations!$B$1317</f>
        <v>Self-tapping screws, of stainless steel (excl. wood screws)</v>
      </c>
      <c r="D475" s="628" t="str">
        <f t="shared" si="8"/>
        <v>73181410</v>
      </c>
      <c r="E475" s="1140" t="str">
        <f>Translations!$B$611</f>
        <v>Iron or steel products</v>
      </c>
      <c r="F475" s="628" t="str">
        <f>IF(E475=" --- ","",COUNTIF($E$4:E475,E475)&amp;"_"&amp;E475)</f>
        <v>383_Iron or steel products</v>
      </c>
      <c r="H475" s="628" t="s">
        <v>2375</v>
      </c>
    </row>
    <row r="476" spans="1:8" x14ac:dyDescent="0.3">
      <c r="A476" s="628" t="s">
        <v>2376</v>
      </c>
      <c r="B476" s="628" t="s">
        <v>2377</v>
      </c>
      <c r="C476" s="628" t="str">
        <f>Translations!$B$1318</f>
        <v>Spaced-thread screws of iron or steel other than stainless</v>
      </c>
      <c r="D476" s="628" t="str">
        <f t="shared" si="8"/>
        <v>73181491</v>
      </c>
      <c r="E476" s="1140" t="str">
        <f>Translations!$B$611</f>
        <v>Iron or steel products</v>
      </c>
      <c r="F476" s="628" t="str">
        <f>IF(E476=" --- ","",COUNTIF($E$4:E476,E476)&amp;"_"&amp;E476)</f>
        <v>384_Iron or steel products</v>
      </c>
      <c r="H476" s="628" t="s">
        <v>2378</v>
      </c>
    </row>
    <row r="477" spans="1:8" x14ac:dyDescent="0.3">
      <c r="A477" s="628" t="s">
        <v>2379</v>
      </c>
      <c r="B477" s="628" t="s">
        <v>2380</v>
      </c>
      <c r="C477" s="628" t="str">
        <f>Translations!$B$1319</f>
        <v>Self-tapping screws of iron or steel other than stainless (excl. spaced-thread screws and wood screws)</v>
      </c>
      <c r="D477" s="628" t="str">
        <f t="shared" si="8"/>
        <v>73181499</v>
      </c>
      <c r="E477" s="1140" t="str">
        <f>Translations!$B$611</f>
        <v>Iron or steel products</v>
      </c>
      <c r="F477" s="628" t="str">
        <f>IF(E477=" --- ","",COUNTIF($E$4:E477,E477)&amp;"_"&amp;E477)</f>
        <v>385_Iron or steel products</v>
      </c>
      <c r="H477" s="628" t="s">
        <v>2381</v>
      </c>
    </row>
    <row r="478" spans="1:8" x14ac:dyDescent="0.3">
      <c r="A478" s="628" t="s">
        <v>2384</v>
      </c>
      <c r="B478" s="628" t="s">
        <v>2385</v>
      </c>
      <c r="C478" s="628" t="str">
        <f>Translations!$B$1321</f>
        <v>Screws and bolts, of iron or steel "whether or not with their nuts and washers", for fixing railway track construction material (excl. coach screws)</v>
      </c>
      <c r="D478" s="628" t="str">
        <f t="shared" si="8"/>
        <v>73181520</v>
      </c>
      <c r="E478" s="1140" t="str">
        <f>Translations!$B$611</f>
        <v>Iron or steel products</v>
      </c>
      <c r="F478" s="628" t="str">
        <f>IF(E478=" --- ","",COUNTIF($E$4:E478,E478)&amp;"_"&amp;E478)</f>
        <v>386_Iron or steel products</v>
      </c>
      <c r="H478" s="628" t="s">
        <v>2386</v>
      </c>
    </row>
    <row r="479" spans="1:8" x14ac:dyDescent="0.3">
      <c r="A479" s="628" t="s">
        <v>2387</v>
      </c>
      <c r="B479" s="628" t="s">
        <v>2388</v>
      </c>
      <c r="C479" s="628" t="str">
        <f>Translations!$B$1322</f>
        <v>Screws and bolts, of stainless steel "whether or not with their nuts and washers", without heads (excl. screws and bolts for fixing railway track construction material)</v>
      </c>
      <c r="D479" s="628" t="str">
        <f t="shared" si="8"/>
        <v>73181535</v>
      </c>
      <c r="E479" s="1140" t="str">
        <f>Translations!$B$611</f>
        <v>Iron or steel products</v>
      </c>
      <c r="F479" s="628" t="str">
        <f>IF(E479=" --- ","",COUNTIF($E$4:E479,E479)&amp;"_"&amp;E479)</f>
        <v>387_Iron or steel products</v>
      </c>
      <c r="H479" s="628" t="s">
        <v>2389</v>
      </c>
    </row>
    <row r="480" spans="1:8" x14ac:dyDescent="0.3">
      <c r="A480" s="628" t="s">
        <v>2390</v>
      </c>
      <c r="B480" s="628" t="s">
        <v>2391</v>
      </c>
      <c r="C480" s="628" t="str">
        <f>Translations!$B$1323</f>
        <v>Screws and bolts, of iron or steel other than stainless "whether or not with their nuts and washers", without heads, with a tensile strength of &lt; 800 MPa (excl. screws and bolts for fixing railway track construction material)</v>
      </c>
      <c r="D480" s="628" t="str">
        <f t="shared" si="8"/>
        <v>73181542</v>
      </c>
      <c r="E480" s="1140" t="str">
        <f>Translations!$B$611</f>
        <v>Iron or steel products</v>
      </c>
      <c r="F480" s="628" t="str">
        <f>IF(E480=" --- ","",COUNTIF($E$4:E480,E480)&amp;"_"&amp;E480)</f>
        <v>388_Iron or steel products</v>
      </c>
      <c r="H480" s="628" t="s">
        <v>2392</v>
      </c>
    </row>
    <row r="481" spans="1:8" x14ac:dyDescent="0.3">
      <c r="A481" s="628" t="s">
        <v>2393</v>
      </c>
      <c r="B481" s="628" t="s">
        <v>2394</v>
      </c>
      <c r="C481" s="628" t="str">
        <f>Translations!$B$1324</f>
        <v>Screws and bolts, of iron or steel other than stainless "whether or not with their nuts and washers", without heads, with a tensile strength of &gt;= 800 MPa (excl. screws and bolts for fixing railway track construction material)</v>
      </c>
      <c r="D481" s="628" t="str">
        <f t="shared" si="8"/>
        <v>73181548</v>
      </c>
      <c r="E481" s="1140" t="str">
        <f>Translations!$B$611</f>
        <v>Iron or steel products</v>
      </c>
      <c r="F481" s="628" t="str">
        <f>IF(E481=" --- ","",COUNTIF($E$4:E481,E481)&amp;"_"&amp;E481)</f>
        <v>389_Iron or steel products</v>
      </c>
      <c r="H481" s="628" t="s">
        <v>2395</v>
      </c>
    </row>
    <row r="482" spans="1:8" x14ac:dyDescent="0.3">
      <c r="A482" s="628" t="s">
        <v>2396</v>
      </c>
      <c r="B482" s="628" t="s">
        <v>2397</v>
      </c>
      <c r="C482" s="628" t="str">
        <f>Translations!$B$1325</f>
        <v>Screws and bolts, of stainless steel "whether or not with their nuts and washers", with slotted or cross-recessed heads (excl. wood screws and self-tapping screws)</v>
      </c>
      <c r="D482" s="628" t="str">
        <f t="shared" si="8"/>
        <v>73181552</v>
      </c>
      <c r="E482" s="1140" t="str">
        <f>Translations!$B$611</f>
        <v>Iron or steel products</v>
      </c>
      <c r="F482" s="628" t="str">
        <f>IF(E482=" --- ","",COUNTIF($E$4:E482,E482)&amp;"_"&amp;E482)</f>
        <v>390_Iron or steel products</v>
      </c>
      <c r="H482" s="628" t="s">
        <v>2398</v>
      </c>
    </row>
    <row r="483" spans="1:8" x14ac:dyDescent="0.3">
      <c r="A483" s="628" t="s">
        <v>2399</v>
      </c>
      <c r="B483" s="628" t="s">
        <v>2400</v>
      </c>
      <c r="C483" s="628" t="str">
        <f>Translations!$B$1326</f>
        <v>Screws and bolts, of iron or steel other than stainless "whether or not with their nuts and washers", with slotted or cross-recessed heads (excl. wood screws and self-tapping screws)</v>
      </c>
      <c r="D483" s="628" t="str">
        <f t="shared" si="8"/>
        <v>73181558</v>
      </c>
      <c r="E483" s="1140" t="str">
        <f>Translations!$B$611</f>
        <v>Iron or steel products</v>
      </c>
      <c r="F483" s="628" t="str">
        <f>IF(E483=" --- ","",COUNTIF($E$4:E483,E483)&amp;"_"&amp;E483)</f>
        <v>391_Iron or steel products</v>
      </c>
      <c r="H483" s="628" t="s">
        <v>2401</v>
      </c>
    </row>
    <row r="484" spans="1:8" x14ac:dyDescent="0.3">
      <c r="A484" s="628" t="s">
        <v>2402</v>
      </c>
      <c r="B484" s="628" t="s">
        <v>2403</v>
      </c>
      <c r="C484" s="628" t="str">
        <f>Translations!$B$1327</f>
        <v>Hexagonal-socket head screws and bolts, of stainless steel "whether or not with their nuts and washers" (excl. wood screws, self-tapping screws and screws and bolts for fixing railway track construction material)</v>
      </c>
      <c r="D484" s="628" t="str">
        <f t="shared" si="8"/>
        <v>73181562</v>
      </c>
      <c r="E484" s="1140" t="str">
        <f>Translations!$B$611</f>
        <v>Iron or steel products</v>
      </c>
      <c r="F484" s="628" t="str">
        <f>IF(E484=" --- ","",COUNTIF($E$4:E484,E484)&amp;"_"&amp;E484)</f>
        <v>392_Iron or steel products</v>
      </c>
      <c r="H484" s="628" t="s">
        <v>2404</v>
      </c>
    </row>
    <row r="485" spans="1:8" x14ac:dyDescent="0.3">
      <c r="A485" s="628" t="s">
        <v>2405</v>
      </c>
      <c r="B485" s="628" t="s">
        <v>2406</v>
      </c>
      <c r="C485" s="628" t="str">
        <f>Translations!$B$1328</f>
        <v>Hexagonal-socket head screws and bolts, of iron or steel other than stainless "whether or not with their nuts and washers" (excl. wood screws, self-tapping screws and screws and bolts for fixing railway track construction material)</v>
      </c>
      <c r="D485" s="628" t="str">
        <f t="shared" si="8"/>
        <v>73181568</v>
      </c>
      <c r="E485" s="1140" t="str">
        <f>Translations!$B$611</f>
        <v>Iron or steel products</v>
      </c>
      <c r="F485" s="628" t="str">
        <f>IF(E485=" --- ","",COUNTIF($E$4:E485,E485)&amp;"_"&amp;E485)</f>
        <v>393_Iron or steel products</v>
      </c>
      <c r="H485" s="628" t="s">
        <v>2407</v>
      </c>
    </row>
    <row r="486" spans="1:8" x14ac:dyDescent="0.3">
      <c r="A486" s="628" t="s">
        <v>2408</v>
      </c>
      <c r="B486" s="628" t="s">
        <v>2409</v>
      </c>
      <c r="C486" s="628" t="str">
        <f>Translations!$B$1329</f>
        <v>Hexagon screws and bolts, of stainless steel "whether or not with their nuts and washers" (excl. with socket head, wood screws, self-tapping screws and screws and bolts for fixing railway track construction material)</v>
      </c>
      <c r="D486" s="628" t="str">
        <f t="shared" si="8"/>
        <v>73181575</v>
      </c>
      <c r="E486" s="1140" t="str">
        <f>Translations!$B$611</f>
        <v>Iron or steel products</v>
      </c>
      <c r="F486" s="628" t="str">
        <f>IF(E486=" --- ","",COUNTIF($E$4:E486,E486)&amp;"_"&amp;E486)</f>
        <v>394_Iron or steel products</v>
      </c>
      <c r="H486" s="628" t="s">
        <v>2410</v>
      </c>
    </row>
    <row r="487" spans="1:8" x14ac:dyDescent="0.3">
      <c r="A487" s="628" t="s">
        <v>2411</v>
      </c>
      <c r="B487" s="628" t="s">
        <v>2412</v>
      </c>
      <c r="C487" s="628" t="str">
        <f>Translations!$B$1330</f>
        <v>Hexagon screws and bolts, of iron or steel other than stainless "whether or not with their nuts and washers", with a tensile strength of &lt; 800 MPa (excl. with socket head, wood screws, self-tapping screws and screws and bolts for fixing railway track construction material)</v>
      </c>
      <c r="D487" s="628" t="str">
        <f t="shared" si="8"/>
        <v>73181582</v>
      </c>
      <c r="E487" s="1140" t="str">
        <f>Translations!$B$611</f>
        <v>Iron or steel products</v>
      </c>
      <c r="F487" s="628" t="str">
        <f>IF(E487=" --- ","",COUNTIF($E$4:E487,E487)&amp;"_"&amp;E487)</f>
        <v>395_Iron or steel products</v>
      </c>
      <c r="H487" s="628" t="s">
        <v>2413</v>
      </c>
    </row>
    <row r="488" spans="1:8" x14ac:dyDescent="0.3">
      <c r="A488" s="628" t="s">
        <v>2414</v>
      </c>
      <c r="B488" s="628" t="s">
        <v>2415</v>
      </c>
      <c r="C488" s="628" t="str">
        <f>Translations!$B$1331</f>
        <v>Hexagon screws and bolts, of iron or steel other than stainless "whether or not with their nuts and washers", with a tensile strength of =&gt; 800 MPa (excl. with socket head, wood screws, self-tapping screws and screws and bolts for fixing railway track construction material)</v>
      </c>
      <c r="D488" s="628" t="str">
        <f t="shared" si="8"/>
        <v>73181588</v>
      </c>
      <c r="E488" s="1140" t="str">
        <f>Translations!$B$611</f>
        <v>Iron or steel products</v>
      </c>
      <c r="F488" s="628" t="str">
        <f>IF(E488=" --- ","",COUNTIF($E$4:E488,E488)&amp;"_"&amp;E488)</f>
        <v>396_Iron or steel products</v>
      </c>
      <c r="H488" s="628" t="s">
        <v>2416</v>
      </c>
    </row>
    <row r="489" spans="1:8" x14ac:dyDescent="0.3">
      <c r="A489" s="628" t="s">
        <v>2417</v>
      </c>
      <c r="B489" s="628" t="s">
        <v>2418</v>
      </c>
      <c r="C489" s="628" t="str">
        <f>Translations!$B$1332</f>
        <v>Screws and bolts, of iron or steel "whether or not with their nuts and washers", with heads (excl. with slotted, cross-recessed or hexagonal head; wood screws, self-tapping screws and screws and bolts for fixing railway track construction material, screw hooks and screw rings)</v>
      </c>
      <c r="D489" s="628" t="str">
        <f t="shared" si="8"/>
        <v>73181595</v>
      </c>
      <c r="E489" s="1140" t="str">
        <f>Translations!$B$611</f>
        <v>Iron or steel products</v>
      </c>
      <c r="F489" s="628" t="str">
        <f>IF(E489=" --- ","",COUNTIF($E$4:E489,E489)&amp;"_"&amp;E489)</f>
        <v>397_Iron or steel products</v>
      </c>
      <c r="H489" s="628" t="s">
        <v>2419</v>
      </c>
    </row>
    <row r="490" spans="1:8" x14ac:dyDescent="0.3">
      <c r="A490" s="628" t="s">
        <v>2422</v>
      </c>
      <c r="B490" s="628" t="s">
        <v>2423</v>
      </c>
      <c r="C490" s="628" t="str">
        <f>Translations!$B$1334</f>
        <v>Blind rivet nuts of stainless steel</v>
      </c>
      <c r="D490" s="628" t="str">
        <f t="shared" si="8"/>
        <v>73181631</v>
      </c>
      <c r="E490" s="1140" t="str">
        <f>Translations!$B$611</f>
        <v>Iron or steel products</v>
      </c>
      <c r="F490" s="628" t="str">
        <f>IF(E490=" --- ","",COUNTIF($E$4:E490,E490)&amp;"_"&amp;E490)</f>
        <v>398_Iron or steel products</v>
      </c>
      <c r="H490" s="628" t="s">
        <v>2424</v>
      </c>
    </row>
    <row r="491" spans="1:8" x14ac:dyDescent="0.3">
      <c r="A491" s="628" t="s">
        <v>2425</v>
      </c>
      <c r="B491" s="628" t="s">
        <v>2426</v>
      </c>
      <c r="C491" s="628" t="str">
        <f>Translations!$B$1335</f>
        <v>Nuts of stainless steel (excl. blind rivet nuts)</v>
      </c>
      <c r="D491" s="628" t="str">
        <f t="shared" si="8"/>
        <v>73181639</v>
      </c>
      <c r="E491" s="1140" t="str">
        <f>Translations!$B$611</f>
        <v>Iron or steel products</v>
      </c>
      <c r="F491" s="628" t="str">
        <f>IF(E491=" --- ","",COUNTIF($E$4:E491,E491)&amp;"_"&amp;E491)</f>
        <v>399_Iron or steel products</v>
      </c>
      <c r="H491" s="628" t="s">
        <v>2427</v>
      </c>
    </row>
    <row r="492" spans="1:8" x14ac:dyDescent="0.3">
      <c r="A492" s="628" t="s">
        <v>2428</v>
      </c>
      <c r="B492" s="628" t="s">
        <v>2429</v>
      </c>
      <c r="C492" s="628" t="str">
        <f>Translations!$B$1336</f>
        <v>Blind rivet nuts of iron or steel other than stainless</v>
      </c>
      <c r="D492" s="628" t="str">
        <f t="shared" si="8"/>
        <v>73181640</v>
      </c>
      <c r="E492" s="1140" t="str">
        <f>Translations!$B$611</f>
        <v>Iron or steel products</v>
      </c>
      <c r="F492" s="628" t="str">
        <f>IF(E492=" --- ","",COUNTIF($E$4:E492,E492)&amp;"_"&amp;E492)</f>
        <v>400_Iron or steel products</v>
      </c>
      <c r="H492" s="628" t="s">
        <v>2430</v>
      </c>
    </row>
    <row r="493" spans="1:8" x14ac:dyDescent="0.3">
      <c r="A493" s="628" t="s">
        <v>2431</v>
      </c>
      <c r="B493" s="628" t="s">
        <v>2432</v>
      </c>
      <c r="C493" s="628" t="str">
        <f>Translations!$B$1337</f>
        <v>Self-locking nuts of iron or steel other than stainless</v>
      </c>
      <c r="D493" s="628" t="str">
        <f t="shared" si="8"/>
        <v>73181660</v>
      </c>
      <c r="E493" s="1140" t="str">
        <f>Translations!$B$611</f>
        <v>Iron or steel products</v>
      </c>
      <c r="F493" s="628" t="str">
        <f>IF(E493=" --- ","",COUNTIF($E$4:E493,E493)&amp;"_"&amp;E493)</f>
        <v>401_Iron or steel products</v>
      </c>
      <c r="H493" s="628" t="s">
        <v>2433</v>
      </c>
    </row>
    <row r="494" spans="1:8" x14ac:dyDescent="0.3">
      <c r="A494" s="628" t="s">
        <v>2434</v>
      </c>
      <c r="B494" s="628" t="s">
        <v>2435</v>
      </c>
      <c r="C494" s="628" t="str">
        <f>Translations!$B$1338</f>
        <v>Nuts of iron or steel other than stainless, with an inside diameter &lt;= 12 mm (excl. blind rivet nuts and self-locking nuts)</v>
      </c>
      <c r="D494" s="628" t="str">
        <f t="shared" si="8"/>
        <v>73181692</v>
      </c>
      <c r="E494" s="1140" t="str">
        <f>Translations!$B$611</f>
        <v>Iron or steel products</v>
      </c>
      <c r="F494" s="628" t="str">
        <f>IF(E494=" --- ","",COUNTIF($E$4:E494,E494)&amp;"_"&amp;E494)</f>
        <v>402_Iron or steel products</v>
      </c>
      <c r="H494" s="628" t="s">
        <v>2436</v>
      </c>
    </row>
    <row r="495" spans="1:8" x14ac:dyDescent="0.3">
      <c r="A495" s="628" t="s">
        <v>2437</v>
      </c>
      <c r="B495" s="628" t="s">
        <v>2438</v>
      </c>
      <c r="C495" s="628" t="str">
        <f>Translations!$B$1339</f>
        <v>Nuts of iron or steel other than stainless, with an inside diameter &gt; 12 mm (excl. blind rivet nuts and self-locking nuts)</v>
      </c>
      <c r="D495" s="628" t="str">
        <f t="shared" si="8"/>
        <v>73181699</v>
      </c>
      <c r="E495" s="1140" t="str">
        <f>Translations!$B$611</f>
        <v>Iron or steel products</v>
      </c>
      <c r="F495" s="628" t="str">
        <f>IF(E495=" --- ","",COUNTIF($E$4:E495,E495)&amp;"_"&amp;E495)</f>
        <v>403_Iron or steel products</v>
      </c>
      <c r="H495" s="628" t="s">
        <v>2439</v>
      </c>
    </row>
    <row r="496" spans="1:8" x14ac:dyDescent="0.3">
      <c r="A496" s="628" t="s">
        <v>2440</v>
      </c>
      <c r="B496" s="628" t="s">
        <v>2441</v>
      </c>
      <c r="C496" s="628" t="str">
        <f>Translations!$B$1340</f>
        <v>Threaded articles, of iron or steel, n.e.s.</v>
      </c>
      <c r="D496" s="628" t="str">
        <f t="shared" si="8"/>
        <v>73181900</v>
      </c>
      <c r="E496" s="1140" t="str">
        <f>Translations!$B$611</f>
        <v>Iron or steel products</v>
      </c>
      <c r="F496" s="628" t="str">
        <f>IF(E496=" --- ","",COUNTIF($E$4:E496,E496)&amp;"_"&amp;E496)</f>
        <v>404_Iron or steel products</v>
      </c>
      <c r="H496" s="628" t="s">
        <v>2442</v>
      </c>
    </row>
    <row r="497" spans="1:8" x14ac:dyDescent="0.3">
      <c r="A497" s="628" t="s">
        <v>2443</v>
      </c>
      <c r="B497" s="628" t="s">
        <v>2444</v>
      </c>
      <c r="C497" s="628" t="str">
        <f>Translations!$B$1341</f>
        <v>Spring washers and other lock washers, of iron or steel</v>
      </c>
      <c r="D497" s="628" t="str">
        <f t="shared" si="8"/>
        <v>73182100</v>
      </c>
      <c r="E497" s="1140" t="str">
        <f>Translations!$B$611</f>
        <v>Iron or steel products</v>
      </c>
      <c r="F497" s="628" t="str">
        <f>IF(E497=" --- ","",COUNTIF($E$4:E497,E497)&amp;"_"&amp;E497)</f>
        <v>405_Iron or steel products</v>
      </c>
      <c r="H497" s="628" t="s">
        <v>2445</v>
      </c>
    </row>
    <row r="498" spans="1:8" x14ac:dyDescent="0.3">
      <c r="A498" s="628" t="s">
        <v>2446</v>
      </c>
      <c r="B498" s="628" t="s">
        <v>2447</v>
      </c>
      <c r="C498" s="628" t="str">
        <f>Translations!$B$1342</f>
        <v>Washers of iron or steel (excl. spring washers and other lock washers)</v>
      </c>
      <c r="D498" s="628" t="str">
        <f t="shared" si="8"/>
        <v>73182200</v>
      </c>
      <c r="E498" s="1140" t="str">
        <f>Translations!$B$611</f>
        <v>Iron or steel products</v>
      </c>
      <c r="F498" s="628" t="str">
        <f>IF(E498=" --- ","",COUNTIF($E$4:E498,E498)&amp;"_"&amp;E498)</f>
        <v>406_Iron or steel products</v>
      </c>
      <c r="H498" s="628" t="s">
        <v>2448</v>
      </c>
    </row>
    <row r="499" spans="1:8" x14ac:dyDescent="0.3">
      <c r="A499" s="628" t="s">
        <v>2449</v>
      </c>
      <c r="B499" s="628" t="s">
        <v>2450</v>
      </c>
      <c r="C499" s="628" t="str">
        <f>Translations!$B$1343</f>
        <v>Rivets of iron or steel (excl. tubular and bifurcated rivets for particular uses)</v>
      </c>
      <c r="D499" s="628" t="str">
        <f t="shared" si="8"/>
        <v>73182300</v>
      </c>
      <c r="E499" s="1140" t="str">
        <f>Translations!$B$611</f>
        <v>Iron or steel products</v>
      </c>
      <c r="F499" s="628" t="str">
        <f>IF(E499=" --- ","",COUNTIF($E$4:E499,E499)&amp;"_"&amp;E499)</f>
        <v>407_Iron or steel products</v>
      </c>
      <c r="H499" s="628" t="s">
        <v>2451</v>
      </c>
    </row>
    <row r="500" spans="1:8" x14ac:dyDescent="0.3">
      <c r="A500" s="628" t="s">
        <v>2452</v>
      </c>
      <c r="B500" s="628" t="s">
        <v>2453</v>
      </c>
      <c r="C500" s="628" t="str">
        <f>Translations!$B$1344</f>
        <v>Cotters and cotter pins, of iron or steel</v>
      </c>
      <c r="D500" s="628" t="str">
        <f t="shared" si="8"/>
        <v>73182400</v>
      </c>
      <c r="E500" s="1140" t="str">
        <f>Translations!$B$611</f>
        <v>Iron or steel products</v>
      </c>
      <c r="F500" s="628" t="str">
        <f>IF(E500=" --- ","",COUNTIF($E$4:E500,E500)&amp;"_"&amp;E500)</f>
        <v>408_Iron or steel products</v>
      </c>
      <c r="H500" s="628" t="s">
        <v>2454</v>
      </c>
    </row>
    <row r="501" spans="1:8" x14ac:dyDescent="0.3">
      <c r="A501" s="628" t="s">
        <v>2455</v>
      </c>
      <c r="B501" s="628" t="s">
        <v>2456</v>
      </c>
      <c r="C501" s="628" t="str">
        <f>Translations!$B$1345</f>
        <v>Non-threaded articles, of iron or steel</v>
      </c>
      <c r="D501" s="628" t="str">
        <f t="shared" si="8"/>
        <v>73182900</v>
      </c>
      <c r="E501" s="1140" t="str">
        <f>Translations!$B$611</f>
        <v>Iron or steel products</v>
      </c>
      <c r="F501" s="628" t="str">
        <f>IF(E501=" --- ","",COUNTIF($E$4:E501,E501)&amp;"_"&amp;E501)</f>
        <v>409_Iron or steel products</v>
      </c>
      <c r="H501" s="628" t="s">
        <v>2457</v>
      </c>
    </row>
    <row r="502" spans="1:8" x14ac:dyDescent="0.3">
      <c r="A502" s="628" t="s">
        <v>2460</v>
      </c>
      <c r="B502" s="628" t="s">
        <v>2461</v>
      </c>
      <c r="C502" s="628" t="str">
        <f>Translations!$B$1347</f>
        <v>Grinding balls and similar articles for mills, of iron or steel, forged or stamped, but not further worked</v>
      </c>
      <c r="D502" s="628" t="str">
        <f t="shared" si="8"/>
        <v>73261100</v>
      </c>
      <c r="E502" s="1140" t="str">
        <f>Translations!$B$611</f>
        <v>Iron or steel products</v>
      </c>
      <c r="F502" s="628" t="str">
        <f>IF(E502=" --- ","",COUNTIF($E$4:E502,E502)&amp;"_"&amp;E502)</f>
        <v>410_Iron or steel products</v>
      </c>
      <c r="H502" s="628" t="s">
        <v>2462</v>
      </c>
    </row>
    <row r="503" spans="1:8" x14ac:dyDescent="0.3">
      <c r="A503" s="628" t="s">
        <v>2465</v>
      </c>
      <c r="B503" s="628" t="s">
        <v>2466</v>
      </c>
      <c r="C503" s="628" t="str">
        <f>Translations!$B$1349</f>
        <v>Articles of iron or steel, open-die forged, but not further worked, n.e.s. (excl. grinding balls and similar articles for mills)</v>
      </c>
      <c r="D503" s="628" t="str">
        <f t="shared" si="8"/>
        <v>73261910</v>
      </c>
      <c r="E503" s="1140" t="str">
        <f>Translations!$B$611</f>
        <v>Iron or steel products</v>
      </c>
      <c r="F503" s="628" t="str">
        <f>IF(E503=" --- ","",COUNTIF($E$4:E503,E503)&amp;"_"&amp;E503)</f>
        <v>411_Iron or steel products</v>
      </c>
      <c r="H503" s="628" t="s">
        <v>2467</v>
      </c>
    </row>
    <row r="504" spans="1:8" x14ac:dyDescent="0.3">
      <c r="A504" s="628" t="s">
        <v>2468</v>
      </c>
      <c r="B504" s="628" t="s">
        <v>2469</v>
      </c>
      <c r="C504" s="628" t="str">
        <f>Translations!$B$1350</f>
        <v>Articles of iron or steel, closed-die forged or stamped, but not further worked, n.e.s. (excl. grinding balls and similar articles for mills)</v>
      </c>
      <c r="D504" s="628" t="str">
        <f t="shared" si="8"/>
        <v>73261990</v>
      </c>
      <c r="E504" s="1140" t="str">
        <f>Translations!$B$611</f>
        <v>Iron or steel products</v>
      </c>
      <c r="F504" s="628" t="str">
        <f>IF(E504=" --- ","",COUNTIF($E$4:E504,E504)&amp;"_"&amp;E504)</f>
        <v>412_Iron or steel products</v>
      </c>
      <c r="H504" s="628" t="s">
        <v>2470</v>
      </c>
    </row>
    <row r="505" spans="1:8" x14ac:dyDescent="0.3">
      <c r="A505" s="628" t="s">
        <v>2471</v>
      </c>
      <c r="B505" s="628" t="s">
        <v>2472</v>
      </c>
      <c r="C505" s="628" t="str">
        <f>Translations!$B$1351</f>
        <v>Articles of iron or steel wire, n.e.s.</v>
      </c>
      <c r="D505" s="628" t="str">
        <f t="shared" si="8"/>
        <v>73262000</v>
      </c>
      <c r="E505" s="1140" t="str">
        <f>Translations!$B$611</f>
        <v>Iron or steel products</v>
      </c>
      <c r="F505" s="628" t="str">
        <f>IF(E505=" --- ","",COUNTIF($E$4:E505,E505)&amp;"_"&amp;E505)</f>
        <v>413_Iron or steel products</v>
      </c>
      <c r="H505" s="628" t="s">
        <v>2473</v>
      </c>
    </row>
    <row r="506" spans="1:8" x14ac:dyDescent="0.3">
      <c r="A506" s="628" t="s">
        <v>2476</v>
      </c>
      <c r="B506" s="628" t="s">
        <v>2477</v>
      </c>
      <c r="C506" s="628" t="str">
        <f>Translations!$B$1353</f>
        <v>Ladders and steps, of iron or steel</v>
      </c>
      <c r="D506" s="628" t="str">
        <f t="shared" si="8"/>
        <v>73269030</v>
      </c>
      <c r="E506" s="1140" t="str">
        <f>Translations!$B$611</f>
        <v>Iron or steel products</v>
      </c>
      <c r="F506" s="628" t="str">
        <f>IF(E506=" --- ","",COUNTIF($E$4:E506,E506)&amp;"_"&amp;E506)</f>
        <v>414_Iron or steel products</v>
      </c>
      <c r="H506" s="628" t="s">
        <v>2478</v>
      </c>
    </row>
    <row r="507" spans="1:8" x14ac:dyDescent="0.3">
      <c r="A507" s="628" t="s">
        <v>2479</v>
      </c>
      <c r="B507" s="628" t="s">
        <v>2480</v>
      </c>
      <c r="C507" s="628" t="str">
        <f>Translations!$B$1354</f>
        <v>Pallets and similar platforms for handling goods, of iron or steel</v>
      </c>
      <c r="D507" s="628" t="str">
        <f t="shared" si="8"/>
        <v>73269040</v>
      </c>
      <c r="E507" s="1140" t="str">
        <f>Translations!$B$611</f>
        <v>Iron or steel products</v>
      </c>
      <c r="F507" s="628" t="str">
        <f>IF(E507=" --- ","",COUNTIF($E$4:E507,E507)&amp;"_"&amp;E507)</f>
        <v>415_Iron or steel products</v>
      </c>
      <c r="H507" s="628" t="s">
        <v>2481</v>
      </c>
    </row>
    <row r="508" spans="1:8" x14ac:dyDescent="0.3">
      <c r="A508" s="628" t="s">
        <v>2482</v>
      </c>
      <c r="B508" s="628" t="s">
        <v>2483</v>
      </c>
      <c r="C508" s="628" t="str">
        <f>Translations!$B$1355</f>
        <v>Reels for cables, piping and the like, of iron or steel</v>
      </c>
      <c r="D508" s="628" t="str">
        <f t="shared" si="8"/>
        <v>73269050</v>
      </c>
      <c r="E508" s="1140" t="str">
        <f>Translations!$B$611</f>
        <v>Iron or steel products</v>
      </c>
      <c r="F508" s="628" t="str">
        <f>IF(E508=" --- ","",COUNTIF($E$4:E508,E508)&amp;"_"&amp;E508)</f>
        <v>416_Iron or steel products</v>
      </c>
      <c r="H508" s="628" t="s">
        <v>2484</v>
      </c>
    </row>
    <row r="509" spans="1:8" x14ac:dyDescent="0.3">
      <c r="A509" s="628" t="s">
        <v>2485</v>
      </c>
      <c r="B509" s="628" t="s">
        <v>2486</v>
      </c>
      <c r="C509" s="628" t="str">
        <f>Translations!$B$1356</f>
        <v>Ventilators, non-mechanical, guttering, hooks and like articles used in the building industry, n.e.s., of iron or steel</v>
      </c>
      <c r="D509" s="628" t="str">
        <f t="shared" si="8"/>
        <v>73269060</v>
      </c>
      <c r="E509" s="1140" t="str">
        <f>Translations!$B$611</f>
        <v>Iron or steel products</v>
      </c>
      <c r="F509" s="628" t="str">
        <f>IF(E509=" --- ","",COUNTIF($E$4:E509,E509)&amp;"_"&amp;E509)</f>
        <v>417_Iron or steel products</v>
      </c>
      <c r="H509" s="628" t="s">
        <v>2487</v>
      </c>
    </row>
    <row r="510" spans="1:8" x14ac:dyDescent="0.3">
      <c r="A510" s="628" t="s">
        <v>2488</v>
      </c>
      <c r="B510" s="628" t="s">
        <v>2489</v>
      </c>
      <c r="C510" s="628" t="str">
        <f>Translations!$B$1357</f>
        <v>Articles of iron or steel, open-die forged, n.e.s.</v>
      </c>
      <c r="D510" s="628" t="str">
        <f t="shared" si="8"/>
        <v>73269092</v>
      </c>
      <c r="E510" s="1140" t="str">
        <f>Translations!$B$611</f>
        <v>Iron or steel products</v>
      </c>
      <c r="F510" s="628" t="str">
        <f>IF(E510=" --- ","",COUNTIF($E$4:E510,E510)&amp;"_"&amp;E510)</f>
        <v>418_Iron or steel products</v>
      </c>
      <c r="H510" s="628" t="s">
        <v>2490</v>
      </c>
    </row>
    <row r="511" spans="1:8" x14ac:dyDescent="0.3">
      <c r="A511" s="628" t="s">
        <v>2491</v>
      </c>
      <c r="B511" s="628" t="s">
        <v>2492</v>
      </c>
      <c r="C511" s="628" t="str">
        <f>Translations!$B$1358</f>
        <v>Articles of iron or steel, closed-die forged, n.e.s.</v>
      </c>
      <c r="D511" s="628" t="str">
        <f t="shared" si="8"/>
        <v>73269094</v>
      </c>
      <c r="E511" s="1140" t="str">
        <f>Translations!$B$611</f>
        <v>Iron or steel products</v>
      </c>
      <c r="F511" s="628" t="str">
        <f>IF(E511=" --- ","",COUNTIF($E$4:E511,E511)&amp;"_"&amp;E511)</f>
        <v>419_Iron or steel products</v>
      </c>
      <c r="H511" s="628" t="s">
        <v>2493</v>
      </c>
    </row>
    <row r="512" spans="1:8" x14ac:dyDescent="0.3">
      <c r="A512" s="628" t="s">
        <v>2494</v>
      </c>
      <c r="B512" s="628" t="s">
        <v>2495</v>
      </c>
      <c r="C512" s="628" t="str">
        <f>Translations!$B$1359</f>
        <v>Sintered articles of iron or steel, n.e.s.</v>
      </c>
      <c r="D512" s="628" t="str">
        <f t="shared" si="8"/>
        <v>73269096</v>
      </c>
      <c r="E512" s="1140" t="str">
        <f>Translations!$B$611</f>
        <v>Iron or steel products</v>
      </c>
      <c r="F512" s="628" t="str">
        <f>IF(E512=" --- ","",COUNTIF($E$4:E512,E512)&amp;"_"&amp;E512)</f>
        <v>420_Iron or steel products</v>
      </c>
      <c r="H512" s="628" t="s">
        <v>2496</v>
      </c>
    </row>
    <row r="513" spans="1:8" x14ac:dyDescent="0.3">
      <c r="A513" s="628" t="s">
        <v>2497</v>
      </c>
      <c r="B513" s="628" t="s">
        <v>2498</v>
      </c>
      <c r="C513" s="628" t="str">
        <f>Translations!$B$1360</f>
        <v>Articles of iron or steel, n.e.s.</v>
      </c>
      <c r="D513" s="628" t="str">
        <f t="shared" si="8"/>
        <v>73269098</v>
      </c>
      <c r="E513" s="1140" t="str">
        <f>Translations!$B$611</f>
        <v>Iron or steel products</v>
      </c>
      <c r="F513" s="628" t="str">
        <f>IF(E513=" --- ","",COUNTIF($E$4:E513,E513)&amp;"_"&amp;E513)</f>
        <v>421_Iron or steel products</v>
      </c>
      <c r="H513" s="628" t="s">
        <v>2499</v>
      </c>
    </row>
    <row r="514" spans="1:8" x14ac:dyDescent="0.3">
      <c r="A514" s="628" t="s">
        <v>4233</v>
      </c>
      <c r="B514" s="628" t="s">
        <v>4234</v>
      </c>
      <c r="C514" s="628" t="str">
        <f>Translations!B2108</f>
        <v>Aluminium slabs, not alloyed, unwrought</v>
      </c>
      <c r="D514" s="628" t="str">
        <f t="shared" si="8"/>
        <v>76011010</v>
      </c>
      <c r="E514" s="1140" t="str">
        <f>Translations!$B$689</f>
        <v>Unwrought aluminium</v>
      </c>
      <c r="F514" s="628" t="str">
        <f>IF(E514=" --- ","",COUNTIF($E$4:E514,E514)&amp;"_"&amp;E514)</f>
        <v>1_Unwrought aluminium</v>
      </c>
      <c r="H514" s="628" t="s">
        <v>4235</v>
      </c>
    </row>
    <row r="515" spans="1:8" x14ac:dyDescent="0.3">
      <c r="A515" s="628" t="s">
        <v>4236</v>
      </c>
      <c r="B515" s="628" t="s">
        <v>4237</v>
      </c>
      <c r="C515" s="628" t="str">
        <f>Translations!B2109</f>
        <v>Aluminium, not alloyed, unwrought (excl. slabs)</v>
      </c>
      <c r="D515" s="628" t="str">
        <f t="shared" si="8"/>
        <v>76011090</v>
      </c>
      <c r="E515" s="1140" t="str">
        <f>Translations!$B$689</f>
        <v>Unwrought aluminium</v>
      </c>
      <c r="F515" s="628" t="str">
        <f>IF(E515=" --- ","",COUNTIF($E$4:E515,E515)&amp;"_"&amp;E515)</f>
        <v>2_Unwrought aluminium</v>
      </c>
      <c r="H515" s="628" t="s">
        <v>4238</v>
      </c>
    </row>
    <row r="516" spans="1:8" x14ac:dyDescent="0.3">
      <c r="A516" s="628" t="s">
        <v>4239</v>
      </c>
      <c r="B516" s="628" t="s">
        <v>4240</v>
      </c>
      <c r="C516" s="628" t="str">
        <f>Translations!B2110</f>
        <v>Unwrought aluminium alloys in the form of slabs</v>
      </c>
      <c r="D516" s="628" t="str">
        <f t="shared" si="8"/>
        <v>76012030</v>
      </c>
      <c r="E516" s="1140" t="str">
        <f>Translations!$B$689</f>
        <v>Unwrought aluminium</v>
      </c>
      <c r="F516" s="628" t="str">
        <f>IF(E516=" --- ","",COUNTIF($E$4:E516,E516)&amp;"_"&amp;E516)</f>
        <v>3_Unwrought aluminium</v>
      </c>
      <c r="H516" s="628" t="s">
        <v>4241</v>
      </c>
    </row>
    <row r="517" spans="1:8" x14ac:dyDescent="0.3">
      <c r="A517" s="628" t="s">
        <v>4242</v>
      </c>
      <c r="B517" s="628" t="s">
        <v>4243</v>
      </c>
      <c r="C517" s="628" t="str">
        <f>Translations!B2111</f>
        <v>Unwrought aluminium alloys in the form of billets</v>
      </c>
      <c r="D517" s="628" t="str">
        <f t="shared" si="8"/>
        <v>76012040</v>
      </c>
      <c r="E517" s="1140" t="str">
        <f>Translations!$B$689</f>
        <v>Unwrought aluminium</v>
      </c>
      <c r="F517" s="628" t="str">
        <f>IF(E517=" --- ","",COUNTIF($E$4:E517,E517)&amp;"_"&amp;E517)</f>
        <v>4_Unwrought aluminium</v>
      </c>
      <c r="H517" s="628" t="s">
        <v>4244</v>
      </c>
    </row>
    <row r="518" spans="1:8" x14ac:dyDescent="0.3">
      <c r="A518" s="628" t="s">
        <v>2507</v>
      </c>
      <c r="B518" s="628" t="s">
        <v>2508</v>
      </c>
      <c r="C518" s="628" t="str">
        <f>Translations!$B$1364</f>
        <v>Unwrought aluminium alloys (excl. slabs and billets)</v>
      </c>
      <c r="D518" s="628" t="str">
        <f t="shared" si="8"/>
        <v>76012080</v>
      </c>
      <c r="E518" s="1140" t="str">
        <f>Translations!$B$689</f>
        <v>Unwrought aluminium</v>
      </c>
      <c r="F518" s="628" t="str">
        <f>IF(E518=" --- ","",COUNTIF($E$4:E518,E518)&amp;"_"&amp;E518)</f>
        <v>5_Unwrought aluminium</v>
      </c>
      <c r="H518" s="628" t="s">
        <v>2509</v>
      </c>
    </row>
    <row r="519" spans="1:8" x14ac:dyDescent="0.3">
      <c r="A519" s="628" t="s">
        <v>2512</v>
      </c>
      <c r="B519" s="628" t="s">
        <v>2513</v>
      </c>
      <c r="C519" s="628" t="str">
        <f>Translations!$B$1366</f>
        <v>Powders of aluminium, of non-lamellar structure (excl. pellets of aluminium)</v>
      </c>
      <c r="D519" s="628" t="str">
        <f t="shared" si="8"/>
        <v>76031000</v>
      </c>
      <c r="E519" s="1140" t="str">
        <f>Translations!$B$688</f>
        <v>Aluminium products</v>
      </c>
      <c r="F519" s="628" t="str">
        <f>IF(E519=" --- ","",COUNTIF($E$4:E519,E519)&amp;"_"&amp;E519)</f>
        <v>1_Aluminium products</v>
      </c>
      <c r="H519" s="628" t="s">
        <v>2514</v>
      </c>
    </row>
    <row r="520" spans="1:8" x14ac:dyDescent="0.3">
      <c r="A520" s="628" t="s">
        <v>2515</v>
      </c>
      <c r="B520" s="628" t="s">
        <v>2516</v>
      </c>
      <c r="C520" s="628" t="str">
        <f>Translations!$B$1367</f>
        <v>Powders of aluminium, of lamellar structure, and flakes of aluminium (excl. pellets of aluminium, and spangles)</v>
      </c>
      <c r="D520" s="628" t="str">
        <f t="shared" si="8"/>
        <v>76032000</v>
      </c>
      <c r="E520" s="1140" t="str">
        <f>Translations!$B$688</f>
        <v>Aluminium products</v>
      </c>
      <c r="F520" s="628" t="str">
        <f>IF(E520=" --- ","",COUNTIF($E$4:E520,E520)&amp;"_"&amp;E520)</f>
        <v>2_Aluminium products</v>
      </c>
      <c r="H520" s="628" t="s">
        <v>2517</v>
      </c>
    </row>
    <row r="521" spans="1:8" x14ac:dyDescent="0.3">
      <c r="A521" s="628" t="s">
        <v>2522</v>
      </c>
      <c r="B521" s="628" t="s">
        <v>2523</v>
      </c>
      <c r="C521" s="628" t="str">
        <f>Translations!$B$1370</f>
        <v>Bars, rods and profiles, of non-alloy aluminium</v>
      </c>
      <c r="D521" s="628" t="str">
        <f t="shared" si="8"/>
        <v>76041010</v>
      </c>
      <c r="E521" s="1140" t="str">
        <f>Translations!$B$688</f>
        <v>Aluminium products</v>
      </c>
      <c r="F521" s="628" t="str">
        <f>IF(E521=" --- ","",COUNTIF($E$4:E521,E521)&amp;"_"&amp;E521)</f>
        <v>3_Aluminium products</v>
      </c>
      <c r="H521" s="628" t="s">
        <v>2524</v>
      </c>
    </row>
    <row r="522" spans="1:8" x14ac:dyDescent="0.3">
      <c r="A522" s="628" t="s">
        <v>2525</v>
      </c>
      <c r="B522" s="628" t="s">
        <v>2526</v>
      </c>
      <c r="C522" s="628" t="str">
        <f>Translations!$B$1371</f>
        <v>Profiles of non-alloy aluminium, n.e.s.</v>
      </c>
      <c r="D522" s="628" t="str">
        <f t="shared" si="8"/>
        <v>76041090</v>
      </c>
      <c r="E522" s="1140" t="str">
        <f>Translations!$B$688</f>
        <v>Aluminium products</v>
      </c>
      <c r="F522" s="628" t="str">
        <f>IF(E522=" --- ","",COUNTIF($E$4:E522,E522)&amp;"_"&amp;E522)</f>
        <v>4_Aluminium products</v>
      </c>
      <c r="H522" s="628" t="s">
        <v>2527</v>
      </c>
    </row>
    <row r="523" spans="1:8" x14ac:dyDescent="0.3">
      <c r="A523" s="628" t="s">
        <v>2528</v>
      </c>
      <c r="B523" s="628" t="s">
        <v>2529</v>
      </c>
      <c r="C523" s="628" t="str">
        <f>Translations!$B$1372</f>
        <v>Hollow profiles of aluminium alloys, n.e.s.</v>
      </c>
      <c r="D523" s="628" t="str">
        <f t="shared" si="8"/>
        <v>76042100</v>
      </c>
      <c r="E523" s="1140" t="str">
        <f>Translations!$B$688</f>
        <v>Aluminium products</v>
      </c>
      <c r="F523" s="628" t="str">
        <f>IF(E523=" --- ","",COUNTIF($E$4:E523,E523)&amp;"_"&amp;E523)</f>
        <v>5_Aluminium products</v>
      </c>
      <c r="H523" s="628" t="s">
        <v>2530</v>
      </c>
    </row>
    <row r="524" spans="1:8" x14ac:dyDescent="0.3">
      <c r="A524" s="628" t="s">
        <v>2533</v>
      </c>
      <c r="B524" s="628" t="s">
        <v>2534</v>
      </c>
      <c r="C524" s="628" t="str">
        <f>Translations!$B$1374</f>
        <v>Bars and rods of aluminium alloys</v>
      </c>
      <c r="D524" s="628" t="str">
        <f t="shared" si="8"/>
        <v>76042910</v>
      </c>
      <c r="E524" s="1140" t="str">
        <f>Translations!$B$688</f>
        <v>Aluminium products</v>
      </c>
      <c r="F524" s="628" t="str">
        <f>IF(E524=" --- ","",COUNTIF($E$4:E524,E524)&amp;"_"&amp;E524)</f>
        <v>6_Aluminium products</v>
      </c>
      <c r="H524" s="628" t="s">
        <v>2535</v>
      </c>
    </row>
    <row r="525" spans="1:8" x14ac:dyDescent="0.3">
      <c r="A525" s="628" t="s">
        <v>2536</v>
      </c>
      <c r="B525" s="628" t="s">
        <v>2537</v>
      </c>
      <c r="C525" s="628" t="str">
        <f>Translations!$B$1375</f>
        <v>Solid profiles, of aluminium alloys, n.e.s.</v>
      </c>
      <c r="D525" s="628" t="str">
        <f t="shared" si="8"/>
        <v>76042990</v>
      </c>
      <c r="E525" s="1140" t="str">
        <f>Translations!$B$688</f>
        <v>Aluminium products</v>
      </c>
      <c r="F525" s="628" t="str">
        <f>IF(E525=" --- ","",COUNTIF($E$4:E525,E525)&amp;"_"&amp;E525)</f>
        <v>7_Aluminium products</v>
      </c>
      <c r="H525" s="628" t="s">
        <v>2538</v>
      </c>
    </row>
    <row r="526" spans="1:8" x14ac:dyDescent="0.3">
      <c r="A526" s="628" t="s">
        <v>2541</v>
      </c>
      <c r="B526" s="628" t="s">
        <v>2542</v>
      </c>
      <c r="C526" s="628" t="str">
        <f>Translations!$B$1377</f>
        <v>Wire of non-alloy aluminium, with a maximum cross-sectional dimension of &gt; 7 mm (excl. stranded wire, cables, plaited bands and the like and other articles of heading 7614, and electrically insulated wires)</v>
      </c>
      <c r="D526" s="628" t="str">
        <f t="shared" si="8"/>
        <v>76051100</v>
      </c>
      <c r="E526" s="1140" t="str">
        <f>Translations!$B$688</f>
        <v>Aluminium products</v>
      </c>
      <c r="F526" s="628" t="str">
        <f>IF(E526=" --- ","",COUNTIF($E$4:E526,E526)&amp;"_"&amp;E526)</f>
        <v>8_Aluminium products</v>
      </c>
      <c r="H526" s="628" t="s">
        <v>2543</v>
      </c>
    </row>
    <row r="527" spans="1:8" x14ac:dyDescent="0.3">
      <c r="A527" s="628" t="s">
        <v>2544</v>
      </c>
      <c r="B527" s="628" t="s">
        <v>2545</v>
      </c>
      <c r="C527" s="628" t="str">
        <f>Translations!$B$1378</f>
        <v>Wire of non-alloy aluminium, with a maximum cross-sectional dimension of &lt;= 7 mm (other than stranded wires, cables, ropes and other articles of heading 7614, electrically insulated wires, strings for musical instruments)</v>
      </c>
      <c r="D527" s="628" t="str">
        <f t="shared" si="8"/>
        <v>76051900</v>
      </c>
      <c r="E527" s="1140" t="str">
        <f>Translations!$B$688</f>
        <v>Aluminium products</v>
      </c>
      <c r="F527" s="628" t="str">
        <f>IF(E527=" --- ","",COUNTIF($E$4:E527,E527)&amp;"_"&amp;E527)</f>
        <v>9_Aluminium products</v>
      </c>
      <c r="H527" s="628" t="s">
        <v>2546</v>
      </c>
    </row>
    <row r="528" spans="1:8" x14ac:dyDescent="0.3">
      <c r="A528" s="628" t="s">
        <v>2547</v>
      </c>
      <c r="B528" s="628" t="s">
        <v>2548</v>
      </c>
      <c r="C528" s="628" t="str">
        <f>Translations!$B$1379</f>
        <v>Wire of aluminium alloys, with a maximum cross-sectional dimension of &gt; 7 mm (excl. stranded wire, cables, plaited bands and the like and other articles of heading 7614, and electrically insulated wires)</v>
      </c>
      <c r="D528" s="628" t="str">
        <f t="shared" si="8"/>
        <v>76052100</v>
      </c>
      <c r="E528" s="1140" t="str">
        <f>Translations!$B$688</f>
        <v>Aluminium products</v>
      </c>
      <c r="F528" s="628" t="str">
        <f>IF(E528=" --- ","",COUNTIF($E$4:E528,E528)&amp;"_"&amp;E528)</f>
        <v>10_Aluminium products</v>
      </c>
      <c r="H528" s="628" t="s">
        <v>2549</v>
      </c>
    </row>
    <row r="529" spans="1:8" x14ac:dyDescent="0.3">
      <c r="A529" s="628" t="s">
        <v>2550</v>
      </c>
      <c r="B529" s="628" t="s">
        <v>2551</v>
      </c>
      <c r="C529" s="628" t="str">
        <f>Translations!$B$1380</f>
        <v>Wire, of aluminium alloys, having a maximum cross-sectional dimension of &lt;= 7 mm (other than stranded wires, cables, ropes and other articles of heading 7614, electrically insulated wires, strings for musical instruments)</v>
      </c>
      <c r="D529" s="628" t="str">
        <f t="shared" si="8"/>
        <v>76052900</v>
      </c>
      <c r="E529" s="1140" t="str">
        <f>Translations!$B$688</f>
        <v>Aluminium products</v>
      </c>
      <c r="F529" s="628" t="str">
        <f>IF(E529=" --- ","",COUNTIF($E$4:E529,E529)&amp;"_"&amp;E529)</f>
        <v>11_Aluminium products</v>
      </c>
      <c r="H529" s="628" t="s">
        <v>2552</v>
      </c>
    </row>
    <row r="530" spans="1:8" x14ac:dyDescent="0.3">
      <c r="A530" s="628" t="s">
        <v>2557</v>
      </c>
      <c r="B530" s="628" t="s">
        <v>2558</v>
      </c>
      <c r="C530" s="628" t="str">
        <f>Translations!$B$1383</f>
        <v>Aluminium Composite Panel, of non-alloy aluminium, of a thickness of &gt; 0,2 mm</v>
      </c>
      <c r="D530" s="628" t="str">
        <f t="shared" ref="D530:D572" si="9">SUBSTITUTE(B530," ","")</f>
        <v>76061130</v>
      </c>
      <c r="E530" s="1140" t="str">
        <f>Translations!$B$688</f>
        <v>Aluminium products</v>
      </c>
      <c r="F530" s="628" t="str">
        <f>IF(E530=" --- ","",COUNTIF($E$4:E530,E530)&amp;"_"&amp;E530)</f>
        <v>12_Aluminium products</v>
      </c>
      <c r="H530" s="628" t="s">
        <v>2559</v>
      </c>
    </row>
    <row r="531" spans="1:8" x14ac:dyDescent="0.3">
      <c r="A531" s="628" t="s">
        <v>2560</v>
      </c>
      <c r="B531" s="628" t="s">
        <v>2561</v>
      </c>
      <c r="C531" s="628" t="str">
        <f>Translations!$B$1384</f>
        <v>Plates, sheets and strip, of non-alloy aluminium, of a thickness of &gt; 0,2 mm, square or rectangular, painted, varnished or coated with plastics (excl. Aluminium Composite Panel)</v>
      </c>
      <c r="D531" s="628" t="str">
        <f t="shared" si="9"/>
        <v>76061150</v>
      </c>
      <c r="E531" s="1140" t="str">
        <f>Translations!$B$688</f>
        <v>Aluminium products</v>
      </c>
      <c r="F531" s="628" t="str">
        <f>IF(E531=" --- ","",COUNTIF($E$4:E531,E531)&amp;"_"&amp;E531)</f>
        <v>13_Aluminium products</v>
      </c>
      <c r="H531" s="628" t="s">
        <v>2562</v>
      </c>
    </row>
    <row r="532" spans="1:8" x14ac:dyDescent="0.3">
      <c r="A532" s="628" t="s">
        <v>2563</v>
      </c>
      <c r="B532" s="628" t="s">
        <v>2564</v>
      </c>
      <c r="C532" s="628" t="str">
        <f>Translations!$B$1385</f>
        <v>Plates, sheets and strip, of non-alloy aluminium, of a thickness of &gt; 0,2 mm but &lt; 3 mm, square or rectangular (excl. such products painted, varnished or coated with plastics, and expanded plates, sheets and strip)</v>
      </c>
      <c r="D532" s="628" t="str">
        <f t="shared" si="9"/>
        <v>76061191</v>
      </c>
      <c r="E532" s="1140" t="str">
        <f>Translations!$B$688</f>
        <v>Aluminium products</v>
      </c>
      <c r="F532" s="628" t="str">
        <f>IF(E532=" --- ","",COUNTIF($E$4:E532,E532)&amp;"_"&amp;E532)</f>
        <v>14_Aluminium products</v>
      </c>
      <c r="H532" s="628" t="s">
        <v>2565</v>
      </c>
    </row>
    <row r="533" spans="1:8" x14ac:dyDescent="0.3">
      <c r="A533" s="628" t="s">
        <v>2566</v>
      </c>
      <c r="B533" s="628" t="s">
        <v>2567</v>
      </c>
      <c r="C533" s="628" t="str">
        <f>Translations!$B$1386</f>
        <v>Plates, sheets and strip, of non-alloy aluminium, of a thickness of &gt;= 3 mm but &lt; 6 mm, square or rectangular (excl. such products painted, varnished or coated with plastics)</v>
      </c>
      <c r="D533" s="628" t="str">
        <f t="shared" si="9"/>
        <v>76061193</v>
      </c>
      <c r="E533" s="1140" t="str">
        <f>Translations!$B$688</f>
        <v>Aluminium products</v>
      </c>
      <c r="F533" s="628" t="str">
        <f>IF(E533=" --- ","",COUNTIF($E$4:E533,E533)&amp;"_"&amp;E533)</f>
        <v>15_Aluminium products</v>
      </c>
      <c r="H533" s="628" t="s">
        <v>2568</v>
      </c>
    </row>
    <row r="534" spans="1:8" x14ac:dyDescent="0.3">
      <c r="A534" s="628" t="s">
        <v>2569</v>
      </c>
      <c r="B534" s="628" t="s">
        <v>2570</v>
      </c>
      <c r="C534" s="628" t="str">
        <f>Translations!$B$1387</f>
        <v>Plates, sheets and strip, of non-alloy aluminium, of a thickness of &gt;= 6 mm, square or rectangular (excl. such products painted, varnished or coated with plastics)</v>
      </c>
      <c r="D534" s="628" t="str">
        <f t="shared" si="9"/>
        <v>76061199</v>
      </c>
      <c r="E534" s="1140" t="str">
        <f>Translations!$B$688</f>
        <v>Aluminium products</v>
      </c>
      <c r="F534" s="628" t="str">
        <f>IF(E534=" --- ","",COUNTIF($E$4:E534,E534)&amp;"_"&amp;E534)</f>
        <v>16_Aluminium products</v>
      </c>
      <c r="H534" s="628" t="s">
        <v>2571</v>
      </c>
    </row>
    <row r="535" spans="1:8" x14ac:dyDescent="0.3">
      <c r="A535" s="628" t="s">
        <v>2574</v>
      </c>
      <c r="B535" s="628" t="s">
        <v>2575</v>
      </c>
      <c r="C535" s="628" t="str">
        <f>Translations!$B$1389</f>
        <v>Beverage can body stock, of aluminium alloys, of a thickness of &gt; 0,2 mm</v>
      </c>
      <c r="D535" s="628" t="str">
        <f t="shared" si="9"/>
        <v>76061211</v>
      </c>
      <c r="E535" s="1140" t="str">
        <f>Translations!$B$688</f>
        <v>Aluminium products</v>
      </c>
      <c r="F535" s="628" t="str">
        <f>IF(E535=" --- ","",COUNTIF($E$4:E535,E535)&amp;"_"&amp;E535)</f>
        <v>17_Aluminium products</v>
      </c>
      <c r="H535" s="628" t="s">
        <v>2576</v>
      </c>
    </row>
    <row r="536" spans="1:8" x14ac:dyDescent="0.3">
      <c r="A536" s="628" t="s">
        <v>2577</v>
      </c>
      <c r="B536" s="628" t="s">
        <v>2578</v>
      </c>
      <c r="C536" s="628" t="str">
        <f>Translations!$B$1390</f>
        <v>Beverage can end stock and tab stock, of aluminium alloys, of a thickness of &gt; 0,2 mm</v>
      </c>
      <c r="D536" s="628" t="str">
        <f t="shared" si="9"/>
        <v>76061219</v>
      </c>
      <c r="E536" s="1140" t="str">
        <f>Translations!$B$688</f>
        <v>Aluminium products</v>
      </c>
      <c r="F536" s="628" t="str">
        <f>IF(E536=" --- ","",COUNTIF($E$4:E536,E536)&amp;"_"&amp;E536)</f>
        <v>18_Aluminium products</v>
      </c>
      <c r="H536" s="628" t="s">
        <v>2579</v>
      </c>
    </row>
    <row r="537" spans="1:8" x14ac:dyDescent="0.3">
      <c r="A537" s="628" t="s">
        <v>2580</v>
      </c>
      <c r="B537" s="628" t="s">
        <v>2581</v>
      </c>
      <c r="C537" s="628" t="str">
        <f>Translations!$B$1391</f>
        <v>Aluminium Composite Panel, of aluminium alloys, of a thickness of &gt; 0,2 mm</v>
      </c>
      <c r="D537" s="628" t="str">
        <f t="shared" si="9"/>
        <v>76061230</v>
      </c>
      <c r="E537" s="1140" t="str">
        <f>Translations!$B$688</f>
        <v>Aluminium products</v>
      </c>
      <c r="F537" s="628" t="str">
        <f>IF(E537=" --- ","",COUNTIF($E$4:E537,E537)&amp;"_"&amp;E537)</f>
        <v>19_Aluminium products</v>
      </c>
      <c r="H537" s="628" t="s">
        <v>2582</v>
      </c>
    </row>
    <row r="538" spans="1:8" x14ac:dyDescent="0.3">
      <c r="A538" s="628" t="s">
        <v>2583</v>
      </c>
      <c r="B538" s="628" t="s">
        <v>2584</v>
      </c>
      <c r="C538" s="628" t="str">
        <f>Translations!$B$1392</f>
        <v>Plates, sheets and strip, of aluminium alloys, of a thickness of &gt; 0,2 mm, square or rectangular, painted, varnished or coated with plastics (excl. beverage can body stock, end stock and tab stock, and Aluminium Composite Panel)</v>
      </c>
      <c r="D538" s="628" t="str">
        <f t="shared" si="9"/>
        <v>76061250</v>
      </c>
      <c r="E538" s="1140" t="str">
        <f>Translations!$B$688</f>
        <v>Aluminium products</v>
      </c>
      <c r="F538" s="628" t="str">
        <f>IF(E538=" --- ","",COUNTIF($E$4:E538,E538)&amp;"_"&amp;E538)</f>
        <v>20_Aluminium products</v>
      </c>
      <c r="H538" s="628" t="s">
        <v>2585</v>
      </c>
    </row>
    <row r="539" spans="1:8" x14ac:dyDescent="0.3">
      <c r="A539" s="628" t="s">
        <v>2586</v>
      </c>
      <c r="B539" s="628" t="s">
        <v>2587</v>
      </c>
      <c r="C539" s="628" t="str">
        <f>Translations!$B$1393</f>
        <v>Plates, sheets and strip, of aluminium alloys, of a thickness of &gt; 0,2 mm but &lt; 3 mm, square or rectangular (excl. painted, varnished or coated with plastics, expanded plates, sheets and strip, beverage can body stock, end stock and tab stock)</v>
      </c>
      <c r="D539" s="628" t="str">
        <f t="shared" si="9"/>
        <v>76061292</v>
      </c>
      <c r="E539" s="1140" t="str">
        <f>Translations!$B$688</f>
        <v>Aluminium products</v>
      </c>
      <c r="F539" s="628" t="str">
        <f>IF(E539=" --- ","",COUNTIF($E$4:E539,E539)&amp;"_"&amp;E539)</f>
        <v>21_Aluminium products</v>
      </c>
      <c r="H539" s="628" t="s">
        <v>2588</v>
      </c>
    </row>
    <row r="540" spans="1:8" x14ac:dyDescent="0.3">
      <c r="A540" s="628" t="s">
        <v>2589</v>
      </c>
      <c r="B540" s="628" t="s">
        <v>2590</v>
      </c>
      <c r="C540" s="628" t="str">
        <f>Translations!$B$1394</f>
        <v>Plates, sheets and strip, of aluminium alloys, of a thickness of &gt;= 3 mm but &lt; 6 mm, square or rectangular (excl. such products painted, varnished or coated with plastics)</v>
      </c>
      <c r="D540" s="628" t="str">
        <f t="shared" si="9"/>
        <v>76061293</v>
      </c>
      <c r="E540" s="1140" t="str">
        <f>Translations!$B$688</f>
        <v>Aluminium products</v>
      </c>
      <c r="F540" s="628" t="str">
        <f>IF(E540=" --- ","",COUNTIF($E$4:E540,E540)&amp;"_"&amp;E540)</f>
        <v>22_Aluminium products</v>
      </c>
      <c r="H540" s="628" t="s">
        <v>2591</v>
      </c>
    </row>
    <row r="541" spans="1:8" x14ac:dyDescent="0.3">
      <c r="A541" s="628" t="s">
        <v>2592</v>
      </c>
      <c r="B541" s="628" t="s">
        <v>2593</v>
      </c>
      <c r="C541" s="628" t="str">
        <f>Translations!$B$1395</f>
        <v>Plates, sheets and strip, of aluminium alloys, of a thickness of &gt;= 6 mm, square or rectangular (excl. such products painted, varnished or coated with plastics)</v>
      </c>
      <c r="D541" s="628" t="str">
        <f t="shared" si="9"/>
        <v>76061299</v>
      </c>
      <c r="E541" s="1140" t="str">
        <f>Translations!$B$688</f>
        <v>Aluminium products</v>
      </c>
      <c r="F541" s="628" t="str">
        <f>IF(E541=" --- ","",COUNTIF($E$4:E541,E541)&amp;"_"&amp;E541)</f>
        <v>23_Aluminium products</v>
      </c>
      <c r="H541" s="628" t="s">
        <v>2594</v>
      </c>
    </row>
    <row r="542" spans="1:8" x14ac:dyDescent="0.3">
      <c r="A542" s="628" t="s">
        <v>2595</v>
      </c>
      <c r="B542" s="628" t="s">
        <v>2596</v>
      </c>
      <c r="C542" s="628" t="str">
        <f>Translations!$B$1396</f>
        <v>Plates, sheets and strip, of non-alloy aluminium, of a thickness of &gt; 0,2 mm (other than square or rectangular)</v>
      </c>
      <c r="D542" s="628" t="str">
        <f t="shared" si="9"/>
        <v>76069100</v>
      </c>
      <c r="E542" s="1140" t="str">
        <f>Translations!$B$688</f>
        <v>Aluminium products</v>
      </c>
      <c r="F542" s="628" t="str">
        <f>IF(E542=" --- ","",COUNTIF($E$4:E542,E542)&amp;"_"&amp;E542)</f>
        <v>24_Aluminium products</v>
      </c>
      <c r="H542" s="628" t="s">
        <v>2597</v>
      </c>
    </row>
    <row r="543" spans="1:8" x14ac:dyDescent="0.3">
      <c r="A543" s="628" t="s">
        <v>2598</v>
      </c>
      <c r="B543" s="628" t="s">
        <v>2599</v>
      </c>
      <c r="C543" s="628" t="str">
        <f>Translations!$B$1397</f>
        <v>Plates, sheets and strip, of aluminium alloys, of a thickness of &gt; 0,2 mm (other than square or rectangular)</v>
      </c>
      <c r="D543" s="628" t="str">
        <f t="shared" si="9"/>
        <v>76069200</v>
      </c>
      <c r="E543" s="1140" t="str">
        <f>Translations!$B$688</f>
        <v>Aluminium products</v>
      </c>
      <c r="F543" s="628" t="str">
        <f>IF(E543=" --- ","",COUNTIF($E$4:E543,E543)&amp;"_"&amp;E543)</f>
        <v>25_Aluminium products</v>
      </c>
      <c r="H543" s="628" t="s">
        <v>2600</v>
      </c>
    </row>
    <row r="544" spans="1:8" x14ac:dyDescent="0.3">
      <c r="A544" s="628" t="s">
        <v>2605</v>
      </c>
      <c r="B544" s="628" t="s">
        <v>2606</v>
      </c>
      <c r="C544" s="628" t="str">
        <f>Translations!$B$1400</f>
        <v>Aluminium foil, not backed, rolled but not further worked, of a thickness of &lt; 0,021 mm, in rolls of a weight of &lt;= 10 kg (excl. stamping foils of heading 3212, and foil made up as christmas tree decorating material)</v>
      </c>
      <c r="D544" s="628" t="str">
        <f t="shared" si="9"/>
        <v>76071111</v>
      </c>
      <c r="E544" s="1140" t="str">
        <f>Translations!$B$688</f>
        <v>Aluminium products</v>
      </c>
      <c r="F544" s="628" t="str">
        <f>IF(E544=" --- ","",COUNTIF($E$4:E544,E544)&amp;"_"&amp;E544)</f>
        <v>26_Aluminium products</v>
      </c>
      <c r="H544" s="628" t="s">
        <v>4231</v>
      </c>
    </row>
    <row r="545" spans="1:8" x14ac:dyDescent="0.3">
      <c r="A545" s="628" t="s">
        <v>2608</v>
      </c>
      <c r="B545" s="628" t="s">
        <v>2609</v>
      </c>
      <c r="C545" s="628" t="str">
        <f>Translations!$B$1401</f>
        <v>Aluminium foil, not backed, rolled but not further worked, of a thickness of &lt; 0,021 mm (excl. stamping foils of heading 3212, and foil made up as christmas tree decorating material and in rolls of a weight &lt;= 10 kg)</v>
      </c>
      <c r="D545" s="628" t="str">
        <f t="shared" si="9"/>
        <v>76071119</v>
      </c>
      <c r="E545" s="1140" t="str">
        <f>Translations!$B$688</f>
        <v>Aluminium products</v>
      </c>
      <c r="F545" s="628" t="str">
        <f>IF(E545=" --- ","",COUNTIF($E$4:E545,E545)&amp;"_"&amp;E545)</f>
        <v>27_Aluminium products</v>
      </c>
      <c r="H545" s="628" t="s">
        <v>4232</v>
      </c>
    </row>
    <row r="546" spans="1:8" x14ac:dyDescent="0.3">
      <c r="A546" s="628" t="s">
        <v>2611</v>
      </c>
      <c r="B546" s="628" t="s">
        <v>2612</v>
      </c>
      <c r="C546" s="628" t="str">
        <f>Translations!$B$1402</f>
        <v>Aluminium foil, not backed, rolled but not further worked, of a thickness of &gt;= 0,021 mm but &lt;= 2 mm (excl. stamping foils of heading 3212, and foil made up as christmas tree decorating material)</v>
      </c>
      <c r="D546" s="628" t="str">
        <f t="shared" si="9"/>
        <v>76071190</v>
      </c>
      <c r="E546" s="1140" t="str">
        <f>Translations!$B$688</f>
        <v>Aluminium products</v>
      </c>
      <c r="F546" s="628" t="str">
        <f>IF(E546=" --- ","",COUNTIF($E$4:E546,E546)&amp;"_"&amp;E546)</f>
        <v>28_Aluminium products</v>
      </c>
      <c r="H546" s="628" t="s">
        <v>2613</v>
      </c>
    </row>
    <row r="547" spans="1:8" x14ac:dyDescent="0.3">
      <c r="A547" s="628" t="s">
        <v>2616</v>
      </c>
      <c r="B547" s="628" t="s">
        <v>2617</v>
      </c>
      <c r="C547" s="628" t="str">
        <f>Translations!$B$1404</f>
        <v>Aluminium foil, not backed, rolled and further worked, of a thickness of &lt; 0,021 mm (excl. stamping foils of heading 3212, and foil made up as christmas tree decorating material)</v>
      </c>
      <c r="D547" s="628" t="str">
        <f t="shared" si="9"/>
        <v>76071910</v>
      </c>
      <c r="E547" s="1140" t="str">
        <f>Translations!$B$688</f>
        <v>Aluminium products</v>
      </c>
      <c r="F547" s="628" t="str">
        <f>IF(E547=" --- ","",COUNTIF($E$4:E547,E547)&amp;"_"&amp;E547)</f>
        <v>29_Aluminium products</v>
      </c>
      <c r="H547" s="628" t="s">
        <v>2618</v>
      </c>
    </row>
    <row r="548" spans="1:8" x14ac:dyDescent="0.3">
      <c r="A548" s="628" t="s">
        <v>2619</v>
      </c>
      <c r="B548" s="628" t="s">
        <v>2620</v>
      </c>
      <c r="C548" s="628" t="str">
        <f>Translations!$B$1405</f>
        <v>Aluminium foil, not backed, rolled and further worked, of a thickness (excl. any backing) from 0,021 mm to 0,2 mm (excl. stamping foils of heading 3212, and foil made up as christmas tree decorating material)</v>
      </c>
      <c r="D548" s="628" t="str">
        <f t="shared" si="9"/>
        <v>76071990</v>
      </c>
      <c r="E548" s="1140" t="str">
        <f>Translations!$B$688</f>
        <v>Aluminium products</v>
      </c>
      <c r="F548" s="628" t="str">
        <f>IF(E548=" --- ","",COUNTIF($E$4:E548,E548)&amp;"_"&amp;E548)</f>
        <v>30_Aluminium products</v>
      </c>
      <c r="H548" s="628" t="s">
        <v>2621</v>
      </c>
    </row>
    <row r="549" spans="1:8" x14ac:dyDescent="0.3">
      <c r="A549" s="628" t="s">
        <v>2624</v>
      </c>
      <c r="B549" s="628" t="s">
        <v>2625</v>
      </c>
      <c r="C549" s="628" t="str">
        <f>Translations!$B$1407</f>
        <v>Aluminium foil, backed, of a thickness (excl. any backing) of &lt; 0,021 mm (excl. stamping foils of heading 3212, and foil made up as christmas tree decorating material)</v>
      </c>
      <c r="D549" s="628" t="str">
        <f t="shared" si="9"/>
        <v>76072010</v>
      </c>
      <c r="E549" s="1140" t="str">
        <f>Translations!$B$688</f>
        <v>Aluminium products</v>
      </c>
      <c r="F549" s="628" t="str">
        <f>IF(E549=" --- ","",COUNTIF($E$4:E549,E549)&amp;"_"&amp;E549)</f>
        <v>31_Aluminium products</v>
      </c>
      <c r="H549" s="628" t="s">
        <v>2626</v>
      </c>
    </row>
    <row r="550" spans="1:8" x14ac:dyDescent="0.3">
      <c r="A550" s="628" t="s">
        <v>2627</v>
      </c>
      <c r="B550" s="628" t="s">
        <v>2628</v>
      </c>
      <c r="C550" s="628" t="str">
        <f>Translations!$B$1408</f>
        <v>Aluminium Composite Panel, of a thickness &lt;= 0,2 mm</v>
      </c>
      <c r="D550" s="628" t="str">
        <f t="shared" si="9"/>
        <v>76072091</v>
      </c>
      <c r="E550" s="1140" t="str">
        <f>Translations!$B$688</f>
        <v>Aluminium products</v>
      </c>
      <c r="F550" s="628" t="str">
        <f>IF(E550=" --- ","",COUNTIF($E$4:E550,E550)&amp;"_"&amp;E550)</f>
        <v>32_Aluminium products</v>
      </c>
      <c r="H550" s="628" t="s">
        <v>2629</v>
      </c>
    </row>
    <row r="551" spans="1:8" x14ac:dyDescent="0.3">
      <c r="A551" s="628" t="s">
        <v>2630</v>
      </c>
      <c r="B551" s="628" t="s">
        <v>2631</v>
      </c>
      <c r="C551" s="628" t="str">
        <f>Translations!$B$1409</f>
        <v>Aluminium foil, backed, of a thickness (excl. any backing) of &gt;= 0,021 mm but &lt;= 0,2 mm (excl. stamping foils of heading 3212, foil made up as christmas tree decorating material, and Aluminium Composite Panel)</v>
      </c>
      <c r="D551" s="628" t="str">
        <f t="shared" si="9"/>
        <v>76072099</v>
      </c>
      <c r="E551" s="1140" t="str">
        <f>Translations!$B$688</f>
        <v>Aluminium products</v>
      </c>
      <c r="F551" s="628" t="str">
        <f>IF(E551=" --- ","",COUNTIF($E$4:E551,E551)&amp;"_"&amp;E551)</f>
        <v>33_Aluminium products</v>
      </c>
      <c r="H551" s="628" t="s">
        <v>2632</v>
      </c>
    </row>
    <row r="552" spans="1:8" x14ac:dyDescent="0.3">
      <c r="A552" s="628" t="s">
        <v>2635</v>
      </c>
      <c r="B552" s="628" t="s">
        <v>2636</v>
      </c>
      <c r="C552" s="628" t="str">
        <f>Translations!$B$1411</f>
        <v>Tubes and pipes of non-alloy aluminium (excl. hollow profiles)</v>
      </c>
      <c r="D552" s="628" t="str">
        <f t="shared" si="9"/>
        <v>76081000</v>
      </c>
      <c r="E552" s="1140" t="str">
        <f>Translations!$B$688</f>
        <v>Aluminium products</v>
      </c>
      <c r="F552" s="628" t="str">
        <f>IF(E552=" --- ","",COUNTIF($E$4:E552,E552)&amp;"_"&amp;E552)</f>
        <v>34_Aluminium products</v>
      </c>
      <c r="H552" s="628" t="s">
        <v>2637</v>
      </c>
    </row>
    <row r="553" spans="1:8" x14ac:dyDescent="0.3">
      <c r="A553" s="628" t="s">
        <v>2640</v>
      </c>
      <c r="B553" s="628" t="s">
        <v>2641</v>
      </c>
      <c r="C553" s="628" t="str">
        <f>Translations!$B$1413</f>
        <v>Tubes and pipes of aluminium alloys, welded (excl. hollow profiles)</v>
      </c>
      <c r="D553" s="628" t="str">
        <f t="shared" si="9"/>
        <v>76082020</v>
      </c>
      <c r="E553" s="1140" t="str">
        <f>Translations!$B$688</f>
        <v>Aluminium products</v>
      </c>
      <c r="F553" s="628" t="str">
        <f>IF(E553=" --- ","",COUNTIF($E$4:E553,E553)&amp;"_"&amp;E553)</f>
        <v>35_Aluminium products</v>
      </c>
      <c r="H553" s="628" t="s">
        <v>2642</v>
      </c>
    </row>
    <row r="554" spans="1:8" x14ac:dyDescent="0.3">
      <c r="A554" s="628" t="s">
        <v>2643</v>
      </c>
      <c r="B554" s="628" t="s">
        <v>2644</v>
      </c>
      <c r="C554" s="628" t="str">
        <f>Translations!$B$1414</f>
        <v>Tubes and pipes of aluminium alloys, not further worked than extruded (excl. hollow profiles)</v>
      </c>
      <c r="D554" s="628" t="str">
        <f t="shared" si="9"/>
        <v>76082081</v>
      </c>
      <c r="E554" s="1140" t="str">
        <f>Translations!$B$688</f>
        <v>Aluminium products</v>
      </c>
      <c r="F554" s="628" t="str">
        <f>IF(E554=" --- ","",COUNTIF($E$4:E554,E554)&amp;"_"&amp;E554)</f>
        <v>36_Aluminium products</v>
      </c>
      <c r="H554" s="628" t="s">
        <v>2645</v>
      </c>
    </row>
    <row r="555" spans="1:8" x14ac:dyDescent="0.3">
      <c r="A555" s="628" t="s">
        <v>2646</v>
      </c>
      <c r="B555" s="628" t="s">
        <v>2647</v>
      </c>
      <c r="C555" s="628" t="str">
        <f>Translations!$B$1415</f>
        <v>Tubes and pipes of aluminium alloys (excl. such products welded or not further worked than extruded, and hollow profiles)</v>
      </c>
      <c r="D555" s="628" t="str">
        <f t="shared" si="9"/>
        <v>76082089</v>
      </c>
      <c r="E555" s="1140" t="str">
        <f>Translations!$B$688</f>
        <v>Aluminium products</v>
      </c>
      <c r="F555" s="628" t="str">
        <f>IF(E555=" --- ","",COUNTIF($E$4:E555,E555)&amp;"_"&amp;E555)</f>
        <v>37_Aluminium products</v>
      </c>
      <c r="H555" s="628" t="s">
        <v>2648</v>
      </c>
    </row>
    <row r="556" spans="1:8" x14ac:dyDescent="0.3">
      <c r="A556" s="628" t="s">
        <v>2649</v>
      </c>
      <c r="B556" s="628" t="s">
        <v>2650</v>
      </c>
      <c r="C556" s="628" t="str">
        <f>Translations!$B$1416</f>
        <v>Aluminium tube or pipe fittings "e.g., couplings, elbows, sleeves"</v>
      </c>
      <c r="D556" s="628" t="str">
        <f t="shared" si="9"/>
        <v>76090000</v>
      </c>
      <c r="E556" s="1140" t="str">
        <f>Translations!$B$688</f>
        <v>Aluminium products</v>
      </c>
      <c r="F556" s="628" t="str">
        <f>IF(E556=" --- ","",COUNTIF($E$4:E556,E556)&amp;"_"&amp;E556)</f>
        <v>38_Aluminium products</v>
      </c>
      <c r="H556" s="628" t="s">
        <v>2651</v>
      </c>
    </row>
    <row r="557" spans="1:8" x14ac:dyDescent="0.3">
      <c r="A557" s="628" t="s">
        <v>2654</v>
      </c>
      <c r="B557" s="628" t="s">
        <v>2655</v>
      </c>
      <c r="C557" s="628" t="str">
        <f>Translations!$B$1418</f>
        <v>Doors, windows and their frames and thresholds for door, of aluminium (excl. door furniture)</v>
      </c>
      <c r="D557" s="628" t="str">
        <f t="shared" si="9"/>
        <v>76101000</v>
      </c>
      <c r="E557" s="1140" t="str">
        <f>Translations!$B$688</f>
        <v>Aluminium products</v>
      </c>
      <c r="F557" s="628" t="str">
        <f>IF(E557=" --- ","",COUNTIF($E$4:E557,E557)&amp;"_"&amp;E557)</f>
        <v>39_Aluminium products</v>
      </c>
      <c r="H557" s="628" t="s">
        <v>2656</v>
      </c>
    </row>
    <row r="558" spans="1:8" x14ac:dyDescent="0.3">
      <c r="A558" s="628" t="s">
        <v>2659</v>
      </c>
      <c r="B558" s="628" t="s">
        <v>2660</v>
      </c>
      <c r="C558" s="628" t="str">
        <f>Translations!$B$1420</f>
        <v>Bridges and bridge-sections, towers and lattice masts, of aluminium</v>
      </c>
      <c r="D558" s="628" t="str">
        <f t="shared" si="9"/>
        <v>76109010</v>
      </c>
      <c r="E558" s="1140" t="str">
        <f>Translations!$B$688</f>
        <v>Aluminium products</v>
      </c>
      <c r="F558" s="628" t="str">
        <f>IF(E558=" --- ","",COUNTIF($E$4:E558,E558)&amp;"_"&amp;E558)</f>
        <v>40_Aluminium products</v>
      </c>
      <c r="H558" s="628" t="s">
        <v>2661</v>
      </c>
    </row>
    <row r="559" spans="1:8" x14ac:dyDescent="0.3">
      <c r="A559" s="628" t="s">
        <v>2662</v>
      </c>
      <c r="B559" s="628" t="s">
        <v>2663</v>
      </c>
      <c r="C559" s="628" t="str">
        <f>Translations!$B$1421</f>
        <v>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v>
      </c>
      <c r="D559" s="628" t="str">
        <f t="shared" si="9"/>
        <v>76109090</v>
      </c>
      <c r="E559" s="1140" t="str">
        <f>Translations!$B$688</f>
        <v>Aluminium products</v>
      </c>
      <c r="F559" s="628" t="str">
        <f>IF(E559=" --- ","",COUNTIF($E$4:E559,E559)&amp;"_"&amp;E559)</f>
        <v>41_Aluminium products</v>
      </c>
      <c r="H559" s="628" t="s">
        <v>2664</v>
      </c>
    </row>
    <row r="560" spans="1:8" x14ac:dyDescent="0.3">
      <c r="A560" s="628" t="s">
        <v>2665</v>
      </c>
      <c r="B560" s="628" t="s">
        <v>2666</v>
      </c>
      <c r="C560" s="628" t="str">
        <f>Translations!$B$1422</f>
        <v>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v>
      </c>
      <c r="D560" s="628" t="str">
        <f t="shared" si="9"/>
        <v>76110000</v>
      </c>
      <c r="E560" s="1140" t="str">
        <f>Translations!$B$688</f>
        <v>Aluminium products</v>
      </c>
      <c r="F560" s="628" t="str">
        <f>IF(E560=" --- ","",COUNTIF($E$4:E560,E560)&amp;"_"&amp;E560)</f>
        <v>42_Aluminium products</v>
      </c>
      <c r="H560" s="628" t="s">
        <v>2667</v>
      </c>
    </row>
    <row r="561" spans="1:8" x14ac:dyDescent="0.3">
      <c r="A561" s="628" t="s">
        <v>2670</v>
      </c>
      <c r="B561" s="628" t="s">
        <v>2671</v>
      </c>
      <c r="C561" s="628" t="str">
        <f>Translations!$B$1424</f>
        <v>Collapsible tubular containers, of aluminium</v>
      </c>
      <c r="D561" s="628" t="str">
        <f t="shared" si="9"/>
        <v>76121000</v>
      </c>
      <c r="E561" s="1140" t="str">
        <f>Translations!$B$688</f>
        <v>Aluminium products</v>
      </c>
      <c r="F561" s="628" t="str">
        <f>IF(E561=" --- ","",COUNTIF($E$4:E561,E561)&amp;"_"&amp;E561)</f>
        <v>43_Aluminium products</v>
      </c>
      <c r="H561" s="628" t="s">
        <v>2672</v>
      </c>
    </row>
    <row r="562" spans="1:8" x14ac:dyDescent="0.3">
      <c r="A562" s="628" t="s">
        <v>2675</v>
      </c>
      <c r="B562" s="628" t="s">
        <v>2676</v>
      </c>
      <c r="C562" s="628" t="str">
        <f>Translations!$B$1426</f>
        <v>Containers of a kind used for aerosols, of aluminium</v>
      </c>
      <c r="D562" s="628" t="str">
        <f t="shared" si="9"/>
        <v>76129020</v>
      </c>
      <c r="E562" s="1140" t="str">
        <f>Translations!$B$688</f>
        <v>Aluminium products</v>
      </c>
      <c r="F562" s="628" t="str">
        <f>IF(E562=" --- ","",COUNTIF($E$4:E562,E562)&amp;"_"&amp;E562)</f>
        <v>44_Aluminium products</v>
      </c>
      <c r="H562" s="628" t="s">
        <v>2677</v>
      </c>
    </row>
    <row r="563" spans="1:8" x14ac:dyDescent="0.3">
      <c r="A563" s="628" t="s">
        <v>2678</v>
      </c>
      <c r="B563" s="628" t="s">
        <v>2679</v>
      </c>
      <c r="C563" s="628" t="str">
        <f>Translations!$B$1427</f>
        <v>Casks, drums, cans, boxes and similar containers, of aluminium, manufactured from foil of a thickness &lt;= 0,2 mm</v>
      </c>
      <c r="D563" s="628" t="str">
        <f t="shared" si="9"/>
        <v>76129030</v>
      </c>
      <c r="E563" s="1140" t="str">
        <f>Translations!$B$688</f>
        <v>Aluminium products</v>
      </c>
      <c r="F563" s="628" t="str">
        <f>IF(E563=" --- ","",COUNTIF($E$4:E563,E563)&amp;"_"&amp;E563)</f>
        <v>45_Aluminium products</v>
      </c>
      <c r="H563" s="628" t="s">
        <v>2680</v>
      </c>
    </row>
    <row r="564" spans="1:8" x14ac:dyDescent="0.3">
      <c r="A564" s="628" t="s">
        <v>2681</v>
      </c>
      <c r="B564" s="628" t="s">
        <v>2682</v>
      </c>
      <c r="C564" s="628" t="str">
        <f>Translations!$B$1428</f>
        <v>Casks, drums, cans, boxes and similar containers &lt;= 300 l, of aluminium, for any material (other than compressed or liquefied gas), n.e.s. (other than collapsible tubular containers, containers for aerosols and containers manufactured from foil of a thickness &lt;= 0,2 mm</v>
      </c>
      <c r="D564" s="628" t="str">
        <f t="shared" si="9"/>
        <v>76129080</v>
      </c>
      <c r="E564" s="1140" t="str">
        <f>Translations!$B$688</f>
        <v>Aluminium products</v>
      </c>
      <c r="F564" s="628" t="str">
        <f>IF(E564=" --- ","",COUNTIF($E$4:E564,E564)&amp;"_"&amp;E564)</f>
        <v>46_Aluminium products</v>
      </c>
      <c r="H564" s="628" t="s">
        <v>2683</v>
      </c>
    </row>
    <row r="565" spans="1:8" x14ac:dyDescent="0.3">
      <c r="A565" s="628" t="s">
        <v>2684</v>
      </c>
      <c r="B565" s="628" t="s">
        <v>2685</v>
      </c>
      <c r="C565" s="628" t="str">
        <f>Translations!$B$1429</f>
        <v>Aluminium containers for compressed or liquefied gas</v>
      </c>
      <c r="D565" s="628" t="str">
        <f t="shared" si="9"/>
        <v>76130000</v>
      </c>
      <c r="E565" s="1140" t="str">
        <f>Translations!$B$688</f>
        <v>Aluminium products</v>
      </c>
      <c r="F565" s="628" t="str">
        <f>IF(E565=" --- ","",COUNTIF($E$4:E565,E565)&amp;"_"&amp;E565)</f>
        <v>47_Aluminium products</v>
      </c>
      <c r="H565" s="628" t="s">
        <v>2686</v>
      </c>
    </row>
    <row r="566" spans="1:8" x14ac:dyDescent="0.3">
      <c r="A566" s="628" t="s">
        <v>2689</v>
      </c>
      <c r="B566" s="628" t="s">
        <v>2690</v>
      </c>
      <c r="C566" s="628" t="str">
        <f>Translations!$B$1431</f>
        <v>Stranded wire, cables, plaited bands and the like, of aluminium, with steel core (excl. such products electrically insulated)</v>
      </c>
      <c r="D566" s="628" t="str">
        <f t="shared" si="9"/>
        <v>76141000</v>
      </c>
      <c r="E566" s="1140" t="str">
        <f>Translations!$B$688</f>
        <v>Aluminium products</v>
      </c>
      <c r="F566" s="628" t="str">
        <f>IF(E566=" --- ","",COUNTIF($E$4:E566,E566)&amp;"_"&amp;E566)</f>
        <v>48_Aluminium products</v>
      </c>
      <c r="H566" s="628" t="s">
        <v>2691</v>
      </c>
    </row>
    <row r="567" spans="1:8" x14ac:dyDescent="0.3">
      <c r="A567" s="628" t="s">
        <v>2692</v>
      </c>
      <c r="B567" s="628" t="s">
        <v>2693</v>
      </c>
      <c r="C567" s="628" t="str">
        <f>Translations!$B$1432</f>
        <v>Stranded wires, cables, ropes and similar articles, of aluminium (other than with steel core and electrically insulated products)</v>
      </c>
      <c r="D567" s="628" t="str">
        <f t="shared" si="9"/>
        <v>76149000</v>
      </c>
      <c r="E567" s="1140" t="str">
        <f>Translations!$B$688</f>
        <v>Aluminium products</v>
      </c>
      <c r="F567" s="628" t="str">
        <f>IF(E567=" --- ","",COUNTIF($E$4:E567,E567)&amp;"_"&amp;E567)</f>
        <v>49_Aluminium products</v>
      </c>
      <c r="H567" s="628" t="s">
        <v>2694</v>
      </c>
    </row>
    <row r="568" spans="1:8" x14ac:dyDescent="0.3">
      <c r="A568" s="628" t="s">
        <v>2697</v>
      </c>
      <c r="B568" s="628" t="s">
        <v>2698</v>
      </c>
      <c r="C568" s="628" t="str">
        <f>Translations!$B$1434</f>
        <v>Nails, tacks, staples, screws, bolts, nuts, screw hooks, rivets, cotters, cotter pins, washers and similar articles, of aluminium (excl. staples in strips, plugs, bungs and the like, threaded)</v>
      </c>
      <c r="D568" s="628" t="str">
        <f t="shared" si="9"/>
        <v>76161000</v>
      </c>
      <c r="E568" s="1140" t="str">
        <f>Translations!$B$688</f>
        <v>Aluminium products</v>
      </c>
      <c r="F568" s="628" t="str">
        <f>IF(E568=" --- ","",COUNTIF($E$4:E568,E568)&amp;"_"&amp;E568)</f>
        <v>50_Aluminium products</v>
      </c>
      <c r="H568" s="628" t="s">
        <v>2699</v>
      </c>
    </row>
    <row r="569" spans="1:8" x14ac:dyDescent="0.3">
      <c r="A569" s="628" t="s">
        <v>2700</v>
      </c>
      <c r="B569" s="628" t="s">
        <v>2701</v>
      </c>
      <c r="C569" s="628" t="str">
        <f>Translations!$B$1435</f>
        <v>Cloth, grill, netting and fencing, of aluminium wire (excl. cloth of metal fibres for clothing, lining and similar uses, and cloth, grill and netting made into hand sieves or machine parts)</v>
      </c>
      <c r="D569" s="628" t="str">
        <f t="shared" si="9"/>
        <v>76169100</v>
      </c>
      <c r="E569" s="1140" t="str">
        <f>Translations!$B$688</f>
        <v>Aluminium products</v>
      </c>
      <c r="F569" s="628" t="str">
        <f>IF(E569=" --- ","",COUNTIF($E$4:E569,E569)&amp;"_"&amp;E569)</f>
        <v>51_Aluminium products</v>
      </c>
      <c r="H569" s="628" t="s">
        <v>2702</v>
      </c>
    </row>
    <row r="570" spans="1:8" x14ac:dyDescent="0.3">
      <c r="A570" s="628" t="s">
        <v>2704</v>
      </c>
      <c r="B570" s="628" t="s">
        <v>2705</v>
      </c>
      <c r="C570" s="628" t="str">
        <f>Translations!$B$1436</f>
        <v>Articles of aluminium, cast, n.e.s.</v>
      </c>
      <c r="D570" s="628" t="str">
        <f t="shared" si="9"/>
        <v>76169910</v>
      </c>
      <c r="E570" s="1140" t="str">
        <f>Translations!$B$688</f>
        <v>Aluminium products</v>
      </c>
      <c r="F570" s="628" t="str">
        <f>IF(E570=" --- ","",COUNTIF($E$4:E570,E570)&amp;"_"&amp;E570)</f>
        <v>52_Aluminium products</v>
      </c>
      <c r="H570" s="628" t="s">
        <v>2706</v>
      </c>
    </row>
    <row r="571" spans="1:8" x14ac:dyDescent="0.3">
      <c r="A571" s="628" t="s">
        <v>2707</v>
      </c>
      <c r="B571" s="628" t="s">
        <v>2708</v>
      </c>
      <c r="C571" s="628" t="str">
        <f>Translations!$B$1437</f>
        <v>Articles of aluminium, uncast, n.e.s.</v>
      </c>
      <c r="D571" s="628" t="str">
        <f t="shared" si="9"/>
        <v>76169990</v>
      </c>
      <c r="E571" s="1140" t="str">
        <f>Translations!$B$688</f>
        <v>Aluminium products</v>
      </c>
      <c r="F571" s="628" t="str">
        <f>IF(E571=" --- ","",COUNTIF($E$4:E571,E571)&amp;"_"&amp;E571)</f>
        <v>53_Aluminium products</v>
      </c>
      <c r="H571" s="628" t="s">
        <v>2709</v>
      </c>
    </row>
    <row r="572" spans="1:8" x14ac:dyDescent="0.3">
      <c r="A572" s="628" t="s">
        <v>673</v>
      </c>
      <c r="B572" s="628" t="s">
        <v>674</v>
      </c>
      <c r="C572" s="628" t="str">
        <f>Translations!$B$700</f>
        <v>Electrical energy</v>
      </c>
      <c r="D572" s="628" t="str">
        <f t="shared" si="9"/>
        <v>27160000</v>
      </c>
      <c r="E572" s="1140" t="str">
        <f>Translations!$B$692</f>
        <v>Electricity (export to EU)</v>
      </c>
      <c r="F572" s="628" t="str">
        <f>IF(E572=" --- ","",COUNTIF($E$4:E572,E572)&amp;"_"&amp;E572)</f>
        <v>1_Electricity (export to EU)</v>
      </c>
      <c r="H572" s="628" t="s">
        <v>675</v>
      </c>
    </row>
  </sheetData>
  <sheetProtection sheet="1" objects="1" scenarios="1" formatCells="0" formatColumns="0" formatRows="0"/>
  <autoFilter ref="A3:G572" xr:uid="{00000000-0009-0000-0000-000010000000}"/>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tabColor theme="2"/>
  </sheetPr>
  <dimension ref="A1:M2125"/>
  <sheetViews>
    <sheetView zoomScaleNormal="100" workbookViewId="0">
      <pane xSplit="2" ySplit="4" topLeftCell="C1897" activePane="bottomRight" state="frozen"/>
      <selection activeCell="B2" sqref="B2:F2"/>
      <selection pane="topRight" activeCell="B2" sqref="B2:F2"/>
      <selection pane="bottomLeft" activeCell="B2" sqref="B2:F2"/>
      <selection pane="bottomRight" activeCell="B2" sqref="B2:F2"/>
    </sheetView>
  </sheetViews>
  <sheetFormatPr defaultColWidth="11.453125" defaultRowHeight="11.5" x14ac:dyDescent="0.35"/>
  <cols>
    <col min="1" max="1" width="5.81640625" style="820" customWidth="1"/>
    <col min="2" max="13" width="20.7265625" style="821" customWidth="1"/>
    <col min="14" max="16384" width="11.453125" style="821"/>
  </cols>
  <sheetData>
    <row r="1" spans="1:13" ht="14.5" x14ac:dyDescent="0.35">
      <c r="B1" s="1071" t="s">
        <v>3891</v>
      </c>
    </row>
    <row r="2" spans="1:13" ht="15" thickBot="1" x14ac:dyDescent="0.4">
      <c r="B2" s="1071" t="s">
        <v>3890</v>
      </c>
    </row>
    <row r="3" spans="1:13" ht="16" thickBot="1" x14ac:dyDescent="0.4">
      <c r="A3" s="1072">
        <v>3</v>
      </c>
    </row>
    <row r="4" spans="1:13" s="822" customFormat="1" ht="12" thickBot="1" x14ac:dyDescent="0.4">
      <c r="A4" s="998" t="s">
        <v>4113</v>
      </c>
      <c r="B4" s="999" t="s">
        <v>2986</v>
      </c>
      <c r="C4" s="999" t="s">
        <v>2</v>
      </c>
      <c r="D4" s="999" t="s">
        <v>2971</v>
      </c>
      <c r="E4" s="999" t="s">
        <v>2971</v>
      </c>
      <c r="F4" s="999" t="s">
        <v>2972</v>
      </c>
      <c r="G4" s="999" t="s">
        <v>2973</v>
      </c>
      <c r="H4" s="999" t="s">
        <v>2974</v>
      </c>
      <c r="I4" s="999" t="s">
        <v>2975</v>
      </c>
      <c r="J4" s="999" t="s">
        <v>2976</v>
      </c>
      <c r="K4" s="999" t="s">
        <v>2977</v>
      </c>
      <c r="L4" s="999" t="s">
        <v>2997</v>
      </c>
      <c r="M4" s="999" t="s">
        <v>2998</v>
      </c>
    </row>
    <row r="5" spans="1:13" s="822" customFormat="1" ht="13" x14ac:dyDescent="0.35">
      <c r="A5" s="820">
        <v>1</v>
      </c>
      <c r="B5" s="1004" t="str">
        <f>IFERROR(INDEX(C5:M5,$A$3-2),$C5)</f>
        <v>Version history</v>
      </c>
      <c r="C5" s="1004" t="s">
        <v>3901</v>
      </c>
    </row>
    <row r="6" spans="1:13" s="822" customFormat="1" ht="18" x14ac:dyDescent="0.35">
      <c r="A6" s="820">
        <v>2</v>
      </c>
      <c r="B6" s="106" t="str">
        <f t="shared" ref="B6:B69" si="0">IFERROR(INDEX(C6:M6,$A$3-2),$C6)</f>
        <v>Sheet "Version history"</v>
      </c>
      <c r="C6" s="106" t="s">
        <v>3903</v>
      </c>
    </row>
    <row r="7" spans="1:13" s="822" customFormat="1" ht="13" x14ac:dyDescent="0.35">
      <c r="A7" s="820">
        <v>3</v>
      </c>
      <c r="B7" s="139" t="str">
        <f t="shared" si="0"/>
        <v>Version</v>
      </c>
      <c r="C7" s="139" t="s">
        <v>3895</v>
      </c>
    </row>
    <row r="8" spans="1:13" s="822" customFormat="1" ht="13" x14ac:dyDescent="0.35">
      <c r="A8" s="820">
        <v>4</v>
      </c>
      <c r="B8" s="139" t="str">
        <f t="shared" si="0"/>
        <v>Date</v>
      </c>
      <c r="C8" s="139" t="s">
        <v>3896</v>
      </c>
    </row>
    <row r="9" spans="1:13" s="822" customFormat="1" ht="13.5" thickBot="1" x14ac:dyDescent="0.4">
      <c r="A9" s="820">
        <v>5</v>
      </c>
      <c r="B9" s="1005" t="str">
        <f t="shared" si="0"/>
        <v>Description</v>
      </c>
      <c r="C9" s="1005" t="s">
        <v>3902</v>
      </c>
    </row>
    <row r="10" spans="1:13" ht="13.5" thickBot="1" x14ac:dyDescent="0.4">
      <c r="A10" s="820">
        <v>6</v>
      </c>
      <c r="B10" s="1004" t="str">
        <f t="shared" si="0"/>
        <v>Table of contents</v>
      </c>
      <c r="C10" s="1004" t="s">
        <v>204</v>
      </c>
      <c r="D10" s="822"/>
      <c r="E10" s="822"/>
      <c r="F10" s="822"/>
      <c r="G10" s="822"/>
      <c r="H10" s="822"/>
    </row>
    <row r="11" spans="1:13" ht="13.5" thickBot="1" x14ac:dyDescent="0.4">
      <c r="A11" s="820">
        <v>7</v>
      </c>
      <c r="B11" s="1006" t="str">
        <f t="shared" si="0"/>
        <v>Navigation Area:</v>
      </c>
      <c r="C11" s="1006" t="s">
        <v>205</v>
      </c>
      <c r="D11" s="822"/>
      <c r="E11" s="822"/>
      <c r="F11" s="822"/>
      <c r="G11" s="822"/>
      <c r="H11" s="822"/>
    </row>
    <row r="12" spans="1:13" ht="18" x14ac:dyDescent="0.35">
      <c r="A12" s="820">
        <v>8</v>
      </c>
      <c r="B12" s="312" t="str">
        <f t="shared" si="0"/>
        <v>Sheet "Table of contents"</v>
      </c>
      <c r="C12" s="312" t="s">
        <v>2931</v>
      </c>
      <c r="D12" s="822"/>
      <c r="E12" s="822"/>
      <c r="F12" s="822"/>
      <c r="G12" s="822"/>
      <c r="H12" s="822"/>
    </row>
    <row r="13" spans="1:13" ht="13" x14ac:dyDescent="0.35">
      <c r="A13" s="820">
        <v>9</v>
      </c>
      <c r="B13" s="863" t="str">
        <f t="shared" si="0"/>
        <v>The following two sheets summarise the results at process and product level, respectively:</v>
      </c>
      <c r="C13" s="863" t="s">
        <v>2980</v>
      </c>
      <c r="D13" s="822"/>
      <c r="E13" s="822"/>
      <c r="F13" s="822"/>
      <c r="G13" s="822"/>
      <c r="H13" s="822"/>
    </row>
    <row r="14" spans="1:13" ht="13.5" thickBot="1" x14ac:dyDescent="0.4">
      <c r="A14" s="820">
        <v>10</v>
      </c>
      <c r="B14" s="863" t="str">
        <f t="shared" si="0"/>
        <v>The following sheet summarises the main information to be communicated to the reporting declarant:</v>
      </c>
      <c r="C14" s="863" t="s">
        <v>2981</v>
      </c>
      <c r="D14" s="822"/>
      <c r="E14" s="822"/>
      <c r="F14" s="822"/>
      <c r="G14" s="822"/>
      <c r="H14" s="822"/>
    </row>
    <row r="15" spans="1:13" ht="12.5" x14ac:dyDescent="0.35">
      <c r="A15" s="820">
        <v>11</v>
      </c>
      <c r="B15" s="630" t="str">
        <f t="shared" si="0"/>
        <v>Language version:</v>
      </c>
      <c r="C15" s="630" t="s">
        <v>562</v>
      </c>
      <c r="D15" s="822"/>
      <c r="E15" s="822"/>
      <c r="F15" s="822"/>
      <c r="G15" s="822"/>
      <c r="H15" s="822"/>
    </row>
    <row r="16" spans="1:13" ht="13" thickBot="1" x14ac:dyDescent="0.4">
      <c r="A16" s="820">
        <v>12</v>
      </c>
      <c r="B16" s="631" t="str">
        <f t="shared" si="0"/>
        <v>Reference filename:</v>
      </c>
      <c r="C16" s="631" t="s">
        <v>563</v>
      </c>
      <c r="D16" s="822"/>
      <c r="E16" s="822"/>
      <c r="F16" s="822"/>
      <c r="G16" s="822"/>
      <c r="H16" s="822"/>
    </row>
    <row r="17" spans="1:8" ht="13.5" thickBot="1" x14ac:dyDescent="0.4">
      <c r="A17" s="820">
        <v>13</v>
      </c>
      <c r="B17" s="632" t="str">
        <f t="shared" si="0"/>
        <v>Information about this file:</v>
      </c>
      <c r="C17" s="632" t="s">
        <v>564</v>
      </c>
      <c r="D17" s="822"/>
      <c r="E17" s="822"/>
      <c r="F17" s="822"/>
      <c r="G17" s="822"/>
      <c r="H17" s="822"/>
    </row>
    <row r="18" spans="1:8" ht="12.5" x14ac:dyDescent="0.35">
      <c r="A18" s="820">
        <v>14</v>
      </c>
      <c r="B18" s="630" t="str">
        <f t="shared" si="0"/>
        <v>Installation name:</v>
      </c>
      <c r="C18" s="630" t="s">
        <v>565</v>
      </c>
      <c r="D18" s="822"/>
      <c r="E18" s="822"/>
      <c r="F18" s="822"/>
      <c r="G18" s="822"/>
      <c r="H18" s="822"/>
    </row>
    <row r="19" spans="1:8" ht="13" thickBot="1" x14ac:dyDescent="0.3">
      <c r="A19" s="820">
        <v>15</v>
      </c>
      <c r="B19" s="1007" t="str">
        <f t="shared" si="0"/>
        <v>Reporting period:</v>
      </c>
      <c r="C19" s="1007" t="s">
        <v>3008</v>
      </c>
      <c r="D19" s="822"/>
      <c r="E19" s="822"/>
      <c r="F19" s="822"/>
      <c r="G19" s="822"/>
      <c r="H19" s="822"/>
    </row>
    <row r="20" spans="1:8" ht="13" thickBot="1" x14ac:dyDescent="0.3">
      <c r="A20" s="820">
        <v>16</v>
      </c>
      <c r="B20" s="1008" t="str">
        <f t="shared" si="0"/>
        <v>from:</v>
      </c>
      <c r="C20" s="1008" t="s">
        <v>566</v>
      </c>
      <c r="D20" s="822"/>
      <c r="E20" s="822"/>
      <c r="F20" s="822"/>
      <c r="G20" s="822"/>
      <c r="H20" s="822"/>
    </row>
    <row r="21" spans="1:8" ht="13" thickBot="1" x14ac:dyDescent="0.4">
      <c r="A21" s="820">
        <v>17</v>
      </c>
      <c r="B21" s="633" t="str">
        <f t="shared" si="0"/>
        <v>to:</v>
      </c>
      <c r="C21" s="633" t="s">
        <v>567</v>
      </c>
      <c r="D21" s="822"/>
      <c r="E21" s="822"/>
      <c r="F21" s="822"/>
      <c r="G21" s="822"/>
      <c r="H21" s="822"/>
    </row>
    <row r="22" spans="1:8" ht="13" x14ac:dyDescent="0.35">
      <c r="A22" s="820">
        <v>18</v>
      </c>
      <c r="B22" s="1004" t="str">
        <f t="shared" si="0"/>
        <v>Guidelines &amp; Conditions</v>
      </c>
      <c r="C22" s="1004" t="s">
        <v>221</v>
      </c>
      <c r="D22" s="822"/>
      <c r="E22" s="822"/>
      <c r="F22" s="822"/>
      <c r="G22" s="822"/>
      <c r="H22" s="822"/>
    </row>
    <row r="23" spans="1:8" ht="18" x14ac:dyDescent="0.35">
      <c r="A23" s="820">
        <v>19</v>
      </c>
      <c r="B23" s="312" t="str">
        <f t="shared" si="0"/>
        <v>Sheet "Guidelines &amp; conditions"</v>
      </c>
      <c r="C23" s="312" t="s">
        <v>2819</v>
      </c>
      <c r="D23" s="822"/>
      <c r="E23" s="822"/>
      <c r="F23" s="822"/>
      <c r="G23" s="822"/>
      <c r="H23" s="822"/>
    </row>
    <row r="24" spans="1:8" ht="15.5" x14ac:dyDescent="0.35">
      <c r="A24" s="820">
        <v>20</v>
      </c>
      <c r="B24" s="311" t="str">
        <f t="shared" si="0"/>
        <v>General Information on this Template</v>
      </c>
      <c r="C24" s="311" t="s">
        <v>207</v>
      </c>
      <c r="D24" s="822"/>
      <c r="E24" s="822"/>
      <c r="F24" s="822"/>
      <c r="G24" s="822"/>
      <c r="H24" s="822"/>
    </row>
    <row r="25" spans="1:8" ht="12.5" x14ac:dyDescent="0.35">
      <c r="A25" s="820">
        <v>21</v>
      </c>
      <c r="B25" s="157" t="str">
        <f t="shared" si="0"/>
        <v>General information</v>
      </c>
      <c r="C25" s="157" t="s">
        <v>2817</v>
      </c>
      <c r="D25" s="822"/>
      <c r="E25" s="822"/>
      <c r="F25" s="822"/>
      <c r="G25" s="822"/>
      <c r="H25" s="822"/>
    </row>
    <row r="26" spans="1:8" ht="12.5" x14ac:dyDescent="0.35">
      <c r="A26" s="820">
        <v>22</v>
      </c>
      <c r="B26" s="866" t="str">
        <f t="shared" si="0"/>
        <v>Regulation (EU) 2023/956 establishes a carbon border adjustment mechanism (the ‘CBAM Regulation’) to address greenhouse gas emissions embedded in certain goods ('CBAM goods': iron and steel, cement, aluminium, fertilisers, hydrogen and electricity) on their importation into the customs territory of the European Union (the EU). The Regulation can be downloaded from:</v>
      </c>
      <c r="C26" s="866" t="s">
        <v>3004</v>
      </c>
      <c r="D26" s="822"/>
      <c r="E26" s="822"/>
      <c r="F26" s="822"/>
      <c r="G26" s="822"/>
      <c r="H26" s="822"/>
    </row>
    <row r="27" spans="1:8" ht="14.5" x14ac:dyDescent="0.35">
      <c r="A27" s="820">
        <v>23</v>
      </c>
      <c r="B27" s="634" t="str">
        <f t="shared" si="0"/>
        <v>https://eur-lex.europa.eu/eli/reg/2023/956/oj</v>
      </c>
      <c r="C27" t="s">
        <v>2800</v>
      </c>
      <c r="D27" s="822"/>
      <c r="E27" s="822"/>
      <c r="F27" s="822"/>
      <c r="G27" s="822"/>
      <c r="H27" s="822"/>
    </row>
    <row r="28" spans="1:8" ht="12.5" x14ac:dyDescent="0.35">
      <c r="A28" s="820">
        <v>24</v>
      </c>
      <c r="B28" s="866" t="str">
        <f t="shared" si="0"/>
        <v>Pursuant to Article 35(7) of the Regulation, the Commission adopted an implementing act which lays down the detailed rules for 'reporting declarants' (as defined in Article 2(1) of this implementing act) for reporting obligations upon import into the European Union during the transitional period from 1 October 2023 to 31 December 2025 (‘transitional period’). The Regulation can be downloaded from:</v>
      </c>
      <c r="C28" s="866" t="s">
        <v>4116</v>
      </c>
      <c r="D28" s="822"/>
      <c r="E28" s="822"/>
      <c r="F28" s="822"/>
      <c r="G28" s="822"/>
      <c r="H28" s="822"/>
    </row>
    <row r="29" spans="1:8" ht="14.5" x14ac:dyDescent="0.35">
      <c r="A29" s="820">
        <v>25</v>
      </c>
      <c r="B29" s="823" t="str">
        <f t="shared" si="0"/>
        <v>https://taxation-customs.ec.europa.eu/system/files/2023-08/C_2023_5512_1_EN_ACT_part1_v6.pdf</v>
      </c>
      <c r="C29" t="s">
        <v>4117</v>
      </c>
      <c r="D29" s="822"/>
      <c r="E29" s="822"/>
      <c r="F29" s="822"/>
      <c r="G29" s="822"/>
      <c r="H29" s="822"/>
    </row>
    <row r="30" spans="1:8" ht="12.5" x14ac:dyDescent="0.35">
      <c r="A30" s="820">
        <v>26</v>
      </c>
      <c r="B30" s="866" t="str">
        <f t="shared" si="0"/>
        <v>Article 8 of the implementing act requires reporting declarants to submit a CBAM report for each good listed under 1. imported into the EU. CBAM reports must contain certain data and information on the embedded emissions of the goods, to be obtained from the producer of these goods ('operators of installations located in third countries').</v>
      </c>
      <c r="C30" s="866" t="s">
        <v>3005</v>
      </c>
      <c r="D30" s="822"/>
      <c r="E30" s="822"/>
      <c r="F30" s="822"/>
      <c r="G30" s="822"/>
      <c r="H30" s="822"/>
    </row>
    <row r="31" spans="1:8" ht="12.5" x14ac:dyDescent="0.35">
      <c r="A31" s="820">
        <v>27</v>
      </c>
      <c r="B31" s="866" t="str">
        <f t="shared" si="0"/>
        <v>This data collection template has been developed on behalf of the Commission by its consultants (Umweltbundesamt GmbH Austria) and serves the purpose of facilitating the communication between operators of installations located in third countries and the reporting declarants.</v>
      </c>
      <c r="C31" s="866" t="s">
        <v>2801</v>
      </c>
      <c r="D31" s="822"/>
      <c r="E31" s="822"/>
      <c r="F31" s="822"/>
      <c r="G31" s="822"/>
      <c r="H31" s="822"/>
    </row>
    <row r="32" spans="1:8" ht="12.5" x14ac:dyDescent="0.35">
      <c r="A32" s="820">
        <v>28</v>
      </c>
      <c r="B32" s="866" t="str">
        <f t="shared" si="0"/>
        <v xml:space="preserve">The views expressed in this file represent the views of the authors and not necessarily those of the European Commission. </v>
      </c>
      <c r="C32" s="866" t="s">
        <v>208</v>
      </c>
      <c r="D32" s="822"/>
      <c r="E32" s="822"/>
      <c r="F32" s="822"/>
      <c r="G32" s="822"/>
      <c r="H32" s="822"/>
    </row>
    <row r="33" spans="1:8" ht="13" x14ac:dyDescent="0.35">
      <c r="A33" s="820">
        <v>29</v>
      </c>
      <c r="B33" s="636" t="str">
        <f t="shared" si="0"/>
        <v>This is the 2nd published version of the CBAM template, version of 23 October 2023.</v>
      </c>
      <c r="C33" s="636" t="s">
        <v>4118</v>
      </c>
      <c r="D33" s="822"/>
      <c r="E33" s="822"/>
      <c r="F33" s="822"/>
      <c r="G33" s="822"/>
      <c r="H33" s="822"/>
    </row>
    <row r="34" spans="1:8" ht="15.5" x14ac:dyDescent="0.35">
      <c r="A34" s="820">
        <v>30</v>
      </c>
      <c r="B34" s="432" t="str">
        <f t="shared" si="0"/>
        <v>How to use this file</v>
      </c>
      <c r="C34" s="432" t="s">
        <v>209</v>
      </c>
      <c r="D34" s="822"/>
      <c r="E34" s="822"/>
      <c r="F34" s="822"/>
      <c r="G34" s="822"/>
      <c r="H34" s="822"/>
    </row>
    <row r="35" spans="1:8" ht="12.5" x14ac:dyDescent="0.35">
      <c r="A35" s="820">
        <v>31</v>
      </c>
      <c r="B35" s="866" t="str">
        <f t="shared" si="0"/>
        <v>Automatic calculation (to be found in the menu Formula/Calculation options) must be turned on.</v>
      </c>
      <c r="C35" s="866" t="s">
        <v>210</v>
      </c>
      <c r="D35" s="822"/>
      <c r="E35" s="822"/>
      <c r="F35" s="822"/>
      <c r="G35" s="822"/>
      <c r="H35" s="822"/>
    </row>
    <row r="36" spans="1:8" ht="12.5" x14ac:dyDescent="0.35">
      <c r="A36" s="820">
        <v>32</v>
      </c>
      <c r="B36" s="866" t="str">
        <f t="shared" si="0"/>
        <v>It is recommended that you go through the file from start to end. There are a few functions which will guide you through the form which depend on previous input, such as cells changing colour if an input is not needed (see colour codes below).</v>
      </c>
      <c r="C36" s="866" t="s">
        <v>2824</v>
      </c>
      <c r="D36" s="822"/>
      <c r="E36" s="822"/>
      <c r="F36" s="822"/>
      <c r="G36" s="822"/>
      <c r="H36" s="822"/>
    </row>
    <row r="37" spans="1:8" ht="12.5" x14ac:dyDescent="0.35">
      <c r="A37" s="820">
        <v>33</v>
      </c>
      <c r="B37" s="866" t="str">
        <f t="shared" si="0"/>
        <v>Whenever a value of zero is to be reported, it should be entered rather than keeping the cell empty. Values needed for calculations should always be entered (especially if zero, because some formulas don't give results as long as required cells are empty). If a cell is kept empty, the reporting declarant do not know if the value is zero, is irrelevant or unknown, or if making entries has been overlooked.</v>
      </c>
      <c r="C37" s="866" t="s">
        <v>4198</v>
      </c>
      <c r="D37" s="822"/>
      <c r="E37" s="822"/>
      <c r="F37" s="822"/>
      <c r="G37" s="822"/>
      <c r="H37" s="822"/>
    </row>
    <row r="38" spans="1:8" ht="12.5" x14ac:dyDescent="0.35">
      <c r="A38" s="820">
        <v>34</v>
      </c>
      <c r="B38" s="866" t="str">
        <f t="shared" si="0"/>
        <v>In several fields you can choose from predefined inputs using a "drop-down list", by either clicking on the small arrow appearing at the right border of the cell, or pressing "Alt-CursorDown" when you have selected the cell. Also, there are some fields which enable you to draft your reply even if a drop-down list exists. This is the case when drop-down lists contain empty list entries.</v>
      </c>
      <c r="C38" s="866" t="s">
        <v>3006</v>
      </c>
      <c r="D38" s="822"/>
      <c r="E38" s="822"/>
      <c r="F38" s="822"/>
      <c r="G38" s="822"/>
      <c r="H38" s="822"/>
    </row>
    <row r="39" spans="1:8" ht="12.5" x14ac:dyDescent="0.35">
      <c r="A39" s="820">
        <v>35</v>
      </c>
      <c r="B39" s="866" t="str">
        <f t="shared" si="0"/>
        <v>Error messages will occur sometimes when data entries are incomplete. However, the non-appearance of error messages is not a guarantee for correct calculations, as a data completeness test is not always possible. If no result appears in a green field, it can be assumed that some data is still missing.</v>
      </c>
      <c r="C39" s="866" t="s">
        <v>2932</v>
      </c>
      <c r="D39" s="822"/>
      <c r="E39" s="822"/>
      <c r="F39" s="822"/>
      <c r="G39" s="822"/>
      <c r="H39" s="822"/>
    </row>
    <row r="40" spans="1:8" ht="12.5" x14ac:dyDescent="0.35">
      <c r="A40" s="820">
        <v>36</v>
      </c>
      <c r="B40" s="866" t="str">
        <f t="shared" si="0"/>
        <v>Special care must be taken of ensure consistency of data with the units displayed.</v>
      </c>
      <c r="C40" s="866" t="s">
        <v>4119</v>
      </c>
      <c r="D40" s="822"/>
      <c r="E40" s="822"/>
      <c r="F40" s="822"/>
      <c r="G40" s="822"/>
      <c r="H40" s="822"/>
    </row>
    <row r="41" spans="1:8" ht="12.5" x14ac:dyDescent="0.35">
      <c r="A41" s="820">
        <v>37</v>
      </c>
      <c r="B41" s="866" t="str">
        <f t="shared" si="0"/>
        <v>Colour codes and fonts:</v>
      </c>
      <c r="C41" s="866" t="s">
        <v>211</v>
      </c>
      <c r="D41" s="822"/>
      <c r="E41" s="822"/>
      <c r="F41" s="822"/>
      <c r="G41" s="822"/>
      <c r="H41" s="822"/>
    </row>
    <row r="42" spans="1:8" ht="12.5" x14ac:dyDescent="0.35">
      <c r="A42" s="820">
        <v>38</v>
      </c>
      <c r="B42" s="866" t="str">
        <f t="shared" si="0"/>
        <v>Black bold text:</v>
      </c>
      <c r="C42" s="866" t="s">
        <v>212</v>
      </c>
      <c r="D42" s="822"/>
      <c r="E42" s="822"/>
      <c r="F42" s="822"/>
      <c r="G42" s="822"/>
      <c r="H42" s="822"/>
    </row>
    <row r="43" spans="1:8" ht="12.5" x14ac:dyDescent="0.35">
      <c r="A43" s="820">
        <v>39</v>
      </c>
      <c r="B43" s="866" t="str">
        <f t="shared" si="0"/>
        <v>This is text describing the input required.</v>
      </c>
      <c r="C43" s="866" t="s">
        <v>213</v>
      </c>
      <c r="D43" s="822"/>
      <c r="E43" s="822"/>
      <c r="F43" s="822"/>
      <c r="G43" s="822"/>
      <c r="H43" s="822"/>
    </row>
    <row r="44" spans="1:8" ht="12.5" x14ac:dyDescent="0.35">
      <c r="A44" s="820">
        <v>40</v>
      </c>
      <c r="B44" s="866" t="str">
        <f t="shared" si="0"/>
        <v>Smaller italic text:</v>
      </c>
      <c r="C44" s="866" t="s">
        <v>214</v>
      </c>
      <c r="D44" s="822"/>
      <c r="E44" s="822"/>
      <c r="F44" s="822"/>
      <c r="G44" s="822"/>
      <c r="H44" s="822"/>
    </row>
    <row r="45" spans="1:8" ht="12.5" x14ac:dyDescent="0.35">
      <c r="A45" s="820">
        <v>41</v>
      </c>
      <c r="B45" s="866" t="str">
        <f t="shared" si="0"/>
        <v xml:space="preserve">This text gives further explanations. </v>
      </c>
      <c r="C45" s="866" t="s">
        <v>215</v>
      </c>
      <c r="D45" s="822"/>
      <c r="E45" s="822"/>
      <c r="F45" s="822"/>
      <c r="G45" s="822"/>
      <c r="H45" s="822"/>
    </row>
    <row r="46" spans="1:8" ht="12.5" x14ac:dyDescent="0.35">
      <c r="A46" s="820">
        <v>42</v>
      </c>
      <c r="B46" s="866" t="str">
        <f t="shared" si="0"/>
        <v>Yellow fields indicate mandatory inputs for the calculation of embedded emissions and for other information required.</v>
      </c>
      <c r="C46" s="866" t="s">
        <v>2825</v>
      </c>
      <c r="D46" s="822"/>
      <c r="E46" s="822"/>
      <c r="F46" s="822"/>
      <c r="G46" s="822"/>
      <c r="H46" s="822"/>
    </row>
    <row r="47" spans="1:8" ht="12.5" x14ac:dyDescent="0.35">
      <c r="A47" s="820">
        <v>43</v>
      </c>
      <c r="B47" s="866" t="str">
        <f t="shared" si="0"/>
        <v>Light yellow fields indicate that an input is optional.</v>
      </c>
      <c r="C47" s="866" t="s">
        <v>216</v>
      </c>
      <c r="D47" s="822"/>
      <c r="E47" s="822"/>
      <c r="F47" s="822"/>
      <c r="G47" s="822"/>
      <c r="H47" s="822"/>
    </row>
    <row r="48" spans="1:8" ht="12.5" x14ac:dyDescent="0.35">
      <c r="A48" s="820">
        <v>44</v>
      </c>
      <c r="B48" s="866" t="str">
        <f t="shared" si="0"/>
        <v>Green fields show automatically calculated results. Red text indicates error messages (missing data etc).</v>
      </c>
      <c r="C48" s="866" t="s">
        <v>217</v>
      </c>
      <c r="D48" s="822"/>
      <c r="E48" s="822"/>
      <c r="F48" s="822"/>
      <c r="G48" s="822"/>
      <c r="H48" s="822"/>
    </row>
    <row r="49" spans="1:8" ht="12.5" x14ac:dyDescent="0.35">
      <c r="A49" s="820">
        <v>45</v>
      </c>
      <c r="B49" s="866" t="str">
        <f t="shared" si="0"/>
        <v>Shaded fields indicate that an input in another field makes the input here irrelevant.</v>
      </c>
      <c r="C49" s="866" t="s">
        <v>4120</v>
      </c>
      <c r="D49" s="822"/>
      <c r="E49" s="822"/>
      <c r="F49" s="822"/>
      <c r="G49" s="822"/>
      <c r="H49" s="822"/>
    </row>
    <row r="50" spans="1:8" ht="12.5" x14ac:dyDescent="0.35">
      <c r="A50" s="820">
        <v>46</v>
      </c>
      <c r="B50" s="866" t="str">
        <f t="shared" si="0"/>
        <v>Light grey areas are dedicated for navigation and hyperlinks.</v>
      </c>
      <c r="C50" s="866" t="s">
        <v>218</v>
      </c>
      <c r="D50" s="822"/>
      <c r="E50" s="822"/>
      <c r="F50" s="822"/>
      <c r="G50" s="822"/>
      <c r="H50" s="822"/>
    </row>
    <row r="51" spans="1:8" ht="12.5" x14ac:dyDescent="0.35">
      <c r="A51" s="820">
        <v>47</v>
      </c>
      <c r="B51" s="866" t="str">
        <f t="shared" si="0"/>
        <v>Additionally, there are colour indicators in some sheets (e.g. D, E) indicating the following:</v>
      </c>
      <c r="C51" s="866" t="s">
        <v>4121</v>
      </c>
      <c r="D51" s="822"/>
      <c r="E51" s="822"/>
      <c r="F51" s="822"/>
      <c r="G51" s="822"/>
      <c r="H51" s="822"/>
    </row>
    <row r="52" spans="1:8" ht="12.5" x14ac:dyDescent="0.35">
      <c r="A52" s="820">
        <v>48</v>
      </c>
      <c r="B52" s="865" t="str">
        <f t="shared" si="0"/>
        <v>White indicates that data entry is not required here, based on entries in another field making inputs here irrelevant (see 'shaded fields' above).</v>
      </c>
      <c r="C52" s="865" t="s">
        <v>2828</v>
      </c>
      <c r="D52" s="822"/>
      <c r="E52" s="822"/>
      <c r="F52" s="822"/>
      <c r="G52" s="822"/>
      <c r="H52" s="822"/>
    </row>
    <row r="53" spans="1:8" ht="12.5" x14ac:dyDescent="0.35">
      <c r="A53" s="820">
        <v>49</v>
      </c>
      <c r="B53" s="865" t="str">
        <f t="shared" si="0"/>
        <v>Red colour indicates data inputs are required but the relevant cells are empty or filled incorrectly.</v>
      </c>
      <c r="C53" s="865" t="s">
        <v>2830</v>
      </c>
      <c r="D53" s="822"/>
      <c r="E53" s="822"/>
      <c r="F53" s="822"/>
      <c r="G53" s="822"/>
      <c r="H53" s="822"/>
    </row>
    <row r="54" spans="1:8" ht="12.5" x14ac:dyDescent="0.35">
      <c r="A54" s="820">
        <v>50</v>
      </c>
      <c r="B54" s="865" t="str">
        <f t="shared" si="0"/>
        <v>Green colour indicates data inputs are required and cells have been filled correctly.</v>
      </c>
      <c r="C54" s="865" t="s">
        <v>2829</v>
      </c>
      <c r="D54" s="822"/>
      <c r="E54" s="822"/>
      <c r="F54" s="822"/>
      <c r="G54" s="822"/>
      <c r="H54" s="822"/>
    </row>
    <row r="55" spans="1:8" ht="12.5" x14ac:dyDescent="0.35">
      <c r="A55" s="820">
        <v>51</v>
      </c>
      <c r="B55" s="866" t="str">
        <f t="shared" si="0"/>
        <v>Navigation panels on top of each sheet provide hyperlinks for quick jumps to individual input sections. The first line ("Table of contents", "Further guidance", "Summary_Processes" and "Summary_Products") is the same for all sheets. Depending on the sheet, further menu items are added. If the background colour of one of the hyperlink areas turns red, this indicates that data is missing in the related section (not in all sheets).</v>
      </c>
      <c r="C55" s="866" t="s">
        <v>2933</v>
      </c>
      <c r="D55" s="822"/>
      <c r="E55" s="822"/>
      <c r="F55" s="822"/>
      <c r="G55" s="822"/>
      <c r="H55" s="822"/>
    </row>
    <row r="56" spans="1:8" ht="12.5" x14ac:dyDescent="0.35">
      <c r="A56" s="820">
        <v>52</v>
      </c>
      <c r="B56" s="866" t="str">
        <f t="shared" si="0"/>
        <v>This template has been locked against data entry except for (light)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56" s="866" t="s">
        <v>4199</v>
      </c>
      <c r="D56" s="822"/>
      <c r="E56" s="822"/>
      <c r="F56" s="822"/>
      <c r="G56" s="822"/>
      <c r="H56" s="822"/>
    </row>
    <row r="57" spans="1:8" ht="12.5" x14ac:dyDescent="0.35">
      <c r="A57" s="820">
        <v>53</v>
      </c>
      <c r="B57" s="866" t="str">
        <f t="shared" si="0"/>
        <v>In order to protect formulae against unintended modifications, which usually lead to wrong and misleading results, it is of utmost importance NOT TO USE the CUT &amp; PASTE feature. If you want to move data, first COPY and PASTE them, and thereafter delete the unwanted data in the old (wrong) place.</v>
      </c>
      <c r="C57" s="866" t="s">
        <v>2934</v>
      </c>
      <c r="D57" s="822"/>
      <c r="E57" s="822"/>
      <c r="F57" s="822"/>
      <c r="G57" s="822"/>
      <c r="H57" s="822"/>
    </row>
    <row r="58" spans="1:8" ht="13" x14ac:dyDescent="0.35">
      <c r="A58" s="820">
        <v>54</v>
      </c>
      <c r="B58" s="1009" t="str">
        <f t="shared" si="0"/>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installation) to ensure that reporting declarants report accurate data.</v>
      </c>
      <c r="C58" s="1009" t="s">
        <v>3007</v>
      </c>
      <c r="D58" s="822"/>
      <c r="E58" s="822"/>
      <c r="F58" s="822"/>
      <c r="G58" s="822"/>
      <c r="H58" s="822"/>
    </row>
    <row r="59" spans="1:8" ht="13" x14ac:dyDescent="0.35">
      <c r="A59" s="820">
        <v>55</v>
      </c>
      <c r="B59" s="1010" t="str">
        <f t="shared" si="0"/>
        <v>Information sources:</v>
      </c>
      <c r="C59" s="1010" t="s">
        <v>219</v>
      </c>
      <c r="D59" s="822"/>
      <c r="E59" s="822"/>
      <c r="F59" s="822"/>
      <c r="G59" s="822"/>
      <c r="H59" s="822"/>
    </row>
    <row r="60" spans="1:8" ht="12.5" x14ac:dyDescent="0.35">
      <c r="A60" s="820">
        <v>56</v>
      </c>
      <c r="B60" s="1011" t="str">
        <f t="shared" si="0"/>
        <v>EU CBAM websites:</v>
      </c>
      <c r="C60" s="1011" t="s">
        <v>2827</v>
      </c>
      <c r="D60" s="822"/>
      <c r="E60" s="822"/>
      <c r="F60" s="822"/>
      <c r="G60" s="822"/>
      <c r="H60" s="822"/>
    </row>
    <row r="61" spans="1:8" ht="14.5" x14ac:dyDescent="0.35">
      <c r="A61" s="820">
        <v>57</v>
      </c>
      <c r="B61" s="862" t="str">
        <f t="shared" si="0"/>
        <v>https://taxation-customs.ec.europa.eu/carbon-border-adjustment-mechanism_en</v>
      </c>
      <c r="C61" t="s">
        <v>3893</v>
      </c>
      <c r="D61" s="822"/>
      <c r="E61" s="822"/>
      <c r="F61" s="822"/>
      <c r="G61" s="822"/>
      <c r="H61" s="822"/>
    </row>
    <row r="62" spans="1:8" ht="12.5" x14ac:dyDescent="0.35">
      <c r="A62" s="820">
        <v>58</v>
      </c>
      <c r="B62" s="1011" t="str">
        <f t="shared" si="0"/>
        <v>EU-Legislation:</v>
      </c>
      <c r="C62" s="1011" t="s">
        <v>220</v>
      </c>
      <c r="D62" s="822"/>
      <c r="E62" s="822"/>
      <c r="F62" s="822"/>
      <c r="G62" s="822"/>
      <c r="H62" s="822"/>
    </row>
    <row r="63" spans="1:8" ht="15" thickBot="1" x14ac:dyDescent="0.4">
      <c r="A63" s="820">
        <v>59</v>
      </c>
      <c r="B63" s="862" t="str">
        <f t="shared" si="0"/>
        <v>http://eur-lex.europa.eu/en/index.htm</v>
      </c>
      <c r="C63" t="s">
        <v>2826</v>
      </c>
      <c r="D63" s="822"/>
      <c r="E63" s="822"/>
      <c r="F63" s="822"/>
      <c r="G63" s="822"/>
      <c r="H63" s="822"/>
    </row>
    <row r="64" spans="1:8" ht="13" x14ac:dyDescent="0.35">
      <c r="A64" s="820">
        <v>60</v>
      </c>
      <c r="B64" s="1004" t="str">
        <f t="shared" si="0"/>
        <v>InstData</v>
      </c>
      <c r="C64" s="1004" t="s">
        <v>222</v>
      </c>
      <c r="D64" s="822"/>
      <c r="E64" s="822"/>
      <c r="F64" s="822"/>
      <c r="G64" s="822"/>
      <c r="H64" s="822"/>
    </row>
    <row r="65" spans="1:8" ht="18" x14ac:dyDescent="0.35">
      <c r="A65" s="820">
        <v>61</v>
      </c>
      <c r="B65" s="312" t="str">
        <f t="shared" si="0"/>
        <v xml:space="preserve">Sheet "A_InstData" - General information, production processes and purchased precursors </v>
      </c>
      <c r="C65" s="312" t="s">
        <v>433</v>
      </c>
      <c r="D65" s="822"/>
      <c r="E65" s="822"/>
      <c r="F65" s="822"/>
      <c r="G65" s="822"/>
      <c r="H65" s="822"/>
    </row>
    <row r="66" spans="1:8" ht="12.5" x14ac:dyDescent="0.35">
      <c r="A66" s="820">
        <v>62</v>
      </c>
      <c r="B66" s="157" t="str">
        <f t="shared" si="0"/>
        <v>Errors</v>
      </c>
      <c r="C66" s="157" t="s">
        <v>154</v>
      </c>
      <c r="D66" s="822"/>
      <c r="E66" s="822"/>
      <c r="F66" s="822"/>
      <c r="G66" s="822"/>
      <c r="H66" s="822"/>
    </row>
    <row r="67" spans="1:8" ht="18" x14ac:dyDescent="0.35">
      <c r="A67" s="820">
        <v>63</v>
      </c>
      <c r="B67" s="1012" t="str">
        <f t="shared" si="0"/>
        <v>Reporting period</v>
      </c>
      <c r="C67" s="1012" t="s">
        <v>231</v>
      </c>
      <c r="D67" s="822"/>
      <c r="E67" s="822"/>
      <c r="F67" s="822"/>
      <c r="G67" s="822"/>
      <c r="H67" s="822"/>
    </row>
    <row r="68" spans="1:8" ht="15.5" x14ac:dyDescent="0.35">
      <c r="A68" s="820">
        <v>64</v>
      </c>
      <c r="B68" s="1013" t="str">
        <f t="shared" si="0"/>
        <v>Start:</v>
      </c>
      <c r="C68" s="1013" t="s">
        <v>232</v>
      </c>
      <c r="D68" s="822"/>
      <c r="E68" s="822"/>
      <c r="F68" s="822"/>
      <c r="G68" s="822"/>
      <c r="H68" s="822"/>
    </row>
    <row r="69" spans="1:8" ht="15.5" x14ac:dyDescent="0.35">
      <c r="A69" s="820">
        <v>65</v>
      </c>
      <c r="B69" s="1013" t="str">
        <f t="shared" si="0"/>
        <v>End:</v>
      </c>
      <c r="C69" s="1013" t="s">
        <v>233</v>
      </c>
      <c r="D69" s="822"/>
      <c r="E69" s="822"/>
      <c r="F69" s="822"/>
      <c r="G69" s="822"/>
      <c r="H69" s="822"/>
    </row>
    <row r="70" spans="1:8" x14ac:dyDescent="0.35">
      <c r="A70" s="820">
        <v>66</v>
      </c>
      <c r="B70" s="638" t="str">
        <f t="shared" ref="B70:B133" si="1">IFERROR(INDEX(C70:M70,$A$3-2),$C70)</f>
        <v>Please enter here the starting date and the end date of the reporting period to which all data entered in this communication template refers to. For example, if you want to report data based on the whole calendar year 2023, the starting date would be 1.1.2023 and the end date 31.12.2023.</v>
      </c>
      <c r="C70" s="638" t="s">
        <v>4122</v>
      </c>
      <c r="D70" s="822"/>
      <c r="E70" s="822"/>
      <c r="F70" s="822"/>
      <c r="G70" s="822"/>
      <c r="H70" s="822"/>
    </row>
    <row r="71" spans="1:8" x14ac:dyDescent="0.35">
      <c r="A71" s="820">
        <v>67</v>
      </c>
      <c r="B71" s="639" t="str">
        <f t="shared" si="1"/>
        <v>It is important that all data entered in this template (embedded emissions, carbon price due, product properties, etc.) all relate to that same reporting period entered above.</v>
      </c>
      <c r="C71" s="639" t="s">
        <v>3021</v>
      </c>
      <c r="D71" s="822"/>
      <c r="E71" s="822"/>
      <c r="F71" s="822"/>
      <c r="G71" s="822"/>
      <c r="H71" s="822"/>
    </row>
    <row r="72" spans="1:8" ht="15.5" x14ac:dyDescent="0.35">
      <c r="A72" s="820">
        <v>68</v>
      </c>
      <c r="B72" s="311" t="str">
        <f t="shared" si="1"/>
        <v>About the installation</v>
      </c>
      <c r="C72" s="311" t="s">
        <v>3009</v>
      </c>
      <c r="D72" s="822"/>
      <c r="E72" s="822"/>
      <c r="F72" s="822"/>
      <c r="G72" s="822"/>
      <c r="H72" s="822"/>
    </row>
    <row r="73" spans="1:8" ht="12.5" x14ac:dyDescent="0.25">
      <c r="A73" s="820">
        <v>69</v>
      </c>
      <c r="B73" s="1014" t="str">
        <f t="shared" si="1"/>
        <v>Name of the installation (optional):</v>
      </c>
      <c r="C73" s="1014" t="s">
        <v>2966</v>
      </c>
      <c r="D73" s="822"/>
      <c r="E73" s="822"/>
      <c r="F73" s="822"/>
      <c r="G73" s="822"/>
      <c r="H73" s="822"/>
    </row>
    <row r="74" spans="1:8" ht="12.5" x14ac:dyDescent="0.25">
      <c r="A74" s="820">
        <v>70</v>
      </c>
      <c r="B74" s="1015" t="str">
        <f t="shared" si="1"/>
        <v>Name of the installation (English name):</v>
      </c>
      <c r="C74" s="1015" t="s">
        <v>2967</v>
      </c>
      <c r="D74" s="822"/>
      <c r="E74" s="822"/>
      <c r="F74" s="822"/>
      <c r="G74" s="822"/>
      <c r="H74" s="822"/>
    </row>
    <row r="75" spans="1:8" ht="12.5" x14ac:dyDescent="0.25">
      <c r="A75" s="820">
        <v>71</v>
      </c>
      <c r="B75" s="1016" t="str">
        <f t="shared" si="1"/>
        <v>Street, Number:</v>
      </c>
      <c r="C75" s="1016" t="s">
        <v>236</v>
      </c>
      <c r="D75" s="822"/>
      <c r="E75" s="822"/>
      <c r="F75" s="822"/>
      <c r="G75" s="822"/>
      <c r="H75" s="822"/>
    </row>
    <row r="76" spans="1:8" ht="12.5" x14ac:dyDescent="0.25">
      <c r="A76" s="820">
        <v>72</v>
      </c>
      <c r="B76" s="1016" t="str">
        <f t="shared" si="1"/>
        <v>Economic activity:</v>
      </c>
      <c r="C76" s="1016" t="s">
        <v>2746</v>
      </c>
      <c r="D76" s="822"/>
      <c r="E76" s="822"/>
      <c r="F76" s="822"/>
      <c r="G76" s="822"/>
      <c r="H76" s="822"/>
    </row>
    <row r="77" spans="1:8" ht="12.5" x14ac:dyDescent="0.25">
      <c r="A77" s="820">
        <v>73</v>
      </c>
      <c r="B77" s="1016" t="str">
        <f t="shared" si="1"/>
        <v>Post code:</v>
      </c>
      <c r="C77" s="1016" t="s">
        <v>237</v>
      </c>
      <c r="D77" s="822"/>
      <c r="E77" s="822"/>
      <c r="F77" s="822"/>
      <c r="G77" s="822"/>
      <c r="H77" s="822"/>
    </row>
    <row r="78" spans="1:8" ht="12.5" x14ac:dyDescent="0.25">
      <c r="A78" s="820">
        <v>74</v>
      </c>
      <c r="B78" s="1016" t="str">
        <f t="shared" si="1"/>
        <v>P.O. Box:</v>
      </c>
      <c r="C78" s="1016" t="s">
        <v>2740</v>
      </c>
      <c r="D78" s="822"/>
      <c r="E78" s="822"/>
      <c r="F78" s="822"/>
      <c r="G78" s="822"/>
      <c r="H78" s="822"/>
    </row>
    <row r="79" spans="1:8" ht="12.5" x14ac:dyDescent="0.25">
      <c r="A79" s="820">
        <v>75</v>
      </c>
      <c r="B79" s="1016" t="str">
        <f t="shared" si="1"/>
        <v>City:</v>
      </c>
      <c r="C79" s="1016" t="s">
        <v>238</v>
      </c>
      <c r="D79" s="822"/>
      <c r="E79" s="822"/>
      <c r="F79" s="822"/>
      <c r="G79" s="822"/>
      <c r="H79" s="822"/>
    </row>
    <row r="80" spans="1:8" ht="12.5" x14ac:dyDescent="0.25">
      <c r="A80" s="820">
        <v>76</v>
      </c>
      <c r="B80" s="1016" t="str">
        <f t="shared" si="1"/>
        <v>Country:</v>
      </c>
      <c r="C80" s="1016" t="s">
        <v>245</v>
      </c>
      <c r="D80" s="822"/>
      <c r="E80" s="822"/>
      <c r="F80" s="822"/>
      <c r="G80" s="822"/>
      <c r="H80" s="822"/>
    </row>
    <row r="81" spans="1:8" ht="12.5" x14ac:dyDescent="0.25">
      <c r="A81" s="820">
        <v>77</v>
      </c>
      <c r="B81" s="1016" t="str">
        <f t="shared" si="1"/>
        <v>UNLOCODE:</v>
      </c>
      <c r="C81" s="1016" t="s">
        <v>2741</v>
      </c>
      <c r="D81" s="822"/>
      <c r="E81" s="822"/>
      <c r="F81" s="822"/>
      <c r="G81" s="822"/>
      <c r="H81" s="822"/>
    </row>
    <row r="82" spans="1:8" ht="12.5" x14ac:dyDescent="0.25">
      <c r="A82" s="820">
        <v>78</v>
      </c>
      <c r="B82" s="1016" t="str">
        <f t="shared" si="1"/>
        <v>Coordinates of the main emission source (latitude):</v>
      </c>
      <c r="C82" s="1016" t="s">
        <v>2742</v>
      </c>
      <c r="D82" s="822"/>
      <c r="E82" s="822"/>
      <c r="F82" s="822"/>
      <c r="G82" s="822"/>
      <c r="H82" s="822"/>
    </row>
    <row r="83" spans="1:8" ht="12.5" x14ac:dyDescent="0.25">
      <c r="A83" s="820">
        <v>79</v>
      </c>
      <c r="B83" s="1016" t="str">
        <f t="shared" si="1"/>
        <v>Coordinates of the main emission source (longitude):</v>
      </c>
      <c r="C83" s="1016" t="s">
        <v>2743</v>
      </c>
      <c r="D83" s="822"/>
      <c r="E83" s="822"/>
      <c r="F83" s="822"/>
      <c r="G83" s="822"/>
      <c r="H83" s="822"/>
    </row>
    <row r="84" spans="1:8" ht="12.5" x14ac:dyDescent="0.25">
      <c r="A84" s="820">
        <v>80</v>
      </c>
      <c r="B84" s="1016" t="str">
        <f t="shared" si="1"/>
        <v>Name of authorized representative:</v>
      </c>
      <c r="C84" s="1016" t="s">
        <v>239</v>
      </c>
      <c r="D84" s="822"/>
      <c r="E84" s="822"/>
      <c r="F84" s="822"/>
      <c r="G84" s="822"/>
      <c r="H84" s="822"/>
    </row>
    <row r="85" spans="1:8" ht="12.5" x14ac:dyDescent="0.25">
      <c r="A85" s="820">
        <v>81</v>
      </c>
      <c r="B85" s="1016" t="str">
        <f t="shared" si="1"/>
        <v>Email:</v>
      </c>
      <c r="C85" s="1016" t="s">
        <v>240</v>
      </c>
      <c r="D85" s="822"/>
      <c r="E85" s="822"/>
      <c r="F85" s="822"/>
      <c r="G85" s="822"/>
      <c r="H85" s="822"/>
    </row>
    <row r="86" spans="1:8" ht="12.5" x14ac:dyDescent="0.25">
      <c r="A86" s="820">
        <v>82</v>
      </c>
      <c r="B86" s="1017" t="str">
        <f t="shared" si="1"/>
        <v>Telephone:</v>
      </c>
      <c r="C86" s="1017" t="s">
        <v>241</v>
      </c>
      <c r="D86" s="822"/>
      <c r="E86" s="822"/>
      <c r="F86" s="822"/>
      <c r="G86" s="822"/>
      <c r="H86" s="822"/>
    </row>
    <row r="87" spans="1:8" ht="15.5" x14ac:dyDescent="0.35">
      <c r="A87" s="820">
        <v>83</v>
      </c>
      <c r="B87" s="311" t="str">
        <f t="shared" si="1"/>
        <v>Verifier of the report – only if available and not required during transitional period</v>
      </c>
      <c r="C87" s="311" t="s">
        <v>3003</v>
      </c>
      <c r="D87" s="822"/>
      <c r="E87" s="822"/>
      <c r="F87" s="822"/>
      <c r="G87" s="822"/>
      <c r="H87" s="822"/>
    </row>
    <row r="88" spans="1:8" ht="12.5" x14ac:dyDescent="0.35">
      <c r="A88" s="820">
        <v>84</v>
      </c>
      <c r="B88" s="157" t="str">
        <f t="shared" si="1"/>
        <v>Verifier</v>
      </c>
      <c r="C88" s="157" t="s">
        <v>636</v>
      </c>
      <c r="D88" s="822"/>
      <c r="E88" s="822"/>
      <c r="F88" s="822"/>
      <c r="G88" s="822"/>
      <c r="H88" s="822"/>
    </row>
    <row r="89" spans="1:8" ht="13" x14ac:dyDescent="0.35">
      <c r="A89" s="820">
        <v>85</v>
      </c>
      <c r="B89" s="632" t="str">
        <f t="shared" si="1"/>
        <v>Name and address of the verifier of this report:</v>
      </c>
      <c r="C89" s="632" t="s">
        <v>255</v>
      </c>
      <c r="D89" s="822"/>
      <c r="E89" s="822"/>
      <c r="F89" s="822"/>
      <c r="G89" s="822"/>
      <c r="H89" s="822"/>
    </row>
    <row r="90" spans="1:8" ht="12.5" x14ac:dyDescent="0.25">
      <c r="A90" s="820">
        <v>86</v>
      </c>
      <c r="B90" s="1014" t="str">
        <f t="shared" si="1"/>
        <v>Company Name:</v>
      </c>
      <c r="C90" s="1014" t="s">
        <v>243</v>
      </c>
      <c r="D90" s="822"/>
      <c r="E90" s="822"/>
      <c r="F90" s="822"/>
      <c r="G90" s="822"/>
      <c r="H90" s="822"/>
    </row>
    <row r="91" spans="1:8" ht="12.5" x14ac:dyDescent="0.25">
      <c r="A91" s="820">
        <v>87</v>
      </c>
      <c r="B91" s="1015" t="str">
        <f t="shared" si="1"/>
        <v>Postcode/ZIP:</v>
      </c>
      <c r="C91" s="1015" t="s">
        <v>244</v>
      </c>
      <c r="D91" s="822"/>
      <c r="E91" s="822"/>
      <c r="F91" s="822"/>
      <c r="G91" s="822"/>
      <c r="H91" s="822"/>
    </row>
    <row r="92" spans="1:8" ht="13" x14ac:dyDescent="0.35">
      <c r="A92" s="820">
        <v>88</v>
      </c>
      <c r="B92" s="632" t="str">
        <f t="shared" si="1"/>
        <v>Authorised representative of the verifier:</v>
      </c>
      <c r="C92" s="632" t="s">
        <v>246</v>
      </c>
      <c r="D92" s="822"/>
      <c r="E92" s="822"/>
      <c r="F92" s="822"/>
      <c r="G92" s="822"/>
      <c r="H92" s="822"/>
    </row>
    <row r="93" spans="1:8" x14ac:dyDescent="0.35">
      <c r="A93" s="820">
        <v>89</v>
      </c>
      <c r="B93" s="640" t="str">
        <f t="shared" si="1"/>
        <v>The nominated person should be familiar with this report. Ideally it is the lead verifier involved with this report.</v>
      </c>
      <c r="C93" s="640" t="s">
        <v>247</v>
      </c>
      <c r="D93" s="822"/>
      <c r="E93" s="822"/>
      <c r="F93" s="822"/>
      <c r="G93" s="822"/>
      <c r="H93" s="822"/>
    </row>
    <row r="94" spans="1:8" ht="12.5" x14ac:dyDescent="0.25">
      <c r="A94" s="820">
        <v>90</v>
      </c>
      <c r="B94" s="1014" t="str">
        <f t="shared" si="1"/>
        <v>Name:</v>
      </c>
      <c r="C94" s="1014" t="s">
        <v>242</v>
      </c>
      <c r="D94" s="822"/>
      <c r="E94" s="822"/>
      <c r="F94" s="822"/>
      <c r="G94" s="822"/>
      <c r="H94" s="822"/>
    </row>
    <row r="95" spans="1:8" ht="12.5" x14ac:dyDescent="0.25">
      <c r="A95" s="820">
        <v>91</v>
      </c>
      <c r="B95" s="1015" t="str">
        <f t="shared" si="1"/>
        <v>Email address:</v>
      </c>
      <c r="C95" s="1015" t="s">
        <v>248</v>
      </c>
      <c r="D95" s="822"/>
      <c r="E95" s="822"/>
      <c r="F95" s="822"/>
      <c r="G95" s="822"/>
      <c r="H95" s="822"/>
    </row>
    <row r="96" spans="1:8" ht="12.5" x14ac:dyDescent="0.25">
      <c r="A96" s="820">
        <v>92</v>
      </c>
      <c r="B96" s="1015" t="str">
        <f t="shared" si="1"/>
        <v>Telephone number:</v>
      </c>
      <c r="C96" s="1015" t="s">
        <v>249</v>
      </c>
      <c r="D96" s="822"/>
      <c r="E96" s="822"/>
      <c r="F96" s="822"/>
      <c r="G96" s="822"/>
      <c r="H96" s="822"/>
    </row>
    <row r="97" spans="1:8" ht="12.5" x14ac:dyDescent="0.25">
      <c r="A97" s="820">
        <v>93</v>
      </c>
      <c r="B97" s="1017" t="str">
        <f t="shared" si="1"/>
        <v>Fax:</v>
      </c>
      <c r="C97" s="1017" t="s">
        <v>250</v>
      </c>
      <c r="D97" s="822"/>
      <c r="E97" s="822"/>
      <c r="F97" s="822"/>
      <c r="G97" s="822"/>
      <c r="H97" s="822"/>
    </row>
    <row r="98" spans="1:8" ht="13" x14ac:dyDescent="0.35">
      <c r="A98" s="820">
        <v>94</v>
      </c>
      <c r="B98" s="632" t="str">
        <f t="shared" si="1"/>
        <v>Information about the verifier's accreditation:</v>
      </c>
      <c r="C98" s="632" t="s">
        <v>251</v>
      </c>
      <c r="D98" s="822"/>
      <c r="E98" s="822"/>
      <c r="F98" s="822"/>
      <c r="G98" s="822"/>
      <c r="H98" s="822"/>
    </row>
    <row r="99" spans="1:8" ht="12.5" x14ac:dyDescent="0.25">
      <c r="A99" s="820">
        <v>95</v>
      </c>
      <c r="B99" s="1014" t="str">
        <f t="shared" si="1"/>
        <v>Accreditation Member State:</v>
      </c>
      <c r="C99" s="1014" t="s">
        <v>252</v>
      </c>
      <c r="D99" s="822"/>
      <c r="E99" s="822"/>
      <c r="F99" s="822"/>
      <c r="G99" s="822"/>
      <c r="H99" s="822"/>
    </row>
    <row r="100" spans="1:8" ht="12.5" x14ac:dyDescent="0.25">
      <c r="A100" s="820">
        <v>96</v>
      </c>
      <c r="B100" s="1015" t="str">
        <f t="shared" si="1"/>
        <v>Name of the national accreditation body:</v>
      </c>
      <c r="C100" s="1015" t="s">
        <v>253</v>
      </c>
      <c r="D100" s="822"/>
      <c r="E100" s="822"/>
      <c r="F100" s="822"/>
      <c r="G100" s="822"/>
      <c r="H100" s="822"/>
    </row>
    <row r="101" spans="1:8" ht="12.5" x14ac:dyDescent="0.25">
      <c r="A101" s="820">
        <v>97</v>
      </c>
      <c r="B101" s="1017" t="str">
        <f t="shared" si="1"/>
        <v>Registration number issued by the Accreditation body:</v>
      </c>
      <c r="C101" s="1017" t="s">
        <v>254</v>
      </c>
      <c r="D101" s="822"/>
      <c r="E101" s="822"/>
      <c r="F101" s="822"/>
      <c r="G101" s="822"/>
      <c r="H101" s="822"/>
    </row>
    <row r="102" spans="1:8" ht="15.5" x14ac:dyDescent="0.35">
      <c r="A102" s="820">
        <v>98</v>
      </c>
      <c r="B102" s="311" t="str">
        <f t="shared" si="1"/>
        <v>Aggregated goods categories and relevant production processes</v>
      </c>
      <c r="C102" s="311" t="s">
        <v>575</v>
      </c>
      <c r="D102" s="822"/>
      <c r="E102" s="822"/>
      <c r="F102" s="822"/>
      <c r="G102" s="822"/>
      <c r="H102" s="822"/>
    </row>
    <row r="103" spans="1:8" ht="12.5" x14ac:dyDescent="0.35">
      <c r="A103" s="820">
        <v>99</v>
      </c>
      <c r="B103" s="157" t="str">
        <f t="shared" si="1"/>
        <v>Goods &amp; precursors</v>
      </c>
      <c r="C103" s="157" t="s">
        <v>3010</v>
      </c>
      <c r="D103" s="822"/>
      <c r="E103" s="822"/>
      <c r="F103" s="822"/>
      <c r="G103" s="822"/>
      <c r="H103" s="822"/>
    </row>
    <row r="104" spans="1:8" ht="13" x14ac:dyDescent="0.35">
      <c r="A104" s="820">
        <v>100</v>
      </c>
      <c r="B104" s="632" t="str">
        <f t="shared" si="1"/>
        <v>List of aggregated goods categories, relevant precursors and corresponding production routes</v>
      </c>
      <c r="C104" s="632" t="s">
        <v>578</v>
      </c>
      <c r="D104" s="822"/>
      <c r="E104" s="822"/>
      <c r="F104" s="822"/>
      <c r="G104" s="822"/>
      <c r="H104" s="822"/>
    </row>
    <row r="105" spans="1:8" x14ac:dyDescent="0.35">
      <c r="A105" s="820">
        <v>101</v>
      </c>
      <c r="B105" s="641" t="str">
        <f t="shared" si="1"/>
        <v>Please list here ALL aggregated goods categories, including any relevant precursor types produced WITHIN the installation.</v>
      </c>
      <c r="C105" s="641" t="s">
        <v>2935</v>
      </c>
      <c r="D105" s="822"/>
      <c r="E105" s="822"/>
      <c r="F105" s="822"/>
      <c r="G105" s="822"/>
      <c r="H105" s="822"/>
    </row>
    <row r="106" spans="1:8" x14ac:dyDescent="0.35">
      <c r="A106" s="820">
        <v>102</v>
      </c>
      <c r="B106" s="641" t="str">
        <f t="shared" si="1"/>
        <v>Where relevant, please list all production routes through which the aggregated goods are produced.</v>
      </c>
      <c r="C106" s="641" t="s">
        <v>591</v>
      </c>
      <c r="D106" s="822"/>
      <c r="E106" s="822"/>
      <c r="F106" s="822"/>
      <c r="G106" s="822"/>
      <c r="H106" s="822"/>
    </row>
    <row r="107" spans="1:8" ht="13" x14ac:dyDescent="0.35">
      <c r="A107" s="820">
        <v>103</v>
      </c>
      <c r="B107" s="859" t="str">
        <f t="shared" si="1"/>
        <v>Aggregated goods category</v>
      </c>
      <c r="C107" s="859" t="s">
        <v>574</v>
      </c>
      <c r="D107" s="822"/>
      <c r="E107" s="822"/>
      <c r="F107" s="822"/>
      <c r="G107" s="822"/>
      <c r="H107" s="822"/>
    </row>
    <row r="108" spans="1:8" ht="13" x14ac:dyDescent="0.35">
      <c r="A108" s="820">
        <v>104</v>
      </c>
      <c r="B108" s="859" t="str">
        <f t="shared" si="1"/>
        <v>Route</v>
      </c>
      <c r="C108" s="859" t="s">
        <v>288</v>
      </c>
      <c r="D108" s="822"/>
      <c r="E108" s="822"/>
      <c r="F108" s="822"/>
      <c r="G108" s="822"/>
      <c r="H108" s="822"/>
    </row>
    <row r="109" spans="1:8" ht="13" x14ac:dyDescent="0.3">
      <c r="A109" s="820">
        <v>105</v>
      </c>
      <c r="B109" s="867" t="str">
        <f t="shared" si="1"/>
        <v>Route 1</v>
      </c>
      <c r="C109" s="867" t="s">
        <v>282</v>
      </c>
      <c r="D109" s="822"/>
      <c r="E109" s="822"/>
      <c r="F109" s="822"/>
      <c r="G109" s="822"/>
      <c r="H109" s="822"/>
    </row>
    <row r="110" spans="1:8" ht="13" x14ac:dyDescent="0.3">
      <c r="A110" s="820">
        <v>106</v>
      </c>
      <c r="B110" s="867" t="str">
        <f t="shared" si="1"/>
        <v>Route 2</v>
      </c>
      <c r="C110" s="867" t="s">
        <v>283</v>
      </c>
      <c r="D110" s="822"/>
      <c r="E110" s="822"/>
      <c r="F110" s="822"/>
      <c r="G110" s="822"/>
      <c r="H110" s="822"/>
    </row>
    <row r="111" spans="1:8" ht="13" x14ac:dyDescent="0.3">
      <c r="A111" s="820">
        <v>107</v>
      </c>
      <c r="B111" s="867" t="str">
        <f t="shared" si="1"/>
        <v>Route 3</v>
      </c>
      <c r="C111" s="867" t="s">
        <v>284</v>
      </c>
      <c r="D111" s="822"/>
      <c r="E111" s="822"/>
      <c r="F111" s="822"/>
      <c r="G111" s="822"/>
      <c r="H111" s="822"/>
    </row>
    <row r="112" spans="1:8" ht="13" x14ac:dyDescent="0.3">
      <c r="A112" s="820">
        <v>108</v>
      </c>
      <c r="B112" s="867" t="str">
        <f t="shared" si="1"/>
        <v>Route 4</v>
      </c>
      <c r="C112" s="867" t="s">
        <v>285</v>
      </c>
      <c r="D112" s="822"/>
      <c r="E112" s="822"/>
      <c r="F112" s="822"/>
      <c r="G112" s="822"/>
      <c r="H112" s="822"/>
    </row>
    <row r="113" spans="1:8" ht="13" x14ac:dyDescent="0.3">
      <c r="A113" s="820">
        <v>109</v>
      </c>
      <c r="B113" s="867" t="str">
        <f t="shared" si="1"/>
        <v>Route 5</v>
      </c>
      <c r="C113" s="867" t="s">
        <v>286</v>
      </c>
      <c r="D113" s="822"/>
      <c r="E113" s="822"/>
      <c r="F113" s="822"/>
      <c r="G113" s="822"/>
      <c r="H113" s="822"/>
    </row>
    <row r="114" spans="1:8" ht="13" x14ac:dyDescent="0.3">
      <c r="A114" s="820">
        <v>110</v>
      </c>
      <c r="B114" s="867" t="str">
        <f t="shared" si="1"/>
        <v>Route 6</v>
      </c>
      <c r="C114" s="867" t="s">
        <v>287</v>
      </c>
      <c r="D114" s="822"/>
      <c r="E114" s="822"/>
      <c r="F114" s="822"/>
      <c r="G114" s="822"/>
      <c r="H114" s="822"/>
    </row>
    <row r="115" spans="1:8" x14ac:dyDescent="0.35">
      <c r="A115" s="820">
        <v>111</v>
      </c>
      <c r="B115" s="641" t="str">
        <f t="shared" si="1"/>
        <v>For information, emissions from the following precursors are relevant for the embedded emissions of the types of aggregated goods listed above. Where those precursors are actually relevant for your production processes, please make sure those are also listed either in the table above (if produced within your installation) or under chapter 5 "purchased precursors" below (where produced in other installations).</v>
      </c>
      <c r="C115" s="641" t="s">
        <v>4123</v>
      </c>
      <c r="D115" s="822"/>
      <c r="E115" s="822"/>
      <c r="F115" s="822"/>
      <c r="G115" s="822"/>
      <c r="H115" s="822"/>
    </row>
    <row r="116" spans="1:8" ht="13" x14ac:dyDescent="0.3">
      <c r="A116" s="820">
        <v>112</v>
      </c>
      <c r="B116" s="1018" t="str">
        <f t="shared" si="1"/>
        <v>Relevant precursors:</v>
      </c>
      <c r="C116" s="1018" t="s">
        <v>2961</v>
      </c>
      <c r="D116" s="822"/>
      <c r="E116" s="822"/>
      <c r="F116" s="822"/>
      <c r="G116" s="822"/>
      <c r="H116" s="822"/>
    </row>
    <row r="117" spans="1:8" ht="13" x14ac:dyDescent="0.35">
      <c r="A117" s="820">
        <v>113</v>
      </c>
      <c r="B117" s="632" t="str">
        <f t="shared" si="1"/>
        <v>Relevant production processes</v>
      </c>
      <c r="C117" s="632" t="s">
        <v>568</v>
      </c>
      <c r="D117" s="822"/>
      <c r="E117" s="822"/>
      <c r="F117" s="822"/>
      <c r="G117" s="822"/>
      <c r="H117" s="822"/>
    </row>
    <row r="118" spans="1:8" x14ac:dyDescent="0.35">
      <c r="A118" s="820">
        <v>114</v>
      </c>
      <c r="B118" s="641" t="str">
        <f t="shared" si="1"/>
        <v>Based on the list under (a), please list here only aggregated goods categories for which you want to establish distinct "production process" and assign all aggregated goods categories and relevant precursors that will be covered by its system boundary.</v>
      </c>
      <c r="C118" s="641" t="s">
        <v>4124</v>
      </c>
      <c r="D118" s="822"/>
      <c r="E118" s="822"/>
      <c r="F118" s="822"/>
      <c r="G118" s="822"/>
      <c r="H118" s="822"/>
    </row>
    <row r="119" spans="1:8" ht="12" x14ac:dyDescent="0.35">
      <c r="A119" s="820">
        <v>115</v>
      </c>
      <c r="B119" s="642" t="str">
        <f t="shared" si="1"/>
        <v>Example: if "ammonia" and "nitric acid" are both produced in your installation, you may either create a separate production process for each of these good types, or report them combined under 'nitric acid' under a 'bubble approach'. In the case of the latter, please select as of column F which other process you want to include under this 'bubble approach'. Note: the 'bubble approach' is only allowed if all ammonia produced is processed into nitric acid. If parts of the ammonia are exported from the installation, two separate production processes have to be selected here.</v>
      </c>
      <c r="C119" s="642" t="s">
        <v>4125</v>
      </c>
      <c r="D119" s="822"/>
      <c r="E119" s="822"/>
      <c r="F119" s="822"/>
      <c r="G119" s="822"/>
      <c r="H119" s="822"/>
    </row>
    <row r="120" spans="1:8" ht="13" x14ac:dyDescent="0.3">
      <c r="A120" s="820">
        <v>116</v>
      </c>
      <c r="B120" s="871" t="str">
        <f t="shared" si="1"/>
        <v>Production process</v>
      </c>
      <c r="C120" s="871" t="s">
        <v>281</v>
      </c>
      <c r="D120" s="822"/>
      <c r="E120" s="822"/>
      <c r="F120" s="822"/>
      <c r="G120" s="822"/>
      <c r="H120" s="822"/>
    </row>
    <row r="121" spans="1:8" ht="13" x14ac:dyDescent="0.3">
      <c r="A121" s="820">
        <v>117</v>
      </c>
      <c r="B121" s="1019" t="str">
        <f t="shared" si="1"/>
        <v>Included goods categories listed under (a)</v>
      </c>
      <c r="C121" s="1019" t="s">
        <v>580</v>
      </c>
      <c r="D121" s="822"/>
      <c r="E121" s="822"/>
      <c r="F121" s="822"/>
      <c r="G121" s="822"/>
      <c r="H121" s="822"/>
    </row>
    <row r="122" spans="1:8" ht="13" x14ac:dyDescent="0.3">
      <c r="A122" s="820">
        <v>118</v>
      </c>
      <c r="B122" s="868" t="str">
        <f t="shared" si="1"/>
        <v>Name</v>
      </c>
      <c r="C122" s="868" t="s">
        <v>38</v>
      </c>
      <c r="D122" s="822"/>
      <c r="E122" s="822"/>
      <c r="F122" s="822"/>
      <c r="G122" s="822"/>
      <c r="H122" s="822"/>
    </row>
    <row r="123" spans="1:8" ht="13" x14ac:dyDescent="0.3">
      <c r="A123" s="820">
        <v>119</v>
      </c>
      <c r="B123" s="871" t="str">
        <f t="shared" si="1"/>
        <v>Error message</v>
      </c>
      <c r="C123" s="871" t="s">
        <v>35</v>
      </c>
      <c r="D123" s="822"/>
      <c r="E123" s="822"/>
      <c r="F123" s="822"/>
      <c r="G123" s="822"/>
      <c r="H123" s="822"/>
    </row>
    <row r="124" spans="1:8" ht="15.5" x14ac:dyDescent="0.35">
      <c r="A124" s="820">
        <v>120</v>
      </c>
      <c r="B124" s="311" t="str">
        <f t="shared" si="1"/>
        <v>Purchased precursors</v>
      </c>
      <c r="C124" s="311" t="s">
        <v>313</v>
      </c>
      <c r="D124" s="822"/>
      <c r="E124" s="822"/>
      <c r="F124" s="822"/>
      <c r="G124" s="822"/>
      <c r="H124" s="822"/>
    </row>
    <row r="125" spans="1:8" x14ac:dyDescent="0.35">
      <c r="A125" s="820">
        <v>121</v>
      </c>
      <c r="B125" s="641" t="str">
        <f t="shared" si="1"/>
        <v>Please list here all precursors that are produced OUTSIDE the installation (e.g. purchased) and consumed within the installation.</v>
      </c>
      <c r="C125" s="641" t="s">
        <v>2734</v>
      </c>
      <c r="D125" s="822"/>
      <c r="E125" s="822"/>
      <c r="F125" s="822"/>
      <c r="G125" s="822"/>
      <c r="H125" s="822"/>
    </row>
    <row r="126" spans="1:8" ht="12" thickBot="1" x14ac:dyDescent="0.4">
      <c r="A126" s="820">
        <v>122</v>
      </c>
      <c r="B126" s="641" t="str">
        <f t="shared" si="1"/>
        <v>Please also list the country in which the relevant precursor was produced (see sheet "c_CodeLists" to find the correct country codes) and the relevant production routes, if known.</v>
      </c>
      <c r="C126" s="641" t="s">
        <v>3888</v>
      </c>
      <c r="D126" s="822"/>
      <c r="E126" s="822"/>
      <c r="F126" s="822"/>
      <c r="G126" s="822"/>
      <c r="H126" s="822"/>
    </row>
    <row r="127" spans="1:8" ht="13" x14ac:dyDescent="0.35">
      <c r="A127" s="820">
        <v>123</v>
      </c>
      <c r="B127" s="1004" t="str">
        <f t="shared" si="1"/>
        <v>Source streams</v>
      </c>
      <c r="C127" s="1004" t="s">
        <v>276</v>
      </c>
      <c r="D127" s="822"/>
      <c r="E127" s="822"/>
      <c r="F127" s="822"/>
      <c r="G127" s="822"/>
      <c r="H127" s="822"/>
    </row>
    <row r="128" spans="1:8" ht="18" x14ac:dyDescent="0.35">
      <c r="A128" s="820">
        <v>124</v>
      </c>
      <c r="B128" s="312" t="str">
        <f t="shared" si="1"/>
        <v>Sheet "B_EmInst" - Installation's emission at source stream and emission source level</v>
      </c>
      <c r="C128" s="312" t="s">
        <v>2816</v>
      </c>
      <c r="D128" s="822"/>
      <c r="E128" s="822"/>
      <c r="F128" s="822"/>
      <c r="G128" s="822"/>
      <c r="H128" s="822"/>
    </row>
    <row r="129" spans="1:8" ht="13" x14ac:dyDescent="0.35">
      <c r="A129" s="820">
        <v>125</v>
      </c>
      <c r="B129" s="1020" t="str">
        <f t="shared" si="1"/>
        <v>Source streams and emission sources</v>
      </c>
      <c r="C129" s="1020" t="s">
        <v>52</v>
      </c>
      <c r="D129" s="822"/>
      <c r="E129" s="822"/>
      <c r="F129" s="822"/>
      <c r="G129" s="822"/>
      <c r="H129" s="822"/>
    </row>
    <row r="130" spans="1:8" ht="16" thickBot="1" x14ac:dyDescent="0.4">
      <c r="A130" s="820">
        <v>126</v>
      </c>
      <c r="B130" s="15" t="str">
        <f t="shared" si="1"/>
        <v>Source Streams (excluding PFC emissions)</v>
      </c>
      <c r="C130" s="15" t="s">
        <v>4126</v>
      </c>
      <c r="D130" s="822"/>
      <c r="E130" s="822"/>
      <c r="F130" s="822"/>
      <c r="G130" s="822"/>
      <c r="H130" s="822"/>
    </row>
    <row r="131" spans="1:8" ht="13.5" thickBot="1" x14ac:dyDescent="0.35">
      <c r="A131" s="820">
        <v>127</v>
      </c>
      <c r="B131" s="1021" t="str">
        <f t="shared" si="1"/>
        <v>#</v>
      </c>
      <c r="C131" s="1021" t="s">
        <v>53</v>
      </c>
      <c r="D131" s="822"/>
      <c r="E131" s="822"/>
      <c r="F131" s="822"/>
      <c r="G131" s="822"/>
      <c r="H131" s="822"/>
    </row>
    <row r="132" spans="1:8" ht="13.5" thickBot="1" x14ac:dyDescent="0.35">
      <c r="A132" s="820">
        <v>128</v>
      </c>
      <c r="B132" s="1022" t="str">
        <f t="shared" si="1"/>
        <v>Method</v>
      </c>
      <c r="C132" s="1022" t="s">
        <v>54</v>
      </c>
      <c r="D132" s="822"/>
      <c r="E132" s="822"/>
      <c r="F132" s="822"/>
      <c r="G132" s="822"/>
      <c r="H132" s="822"/>
    </row>
    <row r="133" spans="1:8" ht="13.5" thickBot="1" x14ac:dyDescent="0.35">
      <c r="A133" s="820">
        <v>129</v>
      </c>
      <c r="B133" s="1022" t="str">
        <f t="shared" si="1"/>
        <v>Source stream name</v>
      </c>
      <c r="C133" s="1022" t="s">
        <v>55</v>
      </c>
      <c r="D133" s="822"/>
      <c r="E133" s="822"/>
      <c r="F133" s="822"/>
      <c r="G133" s="822"/>
      <c r="H133" s="822"/>
    </row>
    <row r="134" spans="1:8" ht="13.5" thickBot="1" x14ac:dyDescent="0.35">
      <c r="A134" s="820">
        <v>130</v>
      </c>
      <c r="B134" s="1022" t="str">
        <f t="shared" ref="B134:B197" si="2">IFERROR(INDEX(C134:M134,$A$3-2),$C134)</f>
        <v>Activity data (AD)</v>
      </c>
      <c r="C134" s="1022" t="s">
        <v>2838</v>
      </c>
      <c r="D134" s="822"/>
      <c r="E134" s="822"/>
      <c r="F134" s="822"/>
      <c r="G134" s="822"/>
      <c r="H134" s="822"/>
    </row>
    <row r="135" spans="1:8" ht="13.5" thickBot="1" x14ac:dyDescent="0.35">
      <c r="A135" s="820">
        <v>131</v>
      </c>
      <c r="B135" s="1022" t="str">
        <f t="shared" si="2"/>
        <v>AD Unit</v>
      </c>
      <c r="C135" s="1022" t="s">
        <v>56</v>
      </c>
      <c r="D135" s="822"/>
      <c r="E135" s="822"/>
      <c r="F135" s="822"/>
      <c r="G135" s="822"/>
      <c r="H135" s="822"/>
    </row>
    <row r="136" spans="1:8" ht="13.5" thickBot="1" x14ac:dyDescent="0.35">
      <c r="A136" s="820">
        <v>132</v>
      </c>
      <c r="B136" s="1022" t="str">
        <f t="shared" si="2"/>
        <v>Net calorific value (NCV)</v>
      </c>
      <c r="C136" s="1022" t="s">
        <v>3011</v>
      </c>
      <c r="D136" s="822"/>
      <c r="E136" s="822"/>
      <c r="F136" s="822"/>
      <c r="G136" s="822"/>
      <c r="H136" s="822"/>
    </row>
    <row r="137" spans="1:8" ht="13.5" thickBot="1" x14ac:dyDescent="0.35">
      <c r="A137" s="820">
        <v>133</v>
      </c>
      <c r="B137" s="1022" t="str">
        <f t="shared" si="2"/>
        <v>NCV Unit</v>
      </c>
      <c r="C137" s="1022" t="s">
        <v>57</v>
      </c>
      <c r="D137" s="822"/>
      <c r="E137" s="822"/>
      <c r="F137" s="822"/>
      <c r="G137" s="822"/>
      <c r="H137" s="822"/>
    </row>
    <row r="138" spans="1:8" ht="13.5" thickBot="1" x14ac:dyDescent="0.35">
      <c r="A138" s="820">
        <v>134</v>
      </c>
      <c r="B138" s="1022" t="str">
        <f t="shared" si="2"/>
        <v>Emission factor (EF)</v>
      </c>
      <c r="C138" s="1022" t="s">
        <v>3012</v>
      </c>
      <c r="D138" s="822"/>
      <c r="E138" s="822"/>
      <c r="F138" s="822"/>
      <c r="G138" s="822"/>
      <c r="H138" s="822"/>
    </row>
    <row r="139" spans="1:8" ht="13.5" thickBot="1" x14ac:dyDescent="0.35">
      <c r="A139" s="820">
        <v>135</v>
      </c>
      <c r="B139" s="1022" t="str">
        <f t="shared" si="2"/>
        <v>EF Unit</v>
      </c>
      <c r="C139" s="1022" t="s">
        <v>58</v>
      </c>
      <c r="D139" s="822"/>
      <c r="E139" s="822"/>
      <c r="F139" s="822"/>
      <c r="G139" s="822"/>
      <c r="H139" s="822"/>
    </row>
    <row r="140" spans="1:8" ht="13.5" thickBot="1" x14ac:dyDescent="0.35">
      <c r="A140" s="820">
        <v>136</v>
      </c>
      <c r="B140" s="1022" t="str">
        <f t="shared" si="2"/>
        <v>Carbon content</v>
      </c>
      <c r="C140" s="1022" t="s">
        <v>3013</v>
      </c>
      <c r="D140" s="822"/>
      <c r="E140" s="822"/>
      <c r="F140" s="822"/>
      <c r="G140" s="822"/>
      <c r="H140" s="822"/>
    </row>
    <row r="141" spans="1:8" ht="13.5" thickBot="1" x14ac:dyDescent="0.35">
      <c r="A141" s="820">
        <v>137</v>
      </c>
      <c r="B141" s="1022" t="str">
        <f t="shared" si="2"/>
        <v>C-Content Unit</v>
      </c>
      <c r="C141" s="1022" t="s">
        <v>59</v>
      </c>
      <c r="D141" s="822"/>
      <c r="E141" s="822"/>
      <c r="F141" s="822"/>
      <c r="G141" s="822"/>
      <c r="H141" s="822"/>
    </row>
    <row r="142" spans="1:8" ht="13.5" thickBot="1" x14ac:dyDescent="0.35">
      <c r="A142" s="820">
        <v>138</v>
      </c>
      <c r="B142" s="1022" t="str">
        <f t="shared" si="2"/>
        <v>Oxidation factor (OxF)</v>
      </c>
      <c r="C142" s="1022" t="s">
        <v>3014</v>
      </c>
      <c r="D142" s="822"/>
      <c r="E142" s="822"/>
      <c r="F142" s="822"/>
      <c r="G142" s="822"/>
      <c r="H142" s="822"/>
    </row>
    <row r="143" spans="1:8" ht="13.5" thickBot="1" x14ac:dyDescent="0.35">
      <c r="A143" s="820">
        <v>139</v>
      </c>
      <c r="B143" s="1022" t="str">
        <f t="shared" si="2"/>
        <v>OxF Unit</v>
      </c>
      <c r="C143" s="1022" t="s">
        <v>60</v>
      </c>
      <c r="D143" s="822"/>
      <c r="E143" s="822"/>
      <c r="F143" s="822"/>
      <c r="G143" s="822"/>
      <c r="H143" s="822"/>
    </row>
    <row r="144" spans="1:8" ht="13.5" thickBot="1" x14ac:dyDescent="0.35">
      <c r="A144" s="820">
        <v>140</v>
      </c>
      <c r="B144" s="1022" t="str">
        <f t="shared" si="2"/>
        <v>Conversion factor (ConvF)</v>
      </c>
      <c r="C144" s="1022" t="s">
        <v>3015</v>
      </c>
      <c r="D144" s="822"/>
      <c r="E144" s="822"/>
      <c r="F144" s="822"/>
      <c r="G144" s="822"/>
      <c r="H144" s="822"/>
    </row>
    <row r="145" spans="1:8" ht="13.5" thickBot="1" x14ac:dyDescent="0.35">
      <c r="A145" s="820">
        <v>141</v>
      </c>
      <c r="B145" s="1022" t="str">
        <f t="shared" si="2"/>
        <v>ConvF Unit</v>
      </c>
      <c r="C145" s="1022" t="s">
        <v>61</v>
      </c>
      <c r="D145" s="822"/>
      <c r="E145" s="822"/>
      <c r="F145" s="822"/>
      <c r="G145" s="822"/>
      <c r="H145" s="822"/>
    </row>
    <row r="146" spans="1:8" ht="13.5" thickBot="1" x14ac:dyDescent="0.35">
      <c r="A146" s="820">
        <v>142</v>
      </c>
      <c r="B146" s="1022" t="str">
        <f t="shared" si="2"/>
        <v>Biomass content (BioC)</v>
      </c>
      <c r="C146" s="1022" t="s">
        <v>3016</v>
      </c>
      <c r="D146" s="822"/>
      <c r="E146" s="822"/>
      <c r="F146" s="822"/>
      <c r="G146" s="822"/>
      <c r="H146" s="822"/>
    </row>
    <row r="147" spans="1:8" ht="13.5" thickBot="1" x14ac:dyDescent="0.35">
      <c r="A147" s="820">
        <v>143</v>
      </c>
      <c r="B147" s="1022" t="str">
        <f t="shared" si="2"/>
        <v>BioC Unit</v>
      </c>
      <c r="C147" s="1022" t="s">
        <v>62</v>
      </c>
      <c r="D147" s="822"/>
      <c r="E147" s="822"/>
      <c r="F147" s="822"/>
      <c r="G147" s="822"/>
      <c r="H147" s="822"/>
    </row>
    <row r="148" spans="1:8" ht="13.5" thickBot="1" x14ac:dyDescent="0.35">
      <c r="A148" s="820">
        <v>144</v>
      </c>
      <c r="B148" s="1023" t="str">
        <f t="shared" si="2"/>
        <v>non-sust. BioC</v>
      </c>
      <c r="C148" s="1023" t="s">
        <v>63</v>
      </c>
      <c r="D148" s="822"/>
      <c r="E148" s="822"/>
      <c r="F148" s="822"/>
      <c r="G148" s="822"/>
      <c r="H148" s="822"/>
    </row>
    <row r="149" spans="1:8" ht="13.5" thickBot="1" x14ac:dyDescent="0.35">
      <c r="A149" s="820">
        <v>145</v>
      </c>
      <c r="B149" s="1023" t="str">
        <f t="shared" si="2"/>
        <v>non-sust. BioC Unit</v>
      </c>
      <c r="C149" s="1023" t="s">
        <v>64</v>
      </c>
      <c r="D149" s="822"/>
      <c r="E149" s="822"/>
      <c r="F149" s="822"/>
      <c r="G149" s="822"/>
      <c r="H149" s="822"/>
    </row>
    <row r="150" spans="1:8" ht="13.5" thickBot="1" x14ac:dyDescent="0.35">
      <c r="A150" s="820">
        <v>146</v>
      </c>
      <c r="B150" s="1022" t="str">
        <f t="shared" si="2"/>
        <v>hourly GHG conc. Average</v>
      </c>
      <c r="C150" s="1022" t="s">
        <v>65</v>
      </c>
      <c r="D150" s="822"/>
      <c r="E150" s="822"/>
      <c r="F150" s="822"/>
      <c r="G150" s="822"/>
      <c r="H150" s="822"/>
    </row>
    <row r="151" spans="1:8" ht="13.5" thickBot="1" x14ac:dyDescent="0.35">
      <c r="A151" s="820">
        <v>147</v>
      </c>
      <c r="B151" s="1022" t="str">
        <f t="shared" si="2"/>
        <v>hourly GHG conc. Unit</v>
      </c>
      <c r="C151" s="1022" t="s">
        <v>66</v>
      </c>
      <c r="D151" s="822"/>
      <c r="E151" s="822"/>
      <c r="F151" s="822"/>
      <c r="G151" s="822"/>
      <c r="H151" s="822"/>
    </row>
    <row r="152" spans="1:8" ht="13.5" thickBot="1" x14ac:dyDescent="0.35">
      <c r="A152" s="820">
        <v>148</v>
      </c>
      <c r="B152" s="1022" t="str">
        <f t="shared" si="2"/>
        <v>hours operating</v>
      </c>
      <c r="C152" s="1022" t="s">
        <v>67</v>
      </c>
      <c r="D152" s="822"/>
      <c r="E152" s="822"/>
      <c r="F152" s="822"/>
      <c r="G152" s="822"/>
      <c r="H152" s="822"/>
    </row>
    <row r="153" spans="1:8" ht="13.5" thickBot="1" x14ac:dyDescent="0.35">
      <c r="A153" s="820">
        <v>149</v>
      </c>
      <c r="B153" s="1022" t="str">
        <f t="shared" si="2"/>
        <v>hours operating Unit</v>
      </c>
      <c r="C153" s="1022" t="s">
        <v>68</v>
      </c>
      <c r="D153" s="822"/>
      <c r="E153" s="822"/>
      <c r="F153" s="822"/>
      <c r="G153" s="822"/>
      <c r="H153" s="822"/>
    </row>
    <row r="154" spans="1:8" ht="13.5" thickBot="1" x14ac:dyDescent="0.35">
      <c r="A154" s="820">
        <v>150</v>
      </c>
      <c r="B154" s="1022" t="str">
        <f t="shared" si="2"/>
        <v>Flue gas (average)</v>
      </c>
      <c r="C154" s="1022" t="s">
        <v>4127</v>
      </c>
      <c r="D154" s="822"/>
      <c r="E154" s="822"/>
      <c r="F154" s="822"/>
      <c r="G154" s="822"/>
      <c r="H154" s="822"/>
    </row>
    <row r="155" spans="1:8" ht="13.5" thickBot="1" x14ac:dyDescent="0.35">
      <c r="A155" s="820">
        <v>151</v>
      </c>
      <c r="B155" s="1022" t="str">
        <f t="shared" si="2"/>
        <v>Flue gas (average), Unit</v>
      </c>
      <c r="C155" s="1022" t="s">
        <v>4128</v>
      </c>
      <c r="D155" s="822"/>
      <c r="E155" s="822"/>
      <c r="F155" s="822"/>
      <c r="G155" s="822"/>
      <c r="H155" s="822"/>
    </row>
    <row r="156" spans="1:8" ht="13.5" thickBot="1" x14ac:dyDescent="0.35">
      <c r="A156" s="820">
        <v>152</v>
      </c>
      <c r="B156" s="1023" t="str">
        <f t="shared" si="2"/>
        <v>Flue gas (total)</v>
      </c>
      <c r="C156" s="1023" t="s">
        <v>69</v>
      </c>
      <c r="D156" s="822"/>
      <c r="E156" s="822"/>
      <c r="F156" s="822"/>
      <c r="G156" s="822"/>
      <c r="H156" s="822"/>
    </row>
    <row r="157" spans="1:8" ht="13.5" thickBot="1" x14ac:dyDescent="0.35">
      <c r="A157" s="820">
        <v>153</v>
      </c>
      <c r="B157" s="1023" t="str">
        <f t="shared" si="2"/>
        <v>Flue gas (total), Unit</v>
      </c>
      <c r="C157" s="1023" t="s">
        <v>70</v>
      </c>
      <c r="D157" s="822"/>
      <c r="E157" s="822"/>
      <c r="F157" s="822"/>
      <c r="G157" s="822"/>
      <c r="H157" s="822"/>
    </row>
    <row r="158" spans="1:8" ht="13.5" thickBot="1" x14ac:dyDescent="0.35">
      <c r="A158" s="820">
        <v>154</v>
      </c>
      <c r="B158" s="1022" t="str">
        <f t="shared" si="2"/>
        <v>Annual amount of GHG</v>
      </c>
      <c r="C158" s="1022" t="s">
        <v>71</v>
      </c>
      <c r="D158" s="822"/>
      <c r="E158" s="822"/>
      <c r="F158" s="822"/>
      <c r="G158" s="822"/>
      <c r="H158" s="822"/>
    </row>
    <row r="159" spans="1:8" ht="13.5" thickBot="1" x14ac:dyDescent="0.35">
      <c r="A159" s="820">
        <v>155</v>
      </c>
      <c r="B159" s="1022" t="str">
        <f t="shared" si="2"/>
        <v>Annual amount of GHG Unit</v>
      </c>
      <c r="C159" s="1022" t="s">
        <v>72</v>
      </c>
      <c r="D159" s="822"/>
      <c r="E159" s="822"/>
      <c r="F159" s="822"/>
      <c r="G159" s="822"/>
      <c r="H159" s="822"/>
    </row>
    <row r="160" spans="1:8" ht="13.5" thickBot="1" x14ac:dyDescent="0.35">
      <c r="A160" s="820">
        <v>156</v>
      </c>
      <c r="B160" s="1022" t="str">
        <f t="shared" si="2"/>
        <v>Global Warming Potential (GWP, tCO2e/t)</v>
      </c>
      <c r="C160" s="1022" t="s">
        <v>4129</v>
      </c>
      <c r="D160" s="822"/>
      <c r="E160" s="822"/>
      <c r="F160" s="822"/>
      <c r="G160" s="822"/>
      <c r="H160" s="822"/>
    </row>
    <row r="161" spans="1:8" ht="13.5" thickBot="1" x14ac:dyDescent="0.35">
      <c r="A161" s="820">
        <v>157</v>
      </c>
      <c r="B161" s="1022" t="str">
        <f t="shared" si="2"/>
        <v>A: Frequency</v>
      </c>
      <c r="C161" s="1022" t="s">
        <v>73</v>
      </c>
      <c r="D161" s="822"/>
      <c r="E161" s="822"/>
      <c r="F161" s="822"/>
      <c r="G161" s="822"/>
      <c r="H161" s="822"/>
    </row>
    <row r="162" spans="1:8" ht="13.5" thickBot="1" x14ac:dyDescent="0.35">
      <c r="A162" s="820">
        <v>158</v>
      </c>
      <c r="B162" s="1022" t="str">
        <f t="shared" si="2"/>
        <v>A: Duration</v>
      </c>
      <c r="C162" s="1022" t="s">
        <v>74</v>
      </c>
      <c r="D162" s="822"/>
      <c r="E162" s="822"/>
      <c r="F162" s="822"/>
      <c r="G162" s="822"/>
      <c r="H162" s="822"/>
    </row>
    <row r="163" spans="1:8" ht="13.5" thickBot="1" x14ac:dyDescent="0.35">
      <c r="A163" s="820">
        <v>159</v>
      </c>
      <c r="B163" s="1022" t="str">
        <f t="shared" si="2"/>
        <v>A: SEF(CF4)</v>
      </c>
      <c r="C163" s="1022" t="s">
        <v>75</v>
      </c>
      <c r="D163" s="822"/>
      <c r="E163" s="822"/>
      <c r="F163" s="822"/>
      <c r="G163" s="822"/>
      <c r="H163" s="822"/>
    </row>
    <row r="164" spans="1:8" ht="13.5" thickBot="1" x14ac:dyDescent="0.35">
      <c r="A164" s="820">
        <v>160</v>
      </c>
      <c r="B164" s="1022" t="str">
        <f t="shared" si="2"/>
        <v>B: AEO</v>
      </c>
      <c r="C164" s="1022" t="s">
        <v>76</v>
      </c>
      <c r="D164" s="822"/>
      <c r="E164" s="822"/>
      <c r="F164" s="822"/>
      <c r="G164" s="822"/>
      <c r="H164" s="822"/>
    </row>
    <row r="165" spans="1:8" ht="13.5" thickBot="1" x14ac:dyDescent="0.35">
      <c r="A165" s="820">
        <v>161</v>
      </c>
      <c r="B165" s="1022" t="str">
        <f t="shared" si="2"/>
        <v>B: CE</v>
      </c>
      <c r="C165" s="1022" t="s">
        <v>77</v>
      </c>
      <c r="D165" s="822"/>
      <c r="E165" s="822"/>
      <c r="F165" s="822"/>
      <c r="G165" s="822"/>
      <c r="H165" s="822"/>
    </row>
    <row r="166" spans="1:8" ht="13.5" thickBot="1" x14ac:dyDescent="0.35">
      <c r="A166" s="820">
        <v>162</v>
      </c>
      <c r="B166" s="1022" t="str">
        <f t="shared" si="2"/>
        <v>B: OVC</v>
      </c>
      <c r="C166" s="1022" t="s">
        <v>78</v>
      </c>
      <c r="D166" s="822"/>
      <c r="E166" s="822"/>
      <c r="F166" s="822"/>
      <c r="G166" s="822"/>
      <c r="H166" s="822"/>
    </row>
    <row r="167" spans="1:8" ht="13.5" thickBot="1" x14ac:dyDescent="0.35">
      <c r="A167" s="820">
        <v>163</v>
      </c>
      <c r="B167" s="1022" t="str">
        <f t="shared" si="2"/>
        <v>F(C2F6)</v>
      </c>
      <c r="C167" s="1022" t="s">
        <v>79</v>
      </c>
      <c r="D167" s="822"/>
      <c r="E167" s="822"/>
      <c r="F167" s="822"/>
      <c r="G167" s="822"/>
      <c r="H167" s="822"/>
    </row>
    <row r="168" spans="1:8" ht="13.5" thickBot="1" x14ac:dyDescent="0.35">
      <c r="A168" s="820">
        <v>164</v>
      </c>
      <c r="B168" s="1022" t="str">
        <f t="shared" si="2"/>
        <v>CF4 Emissions (t CF4)</v>
      </c>
      <c r="C168" s="1022" t="s">
        <v>80</v>
      </c>
      <c r="D168" s="822"/>
      <c r="E168" s="822"/>
      <c r="F168" s="822"/>
      <c r="G168" s="822"/>
      <c r="H168" s="822"/>
    </row>
    <row r="169" spans="1:8" ht="13.5" thickBot="1" x14ac:dyDescent="0.35">
      <c r="A169" s="820">
        <v>165</v>
      </c>
      <c r="B169" s="1022" t="str">
        <f t="shared" si="2"/>
        <v>C2F6 Emissions (t C2F6)</v>
      </c>
      <c r="C169" s="1022" t="s">
        <v>81</v>
      </c>
      <c r="D169" s="822"/>
      <c r="E169" s="822"/>
      <c r="F169" s="822"/>
      <c r="G169" s="822"/>
      <c r="H169" s="822"/>
    </row>
    <row r="170" spans="1:8" ht="13.5" thickBot="1" x14ac:dyDescent="0.35">
      <c r="A170" s="820">
        <v>166</v>
      </c>
      <c r="B170" s="1022" t="str">
        <f t="shared" si="2"/>
        <v>GWP (CF4) (tCO2e/t)</v>
      </c>
      <c r="C170" s="1022" t="s">
        <v>82</v>
      </c>
      <c r="D170" s="822"/>
      <c r="E170" s="822"/>
      <c r="F170" s="822"/>
      <c r="G170" s="822"/>
      <c r="H170" s="822"/>
    </row>
    <row r="171" spans="1:8" ht="13.5" thickBot="1" x14ac:dyDescent="0.35">
      <c r="A171" s="820">
        <v>167</v>
      </c>
      <c r="B171" s="1022" t="str">
        <f t="shared" si="2"/>
        <v>GWP (C2F6) (tCO2e/t)</v>
      </c>
      <c r="C171" s="1022" t="s">
        <v>83</v>
      </c>
      <c r="D171" s="822"/>
      <c r="E171" s="822"/>
      <c r="F171" s="822"/>
      <c r="G171" s="822"/>
      <c r="H171" s="822"/>
    </row>
    <row r="172" spans="1:8" ht="13.5" thickBot="1" x14ac:dyDescent="0.35">
      <c r="A172" s="820">
        <v>168</v>
      </c>
      <c r="B172" s="1022" t="str">
        <f t="shared" si="2"/>
        <v>CF4 Emissions (t CO2e)</v>
      </c>
      <c r="C172" s="1022" t="s">
        <v>84</v>
      </c>
      <c r="D172" s="822"/>
      <c r="E172" s="822"/>
      <c r="F172" s="822"/>
      <c r="G172" s="822"/>
      <c r="H172" s="822"/>
    </row>
    <row r="173" spans="1:8" ht="13.5" thickBot="1" x14ac:dyDescent="0.35">
      <c r="A173" s="820">
        <v>169</v>
      </c>
      <c r="B173" s="1022" t="str">
        <f t="shared" si="2"/>
        <v>C2F6 Emissions (t CO2e)</v>
      </c>
      <c r="C173" s="1022" t="s">
        <v>85</v>
      </c>
      <c r="D173" s="822"/>
      <c r="E173" s="822"/>
      <c r="F173" s="822"/>
      <c r="G173" s="822"/>
      <c r="H173" s="822"/>
    </row>
    <row r="174" spans="1:8" ht="13.5" thickBot="1" x14ac:dyDescent="0.35">
      <c r="A174" s="820">
        <v>170</v>
      </c>
      <c r="B174" s="1022" t="str">
        <f t="shared" si="2"/>
        <v>Collection efficiency, %</v>
      </c>
      <c r="C174" s="1022" t="s">
        <v>86</v>
      </c>
      <c r="D174" s="822"/>
      <c r="E174" s="822"/>
      <c r="F174" s="822"/>
      <c r="G174" s="822"/>
      <c r="H174" s="822"/>
    </row>
    <row r="175" spans="1:8" ht="13.5" thickBot="1" x14ac:dyDescent="0.35">
      <c r="A175" s="820">
        <v>171</v>
      </c>
      <c r="B175" s="1022" t="str">
        <f t="shared" si="2"/>
        <v>CO2e fossil (t)</v>
      </c>
      <c r="C175" s="1022" t="s">
        <v>87</v>
      </c>
      <c r="D175" s="822"/>
      <c r="E175" s="822"/>
      <c r="F175" s="822"/>
      <c r="G175" s="822"/>
      <c r="H175" s="822"/>
    </row>
    <row r="176" spans="1:8" ht="13.5" thickBot="1" x14ac:dyDescent="0.35">
      <c r="A176" s="820">
        <v>172</v>
      </c>
      <c r="B176" s="1022" t="str">
        <f t="shared" si="2"/>
        <v>CO2e bio (t)</v>
      </c>
      <c r="C176" s="1022" t="s">
        <v>88</v>
      </c>
      <c r="D176" s="822"/>
      <c r="E176" s="822"/>
      <c r="F176" s="822"/>
      <c r="G176" s="822"/>
      <c r="H176" s="822"/>
    </row>
    <row r="177" spans="1:8" ht="13.5" thickBot="1" x14ac:dyDescent="0.35">
      <c r="A177" s="820">
        <v>173</v>
      </c>
      <c r="B177" s="1023" t="str">
        <f t="shared" si="2"/>
        <v>CO2e non-sust. bio (t)</v>
      </c>
      <c r="C177" s="1023" t="s">
        <v>89</v>
      </c>
      <c r="D177" s="822"/>
      <c r="E177" s="822"/>
      <c r="F177" s="822"/>
      <c r="G177" s="822"/>
      <c r="H177" s="822"/>
    </row>
    <row r="178" spans="1:8" ht="13.5" thickBot="1" x14ac:dyDescent="0.35">
      <c r="A178" s="820">
        <v>174</v>
      </c>
      <c r="B178" s="1022" t="str">
        <f t="shared" si="2"/>
        <v>Energy content (fossil), TJ</v>
      </c>
      <c r="C178" s="1022" t="s">
        <v>90</v>
      </c>
      <c r="D178" s="822"/>
      <c r="E178" s="822"/>
      <c r="F178" s="822"/>
      <c r="G178" s="822"/>
      <c r="H178" s="822"/>
    </row>
    <row r="179" spans="1:8" ht="13.5" thickBot="1" x14ac:dyDescent="0.35">
      <c r="A179" s="820">
        <v>175</v>
      </c>
      <c r="B179" s="1024" t="str">
        <f t="shared" si="2"/>
        <v>Energy content (bio), TJ</v>
      </c>
      <c r="C179" s="1024" t="s">
        <v>91</v>
      </c>
      <c r="D179" s="822"/>
      <c r="E179" s="822"/>
      <c r="F179" s="822"/>
      <c r="G179" s="822"/>
      <c r="H179" s="822"/>
    </row>
    <row r="180" spans="1:8" ht="13" thickBot="1" x14ac:dyDescent="0.3">
      <c r="A180" s="820">
        <v>176</v>
      </c>
      <c r="B180" s="1025" t="str">
        <f t="shared" si="2"/>
        <v>Ex.1</v>
      </c>
      <c r="C180" s="1025" t="s">
        <v>92</v>
      </c>
      <c r="D180" s="822"/>
      <c r="E180" s="822"/>
      <c r="F180" s="822"/>
      <c r="G180" s="822"/>
      <c r="H180" s="822"/>
    </row>
    <row r="181" spans="1:8" ht="13" thickBot="1" x14ac:dyDescent="0.3">
      <c r="A181" s="820">
        <v>177</v>
      </c>
      <c r="B181" s="1026" t="str">
        <f t="shared" si="2"/>
        <v>Combustion</v>
      </c>
      <c r="C181" s="1026" t="s">
        <v>93</v>
      </c>
      <c r="D181" s="822"/>
      <c r="E181" s="822"/>
      <c r="F181" s="822"/>
      <c r="G181" s="822"/>
      <c r="H181" s="822"/>
    </row>
    <row r="182" spans="1:8" ht="13" thickBot="1" x14ac:dyDescent="0.3">
      <c r="A182" s="820">
        <v>178</v>
      </c>
      <c r="B182" s="1026" t="str">
        <f t="shared" si="2"/>
        <v>Heavy fuel oil</v>
      </c>
      <c r="C182" s="1026" t="s">
        <v>94</v>
      </c>
      <c r="D182" s="822"/>
      <c r="E182" s="822"/>
      <c r="F182" s="822"/>
      <c r="G182" s="822"/>
      <c r="H182" s="822"/>
    </row>
    <row r="183" spans="1:8" ht="13" thickBot="1" x14ac:dyDescent="0.3">
      <c r="A183" s="820">
        <v>179</v>
      </c>
      <c r="B183" s="1026" t="str">
        <f t="shared" si="2"/>
        <v>GJ/t</v>
      </c>
      <c r="C183" s="1026" t="s">
        <v>96</v>
      </c>
      <c r="D183" s="822"/>
      <c r="E183" s="822"/>
      <c r="F183" s="822"/>
      <c r="G183" s="822"/>
      <c r="H183" s="822"/>
    </row>
    <row r="184" spans="1:8" ht="12.5" x14ac:dyDescent="0.25">
      <c r="A184" s="820">
        <v>180</v>
      </c>
      <c r="B184" s="1026" t="str">
        <f t="shared" si="2"/>
        <v>tCO2/TJ</v>
      </c>
      <c r="C184" s="1026" t="s">
        <v>97</v>
      </c>
      <c r="D184" s="822"/>
      <c r="E184" s="822"/>
      <c r="F184" s="822"/>
      <c r="G184" s="822"/>
      <c r="H184" s="822"/>
    </row>
    <row r="185" spans="1:8" ht="12.5" x14ac:dyDescent="0.25">
      <c r="A185" s="820">
        <v>181</v>
      </c>
      <c r="B185" s="1027" t="str">
        <f t="shared" si="2"/>
        <v>Ex.2</v>
      </c>
      <c r="C185" s="1027" t="s">
        <v>100</v>
      </c>
      <c r="D185" s="822"/>
      <c r="E185" s="822"/>
      <c r="F185" s="822"/>
      <c r="G185" s="822"/>
      <c r="H185" s="822"/>
    </row>
    <row r="186" spans="1:8" ht="12.5" x14ac:dyDescent="0.25">
      <c r="A186" s="820">
        <v>182</v>
      </c>
      <c r="B186" s="1028" t="str">
        <f t="shared" si="2"/>
        <v>Process Emissions</v>
      </c>
      <c r="C186" s="1028" t="s">
        <v>101</v>
      </c>
      <c r="D186" s="822"/>
      <c r="E186" s="822"/>
      <c r="F186" s="822"/>
      <c r="G186" s="822"/>
      <c r="H186" s="822"/>
    </row>
    <row r="187" spans="1:8" ht="12.5" x14ac:dyDescent="0.25">
      <c r="A187" s="820">
        <v>183</v>
      </c>
      <c r="B187" s="1028" t="str">
        <f t="shared" si="2"/>
        <v>Raw meal for clinker</v>
      </c>
      <c r="C187" s="1028" t="s">
        <v>115</v>
      </c>
      <c r="D187" s="822"/>
      <c r="E187" s="822"/>
      <c r="F187" s="822"/>
      <c r="G187" s="822"/>
      <c r="H187" s="822"/>
    </row>
    <row r="188" spans="1:8" ht="12.5" x14ac:dyDescent="0.25">
      <c r="A188" s="820">
        <v>184</v>
      </c>
      <c r="B188" s="1028" t="str">
        <f t="shared" si="2"/>
        <v>tCO2/t</v>
      </c>
      <c r="C188" s="1028" t="s">
        <v>102</v>
      </c>
      <c r="D188" s="822"/>
      <c r="E188" s="822"/>
      <c r="F188" s="822"/>
      <c r="G188" s="822"/>
      <c r="H188" s="822"/>
    </row>
    <row r="189" spans="1:8" ht="12.5" x14ac:dyDescent="0.25">
      <c r="A189" s="820">
        <v>185</v>
      </c>
      <c r="B189" s="1029" t="str">
        <f t="shared" si="2"/>
        <v>Ex.3</v>
      </c>
      <c r="C189" s="1029" t="s">
        <v>103</v>
      </c>
      <c r="D189" s="822"/>
      <c r="E189" s="822"/>
      <c r="F189" s="822"/>
      <c r="G189" s="822"/>
      <c r="H189" s="822"/>
    </row>
    <row r="190" spans="1:8" ht="12.5" x14ac:dyDescent="0.25">
      <c r="A190" s="820">
        <v>186</v>
      </c>
      <c r="B190" s="1030" t="str">
        <f t="shared" si="2"/>
        <v>Mass balance</v>
      </c>
      <c r="C190" s="1030" t="s">
        <v>104</v>
      </c>
      <c r="D190" s="822"/>
      <c r="E190" s="822"/>
      <c r="F190" s="822"/>
      <c r="G190" s="822"/>
      <c r="H190" s="822"/>
    </row>
    <row r="191" spans="1:8" ht="12.5" x14ac:dyDescent="0.25">
      <c r="A191" s="820">
        <v>187</v>
      </c>
      <c r="B191" s="1030" t="str">
        <f t="shared" si="2"/>
        <v>Steel</v>
      </c>
      <c r="C191" s="1030" t="s">
        <v>105</v>
      </c>
      <c r="D191" s="822"/>
      <c r="E191" s="822"/>
      <c r="F191" s="822"/>
      <c r="G191" s="822"/>
      <c r="H191" s="822"/>
    </row>
    <row r="192" spans="1:8" ht="12.5" x14ac:dyDescent="0.25">
      <c r="A192" s="820">
        <v>188</v>
      </c>
      <c r="B192" s="1030" t="str">
        <f t="shared" si="2"/>
        <v>tC/t</v>
      </c>
      <c r="C192" s="1030" t="s">
        <v>106</v>
      </c>
      <c r="D192" s="822"/>
      <c r="E192" s="822"/>
      <c r="F192" s="822"/>
      <c r="G192" s="822"/>
      <c r="H192" s="822"/>
    </row>
    <row r="193" spans="1:8" ht="12.5" x14ac:dyDescent="0.35">
      <c r="A193" s="820">
        <v>189</v>
      </c>
      <c r="B193" s="1031" t="str">
        <f t="shared" si="2"/>
        <v>Process</v>
      </c>
      <c r="C193" s="1031" t="s">
        <v>341</v>
      </c>
      <c r="D193" s="822"/>
      <c r="E193" s="822"/>
      <c r="F193" s="822"/>
      <c r="G193" s="822"/>
      <c r="H193" s="822"/>
    </row>
    <row r="194" spans="1:8" ht="12.5" x14ac:dyDescent="0.35">
      <c r="A194" s="820">
        <v>190</v>
      </c>
      <c r="B194" s="1031" t="str">
        <f t="shared" si="2"/>
        <v>Mass Balance</v>
      </c>
      <c r="C194" s="1031" t="s">
        <v>340</v>
      </c>
      <c r="D194" s="822"/>
      <c r="E194" s="822"/>
      <c r="F194" s="822"/>
      <c r="G194" s="822"/>
      <c r="H194" s="822"/>
    </row>
    <row r="195" spans="1:8" ht="12.5" x14ac:dyDescent="0.35">
      <c r="A195" s="820">
        <v>191</v>
      </c>
      <c r="B195" s="1031" t="str">
        <f t="shared" si="2"/>
        <v>CC</v>
      </c>
      <c r="C195" s="1031" t="s">
        <v>343</v>
      </c>
      <c r="D195" s="822"/>
      <c r="E195" s="822"/>
      <c r="F195" s="822"/>
      <c r="G195" s="822"/>
      <c r="H195" s="822"/>
    </row>
    <row r="196" spans="1:8" ht="12.5" x14ac:dyDescent="0.35">
      <c r="A196" s="820">
        <v>192</v>
      </c>
      <c r="B196" s="1031" t="str">
        <f t="shared" si="2"/>
        <v>OxF</v>
      </c>
      <c r="C196" s="1031" t="s">
        <v>344</v>
      </c>
      <c r="D196" s="822"/>
      <c r="E196" s="822"/>
      <c r="F196" s="822"/>
      <c r="G196" s="822"/>
      <c r="H196" s="822"/>
    </row>
    <row r="197" spans="1:8" ht="12.5" x14ac:dyDescent="0.35">
      <c r="A197" s="820">
        <v>193</v>
      </c>
      <c r="B197" s="1031" t="str">
        <f t="shared" si="2"/>
        <v>ConvF</v>
      </c>
      <c r="C197" s="1031" t="s">
        <v>345</v>
      </c>
      <c r="D197" s="822"/>
      <c r="E197" s="822"/>
      <c r="F197" s="822"/>
      <c r="G197" s="822"/>
      <c r="H197" s="822"/>
    </row>
    <row r="198" spans="1:8" ht="16" thickBot="1" x14ac:dyDescent="0.4">
      <c r="A198" s="820">
        <v>194</v>
      </c>
      <c r="B198" s="15" t="str">
        <f t="shared" ref="B198:B261" si="3">IFERROR(INDEX(C198:M198,$A$3-2),$C198)</f>
        <v>PFC Emissions</v>
      </c>
      <c r="C198" s="15" t="s">
        <v>4130</v>
      </c>
      <c r="D198" s="822"/>
      <c r="E198" s="822"/>
      <c r="F198" s="822"/>
      <c r="G198" s="822"/>
      <c r="H198" s="822"/>
    </row>
    <row r="199" spans="1:8" ht="13.5" thickBot="1" x14ac:dyDescent="0.35">
      <c r="A199" s="820">
        <v>195</v>
      </c>
      <c r="B199" s="1022" t="str">
        <f t="shared" si="3"/>
        <v>Type of anode</v>
      </c>
      <c r="C199" s="1022" t="s">
        <v>4131</v>
      </c>
      <c r="D199" s="822"/>
      <c r="E199" s="822"/>
      <c r="F199" s="822"/>
      <c r="G199" s="822"/>
      <c r="H199" s="822"/>
    </row>
    <row r="200" spans="1:8" ht="12.5" x14ac:dyDescent="0.25">
      <c r="A200" s="820">
        <v>196</v>
      </c>
      <c r="B200" s="1032" t="str">
        <f t="shared" si="3"/>
        <v>Method A</v>
      </c>
      <c r="C200" s="1032" t="s">
        <v>346</v>
      </c>
      <c r="D200" s="822"/>
      <c r="E200" s="822"/>
      <c r="F200" s="822"/>
      <c r="G200" s="822"/>
      <c r="H200" s="822"/>
    </row>
    <row r="201" spans="1:8" ht="12.5" x14ac:dyDescent="0.25">
      <c r="A201" s="820">
        <v>197</v>
      </c>
      <c r="B201" s="1032" t="str">
        <f t="shared" si="3"/>
        <v>Method B</v>
      </c>
      <c r="C201" s="1032" t="s">
        <v>347</v>
      </c>
      <c r="D201" s="822"/>
      <c r="E201" s="822"/>
      <c r="F201" s="822"/>
      <c r="G201" s="822"/>
      <c r="H201" s="822"/>
    </row>
    <row r="202" spans="1:8" ht="12.5" x14ac:dyDescent="0.25">
      <c r="A202" s="820">
        <v>198</v>
      </c>
      <c r="B202" s="1033" t="str">
        <f t="shared" si="3"/>
        <v>Ex.</v>
      </c>
      <c r="C202" s="1033" t="s">
        <v>107</v>
      </c>
      <c r="D202" s="822"/>
      <c r="E202" s="822"/>
      <c r="F202" s="822"/>
      <c r="G202" s="822"/>
      <c r="H202" s="822"/>
    </row>
    <row r="203" spans="1:8" ht="12.5" x14ac:dyDescent="0.25">
      <c r="A203" s="820">
        <v>199</v>
      </c>
      <c r="B203" s="1034" t="str">
        <f t="shared" si="3"/>
        <v>Overvoltage method</v>
      </c>
      <c r="C203" s="1034" t="s">
        <v>352</v>
      </c>
      <c r="D203" s="822"/>
      <c r="E203" s="822"/>
      <c r="F203" s="822"/>
      <c r="G203" s="822"/>
      <c r="H203" s="822"/>
    </row>
    <row r="204" spans="1:8" ht="12.5" x14ac:dyDescent="0.25">
      <c r="A204" s="820">
        <v>200</v>
      </c>
      <c r="B204" s="1034" t="str">
        <f t="shared" si="3"/>
        <v>Centre Worked Pre-Bake (CWPB)</v>
      </c>
      <c r="C204" s="1034" t="s">
        <v>2847</v>
      </c>
      <c r="D204" s="822"/>
      <c r="E204" s="822"/>
      <c r="F204" s="822"/>
      <c r="G204" s="822"/>
      <c r="H204" s="822"/>
    </row>
    <row r="205" spans="1:8" ht="12.5" x14ac:dyDescent="0.35">
      <c r="A205" s="820">
        <v>201</v>
      </c>
      <c r="B205" s="1031" t="str">
        <f t="shared" si="3"/>
        <v>CF4</v>
      </c>
      <c r="C205" s="1031" t="s">
        <v>348</v>
      </c>
      <c r="D205" s="822"/>
      <c r="E205" s="822"/>
      <c r="F205" s="822"/>
      <c r="G205" s="822"/>
      <c r="H205" s="822"/>
    </row>
    <row r="206" spans="1:8" ht="12.5" x14ac:dyDescent="0.35">
      <c r="A206" s="820">
        <v>202</v>
      </c>
      <c r="B206" s="1031" t="str">
        <f t="shared" si="3"/>
        <v>C2F6</v>
      </c>
      <c r="C206" s="1031" t="s">
        <v>349</v>
      </c>
      <c r="D206" s="822"/>
      <c r="E206" s="822"/>
      <c r="F206" s="822"/>
      <c r="G206" s="822"/>
      <c r="H206" s="822"/>
    </row>
    <row r="207" spans="1:8" ht="15.5" x14ac:dyDescent="0.35">
      <c r="A207" s="820">
        <v>203</v>
      </c>
      <c r="B207" s="15" t="str">
        <f t="shared" si="3"/>
        <v>Emissions Sources (Measurement-Based Approaches)</v>
      </c>
      <c r="C207" s="15" t="s">
        <v>4132</v>
      </c>
      <c r="D207" s="822"/>
      <c r="E207" s="822"/>
      <c r="F207" s="822"/>
      <c r="G207" s="822"/>
      <c r="H207" s="822"/>
    </row>
    <row r="208" spans="1:8" ht="13" thickBot="1" x14ac:dyDescent="0.4">
      <c r="A208" s="820">
        <v>204</v>
      </c>
      <c r="B208" s="157" t="str">
        <f t="shared" si="3"/>
        <v>Emission sources</v>
      </c>
      <c r="C208" s="157" t="s">
        <v>2813</v>
      </c>
      <c r="D208" s="822"/>
      <c r="E208" s="822"/>
      <c r="F208" s="822"/>
      <c r="G208" s="822"/>
      <c r="H208" s="822"/>
    </row>
    <row r="209" spans="1:8" ht="13.5" thickBot="1" x14ac:dyDescent="0.35">
      <c r="A209" s="820">
        <v>205</v>
      </c>
      <c r="B209" s="1022" t="str">
        <f t="shared" si="3"/>
        <v>Type of GHG</v>
      </c>
      <c r="C209" s="1022" t="s">
        <v>181</v>
      </c>
      <c r="D209" s="822"/>
      <c r="E209" s="822"/>
      <c r="F209" s="822"/>
      <c r="G209" s="822"/>
      <c r="H209" s="822"/>
    </row>
    <row r="210" spans="1:8" ht="13.5" thickBot="1" x14ac:dyDescent="0.35">
      <c r="A210" s="820">
        <v>206</v>
      </c>
      <c r="B210" s="1022" t="str">
        <f t="shared" si="3"/>
        <v>Biomass fraction</v>
      </c>
      <c r="C210" s="1022" t="s">
        <v>2857</v>
      </c>
      <c r="D210" s="822"/>
      <c r="E210" s="822"/>
      <c r="F210" s="822"/>
      <c r="G210" s="822"/>
      <c r="H210" s="822"/>
    </row>
    <row r="211" spans="1:8" ht="13" thickBot="1" x14ac:dyDescent="0.3">
      <c r="A211" s="820">
        <v>207</v>
      </c>
      <c r="B211" s="1034" t="str">
        <f t="shared" si="3"/>
        <v>CO2 transfer</v>
      </c>
      <c r="C211" s="1034" t="s">
        <v>111</v>
      </c>
      <c r="D211" s="822"/>
      <c r="E211" s="822"/>
      <c r="F211" s="822"/>
      <c r="G211" s="822"/>
      <c r="H211" s="822"/>
    </row>
    <row r="212" spans="1:8" ht="13" x14ac:dyDescent="0.35">
      <c r="A212" s="820">
        <v>208</v>
      </c>
      <c r="B212" s="1004" t="str">
        <f t="shared" si="3"/>
        <v>Energy &amp; Emissions</v>
      </c>
      <c r="C212" s="1004" t="s">
        <v>277</v>
      </c>
      <c r="D212" s="822"/>
      <c r="E212" s="822"/>
      <c r="F212" s="822"/>
      <c r="G212" s="822"/>
      <c r="H212" s="822"/>
    </row>
    <row r="213" spans="1:8" ht="18" x14ac:dyDescent="0.35">
      <c r="A213" s="820">
        <v>209</v>
      </c>
      <c r="B213" s="312" t="str">
        <f t="shared" si="3"/>
        <v>Sheet "C_Emissions&amp;Energy" - Installation-level GHG emissions and energy consumption</v>
      </c>
      <c r="C213" s="312" t="s">
        <v>435</v>
      </c>
      <c r="D213" s="822"/>
      <c r="E213" s="822"/>
      <c r="F213" s="822"/>
      <c r="G213" s="822"/>
      <c r="H213" s="822"/>
    </row>
    <row r="214" spans="1:8" ht="12.5" x14ac:dyDescent="0.35">
      <c r="A214" s="820">
        <v>210</v>
      </c>
      <c r="B214" s="157" t="str">
        <f t="shared" si="3"/>
        <v>Values</v>
      </c>
      <c r="C214" s="157" t="s">
        <v>153</v>
      </c>
      <c r="D214" s="822"/>
      <c r="E214" s="822"/>
      <c r="F214" s="822"/>
      <c r="G214" s="822"/>
      <c r="H214" s="822"/>
    </row>
    <row r="215" spans="1:8" ht="15.5" x14ac:dyDescent="0.35">
      <c r="A215" s="820">
        <v>211</v>
      </c>
      <c r="B215" s="311" t="str">
        <f t="shared" si="3"/>
        <v>Fuel balance</v>
      </c>
      <c r="C215" s="311" t="s">
        <v>267</v>
      </c>
      <c r="D215" s="822"/>
      <c r="E215" s="822"/>
      <c r="F215" s="822"/>
      <c r="G215" s="822"/>
      <c r="H215" s="822"/>
    </row>
    <row r="216" spans="1:8" x14ac:dyDescent="0.35">
      <c r="A216" s="820">
        <v>212</v>
      </c>
      <c r="B216" s="1035" t="str">
        <f t="shared" si="3"/>
        <v>Please enter in the table below the amount of energy consumed for each use type:</v>
      </c>
      <c r="C216" s="1035" t="s">
        <v>368</v>
      </c>
      <c r="D216" s="822"/>
      <c r="E216" s="822"/>
      <c r="F216" s="822"/>
      <c r="G216" s="822"/>
      <c r="H216" s="822"/>
    </row>
    <row r="217" spans="1:8" x14ac:dyDescent="0.35">
      <c r="A217" s="820">
        <v>213</v>
      </c>
      <c r="B217" s="1035" t="str">
        <f t="shared" si="3"/>
        <v>Fuel input to all CBAM production processes (including precursors produced within the installation), either directly or via the production of measurable heat (e.g. steam) with the exception of fuel for electricity.</v>
      </c>
      <c r="C217" s="1035" t="s">
        <v>2939</v>
      </c>
      <c r="D217" s="822"/>
      <c r="E217" s="822"/>
      <c r="F217" s="822"/>
      <c r="G217" s="822"/>
      <c r="H217" s="822"/>
    </row>
    <row r="218" spans="1:8" x14ac:dyDescent="0.35">
      <c r="A218" s="820">
        <v>214</v>
      </c>
      <c r="B218" s="1035" t="str">
        <f t="shared" si="3"/>
        <v>Fuel input for electricity production</v>
      </c>
      <c r="C218" s="1035" t="s">
        <v>367</v>
      </c>
      <c r="D218" s="822"/>
      <c r="E218" s="822"/>
      <c r="F218" s="822"/>
      <c r="G218" s="822"/>
      <c r="H218" s="822"/>
    </row>
    <row r="219" spans="1:8" x14ac:dyDescent="0.35">
      <c r="A219" s="820">
        <v>215</v>
      </c>
      <c r="B219" s="1035" t="str">
        <f t="shared" si="3"/>
        <v>Fuel input to all non-CBAM production processes, either directly or via the production of measurable heat (e.g. steam).</v>
      </c>
      <c r="C219" s="1035" t="s">
        <v>369</v>
      </c>
      <c r="D219" s="822"/>
      <c r="E219" s="822"/>
      <c r="F219" s="822"/>
      <c r="G219" s="822"/>
      <c r="H219" s="822"/>
    </row>
    <row r="220" spans="1:8" ht="13" x14ac:dyDescent="0.3">
      <c r="A220" s="820">
        <v>216</v>
      </c>
      <c r="B220" s="1018" t="str">
        <f t="shared" si="3"/>
        <v>Fuel balance:</v>
      </c>
      <c r="C220" s="1018" t="s">
        <v>275</v>
      </c>
      <c r="D220" s="822"/>
      <c r="E220" s="822"/>
      <c r="F220" s="822"/>
      <c r="G220" s="822"/>
      <c r="H220" s="822"/>
    </row>
    <row r="221" spans="1:8" ht="13" x14ac:dyDescent="0.3">
      <c r="A221" s="820">
        <v>217</v>
      </c>
      <c r="B221" s="1036" t="str">
        <f t="shared" si="3"/>
        <v>Unit</v>
      </c>
      <c r="C221" s="1036" t="s">
        <v>6</v>
      </c>
      <c r="D221" s="822"/>
      <c r="E221" s="822"/>
      <c r="F221" s="822"/>
      <c r="G221" s="822"/>
      <c r="H221" s="822"/>
    </row>
    <row r="222" spans="1:8" ht="13" x14ac:dyDescent="0.3">
      <c r="A222" s="820">
        <v>218</v>
      </c>
      <c r="B222" s="1036" t="str">
        <f t="shared" si="3"/>
        <v>Total fuel input</v>
      </c>
      <c r="C222" s="1036" t="s">
        <v>268</v>
      </c>
      <c r="D222" s="822"/>
      <c r="E222" s="822"/>
      <c r="F222" s="822"/>
      <c r="G222" s="822"/>
      <c r="H222" s="822"/>
    </row>
    <row r="223" spans="1:8" ht="13" x14ac:dyDescent="0.3">
      <c r="A223" s="820">
        <v>219</v>
      </c>
      <c r="B223" s="1036" t="str">
        <f t="shared" si="3"/>
        <v>Direct fuel for CBAM goods</v>
      </c>
      <c r="C223" s="1036" t="s">
        <v>270</v>
      </c>
      <c r="D223" s="822"/>
      <c r="E223" s="822"/>
      <c r="F223" s="822"/>
      <c r="G223" s="822"/>
      <c r="H223" s="822"/>
    </row>
    <row r="224" spans="1:8" ht="13" x14ac:dyDescent="0.3">
      <c r="A224" s="820">
        <v>220</v>
      </c>
      <c r="B224" s="1036" t="str">
        <f t="shared" si="3"/>
        <v>Fuel for electricity</v>
      </c>
      <c r="C224" s="1036" t="s">
        <v>269</v>
      </c>
      <c r="D224" s="822"/>
      <c r="E224" s="822"/>
      <c r="F224" s="822"/>
      <c r="G224" s="822"/>
      <c r="H224" s="822"/>
    </row>
    <row r="225" spans="1:8" ht="13" x14ac:dyDescent="0.3">
      <c r="A225" s="820">
        <v>221</v>
      </c>
      <c r="B225" s="1036" t="str">
        <f t="shared" si="3"/>
        <v>Direct fuel for non-CBAM goods</v>
      </c>
      <c r="C225" s="1036" t="s">
        <v>271</v>
      </c>
      <c r="D225" s="822"/>
      <c r="E225" s="822"/>
      <c r="F225" s="822"/>
      <c r="G225" s="822"/>
      <c r="H225" s="822"/>
    </row>
    <row r="226" spans="1:8" ht="13" x14ac:dyDescent="0.3">
      <c r="A226" s="820">
        <v>222</v>
      </c>
      <c r="B226" s="1036" t="str">
        <f t="shared" si="3"/>
        <v>Rest</v>
      </c>
      <c r="C226" s="1036" t="s">
        <v>272</v>
      </c>
      <c r="D226" s="822"/>
      <c r="E226" s="822"/>
      <c r="F226" s="822"/>
      <c r="G226" s="822"/>
      <c r="H226" s="822"/>
    </row>
    <row r="227" spans="1:8" ht="12.5" x14ac:dyDescent="0.35">
      <c r="A227" s="820">
        <v>223</v>
      </c>
      <c r="B227" s="617" t="str">
        <f t="shared" si="3"/>
        <v>from sheet "B_EmInst"</v>
      </c>
      <c r="C227" s="617" t="s">
        <v>353</v>
      </c>
      <c r="D227" s="822"/>
      <c r="E227" s="822"/>
      <c r="F227" s="822"/>
      <c r="G227" s="822"/>
      <c r="H227" s="822"/>
    </row>
    <row r="228" spans="1:8" ht="12.5" x14ac:dyDescent="0.35">
      <c r="A228" s="820">
        <v>224</v>
      </c>
      <c r="B228" s="618" t="str">
        <f t="shared" si="3"/>
        <v>manual entries</v>
      </c>
      <c r="C228" s="618" t="s">
        <v>402</v>
      </c>
      <c r="D228" s="822"/>
      <c r="E228" s="822"/>
      <c r="F228" s="822"/>
      <c r="G228" s="822"/>
      <c r="H228" s="822"/>
    </row>
    <row r="229" spans="1:8" ht="13" x14ac:dyDescent="0.35">
      <c r="A229" s="820">
        <v>225</v>
      </c>
      <c r="B229" s="1037" t="str">
        <f t="shared" si="3"/>
        <v>Results:</v>
      </c>
      <c r="C229" s="1037" t="s">
        <v>191</v>
      </c>
      <c r="D229" s="822"/>
      <c r="E229" s="822"/>
      <c r="F229" s="822"/>
      <c r="G229" s="822"/>
      <c r="H229" s="822"/>
    </row>
    <row r="230" spans="1:8" ht="15.5" x14ac:dyDescent="0.35">
      <c r="A230" s="820">
        <v>226</v>
      </c>
      <c r="B230" s="311" t="str">
        <f t="shared" si="3"/>
        <v>Greenhouse gas emissions balance &amp; information on data quality</v>
      </c>
      <c r="C230" s="311" t="s">
        <v>3051</v>
      </c>
      <c r="D230" s="822"/>
      <c r="E230" s="822"/>
      <c r="F230" s="822"/>
      <c r="G230" s="822"/>
      <c r="H230" s="822"/>
    </row>
    <row r="231" spans="1:8" x14ac:dyDescent="0.35">
      <c r="A231" s="820">
        <v>227</v>
      </c>
      <c r="B231" s="1035" t="str">
        <f t="shared" si="3"/>
        <v>Values below are taken automatically from entries in sheet "B_EmInst". If entries made in that sheet are incomplete, please enter the total emissions figures manually under ii. to override automatic results displayed under i.</v>
      </c>
      <c r="C231" s="1035" t="s">
        <v>401</v>
      </c>
      <c r="D231" s="822"/>
      <c r="E231" s="822"/>
      <c r="F231" s="822"/>
      <c r="G231" s="822"/>
      <c r="H231" s="822"/>
    </row>
    <row r="232" spans="1:8" ht="13" x14ac:dyDescent="0.3">
      <c r="A232" s="820">
        <v>228</v>
      </c>
      <c r="B232" s="1018" t="str">
        <f t="shared" si="3"/>
        <v>Installation level data:</v>
      </c>
      <c r="C232" s="1018" t="s">
        <v>185</v>
      </c>
      <c r="D232" s="822"/>
      <c r="E232" s="822"/>
      <c r="F232" s="822"/>
      <c r="G232" s="822"/>
      <c r="H232" s="822"/>
    </row>
    <row r="233" spans="1:8" ht="13" x14ac:dyDescent="0.3">
      <c r="A233" s="820">
        <v>229</v>
      </c>
      <c r="B233" s="1036" t="str">
        <f t="shared" si="3"/>
        <v>Total CO2 emissions</v>
      </c>
      <c r="C233" s="1036" t="s">
        <v>186</v>
      </c>
      <c r="D233" s="822"/>
      <c r="E233" s="822"/>
      <c r="F233" s="822"/>
      <c r="G233" s="822"/>
      <c r="H233" s="822"/>
    </row>
    <row r="234" spans="1:8" ht="13" x14ac:dyDescent="0.3">
      <c r="A234" s="820">
        <v>230</v>
      </c>
      <c r="B234" s="1036" t="str">
        <f t="shared" si="3"/>
        <v>Biomass emissions</v>
      </c>
      <c r="C234" s="1036" t="s">
        <v>187</v>
      </c>
      <c r="D234" s="822"/>
      <c r="E234" s="822"/>
      <c r="F234" s="822"/>
      <c r="G234" s="822"/>
      <c r="H234" s="822"/>
    </row>
    <row r="235" spans="1:8" ht="13" x14ac:dyDescent="0.3">
      <c r="A235" s="820">
        <v>231</v>
      </c>
      <c r="B235" s="1036" t="str">
        <f t="shared" si="3"/>
        <v>Total N2O emissions</v>
      </c>
      <c r="C235" s="1036" t="s">
        <v>188</v>
      </c>
      <c r="D235" s="822"/>
      <c r="E235" s="822"/>
      <c r="F235" s="822"/>
      <c r="G235" s="822"/>
      <c r="H235" s="822"/>
    </row>
    <row r="236" spans="1:8" ht="13" x14ac:dyDescent="0.3">
      <c r="A236" s="820">
        <v>232</v>
      </c>
      <c r="B236" s="1036" t="str">
        <f t="shared" si="3"/>
        <v>Total PFC emissions</v>
      </c>
      <c r="C236" s="1036" t="s">
        <v>189</v>
      </c>
      <c r="D236" s="822"/>
      <c r="E236" s="822"/>
      <c r="F236" s="822"/>
      <c r="G236" s="822"/>
      <c r="H236" s="822"/>
    </row>
    <row r="237" spans="1:8" ht="13" x14ac:dyDescent="0.3">
      <c r="A237" s="820">
        <v>233</v>
      </c>
      <c r="B237" s="1036" t="str">
        <f t="shared" si="3"/>
        <v>Total direct emissions</v>
      </c>
      <c r="C237" s="1036" t="s">
        <v>190</v>
      </c>
      <c r="D237" s="822"/>
      <c r="E237" s="822"/>
      <c r="F237" s="822"/>
      <c r="G237" s="822"/>
      <c r="H237" s="822"/>
    </row>
    <row r="238" spans="1:8" ht="13" x14ac:dyDescent="0.3">
      <c r="A238" s="820">
        <v>234</v>
      </c>
      <c r="B238" s="1036" t="str">
        <f t="shared" si="3"/>
        <v>Total indirect emissions</v>
      </c>
      <c r="C238" s="1036" t="s">
        <v>2982</v>
      </c>
      <c r="D238" s="822"/>
      <c r="E238" s="822"/>
      <c r="F238" s="822"/>
      <c r="G238" s="822"/>
      <c r="H238" s="822"/>
    </row>
    <row r="239" spans="1:8" ht="13.5" thickBot="1" x14ac:dyDescent="0.35">
      <c r="A239" s="820">
        <v>235</v>
      </c>
      <c r="B239" s="1036" t="str">
        <f t="shared" si="3"/>
        <v>Total emissions</v>
      </c>
      <c r="C239" s="1036" t="s">
        <v>619</v>
      </c>
      <c r="D239" s="822"/>
      <c r="E239" s="822"/>
      <c r="F239" s="822"/>
      <c r="G239" s="822"/>
      <c r="H239" s="822"/>
    </row>
    <row r="240" spans="1:8" ht="13" x14ac:dyDescent="0.35">
      <c r="A240" s="820">
        <v>236</v>
      </c>
      <c r="B240" s="1004" t="str">
        <f t="shared" si="3"/>
        <v>Production processes</v>
      </c>
      <c r="C240" s="1004" t="s">
        <v>405</v>
      </c>
      <c r="D240" s="822"/>
      <c r="E240" s="822"/>
      <c r="F240" s="822"/>
      <c r="G240" s="822"/>
      <c r="H240" s="822"/>
    </row>
    <row r="241" spans="1:8" ht="18" x14ac:dyDescent="0.35">
      <c r="A241" s="820">
        <v>237</v>
      </c>
      <c r="B241" s="312" t="str">
        <f t="shared" si="3"/>
        <v>Sheet "D_Processes" - Production level and attributed emissions for SEE calculation</v>
      </c>
      <c r="C241" s="312" t="s">
        <v>408</v>
      </c>
      <c r="D241" s="822"/>
      <c r="E241" s="822"/>
      <c r="F241" s="822"/>
      <c r="G241" s="822"/>
      <c r="H241" s="822"/>
    </row>
    <row r="242" spans="1:8" ht="15.5" x14ac:dyDescent="0.35">
      <c r="A242" s="820">
        <v>238</v>
      </c>
      <c r="B242" s="311" t="str">
        <f t="shared" si="3"/>
        <v>Data input for the determination of the specific embedded emissions</v>
      </c>
      <c r="C242" s="311" t="s">
        <v>607</v>
      </c>
      <c r="D242" s="822"/>
      <c r="E242" s="822"/>
      <c r="F242" s="822"/>
      <c r="G242" s="822"/>
      <c r="H242" s="822"/>
    </row>
    <row r="243" spans="1:8" ht="13" x14ac:dyDescent="0.35">
      <c r="A243" s="820">
        <v>239</v>
      </c>
      <c r="B243" s="1038" t="str">
        <f t="shared" si="3"/>
        <v>Total production levels:</v>
      </c>
      <c r="C243" s="1038" t="s">
        <v>310</v>
      </c>
      <c r="D243" s="822"/>
      <c r="E243" s="822"/>
      <c r="F243" s="822"/>
      <c r="G243" s="822"/>
      <c r="H243" s="822"/>
    </row>
    <row r="244" spans="1:8" ht="13" x14ac:dyDescent="0.35">
      <c r="A244" s="820">
        <v>240</v>
      </c>
      <c r="B244" s="1039" t="str">
        <f t="shared" si="3"/>
        <v>Production route</v>
      </c>
      <c r="C244" s="1039" t="s">
        <v>1</v>
      </c>
      <c r="D244" s="822"/>
      <c r="E244" s="822"/>
      <c r="F244" s="822"/>
      <c r="G244" s="822"/>
      <c r="H244" s="822"/>
    </row>
    <row r="245" spans="1:8" ht="13" x14ac:dyDescent="0.35">
      <c r="A245" s="820">
        <v>241</v>
      </c>
      <c r="B245" s="1040" t="str">
        <f t="shared" si="3"/>
        <v>Amounts</v>
      </c>
      <c r="C245" s="1040" t="s">
        <v>36</v>
      </c>
      <c r="D245" s="822"/>
      <c r="E245" s="822"/>
      <c r="F245" s="822"/>
      <c r="G245" s="822"/>
      <c r="H245" s="822"/>
    </row>
    <row r="246" spans="1:8" ht="13" x14ac:dyDescent="0.35">
      <c r="A246" s="820">
        <v>242</v>
      </c>
      <c r="B246" s="1037" t="str">
        <f t="shared" si="3"/>
        <v>Total production within installation (= denominator for SEE calculation):</v>
      </c>
      <c r="C246" s="1037" t="s">
        <v>431</v>
      </c>
      <c r="D246" s="822"/>
      <c r="E246" s="822"/>
      <c r="F246" s="822"/>
      <c r="G246" s="822"/>
      <c r="H246" s="822"/>
    </row>
    <row r="247" spans="1:8" ht="13" x14ac:dyDescent="0.35">
      <c r="A247" s="820">
        <v>243</v>
      </c>
      <c r="B247" s="1041" t="str">
        <f t="shared" si="3"/>
        <v>Production details</v>
      </c>
      <c r="C247" s="1041" t="s">
        <v>596</v>
      </c>
      <c r="D247" s="822"/>
      <c r="E247" s="822"/>
      <c r="F247" s="822"/>
      <c r="G247" s="822"/>
      <c r="H247" s="822"/>
    </row>
    <row r="248" spans="1:8" ht="13" x14ac:dyDescent="0.35">
      <c r="A248" s="820">
        <v>244</v>
      </c>
      <c r="B248" s="1037" t="str">
        <f t="shared" si="3"/>
        <v>Produced for the market</v>
      </c>
      <c r="C248" s="1037" t="s">
        <v>311</v>
      </c>
      <c r="D248" s="822"/>
      <c r="E248" s="822"/>
      <c r="F248" s="822"/>
      <c r="G248" s="822"/>
      <c r="H248" s="822"/>
    </row>
    <row r="249" spans="1:8" ht="12.5" x14ac:dyDescent="0.35">
      <c r="A249" s="820">
        <v>245</v>
      </c>
      <c r="B249" s="617" t="str">
        <f t="shared" si="3"/>
        <v>Share of total under (a) produced for the market</v>
      </c>
      <c r="C249" s="617" t="s">
        <v>2814</v>
      </c>
      <c r="D249" s="822"/>
      <c r="E249" s="822"/>
      <c r="F249" s="822"/>
      <c r="G249" s="822"/>
      <c r="H249" s="822"/>
    </row>
    <row r="250" spans="1:8" ht="12.5" x14ac:dyDescent="0.35">
      <c r="A250" s="820">
        <v>246</v>
      </c>
      <c r="B250" s="618" t="str">
        <f t="shared" si="3"/>
        <v>Total production only for the market?</v>
      </c>
      <c r="C250" s="618" t="s">
        <v>279</v>
      </c>
      <c r="D250" s="822"/>
      <c r="E250" s="822"/>
      <c r="F250" s="822"/>
      <c r="G250" s="822"/>
      <c r="H250" s="822"/>
    </row>
    <row r="251" spans="1:8" ht="13" x14ac:dyDescent="0.35">
      <c r="A251" s="820">
        <v>247</v>
      </c>
      <c r="B251" s="1041" t="str">
        <f t="shared" si="3"/>
        <v>Consumed in other 'production processes' within the installation:</v>
      </c>
      <c r="C251" s="1041" t="s">
        <v>2896</v>
      </c>
      <c r="D251" s="822"/>
      <c r="E251" s="822"/>
      <c r="F251" s="822"/>
      <c r="G251" s="822"/>
      <c r="H251" s="822"/>
    </row>
    <row r="252" spans="1:8" ht="13" x14ac:dyDescent="0.35">
      <c r="A252" s="820">
        <v>248</v>
      </c>
      <c r="B252" s="1041" t="str">
        <f t="shared" si="3"/>
        <v>Consumed for non-CBAM goods within the installation:</v>
      </c>
      <c r="C252" s="1041" t="s">
        <v>278</v>
      </c>
      <c r="D252" s="822"/>
      <c r="E252" s="822"/>
      <c r="F252" s="822"/>
      <c r="G252" s="822"/>
      <c r="H252" s="822"/>
    </row>
    <row r="253" spans="1:8" ht="13" x14ac:dyDescent="0.35">
      <c r="A253" s="820">
        <v>249</v>
      </c>
      <c r="B253" s="1037" t="str">
        <f t="shared" si="3"/>
        <v>Control:</v>
      </c>
      <c r="C253" s="1037" t="s">
        <v>37</v>
      </c>
      <c r="D253" s="822"/>
      <c r="E253" s="822"/>
      <c r="F253" s="822"/>
      <c r="G253" s="822"/>
      <c r="H253" s="822"/>
    </row>
    <row r="254" spans="1:8" ht="15.5" x14ac:dyDescent="0.35">
      <c r="A254" s="820">
        <v>250</v>
      </c>
      <c r="B254" s="193" t="str">
        <f t="shared" si="3"/>
        <v>Calculation of the attributed emissions:</v>
      </c>
      <c r="C254" s="193" t="s">
        <v>403</v>
      </c>
      <c r="D254" s="822"/>
      <c r="E254" s="822"/>
      <c r="F254" s="822"/>
      <c r="G254" s="822"/>
      <c r="H254" s="822"/>
    </row>
    <row r="255" spans="1:8" ht="13" x14ac:dyDescent="0.3">
      <c r="A255" s="820">
        <v>251</v>
      </c>
      <c r="B255" s="1042" t="str">
        <f t="shared" si="3"/>
        <v>Measurable heat</v>
      </c>
      <c r="C255" s="1042" t="s">
        <v>123</v>
      </c>
      <c r="D255" s="822"/>
      <c r="E255" s="822"/>
      <c r="F255" s="822"/>
      <c r="G255" s="822"/>
      <c r="H255" s="822"/>
    </row>
    <row r="256" spans="1:8" ht="13" x14ac:dyDescent="0.3">
      <c r="A256" s="820">
        <v>252</v>
      </c>
      <c r="B256" s="1042" t="str">
        <f t="shared" si="3"/>
        <v>Waste gases</v>
      </c>
      <c r="C256" s="1042" t="s">
        <v>120</v>
      </c>
      <c r="D256" s="822"/>
      <c r="E256" s="822"/>
      <c r="F256" s="822"/>
      <c r="G256" s="822"/>
      <c r="H256" s="822"/>
    </row>
    <row r="257" spans="1:8" ht="13" x14ac:dyDescent="0.3">
      <c r="A257" s="820">
        <v>253</v>
      </c>
      <c r="B257" s="1042" t="str">
        <f t="shared" si="3"/>
        <v>Indirect emissions</v>
      </c>
      <c r="C257" s="1042" t="s">
        <v>50</v>
      </c>
      <c r="D257" s="822"/>
      <c r="E257" s="822"/>
      <c r="F257" s="822"/>
      <c r="G257" s="822"/>
      <c r="H257" s="822"/>
    </row>
    <row r="258" spans="1:8" ht="13" x14ac:dyDescent="0.35">
      <c r="A258" s="820">
        <v>254</v>
      </c>
      <c r="B258" s="1043" t="str">
        <f t="shared" si="3"/>
        <v>Please select which elements are applicable</v>
      </c>
      <c r="C258" s="1043" t="s">
        <v>124</v>
      </c>
      <c r="D258" s="822"/>
      <c r="E258" s="822"/>
      <c r="F258" s="822"/>
      <c r="G258" s="822"/>
      <c r="H258" s="822"/>
    </row>
    <row r="259" spans="1:8" x14ac:dyDescent="0.35">
      <c r="A259" s="820">
        <v>255</v>
      </c>
      <c r="B259" s="1044" t="str">
        <f t="shared" si="3"/>
        <v>Based on your selection, related sections below might become irrelevant and greyed out below.</v>
      </c>
      <c r="C259" s="1044" t="s">
        <v>2774</v>
      </c>
      <c r="D259" s="822"/>
      <c r="E259" s="822"/>
      <c r="F259" s="822"/>
      <c r="G259" s="822"/>
      <c r="H259" s="822"/>
    </row>
    <row r="260" spans="1:8" ht="13" x14ac:dyDescent="0.35">
      <c r="A260" s="820">
        <v>256</v>
      </c>
      <c r="B260" s="1045" t="str">
        <f t="shared" si="3"/>
        <v>Value</v>
      </c>
      <c r="C260" s="1045" t="s">
        <v>5</v>
      </c>
      <c r="D260" s="822"/>
      <c r="E260" s="822"/>
      <c r="F260" s="822"/>
      <c r="G260" s="822"/>
      <c r="H260" s="822"/>
    </row>
    <row r="261" spans="1:8" ht="13" x14ac:dyDescent="0.35">
      <c r="A261" s="820">
        <v>257</v>
      </c>
      <c r="B261" s="1043" t="str">
        <f t="shared" si="3"/>
        <v>Directly attributable emissions (DirEm*)</v>
      </c>
      <c r="C261" s="1043" t="s">
        <v>7</v>
      </c>
      <c r="D261" s="822"/>
      <c r="E261" s="822"/>
      <c r="F261" s="822"/>
      <c r="G261" s="822"/>
      <c r="H261" s="822"/>
    </row>
    <row r="262" spans="1:8" ht="13" x14ac:dyDescent="0.35">
      <c r="A262" s="820">
        <v>258</v>
      </c>
      <c r="B262" s="1045" t="str">
        <f t="shared" ref="B262:B325" si="4">IFERROR(INDEX(C262:M262,$A$3-2),$C262)</f>
        <v>Import and export of measurable heat</v>
      </c>
      <c r="C262" s="1045" t="s">
        <v>11</v>
      </c>
      <c r="D262" s="822"/>
      <c r="E262" s="822"/>
      <c r="F262" s="822"/>
      <c r="G262" s="822"/>
      <c r="H262" s="822"/>
    </row>
    <row r="263" spans="1:8" ht="13" x14ac:dyDescent="0.35">
      <c r="A263" s="820">
        <v>259</v>
      </c>
      <c r="B263" s="1045" t="str">
        <f t="shared" si="4"/>
        <v>Imported</v>
      </c>
      <c r="C263" s="1045" t="s">
        <v>8</v>
      </c>
      <c r="D263" s="822"/>
      <c r="E263" s="822"/>
      <c r="F263" s="822"/>
      <c r="G263" s="822"/>
      <c r="H263" s="822"/>
    </row>
    <row r="264" spans="1:8" ht="13" x14ac:dyDescent="0.35">
      <c r="A264" s="820">
        <v>260</v>
      </c>
      <c r="B264" s="1045" t="str">
        <f t="shared" si="4"/>
        <v>Exported</v>
      </c>
      <c r="C264" s="1045" t="s">
        <v>9</v>
      </c>
      <c r="D264" s="822"/>
      <c r="E264" s="822"/>
      <c r="F264" s="822"/>
      <c r="G264" s="822"/>
      <c r="H264" s="822"/>
    </row>
    <row r="265" spans="1:8" ht="12.5" x14ac:dyDescent="0.35">
      <c r="A265" s="820">
        <v>261</v>
      </c>
      <c r="B265" s="1046" t="str">
        <f t="shared" si="4"/>
        <v>Amount of net measurable heat</v>
      </c>
      <c r="C265" s="1046" t="s">
        <v>2904</v>
      </c>
      <c r="D265" s="822"/>
      <c r="E265" s="822"/>
      <c r="F265" s="822"/>
      <c r="G265" s="822"/>
      <c r="H265" s="822"/>
    </row>
    <row r="266" spans="1:8" ht="12.5" x14ac:dyDescent="0.35">
      <c r="A266" s="820">
        <v>262</v>
      </c>
      <c r="B266" s="1046" t="str">
        <f t="shared" si="4"/>
        <v>Emissions factor</v>
      </c>
      <c r="C266" s="1046" t="s">
        <v>122</v>
      </c>
      <c r="D266" s="822"/>
      <c r="E266" s="822"/>
      <c r="F266" s="822"/>
      <c r="G266" s="822"/>
      <c r="H266" s="822"/>
    </row>
    <row r="267" spans="1:8" ht="12.5" x14ac:dyDescent="0.35">
      <c r="A267" s="820">
        <v>263</v>
      </c>
      <c r="B267" s="1046" t="str">
        <f t="shared" si="4"/>
        <v>Amount of waste gas</v>
      </c>
      <c r="C267" s="1046" t="s">
        <v>121</v>
      </c>
      <c r="D267" s="822"/>
      <c r="E267" s="822"/>
      <c r="F267" s="822"/>
      <c r="G267" s="822"/>
      <c r="H267" s="822"/>
    </row>
    <row r="268" spans="1:8" ht="12.5" x14ac:dyDescent="0.35">
      <c r="A268" s="820">
        <v>264</v>
      </c>
      <c r="B268" s="1046" t="str">
        <f t="shared" si="4"/>
        <v>Emission factor</v>
      </c>
      <c r="C268" s="1046" t="s">
        <v>117</v>
      </c>
      <c r="D268" s="822"/>
      <c r="E268" s="822"/>
      <c r="F268" s="822"/>
      <c r="G268" s="822"/>
      <c r="H268" s="822"/>
    </row>
    <row r="269" spans="1:8" ht="13" x14ac:dyDescent="0.35">
      <c r="A269" s="820">
        <v>265</v>
      </c>
      <c r="B269" s="1045" t="str">
        <f t="shared" si="4"/>
        <v>Indirect emissions from electricity consumption</v>
      </c>
      <c r="C269" s="1045" t="s">
        <v>119</v>
      </c>
      <c r="D269" s="822"/>
      <c r="E269" s="822"/>
      <c r="F269" s="822"/>
      <c r="G269" s="822"/>
      <c r="H269" s="822"/>
    </row>
    <row r="270" spans="1:8" ht="12.5" x14ac:dyDescent="0.35">
      <c r="A270" s="820">
        <v>266</v>
      </c>
      <c r="B270" s="1046" t="str">
        <f t="shared" si="4"/>
        <v>Electricity consumption</v>
      </c>
      <c r="C270" s="1046" t="s">
        <v>10</v>
      </c>
      <c r="D270" s="822"/>
      <c r="E270" s="822"/>
      <c r="F270" s="822"/>
      <c r="G270" s="822"/>
      <c r="H270" s="822"/>
    </row>
    <row r="271" spans="1:8" ht="12.5" x14ac:dyDescent="0.35">
      <c r="A271" s="820">
        <v>267</v>
      </c>
      <c r="B271" s="1046" t="str">
        <f t="shared" si="4"/>
        <v>Emission factor of the electricity</v>
      </c>
      <c r="C271" s="1046" t="s">
        <v>594</v>
      </c>
      <c r="D271" s="822"/>
      <c r="E271" s="822"/>
      <c r="F271" s="822"/>
      <c r="G271" s="822"/>
      <c r="H271" s="822"/>
    </row>
    <row r="272" spans="1:8" ht="12.5" x14ac:dyDescent="0.35">
      <c r="A272" s="820">
        <v>268</v>
      </c>
      <c r="B272" s="1046" t="str">
        <f t="shared" si="4"/>
        <v>Source of the emission factor</v>
      </c>
      <c r="C272" s="1046" t="s">
        <v>593</v>
      </c>
      <c r="D272" s="822"/>
      <c r="E272" s="822"/>
      <c r="F272" s="822"/>
      <c r="G272" s="822"/>
      <c r="H272" s="822"/>
    </row>
    <row r="273" spans="1:8" ht="13" x14ac:dyDescent="0.35">
      <c r="A273" s="820">
        <v>269</v>
      </c>
      <c r="B273" s="1045" t="str">
        <f t="shared" si="4"/>
        <v>Electricity exported from the production process</v>
      </c>
      <c r="C273" s="1045" t="s">
        <v>404</v>
      </c>
      <c r="D273" s="822"/>
      <c r="E273" s="822"/>
      <c r="F273" s="822"/>
      <c r="G273" s="822"/>
      <c r="H273" s="822"/>
    </row>
    <row r="274" spans="1:8" ht="12.5" x14ac:dyDescent="0.35">
      <c r="A274" s="820">
        <v>270</v>
      </c>
      <c r="B274" s="1046" t="str">
        <f t="shared" si="4"/>
        <v>Amounts exported</v>
      </c>
      <c r="C274" s="1046" t="s">
        <v>595</v>
      </c>
      <c r="D274" s="822"/>
      <c r="E274" s="822"/>
      <c r="F274" s="822"/>
      <c r="G274" s="822"/>
      <c r="H274" s="822"/>
    </row>
    <row r="275" spans="1:8" ht="18" x14ac:dyDescent="0.35">
      <c r="A275" s="820">
        <v>271</v>
      </c>
      <c r="B275" s="312" t="str">
        <f t="shared" si="4"/>
        <v>Sheet "E_PurchPrec" - Purchased precursors for SEE calculation</v>
      </c>
      <c r="C275" s="312" t="s">
        <v>430</v>
      </c>
      <c r="D275" s="822"/>
      <c r="E275" s="822"/>
      <c r="F275" s="822"/>
      <c r="G275" s="822"/>
      <c r="H275" s="822"/>
    </row>
    <row r="276" spans="1:8" ht="13" x14ac:dyDescent="0.35">
      <c r="A276" s="820">
        <v>272</v>
      </c>
      <c r="B276" s="1038" t="str">
        <f t="shared" si="4"/>
        <v>Total purchased levels:</v>
      </c>
      <c r="C276" s="1038" t="s">
        <v>363</v>
      </c>
      <c r="D276" s="822"/>
      <c r="E276" s="822"/>
      <c r="F276" s="822"/>
      <c r="G276" s="822"/>
      <c r="H276" s="822"/>
    </row>
    <row r="277" spans="1:8" ht="13" x14ac:dyDescent="0.35">
      <c r="A277" s="820">
        <v>273</v>
      </c>
      <c r="B277" s="1037" t="str">
        <f t="shared" si="4"/>
        <v>Total consumption within installation:</v>
      </c>
      <c r="C277" s="1037" t="s">
        <v>376</v>
      </c>
      <c r="D277" s="822"/>
      <c r="E277" s="822"/>
      <c r="F277" s="822"/>
      <c r="G277" s="822"/>
      <c r="H277" s="822"/>
    </row>
    <row r="278" spans="1:8" ht="13" x14ac:dyDescent="0.35">
      <c r="A278" s="820">
        <v>274</v>
      </c>
      <c r="B278" s="1041" t="str">
        <f t="shared" si="4"/>
        <v>Consumed in "production processes" within the installation:</v>
      </c>
      <c r="C278" s="1041" t="s">
        <v>4133</v>
      </c>
      <c r="D278" s="822"/>
      <c r="E278" s="822"/>
      <c r="F278" s="822"/>
      <c r="G278" s="822"/>
      <c r="H278" s="822"/>
    </row>
    <row r="279" spans="1:8" ht="15.5" x14ac:dyDescent="0.35">
      <c r="A279" s="820">
        <v>275</v>
      </c>
      <c r="B279" s="193" t="str">
        <f t="shared" si="4"/>
        <v>Specific embedded emissions:</v>
      </c>
      <c r="C279" s="193" t="s">
        <v>421</v>
      </c>
      <c r="D279" s="822"/>
      <c r="E279" s="822"/>
      <c r="F279" s="822"/>
      <c r="G279" s="822"/>
      <c r="H279" s="822"/>
    </row>
    <row r="280" spans="1:8" ht="13" x14ac:dyDescent="0.35">
      <c r="A280" s="820">
        <v>276</v>
      </c>
      <c r="B280" s="1045" t="str">
        <f t="shared" si="4"/>
        <v>Emissions embedded in this purchased precursor</v>
      </c>
      <c r="C280" s="1045" t="s">
        <v>424</v>
      </c>
      <c r="D280" s="822"/>
      <c r="E280" s="822"/>
      <c r="F280" s="822"/>
      <c r="G280" s="822"/>
      <c r="H280" s="822"/>
    </row>
    <row r="281" spans="1:8" x14ac:dyDescent="0.35">
      <c r="A281" s="820">
        <v>277</v>
      </c>
      <c r="B281" s="643" t="str">
        <f t="shared" si="4"/>
        <v>Please enter here the values and sources for the specific embedded direct and indirect emissions, as obtained from the supplier.</v>
      </c>
      <c r="C281" s="643" t="s">
        <v>4134</v>
      </c>
      <c r="D281" s="822"/>
      <c r="E281" s="822"/>
      <c r="F281" s="822"/>
      <c r="G281" s="822"/>
      <c r="H281" s="822"/>
    </row>
    <row r="282" spans="1:8" x14ac:dyDescent="0.35">
      <c r="A282" s="820">
        <v>278</v>
      </c>
      <c r="B282" s="643" t="str">
        <f t="shared" si="4"/>
        <v>For the SEE (direct), the 'Type of value' relates to whether the direct emissions are measured, or whether a default value provided by the European Commission was applied.</v>
      </c>
      <c r="C282" s="643" t="s">
        <v>3065</v>
      </c>
      <c r="D282" s="822"/>
      <c r="E282" s="822"/>
      <c r="F282" s="822"/>
      <c r="G282" s="822"/>
      <c r="H282" s="822"/>
    </row>
    <row r="283" spans="1:8" x14ac:dyDescent="0.35">
      <c r="A283" s="820">
        <v>279</v>
      </c>
      <c r="B283" s="643" t="str">
        <f t="shared" si="4"/>
        <v>In order to obtain these data and information, you may want to ask your supplier to fill in an empty copy of this communication template.</v>
      </c>
      <c r="C283" s="643" t="s">
        <v>2773</v>
      </c>
      <c r="D283" s="822"/>
      <c r="E283" s="822"/>
      <c r="F283" s="822"/>
      <c r="G283" s="822"/>
      <c r="H283" s="822"/>
    </row>
    <row r="284" spans="1:8" ht="13" x14ac:dyDescent="0.35">
      <c r="A284" s="820">
        <v>280</v>
      </c>
      <c r="B284" s="1045" t="str">
        <f t="shared" si="4"/>
        <v>Parameter:</v>
      </c>
      <c r="C284" s="1045" t="s">
        <v>410</v>
      </c>
      <c r="D284" s="822"/>
      <c r="E284" s="822"/>
      <c r="F284" s="822"/>
      <c r="G284" s="822"/>
      <c r="H284" s="822"/>
    </row>
    <row r="285" spans="1:8" ht="13" x14ac:dyDescent="0.35">
      <c r="A285" s="820">
        <v>281</v>
      </c>
      <c r="B285" s="1045" t="str">
        <f t="shared" si="4"/>
        <v>Source</v>
      </c>
      <c r="C285" s="1045" t="s">
        <v>2772</v>
      </c>
      <c r="D285" s="822"/>
      <c r="E285" s="822"/>
      <c r="F285" s="822"/>
      <c r="G285" s="822"/>
      <c r="H285" s="822"/>
    </row>
    <row r="286" spans="1:8" ht="12.5" x14ac:dyDescent="0.35">
      <c r="A286" s="820">
        <v>282</v>
      </c>
      <c r="B286" s="1046" t="str">
        <f t="shared" si="4"/>
        <v>Specific embedded direct emissions (SEE (direct) )</v>
      </c>
      <c r="C286" s="1046" t="s">
        <v>4135</v>
      </c>
      <c r="D286" s="822"/>
      <c r="E286" s="822"/>
      <c r="F286" s="822"/>
      <c r="G286" s="822"/>
      <c r="H286" s="822"/>
    </row>
    <row r="287" spans="1:8" ht="13" thickBot="1" x14ac:dyDescent="0.4">
      <c r="A287" s="820">
        <v>283</v>
      </c>
      <c r="B287" s="1046" t="str">
        <f t="shared" si="4"/>
        <v>Specific embedded indirect emissions (SEE (indirect) )</v>
      </c>
      <c r="C287" s="1046" t="s">
        <v>4136</v>
      </c>
      <c r="D287" s="822"/>
      <c r="E287" s="822"/>
      <c r="F287" s="822"/>
      <c r="G287" s="822"/>
      <c r="H287" s="822"/>
    </row>
    <row r="288" spans="1:8" ht="13" x14ac:dyDescent="0.35">
      <c r="A288" s="820">
        <v>284</v>
      </c>
      <c r="B288" s="1004" t="str">
        <f t="shared" si="4"/>
        <v>Tools</v>
      </c>
      <c r="C288" s="1004" t="s">
        <v>366</v>
      </c>
      <c r="D288" s="822"/>
      <c r="E288" s="822"/>
      <c r="F288" s="822"/>
      <c r="G288" s="822"/>
      <c r="H288" s="822"/>
    </row>
    <row r="289" spans="1:8" ht="18" x14ac:dyDescent="0.35">
      <c r="A289" s="820">
        <v>285</v>
      </c>
      <c r="B289" s="312" t="str">
        <f t="shared" si="4"/>
        <v>Sheet "F_Tools" - Tools for facilitating reporting</v>
      </c>
      <c r="C289" s="312" t="s">
        <v>2823</v>
      </c>
      <c r="D289" s="822"/>
      <c r="E289" s="822"/>
      <c r="F289" s="822"/>
      <c r="G289" s="822"/>
      <c r="H289" s="822"/>
    </row>
    <row r="290" spans="1:8" ht="15.5" x14ac:dyDescent="0.35">
      <c r="A290" s="820">
        <v>286</v>
      </c>
      <c r="B290" s="311" t="str">
        <f t="shared" si="4"/>
        <v>Cogeneration Tool</v>
      </c>
      <c r="C290" s="311" t="s">
        <v>637</v>
      </c>
      <c r="D290" s="822"/>
      <c r="E290" s="822"/>
      <c r="F290" s="822"/>
      <c r="G290" s="822"/>
      <c r="H290" s="822"/>
    </row>
    <row r="291" spans="1:8" x14ac:dyDescent="0.35">
      <c r="A291" s="820">
        <v>287</v>
      </c>
      <c r="B291" s="644" t="str">
        <f t="shared" si="4"/>
        <v>This is a tool for attributing fuels and emissions of CHPs to heat and electricity output.</v>
      </c>
      <c r="C291" s="644" t="s">
        <v>2913</v>
      </c>
      <c r="D291" s="822"/>
      <c r="E291" s="822"/>
      <c r="F291" s="822"/>
      <c r="G291" s="822"/>
      <c r="H291" s="822"/>
    </row>
    <row r="292" spans="1:8" x14ac:dyDescent="0.35">
      <c r="A292" s="820">
        <v>288</v>
      </c>
      <c r="B292" s="644" t="str">
        <f t="shared" si="4"/>
        <v>This tool exists twofold in this template and each tool should only be used for one CHP. If more CHPs are relevant, you must aggregate energy amounts and emissions from multiple CHPs.</v>
      </c>
      <c r="C292" s="644" t="s">
        <v>4137</v>
      </c>
      <c r="D292" s="822"/>
      <c r="E292" s="822"/>
      <c r="F292" s="822"/>
      <c r="G292" s="822"/>
      <c r="H292" s="822"/>
    </row>
    <row r="293" spans="1:8" x14ac:dyDescent="0.35">
      <c r="A293" s="820">
        <v>289</v>
      </c>
      <c r="B293" s="644" t="str">
        <f t="shared" si="4"/>
        <v>Periods during which the CHP is operated in heat-only or electricity-only generation mode (i.e. periods during which only one of the two products was produced) should be excluded and assignment of fuels and emissions should be calculated separately.</v>
      </c>
      <c r="C293" s="644" t="s">
        <v>2914</v>
      </c>
      <c r="D293" s="822"/>
      <c r="E293" s="822"/>
      <c r="F293" s="822"/>
      <c r="G293" s="822"/>
      <c r="H293" s="822"/>
    </row>
    <row r="294" spans="1:8" ht="14" x14ac:dyDescent="0.35">
      <c r="A294" s="820">
        <v>290</v>
      </c>
      <c r="B294" s="1047" t="str">
        <f t="shared" si="4"/>
        <v>Tool to calculate the emissions attributable to heat production in combined heat and power units (CHP)</v>
      </c>
      <c r="C294" s="1047" t="s">
        <v>3027</v>
      </c>
      <c r="D294" s="822"/>
      <c r="E294" s="822"/>
      <c r="F294" s="822"/>
      <c r="G294" s="822"/>
      <c r="H294" s="822"/>
    </row>
    <row r="295" spans="1:8" ht="13" x14ac:dyDescent="0.35">
      <c r="A295" s="820">
        <v>291</v>
      </c>
      <c r="B295" s="645" t="str">
        <f t="shared" si="4"/>
        <v>Total amount of fuel input into CHP units</v>
      </c>
      <c r="C295" s="645" t="s">
        <v>611</v>
      </c>
      <c r="D295" s="822"/>
      <c r="E295" s="822"/>
      <c r="F295" s="822"/>
      <c r="G295" s="822"/>
      <c r="H295" s="822"/>
    </row>
    <row r="296" spans="1:8" x14ac:dyDescent="0.35">
      <c r="A296" s="820">
        <v>292</v>
      </c>
      <c r="B296" s="646" t="str">
        <f t="shared" si="4"/>
        <v>Please enter here the annual fuel input into the CHP unit, the net amount of heat produced and the net amount of electricity (or mechanical energy, where applicable) produced by the CHP.</v>
      </c>
      <c r="C296" s="646" t="s">
        <v>2867</v>
      </c>
      <c r="D296" s="822"/>
      <c r="E296" s="822"/>
      <c r="F296" s="822"/>
      <c r="G296" s="822"/>
      <c r="H296" s="822"/>
    </row>
    <row r="297" spans="1:8" ht="13" x14ac:dyDescent="0.3">
      <c r="A297" s="820">
        <v>293</v>
      </c>
      <c r="B297" s="1048" t="str">
        <f t="shared" si="4"/>
        <v>Parameter</v>
      </c>
      <c r="C297" s="1048" t="s">
        <v>641</v>
      </c>
      <c r="D297" s="822"/>
      <c r="E297" s="822"/>
      <c r="F297" s="822"/>
      <c r="G297" s="822"/>
      <c r="H297" s="822"/>
    </row>
    <row r="298" spans="1:8" ht="13" x14ac:dyDescent="0.3">
      <c r="A298" s="820">
        <v>294</v>
      </c>
      <c r="B298" s="1049" t="str">
        <f t="shared" si="4"/>
        <v>Fuel input into CHP</v>
      </c>
      <c r="C298" s="1049" t="s">
        <v>612</v>
      </c>
      <c r="D298" s="822"/>
      <c r="E298" s="822"/>
      <c r="F298" s="822"/>
      <c r="G298" s="822"/>
      <c r="H298" s="822"/>
    </row>
    <row r="299" spans="1:8" ht="13" x14ac:dyDescent="0.3">
      <c r="A299" s="820">
        <v>295</v>
      </c>
      <c r="B299" s="1049" t="str">
        <f t="shared" si="4"/>
        <v>Heat output from CHP</v>
      </c>
      <c r="C299" s="1049" t="s">
        <v>613</v>
      </c>
      <c r="D299" s="822"/>
      <c r="E299" s="822"/>
      <c r="F299" s="822"/>
      <c r="G299" s="822"/>
      <c r="H299" s="822"/>
    </row>
    <row r="300" spans="1:8" ht="13" x14ac:dyDescent="0.3">
      <c r="A300" s="820">
        <v>296</v>
      </c>
      <c r="B300" s="1049" t="str">
        <f t="shared" si="4"/>
        <v>Electricity output from CHP</v>
      </c>
      <c r="C300" s="1049" t="s">
        <v>614</v>
      </c>
      <c r="D300" s="822"/>
      <c r="E300" s="822"/>
      <c r="F300" s="822"/>
      <c r="G300" s="822"/>
      <c r="H300" s="822"/>
    </row>
    <row r="301" spans="1:8" ht="12.5" x14ac:dyDescent="0.35">
      <c r="A301" s="820">
        <v>297</v>
      </c>
      <c r="B301" s="1050" t="str">
        <f t="shared" si="4"/>
        <v>Inputs and outputs</v>
      </c>
      <c r="C301" s="1050" t="s">
        <v>642</v>
      </c>
      <c r="D301" s="822"/>
      <c r="E301" s="822"/>
      <c r="F301" s="822"/>
      <c r="G301" s="822"/>
      <c r="H301" s="822"/>
    </row>
    <row r="302" spans="1:8" ht="13" x14ac:dyDescent="0.35">
      <c r="A302" s="820">
        <v>298</v>
      </c>
      <c r="B302" s="645" t="str">
        <f t="shared" si="4"/>
        <v>Total emissions from CHP</v>
      </c>
      <c r="C302" s="645" t="s">
        <v>615</v>
      </c>
      <c r="D302" s="822"/>
      <c r="E302" s="822"/>
      <c r="F302" s="822"/>
      <c r="G302" s="822"/>
      <c r="H302" s="822"/>
    </row>
    <row r="303" spans="1:8" x14ac:dyDescent="0.35">
      <c r="A303" s="820">
        <v>299</v>
      </c>
      <c r="B303" s="647" t="str">
        <f t="shared" si="4"/>
        <v>Values should distinguish between emissions from fuel input and from flue gas cleaning.</v>
      </c>
      <c r="C303" s="647" t="s">
        <v>616</v>
      </c>
      <c r="D303" s="822"/>
      <c r="E303" s="822"/>
      <c r="F303" s="822"/>
      <c r="G303" s="822"/>
      <c r="H303" s="822"/>
    </row>
    <row r="304" spans="1:8" ht="13" x14ac:dyDescent="0.3">
      <c r="A304" s="820">
        <v>300</v>
      </c>
      <c r="B304" s="1049" t="str">
        <f t="shared" si="4"/>
        <v>From fuel input to CHP</v>
      </c>
      <c r="C304" s="1049" t="s">
        <v>617</v>
      </c>
      <c r="D304" s="822"/>
      <c r="E304" s="822"/>
      <c r="F304" s="822"/>
      <c r="G304" s="822"/>
      <c r="H304" s="822"/>
    </row>
    <row r="305" spans="1:8" ht="13" x14ac:dyDescent="0.3">
      <c r="A305" s="820">
        <v>301</v>
      </c>
      <c r="B305" s="1049" t="str">
        <f t="shared" si="4"/>
        <v>From flue gas cleaning</v>
      </c>
      <c r="C305" s="1049" t="s">
        <v>618</v>
      </c>
      <c r="D305" s="822"/>
      <c r="E305" s="822"/>
      <c r="F305" s="822"/>
      <c r="G305" s="822"/>
      <c r="H305" s="822"/>
    </row>
    <row r="306" spans="1:8" ht="12.5" x14ac:dyDescent="0.35">
      <c r="A306" s="820">
        <v>302</v>
      </c>
      <c r="B306" s="1050" t="str">
        <f t="shared" si="4"/>
        <v>GHG emissions</v>
      </c>
      <c r="C306" s="1050" t="s">
        <v>646</v>
      </c>
      <c r="D306" s="822"/>
      <c r="E306" s="822"/>
      <c r="F306" s="822"/>
      <c r="G306" s="822"/>
      <c r="H306" s="822"/>
    </row>
    <row r="307" spans="1:8" ht="12.5" x14ac:dyDescent="0.35">
      <c r="A307" s="820">
        <v>303</v>
      </c>
      <c r="B307" s="1051" t="str">
        <f t="shared" si="4"/>
        <v>t CO2/year</v>
      </c>
      <c r="C307" s="1051" t="s">
        <v>2760</v>
      </c>
      <c r="D307" s="822"/>
      <c r="E307" s="822"/>
      <c r="F307" s="822"/>
      <c r="G307" s="822"/>
      <c r="H307" s="822"/>
    </row>
    <row r="308" spans="1:8" ht="13" x14ac:dyDescent="0.35">
      <c r="A308" s="820">
        <v>304</v>
      </c>
      <c r="B308" s="648" t="str">
        <f t="shared" si="4"/>
        <v>Default efficiencies:</v>
      </c>
      <c r="C308" s="648" t="s">
        <v>620</v>
      </c>
      <c r="D308" s="822"/>
      <c r="E308" s="822"/>
      <c r="F308" s="822"/>
      <c r="G308" s="822"/>
      <c r="H308" s="822"/>
    </row>
    <row r="309" spans="1:8" ht="12.5" x14ac:dyDescent="0.35">
      <c r="A309" s="820">
        <v>305</v>
      </c>
      <c r="B309" s="635" t="str">
        <f t="shared" si="4"/>
        <v>Heat:</v>
      </c>
      <c r="C309" s="635" t="s">
        <v>621</v>
      </c>
      <c r="D309" s="822"/>
      <c r="E309" s="822"/>
      <c r="F309" s="822"/>
      <c r="G309" s="822"/>
      <c r="H309" s="822"/>
    </row>
    <row r="310" spans="1:8" ht="12.5" x14ac:dyDescent="0.35">
      <c r="A310" s="820">
        <v>306</v>
      </c>
      <c r="B310" s="635" t="str">
        <f t="shared" si="4"/>
        <v>Electricity:</v>
      </c>
      <c r="C310" s="635" t="s">
        <v>622</v>
      </c>
      <c r="D310" s="822"/>
      <c r="E310" s="822"/>
      <c r="F310" s="822"/>
      <c r="G310" s="822"/>
      <c r="H310" s="822"/>
    </row>
    <row r="311" spans="1:8" ht="13" x14ac:dyDescent="0.35">
      <c r="A311" s="820">
        <v>307</v>
      </c>
      <c r="B311" s="645" t="str">
        <f t="shared" si="4"/>
        <v>Efficiencies for heat and electricity</v>
      </c>
      <c r="C311" s="645" t="s">
        <v>623</v>
      </c>
      <c r="D311" s="822"/>
      <c r="E311" s="822"/>
      <c r="F311" s="822"/>
      <c r="G311" s="822"/>
      <c r="H311" s="822"/>
    </row>
    <row r="312" spans="1:8" x14ac:dyDescent="0.35">
      <c r="A312" s="820">
        <v>308</v>
      </c>
      <c r="B312" s="647" t="str">
        <f t="shared" si="4"/>
        <v>These values are dimensionless and automatically calculated from inputs in (a) to (c) above.</v>
      </c>
      <c r="C312" s="647" t="s">
        <v>624</v>
      </c>
      <c r="D312" s="822"/>
      <c r="E312" s="822"/>
      <c r="F312" s="822"/>
      <c r="G312" s="822"/>
      <c r="H312" s="822"/>
    </row>
    <row r="313" spans="1:8" x14ac:dyDescent="0.35">
      <c r="A313" s="820">
        <v>309</v>
      </c>
      <c r="B313" s="647" t="str">
        <f t="shared" si="4"/>
        <v>If no values are displayed here but total emissions under (b) above, default efficiencies from (c) will be used here. Please note that this should only be done if the determination of the efficiencies is technically not feasible or would incur unreasonable costs, and values based on technical documentation (design values) of the installation are not available as well.</v>
      </c>
      <c r="C313" s="647" t="s">
        <v>2940</v>
      </c>
      <c r="D313" s="822"/>
      <c r="E313" s="822"/>
      <c r="F313" s="822"/>
      <c r="G313" s="822"/>
      <c r="H313" s="822"/>
    </row>
    <row r="314" spans="1:8" ht="13" x14ac:dyDescent="0.3">
      <c r="A314" s="820">
        <v>310</v>
      </c>
      <c r="B314" s="1049" t="str">
        <f t="shared" si="4"/>
        <v>Heat production</v>
      </c>
      <c r="C314" s="1049" t="s">
        <v>625</v>
      </c>
      <c r="D314" s="822"/>
      <c r="E314" s="822"/>
      <c r="F314" s="822"/>
      <c r="G314" s="822"/>
      <c r="H314" s="822"/>
    </row>
    <row r="315" spans="1:8" ht="13" x14ac:dyDescent="0.3">
      <c r="A315" s="820">
        <v>311</v>
      </c>
      <c r="B315" s="1049" t="str">
        <f t="shared" si="4"/>
        <v>Electricity production</v>
      </c>
      <c r="C315" s="1049" t="s">
        <v>626</v>
      </c>
      <c r="D315" s="822"/>
      <c r="E315" s="822"/>
      <c r="F315" s="822"/>
      <c r="G315" s="822"/>
      <c r="H315" s="822"/>
    </row>
    <row r="316" spans="1:8" ht="13" x14ac:dyDescent="0.3">
      <c r="A316" s="820">
        <v>312</v>
      </c>
      <c r="B316" s="1049" t="str">
        <f t="shared" si="4"/>
        <v>Total</v>
      </c>
      <c r="C316" s="1049" t="s">
        <v>0</v>
      </c>
      <c r="D316" s="822"/>
      <c r="E316" s="822"/>
      <c r="F316" s="822"/>
      <c r="G316" s="822"/>
      <c r="H316" s="822"/>
    </row>
    <row r="317" spans="1:8" ht="12.5" x14ac:dyDescent="0.35">
      <c r="A317" s="820">
        <v>313</v>
      </c>
      <c r="B317" s="1050" t="str">
        <f t="shared" si="4"/>
        <v>Efficiencies</v>
      </c>
      <c r="C317" s="1050" t="s">
        <v>643</v>
      </c>
      <c r="D317" s="822"/>
      <c r="E317" s="822"/>
      <c r="F317" s="822"/>
      <c r="G317" s="822"/>
      <c r="H317" s="822"/>
    </row>
    <row r="318" spans="1:8" ht="13" x14ac:dyDescent="0.35">
      <c r="A318" s="820">
        <v>314</v>
      </c>
      <c r="B318" s="645" t="str">
        <f t="shared" si="4"/>
        <v>Reference efficiencies</v>
      </c>
      <c r="C318" s="645" t="s">
        <v>627</v>
      </c>
      <c r="D318" s="822"/>
      <c r="E318" s="822"/>
      <c r="F318" s="822"/>
      <c r="G318" s="822"/>
      <c r="H318" s="822"/>
    </row>
    <row r="319" spans="1:8" x14ac:dyDescent="0.35">
      <c r="A319" s="820">
        <v>315</v>
      </c>
      <c r="B319" s="647" t="str">
        <f t="shared" si="4"/>
        <v xml:space="preserve">These are the reference efficiency for heat production in a stand-alone boiler, and the reference efficiency of electricity production without cogeneration. </v>
      </c>
      <c r="C319" s="647" t="s">
        <v>628</v>
      </c>
      <c r="D319" s="822"/>
      <c r="E319" s="822"/>
      <c r="F319" s="822"/>
      <c r="G319" s="822"/>
      <c r="H319" s="822"/>
    </row>
    <row r="320" spans="1:8" x14ac:dyDescent="0.35">
      <c r="A320" s="820">
        <v>316</v>
      </c>
      <c r="B320" s="647" t="str">
        <f t="shared" si="4"/>
        <v>For the reference efficiencies the appropriate fuel-specific values from Annex IX of the Commission Implementing Regulation pursuant to Article 35(7) of the CBAM Regulation.</v>
      </c>
      <c r="C320" s="647" t="s">
        <v>4138</v>
      </c>
      <c r="D320" s="822"/>
      <c r="E320" s="822"/>
      <c r="F320" s="822"/>
      <c r="G320" s="822"/>
      <c r="H320" s="822"/>
    </row>
    <row r="321" spans="1:8" x14ac:dyDescent="0.35">
      <c r="A321" s="820">
        <v>317</v>
      </c>
      <c r="B321" s="647" t="str">
        <f t="shared" si="4"/>
        <v>Default efficiencies below are for hard coal CHPs producing electricity and hot water.</v>
      </c>
      <c r="C321" s="647" t="s">
        <v>4139</v>
      </c>
      <c r="D321" s="822"/>
      <c r="E321" s="822"/>
      <c r="F321" s="822"/>
      <c r="G321" s="822"/>
      <c r="H321" s="822"/>
    </row>
    <row r="322" spans="1:8" ht="13" x14ac:dyDescent="0.35">
      <c r="A322" s="820">
        <v>318</v>
      </c>
      <c r="B322" s="645" t="str">
        <f t="shared" si="4"/>
        <v>Emissions attributable to heat production from CHP</v>
      </c>
      <c r="C322" s="645" t="s">
        <v>4140</v>
      </c>
      <c r="D322" s="822"/>
      <c r="E322" s="822"/>
      <c r="F322" s="822"/>
      <c r="G322" s="822"/>
      <c r="H322" s="822"/>
    </row>
    <row r="323" spans="1:8" x14ac:dyDescent="0.35">
      <c r="A323" s="820">
        <v>319</v>
      </c>
      <c r="B323" s="647" t="str">
        <f t="shared" si="4"/>
        <v>This is the final result of this tool. The values displayed here should be entered in sheets D or E for the attributable emissions for the appropriate production process or precursor.</v>
      </c>
      <c r="C323" s="647" t="s">
        <v>2868</v>
      </c>
      <c r="D323" s="822"/>
      <c r="E323" s="822"/>
      <c r="F323" s="822"/>
      <c r="G323" s="822"/>
      <c r="H323" s="822"/>
    </row>
    <row r="324" spans="1:8" x14ac:dyDescent="0.35">
      <c r="A324" s="820">
        <v>320</v>
      </c>
      <c r="B324" s="647" t="str">
        <f t="shared" si="4"/>
        <v>For example, this may include attributable emissions to be taken into account for the total direct emissions, or use of the emission factor for any measurable heat imported.</v>
      </c>
      <c r="C324" s="647" t="s">
        <v>629</v>
      </c>
      <c r="D324" s="822"/>
      <c r="E324" s="822"/>
      <c r="F324" s="822"/>
      <c r="G324" s="822"/>
      <c r="H324" s="822"/>
    </row>
    <row r="325" spans="1:8" x14ac:dyDescent="0.35">
      <c r="A325" s="820">
        <v>321</v>
      </c>
      <c r="B325" s="647" t="str">
        <f t="shared" si="4"/>
        <v>Calculation results can only be considered correct if complete and consistent data is reported in sections above.</v>
      </c>
      <c r="C325" s="647" t="s">
        <v>4141</v>
      </c>
      <c r="D325" s="822"/>
      <c r="E325" s="822"/>
      <c r="F325" s="822"/>
      <c r="G325" s="822"/>
      <c r="H325" s="822"/>
    </row>
    <row r="326" spans="1:8" ht="13" x14ac:dyDescent="0.3">
      <c r="A326" s="820">
        <v>322</v>
      </c>
      <c r="B326" s="1049" t="str">
        <f t="shared" ref="B326:B389" si="5">IFERROR(INDEX(C326:M326,$A$3-2),$C326)</f>
        <v>Emissions attributable to heat output</v>
      </c>
      <c r="C326" s="1049" t="s">
        <v>630</v>
      </c>
      <c r="D326" s="822"/>
      <c r="E326" s="822"/>
      <c r="F326" s="822"/>
      <c r="G326" s="822"/>
      <c r="H326" s="822"/>
    </row>
    <row r="327" spans="1:8" ht="13" x14ac:dyDescent="0.3">
      <c r="A327" s="820">
        <v>323</v>
      </c>
      <c r="B327" s="1049" t="str">
        <f t="shared" si="5"/>
        <v>Emission factor, heat</v>
      </c>
      <c r="C327" s="1049" t="s">
        <v>631</v>
      </c>
      <c r="D327" s="822"/>
      <c r="E327" s="822"/>
      <c r="F327" s="822"/>
      <c r="G327" s="822"/>
      <c r="H327" s="822"/>
    </row>
    <row r="328" spans="1:8" ht="13" x14ac:dyDescent="0.3">
      <c r="A328" s="820">
        <v>324</v>
      </c>
      <c r="B328" s="1049" t="str">
        <f t="shared" si="5"/>
        <v>Emissions attributable to electricity</v>
      </c>
      <c r="C328" s="1049" t="s">
        <v>2942</v>
      </c>
      <c r="D328" s="822"/>
      <c r="E328" s="822"/>
      <c r="F328" s="822"/>
      <c r="G328" s="822"/>
      <c r="H328" s="822"/>
    </row>
    <row r="329" spans="1:8" ht="13" x14ac:dyDescent="0.3">
      <c r="A329" s="820">
        <v>325</v>
      </c>
      <c r="B329" s="1049" t="str">
        <f t="shared" si="5"/>
        <v>Emission factor, electricity</v>
      </c>
      <c r="C329" s="1049" t="s">
        <v>2941</v>
      </c>
      <c r="D329" s="822"/>
      <c r="E329" s="822"/>
      <c r="F329" s="822"/>
      <c r="G329" s="822"/>
      <c r="H329" s="822"/>
    </row>
    <row r="330" spans="1:8" ht="12.5" x14ac:dyDescent="0.35">
      <c r="A330" s="820">
        <v>326</v>
      </c>
      <c r="B330" s="1050" t="str">
        <f t="shared" si="5"/>
        <v>Attributable emissions</v>
      </c>
      <c r="C330" s="1050" t="s">
        <v>644</v>
      </c>
      <c r="D330" s="822"/>
      <c r="E330" s="822"/>
      <c r="F330" s="822"/>
      <c r="G330" s="822"/>
      <c r="H330" s="822"/>
    </row>
    <row r="331" spans="1:8" ht="13" x14ac:dyDescent="0.35">
      <c r="A331" s="820">
        <v>327</v>
      </c>
      <c r="B331" s="645" t="str">
        <f t="shared" si="5"/>
        <v>Fuel input attributable to heat and electricity production</v>
      </c>
      <c r="C331" s="645" t="s">
        <v>632</v>
      </c>
      <c r="D331" s="822"/>
      <c r="E331" s="822"/>
      <c r="F331" s="822"/>
      <c r="G331" s="822"/>
      <c r="H331" s="822"/>
    </row>
    <row r="332" spans="1:8" x14ac:dyDescent="0.35">
      <c r="A332" s="820">
        <v>328</v>
      </c>
      <c r="B332" s="647" t="str">
        <f t="shared" si="5"/>
        <v>This is the final result of this tool. The values displayed here should be used in section C.1.</v>
      </c>
      <c r="C332" s="647" t="s">
        <v>2869</v>
      </c>
      <c r="D332" s="822"/>
      <c r="E332" s="822"/>
      <c r="F332" s="822"/>
      <c r="G332" s="822"/>
      <c r="H332" s="822"/>
    </row>
    <row r="333" spans="1:8" ht="13" x14ac:dyDescent="0.3">
      <c r="A333" s="820">
        <v>329</v>
      </c>
      <c r="B333" s="1049" t="str">
        <f t="shared" si="5"/>
        <v>Fuel input for heat</v>
      </c>
      <c r="C333" s="1049" t="s">
        <v>633</v>
      </c>
      <c r="D333" s="822"/>
      <c r="E333" s="822"/>
      <c r="F333" s="822"/>
      <c r="G333" s="822"/>
      <c r="H333" s="822"/>
    </row>
    <row r="334" spans="1:8" ht="13" x14ac:dyDescent="0.3">
      <c r="A334" s="820">
        <v>330</v>
      </c>
      <c r="B334" s="1049" t="str">
        <f t="shared" si="5"/>
        <v>Fuel input for electricity</v>
      </c>
      <c r="C334" s="1049" t="s">
        <v>634</v>
      </c>
      <c r="D334" s="822"/>
      <c r="E334" s="822"/>
      <c r="F334" s="822"/>
      <c r="G334" s="822"/>
      <c r="H334" s="822"/>
    </row>
    <row r="335" spans="1:8" ht="12.5" x14ac:dyDescent="0.35">
      <c r="A335" s="820">
        <v>331</v>
      </c>
      <c r="B335" s="1050" t="str">
        <f t="shared" si="5"/>
        <v>Attributable fuel input</v>
      </c>
      <c r="C335" s="1050" t="s">
        <v>645</v>
      </c>
      <c r="D335" s="822"/>
      <c r="E335" s="822"/>
      <c r="F335" s="822"/>
      <c r="G335" s="822"/>
      <c r="H335" s="822"/>
    </row>
    <row r="336" spans="1:8" ht="15.5" x14ac:dyDescent="0.35">
      <c r="A336" s="820">
        <v>332</v>
      </c>
      <c r="B336" s="311" t="str">
        <f t="shared" si="5"/>
        <v>Tool to calculate the carbon price due</v>
      </c>
      <c r="C336" s="311" t="s">
        <v>3028</v>
      </c>
      <c r="D336" s="822"/>
      <c r="E336" s="822"/>
      <c r="F336" s="822"/>
      <c r="G336" s="822"/>
      <c r="H336" s="822"/>
    </row>
    <row r="337" spans="1:8" ht="12.5" x14ac:dyDescent="0.35">
      <c r="A337" s="820">
        <v>333</v>
      </c>
      <c r="B337" s="157" t="str">
        <f t="shared" si="5"/>
        <v>Tool for carbon price due</v>
      </c>
      <c r="C337" s="157" t="s">
        <v>3022</v>
      </c>
      <c r="D337" s="822"/>
      <c r="E337" s="822"/>
      <c r="F337" s="822"/>
      <c r="G337" s="822"/>
      <c r="H337" s="822"/>
    </row>
    <row r="338" spans="1:8" x14ac:dyDescent="0.35">
      <c r="A338" s="820">
        <v>334</v>
      </c>
      <c r="B338" s="644" t="str">
        <f t="shared" si="5"/>
        <v>This tool aims to help you with the calculation of the carbon price due. Similar to the calculation of the specific embedded emissions in sheets D + E, please only enter the carbon price due and any rebate received in respect of the system boundaries of the production process.</v>
      </c>
      <c r="C338" s="644" t="s">
        <v>3029</v>
      </c>
      <c r="D338" s="822"/>
      <c r="E338" s="822"/>
      <c r="F338" s="822"/>
      <c r="G338" s="822"/>
      <c r="H338" s="822"/>
    </row>
    <row r="339" spans="1:8" x14ac:dyDescent="0.35">
      <c r="A339" s="820">
        <v>335</v>
      </c>
      <c r="B339" s="644" t="str">
        <f t="shared" si="5"/>
        <v>The results obtained here in columns L and M have to be manually entered into the respective fields in sheet "Summary_Products".</v>
      </c>
      <c r="C339" s="644" t="s">
        <v>4142</v>
      </c>
      <c r="D339" s="822"/>
      <c r="E339" s="822"/>
      <c r="F339" s="822"/>
      <c r="G339" s="822"/>
      <c r="H339" s="822"/>
    </row>
    <row r="340" spans="1:8" x14ac:dyDescent="0.35">
      <c r="A340" s="820">
        <v>336</v>
      </c>
      <c r="B340" s="644" t="str">
        <f t="shared" si="5"/>
        <v>The following conditions apply:</v>
      </c>
      <c r="C340" s="644" t="s">
        <v>2921</v>
      </c>
      <c r="D340" s="822"/>
      <c r="E340" s="822"/>
      <c r="F340" s="822"/>
      <c r="G340" s="822"/>
      <c r="H340" s="822"/>
    </row>
    <row r="341" spans="1:8" x14ac:dyDescent="0.35">
      <c r="A341" s="820">
        <v>337</v>
      </c>
      <c r="B341" s="649" t="str">
        <f t="shared" si="5"/>
        <v>- the carbon price used for each production process has to be converted into one common currency.</v>
      </c>
      <c r="C341" s="649" t="s">
        <v>2923</v>
      </c>
      <c r="D341" s="822"/>
      <c r="E341" s="822"/>
      <c r="F341" s="822"/>
      <c r="G341" s="822"/>
      <c r="H341" s="822"/>
    </row>
    <row r="342" spans="1:8" x14ac:dyDescent="0.35">
      <c r="A342" s="820">
        <v>338</v>
      </c>
      <c r="B342" s="649" t="str">
        <f t="shared" si="5"/>
        <v>- the system boundaries of carbon pricing have to be consistent with the boundaries of the production process and precursors.</v>
      </c>
      <c r="C342" s="649" t="s">
        <v>2920</v>
      </c>
      <c r="D342" s="822"/>
      <c r="E342" s="822"/>
      <c r="F342" s="822"/>
      <c r="G342" s="822"/>
      <c r="H342" s="822"/>
    </row>
    <row r="343" spans="1:8" x14ac:dyDescent="0.35">
      <c r="A343" s="820">
        <v>339</v>
      </c>
      <c r="B343" s="644" t="str">
        <f t="shared" si="5"/>
        <v>If the conditions above are not satisfied, this tool can only be used to support you with the calculation of the carbon price, but results cannot be used directly.</v>
      </c>
      <c r="C343" s="644" t="s">
        <v>2922</v>
      </c>
      <c r="D343" s="822"/>
      <c r="E343" s="822"/>
      <c r="F343" s="822"/>
      <c r="G343" s="822"/>
      <c r="H343" s="822"/>
    </row>
    <row r="344" spans="1:8" x14ac:dyDescent="0.35">
      <c r="A344" s="820">
        <v>340</v>
      </c>
      <c r="B344" s="650" t="str">
        <f t="shared" si="5"/>
        <v>SEE (total)</v>
      </c>
      <c r="C344" s="650" t="s">
        <v>184</v>
      </c>
      <c r="D344" s="822"/>
      <c r="E344" s="822"/>
      <c r="F344" s="822"/>
      <c r="G344" s="822"/>
      <c r="H344" s="822"/>
    </row>
    <row r="345" spans="1:8" x14ac:dyDescent="0.35">
      <c r="A345" s="820">
        <v>341</v>
      </c>
      <c r="B345" s="650" t="str">
        <f t="shared" si="5"/>
        <v>Total (direct + indirect) specific embedded emissions of the production process, i.e. including any embedded emissions from any precursors consumed in the process.</v>
      </c>
      <c r="C345" s="650" t="s">
        <v>2915</v>
      </c>
      <c r="D345" s="822"/>
      <c r="E345" s="822"/>
      <c r="F345" s="822"/>
      <c r="G345" s="822"/>
      <c r="H345" s="822"/>
    </row>
    <row r="346" spans="1:8" x14ac:dyDescent="0.35">
      <c r="A346" s="820">
        <v>342</v>
      </c>
      <c r="B346" s="651" t="str">
        <f t="shared" si="5"/>
        <v>Share of emissions covered by the carbon price</v>
      </c>
      <c r="C346" s="651" t="s">
        <v>3030</v>
      </c>
      <c r="D346" s="822"/>
      <c r="E346" s="822"/>
      <c r="F346" s="822"/>
      <c r="G346" s="822"/>
      <c r="H346" s="822"/>
    </row>
    <row r="347" spans="1:8" x14ac:dyDescent="0.35">
      <c r="A347" s="820">
        <v>343</v>
      </c>
      <c r="B347" s="651" t="str">
        <f t="shared" si="5"/>
        <v>Carbon price (CP) due (per produced t or MWh)</v>
      </c>
      <c r="C347" s="651" t="s">
        <v>4207</v>
      </c>
      <c r="D347" s="822"/>
      <c r="E347" s="822"/>
      <c r="F347" s="822"/>
      <c r="G347" s="822"/>
      <c r="H347" s="822"/>
    </row>
    <row r="348" spans="1:8" x14ac:dyDescent="0.35">
      <c r="A348" s="820">
        <v>344</v>
      </c>
      <c r="B348" s="652" t="str">
        <f t="shared" si="5"/>
        <v>Amount of rebate (local currency)</v>
      </c>
      <c r="C348" s="652" t="s">
        <v>3031</v>
      </c>
      <c r="D348" s="822"/>
      <c r="E348" s="822"/>
      <c r="F348" s="822"/>
      <c r="G348" s="822"/>
      <c r="H348" s="822"/>
    </row>
    <row r="349" spans="1:8" x14ac:dyDescent="0.25">
      <c r="A349" s="820">
        <v>345</v>
      </c>
      <c r="B349" s="872" t="str">
        <f t="shared" si="5"/>
        <v>Covered SEE</v>
      </c>
      <c r="C349" s="872" t="s">
        <v>606</v>
      </c>
      <c r="D349" s="822"/>
      <c r="E349" s="822"/>
      <c r="F349" s="822"/>
      <c r="G349" s="822"/>
      <c r="H349" s="822"/>
    </row>
    <row r="350" spans="1:8" x14ac:dyDescent="0.25">
      <c r="A350" s="820">
        <v>346</v>
      </c>
      <c r="B350" s="872" t="str">
        <f t="shared" si="5"/>
        <v>Carbon price (CP) due (local currency)</v>
      </c>
      <c r="C350" s="872" t="s">
        <v>3035</v>
      </c>
      <c r="D350" s="822"/>
      <c r="E350" s="822"/>
      <c r="F350" s="822"/>
      <c r="G350" s="822"/>
      <c r="H350" s="822"/>
    </row>
    <row r="351" spans="1:8" x14ac:dyDescent="0.25">
      <c r="A351" s="820">
        <v>347</v>
      </c>
      <c r="B351" s="872" t="str">
        <f t="shared" si="5"/>
        <v>CP due (per produced t or MWh)</v>
      </c>
      <c r="C351" s="872" t="s">
        <v>4205</v>
      </c>
      <c r="D351" s="822"/>
      <c r="E351" s="822"/>
      <c r="F351" s="822"/>
      <c r="G351" s="822"/>
      <c r="H351" s="822"/>
    </row>
    <row r="352" spans="1:8" x14ac:dyDescent="0.25">
      <c r="A352" s="820">
        <v>348</v>
      </c>
      <c r="B352" s="872" t="str">
        <f t="shared" si="5"/>
        <v>Rebate (per produced t or MWh)</v>
      </c>
      <c r="C352" s="872" t="s">
        <v>4206</v>
      </c>
      <c r="D352" s="822"/>
      <c r="E352" s="822"/>
      <c r="F352" s="822"/>
      <c r="G352" s="822"/>
      <c r="H352" s="822"/>
    </row>
    <row r="353" spans="1:8" ht="12" thickBot="1" x14ac:dyDescent="0.3">
      <c r="A353" s="820">
        <v>349</v>
      </c>
      <c r="B353" s="1052" t="str">
        <f t="shared" si="5"/>
        <v>Result: Effective CP due (per produced t or MWh)</v>
      </c>
      <c r="C353" s="1052" t="s">
        <v>4209</v>
      </c>
      <c r="D353" s="822"/>
      <c r="E353" s="822"/>
      <c r="F353" s="822"/>
      <c r="G353" s="822"/>
      <c r="H353" s="822"/>
    </row>
    <row r="354" spans="1:8" ht="13" x14ac:dyDescent="0.35">
      <c r="A354" s="820">
        <v>350</v>
      </c>
      <c r="B354" s="1004" t="str">
        <f t="shared" si="5"/>
        <v>Further Guidance</v>
      </c>
      <c r="C354" s="1004" t="s">
        <v>2834</v>
      </c>
      <c r="D354" s="822"/>
      <c r="E354" s="822"/>
      <c r="F354" s="822"/>
      <c r="G354" s="822"/>
      <c r="H354" s="822"/>
    </row>
    <row r="355" spans="1:8" ht="18" x14ac:dyDescent="0.35">
      <c r="A355" s="820">
        <v>351</v>
      </c>
      <c r="B355" s="312" t="str">
        <f t="shared" si="5"/>
        <v>Sheet "G_FurtherGuidance" - Further guidance on specific sections in this template</v>
      </c>
      <c r="C355" s="312" t="s">
        <v>2835</v>
      </c>
      <c r="D355" s="822"/>
      <c r="E355" s="822"/>
      <c r="F355" s="822"/>
      <c r="G355" s="822"/>
      <c r="H355" s="822"/>
    </row>
    <row r="356" spans="1:8" ht="15.5" x14ac:dyDescent="0.35">
      <c r="A356" s="820">
        <v>352</v>
      </c>
      <c r="B356" s="311" t="str">
        <f t="shared" si="5"/>
        <v>General guidance</v>
      </c>
      <c r="C356" s="311" t="s">
        <v>2808</v>
      </c>
      <c r="D356" s="822"/>
      <c r="E356" s="822"/>
      <c r="F356" s="822"/>
      <c r="G356" s="822"/>
      <c r="H356" s="822"/>
    </row>
    <row r="357" spans="1:8" x14ac:dyDescent="0.35">
      <c r="A357" s="820">
        <v>353</v>
      </c>
      <c r="B357" s="653" t="str">
        <f t="shared" si="5"/>
        <v>Each section of this template contains guidance on how to complete the required inputs in that section. However, for some sections the amount of guidance needed could distract the user from relevant inputs and make the format of the template less user-friendly. Where this is the case, the sections below provide the said further detailed guidance.</v>
      </c>
      <c r="C357" s="653" t="s">
        <v>2831</v>
      </c>
      <c r="D357" s="822"/>
      <c r="E357" s="822"/>
      <c r="F357" s="822"/>
      <c r="G357" s="822"/>
      <c r="H357" s="822"/>
    </row>
    <row r="358" spans="1:8" x14ac:dyDescent="0.35">
      <c r="A358" s="820">
        <v>354</v>
      </c>
      <c r="B358" s="653" t="str">
        <f t="shared" si="5"/>
        <v>You do however not have to read the sections below from top to bottom. It is better if you go through the template from start to end (as also recommended in sheet "b_Guidelines&amp;Conditions") and relevant sections will contain a hyperlink that will direct you to the relevant guidance in this sheet anyway.</v>
      </c>
      <c r="C358" s="653" t="s">
        <v>2832</v>
      </c>
      <c r="D358" s="822"/>
      <c r="E358" s="822"/>
      <c r="F358" s="822"/>
      <c r="G358" s="822"/>
      <c r="H358" s="822"/>
    </row>
    <row r="359" spans="1:8" x14ac:dyDescent="0.35">
      <c r="A359" s="820">
        <v>355</v>
      </c>
      <c r="B359" s="644" t="str">
        <f t="shared" si="5"/>
        <v>You can also find further guidance, including examples, in the guidance document published on the European Commission's website, which can be found here:</v>
      </c>
      <c r="C359" s="644" t="s">
        <v>2833</v>
      </c>
      <c r="D359" s="822"/>
      <c r="E359" s="822"/>
      <c r="F359" s="822"/>
      <c r="G359" s="822"/>
      <c r="H359" s="822"/>
    </row>
    <row r="360" spans="1:8" x14ac:dyDescent="0.35">
      <c r="A360" s="820">
        <v>356</v>
      </c>
      <c r="B360" s="644" t="str">
        <f t="shared" si="5"/>
        <v>In sheet "B_EmInst" the energy content and the greenhouse gas (GHG) emissions are calculated for each source stream and emission source.</v>
      </c>
      <c r="C360" s="644" t="s">
        <v>2864</v>
      </c>
      <c r="D360" s="822"/>
      <c r="E360" s="822"/>
      <c r="F360" s="822"/>
      <c r="G360" s="822"/>
      <c r="H360" s="822"/>
    </row>
    <row r="361" spans="1:8" x14ac:dyDescent="0.35">
      <c r="A361" s="820">
        <v>357</v>
      </c>
      <c r="B361" s="644" t="str">
        <f t="shared" si="5"/>
        <v>At the top of each block in that sheet you can find examples on how to complete data inputs in order to calculate the corresponding emissions for each source stream and emission source.</v>
      </c>
      <c r="C361" s="644" t="s">
        <v>2863</v>
      </c>
      <c r="D361" s="822"/>
      <c r="E361" s="822"/>
      <c r="F361" s="822"/>
      <c r="G361" s="822"/>
      <c r="H361" s="822"/>
    </row>
    <row r="362" spans="1:8" x14ac:dyDescent="0.35">
      <c r="A362" s="820">
        <v>358</v>
      </c>
      <c r="B362" s="644" t="str">
        <f t="shared" si="5"/>
        <v>Guidance on each parameter below aims to help you with filling all input fields in sheet "B_EmInst".</v>
      </c>
      <c r="C362" s="644" t="s">
        <v>2865</v>
      </c>
      <c r="D362" s="822"/>
      <c r="E362" s="822"/>
      <c r="F362" s="822"/>
      <c r="G362" s="822"/>
      <c r="H362" s="822"/>
    </row>
    <row r="363" spans="1:8" x14ac:dyDescent="0.25">
      <c r="A363" s="820">
        <v>359</v>
      </c>
      <c r="B363" s="1053" t="str">
        <f t="shared" si="5"/>
        <v>Source streams (excluding PFC emissions)</v>
      </c>
      <c r="C363" s="1053" t="s">
        <v>2846</v>
      </c>
      <c r="D363" s="822"/>
      <c r="E363" s="822"/>
      <c r="F363" s="822"/>
      <c r="G363" s="822"/>
      <c r="H363" s="822"/>
    </row>
    <row r="364" spans="1:8" x14ac:dyDescent="0.35">
      <c r="A364" s="820">
        <v>360</v>
      </c>
      <c r="B364" s="651" t="str">
        <f t="shared" si="5"/>
        <v>Please select from the drop-down list the monitoring method applied for the relevant source stream: "combustion", "process emissions" or "mass balance".</v>
      </c>
      <c r="C364" s="651" t="s">
        <v>2837</v>
      </c>
      <c r="D364" s="822"/>
      <c r="E364" s="822"/>
      <c r="F364" s="822"/>
      <c r="G364" s="822"/>
      <c r="H364" s="822"/>
    </row>
    <row r="365" spans="1:8" x14ac:dyDescent="0.35">
      <c r="A365" s="820">
        <v>361</v>
      </c>
      <c r="B365" s="651" t="str">
        <f t="shared" si="5"/>
        <v>Please enter here the name of the source stream, e.g. coal, natural gas, clinker raw meal, limestone, iron ore, steel, scrap iron, scrap aluminium.</v>
      </c>
      <c r="C365" s="651" t="s">
        <v>3020</v>
      </c>
      <c r="D365" s="822"/>
      <c r="E365" s="822"/>
      <c r="F365" s="822"/>
      <c r="G365" s="822"/>
      <c r="H365" s="822"/>
    </row>
    <row r="366" spans="1:8" x14ac:dyDescent="0.35">
      <c r="A366" s="820">
        <v>362</v>
      </c>
      <c r="B366" s="651" t="str">
        <f t="shared" si="5"/>
        <v>Activity data (AD)</v>
      </c>
      <c r="C366" s="651" t="s">
        <v>2838</v>
      </c>
      <c r="D366" s="822"/>
      <c r="E366" s="822"/>
      <c r="F366" s="822"/>
      <c r="G366" s="822"/>
      <c r="H366" s="822"/>
    </row>
    <row r="367" spans="1:8" x14ac:dyDescent="0.35">
      <c r="A367" s="820">
        <v>363</v>
      </c>
      <c r="B367" s="651" t="str">
        <f t="shared" si="5"/>
        <v>The activity data is the data on the amount of fuels or materials consumed or produced by a process as relevant for the calculation-based monitoring methodology, expressed mass in tonnes (t), or for gases as volume in normal cubic metres (Nm³), as appropriate.</v>
      </c>
      <c r="C367" s="651" t="s">
        <v>4143</v>
      </c>
      <c r="D367" s="822"/>
      <c r="E367" s="822"/>
      <c r="F367" s="822"/>
      <c r="G367" s="822"/>
      <c r="H367" s="822"/>
    </row>
    <row r="368" spans="1:8" x14ac:dyDescent="0.35">
      <c r="A368" s="820">
        <v>364</v>
      </c>
      <c r="B368" s="651" t="str">
        <f t="shared" si="5"/>
        <v>AD unit</v>
      </c>
      <c r="C368" s="651" t="s">
        <v>2839</v>
      </c>
      <c r="D368" s="822"/>
      <c r="E368" s="822"/>
      <c r="F368" s="822"/>
      <c r="G368" s="822"/>
      <c r="H368" s="822"/>
    </row>
    <row r="369" spans="1:8" x14ac:dyDescent="0.35">
      <c r="A369" s="820">
        <v>365</v>
      </c>
      <c r="B369" s="651" t="str">
        <f t="shared" si="5"/>
        <v>The corresponding units in which the amounts above are provided. For example tonnes (t) for mass or normal cubic metres (Nm³) for gases.</v>
      </c>
      <c r="C369" s="651" t="s">
        <v>4144</v>
      </c>
      <c r="D369" s="822"/>
      <c r="E369" s="822"/>
      <c r="F369" s="822"/>
      <c r="G369" s="822"/>
      <c r="H369" s="822"/>
    </row>
    <row r="370" spans="1:8" x14ac:dyDescent="0.35">
      <c r="A370" s="820">
        <v>366</v>
      </c>
      <c r="B370" s="651" t="str">
        <f t="shared" si="5"/>
        <v>(prelim) EF</v>
      </c>
      <c r="C370" s="651" t="s">
        <v>2840</v>
      </c>
      <c r="D370" s="822"/>
      <c r="E370" s="822"/>
      <c r="F370" s="822"/>
      <c r="G370" s="822"/>
      <c r="H370" s="822"/>
    </row>
    <row r="371" spans="1:8" x14ac:dyDescent="0.35">
      <c r="A371" s="820">
        <v>367</v>
      </c>
      <c r="B371" s="651" t="str">
        <f t="shared" si="5"/>
        <v>The "preliminary" emission factor is the assumed total emission factor of a mixed fuel or material based on the total carbon content composed of biomass fraction and fossil fraction before multiplying it with the fossil fraction to result in the emission factor.</v>
      </c>
      <c r="C371" s="651" t="s">
        <v>4145</v>
      </c>
      <c r="D371" s="822"/>
      <c r="E371" s="822"/>
      <c r="F371" s="822"/>
      <c r="G371" s="822"/>
      <c r="H371" s="822"/>
    </row>
    <row r="372" spans="1:8" x14ac:dyDescent="0.35">
      <c r="A372" s="820">
        <v>368</v>
      </c>
      <c r="B372" s="651" t="str">
        <f t="shared" si="5"/>
        <v>The net calorific value is the specific amount of energy released as heat when a fuel or material undergoes complete combustion with oxygen under standard conditions less the heat of vaporisation of any water formed</v>
      </c>
      <c r="C372" s="651" t="s">
        <v>4146</v>
      </c>
      <c r="D372" s="822"/>
      <c r="E372" s="822"/>
      <c r="F372" s="822"/>
      <c r="G372" s="822"/>
      <c r="H372" s="822"/>
    </row>
    <row r="373" spans="1:8" x14ac:dyDescent="0.35">
      <c r="A373" s="820">
        <v>369</v>
      </c>
      <c r="B373" s="651" t="str">
        <f t="shared" si="5"/>
        <v>Oxidation factor: the ratio of carbon oxidised to CO2 as a consequence of combustion to the total carbon contained in the fuel, expressed as a fraction, considering carbon monoxide (CO) emitted to the atmosphere as the molar equivalent amount of CO2.</v>
      </c>
      <c r="C373" s="651" t="s">
        <v>2937</v>
      </c>
      <c r="D373" s="822"/>
      <c r="E373" s="822"/>
      <c r="F373" s="822"/>
      <c r="G373" s="822"/>
      <c r="H373" s="822"/>
    </row>
    <row r="374" spans="1:8" x14ac:dyDescent="0.35">
      <c r="A374" s="820">
        <v>370</v>
      </c>
      <c r="B374" s="651" t="str">
        <f t="shared" si="5"/>
        <v>Conversion factor: the ratio of carbon emitted as CO2 to the total carbon contained in the source stream before the emitting process takes place, expressed as a fraction, considering CO emitted to the atmosphere as the molar equivalent amount of CO2.</v>
      </c>
      <c r="C374" s="651" t="s">
        <v>2936</v>
      </c>
      <c r="D374" s="822"/>
      <c r="E374" s="822"/>
      <c r="F374" s="822"/>
      <c r="G374" s="822"/>
      <c r="H374" s="822"/>
    </row>
    <row r="375" spans="1:8" x14ac:dyDescent="0.35">
      <c r="A375" s="820">
        <v>371</v>
      </c>
      <c r="B375" s="651" t="str">
        <f t="shared" si="5"/>
        <v>CarbC</v>
      </c>
      <c r="C375" s="651" t="s">
        <v>2841</v>
      </c>
      <c r="D375" s="822"/>
      <c r="E375" s="822"/>
      <c r="F375" s="822"/>
      <c r="G375" s="822"/>
      <c r="H375" s="822"/>
    </row>
    <row r="376" spans="1:8" x14ac:dyDescent="0.35">
      <c r="A376" s="820">
        <v>372</v>
      </c>
      <c r="B376" s="651" t="str">
        <f t="shared" si="5"/>
        <v>The carbon content of the fuel or material.</v>
      </c>
      <c r="C376" s="651" t="s">
        <v>4147</v>
      </c>
      <c r="D376" s="822"/>
      <c r="E376" s="822"/>
      <c r="F376" s="822"/>
      <c r="G376" s="822"/>
      <c r="H376" s="822"/>
    </row>
    <row r="377" spans="1:8" x14ac:dyDescent="0.35">
      <c r="A377" s="820">
        <v>373</v>
      </c>
      <c r="B377" s="651" t="str">
        <f t="shared" si="5"/>
        <v>BioC</v>
      </c>
      <c r="C377" s="651" t="s">
        <v>2842</v>
      </c>
      <c r="D377" s="822"/>
      <c r="E377" s="822"/>
      <c r="F377" s="822"/>
      <c r="G377" s="822"/>
      <c r="H377" s="822"/>
    </row>
    <row r="378" spans="1:8" x14ac:dyDescent="0.35">
      <c r="A378" s="820">
        <v>374</v>
      </c>
      <c r="B378" s="651" t="str">
        <f t="shared" si="5"/>
        <v>The biomass fraction is the ratio of carbon stemming from biomass to the total carbon content of a fuel or material, expressed as percentage.</v>
      </c>
      <c r="C378" s="651" t="s">
        <v>2938</v>
      </c>
      <c r="D378" s="822"/>
      <c r="E378" s="822"/>
      <c r="F378" s="822"/>
      <c r="G378" s="822"/>
      <c r="H378" s="822"/>
    </row>
    <row r="379" spans="1:8" x14ac:dyDescent="0.35">
      <c r="A379" s="820">
        <v>375</v>
      </c>
      <c r="B379" s="651" t="str">
        <f t="shared" si="5"/>
        <v>Further columns greyed out</v>
      </c>
      <c r="C379" s="651" t="s">
        <v>2843</v>
      </c>
      <c r="D379" s="822"/>
      <c r="E379" s="822"/>
      <c r="F379" s="822"/>
      <c r="G379" s="822"/>
      <c r="H379" s="822"/>
    </row>
    <row r="380" spans="1:8" x14ac:dyDescent="0.35">
      <c r="A380" s="820">
        <v>376</v>
      </c>
      <c r="B380" s="651" t="str">
        <f t="shared" si="5"/>
        <v>Further columns are relevant for PFC emissions or emission sources (measurement-based approaches), but not for source streams. For source streams they are therefore greyed out.</v>
      </c>
      <c r="C380" s="651" t="s">
        <v>2845</v>
      </c>
      <c r="D380" s="822"/>
      <c r="E380" s="822"/>
      <c r="F380" s="822"/>
      <c r="G380" s="822"/>
      <c r="H380" s="822"/>
    </row>
    <row r="381" spans="1:8" x14ac:dyDescent="0.35">
      <c r="A381" s="820">
        <v>377</v>
      </c>
      <c r="B381" s="651" t="str">
        <f t="shared" si="5"/>
        <v>Energy and emissions</v>
      </c>
      <c r="C381" s="651" t="s">
        <v>2844</v>
      </c>
      <c r="D381" s="822"/>
      <c r="E381" s="822"/>
      <c r="F381" s="822"/>
      <c r="G381" s="822"/>
      <c r="H381" s="822"/>
    </row>
    <row r="382" spans="1:8" x14ac:dyDescent="0.35">
      <c r="A382" s="820">
        <v>378</v>
      </c>
      <c r="B382" s="651" t="str">
        <f t="shared" si="5"/>
        <v>On the right side of each block the total energy content and GHG emissions (fossil and biogenic) are calculated automatically for each source stream.</v>
      </c>
      <c r="C382" s="651" t="s">
        <v>4148</v>
      </c>
      <c r="D382" s="822"/>
      <c r="E382" s="822"/>
      <c r="F382" s="822"/>
      <c r="G382" s="822"/>
      <c r="H382" s="822"/>
    </row>
    <row r="383" spans="1:8" x14ac:dyDescent="0.25">
      <c r="A383" s="820">
        <v>379</v>
      </c>
      <c r="B383" s="1053" t="str">
        <f t="shared" si="5"/>
        <v>PFC emissions</v>
      </c>
      <c r="C383" s="1053" t="s">
        <v>230</v>
      </c>
      <c r="D383" s="822"/>
      <c r="E383" s="822"/>
      <c r="F383" s="822"/>
      <c r="G383" s="822"/>
      <c r="H383" s="822"/>
    </row>
    <row r="384" spans="1:8" x14ac:dyDescent="0.35">
      <c r="A384" s="820">
        <v>380</v>
      </c>
      <c r="B384" s="651" t="str">
        <f t="shared" si="5"/>
        <v>Please select from the drop-down list the monitoring method applied: "slope" (Method A) or "overvoltage" (Method B).</v>
      </c>
      <c r="C384" s="651" t="s">
        <v>3019</v>
      </c>
      <c r="D384" s="822"/>
      <c r="E384" s="822"/>
      <c r="F384" s="822"/>
      <c r="G384" s="822"/>
      <c r="H384" s="822"/>
    </row>
    <row r="385" spans="1:8" x14ac:dyDescent="0.35">
      <c r="A385" s="820">
        <v>381</v>
      </c>
      <c r="B385" s="651" t="str">
        <f t="shared" si="5"/>
        <v>Please provide here the type of anode such as Centre Worked Pre-Bake (CWPB), Vertical Stud Søderberg (VSS), etc.</v>
      </c>
      <c r="C385" s="651" t="s">
        <v>4149</v>
      </c>
      <c r="D385" s="822"/>
      <c r="E385" s="822"/>
      <c r="F385" s="822"/>
      <c r="G385" s="822"/>
      <c r="H385" s="822"/>
    </row>
    <row r="386" spans="1:8" x14ac:dyDescent="0.35">
      <c r="A386" s="820">
        <v>382</v>
      </c>
      <c r="B386" s="651" t="str">
        <f t="shared" si="5"/>
        <v>Activity data = annual production of primary Aluminium</v>
      </c>
      <c r="C386" s="651" t="s">
        <v>2848</v>
      </c>
      <c r="D386" s="822"/>
      <c r="E386" s="822"/>
      <c r="F386" s="822"/>
      <c r="G386" s="822"/>
      <c r="H386" s="822"/>
    </row>
    <row r="387" spans="1:8" x14ac:dyDescent="0.35">
      <c r="A387" s="820">
        <v>383</v>
      </c>
      <c r="B387" s="651" t="str">
        <f t="shared" si="5"/>
        <v>Method A: The frequency of anode effects (number of anode effects/cell-day)</v>
      </c>
      <c r="C387" s="651" t="s">
        <v>3017</v>
      </c>
      <c r="D387" s="822"/>
      <c r="E387" s="822"/>
      <c r="F387" s="822"/>
      <c r="G387" s="822"/>
      <c r="H387" s="822"/>
    </row>
    <row r="388" spans="1:8" x14ac:dyDescent="0.35">
      <c r="A388" s="820">
        <v>384</v>
      </c>
      <c r="B388" s="651" t="str">
        <f t="shared" si="5"/>
        <v>Method A: The average duration of anode effects (anode effect minutes/occurrence)</v>
      </c>
      <c r="C388" s="651" t="s">
        <v>3018</v>
      </c>
      <c r="D388" s="822"/>
      <c r="E388" s="822"/>
      <c r="F388" s="822"/>
      <c r="G388" s="822"/>
      <c r="H388" s="822"/>
    </row>
    <row r="389" spans="1:8" x14ac:dyDescent="0.35">
      <c r="A389" s="820">
        <v>385</v>
      </c>
      <c r="B389" s="651" t="str">
        <f t="shared" si="5"/>
        <v>Method A: The slope emission factor</v>
      </c>
      <c r="C389" s="651" t="s">
        <v>4150</v>
      </c>
      <c r="D389" s="822"/>
      <c r="E389" s="822"/>
      <c r="F389" s="822"/>
      <c r="G389" s="822"/>
      <c r="H389" s="822"/>
    </row>
    <row r="390" spans="1:8" x14ac:dyDescent="0.35">
      <c r="A390" s="820">
        <v>386</v>
      </c>
      <c r="B390" s="651" t="str">
        <f t="shared" ref="B390:B453" si="6">IFERROR(INDEX(C390:M390,$A$3-2),$C390)</f>
        <v>Method B: The anode effect overvoltage per cell</v>
      </c>
      <c r="C390" s="651" t="s">
        <v>4151</v>
      </c>
      <c r="D390" s="822"/>
      <c r="E390" s="822"/>
      <c r="F390" s="822"/>
      <c r="G390" s="822"/>
      <c r="H390" s="822"/>
    </row>
    <row r="391" spans="1:8" x14ac:dyDescent="0.35">
      <c r="A391" s="820">
        <v>387</v>
      </c>
      <c r="B391" s="651" t="str">
        <f t="shared" si="6"/>
        <v>Method B: The average current efficiency</v>
      </c>
      <c r="C391" s="651" t="s">
        <v>4152</v>
      </c>
      <c r="D391" s="822"/>
      <c r="E391" s="822"/>
      <c r="F391" s="822"/>
      <c r="G391" s="822"/>
      <c r="H391" s="822"/>
    </row>
    <row r="392" spans="1:8" x14ac:dyDescent="0.35">
      <c r="A392" s="820">
        <v>388</v>
      </c>
      <c r="B392" s="651" t="str">
        <f t="shared" si="6"/>
        <v>Method B: The overvoltage coefficient (‘emission factor’)</v>
      </c>
      <c r="C392" s="651" t="s">
        <v>4153</v>
      </c>
      <c r="D392" s="822"/>
      <c r="E392" s="822"/>
      <c r="F392" s="822"/>
      <c r="G392" s="822"/>
      <c r="H392" s="822"/>
    </row>
    <row r="393" spans="1:8" x14ac:dyDescent="0.35">
      <c r="A393" s="820">
        <v>389</v>
      </c>
      <c r="B393" s="651" t="str">
        <f t="shared" si="6"/>
        <v>The weight fraction of C2F6</v>
      </c>
      <c r="C393" s="651" t="s">
        <v>4154</v>
      </c>
      <c r="D393" s="822"/>
      <c r="E393" s="822"/>
      <c r="F393" s="822"/>
      <c r="G393" s="822"/>
      <c r="H393" s="822"/>
    </row>
    <row r="394" spans="1:8" x14ac:dyDescent="0.35">
      <c r="A394" s="820">
        <v>390</v>
      </c>
      <c r="B394" s="651" t="str">
        <f t="shared" si="6"/>
        <v>GWP (CF4)</v>
      </c>
      <c r="C394" s="651" t="s">
        <v>2849</v>
      </c>
      <c r="D394" s="822"/>
      <c r="E394" s="822"/>
      <c r="F394" s="822"/>
      <c r="G394" s="822"/>
      <c r="H394" s="822"/>
    </row>
    <row r="395" spans="1:8" x14ac:dyDescent="0.35">
      <c r="A395" s="820">
        <v>391</v>
      </c>
      <c r="B395" s="651" t="str">
        <f t="shared" si="6"/>
        <v>The global warming potential of CF4</v>
      </c>
      <c r="C395" s="651" t="s">
        <v>2850</v>
      </c>
      <c r="D395" s="822"/>
      <c r="E395" s="822"/>
      <c r="F395" s="822"/>
      <c r="G395" s="822"/>
      <c r="H395" s="822"/>
    </row>
    <row r="396" spans="1:8" x14ac:dyDescent="0.35">
      <c r="A396" s="820">
        <v>392</v>
      </c>
      <c r="B396" s="651" t="str">
        <f t="shared" si="6"/>
        <v>GWP (C2F6)</v>
      </c>
      <c r="C396" s="651" t="s">
        <v>2851</v>
      </c>
      <c r="D396" s="822"/>
      <c r="E396" s="822"/>
      <c r="F396" s="822"/>
      <c r="G396" s="822"/>
      <c r="H396" s="822"/>
    </row>
    <row r="397" spans="1:8" x14ac:dyDescent="0.35">
      <c r="A397" s="820">
        <v>393</v>
      </c>
      <c r="B397" s="651" t="str">
        <f t="shared" si="6"/>
        <v>The global warming potential of C2F6</v>
      </c>
      <c r="C397" s="651" t="s">
        <v>2852</v>
      </c>
      <c r="D397" s="822"/>
      <c r="E397" s="822"/>
      <c r="F397" s="822"/>
      <c r="G397" s="822"/>
      <c r="H397" s="822"/>
    </row>
    <row r="398" spans="1:8" x14ac:dyDescent="0.35">
      <c r="A398" s="820">
        <v>394</v>
      </c>
      <c r="B398" s="651" t="str">
        <f t="shared" si="6"/>
        <v>Collection efficiency</v>
      </c>
      <c r="C398" s="651" t="s">
        <v>2854</v>
      </c>
      <c r="D398" s="822"/>
      <c r="E398" s="822"/>
      <c r="F398" s="822"/>
      <c r="G398" s="822"/>
      <c r="H398" s="822"/>
    </row>
    <row r="399" spans="1:8" x14ac:dyDescent="0.35">
      <c r="A399" s="820">
        <v>395</v>
      </c>
      <c r="B399" s="651" t="str">
        <f t="shared" si="6"/>
        <v>Efficiency of the collection of the fugitive PFC emissions</v>
      </c>
      <c r="C399" s="651" t="s">
        <v>4155</v>
      </c>
      <c r="D399" s="822"/>
      <c r="E399" s="822"/>
      <c r="F399" s="822"/>
      <c r="G399" s="822"/>
      <c r="H399" s="822"/>
    </row>
    <row r="400" spans="1:8" x14ac:dyDescent="0.25">
      <c r="A400" s="820">
        <v>396</v>
      </c>
      <c r="B400" s="1053" t="str">
        <f t="shared" si="6"/>
        <v>Emission sources | Measurement-based approaches (continuous emission monitoring)</v>
      </c>
      <c r="C400" s="1053" t="s">
        <v>2853</v>
      </c>
      <c r="D400" s="822"/>
      <c r="E400" s="822"/>
      <c r="F400" s="822"/>
      <c r="G400" s="822"/>
      <c r="H400" s="822"/>
    </row>
    <row r="401" spans="1:8" x14ac:dyDescent="0.35">
      <c r="A401" s="820">
        <v>397</v>
      </c>
      <c r="B401" s="651" t="str">
        <f t="shared" si="6"/>
        <v>Please enter here a name for the emission source or the point of emission, e.g. Stack xyz.</v>
      </c>
      <c r="C401" s="651" t="s">
        <v>2856</v>
      </c>
      <c r="D401" s="822"/>
      <c r="E401" s="822"/>
      <c r="F401" s="822"/>
      <c r="G401" s="822"/>
      <c r="H401" s="822"/>
    </row>
    <row r="402" spans="1:8" x14ac:dyDescent="0.35">
      <c r="A402" s="820">
        <v>398</v>
      </c>
      <c r="B402" s="651" t="str">
        <f t="shared" si="6"/>
        <v>Please provide here the type of greenhouse gas (GHG) measured in the flue gas: CO2 or N2O.</v>
      </c>
      <c r="C402" s="651" t="s">
        <v>2855</v>
      </c>
      <c r="D402" s="822"/>
      <c r="E402" s="822"/>
      <c r="F402" s="822"/>
      <c r="G402" s="822"/>
      <c r="H402" s="822"/>
    </row>
    <row r="403" spans="1:8" x14ac:dyDescent="0.35">
      <c r="A403" s="820">
        <v>399</v>
      </c>
      <c r="B403" s="651" t="str">
        <f t="shared" si="6"/>
        <v xml:space="preserve">hourly average GHG conc. </v>
      </c>
      <c r="C403" s="651" t="s">
        <v>2859</v>
      </c>
      <c r="D403" s="822"/>
      <c r="E403" s="822"/>
      <c r="F403" s="822"/>
      <c r="G403" s="822"/>
      <c r="H403" s="822"/>
    </row>
    <row r="404" spans="1:8" x14ac:dyDescent="0.35">
      <c r="A404" s="820">
        <v>400</v>
      </c>
      <c r="B404" s="651" t="str">
        <f t="shared" si="6"/>
        <v>The weighted average hourly concentration of the GHG measured (g per Nm³)</v>
      </c>
      <c r="C404" s="651" t="s">
        <v>4156</v>
      </c>
      <c r="D404" s="822"/>
      <c r="E404" s="822"/>
      <c r="F404" s="822"/>
      <c r="G404" s="822"/>
      <c r="H404" s="822"/>
    </row>
    <row r="405" spans="1:8" x14ac:dyDescent="0.35">
      <c r="A405" s="820">
        <v>401</v>
      </c>
      <c r="B405" s="651" t="str">
        <f t="shared" si="6"/>
        <v>Hours operating</v>
      </c>
      <c r="C405" s="651" t="s">
        <v>4157</v>
      </c>
      <c r="D405" s="822"/>
      <c r="E405" s="822"/>
      <c r="F405" s="822"/>
      <c r="G405" s="822"/>
      <c r="H405" s="822"/>
    </row>
    <row r="406" spans="1:8" x14ac:dyDescent="0.35">
      <c r="A406" s="820">
        <v>402</v>
      </c>
      <c r="B406" s="651" t="str">
        <f t="shared" si="6"/>
        <v>The total hours of operation of the production process</v>
      </c>
      <c r="C406" s="651" t="s">
        <v>4158</v>
      </c>
      <c r="D406" s="822"/>
      <c r="E406" s="822"/>
      <c r="F406" s="822"/>
      <c r="G406" s="822"/>
      <c r="H406" s="822"/>
    </row>
    <row r="407" spans="1:8" x14ac:dyDescent="0.35">
      <c r="A407" s="820">
        <v>403</v>
      </c>
      <c r="B407" s="651" t="str">
        <f t="shared" si="6"/>
        <v>Flue gas</v>
      </c>
      <c r="C407" s="651" t="s">
        <v>2858</v>
      </c>
      <c r="D407" s="822"/>
      <c r="E407" s="822"/>
      <c r="F407" s="822"/>
      <c r="G407" s="822"/>
      <c r="H407" s="822"/>
    </row>
    <row r="408" spans="1:8" x14ac:dyDescent="0.35">
      <c r="A408" s="820">
        <v>404</v>
      </c>
      <c r="B408" s="651" t="str">
        <f t="shared" si="6"/>
        <v>The total volume of the flue gas</v>
      </c>
      <c r="C408" s="651" t="s">
        <v>2861</v>
      </c>
      <c r="D408" s="822"/>
      <c r="E408" s="822"/>
      <c r="F408" s="822"/>
      <c r="G408" s="822"/>
      <c r="H408" s="822"/>
    </row>
    <row r="409" spans="1:8" x14ac:dyDescent="0.35">
      <c r="A409" s="820">
        <v>405</v>
      </c>
      <c r="B409" s="652" t="str">
        <f t="shared" si="6"/>
        <v>Energy content</v>
      </c>
      <c r="C409" s="652" t="s">
        <v>2860</v>
      </c>
      <c r="D409" s="822"/>
      <c r="E409" s="822"/>
      <c r="F409" s="822"/>
      <c r="G409" s="822"/>
      <c r="H409" s="822"/>
    </row>
    <row r="410" spans="1:8" x14ac:dyDescent="0.35">
      <c r="A410" s="820">
        <v>406</v>
      </c>
      <c r="B410" s="652" t="str">
        <f t="shared" si="6"/>
        <v>The energy content of the fuels or materials entering the production process</v>
      </c>
      <c r="C410" s="652" t="s">
        <v>2862</v>
      </c>
      <c r="D410" s="822"/>
      <c r="E410" s="822"/>
      <c r="F410" s="822"/>
      <c r="G410" s="822"/>
      <c r="H410" s="822"/>
    </row>
    <row r="411" spans="1:8" ht="15.5" x14ac:dyDescent="0.35">
      <c r="A411" s="820">
        <v>407</v>
      </c>
      <c r="B411" s="311" t="str">
        <f t="shared" si="6"/>
        <v>Attribution of emissions to production processes</v>
      </c>
      <c r="C411" s="311" t="s">
        <v>2767</v>
      </c>
      <c r="D411" s="822"/>
      <c r="E411" s="822"/>
      <c r="F411" s="822"/>
      <c r="G411" s="822"/>
      <c r="H411" s="822"/>
    </row>
    <row r="412" spans="1:8" x14ac:dyDescent="0.35">
      <c r="A412" s="820">
        <v>408</v>
      </c>
      <c r="B412" s="653" t="str">
        <f t="shared" si="6"/>
        <v>In sheet "D_Processes" the data inputs required are needed in order to calculate the specific emissions of each production processes, based on which the specific embedded emissions are calculated in this template.</v>
      </c>
      <c r="C412" s="653" t="s">
        <v>4159</v>
      </c>
      <c r="D412" s="822"/>
      <c r="E412" s="822"/>
      <c r="F412" s="822"/>
      <c r="G412" s="822"/>
      <c r="H412" s="822"/>
    </row>
    <row r="413" spans="1:8" x14ac:dyDescent="0.35">
      <c r="A413" s="820">
        <v>409</v>
      </c>
      <c r="B413" s="644" t="str">
        <f t="shared" si="6"/>
        <v>Entries in sheet "E_PurchPrec" require similar entries. Further guidance is provided there.</v>
      </c>
      <c r="C413" s="644" t="s">
        <v>2925</v>
      </c>
      <c r="D413" s="822"/>
      <c r="E413" s="822"/>
      <c r="F413" s="822"/>
      <c r="G413" s="822"/>
      <c r="H413" s="822"/>
    </row>
    <row r="414" spans="1:8" ht="13" x14ac:dyDescent="0.35">
      <c r="A414" s="820">
        <v>410</v>
      </c>
      <c r="B414" s="636" t="str">
        <f t="shared" si="6"/>
        <v>a)</v>
      </c>
      <c r="C414" s="636" t="s">
        <v>2870</v>
      </c>
      <c r="D414" s="822"/>
      <c r="E414" s="822"/>
      <c r="F414" s="822"/>
      <c r="G414" s="822"/>
      <c r="H414" s="822"/>
    </row>
    <row r="415" spans="1:8" x14ac:dyDescent="0.35">
      <c r="A415" s="820">
        <v>411</v>
      </c>
      <c r="B415" s="654" t="str">
        <f t="shared" si="6"/>
        <v>Total production</v>
      </c>
      <c r="C415" s="654" t="s">
        <v>2892</v>
      </c>
      <c r="D415" s="822"/>
      <c r="E415" s="822"/>
      <c r="F415" s="822"/>
      <c r="G415" s="822"/>
      <c r="H415" s="822"/>
    </row>
    <row r="416" spans="1:8" x14ac:dyDescent="0.35">
      <c r="A416" s="820">
        <v>412</v>
      </c>
      <c r="B416" s="655" t="str">
        <f t="shared" si="6"/>
        <v>SEE Denominator</v>
      </c>
      <c r="C416" s="655" t="s">
        <v>2955</v>
      </c>
      <c r="D416" s="822"/>
      <c r="E416" s="822"/>
      <c r="F416" s="822"/>
      <c r="G416" s="822"/>
      <c r="H416" s="822"/>
    </row>
    <row r="417" spans="1:8" x14ac:dyDescent="0.35">
      <c r="A417" s="820">
        <v>413</v>
      </c>
      <c r="B417" s="650" t="str">
        <f t="shared" si="6"/>
        <v>Please provide here the total amount of goods produced in the relevant production process, distinguishing amounts by the relevant production route. This is the denominator for the calculation of the specific embedded emissions.</v>
      </c>
      <c r="C417" s="650" t="s">
        <v>2924</v>
      </c>
      <c r="D417" s="822"/>
      <c r="E417" s="822"/>
      <c r="F417" s="822"/>
      <c r="G417" s="822"/>
      <c r="H417" s="822"/>
    </row>
    <row r="418" spans="1:8" ht="13" x14ac:dyDescent="0.35">
      <c r="A418" s="820">
        <v>414</v>
      </c>
      <c r="B418" s="636" t="str">
        <f t="shared" si="6"/>
        <v>b)</v>
      </c>
      <c r="C418" s="636" t="s">
        <v>2871</v>
      </c>
      <c r="D418" s="822"/>
      <c r="E418" s="822"/>
      <c r="F418" s="822"/>
      <c r="G418" s="822"/>
      <c r="H418" s="822"/>
    </row>
    <row r="419" spans="1:8" x14ac:dyDescent="0.35">
      <c r="A419" s="820">
        <v>415</v>
      </c>
      <c r="B419" s="656" t="str">
        <f t="shared" si="6"/>
        <v>Production for the market</v>
      </c>
      <c r="C419" s="656" t="s">
        <v>2893</v>
      </c>
      <c r="D419" s="822"/>
      <c r="E419" s="822"/>
      <c r="F419" s="822"/>
      <c r="G419" s="822"/>
      <c r="H419" s="822"/>
    </row>
    <row r="420" spans="1:8" x14ac:dyDescent="0.35">
      <c r="A420" s="820">
        <v>416</v>
      </c>
      <c r="B420" s="651" t="str">
        <f t="shared" si="6"/>
        <v>Please provide here the total amount of goods that are placed on the market (any market, not only the European Union) and not further processed into goods within another production process of the installation.</v>
      </c>
      <c r="C420" s="651" t="s">
        <v>2894</v>
      </c>
      <c r="D420" s="822"/>
      <c r="E420" s="822"/>
      <c r="F420" s="822"/>
      <c r="G420" s="822"/>
      <c r="H420" s="822"/>
    </row>
    <row r="421" spans="1:8" ht="13" x14ac:dyDescent="0.35">
      <c r="A421" s="820">
        <v>417</v>
      </c>
      <c r="B421" s="636" t="str">
        <f t="shared" si="6"/>
        <v>c)</v>
      </c>
      <c r="C421" s="636" t="s">
        <v>2872</v>
      </c>
      <c r="D421" s="822"/>
      <c r="E421" s="822"/>
      <c r="F421" s="822"/>
      <c r="G421" s="822"/>
      <c r="H421" s="822"/>
    </row>
    <row r="422" spans="1:8" x14ac:dyDescent="0.35">
      <c r="A422" s="820">
        <v>418</v>
      </c>
      <c r="B422" s="656" t="str">
        <f t="shared" si="6"/>
        <v>Consumed in other 'production processes'</v>
      </c>
      <c r="C422" s="656" t="s">
        <v>2895</v>
      </c>
      <c r="D422" s="822"/>
      <c r="E422" s="822"/>
      <c r="F422" s="822"/>
      <c r="G422" s="822"/>
      <c r="H422" s="822"/>
    </row>
    <row r="423" spans="1:8" x14ac:dyDescent="0.35">
      <c r="A423" s="820">
        <v>419</v>
      </c>
      <c r="B423" s="651" t="str">
        <f t="shared" si="6"/>
        <v>Please provide here the total amount of goods that are consumed in each listed production process as input to be further processed into the goods produced in those processes. Please do not leave any yellow cells empty and enter zero ("0") if the good is not consumed by the specific process. Where all of the goods are reported as placed on the market under point b), this section will be greyed out and no inputs are required here.</v>
      </c>
      <c r="C423" s="651" t="s">
        <v>4160</v>
      </c>
      <c r="D423" s="822"/>
      <c r="E423" s="822"/>
      <c r="F423" s="822"/>
      <c r="G423" s="822"/>
      <c r="H423" s="822"/>
    </row>
    <row r="424" spans="1:8" ht="13" x14ac:dyDescent="0.35">
      <c r="A424" s="820">
        <v>420</v>
      </c>
      <c r="B424" s="636" t="str">
        <f t="shared" si="6"/>
        <v>d)</v>
      </c>
      <c r="C424" s="636" t="s">
        <v>2873</v>
      </c>
      <c r="D424" s="822"/>
      <c r="E424" s="822"/>
      <c r="F424" s="822"/>
      <c r="G424" s="822"/>
      <c r="H424" s="822"/>
    </row>
    <row r="425" spans="1:8" x14ac:dyDescent="0.35">
      <c r="A425" s="820">
        <v>421</v>
      </c>
      <c r="B425" s="656" t="str">
        <f t="shared" si="6"/>
        <v>Consumed for non-CBAM goods</v>
      </c>
      <c r="C425" s="656" t="s">
        <v>2897</v>
      </c>
      <c r="D425" s="822"/>
      <c r="E425" s="822"/>
      <c r="F425" s="822"/>
      <c r="G425" s="822"/>
      <c r="H425" s="822"/>
    </row>
    <row r="426" spans="1:8" x14ac:dyDescent="0.35">
      <c r="A426" s="820">
        <v>422</v>
      </c>
      <c r="B426" s="651" t="str">
        <f t="shared" si="6"/>
        <v>Please provide here the total amount of goods that are consumed in production processes within the installation which produce goods that are not covered by the scope of the CBAM.</v>
      </c>
      <c r="C426" s="651" t="s">
        <v>4161</v>
      </c>
      <c r="D426" s="822"/>
      <c r="E426" s="822"/>
      <c r="F426" s="822"/>
      <c r="G426" s="822"/>
      <c r="H426" s="822"/>
    </row>
    <row r="427" spans="1:8" ht="13" x14ac:dyDescent="0.35">
      <c r="A427" s="820">
        <v>423</v>
      </c>
      <c r="B427" s="636" t="str">
        <f t="shared" si="6"/>
        <v>e)</v>
      </c>
      <c r="C427" s="636" t="s">
        <v>2874</v>
      </c>
      <c r="D427" s="822"/>
      <c r="E427" s="822"/>
      <c r="F427" s="822"/>
      <c r="G427" s="822"/>
      <c r="H427" s="822"/>
    </row>
    <row r="428" spans="1:8" x14ac:dyDescent="0.35">
      <c r="A428" s="820">
        <v>424</v>
      </c>
      <c r="B428" s="656" t="str">
        <f t="shared" si="6"/>
        <v>Control</v>
      </c>
      <c r="C428" s="656" t="s">
        <v>2898</v>
      </c>
      <c r="D428" s="822"/>
      <c r="E428" s="822"/>
      <c r="F428" s="822"/>
      <c r="G428" s="822"/>
      <c r="H428" s="822"/>
    </row>
    <row r="429" spans="1:8" x14ac:dyDescent="0.35">
      <c r="A429" s="820">
        <v>425</v>
      </c>
      <c r="B429" s="651" t="str">
        <f t="shared" si="6"/>
        <v>This is an automatic calculation "a-(b+c+d)". Please ensure that this value is zero.</v>
      </c>
      <c r="C429" s="651" t="s">
        <v>2899</v>
      </c>
      <c r="D429" s="822"/>
      <c r="E429" s="822"/>
      <c r="F429" s="822"/>
      <c r="G429" s="822"/>
      <c r="H429" s="822"/>
    </row>
    <row r="430" spans="1:8" ht="13" x14ac:dyDescent="0.35">
      <c r="A430" s="820">
        <v>426</v>
      </c>
      <c r="B430" s="636" t="str">
        <f t="shared" si="6"/>
        <v>f)</v>
      </c>
      <c r="C430" s="636" t="s">
        <v>2875</v>
      </c>
      <c r="D430" s="822"/>
      <c r="E430" s="822"/>
      <c r="F430" s="822"/>
      <c r="G430" s="822"/>
      <c r="H430" s="822"/>
    </row>
    <row r="431" spans="1:8" x14ac:dyDescent="0.35">
      <c r="A431" s="820">
        <v>427</v>
      </c>
      <c r="B431" s="656" t="str">
        <f t="shared" si="6"/>
        <v>Applicable elements</v>
      </c>
      <c r="C431" s="656" t="s">
        <v>2881</v>
      </c>
      <c r="D431" s="822"/>
      <c r="E431" s="822"/>
      <c r="F431" s="822"/>
      <c r="G431" s="822"/>
      <c r="H431" s="822"/>
    </row>
    <row r="432" spans="1:8" x14ac:dyDescent="0.35">
      <c r="A432" s="820">
        <v>428</v>
      </c>
      <c r="B432" s="651" t="str">
        <f t="shared" si="6"/>
        <v>Please select here whether measurable heat (e.g. steam) or waste gases are imported to or exported from the relevant production process. The relevance of indirect emissions from electricity are shown automatically here.</v>
      </c>
      <c r="C432" s="651" t="s">
        <v>2882</v>
      </c>
      <c r="D432" s="822"/>
      <c r="E432" s="822"/>
      <c r="F432" s="822"/>
      <c r="G432" s="822"/>
      <c r="H432" s="822"/>
    </row>
    <row r="433" spans="1:8" x14ac:dyDescent="0.35">
      <c r="A433" s="820">
        <v>429</v>
      </c>
      <c r="B433" s="651" t="str">
        <f t="shared" si="6"/>
        <v>Waste gases are particularly relevant in integrated iron &amp; steel production and include flue gases containing high concentrations of incompletely oxidised carbon, for example, any coke oven gas imported into the blast furnace, or blast furnace gas exported from the production process to produce electricity.</v>
      </c>
      <c r="C433" s="651" t="s">
        <v>4162</v>
      </c>
      <c r="D433" s="822"/>
      <c r="E433" s="822"/>
      <c r="F433" s="822"/>
      <c r="G433" s="822"/>
      <c r="H433" s="822"/>
    </row>
    <row r="434" spans="1:8" ht="13" x14ac:dyDescent="0.35">
      <c r="A434" s="820">
        <v>430</v>
      </c>
      <c r="B434" s="636" t="str">
        <f t="shared" si="6"/>
        <v>g)</v>
      </c>
      <c r="C434" s="636" t="s">
        <v>2876</v>
      </c>
      <c r="D434" s="822"/>
      <c r="E434" s="822"/>
      <c r="F434" s="822"/>
      <c r="G434" s="822"/>
      <c r="H434" s="822"/>
    </row>
    <row r="435" spans="1:8" x14ac:dyDescent="0.35">
      <c r="A435" s="820">
        <v>431</v>
      </c>
      <c r="B435" s="656" t="str">
        <f t="shared" si="6"/>
        <v>DirEm*</v>
      </c>
      <c r="C435" s="656" t="s">
        <v>274</v>
      </c>
      <c r="D435" s="822"/>
      <c r="E435" s="822"/>
      <c r="F435" s="822"/>
      <c r="G435" s="822"/>
      <c r="H435" s="822"/>
    </row>
    <row r="436" spans="1:8" x14ac:dyDescent="0.35">
      <c r="A436" s="820">
        <v>432</v>
      </c>
      <c r="B436" s="651" t="str">
        <f t="shared" si="6"/>
        <v>Please include here all emissions directly linked to and therefore attributable to the production process taking into consideration the further provisions below.</v>
      </c>
      <c r="C436" s="651" t="s">
        <v>4163</v>
      </c>
      <c r="D436" s="822"/>
      <c r="E436" s="822"/>
      <c r="F436" s="822"/>
      <c r="G436" s="822"/>
      <c r="H436" s="822"/>
    </row>
    <row r="437" spans="1:8" x14ac:dyDescent="0.35">
      <c r="A437" s="820">
        <v>433</v>
      </c>
      <c r="B437" s="1054" t="str">
        <f t="shared" si="6"/>
        <v>Avoidance of double counting</v>
      </c>
      <c r="C437" s="1054" t="s">
        <v>2900</v>
      </c>
      <c r="D437" s="822"/>
      <c r="E437" s="822"/>
      <c r="F437" s="822"/>
      <c r="G437" s="822"/>
      <c r="H437" s="822"/>
    </row>
    <row r="438" spans="1:8" x14ac:dyDescent="0.35">
      <c r="A438" s="820">
        <v>434</v>
      </c>
      <c r="B438" s="651" t="str">
        <f t="shared" si="6"/>
        <v>Emissions shall only be attributed to ONE production process reported for this installation. Values entered here must therefore NOT include any emissions of the precursors that have been selected as another 'production process' as otherwise the template would double-count the embedded emissions.</v>
      </c>
      <c r="C438" s="651" t="s">
        <v>4164</v>
      </c>
      <c r="D438" s="822"/>
      <c r="E438" s="822"/>
      <c r="F438" s="822"/>
      <c r="G438" s="822"/>
      <c r="H438" s="822"/>
    </row>
    <row r="439" spans="1:8" x14ac:dyDescent="0.35">
      <c r="A439" s="820">
        <v>435</v>
      </c>
      <c r="B439" s="651" t="str">
        <f t="shared" si="6"/>
        <v>Measureable heat (e.g. steam): Emissions associated with fuel input into boilers can be either included here or via the 'import of measurable heat' below, but must not be reported twice. In the case the heat is produced in a CHP, the emissions have to be split between heat and electricity. The CHP Tool can help with that:</v>
      </c>
      <c r="C439" s="651" t="s">
        <v>4165</v>
      </c>
      <c r="D439" s="822"/>
      <c r="E439" s="822"/>
      <c r="F439" s="822"/>
      <c r="G439" s="822"/>
      <c r="H439" s="822"/>
    </row>
    <row r="440" spans="1:8" x14ac:dyDescent="0.35">
      <c r="A440" s="820">
        <v>436</v>
      </c>
      <c r="B440" s="651" t="str">
        <f t="shared" si="6"/>
        <v>Waste gases: special rules apply here. Emissions from waste gases produced in another production process and consumed in this process should NOT be reported under DirEm*, but under 'Waste gas imported' below.</v>
      </c>
      <c r="C440" s="651" t="s">
        <v>2902</v>
      </c>
      <c r="D440" s="822"/>
      <c r="E440" s="822"/>
      <c r="F440" s="822"/>
      <c r="G440" s="822"/>
      <c r="H440" s="822"/>
    </row>
    <row r="441" spans="1:8" x14ac:dyDescent="0.35">
      <c r="A441" s="820">
        <v>437</v>
      </c>
      <c r="B441" s="651" t="str">
        <f t="shared" si="6"/>
        <v>Emissions from waste gases produced in the production process, but exported for combustion outside the production process MUST be included here. The corresponding deduction of emissions will be done by entering the relevant data under 'waste gas exported' below. An example would be the export of blast furnace gas from the crude steel production to the adjacent power plants. The emissions associated with the combustion of the blast furnace gas should be attributed to the crude steel production here under DirEm*.</v>
      </c>
      <c r="C441" s="651" t="s">
        <v>2903</v>
      </c>
      <c r="D441" s="822"/>
      <c r="E441" s="822"/>
      <c r="F441" s="822"/>
      <c r="G441" s="822"/>
      <c r="H441" s="822"/>
    </row>
    <row r="442" spans="1:8" ht="13" x14ac:dyDescent="0.35">
      <c r="A442" s="820">
        <v>438</v>
      </c>
      <c r="B442" s="636" t="str">
        <f t="shared" si="6"/>
        <v>h)</v>
      </c>
      <c r="C442" s="636" t="s">
        <v>2877</v>
      </c>
      <c r="D442" s="822"/>
      <c r="E442" s="822"/>
      <c r="F442" s="822"/>
      <c r="G442" s="822"/>
      <c r="H442" s="822"/>
    </row>
    <row r="443" spans="1:8" x14ac:dyDescent="0.35">
      <c r="A443" s="820">
        <v>439</v>
      </c>
      <c r="B443" s="651" t="str">
        <f t="shared" si="6"/>
        <v>Please enter here the amounts of net measurable heat (e.g. steam) being imported to (e.g. from connected heat supplying installations) or exported from (e.g. heat recovery from the furnace and exported from the production process) the production process.</v>
      </c>
      <c r="C443" s="651" t="s">
        <v>4166</v>
      </c>
      <c r="D443" s="822"/>
      <c r="E443" s="822"/>
      <c r="F443" s="822"/>
      <c r="G443" s="822"/>
      <c r="H443" s="822"/>
    </row>
    <row r="444" spans="1:8" x14ac:dyDescent="0.35">
      <c r="A444" s="820">
        <v>440</v>
      </c>
      <c r="B444" s="651" t="str">
        <f t="shared" si="6"/>
        <v>For the emission factor (EF) of the heat, please consider the efficiency of the boiler. For example, if the EF of the fuel of which the heat is produced is 96 t CO2/TJ and the boiler efficiency is 90%, the EF to be reported here would be 96 divided by 90%.</v>
      </c>
      <c r="C444" s="651" t="s">
        <v>4167</v>
      </c>
      <c r="D444" s="822"/>
      <c r="E444" s="822"/>
      <c r="F444" s="822"/>
      <c r="G444" s="822"/>
      <c r="H444" s="822"/>
    </row>
    <row r="445" spans="1:8" x14ac:dyDescent="0.35">
      <c r="A445" s="820">
        <v>441</v>
      </c>
      <c r="B445" s="651" t="str">
        <f t="shared" si="6"/>
        <v>For the EF of heat produced in a CHP, please see the reference to the "CHP Tool" above.</v>
      </c>
      <c r="C445" s="651" t="s">
        <v>2906</v>
      </c>
      <c r="D445" s="822"/>
      <c r="E445" s="822"/>
      <c r="F445" s="822"/>
      <c r="G445" s="822"/>
      <c r="H445" s="822"/>
    </row>
    <row r="446" spans="1:8" x14ac:dyDescent="0.35">
      <c r="A446" s="820">
        <v>442</v>
      </c>
      <c r="B446" s="651" t="str">
        <f t="shared" si="6"/>
        <v>Where the EF of exported heat is not clearly defined (e.g. heat recovery from furnaces or from exothermic heat), the standard emission factor of the fuel most commonly used in the country and industrial sector, assuming a boiler efficiency of 90%, should be used.</v>
      </c>
      <c r="C446" s="651" t="s">
        <v>4168</v>
      </c>
      <c r="D446" s="822"/>
      <c r="E446" s="822"/>
      <c r="F446" s="822"/>
      <c r="G446" s="822"/>
      <c r="H446" s="822"/>
    </row>
    <row r="447" spans="1:8" x14ac:dyDescent="0.35">
      <c r="A447" s="820">
        <v>443</v>
      </c>
      <c r="B447" s="651" t="str">
        <f t="shared" si="6"/>
        <v>Heat recovered and NOT exported but used within the production process shall not be reported under exported heat.</v>
      </c>
      <c r="C447" s="651" t="s">
        <v>2905</v>
      </c>
      <c r="D447" s="822"/>
      <c r="E447" s="822"/>
      <c r="F447" s="822"/>
      <c r="G447" s="822"/>
      <c r="H447" s="822"/>
    </row>
    <row r="448" spans="1:8" ht="13" x14ac:dyDescent="0.35">
      <c r="A448" s="820">
        <v>444</v>
      </c>
      <c r="B448" s="636" t="str">
        <f t="shared" si="6"/>
        <v>i)</v>
      </c>
      <c r="C448" s="636" t="s">
        <v>2878</v>
      </c>
      <c r="D448" s="822"/>
      <c r="E448" s="822"/>
      <c r="F448" s="822"/>
      <c r="G448" s="822"/>
      <c r="H448" s="822"/>
    </row>
    <row r="449" spans="1:8" x14ac:dyDescent="0.35">
      <c r="A449" s="820">
        <v>445</v>
      </c>
      <c r="B449" s="656" t="str">
        <f t="shared" si="6"/>
        <v>Import and export of waste gases</v>
      </c>
      <c r="C449" s="656" t="s">
        <v>2907</v>
      </c>
      <c r="D449" s="822"/>
      <c r="E449" s="822"/>
      <c r="F449" s="822"/>
      <c r="G449" s="822"/>
      <c r="H449" s="822"/>
    </row>
    <row r="450" spans="1:8" x14ac:dyDescent="0.35">
      <c r="A450" s="820">
        <v>446</v>
      </c>
      <c r="B450" s="651" t="str">
        <f t="shared" si="6"/>
        <v>Further to the waste gas related provisions described above under DirEm*, please provide there the net amounts of waste gases imported from other processes or installations and consumed in this production process, as well as any amounts of waste gases exported and consumed outside the production process.</v>
      </c>
      <c r="C450" s="651" t="s">
        <v>4169</v>
      </c>
      <c r="D450" s="822"/>
      <c r="E450" s="822"/>
      <c r="F450" s="822"/>
      <c r="G450" s="822"/>
      <c r="H450" s="822"/>
    </row>
    <row r="451" spans="1:8" x14ac:dyDescent="0.35">
      <c r="A451" s="820">
        <v>447</v>
      </c>
      <c r="B451" s="651" t="str">
        <f t="shared" si="6"/>
        <v>The emission factor of the waste gases will not impact the emissions attributed to this production process, due to the special rules for waste gases. Inputs there are therefore optional.</v>
      </c>
      <c r="C451" s="651" t="s">
        <v>4170</v>
      </c>
      <c r="D451" s="822"/>
      <c r="E451" s="822"/>
      <c r="F451" s="822"/>
      <c r="G451" s="822"/>
      <c r="H451" s="822"/>
    </row>
    <row r="452" spans="1:8" ht="13" x14ac:dyDescent="0.35">
      <c r="A452" s="820">
        <v>448</v>
      </c>
      <c r="B452" s="636" t="str">
        <f t="shared" si="6"/>
        <v>j)</v>
      </c>
      <c r="C452" s="636" t="s">
        <v>2879</v>
      </c>
      <c r="D452" s="822"/>
      <c r="E452" s="822"/>
      <c r="F452" s="822"/>
      <c r="G452" s="822"/>
      <c r="H452" s="822"/>
    </row>
    <row r="453" spans="1:8" x14ac:dyDescent="0.35">
      <c r="A453" s="820">
        <v>449</v>
      </c>
      <c r="B453" s="651" t="str">
        <f t="shared" si="6"/>
        <v>Please enter the total amount of electricity consumed within the system boundaries of the production process.</v>
      </c>
      <c r="C453" s="651" t="s">
        <v>2908</v>
      </c>
      <c r="D453" s="822"/>
      <c r="E453" s="822"/>
      <c r="F453" s="822"/>
      <c r="G453" s="822"/>
      <c r="H453" s="822"/>
    </row>
    <row r="454" spans="1:8" x14ac:dyDescent="0.35">
      <c r="A454" s="820">
        <v>450</v>
      </c>
      <c r="B454" s="651" t="str">
        <f t="shared" ref="B454:B517" si="7">IFERROR(INDEX(C454:M454,$A$3-2),$C454)</f>
        <v>Please enter the average emission factor of the electricity consumed using the methods below for determination of this factor.</v>
      </c>
      <c r="C454" s="651" t="s">
        <v>4171</v>
      </c>
      <c r="D454" s="822"/>
      <c r="E454" s="822"/>
      <c r="F454" s="822"/>
      <c r="G454" s="822"/>
      <c r="H454" s="822"/>
    </row>
    <row r="455" spans="1:8" x14ac:dyDescent="0.35">
      <c r="A455" s="820">
        <v>451</v>
      </c>
      <c r="B455" s="651" t="str">
        <f t="shared" si="7"/>
        <v>The emission factor of the electricity can be determined by the following methods:</v>
      </c>
      <c r="C455" s="651" t="s">
        <v>4172</v>
      </c>
      <c r="D455" s="822"/>
      <c r="E455" s="822"/>
      <c r="F455" s="822"/>
      <c r="G455" s="822"/>
      <c r="H455" s="822"/>
    </row>
    <row r="456" spans="1:8" x14ac:dyDescent="0.35">
      <c r="A456" s="820">
        <v>452</v>
      </c>
      <c r="B456" s="651" t="str">
        <f t="shared" si="7"/>
        <v xml:space="preserve">CO2 emission factor based on specific default values  </v>
      </c>
      <c r="C456" s="651" t="s">
        <v>4173</v>
      </c>
      <c r="D456" s="822"/>
      <c r="E456" s="822"/>
      <c r="F456" s="822"/>
      <c r="G456" s="822"/>
      <c r="H456" s="822"/>
    </row>
    <row r="457" spans="1:8" x14ac:dyDescent="0.35">
      <c r="A457" s="820">
        <v>453</v>
      </c>
      <c r="B457" s="651" t="str">
        <f t="shared" si="7"/>
        <v xml:space="preserve">CO2 emission factor based on alternative default value </v>
      </c>
      <c r="C457" s="651" t="s">
        <v>4174</v>
      </c>
      <c r="D457" s="822"/>
      <c r="E457" s="822"/>
      <c r="F457" s="822"/>
      <c r="G457" s="822"/>
      <c r="H457" s="822"/>
    </row>
    <row r="458" spans="1:8" x14ac:dyDescent="0.35">
      <c r="A458" s="820">
        <v>454</v>
      </c>
      <c r="B458" s="651" t="str">
        <f t="shared" si="7"/>
        <v>CO2 emission factor based on reliable data demonstrated by the importer</v>
      </c>
      <c r="C458" s="651" t="s">
        <v>4175</v>
      </c>
      <c r="D458" s="822"/>
      <c r="E458" s="822"/>
      <c r="F458" s="822"/>
      <c r="G458" s="822"/>
      <c r="H458" s="822"/>
    </row>
    <row r="459" spans="1:8" x14ac:dyDescent="0.35">
      <c r="A459" s="820">
        <v>455</v>
      </c>
      <c r="B459" s="651" t="str">
        <f t="shared" si="7"/>
        <v xml:space="preserve">CO2 emission factor based on actual CO2 emissions of the installation </v>
      </c>
      <c r="C459" s="651" t="s">
        <v>4176</v>
      </c>
      <c r="D459" s="822"/>
      <c r="E459" s="822"/>
      <c r="F459" s="822"/>
      <c r="G459" s="822"/>
      <c r="H459" s="822"/>
    </row>
    <row r="460" spans="1:8" x14ac:dyDescent="0.35">
      <c r="A460" s="820">
        <v>456</v>
      </c>
      <c r="B460" s="656" t="str">
        <f t="shared" si="7"/>
        <v>Mix</v>
      </c>
      <c r="C460" s="656" t="s">
        <v>2909</v>
      </c>
      <c r="D460" s="822"/>
      <c r="E460" s="822"/>
      <c r="F460" s="822"/>
      <c r="G460" s="822"/>
      <c r="H460" s="822"/>
    </row>
    <row r="461" spans="1:8" x14ac:dyDescent="0.35">
      <c r="A461" s="820">
        <v>457</v>
      </c>
      <c r="B461" s="651" t="str">
        <f t="shared" si="7"/>
        <v>Where the electricity is not predominantly obtained from one source or the EF determined by more than one of the above sources, the EF is determined as a mix of the methods above.</v>
      </c>
      <c r="C461" s="651" t="s">
        <v>2943</v>
      </c>
      <c r="D461" s="822"/>
      <c r="E461" s="822"/>
      <c r="F461" s="822"/>
      <c r="G461" s="822"/>
      <c r="H461" s="822"/>
    </row>
    <row r="462" spans="1:8" ht="13" x14ac:dyDescent="0.35">
      <c r="A462" s="820">
        <v>458</v>
      </c>
      <c r="B462" s="636" t="str">
        <f t="shared" si="7"/>
        <v>k)</v>
      </c>
      <c r="C462" s="636" t="s">
        <v>2880</v>
      </c>
      <c r="D462" s="822"/>
      <c r="E462" s="822"/>
      <c r="F462" s="822"/>
      <c r="G462" s="822"/>
      <c r="H462" s="822"/>
    </row>
    <row r="463" spans="1:8" x14ac:dyDescent="0.35">
      <c r="A463" s="820">
        <v>459</v>
      </c>
      <c r="B463" s="652" t="str">
        <f t="shared" si="7"/>
        <v>Electricity exported</v>
      </c>
      <c r="C463" s="652" t="s">
        <v>2911</v>
      </c>
      <c r="D463" s="822"/>
      <c r="E463" s="822"/>
      <c r="F463" s="822"/>
      <c r="G463" s="822"/>
      <c r="H463" s="822"/>
    </row>
    <row r="464" spans="1:8" x14ac:dyDescent="0.35">
      <c r="A464" s="820">
        <v>460</v>
      </c>
      <c r="B464" s="652" t="str">
        <f t="shared" si="7"/>
        <v>This concerns special forms of electricity production being produced within the production process but exported outside the process. It concerns electricity produced via other forms than in gas turbines or via steam in turbines, but - for instance - via expansion of compressed gases in expansion turbines.</v>
      </c>
      <c r="C464" s="652" t="s">
        <v>2912</v>
      </c>
      <c r="D464" s="822"/>
      <c r="E464" s="822"/>
      <c r="F464" s="822"/>
      <c r="G464" s="822"/>
      <c r="H464" s="822"/>
    </row>
    <row r="465" spans="1:8" ht="15.5" x14ac:dyDescent="0.35">
      <c r="A465" s="820">
        <v>461</v>
      </c>
      <c r="B465" s="311" t="str">
        <f t="shared" si="7"/>
        <v>Summary of products</v>
      </c>
      <c r="C465" s="311" t="s">
        <v>406</v>
      </c>
      <c r="D465" s="822"/>
      <c r="E465" s="822"/>
      <c r="F465" s="822"/>
      <c r="G465" s="822"/>
      <c r="H465" s="822"/>
    </row>
    <row r="466" spans="1:8" x14ac:dyDescent="0.35">
      <c r="A466" s="820">
        <v>462</v>
      </c>
      <c r="B466" s="644" t="str">
        <f t="shared" si="7"/>
        <v>Please find below the detailed guidance on how to complete the sheet "Summary_Products".</v>
      </c>
      <c r="C466" s="644" t="s">
        <v>2811</v>
      </c>
      <c r="D466" s="822"/>
      <c r="E466" s="822"/>
      <c r="F466" s="822"/>
      <c r="G466" s="822"/>
      <c r="H466" s="822"/>
    </row>
    <row r="467" spans="1:8" x14ac:dyDescent="0.35">
      <c r="A467" s="820">
        <v>463</v>
      </c>
      <c r="B467" s="653" t="str">
        <f t="shared" si="7"/>
        <v>Sheet "Summary_Products" will be crucial for the communication with the 'reporting declarant' as it contains the main information required in order to correctly fill in the 'CBAM report' for importing the goods into the European Union.</v>
      </c>
      <c r="C467" s="653" t="s">
        <v>2812</v>
      </c>
      <c r="D467" s="822"/>
      <c r="E467" s="822"/>
      <c r="F467" s="822"/>
      <c r="G467" s="822"/>
      <c r="H467" s="822"/>
    </row>
    <row r="468" spans="1:8" x14ac:dyDescent="0.35">
      <c r="A468" s="820">
        <v>464</v>
      </c>
      <c r="B468" s="644" t="str">
        <f t="shared" si="7"/>
        <v>The information provided there should be for each type of good imported into the EU. The type of goods should be listed as disaggregated as possible, i.e. splitting type of goods by their CN codes using as many digits as possible.</v>
      </c>
      <c r="C468" s="644" t="s">
        <v>4177</v>
      </c>
      <c r="D468" s="822"/>
      <c r="E468" s="822"/>
      <c r="F468" s="822"/>
      <c r="G468" s="822"/>
      <c r="H468" s="822"/>
    </row>
    <row r="469" spans="1:8" x14ac:dyDescent="0.35">
      <c r="A469" s="820">
        <v>465</v>
      </c>
      <c r="B469" s="653" t="str">
        <f t="shared" si="7"/>
        <v>All information provided (specific embedded emissions, carbon price due, etc.) shall relate to the same reference period as entered in sheet A, section 1.</v>
      </c>
      <c r="C469" s="653" t="s">
        <v>3023</v>
      </c>
      <c r="D469" s="822"/>
      <c r="E469" s="822"/>
      <c r="F469" s="822"/>
      <c r="G469" s="822"/>
      <c r="H469" s="822"/>
    </row>
    <row r="470" spans="1:8" x14ac:dyDescent="0.35">
      <c r="A470" s="820">
        <v>466</v>
      </c>
      <c r="B470" s="644" t="str">
        <f t="shared" si="7"/>
        <v>An example for how to complete a row is provided at the top of the table in sheet "Summary_Products".</v>
      </c>
      <c r="C470" s="644" t="s">
        <v>2891</v>
      </c>
      <c r="D470" s="822"/>
      <c r="E470" s="822"/>
      <c r="F470" s="822"/>
      <c r="G470" s="822"/>
      <c r="H470" s="822"/>
    </row>
    <row r="471" spans="1:8" x14ac:dyDescent="0.25">
      <c r="A471" s="820">
        <v>467</v>
      </c>
      <c r="B471" s="1053" t="str">
        <f t="shared" si="7"/>
        <v>General parameters</v>
      </c>
      <c r="C471" s="1053" t="s">
        <v>2781</v>
      </c>
      <c r="D471" s="822"/>
      <c r="E471" s="822"/>
      <c r="F471" s="822"/>
      <c r="G471" s="822"/>
      <c r="H471" s="822"/>
    </row>
    <row r="472" spans="1:8" x14ac:dyDescent="0.35">
      <c r="A472" s="820">
        <v>468</v>
      </c>
      <c r="B472" s="657" t="str">
        <f t="shared" si="7"/>
        <v>Production process from which the products arise</v>
      </c>
      <c r="C472" s="657" t="s">
        <v>360</v>
      </c>
      <c r="D472" s="822"/>
      <c r="E472" s="822"/>
      <c r="F472" s="822"/>
      <c r="G472" s="822"/>
      <c r="H472" s="822"/>
    </row>
    <row r="473" spans="1:8" x14ac:dyDescent="0.35">
      <c r="A473" s="820">
        <v>469</v>
      </c>
      <c r="B473" s="651" t="str">
        <f t="shared" si="7"/>
        <v>This contains a drop-down list with all production processes listed in sheet A, section 4.b. The type of aggregated good will be displayed automatically and the drop-down list for the relevant CN codes (see below) will only contain the codes relevant for this type of aggregated good.</v>
      </c>
      <c r="C473" s="651" t="s">
        <v>2778</v>
      </c>
      <c r="D473" s="822"/>
      <c r="E473" s="822"/>
      <c r="F473" s="822"/>
      <c r="G473" s="822"/>
      <c r="H473" s="822"/>
    </row>
    <row r="474" spans="1:8" x14ac:dyDescent="0.35">
      <c r="A474" s="820">
        <v>470</v>
      </c>
      <c r="B474" s="651" t="str">
        <f t="shared" si="7"/>
        <v>CN Codes</v>
      </c>
      <c r="C474" s="651" t="s">
        <v>305</v>
      </c>
      <c r="D474" s="822"/>
      <c r="E474" s="822"/>
      <c r="F474" s="822"/>
      <c r="G474" s="822"/>
      <c r="H474" s="822"/>
    </row>
    <row r="475" spans="1:8" x14ac:dyDescent="0.35">
      <c r="A475" s="820">
        <v>471</v>
      </c>
      <c r="B475" s="651" t="str">
        <f t="shared" si="7"/>
        <v>Please select here the relevant CN code, as disaggregated as possible (i.e. 8-digit code, if possible)</v>
      </c>
      <c r="C475" s="651" t="s">
        <v>2779</v>
      </c>
      <c r="D475" s="822"/>
      <c r="E475" s="822"/>
      <c r="F475" s="822"/>
      <c r="G475" s="822"/>
      <c r="H475" s="822"/>
    </row>
    <row r="476" spans="1:8" x14ac:dyDescent="0.35">
      <c r="A476" s="820">
        <v>472</v>
      </c>
      <c r="B476" s="651" t="str">
        <f t="shared" si="7"/>
        <v>Product name 
(used for communication with reporting declarant)</v>
      </c>
      <c r="C476" s="651" t="s">
        <v>2718</v>
      </c>
      <c r="D476" s="822"/>
      <c r="E476" s="822"/>
      <c r="F476" s="822"/>
      <c r="G476" s="822"/>
      <c r="H476" s="822"/>
    </row>
    <row r="477" spans="1:8" x14ac:dyDescent="0.35">
      <c r="A477" s="820">
        <v>473</v>
      </c>
      <c r="B477" s="651" t="str">
        <f t="shared" si="7"/>
        <v>Please enter here a unique name for the product which you typically use in communication with your customers, in this case the reporting declarants, such as on product specification sheets or invoices. This will help the reporting declarant with matching the products with the information in this list.</v>
      </c>
      <c r="C477" s="651" t="s">
        <v>2780</v>
      </c>
      <c r="D477" s="822"/>
      <c r="E477" s="822"/>
      <c r="F477" s="822"/>
      <c r="G477" s="822"/>
      <c r="H477" s="822"/>
    </row>
    <row r="478" spans="1:8" x14ac:dyDescent="0.35">
      <c r="A478" s="820">
        <v>474</v>
      </c>
      <c r="B478" s="656" t="str">
        <f t="shared" si="7"/>
        <v>Embedded emissions</v>
      </c>
      <c r="C478" s="656" t="s">
        <v>2775</v>
      </c>
      <c r="D478" s="822"/>
      <c r="E478" s="822"/>
      <c r="F478" s="822"/>
      <c r="G478" s="822"/>
      <c r="H478" s="822"/>
    </row>
    <row r="479" spans="1:8" x14ac:dyDescent="0.35">
      <c r="A479" s="820">
        <v>475</v>
      </c>
      <c r="B479" s="651" t="str">
        <f t="shared" si="7"/>
        <v>Data related to the specific embedded emissions (SEE, direct/indirect/total) will be taken automatically based on entries in previous sheets, including the embedded electricity and the source based on which the emission factor (EF) of the electricity consumption is determined.</v>
      </c>
      <c r="C479" s="651" t="s">
        <v>4178</v>
      </c>
      <c r="D479" s="822"/>
      <c r="E479" s="822"/>
      <c r="F479" s="822"/>
      <c r="G479" s="822"/>
      <c r="H479" s="822"/>
    </row>
    <row r="480" spans="1:8" x14ac:dyDescent="0.35">
      <c r="A480" s="820">
        <v>476</v>
      </c>
      <c r="B480" s="656" t="str">
        <f t="shared" si="7"/>
        <v>Embedded electricity</v>
      </c>
      <c r="C480" s="656" t="s">
        <v>365</v>
      </c>
      <c r="D480" s="822"/>
      <c r="E480" s="822"/>
      <c r="F480" s="822"/>
      <c r="G480" s="822"/>
      <c r="H480" s="822"/>
    </row>
    <row r="481" spans="1:8" x14ac:dyDescent="0.35">
      <c r="A481" s="820">
        <v>477</v>
      </c>
      <c r="B481" s="656" t="str">
        <f t="shared" si="7"/>
        <v>Specific embedded electricity consumption of the production process, i.e. including any embedded electricity consumption in other production processes within the installation (i.e. excl. from purchased precursors).</v>
      </c>
      <c r="C481" s="656" t="s">
        <v>4179</v>
      </c>
      <c r="D481" s="822"/>
      <c r="E481" s="822"/>
      <c r="F481" s="822"/>
      <c r="G481" s="822"/>
      <c r="H481" s="822"/>
    </row>
    <row r="482" spans="1:8" x14ac:dyDescent="0.25">
      <c r="A482" s="820">
        <v>478</v>
      </c>
      <c r="B482" s="1053" t="str">
        <f t="shared" si="7"/>
        <v>Special parameters for certain aggregated good types</v>
      </c>
      <c r="C482" s="1053" t="s">
        <v>2782</v>
      </c>
      <c r="D482" s="822"/>
      <c r="E482" s="822"/>
      <c r="F482" s="822"/>
      <c r="G482" s="822"/>
      <c r="H482" s="822"/>
    </row>
    <row r="483" spans="1:8" x14ac:dyDescent="0.35">
      <c r="A483" s="820">
        <v>479</v>
      </c>
      <c r="B483" s="656" t="str">
        <f t="shared" si="7"/>
        <v>The main reducing agent of the precursor, if known</v>
      </c>
      <c r="C483" s="656" t="s">
        <v>299</v>
      </c>
      <c r="D483" s="822"/>
      <c r="E483" s="822"/>
      <c r="F483" s="822"/>
      <c r="G483" s="822"/>
      <c r="H483" s="822"/>
    </row>
    <row r="484" spans="1:8" x14ac:dyDescent="0.35">
      <c r="A484" s="820">
        <v>480</v>
      </c>
      <c r="B484" s="651" t="str">
        <f t="shared" si="7"/>
        <v>This parameter is relevant for the production of pig iron, direct reduced iron, crude steel and iron and steel products. Please select from the drop-down list the main reducing agent (coke or coal, natural gas, etc.) used to reduce the iron ores.</v>
      </c>
      <c r="C484" s="651" t="s">
        <v>2785</v>
      </c>
      <c r="D484" s="822"/>
      <c r="E484" s="822"/>
      <c r="F484" s="822"/>
      <c r="G484" s="822"/>
      <c r="H484" s="822"/>
    </row>
    <row r="485" spans="1:8" x14ac:dyDescent="0.35">
      <c r="A485" s="820">
        <v>481</v>
      </c>
      <c r="B485" s="656" t="str">
        <f t="shared" si="7"/>
        <v>Steel mill identification number</v>
      </c>
      <c r="C485" s="656" t="s">
        <v>2987</v>
      </c>
      <c r="D485" s="822"/>
      <c r="E485" s="822"/>
      <c r="F485" s="822"/>
      <c r="G485" s="822"/>
      <c r="H485" s="822"/>
    </row>
    <row r="486" spans="1:8" x14ac:dyDescent="0.35">
      <c r="A486" s="820">
        <v>482</v>
      </c>
      <c r="B486" s="651" t="str">
        <f t="shared" si="7"/>
        <v>For steel goods, the identification number of the specific steel mill (also known as the "heat number") where a particular batch of raw materials was produced, where known.</v>
      </c>
      <c r="C486" s="651" t="s">
        <v>4180</v>
      </c>
      <c r="D486" s="822"/>
      <c r="E486" s="822"/>
      <c r="F486" s="822"/>
      <c r="G486" s="822"/>
      <c r="H486" s="822"/>
    </row>
    <row r="487" spans="1:8" x14ac:dyDescent="0.35">
      <c r="A487" s="820">
        <v>483</v>
      </c>
      <c r="B487" s="656" t="str">
        <f t="shared" si="7"/>
        <v>% Mn</v>
      </c>
      <c r="C487" s="656" t="s">
        <v>291</v>
      </c>
      <c r="D487" s="822"/>
      <c r="E487" s="822"/>
      <c r="F487" s="822"/>
      <c r="G487" s="822"/>
      <c r="H487" s="822"/>
    </row>
    <row r="488" spans="1:8" x14ac:dyDescent="0.35">
      <c r="A488" s="820">
        <v>484</v>
      </c>
      <c r="B488" s="651" t="str">
        <f t="shared" si="7"/>
        <v>This parameter is relevant for the production of pig iron, direct reduced iron, crude steel, iron and steel products and ferro-manganese. Please provide here the mass % of Mn in the product.</v>
      </c>
      <c r="C488" s="651" t="s">
        <v>2786</v>
      </c>
      <c r="D488" s="822"/>
      <c r="E488" s="822"/>
      <c r="F488" s="822"/>
      <c r="G488" s="822"/>
      <c r="H488" s="822"/>
    </row>
    <row r="489" spans="1:8" x14ac:dyDescent="0.35">
      <c r="A489" s="820">
        <v>485</v>
      </c>
      <c r="B489" s="656" t="str">
        <f t="shared" si="7"/>
        <v>% Cr</v>
      </c>
      <c r="C489" s="656" t="s">
        <v>292</v>
      </c>
      <c r="D489" s="822"/>
      <c r="E489" s="822"/>
      <c r="F489" s="822"/>
      <c r="G489" s="822"/>
      <c r="H489" s="822"/>
    </row>
    <row r="490" spans="1:8" x14ac:dyDescent="0.35">
      <c r="A490" s="820">
        <v>486</v>
      </c>
      <c r="B490" s="651" t="str">
        <f t="shared" si="7"/>
        <v>This parameter is relevant for the production of pig iron, direct reduced iron, crude steel, iron and steel products and ferro-chromium. Please provide here the mass % of Cr in the product.</v>
      </c>
      <c r="C490" s="651" t="s">
        <v>2787</v>
      </c>
      <c r="D490" s="822"/>
      <c r="E490" s="822"/>
      <c r="F490" s="822"/>
      <c r="G490" s="822"/>
      <c r="H490" s="822"/>
    </row>
    <row r="491" spans="1:8" x14ac:dyDescent="0.35">
      <c r="A491" s="820">
        <v>487</v>
      </c>
      <c r="B491" s="656" t="str">
        <f t="shared" si="7"/>
        <v>% Ni</v>
      </c>
      <c r="C491" s="656" t="s">
        <v>293</v>
      </c>
      <c r="D491" s="822"/>
      <c r="E491" s="822"/>
      <c r="F491" s="822"/>
      <c r="G491" s="822"/>
      <c r="H491" s="822"/>
    </row>
    <row r="492" spans="1:8" x14ac:dyDescent="0.35">
      <c r="A492" s="820">
        <v>488</v>
      </c>
      <c r="B492" s="651" t="str">
        <f t="shared" si="7"/>
        <v>This parameter is relevant for the production of pig iron, direct reduced iron, crude steel, iron and steel products and ferro-nickel. Please provide here the mass % of Ni in the product.</v>
      </c>
      <c r="C492" s="651" t="s">
        <v>2788</v>
      </c>
      <c r="D492" s="822"/>
      <c r="E492" s="822"/>
      <c r="F492" s="822"/>
      <c r="G492" s="822"/>
      <c r="H492" s="822"/>
    </row>
    <row r="493" spans="1:8" x14ac:dyDescent="0.35">
      <c r="A493" s="820">
        <v>489</v>
      </c>
      <c r="B493" s="656" t="str">
        <f t="shared" si="7"/>
        <v>% other alloys</v>
      </c>
      <c r="C493" s="656" t="s">
        <v>294</v>
      </c>
      <c r="D493" s="822"/>
      <c r="E493" s="822"/>
      <c r="F493" s="822"/>
      <c r="G493" s="822"/>
      <c r="H493" s="822"/>
    </row>
    <row r="494" spans="1:8" x14ac:dyDescent="0.35">
      <c r="A494" s="820">
        <v>490</v>
      </c>
      <c r="B494" s="651" t="str">
        <f t="shared" si="7"/>
        <v>This parameter is relevant for the production of pig iron, direct reduced iron, crude steel and iron and steel products. Please provide here the mass % of other alloy elements in the product.</v>
      </c>
      <c r="C494" s="651" t="s">
        <v>2789</v>
      </c>
      <c r="D494" s="822"/>
      <c r="E494" s="822"/>
      <c r="F494" s="822"/>
      <c r="G494" s="822"/>
      <c r="H494" s="822"/>
    </row>
    <row r="495" spans="1:8" x14ac:dyDescent="0.35">
      <c r="A495" s="820">
        <v>491</v>
      </c>
      <c r="B495" s="656" t="str">
        <f t="shared" si="7"/>
        <v>% carbon</v>
      </c>
      <c r="C495" s="656" t="s">
        <v>2723</v>
      </c>
      <c r="D495" s="822"/>
      <c r="E495" s="822"/>
      <c r="F495" s="822"/>
      <c r="G495" s="822"/>
      <c r="H495" s="822"/>
    </row>
    <row r="496" spans="1:8" x14ac:dyDescent="0.35">
      <c r="A496" s="820">
        <v>492</v>
      </c>
      <c r="B496" s="651" t="str">
        <f t="shared" si="7"/>
        <v>This parameter is relevant for the production of ferro-manganese, ferro-chromium and ferro-nickel. Please provide here the mass % of carbon in the product.</v>
      </c>
      <c r="C496" s="651" t="s">
        <v>2790</v>
      </c>
      <c r="D496" s="822"/>
      <c r="E496" s="822"/>
      <c r="F496" s="822"/>
      <c r="G496" s="822"/>
      <c r="H496" s="822"/>
    </row>
    <row r="497" spans="1:8" x14ac:dyDescent="0.35">
      <c r="A497" s="820">
        <v>493</v>
      </c>
      <c r="B497" s="656" t="str">
        <f t="shared" si="7"/>
        <v>t scrap per t steel</v>
      </c>
      <c r="C497" s="656" t="s">
        <v>296</v>
      </c>
      <c r="D497" s="822"/>
      <c r="E497" s="822"/>
      <c r="F497" s="822"/>
      <c r="G497" s="822"/>
      <c r="H497" s="822"/>
    </row>
    <row r="498" spans="1:8" x14ac:dyDescent="0.35">
      <c r="A498" s="820">
        <v>494</v>
      </c>
      <c r="B498" s="651" t="str">
        <f t="shared" si="7"/>
        <v>This parameter is relevant for the production of crude steel and iron and steel products. Please provide here the mass % of tonne scrap used per tonne of steel produced.</v>
      </c>
      <c r="C498" s="651" t="s">
        <v>2791</v>
      </c>
      <c r="D498" s="822"/>
      <c r="E498" s="822"/>
      <c r="F498" s="822"/>
      <c r="G498" s="822"/>
      <c r="H498" s="822"/>
    </row>
    <row r="499" spans="1:8" x14ac:dyDescent="0.35">
      <c r="A499" s="820">
        <v>495</v>
      </c>
      <c r="B499" s="656" t="str">
        <f t="shared" si="7"/>
        <v>% other materials</v>
      </c>
      <c r="C499" s="656" t="s">
        <v>2946</v>
      </c>
      <c r="D499" s="822"/>
      <c r="E499" s="822"/>
      <c r="F499" s="822"/>
      <c r="G499" s="822"/>
      <c r="H499" s="822"/>
    </row>
    <row r="500" spans="1:8" x14ac:dyDescent="0.35">
      <c r="A500" s="820">
        <v>496</v>
      </c>
      <c r="B500" s="651" t="str">
        <f t="shared" si="7"/>
        <v>This parameter is relevant for the production of the aggregated good iron and steel products. Please provide here the mass % of materials contained which are not iron or steel, if their mass is more than 1-5% of the total good’s mass.</v>
      </c>
      <c r="C500" s="651" t="s">
        <v>2963</v>
      </c>
      <c r="D500" s="822"/>
      <c r="E500" s="822"/>
      <c r="F500" s="822"/>
      <c r="G500" s="822"/>
      <c r="H500" s="822"/>
    </row>
    <row r="501" spans="1:8" x14ac:dyDescent="0.35">
      <c r="A501" s="820">
        <v>497</v>
      </c>
      <c r="B501" s="656" t="str">
        <f t="shared" si="7"/>
        <v>t scrap per t aluminium</v>
      </c>
      <c r="C501" s="656" t="s">
        <v>297</v>
      </c>
      <c r="D501" s="822"/>
      <c r="E501" s="822"/>
      <c r="F501" s="822"/>
      <c r="G501" s="822"/>
      <c r="H501" s="822"/>
    </row>
    <row r="502" spans="1:8" x14ac:dyDescent="0.35">
      <c r="A502" s="820">
        <v>498</v>
      </c>
      <c r="B502" s="651" t="str">
        <f t="shared" si="7"/>
        <v>This parameter is relevant for the production of unwrought aluminium and aluminium products. Please provide here the mass % of tonne scrap used per tonne of aluminium produced.</v>
      </c>
      <c r="C502" s="651" t="s">
        <v>2991</v>
      </c>
      <c r="D502" s="822"/>
      <c r="E502" s="822"/>
      <c r="F502" s="822"/>
      <c r="G502" s="822"/>
      <c r="H502" s="822"/>
    </row>
    <row r="503" spans="1:8" x14ac:dyDescent="0.35">
      <c r="A503" s="820">
        <v>499</v>
      </c>
      <c r="B503" s="656" t="str">
        <f t="shared" si="7"/>
        <v>% pre-consumer scrap</v>
      </c>
      <c r="C503" s="656" t="s">
        <v>2964</v>
      </c>
      <c r="D503" s="822"/>
      <c r="E503" s="822"/>
      <c r="F503" s="822"/>
      <c r="G503" s="822"/>
      <c r="H503" s="822"/>
    </row>
    <row r="504" spans="1:8" x14ac:dyDescent="0.35">
      <c r="A504" s="820">
        <v>500</v>
      </c>
      <c r="B504" s="651" t="str">
        <f t="shared" si="7"/>
        <v>This parameter is relevant for the production of crude steel, unwrought aluminium and aluminium products. Please provide here the mass % of tonne pre-consumer scrap used per tonne of steel/aluminium produced.</v>
      </c>
      <c r="C504" s="651" t="s">
        <v>2992</v>
      </c>
      <c r="D504" s="822"/>
      <c r="E504" s="822"/>
      <c r="F504" s="822"/>
      <c r="G504" s="822"/>
      <c r="H504" s="822"/>
    </row>
    <row r="505" spans="1:8" x14ac:dyDescent="0.35">
      <c r="A505" s="820">
        <v>501</v>
      </c>
      <c r="B505" s="656" t="str">
        <f t="shared" si="7"/>
        <v>% non-aluminium elements</v>
      </c>
      <c r="C505" s="656" t="s">
        <v>2947</v>
      </c>
      <c r="D505" s="822"/>
      <c r="E505" s="822"/>
      <c r="F505" s="822"/>
      <c r="G505" s="822"/>
      <c r="H505" s="822"/>
    </row>
    <row r="506" spans="1:8" x14ac:dyDescent="0.35">
      <c r="A506" s="820">
        <v>502</v>
      </c>
      <c r="B506" s="651" t="str">
        <f t="shared" si="7"/>
        <v>This parameter is relevant for the production of unwrought aluminium and aluminium products. Please provide here the mass % of elements contained which are not aluminium, if their mass is more than 1% of the total good’s mass.</v>
      </c>
      <c r="C506" s="651" t="s">
        <v>2993</v>
      </c>
      <c r="D506" s="822"/>
      <c r="E506" s="822"/>
      <c r="F506" s="822"/>
      <c r="G506" s="822"/>
      <c r="H506" s="822"/>
    </row>
    <row r="507" spans="1:8" x14ac:dyDescent="0.35">
      <c r="A507" s="820">
        <v>503</v>
      </c>
      <c r="B507" s="656" t="str">
        <f t="shared" si="7"/>
        <v>Clinker factor</v>
      </c>
      <c r="C507" s="656" t="s">
        <v>2783</v>
      </c>
      <c r="D507" s="822"/>
      <c r="E507" s="822"/>
      <c r="F507" s="822"/>
      <c r="G507" s="822"/>
      <c r="H507" s="822"/>
    </row>
    <row r="508" spans="1:8" x14ac:dyDescent="0.35">
      <c r="A508" s="820">
        <v>504</v>
      </c>
      <c r="B508" s="651" t="str">
        <f t="shared" si="7"/>
        <v>This parameter is relevant for the production of cement. Please provide here the clinker factor, expressed as mass % of clinker content in the cement.</v>
      </c>
      <c r="C508" s="651" t="s">
        <v>4181</v>
      </c>
      <c r="D508" s="822"/>
      <c r="E508" s="822"/>
      <c r="F508" s="822"/>
      <c r="G508" s="822"/>
      <c r="H508" s="822"/>
    </row>
    <row r="509" spans="1:8" x14ac:dyDescent="0.35">
      <c r="A509" s="820">
        <v>505</v>
      </c>
      <c r="B509" s="656" t="str">
        <f t="shared" si="7"/>
        <v>Calcined or not</v>
      </c>
      <c r="C509" s="656" t="s">
        <v>2784</v>
      </c>
      <c r="D509" s="822"/>
      <c r="E509" s="822"/>
      <c r="F509" s="822"/>
      <c r="G509" s="822"/>
      <c r="H509" s="822"/>
    </row>
    <row r="510" spans="1:8" x14ac:dyDescent="0.35">
      <c r="A510" s="820">
        <v>506</v>
      </c>
      <c r="B510" s="651" t="str">
        <f t="shared" si="7"/>
        <v>This parameter is relevant for the production of calcined clay. Please select here from the drop-down list whether the clay is calcined or not.</v>
      </c>
      <c r="C510" s="651" t="s">
        <v>2792</v>
      </c>
      <c r="D510" s="822"/>
      <c r="E510" s="822"/>
      <c r="F510" s="822"/>
      <c r="G510" s="822"/>
      <c r="H510" s="822"/>
    </row>
    <row r="511" spans="1:8" x14ac:dyDescent="0.35">
      <c r="A511" s="820">
        <v>507</v>
      </c>
      <c r="B511" s="656" t="str">
        <f t="shared" si="7"/>
        <v>Concentration, if hydrous solution</v>
      </c>
      <c r="C511" s="656" t="s">
        <v>290</v>
      </c>
      <c r="D511" s="822"/>
      <c r="E511" s="822"/>
      <c r="F511" s="822"/>
      <c r="G511" s="822"/>
      <c r="H511" s="822"/>
    </row>
    <row r="512" spans="1:8" x14ac:dyDescent="0.35">
      <c r="A512" s="820">
        <v>508</v>
      </c>
      <c r="B512" s="651" t="str">
        <f t="shared" si="7"/>
        <v>This parameter is relevant for the production of ammonia. Please provide here the concentration of ammonia, if in hydrous solution, expressed as %.</v>
      </c>
      <c r="C512" s="651" t="s">
        <v>4182</v>
      </c>
      <c r="D512" s="822"/>
      <c r="E512" s="822"/>
      <c r="F512" s="822"/>
      <c r="G512" s="822"/>
      <c r="H512" s="822"/>
    </row>
    <row r="513" spans="1:8" x14ac:dyDescent="0.35">
      <c r="A513" s="820">
        <v>509</v>
      </c>
      <c r="B513" s="656" t="str">
        <f t="shared" si="7"/>
        <v>% nitric acid</v>
      </c>
      <c r="C513" s="656" t="s">
        <v>2949</v>
      </c>
      <c r="D513" s="822"/>
      <c r="E513" s="822"/>
      <c r="F513" s="822"/>
      <c r="G513" s="822"/>
      <c r="H513" s="822"/>
    </row>
    <row r="514" spans="1:8" x14ac:dyDescent="0.35">
      <c r="A514" s="820">
        <v>510</v>
      </c>
      <c r="B514" s="651" t="str">
        <f t="shared" si="7"/>
        <v>This parameter is relevant for the production of nitric acid. Please provide here the mass % of nitric acid in the product (i.e. the purity).</v>
      </c>
      <c r="C514" s="651" t="s">
        <v>2793</v>
      </c>
      <c r="D514" s="822"/>
      <c r="E514" s="822"/>
      <c r="F514" s="822"/>
      <c r="G514" s="822"/>
      <c r="H514" s="822"/>
    </row>
    <row r="515" spans="1:8" x14ac:dyDescent="0.35">
      <c r="A515" s="820">
        <v>511</v>
      </c>
      <c r="B515" s="656" t="str">
        <f t="shared" si="7"/>
        <v>% urea</v>
      </c>
      <c r="C515" s="656" t="s">
        <v>2948</v>
      </c>
      <c r="D515" s="822"/>
      <c r="E515" s="822"/>
      <c r="F515" s="822"/>
      <c r="G515" s="822"/>
      <c r="H515" s="822"/>
    </row>
    <row r="516" spans="1:8" x14ac:dyDescent="0.35">
      <c r="A516" s="820">
        <v>512</v>
      </c>
      <c r="B516" s="651" t="str">
        <f t="shared" si="7"/>
        <v>This parameter is relevant for the production of urea. Please provide here the mass % of urea in the product (i.e. the purity).</v>
      </c>
      <c r="C516" s="651" t="s">
        <v>2794</v>
      </c>
      <c r="D516" s="822"/>
      <c r="E516" s="822"/>
      <c r="F516" s="822"/>
      <c r="G516" s="822"/>
      <c r="H516" s="822"/>
    </row>
    <row r="517" spans="1:8" x14ac:dyDescent="0.35">
      <c r="A517" s="820">
        <v>513</v>
      </c>
      <c r="B517" s="656" t="str">
        <f t="shared" si="7"/>
        <v>% N contained</v>
      </c>
      <c r="C517" s="656" t="s">
        <v>289</v>
      </c>
      <c r="D517" s="822"/>
      <c r="E517" s="822"/>
      <c r="F517" s="822"/>
      <c r="G517" s="822"/>
      <c r="H517" s="822"/>
    </row>
    <row r="518" spans="1:8" x14ac:dyDescent="0.35">
      <c r="A518" s="820">
        <v>514</v>
      </c>
      <c r="B518" s="651" t="str">
        <f t="shared" ref="B518:B581" si="8">IFERROR(INDEX(C518:M518,$A$3-2),$C518)</f>
        <v>This parameter is relevant for the production of urea. Please provide here the mass % nitrogen in the product.</v>
      </c>
      <c r="C518" s="651" t="s">
        <v>2795</v>
      </c>
      <c r="D518" s="822"/>
      <c r="E518" s="822"/>
      <c r="F518" s="822"/>
      <c r="G518" s="822"/>
      <c r="H518" s="822"/>
    </row>
    <row r="519" spans="1:8" x14ac:dyDescent="0.35">
      <c r="A519" s="820">
        <v>515</v>
      </c>
      <c r="B519" s="656" t="str">
        <f t="shared" si="8"/>
        <v>% N as ammonium (NH4+)</v>
      </c>
      <c r="C519" s="656" t="s">
        <v>2950</v>
      </c>
      <c r="D519" s="822"/>
      <c r="E519" s="822"/>
      <c r="F519" s="822"/>
      <c r="G519" s="822"/>
      <c r="H519" s="822"/>
    </row>
    <row r="520" spans="1:8" x14ac:dyDescent="0.35">
      <c r="A520" s="820">
        <v>516</v>
      </c>
      <c r="B520" s="651" t="str">
        <f t="shared" si="8"/>
        <v>This parameter is relevant for the production of mixed fertilisers. Please provide here the mass % content of nitrogen as ammonium ion.</v>
      </c>
      <c r="C520" s="651" t="s">
        <v>2796</v>
      </c>
      <c r="D520" s="822"/>
      <c r="E520" s="822"/>
      <c r="F520" s="822"/>
      <c r="G520" s="822"/>
      <c r="H520" s="822"/>
    </row>
    <row r="521" spans="1:8" x14ac:dyDescent="0.35">
      <c r="A521" s="820">
        <v>517</v>
      </c>
      <c r="B521" s="656" t="str">
        <f t="shared" si="8"/>
        <v>% N as nitrate (NO3–)</v>
      </c>
      <c r="C521" s="656" t="s">
        <v>2951</v>
      </c>
      <c r="D521" s="822"/>
      <c r="E521" s="822"/>
      <c r="F521" s="822"/>
      <c r="G521" s="822"/>
      <c r="H521" s="822"/>
    </row>
    <row r="522" spans="1:8" x14ac:dyDescent="0.35">
      <c r="A522" s="820">
        <v>518</v>
      </c>
      <c r="B522" s="651" t="str">
        <f t="shared" si="8"/>
        <v>This parameter is relevant for the production of mixed fertilisers. Please provide here the mass % content of nitrogen as nitrate ion.</v>
      </c>
      <c r="C522" s="651" t="s">
        <v>2797</v>
      </c>
      <c r="D522" s="822"/>
      <c r="E522" s="822"/>
      <c r="F522" s="822"/>
      <c r="G522" s="822"/>
      <c r="H522" s="822"/>
    </row>
    <row r="523" spans="1:8" x14ac:dyDescent="0.35">
      <c r="A523" s="820">
        <v>519</v>
      </c>
      <c r="B523" s="656" t="str">
        <f t="shared" si="8"/>
        <v>% N as Urea</v>
      </c>
      <c r="C523" s="656" t="s">
        <v>2952</v>
      </c>
      <c r="D523" s="822"/>
      <c r="E523" s="822"/>
      <c r="F523" s="822"/>
      <c r="G523" s="822"/>
      <c r="H523" s="822"/>
    </row>
    <row r="524" spans="1:8" x14ac:dyDescent="0.35">
      <c r="A524" s="820">
        <v>520</v>
      </c>
      <c r="B524" s="651" t="str">
        <f t="shared" si="8"/>
        <v>This parameter is relevant for the production of mixed fertilisers. Please provide here the mass % content of urea.</v>
      </c>
      <c r="C524" s="651" t="s">
        <v>2798</v>
      </c>
      <c r="D524" s="822"/>
      <c r="E524" s="822"/>
      <c r="F524" s="822"/>
      <c r="G524" s="822"/>
      <c r="H524" s="822"/>
    </row>
    <row r="525" spans="1:8" x14ac:dyDescent="0.35">
      <c r="A525" s="820">
        <v>521</v>
      </c>
      <c r="B525" s="656" t="str">
        <f t="shared" si="8"/>
        <v>% N in other (organic) forms</v>
      </c>
      <c r="C525" s="656" t="s">
        <v>2953</v>
      </c>
      <c r="D525" s="822"/>
      <c r="E525" s="822"/>
      <c r="F525" s="822"/>
      <c r="G525" s="822"/>
      <c r="H525" s="822"/>
    </row>
    <row r="526" spans="1:8" x14ac:dyDescent="0.35">
      <c r="A526" s="820">
        <v>522</v>
      </c>
      <c r="B526" s="651" t="str">
        <f t="shared" si="8"/>
        <v>This parameter is relevant for the production of mixed fertilisers. Please provide here the mass % content of nitrogen in other forms.</v>
      </c>
      <c r="C526" s="651" t="s">
        <v>2799</v>
      </c>
      <c r="D526" s="822"/>
      <c r="E526" s="822"/>
      <c r="F526" s="822"/>
      <c r="G526" s="822"/>
      <c r="H526" s="822"/>
    </row>
    <row r="527" spans="1:8" x14ac:dyDescent="0.25">
      <c r="A527" s="820">
        <v>523</v>
      </c>
      <c r="B527" s="1053" t="str">
        <f t="shared" si="8"/>
        <v>Information on carbon price due</v>
      </c>
      <c r="C527" s="1053" t="s">
        <v>3024</v>
      </c>
      <c r="D527" s="822"/>
      <c r="E527" s="822"/>
      <c r="F527" s="822"/>
      <c r="G527" s="822"/>
      <c r="H527" s="822"/>
    </row>
    <row r="528" spans="1:8" ht="12" x14ac:dyDescent="0.35">
      <c r="A528" s="820">
        <v>524</v>
      </c>
      <c r="B528" s="658" t="str">
        <f t="shared" si="8"/>
        <v>Note</v>
      </c>
      <c r="C528" s="658" t="s">
        <v>2884</v>
      </c>
      <c r="D528" s="822"/>
      <c r="E528" s="822"/>
      <c r="F528" s="822"/>
      <c r="G528" s="822"/>
      <c r="H528" s="822"/>
    </row>
    <row r="529" spans="1:8" ht="12" x14ac:dyDescent="0.35">
      <c r="A529" s="820">
        <v>525</v>
      </c>
      <c r="B529" s="658" t="str">
        <f t="shared" si="8"/>
        <v>Where precursors are subject to carbon pricing and the system boundaries of the carbon price correspond to the system boundaries of the relevant production process of the precursor, you can use the "tool for calculation of the carbon price due" and use the results of that tool and enter them here.</v>
      </c>
      <c r="C529" s="658" t="s">
        <v>3025</v>
      </c>
      <c r="D529" s="822"/>
      <c r="E529" s="822"/>
      <c r="F529" s="822"/>
      <c r="G529" s="822"/>
      <c r="H529" s="822"/>
    </row>
    <row r="530" spans="1:8" x14ac:dyDescent="0.35">
      <c r="A530" s="820">
        <v>526</v>
      </c>
      <c r="B530" s="656" t="str">
        <f t="shared" si="8"/>
        <v>Type of instrument (carbon pricing)</v>
      </c>
      <c r="C530" s="656" t="s">
        <v>4215</v>
      </c>
      <c r="D530" s="822"/>
      <c r="E530" s="822"/>
      <c r="F530" s="822"/>
      <c r="G530" s="822"/>
      <c r="H530" s="822"/>
    </row>
    <row r="531" spans="1:8" x14ac:dyDescent="0.35">
      <c r="A531" s="820">
        <v>527</v>
      </c>
      <c r="B531" s="651" t="str">
        <f t="shared" si="8"/>
        <v>Please select from the drop-down list whether the type of carbon price is an emissions trading system (ETS), a carbon tax, a combination of instruments, or other type of carbon pricing instrument.</v>
      </c>
      <c r="C531" s="651" t="s">
        <v>4217</v>
      </c>
      <c r="D531" s="822"/>
      <c r="E531" s="822"/>
      <c r="F531" s="822"/>
      <c r="G531" s="822"/>
      <c r="H531" s="822"/>
    </row>
    <row r="532" spans="1:8" x14ac:dyDescent="0.35">
      <c r="A532" s="820">
        <v>528</v>
      </c>
      <c r="B532" s="656" t="str">
        <f t="shared" si="8"/>
        <v>Share of total embedded emissions covered by the carbon price</v>
      </c>
      <c r="C532" s="656" t="s">
        <v>2776</v>
      </c>
      <c r="D532" s="822"/>
      <c r="E532" s="822"/>
      <c r="F532" s="822"/>
      <c r="G532" s="822"/>
      <c r="H532" s="822"/>
    </row>
    <row r="533" spans="1:8" x14ac:dyDescent="0.35">
      <c r="A533" s="820">
        <v>529</v>
      </c>
      <c r="B533" s="651" t="str">
        <f t="shared" si="8"/>
        <v>Please enter here the share of the TOTAL (direct + indirect) embedded emissions that are subject to carbon pricing. For instance, if only direct emissions are covered by a carbon pricing system, the share to be provided here would be exactly the share of the direct emissions of the total emissions.</v>
      </c>
      <c r="C533" s="651" t="s">
        <v>2809</v>
      </c>
      <c r="D533" s="822"/>
      <c r="E533" s="822"/>
      <c r="F533" s="822"/>
      <c r="G533" s="822"/>
      <c r="H533" s="822"/>
    </row>
    <row r="534" spans="1:8" x14ac:dyDescent="0.35">
      <c r="A534" s="820">
        <v>530</v>
      </c>
      <c r="B534" s="656" t="str">
        <f t="shared" si="8"/>
        <v>Currency</v>
      </c>
      <c r="C534" s="656" t="s">
        <v>601</v>
      </c>
      <c r="D534" s="822"/>
      <c r="E534" s="822"/>
      <c r="F534" s="822"/>
      <c r="G534" s="822"/>
      <c r="H534" s="822"/>
    </row>
    <row r="535" spans="1:8" x14ac:dyDescent="0.35">
      <c r="A535" s="820">
        <v>531</v>
      </c>
      <c r="B535" s="651" t="str">
        <f t="shared" si="8"/>
        <v>Please enter the currency in which the carbon price is being due.</v>
      </c>
      <c r="C535" s="651" t="s">
        <v>4183</v>
      </c>
      <c r="D535" s="822"/>
      <c r="E535" s="822"/>
      <c r="F535" s="822"/>
      <c r="G535" s="822"/>
      <c r="H535" s="822"/>
    </row>
    <row r="536" spans="1:8" x14ac:dyDescent="0.35">
      <c r="A536" s="820">
        <v>532</v>
      </c>
      <c r="B536" s="651" t="str">
        <f t="shared" si="8"/>
        <v>Please enter here the carbon price due per tonne or MWh (as applicable) of product in the relevant currency. This value shall not include any rebate such as free allocation or financial compensation.</v>
      </c>
      <c r="C536" s="651" t="s">
        <v>4184</v>
      </c>
      <c r="D536" s="822"/>
      <c r="E536" s="822"/>
      <c r="F536" s="822"/>
      <c r="G536" s="822"/>
      <c r="H536" s="822"/>
    </row>
    <row r="537" spans="1:8" x14ac:dyDescent="0.35">
      <c r="A537" s="820">
        <v>533</v>
      </c>
      <c r="B537" s="656" t="str">
        <f t="shared" si="8"/>
        <v>Type of rebate</v>
      </c>
      <c r="C537" s="656" t="s">
        <v>4216</v>
      </c>
      <c r="D537" s="822"/>
      <c r="E537" s="822"/>
      <c r="F537" s="822"/>
      <c r="G537" s="822"/>
      <c r="H537" s="822"/>
    </row>
    <row r="538" spans="1:8" x14ac:dyDescent="0.35">
      <c r="A538" s="820">
        <v>534</v>
      </c>
      <c r="B538" s="651" t="str">
        <f t="shared" si="8"/>
        <v>Please select from the drop-down list whether the type of rebate or other form of compensation is via free allocation, financial compensation, tax deduction, a combination or any other type of rebate or compensation.</v>
      </c>
      <c r="C538" s="651" t="s">
        <v>4218</v>
      </c>
      <c r="D538" s="822"/>
      <c r="E538" s="822"/>
      <c r="F538" s="822"/>
      <c r="G538" s="822"/>
      <c r="H538" s="822"/>
    </row>
    <row r="539" spans="1:8" x14ac:dyDescent="0.35">
      <c r="A539" s="820">
        <v>535</v>
      </c>
      <c r="B539" s="656" t="str">
        <f t="shared" si="8"/>
        <v>Share of embedded emissions covered by the rebate</v>
      </c>
      <c r="C539" s="656" t="s">
        <v>2994</v>
      </c>
      <c r="D539" s="822"/>
      <c r="E539" s="822"/>
      <c r="F539" s="822"/>
      <c r="G539" s="822"/>
      <c r="H539" s="822"/>
    </row>
    <row r="540" spans="1:8" x14ac:dyDescent="0.35">
      <c r="A540" s="820">
        <v>536</v>
      </c>
      <c r="B540" s="651" t="str">
        <f t="shared" si="8"/>
        <v>Please enter here the share of the TOTAL (direct + indirect) embedded emissions that are subject to rebate. For instance, if only indirect emissions are covered by the rebate, the share to be provided here would be exactly the share of the indirect emissions of the total emissions.</v>
      </c>
      <c r="C540" s="651" t="s">
        <v>2810</v>
      </c>
      <c r="D540" s="822"/>
      <c r="E540" s="822"/>
      <c r="F540" s="822"/>
      <c r="G540" s="822"/>
      <c r="H540" s="822"/>
    </row>
    <row r="541" spans="1:8" x14ac:dyDescent="0.35">
      <c r="A541" s="820">
        <v>537</v>
      </c>
      <c r="B541" s="651" t="str">
        <f t="shared" si="8"/>
        <v xml:space="preserve">Please enter here the rebate per tonne or MWh (as applicable) of product covered by the rebate in the relevant currency. </v>
      </c>
      <c r="C541" s="651" t="s">
        <v>4185</v>
      </c>
      <c r="D541" s="822"/>
      <c r="E541" s="822"/>
      <c r="F541" s="822"/>
      <c r="G541" s="822"/>
      <c r="H541" s="822"/>
    </row>
    <row r="542" spans="1:8" x14ac:dyDescent="0.35">
      <c r="A542" s="820">
        <v>538</v>
      </c>
      <c r="B542" s="652" t="str">
        <f t="shared" si="8"/>
        <v>Result</v>
      </c>
      <c r="C542" s="652" t="s">
        <v>2866</v>
      </c>
      <c r="D542" s="822"/>
      <c r="E542" s="822"/>
      <c r="F542" s="822"/>
      <c r="G542" s="822"/>
      <c r="H542" s="822"/>
    </row>
    <row r="543" spans="1:8" ht="12" thickBot="1" x14ac:dyDescent="0.4">
      <c r="A543" s="820">
        <v>539</v>
      </c>
      <c r="B543" s="659" t="str">
        <f t="shared" si="8"/>
        <v>The result is the effective carbon price due per tonne of CO2 equivalent, i.e. the carbon price due less any rebates.</v>
      </c>
      <c r="C543" s="659" t="s">
        <v>4186</v>
      </c>
      <c r="D543" s="822"/>
      <c r="E543" s="822"/>
      <c r="F543" s="822"/>
      <c r="G543" s="822"/>
      <c r="H543" s="822"/>
    </row>
    <row r="544" spans="1:8" ht="13" x14ac:dyDescent="0.35">
      <c r="A544" s="820">
        <v>540</v>
      </c>
      <c r="B544" s="1004" t="str">
        <f t="shared" si="8"/>
        <v>Summary of production processes</v>
      </c>
      <c r="C544" s="1004" t="s">
        <v>370</v>
      </c>
      <c r="D544" s="822"/>
      <c r="E544" s="822"/>
      <c r="F544" s="822"/>
      <c r="G544" s="822"/>
      <c r="H544" s="822"/>
    </row>
    <row r="545" spans="1:8" ht="15.5" x14ac:dyDescent="0.35">
      <c r="A545" s="820">
        <v>541</v>
      </c>
      <c r="B545" s="311" t="str">
        <f t="shared" si="8"/>
        <v>Summary of the installation, processes and production routes</v>
      </c>
      <c r="C545" s="311" t="s">
        <v>2749</v>
      </c>
      <c r="D545" s="822"/>
      <c r="E545" s="822"/>
      <c r="F545" s="822"/>
      <c r="G545" s="822"/>
      <c r="H545" s="822"/>
    </row>
    <row r="546" spans="1:8" ht="12.5" x14ac:dyDescent="0.35">
      <c r="A546" s="820">
        <v>542</v>
      </c>
      <c r="B546" s="157" t="str">
        <f t="shared" si="8"/>
        <v>Installation &amp; processes</v>
      </c>
      <c r="C546" s="157" t="s">
        <v>2805</v>
      </c>
      <c r="D546" s="822"/>
      <c r="E546" s="822"/>
      <c r="F546" s="822"/>
      <c r="G546" s="822"/>
      <c r="H546" s="822"/>
    </row>
    <row r="547" spans="1:8" ht="14" x14ac:dyDescent="0.35">
      <c r="A547" s="820">
        <v>543</v>
      </c>
      <c r="B547" s="1055" t="str">
        <f t="shared" si="8"/>
        <v>Summary of the installation</v>
      </c>
      <c r="C547" s="1055" t="s">
        <v>2750</v>
      </c>
      <c r="D547" s="822"/>
      <c r="E547" s="822"/>
      <c r="F547" s="822"/>
      <c r="G547" s="822"/>
      <c r="H547" s="822"/>
    </row>
    <row r="548" spans="1:8" ht="12.5" x14ac:dyDescent="0.35">
      <c r="A548" s="820">
        <v>544</v>
      </c>
      <c r="B548" s="1056" t="str">
        <f t="shared" si="8"/>
        <v>Reporting period start:</v>
      </c>
      <c r="C548" s="1056" t="s">
        <v>2755</v>
      </c>
      <c r="D548" s="822"/>
      <c r="E548" s="822"/>
      <c r="F548" s="822"/>
      <c r="G548" s="822"/>
      <c r="H548" s="822"/>
    </row>
    <row r="549" spans="1:8" ht="12.5" x14ac:dyDescent="0.35">
      <c r="A549" s="820">
        <v>545</v>
      </c>
      <c r="B549" s="1056" t="str">
        <f t="shared" si="8"/>
        <v>Reporting period end:</v>
      </c>
      <c r="C549" s="1056" t="s">
        <v>2756</v>
      </c>
      <c r="D549" s="822"/>
      <c r="E549" s="822"/>
      <c r="F549" s="822"/>
      <c r="G549" s="822"/>
      <c r="H549" s="822"/>
    </row>
    <row r="550" spans="1:8" ht="14" x14ac:dyDescent="0.35">
      <c r="A550" s="820">
        <v>546</v>
      </c>
      <c r="B550" s="1055" t="str">
        <f t="shared" si="8"/>
        <v>Summary of the production processes, included precursors and production routes, where relevant</v>
      </c>
      <c r="C550" s="1055" t="s">
        <v>2954</v>
      </c>
      <c r="D550" s="822"/>
      <c r="E550" s="822"/>
      <c r="F550" s="822"/>
      <c r="G550" s="822"/>
      <c r="H550" s="822"/>
    </row>
    <row r="551" spans="1:8" ht="13" x14ac:dyDescent="0.3">
      <c r="A551" s="820">
        <v>547</v>
      </c>
      <c r="B551" s="870" t="str">
        <f t="shared" si="8"/>
        <v>Aggregated good produced</v>
      </c>
      <c r="C551" s="870" t="s">
        <v>2757</v>
      </c>
      <c r="D551" s="822"/>
      <c r="E551" s="822"/>
      <c r="F551" s="822"/>
      <c r="G551" s="822"/>
      <c r="H551" s="822"/>
    </row>
    <row r="552" spans="1:8" ht="13" x14ac:dyDescent="0.3">
      <c r="A552" s="820">
        <v>548</v>
      </c>
      <c r="B552" s="1036" t="str">
        <f t="shared" si="8"/>
        <v>Routes</v>
      </c>
      <c r="C552" s="1036" t="s">
        <v>2739</v>
      </c>
      <c r="D552" s="822"/>
      <c r="E552" s="822"/>
      <c r="F552" s="822"/>
      <c r="G552" s="822"/>
      <c r="H552" s="822"/>
    </row>
    <row r="553" spans="1:8" ht="13" x14ac:dyDescent="0.3">
      <c r="A553" s="820">
        <v>549</v>
      </c>
      <c r="B553" s="870" t="str">
        <f t="shared" si="8"/>
        <v>Purchased precursor</v>
      </c>
      <c r="C553" s="870" t="s">
        <v>639</v>
      </c>
      <c r="D553" s="822"/>
      <c r="E553" s="822"/>
      <c r="F553" s="822"/>
      <c r="G553" s="822"/>
      <c r="H553" s="822"/>
    </row>
    <row r="554" spans="1:8" ht="15.5" x14ac:dyDescent="0.35">
      <c r="A554" s="820">
        <v>550</v>
      </c>
      <c r="B554" s="311" t="str">
        <f t="shared" si="8"/>
        <v>Greenhouse gas emissions balance and specific embedded emissions (SEE)</v>
      </c>
      <c r="C554" s="311" t="s">
        <v>577</v>
      </c>
      <c r="D554" s="822"/>
      <c r="E554" s="822"/>
      <c r="F554" s="822"/>
      <c r="G554" s="822"/>
      <c r="H554" s="822"/>
    </row>
    <row r="555" spans="1:8" ht="12.5" x14ac:dyDescent="0.35">
      <c r="A555" s="820">
        <v>551</v>
      </c>
      <c r="B555" s="157" t="str">
        <f t="shared" si="8"/>
        <v>GHG &amp; SEE</v>
      </c>
      <c r="C555" s="157" t="s">
        <v>2806</v>
      </c>
      <c r="D555" s="822"/>
      <c r="E555" s="822"/>
      <c r="F555" s="822"/>
      <c r="G555" s="822"/>
      <c r="H555" s="822"/>
    </row>
    <row r="556" spans="1:8" ht="14" x14ac:dyDescent="0.35">
      <c r="A556" s="820">
        <v>552</v>
      </c>
      <c r="B556" s="1055" t="str">
        <f t="shared" si="8"/>
        <v>GHG emissions balance of the installation and all production processes</v>
      </c>
      <c r="C556" s="1055" t="s">
        <v>573</v>
      </c>
      <c r="D556" s="822"/>
      <c r="E556" s="822"/>
      <c r="F556" s="822"/>
      <c r="G556" s="822"/>
      <c r="H556" s="822"/>
    </row>
    <row r="557" spans="1:8" ht="13" x14ac:dyDescent="0.3">
      <c r="A557" s="820">
        <v>553</v>
      </c>
      <c r="B557" s="1036" t="str">
        <f t="shared" si="8"/>
        <v>Heat emissions</v>
      </c>
      <c r="C557" s="1036" t="s">
        <v>399</v>
      </c>
      <c r="D557" s="822"/>
      <c r="E557" s="822"/>
      <c r="F557" s="822"/>
      <c r="G557" s="822"/>
      <c r="H557" s="822"/>
    </row>
    <row r="558" spans="1:8" ht="13" x14ac:dyDescent="0.3">
      <c r="A558" s="820">
        <v>554</v>
      </c>
      <c r="B558" s="1036" t="str">
        <f t="shared" si="8"/>
        <v>Waste gas emissions</v>
      </c>
      <c r="C558" s="1036" t="s">
        <v>569</v>
      </c>
      <c r="D558" s="822"/>
      <c r="E558" s="822"/>
      <c r="F558" s="822"/>
      <c r="G558" s="822"/>
      <c r="H558" s="822"/>
    </row>
    <row r="559" spans="1:8" ht="13" x14ac:dyDescent="0.3">
      <c r="A559" s="820">
        <v>555</v>
      </c>
      <c r="B559" s="1036" t="str">
        <f t="shared" si="8"/>
        <v>Indirect, if relevant</v>
      </c>
      <c r="C559" s="1036" t="s">
        <v>273</v>
      </c>
      <c r="D559" s="822"/>
      <c r="E559" s="822"/>
      <c r="F559" s="822"/>
      <c r="G559" s="822"/>
      <c r="H559" s="822"/>
    </row>
    <row r="560" spans="1:8" ht="13" x14ac:dyDescent="0.3">
      <c r="A560" s="820">
        <v>556</v>
      </c>
      <c r="B560" s="1018" t="str">
        <f t="shared" si="8"/>
        <v>Comparison:</v>
      </c>
      <c r="C560" s="1018" t="s">
        <v>374</v>
      </c>
      <c r="D560" s="822"/>
      <c r="E560" s="822"/>
      <c r="F560" s="822"/>
      <c r="G560" s="822"/>
      <c r="H560" s="822"/>
    </row>
    <row r="561" spans="1:8" ht="13" x14ac:dyDescent="0.3">
      <c r="A561" s="820">
        <v>557</v>
      </c>
      <c r="B561" s="1036" t="str">
        <f t="shared" si="8"/>
        <v>Emissions</v>
      </c>
      <c r="C561" s="1036" t="s">
        <v>400</v>
      </c>
      <c r="D561" s="822"/>
      <c r="E561" s="822"/>
      <c r="F561" s="822"/>
      <c r="G561" s="822"/>
      <c r="H561" s="822"/>
    </row>
    <row r="562" spans="1:8" ht="12.5" x14ac:dyDescent="0.35">
      <c r="A562" s="820">
        <v>558</v>
      </c>
      <c r="B562" s="1050" t="str">
        <f t="shared" si="8"/>
        <v>Total emissions of the installation (from sheet "C_Emissions&amp;Energy")</v>
      </c>
      <c r="C562" s="1050" t="s">
        <v>571</v>
      </c>
      <c r="D562" s="822"/>
      <c r="E562" s="822"/>
      <c r="F562" s="822"/>
      <c r="G562" s="822"/>
      <c r="H562" s="822"/>
    </row>
    <row r="563" spans="1:8" ht="12.5" x14ac:dyDescent="0.35">
      <c r="A563" s="820">
        <v>559</v>
      </c>
      <c r="B563" s="617" t="str">
        <f t="shared" si="8"/>
        <v>Rest (= emissions not attributed to CBAM processes)</v>
      </c>
      <c r="C563" s="617" t="s">
        <v>373</v>
      </c>
      <c r="D563" s="822"/>
      <c r="E563" s="822"/>
      <c r="F563" s="822"/>
      <c r="G563" s="822"/>
      <c r="H563" s="822"/>
    </row>
    <row r="564" spans="1:8" ht="12.5" x14ac:dyDescent="0.35">
      <c r="A564" s="820">
        <v>560</v>
      </c>
      <c r="B564" s="618" t="str">
        <f t="shared" si="8"/>
        <v>Rest (expressed as % of total)</v>
      </c>
      <c r="C564" s="618" t="s">
        <v>570</v>
      </c>
      <c r="D564" s="822"/>
      <c r="E564" s="822"/>
      <c r="F564" s="822"/>
      <c r="G564" s="822"/>
      <c r="H564" s="822"/>
    </row>
    <row r="565" spans="1:8" ht="12" x14ac:dyDescent="0.35">
      <c r="A565" s="820">
        <v>561</v>
      </c>
      <c r="B565" s="660" t="str">
        <f t="shared" si="8"/>
        <v>Note: the system boundaries between production processes, indirect emissions and the installation's total emissions might not be consistent. Therefore, values for "Rest" different from zero are not necessarily indicative of any omissions or errors being made in this report.</v>
      </c>
      <c r="C565" s="660" t="s">
        <v>398</v>
      </c>
      <c r="D565" s="822"/>
      <c r="E565" s="822"/>
      <c r="F565" s="822"/>
      <c r="G565" s="822"/>
      <c r="H565" s="822"/>
    </row>
    <row r="566" spans="1:8" ht="14" x14ac:dyDescent="0.35">
      <c r="A566" s="820">
        <v>562</v>
      </c>
      <c r="B566" s="1055" t="str">
        <f t="shared" si="8"/>
        <v>Specific direct and indirect (embedded) emissions</v>
      </c>
      <c r="C566" s="1055" t="s">
        <v>371</v>
      </c>
      <c r="D566" s="822"/>
      <c r="E566" s="822"/>
      <c r="F566" s="822"/>
      <c r="G566" s="822"/>
      <c r="H566" s="822"/>
    </row>
    <row r="567" spans="1:8" x14ac:dyDescent="0.35">
      <c r="A567" s="820">
        <v>563</v>
      </c>
      <c r="B567" s="1035" t="str">
        <f t="shared" si="8"/>
        <v>The following abbreviations are used in the tables below:</v>
      </c>
      <c r="C567" s="1035" t="s">
        <v>380</v>
      </c>
      <c r="D567" s="822"/>
      <c r="E567" s="822"/>
      <c r="F567" s="822"/>
      <c r="G567" s="822"/>
      <c r="H567" s="822"/>
    </row>
    <row r="568" spans="1:8" x14ac:dyDescent="0.35">
      <c r="A568" s="820">
        <v>564</v>
      </c>
      <c r="B568" s="650" t="str">
        <f t="shared" si="8"/>
        <v>SE (direct)</v>
      </c>
      <c r="C568" s="650" t="s">
        <v>312</v>
      </c>
      <c r="D568" s="822"/>
      <c r="E568" s="822"/>
      <c r="F568" s="822"/>
      <c r="G568" s="822"/>
      <c r="H568" s="822"/>
    </row>
    <row r="569" spans="1:8" x14ac:dyDescent="0.35">
      <c r="A569" s="820">
        <v>565</v>
      </c>
      <c r="B569" s="650" t="str">
        <f t="shared" si="8"/>
        <v>Specific direct emissions of the production process, i.e. excluding any embedded emissions from any precursors consumed in the process.</v>
      </c>
      <c r="C569" s="650" t="s">
        <v>2916</v>
      </c>
      <c r="D569" s="822"/>
      <c r="E569" s="822"/>
      <c r="F569" s="822"/>
      <c r="G569" s="822"/>
      <c r="H569" s="822"/>
    </row>
    <row r="570" spans="1:8" x14ac:dyDescent="0.35">
      <c r="A570" s="820">
        <v>566</v>
      </c>
      <c r="B570" s="651" t="str">
        <f t="shared" si="8"/>
        <v>SEE (direct)</v>
      </c>
      <c r="C570" s="651" t="s">
        <v>183</v>
      </c>
      <c r="D570" s="822"/>
      <c r="E570" s="822"/>
      <c r="F570" s="822"/>
      <c r="G570" s="822"/>
      <c r="H570" s="822"/>
    </row>
    <row r="571" spans="1:8" x14ac:dyDescent="0.35">
      <c r="A571" s="820">
        <v>567</v>
      </c>
      <c r="B571" s="651" t="str">
        <f t="shared" si="8"/>
        <v>Specific embedded direct emissions of the production process, i.e. including any embedded emissions from any precursors consumed in the process.</v>
      </c>
      <c r="C571" s="651" t="s">
        <v>2917</v>
      </c>
      <c r="D571" s="822"/>
      <c r="E571" s="822"/>
      <c r="F571" s="822"/>
      <c r="G571" s="822"/>
      <c r="H571" s="822"/>
    </row>
    <row r="572" spans="1:8" x14ac:dyDescent="0.35">
      <c r="A572" s="820">
        <v>568</v>
      </c>
      <c r="B572" s="651" t="str">
        <f t="shared" si="8"/>
        <v>SE (indirect)</v>
      </c>
      <c r="C572" s="651" t="s">
        <v>327</v>
      </c>
      <c r="D572" s="822"/>
      <c r="E572" s="822"/>
      <c r="F572" s="822"/>
      <c r="G572" s="822"/>
      <c r="H572" s="822"/>
    </row>
    <row r="573" spans="1:8" x14ac:dyDescent="0.35">
      <c r="A573" s="820">
        <v>569</v>
      </c>
      <c r="B573" s="651" t="str">
        <f t="shared" si="8"/>
        <v>Specific indirect emissions of the production process, i.e. excluding any embedded indirect emissions from any precursors consumed in the process.</v>
      </c>
      <c r="C573" s="651" t="s">
        <v>2918</v>
      </c>
      <c r="D573" s="822"/>
      <c r="E573" s="822"/>
      <c r="F573" s="822"/>
      <c r="G573" s="822"/>
      <c r="H573" s="822"/>
    </row>
    <row r="574" spans="1:8" x14ac:dyDescent="0.35">
      <c r="A574" s="820">
        <v>570</v>
      </c>
      <c r="B574" s="651" t="str">
        <f t="shared" si="8"/>
        <v>SEE (indirect)</v>
      </c>
      <c r="C574" s="651" t="s">
        <v>182</v>
      </c>
      <c r="D574" s="822"/>
      <c r="E574" s="822"/>
      <c r="F574" s="822"/>
      <c r="G574" s="822"/>
      <c r="H574" s="822"/>
    </row>
    <row r="575" spans="1:8" x14ac:dyDescent="0.35">
      <c r="A575" s="820">
        <v>571</v>
      </c>
      <c r="B575" s="651" t="str">
        <f t="shared" si="8"/>
        <v>Specific embedded indirect emissions of the production process, i.e. including any embedded indirect emissions from any precursors consumed in the process.</v>
      </c>
      <c r="C575" s="651" t="s">
        <v>2919</v>
      </c>
      <c r="D575" s="822"/>
      <c r="E575" s="822"/>
      <c r="F575" s="822"/>
      <c r="G575" s="822"/>
      <c r="H575" s="822"/>
    </row>
    <row r="576" spans="1:8" x14ac:dyDescent="0.35">
      <c r="A576" s="820">
        <v>572</v>
      </c>
      <c r="B576" s="651" t="str">
        <f t="shared" si="8"/>
        <v>Electricity consumed</v>
      </c>
      <c r="C576" s="651" t="s">
        <v>364</v>
      </c>
      <c r="D576" s="822"/>
      <c r="E576" s="822"/>
      <c r="F576" s="822"/>
      <c r="G576" s="822"/>
      <c r="H576" s="822"/>
    </row>
    <row r="577" spans="1:8" x14ac:dyDescent="0.35">
      <c r="A577" s="820">
        <v>573</v>
      </c>
      <c r="B577" s="651" t="str">
        <f t="shared" si="8"/>
        <v>Specific electricity consumption within the production process.</v>
      </c>
      <c r="C577" s="651" t="s">
        <v>372</v>
      </c>
      <c r="D577" s="822"/>
      <c r="E577" s="822"/>
      <c r="F577" s="822"/>
      <c r="G577" s="822"/>
      <c r="H577" s="822"/>
    </row>
    <row r="578" spans="1:8" ht="13" x14ac:dyDescent="0.3">
      <c r="A578" s="820">
        <v>574</v>
      </c>
      <c r="B578" s="1057" t="str">
        <f t="shared" si="8"/>
        <v>Type of precursor</v>
      </c>
      <c r="C578" s="1057" t="s">
        <v>422</v>
      </c>
      <c r="D578" s="822"/>
      <c r="E578" s="822"/>
      <c r="F578" s="822"/>
      <c r="G578" s="822"/>
      <c r="H578" s="822"/>
    </row>
    <row r="579" spans="1:8" ht="15.5" x14ac:dyDescent="0.35">
      <c r="A579" s="820">
        <v>575</v>
      </c>
      <c r="B579" s="311" t="str">
        <f t="shared" si="8"/>
        <v>Detailed overview of each production processes</v>
      </c>
      <c r="C579" s="311" t="s">
        <v>336</v>
      </c>
      <c r="D579" s="822"/>
      <c r="E579" s="822"/>
      <c r="F579" s="822"/>
      <c r="G579" s="822"/>
      <c r="H579" s="822"/>
    </row>
    <row r="580" spans="1:8" ht="12.5" x14ac:dyDescent="0.35">
      <c r="A580" s="820">
        <v>576</v>
      </c>
      <c r="B580" s="157" t="str">
        <f t="shared" si="8"/>
        <v>Detailed overview</v>
      </c>
      <c r="C580" s="157" t="s">
        <v>2807</v>
      </c>
      <c r="D580" s="822"/>
      <c r="E580" s="822"/>
      <c r="F580" s="822"/>
      <c r="G580" s="822"/>
      <c r="H580" s="822"/>
    </row>
    <row r="581" spans="1:8" x14ac:dyDescent="0.35">
      <c r="A581" s="820">
        <v>577</v>
      </c>
      <c r="B581" s="654" t="str">
        <f t="shared" si="8"/>
        <v>General aspects</v>
      </c>
      <c r="C581" s="654" t="s">
        <v>423</v>
      </c>
      <c r="D581" s="822"/>
      <c r="E581" s="822"/>
      <c r="F581" s="822"/>
      <c r="G581" s="822"/>
      <c r="H581" s="822"/>
    </row>
    <row r="582" spans="1:8" x14ac:dyDescent="0.35">
      <c r="A582" s="820">
        <v>578</v>
      </c>
      <c r="B582" s="650" t="str">
        <f t="shared" ref="B582:B645" si="9">IFERROR(INDEX(C582:M582,$A$3-2),$C582)</f>
        <v xml:space="preserve">The term 'specific' of all elements below is to be understood as being expressed per unit of good (usually tonnes) of the production process in consideration. </v>
      </c>
      <c r="C582" s="650" t="s">
        <v>2944</v>
      </c>
      <c r="D582" s="822"/>
      <c r="E582" s="822"/>
      <c r="F582" s="822"/>
      <c r="G582" s="822"/>
      <c r="H582" s="822"/>
    </row>
    <row r="583" spans="1:8" x14ac:dyDescent="0.35">
      <c r="A583" s="820">
        <v>579</v>
      </c>
      <c r="B583" s="651" t="str">
        <f t="shared" si="9"/>
        <v>Example: a precursor has specific embedded emissions of 0,8 tonnes of CO2e per tonne. The 'mass share' is 0,3 tonnes of precursor consumed per tonne of production from the relevant 'production process'. Under the block of the relevant 'production process, the value for 'SEE' for this precursor will therefore be displayed as 0,24 tonnes CO2e per tonne.</v>
      </c>
      <c r="C583" s="651" t="s">
        <v>4187</v>
      </c>
      <c r="D583" s="822"/>
      <c r="E583" s="822"/>
      <c r="F583" s="822"/>
      <c r="G583" s="822"/>
      <c r="H583" s="822"/>
    </row>
    <row r="584" spans="1:8" x14ac:dyDescent="0.35">
      <c r="A584" s="820">
        <v>580</v>
      </c>
      <c r="B584" s="651" t="str">
        <f t="shared" si="9"/>
        <v>Mass share</v>
      </c>
      <c r="C584" s="651" t="s">
        <v>314</v>
      </c>
      <c r="D584" s="822"/>
      <c r="E584" s="822"/>
      <c r="F584" s="822"/>
      <c r="G584" s="822"/>
      <c r="H584" s="822"/>
    </row>
    <row r="585" spans="1:8" x14ac:dyDescent="0.35">
      <c r="A585" s="820">
        <v>581</v>
      </c>
      <c r="B585" s="651" t="str">
        <f t="shared" si="9"/>
        <v>This is the specific consumption of each precursor per unit of products produced by the relevant 'production process'.</v>
      </c>
      <c r="C585" s="651" t="s">
        <v>378</v>
      </c>
      <c r="D585" s="822"/>
      <c r="E585" s="822"/>
      <c r="F585" s="822"/>
      <c r="G585" s="822"/>
      <c r="H585" s="822"/>
    </row>
    <row r="586" spans="1:8" x14ac:dyDescent="0.35">
      <c r="A586" s="820">
        <v>582</v>
      </c>
      <c r="B586" s="651" t="str">
        <f t="shared" si="9"/>
        <v>(Share of) Default value</v>
      </c>
      <c r="C586" s="651" t="s">
        <v>3001</v>
      </c>
      <c r="D586" s="822"/>
      <c r="E586" s="822"/>
      <c r="F586" s="822"/>
      <c r="G586" s="822"/>
      <c r="H586" s="822"/>
    </row>
    <row r="587" spans="1:8" x14ac:dyDescent="0.35">
      <c r="A587" s="820">
        <v>583</v>
      </c>
      <c r="B587" s="651" t="str">
        <f t="shared" si="9"/>
        <v>This is relevant for purchased precursors and indicates whether the embedded direct emissions are determined based on default values ("TRUE") or actual measurements ("FALSE"). For the whole process, this indicator will calculate the share of embedded emissions determined by default values.</v>
      </c>
      <c r="C587" s="651" t="s">
        <v>3002</v>
      </c>
      <c r="D587" s="822"/>
      <c r="E587" s="822"/>
      <c r="F587" s="822"/>
      <c r="G587" s="822"/>
      <c r="H587" s="822"/>
    </row>
    <row r="588" spans="1:8" x14ac:dyDescent="0.35">
      <c r="A588" s="820">
        <v>584</v>
      </c>
      <c r="B588" s="651" t="str">
        <f t="shared" si="9"/>
        <v>Total (direct + indirect) specific embedded emissions of the production process, i.e. including any embedded indirect emissions from any precursors consumed in the process.</v>
      </c>
      <c r="C588" s="651" t="s">
        <v>2945</v>
      </c>
      <c r="D588" s="822"/>
      <c r="E588" s="822"/>
      <c r="F588" s="822"/>
      <c r="G588" s="822"/>
      <c r="H588" s="822"/>
    </row>
    <row r="589" spans="1:8" x14ac:dyDescent="0.35">
      <c r="A589" s="820">
        <v>585</v>
      </c>
      <c r="B589" s="651" t="str">
        <f t="shared" si="9"/>
        <v>EmbEm (direct)</v>
      </c>
      <c r="C589" s="651" t="s">
        <v>196</v>
      </c>
      <c r="D589" s="822"/>
      <c r="E589" s="822"/>
      <c r="F589" s="822"/>
      <c r="G589" s="822"/>
      <c r="H589" s="822"/>
    </row>
    <row r="590" spans="1:8" x14ac:dyDescent="0.35">
      <c r="A590" s="820">
        <v>586</v>
      </c>
      <c r="B590" s="651" t="str">
        <f t="shared" si="9"/>
        <v>Embedded direct emissions of the production process, i.e. including any embedded emissions from any precursors consumed in the process.</v>
      </c>
      <c r="C590" s="651" t="s">
        <v>2927</v>
      </c>
      <c r="D590" s="822"/>
      <c r="E590" s="822"/>
      <c r="F590" s="822"/>
      <c r="G590" s="822"/>
      <c r="H590" s="822"/>
    </row>
    <row r="591" spans="1:8" x14ac:dyDescent="0.35">
      <c r="A591" s="820">
        <v>587</v>
      </c>
      <c r="B591" s="651" t="str">
        <f t="shared" si="9"/>
        <v>EmbEm (indirect)</v>
      </c>
      <c r="C591" s="651" t="s">
        <v>197</v>
      </c>
      <c r="D591" s="822"/>
      <c r="E591" s="822"/>
      <c r="F591" s="822"/>
      <c r="G591" s="822"/>
      <c r="H591" s="822"/>
    </row>
    <row r="592" spans="1:8" x14ac:dyDescent="0.35">
      <c r="A592" s="820">
        <v>588</v>
      </c>
      <c r="B592" s="651" t="str">
        <f t="shared" si="9"/>
        <v>Embedded indirect emissions of the production process, i.e. including any embedded indirect emissions from any precursors consumed in the process.</v>
      </c>
      <c r="C592" s="651" t="s">
        <v>2928</v>
      </c>
      <c r="D592" s="822"/>
      <c r="E592" s="822"/>
      <c r="F592" s="822"/>
      <c r="G592" s="822"/>
      <c r="H592" s="822"/>
    </row>
    <row r="593" spans="1:8" x14ac:dyDescent="0.35">
      <c r="A593" s="820">
        <v>589</v>
      </c>
      <c r="B593" s="651" t="str">
        <f t="shared" si="9"/>
        <v>EmbEm (total)</v>
      </c>
      <c r="C593" s="651" t="s">
        <v>198</v>
      </c>
      <c r="D593" s="822"/>
      <c r="E593" s="822"/>
      <c r="F593" s="822"/>
      <c r="G593" s="822"/>
      <c r="H593" s="822"/>
    </row>
    <row r="594" spans="1:8" x14ac:dyDescent="0.35">
      <c r="A594" s="820">
        <v>590</v>
      </c>
      <c r="B594" s="651" t="str">
        <f t="shared" si="9"/>
        <v>Source of electricity EF</v>
      </c>
      <c r="C594" s="651" t="s">
        <v>600</v>
      </c>
      <c r="D594" s="822"/>
      <c r="E594" s="822"/>
      <c r="F594" s="822"/>
      <c r="G594" s="822"/>
      <c r="H594" s="822"/>
    </row>
    <row r="595" spans="1:8" x14ac:dyDescent="0.35">
      <c r="A595" s="820">
        <v>591</v>
      </c>
      <c r="B595" s="651" t="str">
        <f t="shared" si="9"/>
        <v>The source or method based on which the electricity emission factor (EF) was determined for the relevant production process or precursor.</v>
      </c>
      <c r="C595" s="651" t="s">
        <v>2995</v>
      </c>
      <c r="D595" s="822"/>
      <c r="E595" s="822"/>
      <c r="F595" s="822"/>
      <c r="G595" s="822"/>
      <c r="H595" s="822"/>
    </row>
    <row r="596" spans="1:8" x14ac:dyDescent="0.35">
      <c r="A596" s="820">
        <v>592</v>
      </c>
      <c r="B596" s="651" t="str">
        <f t="shared" si="9"/>
        <v>Where the electricity is not predominantly obtained from one source or the EF by one of the above sources, the EF is determined as a mix of the methods above.</v>
      </c>
      <c r="C596" s="651" t="s">
        <v>2910</v>
      </c>
      <c r="D596" s="822"/>
      <c r="E596" s="822"/>
      <c r="F596" s="822"/>
      <c r="G596" s="822"/>
      <c r="H596" s="822"/>
    </row>
    <row r="597" spans="1:8" x14ac:dyDescent="0.35">
      <c r="A597" s="820">
        <v>593</v>
      </c>
      <c r="B597" s="651" t="str">
        <f t="shared" si="9"/>
        <v>Specific electricity</v>
      </c>
      <c r="C597" s="651" t="s">
        <v>4188</v>
      </c>
      <c r="D597" s="822"/>
      <c r="E597" s="822"/>
      <c r="F597" s="822"/>
      <c r="G597" s="822"/>
      <c r="H597" s="822"/>
    </row>
    <row r="598" spans="1:8" x14ac:dyDescent="0.35">
      <c r="A598" s="820">
        <v>594</v>
      </c>
      <c r="B598" s="651" t="str">
        <f t="shared" si="9"/>
        <v>Specific electricity consumption within the production process, excluding any electricity embedded in purchased precursors.</v>
      </c>
      <c r="C598" s="651" t="s">
        <v>4189</v>
      </c>
      <c r="D598" s="822"/>
      <c r="E598" s="822"/>
      <c r="F598" s="822"/>
      <c r="G598" s="822"/>
      <c r="H598" s="822"/>
    </row>
    <row r="599" spans="1:8" ht="12" thickBot="1" x14ac:dyDescent="0.4">
      <c r="A599" s="820">
        <v>595</v>
      </c>
      <c r="B599" s="661" t="str">
        <f t="shared" si="9"/>
        <v>This is the country in which the relevant precursor is produced, where imported from outside the own installation.</v>
      </c>
      <c r="C599" s="661" t="s">
        <v>2926</v>
      </c>
      <c r="D599" s="822"/>
      <c r="E599" s="822"/>
      <c r="F599" s="822"/>
      <c r="G599" s="822"/>
      <c r="H599" s="822"/>
    </row>
    <row r="600" spans="1:8" ht="13.5" thickBot="1" x14ac:dyDescent="0.4">
      <c r="A600" s="820">
        <v>596</v>
      </c>
      <c r="B600" s="1058" t="str">
        <f t="shared" si="9"/>
        <v>Total production process</v>
      </c>
      <c r="C600" s="1058" t="s">
        <v>379</v>
      </c>
      <c r="D600" s="822"/>
      <c r="E600" s="822"/>
      <c r="F600" s="822"/>
      <c r="G600" s="822"/>
      <c r="H600" s="822"/>
    </row>
    <row r="601" spans="1:8" ht="12.5" x14ac:dyDescent="0.35">
      <c r="A601" s="820">
        <v>597</v>
      </c>
      <c r="B601" s="1031" t="str">
        <f t="shared" si="9"/>
        <v>Production and consumption</v>
      </c>
      <c r="C601" s="1031" t="s">
        <v>199</v>
      </c>
      <c r="D601" s="822"/>
      <c r="E601" s="822"/>
      <c r="F601" s="822"/>
      <c r="G601" s="822"/>
      <c r="H601" s="822"/>
    </row>
    <row r="602" spans="1:8" ht="12.5" x14ac:dyDescent="0.35">
      <c r="A602" s="820">
        <v>598</v>
      </c>
      <c r="B602" s="1031" t="str">
        <f t="shared" si="9"/>
        <v>Total production of precursors</v>
      </c>
      <c r="C602" s="1031" t="s">
        <v>200</v>
      </c>
      <c r="D602" s="822"/>
      <c r="E602" s="822"/>
      <c r="F602" s="822"/>
      <c r="G602" s="822"/>
      <c r="H602" s="822"/>
    </row>
    <row r="603" spans="1:8" x14ac:dyDescent="0.25">
      <c r="A603" s="820">
        <v>599</v>
      </c>
      <c r="B603" s="1059" t="str">
        <f t="shared" si="9"/>
        <v>Type of aggregated good or precursor</v>
      </c>
      <c r="C603" s="1059" t="s">
        <v>2777</v>
      </c>
      <c r="D603" s="822"/>
      <c r="E603" s="822"/>
      <c r="F603" s="822"/>
      <c r="G603" s="822"/>
      <c r="H603" s="822"/>
    </row>
    <row r="604" spans="1:8" x14ac:dyDescent="0.25">
      <c r="A604" s="820">
        <v>600</v>
      </c>
      <c r="B604" s="1060" t="str">
        <f t="shared" si="9"/>
        <v>CN Name</v>
      </c>
      <c r="C604" s="1060" t="s">
        <v>306</v>
      </c>
      <c r="D604" s="822"/>
      <c r="E604" s="822"/>
      <c r="F604" s="822"/>
      <c r="G604" s="822"/>
      <c r="H604" s="822"/>
    </row>
    <row r="605" spans="1:8" x14ac:dyDescent="0.25">
      <c r="A605" s="820">
        <v>601</v>
      </c>
      <c r="B605" s="1060" t="str">
        <f t="shared" si="9"/>
        <v>Product name 
(used for communication with reporting declarant, e.g. on invoices)</v>
      </c>
      <c r="C605" s="1060" t="s">
        <v>2889</v>
      </c>
      <c r="D605" s="822"/>
      <c r="E605" s="822"/>
      <c r="F605" s="822"/>
      <c r="G605" s="822"/>
      <c r="H605" s="822"/>
    </row>
    <row r="606" spans="1:8" x14ac:dyDescent="0.25">
      <c r="A606" s="820">
        <v>602</v>
      </c>
      <c r="B606" s="1060" t="str">
        <f t="shared" si="9"/>
        <v>Source for electricity EF</v>
      </c>
      <c r="C606" s="1060" t="s">
        <v>610</v>
      </c>
      <c r="D606" s="822"/>
      <c r="E606" s="822"/>
      <c r="F606" s="822"/>
      <c r="G606" s="822"/>
      <c r="H606" s="822"/>
    </row>
    <row r="607" spans="1:8" x14ac:dyDescent="0.25">
      <c r="A607" s="820">
        <v>603</v>
      </c>
      <c r="B607" s="1060" t="str">
        <f t="shared" si="9"/>
        <v>Embedded electricity (MWh/t)</v>
      </c>
      <c r="C607" s="1060" t="s">
        <v>2968</v>
      </c>
      <c r="D607" s="822"/>
      <c r="E607" s="822"/>
      <c r="F607" s="822"/>
      <c r="G607" s="822"/>
      <c r="H607" s="822"/>
    </row>
    <row r="608" spans="1:8" ht="13" x14ac:dyDescent="0.3">
      <c r="A608" s="820">
        <v>604</v>
      </c>
      <c r="B608" s="869" t="str">
        <f t="shared" si="9"/>
        <v>Embedded emissions covered by the carbon price</v>
      </c>
      <c r="C608" s="869" t="s">
        <v>635</v>
      </c>
      <c r="D608" s="822"/>
      <c r="E608" s="822"/>
      <c r="F608" s="822"/>
      <c r="G608" s="822"/>
      <c r="H608" s="822"/>
    </row>
    <row r="609" spans="1:8" ht="13" x14ac:dyDescent="0.3">
      <c r="A609" s="820">
        <v>605</v>
      </c>
      <c r="B609" s="869" t="str">
        <f t="shared" si="9"/>
        <v>Embedded emissions covered by rebate</v>
      </c>
      <c r="C609" s="869" t="s">
        <v>2759</v>
      </c>
      <c r="D609" s="822"/>
      <c r="E609" s="822"/>
      <c r="F609" s="822"/>
      <c r="G609" s="822"/>
      <c r="H609" s="822"/>
    </row>
    <row r="610" spans="1:8" x14ac:dyDescent="0.25">
      <c r="A610" s="820">
        <v>606</v>
      </c>
      <c r="B610" s="1061" t="str">
        <f t="shared" si="9"/>
        <v>Example process A</v>
      </c>
      <c r="C610" s="1061" t="s">
        <v>2887</v>
      </c>
      <c r="D610" s="822"/>
      <c r="E610" s="822"/>
      <c r="F610" s="822"/>
      <c r="G610" s="822"/>
      <c r="H610" s="822"/>
    </row>
    <row r="611" spans="1:8" x14ac:dyDescent="0.25">
      <c r="A611" s="820">
        <v>607</v>
      </c>
      <c r="B611" s="1061" t="str">
        <f t="shared" si="9"/>
        <v>Iron or steel products</v>
      </c>
      <c r="C611" s="1061" t="s">
        <v>261</v>
      </c>
      <c r="D611" s="822"/>
      <c r="E611" s="822"/>
      <c r="F611" s="822"/>
      <c r="G611" s="822"/>
      <c r="H611" s="822"/>
    </row>
    <row r="612" spans="1:8" x14ac:dyDescent="0.2">
      <c r="A612" s="820">
        <v>608</v>
      </c>
      <c r="B612" s="1062" t="str">
        <f t="shared" si="9"/>
        <v>Semi-finished products of iron or non-alloy steel, containing by weight &lt; 0,25% carbon, of circular or polygonal cross-section, forged</v>
      </c>
      <c r="C612" s="1062" t="s">
        <v>887</v>
      </c>
      <c r="D612" s="822"/>
      <c r="E612" s="822"/>
      <c r="F612" s="822"/>
      <c r="G612" s="822"/>
      <c r="H612" s="822"/>
    </row>
    <row r="613" spans="1:8" x14ac:dyDescent="0.25">
      <c r="A613" s="820">
        <v>609</v>
      </c>
      <c r="B613" s="1063" t="str">
        <f t="shared" si="9"/>
        <v>Example name A</v>
      </c>
      <c r="C613" s="1063" t="s">
        <v>2888</v>
      </c>
      <c r="D613" s="822"/>
      <c r="E613" s="822"/>
      <c r="F613" s="822"/>
      <c r="G613" s="822"/>
      <c r="H613" s="822"/>
    </row>
    <row r="614" spans="1:8" x14ac:dyDescent="0.25">
      <c r="A614" s="820">
        <v>610</v>
      </c>
      <c r="B614" s="1063" t="str">
        <f t="shared" si="9"/>
        <v>tCO2e/t</v>
      </c>
      <c r="C614" s="1063" t="s">
        <v>2886</v>
      </c>
      <c r="D614" s="822"/>
      <c r="E614" s="822"/>
      <c r="F614" s="822"/>
      <c r="G614" s="822"/>
      <c r="H614" s="822"/>
    </row>
    <row r="615" spans="1:8" x14ac:dyDescent="0.25">
      <c r="A615" s="820">
        <v>611</v>
      </c>
      <c r="B615" s="1063" t="str">
        <f t="shared" si="9"/>
        <v>Coal or coke</v>
      </c>
      <c r="C615" s="1063" t="s">
        <v>302</v>
      </c>
      <c r="D615" s="822"/>
      <c r="E615" s="822"/>
      <c r="F615" s="822"/>
      <c r="G615" s="822"/>
      <c r="H615" s="822"/>
    </row>
    <row r="616" spans="1:8" ht="12.5" x14ac:dyDescent="0.25">
      <c r="A616" s="820">
        <v>612</v>
      </c>
      <c r="B616" s="1064" t="str">
        <f t="shared" si="9"/>
        <v>tax</v>
      </c>
      <c r="C616" s="1064" t="s">
        <v>605</v>
      </c>
      <c r="D616" s="822"/>
      <c r="E616" s="822"/>
      <c r="F616" s="822"/>
      <c r="G616" s="822"/>
      <c r="H616" s="822"/>
    </row>
    <row r="617" spans="1:8" ht="12.5" x14ac:dyDescent="0.25">
      <c r="A617" s="820">
        <v>613</v>
      </c>
      <c r="B617" s="1064" t="str">
        <f t="shared" si="9"/>
        <v>USD</v>
      </c>
      <c r="C617" s="1064" t="s">
        <v>603</v>
      </c>
      <c r="D617" s="822"/>
      <c r="E617" s="822"/>
      <c r="F617" s="822"/>
      <c r="G617" s="822"/>
      <c r="H617" s="822"/>
    </row>
    <row r="618" spans="1:8" ht="13" thickBot="1" x14ac:dyDescent="0.3">
      <c r="A618" s="820">
        <v>614</v>
      </c>
      <c r="B618" s="1065" t="str">
        <f t="shared" si="9"/>
        <v>USD/t</v>
      </c>
      <c r="C618" s="1065" t="s">
        <v>3064</v>
      </c>
      <c r="D618" s="822"/>
      <c r="E618" s="822"/>
      <c r="F618" s="822"/>
      <c r="G618" s="822"/>
      <c r="H618" s="822"/>
    </row>
    <row r="619" spans="1:8" ht="13.5" thickBot="1" x14ac:dyDescent="0.4">
      <c r="A619" s="820">
        <v>615</v>
      </c>
      <c r="B619" s="1006" t="str">
        <f t="shared" si="9"/>
        <v>Communication with reporting declarants</v>
      </c>
      <c r="C619" s="1006" t="s">
        <v>3885</v>
      </c>
      <c r="D619" s="822"/>
      <c r="E619" s="822"/>
      <c r="F619" s="822"/>
      <c r="G619" s="822"/>
      <c r="H619" s="822"/>
    </row>
    <row r="620" spans="1:8" x14ac:dyDescent="0.35">
      <c r="A620" s="820">
        <v>616</v>
      </c>
      <c r="B620" s="653" t="str">
        <f t="shared" si="9"/>
        <v>This sheet summarises the main information from sheets "Summary_Processes" and "Summary_Products" to be communicated to the reporting declarants importing the goods into the European Union. In contrast to previous sheets, the headers and content of the tables will always be in English language in order to avoid translation problems with reporting declarants.</v>
      </c>
      <c r="C620" s="653" t="s">
        <v>3889</v>
      </c>
      <c r="D620" s="822"/>
      <c r="E620" s="822"/>
      <c r="F620" s="822"/>
      <c r="G620" s="822"/>
      <c r="H620" s="822"/>
    </row>
    <row r="621" spans="1:8" ht="15.5" x14ac:dyDescent="0.35">
      <c r="A621" s="820">
        <v>617</v>
      </c>
      <c r="B621" s="311" t="str">
        <f t="shared" si="9"/>
        <v>Summary of the installation and production processes</v>
      </c>
      <c r="C621" s="311" t="s">
        <v>2969</v>
      </c>
      <c r="D621" s="822"/>
      <c r="E621" s="822"/>
      <c r="F621" s="822"/>
      <c r="G621" s="822"/>
      <c r="H621" s="822"/>
    </row>
    <row r="622" spans="1:8" ht="14" x14ac:dyDescent="0.35">
      <c r="A622" s="820">
        <v>618</v>
      </c>
      <c r="B622" s="1055" t="str">
        <f t="shared" si="9"/>
        <v>Installation details</v>
      </c>
      <c r="C622" s="1055" t="s">
        <v>2978</v>
      </c>
      <c r="D622" s="822"/>
      <c r="E622" s="822"/>
      <c r="F622" s="822"/>
      <c r="G622" s="822"/>
      <c r="H622" s="822"/>
    </row>
    <row r="623" spans="1:8" ht="14" x14ac:dyDescent="0.35">
      <c r="A623" s="820">
        <v>619</v>
      </c>
      <c r="B623" s="1055" t="str">
        <f t="shared" si="9"/>
        <v>Summary of the production processes and production routes, where relevant</v>
      </c>
      <c r="C623" s="1055" t="s">
        <v>2970</v>
      </c>
      <c r="D623" s="822"/>
      <c r="E623" s="822"/>
      <c r="F623" s="822"/>
      <c r="G623" s="822"/>
      <c r="H623" s="822"/>
    </row>
    <row r="624" spans="1:8" ht="12.5" x14ac:dyDescent="0.35">
      <c r="A624" s="820">
        <v>620</v>
      </c>
      <c r="B624" s="617" t="str">
        <f t="shared" si="9"/>
        <v>Total direct emissions during reporting period:</v>
      </c>
      <c r="C624" s="617" t="s">
        <v>2983</v>
      </c>
      <c r="D624" s="822"/>
      <c r="E624" s="822"/>
      <c r="F624" s="822"/>
      <c r="G624" s="822"/>
      <c r="H624" s="822"/>
    </row>
    <row r="625" spans="1:8" ht="12.5" x14ac:dyDescent="0.35">
      <c r="A625" s="820">
        <v>621</v>
      </c>
      <c r="B625" s="1066" t="str">
        <f t="shared" si="9"/>
        <v>Total indirect emissions during reporting period:</v>
      </c>
      <c r="C625" s="1066" t="s">
        <v>2984</v>
      </c>
      <c r="D625" s="822"/>
      <c r="E625" s="822"/>
      <c r="F625" s="822"/>
      <c r="G625" s="822"/>
      <c r="H625" s="822"/>
    </row>
    <row r="626" spans="1:8" ht="12.5" x14ac:dyDescent="0.35">
      <c r="A626" s="820">
        <v>622</v>
      </c>
      <c r="B626" s="618" t="str">
        <f t="shared" si="9"/>
        <v>Total emissions during reporting period:</v>
      </c>
      <c r="C626" s="618" t="s">
        <v>2985</v>
      </c>
      <c r="D626" s="822"/>
      <c r="E626" s="822"/>
      <c r="F626" s="822"/>
      <c r="G626" s="822"/>
      <c r="H626" s="822"/>
    </row>
    <row r="627" spans="1:8" ht="13" x14ac:dyDescent="0.35">
      <c r="A627" s="820">
        <v>623</v>
      </c>
      <c r="B627" s="873" t="str">
        <f t="shared" si="9"/>
        <v>This is a hidden sheet for the calculation of the embedded emissions along the whole supply chain, including any relevant precursors produced within the same installation, or purchased from other installations.</v>
      </c>
      <c r="C627" s="873" t="s">
        <v>638</v>
      </c>
      <c r="D627" s="822"/>
      <c r="E627" s="822"/>
      <c r="F627" s="822"/>
      <c r="G627" s="822"/>
      <c r="H627" s="822"/>
    </row>
    <row r="628" spans="1:8" x14ac:dyDescent="0.35">
      <c r="A628" s="820">
        <v>624</v>
      </c>
      <c r="B628" s="221" t="str">
        <f t="shared" si="9"/>
        <v>Share of precursor consumed, per unit of good produced</v>
      </c>
      <c r="C628" s="221" t="s">
        <v>202</v>
      </c>
      <c r="D628" s="822"/>
      <c r="E628" s="822"/>
      <c r="F628" s="822"/>
      <c r="G628" s="822"/>
      <c r="H628" s="822"/>
    </row>
    <row r="629" spans="1:8" x14ac:dyDescent="0.35">
      <c r="A629" s="820">
        <v>625</v>
      </c>
      <c r="B629" s="221" t="str">
        <f t="shared" si="9"/>
        <v>Share of purchased precursor consumed, per unit of good produced</v>
      </c>
      <c r="C629" s="221" t="s">
        <v>590</v>
      </c>
      <c r="D629" s="822"/>
      <c r="E629" s="822"/>
      <c r="F629" s="822"/>
      <c r="G629" s="822"/>
      <c r="H629" s="822"/>
    </row>
    <row r="630" spans="1:8" x14ac:dyDescent="0.35">
      <c r="A630" s="820">
        <v>626</v>
      </c>
      <c r="B630" s="221" t="str">
        <f t="shared" si="9"/>
        <v>Precursors</v>
      </c>
      <c r="C630" s="221" t="s">
        <v>589</v>
      </c>
      <c r="D630" s="822"/>
      <c r="E630" s="822"/>
      <c r="F630" s="822"/>
      <c r="G630" s="822"/>
      <c r="H630" s="822"/>
    </row>
    <row r="631" spans="1:8" ht="12.5" x14ac:dyDescent="0.25">
      <c r="A631" s="820">
        <v>627</v>
      </c>
      <c r="B631" s="1067" t="str">
        <f t="shared" si="9"/>
        <v>n.a.</v>
      </c>
      <c r="C631" s="1067" t="s">
        <v>28</v>
      </c>
      <c r="D631" s="822"/>
      <c r="E631" s="822"/>
      <c r="F631" s="822"/>
      <c r="G631" s="822"/>
      <c r="H631" s="822"/>
    </row>
    <row r="632" spans="1:8" ht="12.5" x14ac:dyDescent="0.25">
      <c r="A632" s="820">
        <v>628</v>
      </c>
      <c r="B632" s="1067" t="str">
        <f t="shared" si="9"/>
        <v>tonnes</v>
      </c>
      <c r="C632" s="1067" t="s">
        <v>40</v>
      </c>
      <c r="D632" s="822"/>
      <c r="E632" s="822"/>
      <c r="F632" s="822"/>
      <c r="G632" s="822"/>
      <c r="H632" s="822"/>
    </row>
    <row r="633" spans="1:8" ht="12.5" x14ac:dyDescent="0.35">
      <c r="A633" s="820">
        <v>629</v>
      </c>
      <c r="B633" s="637" t="str">
        <f t="shared" si="9"/>
        <v>1000Nm3</v>
      </c>
      <c r="C633" s="637" t="s">
        <v>155</v>
      </c>
      <c r="D633" s="822"/>
      <c r="E633" s="822"/>
      <c r="F633" s="822"/>
      <c r="G633" s="822"/>
      <c r="H633" s="822"/>
    </row>
    <row r="634" spans="1:8" ht="12.5" x14ac:dyDescent="0.25">
      <c r="A634" s="820">
        <v>630</v>
      </c>
      <c r="B634" s="1032" t="str">
        <f t="shared" si="9"/>
        <v>None</v>
      </c>
      <c r="C634" s="1032" t="s">
        <v>2761</v>
      </c>
      <c r="D634" s="822"/>
      <c r="E634" s="822"/>
      <c r="F634" s="822"/>
      <c r="G634" s="822"/>
      <c r="H634" s="822"/>
    </row>
    <row r="635" spans="1:8" ht="12.5" x14ac:dyDescent="0.35">
      <c r="A635" s="820">
        <v>631</v>
      </c>
      <c r="B635" s="637" t="str">
        <f t="shared" si="9"/>
        <v>National Emissions Trading System</v>
      </c>
      <c r="C635" s="637" t="s">
        <v>4219</v>
      </c>
      <c r="D635" s="822"/>
      <c r="E635" s="822"/>
      <c r="F635" s="822"/>
      <c r="G635" s="822"/>
      <c r="H635" s="822"/>
    </row>
    <row r="636" spans="1:8" ht="12.5" x14ac:dyDescent="0.35">
      <c r="A636" s="820">
        <v>632</v>
      </c>
      <c r="B636" s="637" t="str">
        <f t="shared" si="9"/>
        <v>Carbon Tax</v>
      </c>
      <c r="C636" s="637" t="s">
        <v>4220</v>
      </c>
      <c r="D636" s="822"/>
      <c r="E636" s="822"/>
      <c r="F636" s="822"/>
      <c r="G636" s="822"/>
      <c r="H636" s="822"/>
    </row>
    <row r="637" spans="1:8" ht="12.5" x14ac:dyDescent="0.35">
      <c r="A637" s="820">
        <v>633</v>
      </c>
      <c r="B637" s="637" t="str">
        <f t="shared" si="9"/>
        <v>Combination</v>
      </c>
      <c r="C637" s="637" t="s">
        <v>2762</v>
      </c>
      <c r="D637" s="822"/>
      <c r="E637" s="822"/>
      <c r="F637" s="822"/>
      <c r="G637" s="822"/>
      <c r="H637" s="822"/>
    </row>
    <row r="638" spans="1:8" ht="12.5" x14ac:dyDescent="0.35">
      <c r="A638" s="820">
        <v>634</v>
      </c>
      <c r="B638" s="637" t="str">
        <f t="shared" si="9"/>
        <v>Other</v>
      </c>
      <c r="C638" s="637" t="s">
        <v>2763</v>
      </c>
      <c r="D638" s="822"/>
      <c r="E638" s="822"/>
      <c r="F638" s="822"/>
      <c r="G638" s="822"/>
      <c r="H638" s="822"/>
    </row>
    <row r="639" spans="1:8" ht="12.5" x14ac:dyDescent="0.35">
      <c r="A639" s="820">
        <v>635</v>
      </c>
      <c r="B639" s="637" t="str">
        <f t="shared" si="9"/>
        <v>Free allocation</v>
      </c>
      <c r="C639" s="637" t="s">
        <v>2752</v>
      </c>
      <c r="D639" s="822"/>
      <c r="E639" s="822"/>
      <c r="F639" s="822"/>
      <c r="G639" s="822"/>
      <c r="H639" s="822"/>
    </row>
    <row r="640" spans="1:8" ht="12.5" x14ac:dyDescent="0.35">
      <c r="A640" s="820">
        <v>636</v>
      </c>
      <c r="B640" s="637" t="str">
        <f t="shared" si="9"/>
        <v>Financial compensation</v>
      </c>
      <c r="C640" s="637" t="s">
        <v>2753</v>
      </c>
      <c r="D640" s="822"/>
      <c r="E640" s="822"/>
      <c r="F640" s="822"/>
      <c r="G640" s="822"/>
      <c r="H640" s="822"/>
    </row>
    <row r="641" spans="1:8" ht="12.5" x14ac:dyDescent="0.35">
      <c r="A641" s="820">
        <v>637</v>
      </c>
      <c r="B641" s="637" t="str">
        <f t="shared" si="9"/>
        <v>Tax deduction</v>
      </c>
      <c r="C641" s="637" t="s">
        <v>2754</v>
      </c>
      <c r="D641" s="822"/>
      <c r="E641" s="822"/>
      <c r="F641" s="822"/>
      <c r="G641" s="822"/>
      <c r="H641" s="822"/>
    </row>
    <row r="642" spans="1:8" ht="12.5" x14ac:dyDescent="0.25">
      <c r="A642" s="820">
        <v>638</v>
      </c>
      <c r="B642" s="1068" t="str">
        <f t="shared" si="9"/>
        <v>h/year</v>
      </c>
      <c r="C642" s="1068" t="s">
        <v>4190</v>
      </c>
      <c r="D642" s="822"/>
      <c r="E642" s="822"/>
      <c r="F642" s="822"/>
      <c r="G642" s="822"/>
      <c r="H642" s="822"/>
    </row>
    <row r="643" spans="1:8" ht="12.5" x14ac:dyDescent="0.25">
      <c r="A643" s="820">
        <v>639</v>
      </c>
      <c r="B643" s="1068" t="str">
        <f t="shared" si="9"/>
        <v>1000Nm3/h</v>
      </c>
      <c r="C643" s="1068" t="s">
        <v>110</v>
      </c>
      <c r="D643" s="822"/>
      <c r="E643" s="822"/>
      <c r="F643" s="822"/>
      <c r="G643" s="822"/>
      <c r="H643" s="822"/>
    </row>
    <row r="644" spans="1:8" ht="12.5" x14ac:dyDescent="0.25">
      <c r="A644" s="820">
        <v>640</v>
      </c>
      <c r="B644" s="1068" t="str">
        <f t="shared" si="9"/>
        <v>g/Nm3</v>
      </c>
      <c r="C644" s="1068" t="s">
        <v>109</v>
      </c>
      <c r="D644" s="822"/>
      <c r="E644" s="822"/>
      <c r="F644" s="822"/>
      <c r="G644" s="822"/>
      <c r="H644" s="822"/>
    </row>
    <row r="645" spans="1:8" ht="12.5" x14ac:dyDescent="0.25">
      <c r="A645" s="820">
        <v>641</v>
      </c>
      <c r="B645" s="1068" t="str">
        <f t="shared" si="9"/>
        <v>Year</v>
      </c>
      <c r="C645" s="1068" t="s">
        <v>265</v>
      </c>
      <c r="D645" s="822"/>
      <c r="E645" s="822"/>
      <c r="F645" s="822"/>
      <c r="G645" s="822"/>
      <c r="H645" s="822"/>
    </row>
    <row r="646" spans="1:8" ht="12.5" x14ac:dyDescent="0.25">
      <c r="A646" s="820">
        <v>642</v>
      </c>
      <c r="B646" s="1032" t="str">
        <f t="shared" ref="B646:B709" si="10">IFERROR(INDEX(C646:M646,$A$3-2),$C646)</f>
        <v>Process emissions</v>
      </c>
      <c r="C646" s="1032" t="s">
        <v>339</v>
      </c>
      <c r="D646" s="822"/>
      <c r="E646" s="822"/>
      <c r="F646" s="822"/>
      <c r="G646" s="822"/>
      <c r="H646" s="822"/>
    </row>
    <row r="647" spans="1:8" ht="12.5" x14ac:dyDescent="0.25">
      <c r="A647" s="820">
        <v>643</v>
      </c>
      <c r="B647" s="1032" t="str">
        <f t="shared" si="10"/>
        <v>Slope method</v>
      </c>
      <c r="C647" s="1032" t="s">
        <v>351</v>
      </c>
      <c r="D647" s="822"/>
      <c r="E647" s="822"/>
      <c r="F647" s="822"/>
      <c r="G647" s="822"/>
      <c r="H647" s="822"/>
    </row>
    <row r="648" spans="1:8" ht="12.5" x14ac:dyDescent="0.35">
      <c r="A648" s="820">
        <v>644</v>
      </c>
      <c r="B648" s="637" t="str">
        <f t="shared" si="10"/>
        <v>Natural gas</v>
      </c>
      <c r="C648" s="637" t="s">
        <v>303</v>
      </c>
      <c r="D648" s="822"/>
      <c r="E648" s="822"/>
      <c r="F648" s="822"/>
      <c r="G648" s="822"/>
      <c r="H648" s="822"/>
    </row>
    <row r="649" spans="1:8" ht="12.5" x14ac:dyDescent="0.35">
      <c r="A649" s="820">
        <v>645</v>
      </c>
      <c r="B649" s="637" t="str">
        <f t="shared" si="10"/>
        <v>Biogas</v>
      </c>
      <c r="C649" s="637" t="s">
        <v>304</v>
      </c>
      <c r="D649" s="822"/>
      <c r="E649" s="822"/>
      <c r="F649" s="822"/>
      <c r="G649" s="822"/>
      <c r="H649" s="822"/>
    </row>
    <row r="650" spans="1:8" ht="12.5" x14ac:dyDescent="0.35">
      <c r="A650" s="820">
        <v>646</v>
      </c>
      <c r="B650" s="637" t="str">
        <f t="shared" si="10"/>
        <v>Hydrogen</v>
      </c>
      <c r="C650" s="637" t="s">
        <v>14</v>
      </c>
      <c r="D650" s="822"/>
      <c r="E650" s="822"/>
      <c r="F650" s="822"/>
      <c r="G650" s="822"/>
      <c r="H650" s="822"/>
    </row>
    <row r="651" spans="1:8" ht="12.5" x14ac:dyDescent="0.35">
      <c r="A651" s="820">
        <v>647</v>
      </c>
      <c r="B651" s="637" t="str">
        <f t="shared" si="10"/>
        <v>Missing! Please assign ALL relevant aggregated goods categories to a 'production process'.</v>
      </c>
      <c r="C651" s="637" t="s">
        <v>576</v>
      </c>
      <c r="D651" s="822"/>
      <c r="E651" s="822"/>
      <c r="F651" s="822"/>
      <c r="G651" s="822"/>
      <c r="H651" s="822"/>
    </row>
    <row r="652" spans="1:8" ht="12.5" x14ac:dyDescent="0.25">
      <c r="A652" s="820">
        <v>648</v>
      </c>
      <c r="B652" s="1032" t="str">
        <f t="shared" si="10"/>
        <v>Click here to proceed to next sheet</v>
      </c>
      <c r="C652" s="1032" t="s">
        <v>395</v>
      </c>
      <c r="D652" s="822"/>
      <c r="E652" s="822"/>
      <c r="F652" s="822"/>
      <c r="G652" s="822"/>
      <c r="H652" s="822"/>
    </row>
    <row r="653" spans="1:8" ht="12.5" x14ac:dyDescent="0.25">
      <c r="A653" s="820">
        <v>649</v>
      </c>
      <c r="B653" s="1032" t="str">
        <f t="shared" si="10"/>
        <v>Only direct production</v>
      </c>
      <c r="C653" s="1032" t="s">
        <v>280</v>
      </c>
      <c r="D653" s="822"/>
      <c r="E653" s="822"/>
      <c r="F653" s="822"/>
      <c r="G653" s="822"/>
      <c r="H653" s="822"/>
    </row>
    <row r="654" spans="1:8" ht="12.5" x14ac:dyDescent="0.25">
      <c r="A654" s="820">
        <v>650</v>
      </c>
      <c r="B654" s="1032" t="str">
        <f t="shared" si="10"/>
        <v>All production routes</v>
      </c>
      <c r="C654" s="1032" t="s">
        <v>136</v>
      </c>
      <c r="D654" s="822"/>
      <c r="E654" s="822"/>
      <c r="F654" s="822"/>
      <c r="G654" s="822"/>
      <c r="H654" s="822"/>
    </row>
    <row r="655" spans="1:8" ht="12.5" x14ac:dyDescent="0.25">
      <c r="A655" s="820">
        <v>651</v>
      </c>
      <c r="B655" s="1032" t="str">
        <f t="shared" si="10"/>
        <v>Please select…</v>
      </c>
      <c r="C655" s="1032" t="s">
        <v>429</v>
      </c>
      <c r="D655" s="822"/>
      <c r="E655" s="822"/>
      <c r="F655" s="822"/>
      <c r="G655" s="822"/>
      <c r="H655" s="822"/>
    </row>
    <row r="656" spans="1:8" ht="12.5" x14ac:dyDescent="0.25">
      <c r="A656" s="820">
        <v>652</v>
      </c>
      <c r="B656" s="1032" t="str">
        <f t="shared" si="10"/>
        <v>Incomplete!</v>
      </c>
      <c r="C656" s="1032" t="s">
        <v>2721</v>
      </c>
      <c r="D656" s="822"/>
      <c r="E656" s="822"/>
      <c r="F656" s="822"/>
      <c r="G656" s="822"/>
      <c r="H656" s="822"/>
    </row>
    <row r="657" spans="1:8" ht="12.5" x14ac:dyDescent="0.25">
      <c r="A657" s="820">
        <v>653</v>
      </c>
      <c r="B657" s="1032" t="str">
        <f t="shared" si="10"/>
        <v>Duplicate!</v>
      </c>
      <c r="C657" s="1032" t="s">
        <v>2804</v>
      </c>
      <c r="D657" s="822"/>
      <c r="E657" s="822"/>
      <c r="F657" s="822"/>
      <c r="G657" s="822"/>
      <c r="H657" s="822"/>
    </row>
    <row r="658" spans="1:8" ht="12.5" x14ac:dyDescent="0.25">
      <c r="A658" s="820">
        <v>654</v>
      </c>
      <c r="B658" s="1032" t="str">
        <f t="shared" si="10"/>
        <v>Measured</v>
      </c>
      <c r="C658" s="1032" t="s">
        <v>2765</v>
      </c>
      <c r="D658" s="822"/>
      <c r="E658" s="822"/>
      <c r="F658" s="822"/>
      <c r="G658" s="822"/>
      <c r="H658" s="822"/>
    </row>
    <row r="659" spans="1:8" ht="12.5" x14ac:dyDescent="0.25">
      <c r="A659" s="820">
        <v>655</v>
      </c>
      <c r="B659" s="1032" t="str">
        <f t="shared" si="10"/>
        <v>Default</v>
      </c>
      <c r="C659" s="1032" t="s">
        <v>2766</v>
      </c>
      <c r="D659" s="822"/>
      <c r="E659" s="822"/>
      <c r="F659" s="822"/>
      <c r="G659" s="822"/>
      <c r="H659" s="822"/>
    </row>
    <row r="660" spans="1:8" ht="12.5" x14ac:dyDescent="0.25">
      <c r="A660" s="820">
        <v>656</v>
      </c>
      <c r="B660" s="1032" t="str">
        <f t="shared" si="10"/>
        <v>Please click on this link for further guidance on how to complete this section.</v>
      </c>
      <c r="C660" s="1032" t="s">
        <v>2883</v>
      </c>
      <c r="D660" s="822"/>
      <c r="E660" s="822"/>
      <c r="F660" s="822"/>
      <c r="G660" s="822"/>
      <c r="H660" s="822"/>
    </row>
    <row r="661" spans="1:8" ht="12.5" x14ac:dyDescent="0.25">
      <c r="A661" s="820">
        <v>657</v>
      </c>
      <c r="B661" s="1032" t="str">
        <f t="shared" si="10"/>
        <v>Please click on this link if you want to go back to the relevant section for data entry.</v>
      </c>
      <c r="C661" s="1032" t="s">
        <v>2770</v>
      </c>
      <c r="D661" s="822"/>
      <c r="E661" s="822"/>
      <c r="F661" s="822"/>
      <c r="G661" s="822"/>
      <c r="H661" s="822"/>
    </row>
    <row r="662" spans="1:8" ht="12.5" x14ac:dyDescent="0.25">
      <c r="A662" s="820">
        <v>658</v>
      </c>
      <c r="B662" s="1032" t="str">
        <f t="shared" si="10"/>
        <v>Please click on this link to go to the "tool for calculation of the carbon price due".</v>
      </c>
      <c r="C662" s="1032" t="s">
        <v>3026</v>
      </c>
      <c r="D662" s="822"/>
      <c r="E662" s="822"/>
      <c r="F662" s="822"/>
      <c r="G662" s="822"/>
      <c r="H662" s="822"/>
    </row>
    <row r="663" spans="1:8" ht="12.5" x14ac:dyDescent="0.25">
      <c r="A663" s="820">
        <v>659</v>
      </c>
      <c r="B663" s="1032" t="str">
        <f t="shared" si="10"/>
        <v>Please click on this link to go to the "CHP Tool for attributing emissions between heat and electricity".</v>
      </c>
      <c r="C663" s="1032" t="s">
        <v>2929</v>
      </c>
      <c r="D663" s="822"/>
      <c r="E663" s="822"/>
      <c r="F663" s="822"/>
      <c r="G663" s="822"/>
      <c r="H663" s="822"/>
    </row>
    <row r="664" spans="1:8" ht="12.5" x14ac:dyDescent="0.25">
      <c r="A664" s="820">
        <v>660</v>
      </c>
      <c r="B664" s="377" t="str">
        <f t="shared" si="10"/>
        <v>Cement</v>
      </c>
      <c r="C664" s="377" t="s">
        <v>2724</v>
      </c>
      <c r="D664" s="822"/>
      <c r="E664" s="822"/>
      <c r="F664" s="822"/>
      <c r="G664" s="822"/>
      <c r="H664" s="822"/>
    </row>
    <row r="665" spans="1:8" ht="12.5" x14ac:dyDescent="0.25">
      <c r="A665" s="820">
        <v>661</v>
      </c>
      <c r="B665" s="377" t="str">
        <f t="shared" si="10"/>
        <v>Cement clinker</v>
      </c>
      <c r="C665" s="377" t="s">
        <v>12</v>
      </c>
      <c r="D665" s="822"/>
      <c r="E665" s="822"/>
      <c r="F665" s="822"/>
      <c r="G665" s="822"/>
      <c r="H665" s="822"/>
    </row>
    <row r="666" spans="1:8" ht="12.5" x14ac:dyDescent="0.25">
      <c r="A666" s="820">
        <v>662</v>
      </c>
      <c r="B666" s="377" t="str">
        <f t="shared" si="10"/>
        <v xml:space="preserve">Calcined clays </v>
      </c>
      <c r="C666" s="377" t="s">
        <v>24</v>
      </c>
      <c r="D666" s="822"/>
      <c r="E666" s="822"/>
      <c r="F666" s="822"/>
      <c r="G666" s="822"/>
      <c r="H666" s="822"/>
    </row>
    <row r="667" spans="1:8" ht="12.5" x14ac:dyDescent="0.25">
      <c r="A667" s="820">
        <v>663</v>
      </c>
      <c r="B667" s="377" t="str">
        <f t="shared" si="10"/>
        <v>Aluminous cement</v>
      </c>
      <c r="C667" s="377" t="s">
        <v>18</v>
      </c>
      <c r="D667" s="822"/>
      <c r="E667" s="822"/>
      <c r="F667" s="822"/>
      <c r="G667" s="822"/>
      <c r="H667" s="822"/>
    </row>
    <row r="668" spans="1:8" ht="12.5" x14ac:dyDescent="0.25">
      <c r="A668" s="820">
        <v>664</v>
      </c>
      <c r="B668" s="377" t="str">
        <f t="shared" si="10"/>
        <v>Crude steel</v>
      </c>
      <c r="C668" s="377" t="s">
        <v>13</v>
      </c>
      <c r="D668" s="822"/>
      <c r="E668" s="822"/>
      <c r="F668" s="822"/>
      <c r="G668" s="822"/>
      <c r="H668" s="822"/>
    </row>
    <row r="669" spans="1:8" ht="12.5" x14ac:dyDescent="0.25">
      <c r="A669" s="820">
        <v>665</v>
      </c>
      <c r="B669" s="377" t="str">
        <f t="shared" si="10"/>
        <v>Basic oxygen steelmaking</v>
      </c>
      <c r="C669" s="377" t="s">
        <v>2731</v>
      </c>
      <c r="D669" s="822"/>
      <c r="E669" s="822"/>
      <c r="F669" s="822"/>
      <c r="G669" s="822"/>
      <c r="H669" s="822"/>
    </row>
    <row r="670" spans="1:8" ht="12.5" x14ac:dyDescent="0.25">
      <c r="A670" s="820">
        <v>666</v>
      </c>
      <c r="B670" s="377" t="str">
        <f t="shared" si="10"/>
        <v>Electric arc furnace</v>
      </c>
      <c r="C670" s="377" t="s">
        <v>2732</v>
      </c>
      <c r="D670" s="822"/>
      <c r="E670" s="822"/>
      <c r="F670" s="822"/>
      <c r="G670" s="822"/>
      <c r="H670" s="822"/>
    </row>
    <row r="671" spans="1:8" ht="12.5" x14ac:dyDescent="0.25">
      <c r="A671" s="820">
        <v>667</v>
      </c>
      <c r="B671" s="377" t="str">
        <f t="shared" si="10"/>
        <v>Other production routes</v>
      </c>
      <c r="C671" s="377" t="s">
        <v>137</v>
      </c>
      <c r="D671" s="822"/>
      <c r="E671" s="822"/>
      <c r="F671" s="822"/>
      <c r="G671" s="822"/>
      <c r="H671" s="822"/>
    </row>
    <row r="672" spans="1:8" ht="12.5" x14ac:dyDescent="0.25">
      <c r="A672" s="820">
        <v>668</v>
      </c>
      <c r="B672" s="377" t="str">
        <f t="shared" si="10"/>
        <v>Unknown production routes</v>
      </c>
      <c r="C672" s="377" t="s">
        <v>203</v>
      </c>
      <c r="D672" s="822"/>
      <c r="E672" s="822"/>
      <c r="F672" s="822"/>
      <c r="G672" s="822"/>
      <c r="H672" s="822"/>
    </row>
    <row r="673" spans="1:8" ht="12.5" x14ac:dyDescent="0.25">
      <c r="A673" s="820">
        <v>669</v>
      </c>
      <c r="B673" s="377" t="str">
        <f t="shared" si="10"/>
        <v>Direct reduced iron</v>
      </c>
      <c r="C673" s="377" t="s">
        <v>295</v>
      </c>
      <c r="D673" s="822"/>
      <c r="E673" s="822"/>
      <c r="F673" s="822"/>
      <c r="G673" s="822"/>
      <c r="H673" s="822"/>
    </row>
    <row r="674" spans="1:8" ht="12.5" x14ac:dyDescent="0.25">
      <c r="A674" s="820">
        <v>670</v>
      </c>
      <c r="B674" s="377" t="str">
        <f t="shared" si="10"/>
        <v>Pig iron</v>
      </c>
      <c r="C674" s="377" t="s">
        <v>2730</v>
      </c>
      <c r="D674" s="822"/>
      <c r="E674" s="822"/>
      <c r="F674" s="822"/>
      <c r="G674" s="822"/>
      <c r="H674" s="822"/>
    </row>
    <row r="675" spans="1:8" ht="12.5" x14ac:dyDescent="0.25">
      <c r="A675" s="820">
        <v>671</v>
      </c>
      <c r="B675" s="377" t="str">
        <f t="shared" si="10"/>
        <v>Blast furnace route</v>
      </c>
      <c r="C675" s="377" t="s">
        <v>19</v>
      </c>
      <c r="D675" s="822"/>
      <c r="E675" s="822"/>
      <c r="F675" s="822"/>
      <c r="G675" s="822"/>
      <c r="H675" s="822"/>
    </row>
    <row r="676" spans="1:8" ht="12.5" x14ac:dyDescent="0.25">
      <c r="A676" s="820">
        <v>672</v>
      </c>
      <c r="B676" s="377" t="str">
        <f t="shared" si="10"/>
        <v>Smelting reduction</v>
      </c>
      <c r="C676" s="377" t="s">
        <v>20</v>
      </c>
      <c r="D676" s="822"/>
      <c r="E676" s="822"/>
      <c r="F676" s="822"/>
      <c r="G676" s="822"/>
      <c r="H676" s="822"/>
    </row>
    <row r="677" spans="1:8" ht="12.5" x14ac:dyDescent="0.25">
      <c r="A677" s="820">
        <v>673</v>
      </c>
      <c r="B677" s="377" t="str">
        <f t="shared" si="10"/>
        <v>Alloys (FeMn, FeCr, FeNi)</v>
      </c>
      <c r="C677" s="377" t="s">
        <v>21</v>
      </c>
      <c r="D677" s="822"/>
      <c r="E677" s="822"/>
      <c r="F677" s="822"/>
      <c r="G677" s="822"/>
      <c r="H677" s="822"/>
    </row>
    <row r="678" spans="1:8" ht="12.5" x14ac:dyDescent="0.25">
      <c r="A678" s="820">
        <v>674</v>
      </c>
      <c r="B678" s="377" t="str">
        <f t="shared" si="10"/>
        <v>Sintered Ore</v>
      </c>
      <c r="C678" s="377" t="s">
        <v>2930</v>
      </c>
      <c r="D678" s="822"/>
      <c r="E678" s="822"/>
      <c r="F678" s="822"/>
      <c r="G678" s="822"/>
      <c r="H678" s="822"/>
    </row>
    <row r="679" spans="1:8" ht="12.5" x14ac:dyDescent="0.25">
      <c r="A679" s="820">
        <v>675</v>
      </c>
      <c r="B679" s="377" t="str">
        <f t="shared" si="10"/>
        <v>Steam reforming and partial oxidation</v>
      </c>
      <c r="C679" s="377" t="s">
        <v>2727</v>
      </c>
      <c r="D679" s="822"/>
      <c r="E679" s="822"/>
      <c r="F679" s="822"/>
      <c r="G679" s="822"/>
      <c r="H679" s="822"/>
    </row>
    <row r="680" spans="1:8" ht="12.5" x14ac:dyDescent="0.25">
      <c r="A680" s="820">
        <v>676</v>
      </c>
      <c r="B680" s="377" t="str">
        <f t="shared" si="10"/>
        <v>Electrolysis of water</v>
      </c>
      <c r="C680" s="377" t="s">
        <v>2725</v>
      </c>
      <c r="D680" s="822"/>
      <c r="E680" s="822"/>
      <c r="F680" s="822"/>
      <c r="G680" s="822"/>
      <c r="H680" s="822"/>
    </row>
    <row r="681" spans="1:8" ht="12.5" x14ac:dyDescent="0.25">
      <c r="A681" s="820">
        <v>677</v>
      </c>
      <c r="B681" s="377" t="str">
        <f t="shared" si="10"/>
        <v>Chlor-Alkali electrolysis and production of chlorates</v>
      </c>
      <c r="C681" s="377" t="s">
        <v>2726</v>
      </c>
      <c r="D681" s="822"/>
      <c r="E681" s="822"/>
      <c r="F681" s="822"/>
      <c r="G681" s="822"/>
      <c r="H681" s="822"/>
    </row>
    <row r="682" spans="1:8" ht="12.5" x14ac:dyDescent="0.25">
      <c r="A682" s="820">
        <v>678</v>
      </c>
      <c r="B682" s="377" t="str">
        <f t="shared" si="10"/>
        <v>Ammonia</v>
      </c>
      <c r="C682" s="377" t="s">
        <v>15</v>
      </c>
      <c r="D682" s="822"/>
      <c r="E682" s="822"/>
      <c r="F682" s="822"/>
      <c r="G682" s="822"/>
      <c r="H682" s="822"/>
    </row>
    <row r="683" spans="1:8" ht="12.5" x14ac:dyDescent="0.25">
      <c r="A683" s="820">
        <v>679</v>
      </c>
      <c r="B683" s="377" t="str">
        <f t="shared" si="10"/>
        <v>Haber-Bosch process with steam reforming of natural gas or biogas</v>
      </c>
      <c r="C683" s="377" t="s">
        <v>2728</v>
      </c>
      <c r="D683" s="822"/>
      <c r="E683" s="822"/>
      <c r="F683" s="822"/>
      <c r="G683" s="822"/>
      <c r="H683" s="822"/>
    </row>
    <row r="684" spans="1:8" ht="12.5" x14ac:dyDescent="0.25">
      <c r="A684" s="820">
        <v>680</v>
      </c>
      <c r="B684" s="377" t="str">
        <f t="shared" si="10"/>
        <v>Haber-Bosch process with gasification of coal or other fuels</v>
      </c>
      <c r="C684" s="377" t="s">
        <v>2729</v>
      </c>
      <c r="D684" s="822"/>
      <c r="E684" s="822"/>
      <c r="F684" s="822"/>
      <c r="G684" s="822"/>
      <c r="H684" s="822"/>
    </row>
    <row r="685" spans="1:8" ht="12.5" x14ac:dyDescent="0.25">
      <c r="A685" s="820">
        <v>681</v>
      </c>
      <c r="B685" s="377" t="str">
        <f t="shared" si="10"/>
        <v>Nitric acid</v>
      </c>
      <c r="C685" s="377" t="s">
        <v>16</v>
      </c>
      <c r="D685" s="822"/>
      <c r="E685" s="822"/>
      <c r="F685" s="822"/>
      <c r="G685" s="822"/>
      <c r="H685" s="822"/>
    </row>
    <row r="686" spans="1:8" ht="12.5" x14ac:dyDescent="0.25">
      <c r="A686" s="820">
        <v>682</v>
      </c>
      <c r="B686" s="377" t="str">
        <f t="shared" si="10"/>
        <v>Urea</v>
      </c>
      <c r="C686" s="377" t="s">
        <v>17</v>
      </c>
      <c r="D686" s="822"/>
      <c r="E686" s="822"/>
      <c r="F686" s="822"/>
      <c r="G686" s="822"/>
      <c r="H686" s="822"/>
    </row>
    <row r="687" spans="1:8" ht="12.5" x14ac:dyDescent="0.25">
      <c r="A687" s="820">
        <v>683</v>
      </c>
      <c r="B687" s="377" t="str">
        <f t="shared" si="10"/>
        <v>Mixed fertilisers</v>
      </c>
      <c r="C687" s="377" t="s">
        <v>4224</v>
      </c>
      <c r="D687" s="822"/>
      <c r="E687" s="822"/>
      <c r="F687" s="822"/>
      <c r="G687" s="822"/>
      <c r="H687" s="822"/>
    </row>
    <row r="688" spans="1:8" ht="12.5" x14ac:dyDescent="0.25">
      <c r="A688" s="820">
        <v>684</v>
      </c>
      <c r="B688" s="377" t="str">
        <f t="shared" si="10"/>
        <v>Aluminium products</v>
      </c>
      <c r="C688" s="377" t="s">
        <v>263</v>
      </c>
      <c r="D688" s="822"/>
      <c r="E688" s="822"/>
      <c r="F688" s="822"/>
      <c r="G688" s="822"/>
      <c r="H688" s="822"/>
    </row>
    <row r="689" spans="1:8" ht="12.5" x14ac:dyDescent="0.25">
      <c r="A689" s="820">
        <v>685</v>
      </c>
      <c r="B689" s="377" t="str">
        <f t="shared" si="10"/>
        <v>Unwrought aluminium</v>
      </c>
      <c r="C689" s="377" t="s">
        <v>262</v>
      </c>
      <c r="D689" s="822"/>
      <c r="E689" s="822"/>
      <c r="F689" s="822"/>
      <c r="G689" s="822"/>
      <c r="H689" s="822"/>
    </row>
    <row r="690" spans="1:8" ht="12.5" x14ac:dyDescent="0.25">
      <c r="A690" s="820">
        <v>686</v>
      </c>
      <c r="B690" s="377" t="str">
        <f t="shared" si="10"/>
        <v>Primary (electrolytic) smelting</v>
      </c>
      <c r="C690" s="377" t="s">
        <v>2733</v>
      </c>
      <c r="D690" s="822"/>
      <c r="E690" s="822"/>
      <c r="F690" s="822"/>
      <c r="G690" s="822"/>
      <c r="H690" s="822"/>
    </row>
    <row r="691" spans="1:8" ht="12.5" x14ac:dyDescent="0.25">
      <c r="A691" s="820">
        <v>687</v>
      </c>
      <c r="B691" s="377" t="str">
        <f t="shared" si="10"/>
        <v>Secondary melting (recycling)</v>
      </c>
      <c r="C691" s="377" t="s">
        <v>22</v>
      </c>
      <c r="D691" s="822"/>
      <c r="E691" s="822"/>
      <c r="F691" s="822"/>
      <c r="G691" s="822"/>
      <c r="H691" s="822"/>
    </row>
    <row r="692" spans="1:8" ht="12.5" x14ac:dyDescent="0.25">
      <c r="A692" s="820">
        <v>688</v>
      </c>
      <c r="B692" s="377" t="str">
        <f t="shared" si="10"/>
        <v>Electricity (export to EU)</v>
      </c>
      <c r="C692" s="377" t="s">
        <v>2957</v>
      </c>
      <c r="D692" s="822"/>
      <c r="E692" s="822"/>
      <c r="F692" s="822"/>
      <c r="G692" s="822"/>
      <c r="H692" s="822"/>
    </row>
    <row r="693" spans="1:8" ht="12.5" x14ac:dyDescent="0.25">
      <c r="A693" s="820">
        <v>689</v>
      </c>
      <c r="B693" s="377" t="str">
        <f t="shared" si="10"/>
        <v>The main reducing agent used</v>
      </c>
      <c r="C693" s="377" t="s">
        <v>300</v>
      </c>
      <c r="D693" s="822"/>
      <c r="E693" s="822"/>
      <c r="F693" s="822"/>
      <c r="G693" s="822"/>
      <c r="H693" s="822"/>
    </row>
    <row r="694" spans="1:8" ht="12" x14ac:dyDescent="0.3">
      <c r="A694" s="820">
        <v>690</v>
      </c>
      <c r="B694" s="1069" t="str">
        <f t="shared" si="10"/>
        <v>Kaolinic clays (other than kaolin)</v>
      </c>
      <c r="C694" s="1069" t="s">
        <v>655</v>
      </c>
      <c r="D694" s="822"/>
      <c r="E694" s="822"/>
      <c r="F694" s="822"/>
      <c r="G694" s="822"/>
      <c r="H694" s="822"/>
    </row>
    <row r="695" spans="1:8" ht="12" x14ac:dyDescent="0.3">
      <c r="A695" s="820">
        <v>691</v>
      </c>
      <c r="B695" s="1069" t="str">
        <f t="shared" si="10"/>
        <v>Cement clinkers</v>
      </c>
      <c r="C695" s="1069" t="s">
        <v>658</v>
      </c>
      <c r="D695" s="822"/>
      <c r="E695" s="822"/>
      <c r="F695" s="822"/>
      <c r="G695" s="822"/>
      <c r="H695" s="822"/>
    </row>
    <row r="696" spans="1:8" ht="12" x14ac:dyDescent="0.3">
      <c r="A696" s="820">
        <v>692</v>
      </c>
      <c r="B696" s="1069" t="str">
        <f t="shared" si="10"/>
        <v>White portland cement, whether or not artificially coloured</v>
      </c>
      <c r="C696" s="1069" t="s">
        <v>661</v>
      </c>
      <c r="D696" s="822"/>
      <c r="E696" s="822"/>
      <c r="F696" s="822"/>
      <c r="G696" s="822"/>
      <c r="H696" s="822"/>
    </row>
    <row r="697" spans="1:8" ht="12" x14ac:dyDescent="0.3">
      <c r="A697" s="820">
        <v>693</v>
      </c>
      <c r="B697" s="1069" t="str">
        <f t="shared" si="10"/>
        <v>Portland cement (excl. white, whether or not artificially coloured)</v>
      </c>
      <c r="C697" s="1069" t="s">
        <v>664</v>
      </c>
      <c r="D697" s="822"/>
      <c r="E697" s="822"/>
      <c r="F697" s="822"/>
      <c r="G697" s="822"/>
      <c r="H697" s="822"/>
    </row>
    <row r="698" spans="1:8" ht="12" x14ac:dyDescent="0.3">
      <c r="A698" s="820">
        <v>694</v>
      </c>
      <c r="B698" s="1069" t="str">
        <f t="shared" si="10"/>
        <v>Cement, whether or not coloured (excl. portland cement and aluminous cement)</v>
      </c>
      <c r="C698" s="1069" t="s">
        <v>669</v>
      </c>
      <c r="D698" s="822"/>
      <c r="E698" s="822"/>
      <c r="F698" s="822"/>
      <c r="G698" s="822"/>
      <c r="H698" s="822"/>
    </row>
    <row r="699" spans="1:8" ht="12" x14ac:dyDescent="0.3">
      <c r="A699" s="820">
        <v>695</v>
      </c>
      <c r="B699" s="1069" t="str">
        <f t="shared" si="10"/>
        <v>Agglomerated iron ores and concentrates (excl. roasted iron pyrites)</v>
      </c>
      <c r="C699" s="1069" t="s">
        <v>672</v>
      </c>
      <c r="D699" s="822"/>
      <c r="E699" s="822"/>
      <c r="F699" s="822"/>
      <c r="G699" s="822"/>
      <c r="H699" s="822"/>
    </row>
    <row r="700" spans="1:8" ht="12" x14ac:dyDescent="0.3">
      <c r="A700" s="820">
        <v>696</v>
      </c>
      <c r="B700" s="1069" t="str">
        <f t="shared" si="10"/>
        <v>Electrical energy</v>
      </c>
      <c r="C700" s="1069" t="s">
        <v>675</v>
      </c>
      <c r="D700" s="822"/>
      <c r="E700" s="822"/>
      <c r="F700" s="822"/>
      <c r="G700" s="822"/>
      <c r="H700" s="822"/>
    </row>
    <row r="701" spans="1:8" ht="12" x14ac:dyDescent="0.3">
      <c r="A701" s="820">
        <v>697</v>
      </c>
      <c r="B701" s="1069" t="str">
        <f t="shared" si="10"/>
        <v>Nitric acid; sulphonitric acids</v>
      </c>
      <c r="C701" s="1069" t="s">
        <v>680</v>
      </c>
      <c r="D701" s="822"/>
      <c r="E701" s="822"/>
      <c r="F701" s="822"/>
      <c r="G701" s="822"/>
      <c r="H701" s="822"/>
    </row>
    <row r="702" spans="1:8" ht="12" x14ac:dyDescent="0.3">
      <c r="A702" s="820">
        <v>698</v>
      </c>
      <c r="B702" s="1069" t="str">
        <f t="shared" si="10"/>
        <v>Ammonia, anhydrous or in aqueous solution</v>
      </c>
      <c r="C702" s="1069" t="s">
        <v>682</v>
      </c>
      <c r="D702" s="822"/>
      <c r="E702" s="822"/>
      <c r="F702" s="822"/>
      <c r="G702" s="822"/>
      <c r="H702" s="822"/>
    </row>
    <row r="703" spans="1:8" ht="12" x14ac:dyDescent="0.3">
      <c r="A703" s="820">
        <v>699</v>
      </c>
      <c r="B703" s="1069" t="str">
        <f t="shared" si="10"/>
        <v>Anhydrous ammonia</v>
      </c>
      <c r="C703" s="1069" t="s">
        <v>685</v>
      </c>
      <c r="D703" s="822"/>
      <c r="E703" s="822"/>
      <c r="F703" s="822"/>
      <c r="G703" s="822"/>
      <c r="H703" s="822"/>
    </row>
    <row r="704" spans="1:8" ht="12" x14ac:dyDescent="0.3">
      <c r="A704" s="820">
        <v>700</v>
      </c>
      <c r="B704" s="1069" t="str">
        <f t="shared" si="10"/>
        <v>Ammonia in aqueous solution</v>
      </c>
      <c r="C704" s="1069" t="s">
        <v>688</v>
      </c>
      <c r="D704" s="822"/>
      <c r="E704" s="822"/>
      <c r="F704" s="822"/>
      <c r="G704" s="822"/>
      <c r="H704" s="822"/>
    </row>
    <row r="705" spans="1:8" ht="12" x14ac:dyDescent="0.3">
      <c r="A705" s="820">
        <v>701</v>
      </c>
      <c r="B705" s="1069" t="str">
        <f t="shared" si="10"/>
        <v>Nitrate of potassium</v>
      </c>
      <c r="C705" s="1069" t="s">
        <v>691</v>
      </c>
      <c r="D705" s="822"/>
      <c r="E705" s="822"/>
      <c r="F705" s="822"/>
      <c r="G705" s="822"/>
      <c r="H705" s="822"/>
    </row>
    <row r="706" spans="1:8" ht="12" x14ac:dyDescent="0.3">
      <c r="A706" s="820">
        <v>702</v>
      </c>
      <c r="B706" s="1069" t="str">
        <f t="shared" si="10"/>
        <v>Mineral or chemical nitrogenous fertilisers (excl. those in tablets or similar forms, or in packages with a gross weight of &lt;= 10 kg)</v>
      </c>
      <c r="C706" s="1069" t="s">
        <v>693</v>
      </c>
      <c r="D706" s="822"/>
      <c r="E706" s="822"/>
      <c r="F706" s="822"/>
      <c r="G706" s="822"/>
      <c r="H706" s="822"/>
    </row>
    <row r="707" spans="1:8" ht="12" x14ac:dyDescent="0.3">
      <c r="A707" s="820">
        <v>703</v>
      </c>
      <c r="B707" s="1069" t="str">
        <f t="shared" si="10"/>
        <v>Urea, whether or not in aqueous solution (excl. that in tablets or similar forms, or in packages with a gross weight of &lt;= 10 kg)</v>
      </c>
      <c r="C707" s="1069" t="s">
        <v>695</v>
      </c>
      <c r="D707" s="822"/>
      <c r="E707" s="822"/>
      <c r="F707" s="822"/>
      <c r="G707" s="822"/>
      <c r="H707" s="822"/>
    </row>
    <row r="708" spans="1:8" ht="12" x14ac:dyDescent="0.3">
      <c r="A708" s="820">
        <v>704</v>
      </c>
      <c r="B708" s="1069" t="str">
        <f t="shared" si="10"/>
        <v>Urea, whether or not in aqueous solution, containing &gt; 45% nitrogen in relation to the weight of the dry product (excl. that in tablets or similar forms, or in packages with a gross weight of &lt;= 10 kg)</v>
      </c>
      <c r="C708" s="1069" t="s">
        <v>698</v>
      </c>
      <c r="D708" s="822"/>
      <c r="E708" s="822"/>
      <c r="F708" s="822"/>
      <c r="G708" s="822"/>
      <c r="H708" s="822"/>
    </row>
    <row r="709" spans="1:8" ht="12" x14ac:dyDescent="0.3">
      <c r="A709" s="820">
        <v>705</v>
      </c>
      <c r="B709" s="1069" t="str">
        <f t="shared" si="10"/>
        <v>Urea, whether or not in aqueous solution, containing &lt;= 45% by weight of nitrogen on the dry anhydrous product (excl. goods of this chapter in tablets or similar forms or in packages of a gross weight of &lt;= 10 kg)</v>
      </c>
      <c r="C709" s="1069" t="s">
        <v>701</v>
      </c>
      <c r="D709" s="822"/>
      <c r="E709" s="822"/>
      <c r="F709" s="822"/>
      <c r="G709" s="822"/>
      <c r="H709" s="822"/>
    </row>
    <row r="710" spans="1:8" ht="12" x14ac:dyDescent="0.3">
      <c r="A710" s="820">
        <v>706</v>
      </c>
      <c r="B710" s="1069" t="str">
        <f t="shared" ref="B710:B773" si="11">IFERROR(INDEX(C710:M710,$A$3-2),$C710)</f>
        <v>Ammonium sulphate (excl. that in tablets or similar forms, or in packages with a gross weight of &lt;= 10 kg)</v>
      </c>
      <c r="C710" s="1069" t="s">
        <v>704</v>
      </c>
      <c r="D710" s="822"/>
      <c r="E710" s="822"/>
      <c r="F710" s="822"/>
      <c r="G710" s="822"/>
      <c r="H710" s="822"/>
    </row>
    <row r="711" spans="1:8" ht="12" x14ac:dyDescent="0.3">
      <c r="A711" s="820">
        <v>707</v>
      </c>
      <c r="B711" s="1069" t="str">
        <f t="shared" si="11"/>
        <v>Double salts and mixtures of ammonium sulphate and ammonium nitrate (excl. goods of this chapter in tablets or similar forms or in packages of a gross weight of &lt;= 10 kg)</v>
      </c>
      <c r="C711" s="1069" t="s">
        <v>707</v>
      </c>
      <c r="D711" s="822"/>
      <c r="E711" s="822"/>
      <c r="F711" s="822"/>
      <c r="G711" s="822"/>
      <c r="H711" s="822"/>
    </row>
    <row r="712" spans="1:8" ht="12" x14ac:dyDescent="0.3">
      <c r="A712" s="820">
        <v>708</v>
      </c>
      <c r="B712" s="1069" t="str">
        <f t="shared" si="11"/>
        <v>Ammonium nitrate, whether or not in aqueous solution (excl. that in tablets or similar forms, or in packages with a gross weight of &lt;= 10 kg)</v>
      </c>
      <c r="C712" s="1069" t="s">
        <v>709</v>
      </c>
      <c r="D712" s="822"/>
      <c r="E712" s="822"/>
      <c r="F712" s="822"/>
      <c r="G712" s="822"/>
      <c r="H712" s="822"/>
    </row>
    <row r="713" spans="1:8" ht="12" x14ac:dyDescent="0.3">
      <c r="A713" s="820">
        <v>709</v>
      </c>
      <c r="B713" s="1069" t="str">
        <f t="shared" si="11"/>
        <v>Ammonium nitrate in aqueous solution (excl. that in packages with a gross weight of &lt;= 10 kg)</v>
      </c>
      <c r="C713" s="1069" t="s">
        <v>712</v>
      </c>
      <c r="D713" s="822"/>
      <c r="E713" s="822"/>
      <c r="F713" s="822"/>
      <c r="G713" s="822"/>
      <c r="H713" s="822"/>
    </row>
    <row r="714" spans="1:8" ht="12" x14ac:dyDescent="0.3">
      <c r="A714" s="820">
        <v>710</v>
      </c>
      <c r="B714" s="1069" t="str">
        <f t="shared" si="11"/>
        <v>Ammonium nitrate (excl. that in aqueous solution, in tablets or similar forms, or in packages with a gross weight of &lt;= 10 kg)</v>
      </c>
      <c r="C714" s="1069" t="s">
        <v>715</v>
      </c>
      <c r="D714" s="822"/>
      <c r="E714" s="822"/>
      <c r="F714" s="822"/>
      <c r="G714" s="822"/>
      <c r="H714" s="822"/>
    </row>
    <row r="715" spans="1:8" ht="12" x14ac:dyDescent="0.3">
      <c r="A715" s="820">
        <v>711</v>
      </c>
      <c r="B715" s="1069" t="str">
        <f t="shared" si="11"/>
        <v>Mixtures of ammonium nitrate with calcium carbonate or other inorganic non-fertilising substances for use as fertilisers (excl. those in tablets or similar forms, or in packages with a gross weight of &lt;= 10 kg)</v>
      </c>
      <c r="C715" s="1069" t="s">
        <v>717</v>
      </c>
      <c r="D715" s="822"/>
      <c r="E715" s="822"/>
      <c r="F715" s="822"/>
      <c r="G715" s="822"/>
      <c r="H715" s="822"/>
    </row>
    <row r="716" spans="1:8" ht="12" x14ac:dyDescent="0.3">
      <c r="A716" s="820">
        <v>712</v>
      </c>
      <c r="B716" s="1069" t="str">
        <f t="shared" si="11"/>
        <v>Mixtures of ammonium nitrate with calcium carbonate or other inorganic non-fertilising substances, for use as fertilisers, containing &lt;= 28% nitrogen by weight (excl. those in tablets or similar forms, or in packages with a gross weight of &lt;= 10 kg)</v>
      </c>
      <c r="C716" s="1069" t="s">
        <v>720</v>
      </c>
      <c r="D716" s="822"/>
      <c r="E716" s="822"/>
      <c r="F716" s="822"/>
      <c r="G716" s="822"/>
      <c r="H716" s="822"/>
    </row>
    <row r="717" spans="1:8" ht="12" x14ac:dyDescent="0.3">
      <c r="A717" s="820">
        <v>713</v>
      </c>
      <c r="B717" s="1069" t="str">
        <f t="shared" si="11"/>
        <v>Mixtures of ammonium nitrate with calcium carbonate or other inorganic non-fertilising substances, for use as fertilisers, containing &gt; 28% nitrogen by weight (excl. those in tablets or similar forms, or in packages with a gross weight of &lt;= 10 kg)</v>
      </c>
      <c r="C717" s="1069" t="s">
        <v>723</v>
      </c>
      <c r="D717" s="822"/>
      <c r="E717" s="822"/>
      <c r="F717" s="822"/>
      <c r="G717" s="822"/>
      <c r="H717" s="822"/>
    </row>
    <row r="718" spans="1:8" ht="12" x14ac:dyDescent="0.3">
      <c r="A718" s="820">
        <v>714</v>
      </c>
      <c r="B718" s="1069" t="str">
        <f t="shared" si="11"/>
        <v>Sodium nitrate (excl. that in tablets or similar forms, or in packages with a gross weight of &lt;= 10 kg)</v>
      </c>
      <c r="C718" s="1069" t="s">
        <v>726</v>
      </c>
      <c r="D718" s="822"/>
      <c r="E718" s="822"/>
      <c r="F718" s="822"/>
      <c r="G718" s="822"/>
      <c r="H718" s="822"/>
    </row>
    <row r="719" spans="1:8" ht="12" x14ac:dyDescent="0.3">
      <c r="A719" s="820">
        <v>715</v>
      </c>
      <c r="B719" s="1069" t="str">
        <f t="shared" si="11"/>
        <v>Double salts and mixtures of calcium nitrate and ammonium nitrate (excl. those in tablets or similar forms, or in packages with a gross weight of &lt;= 10 kg)</v>
      </c>
      <c r="C719" s="1069" t="s">
        <v>729</v>
      </c>
      <c r="D719" s="822"/>
      <c r="E719" s="822"/>
      <c r="F719" s="822"/>
      <c r="G719" s="822"/>
      <c r="H719" s="822"/>
    </row>
    <row r="720" spans="1:8" ht="12" x14ac:dyDescent="0.3">
      <c r="A720" s="820">
        <v>716</v>
      </c>
      <c r="B720" s="1069" t="str">
        <f t="shared" si="11"/>
        <v>Mixtures of urea and ammonium nitrate in aqueous or ammoniacal solution (excl. those in packages with a gross weight of &lt;= 10 kg)</v>
      </c>
      <c r="C720" s="1069" t="s">
        <v>732</v>
      </c>
      <c r="D720" s="822"/>
      <c r="E720" s="822"/>
      <c r="F720" s="822"/>
      <c r="G720" s="822"/>
      <c r="H720" s="822"/>
    </row>
    <row r="721" spans="1:8" ht="12" x14ac:dyDescent="0.3">
      <c r="A721" s="820">
        <v>717</v>
      </c>
      <c r="B721" s="1069" t="str">
        <f t="shared" si="11"/>
        <v>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v>
      </c>
      <c r="C721" s="1069" t="s">
        <v>735</v>
      </c>
      <c r="D721" s="822"/>
      <c r="E721" s="822"/>
      <c r="F721" s="822"/>
      <c r="G721" s="822"/>
      <c r="H721" s="822"/>
    </row>
    <row r="722" spans="1:8" ht="12" x14ac:dyDescent="0.3">
      <c r="A722" s="820">
        <v>718</v>
      </c>
      <c r="B722" s="1069" t="str">
        <f t="shared" si="11"/>
        <v>Mineral or chemical fertilisers containing two or three of the fertilising elements nitrogen, phosphorus and potassium; other fertilisers (excl. pure animal or vegetable fertilisers or mineral or chemical nitrogenous, phosphatic or potassic fertilisers); animal, vegetable, mineral or chemical fertilisers in tablets or similar forms or in packages of a gross weight of &lt;= 10 kg</v>
      </c>
      <c r="C722" s="1069" t="s">
        <v>737</v>
      </c>
      <c r="D722" s="822"/>
      <c r="E722" s="822"/>
      <c r="F722" s="822"/>
      <c r="G722" s="822"/>
      <c r="H722" s="822"/>
    </row>
    <row r="723" spans="1:8" ht="12" x14ac:dyDescent="0.3">
      <c r="A723" s="820">
        <v>719</v>
      </c>
      <c r="B723" s="1069" t="str">
        <f t="shared" si="11"/>
        <v>Mineral or chemical fertilisers of animal or vegetable origin, in tablets or similar forms, or in packages with a gross weight of &lt;= 10 kg</v>
      </c>
      <c r="C723" s="1069" t="s">
        <v>740</v>
      </c>
      <c r="D723" s="822"/>
      <c r="E723" s="822"/>
      <c r="F723" s="822"/>
      <c r="G723" s="822"/>
      <c r="H723" s="822"/>
    </row>
    <row r="724" spans="1:8" ht="12" x14ac:dyDescent="0.3">
      <c r="A724" s="820">
        <v>720</v>
      </c>
      <c r="B724" s="1069" t="str">
        <f t="shared" si="11"/>
        <v>Mineral or chemical fertilisers containing the three fertilising elements nitrogen, phosphorus and potassium (excl. those in tablets or similar forms, or in packages with a gross weight of &lt;= 10 kg)</v>
      </c>
      <c r="C724" s="1069" t="s">
        <v>742</v>
      </c>
      <c r="D724" s="822"/>
      <c r="E724" s="822"/>
      <c r="F724" s="822"/>
      <c r="G724" s="822"/>
      <c r="H724" s="822"/>
    </row>
    <row r="725" spans="1:8" ht="12" x14ac:dyDescent="0.3">
      <c r="A725" s="820">
        <v>721</v>
      </c>
      <c r="B725" s="1069" t="str">
        <f t="shared" si="11"/>
        <v>Mineral or chemical fertilisers containing phosphorus and potassium, with a nitrogen content &gt; 10 % by weight on the dry anhydrous product (excl. those in tablets or similar forms, or in packages with a gross weight of &lt;= 10 kg)</v>
      </c>
      <c r="C725" s="1069" t="s">
        <v>745</v>
      </c>
      <c r="D725" s="822"/>
      <c r="E725" s="822"/>
      <c r="F725" s="822"/>
      <c r="G725" s="822"/>
      <c r="H725" s="822"/>
    </row>
    <row r="726" spans="1:8" ht="12" x14ac:dyDescent="0.3">
      <c r="A726" s="820">
        <v>722</v>
      </c>
      <c r="B726" s="1069" t="str">
        <f t="shared" si="11"/>
        <v>Mineral or chemical fertilisers containing nitrogen, phosphorus and potassium, with a nitrogen content &lt;= 10 % by weight on the dry anhydrous product (excl. those in tablets or similar forms, or in packages with a gross weight of &lt;= 10 kg)</v>
      </c>
      <c r="C726" s="1069" t="s">
        <v>748</v>
      </c>
      <c r="D726" s="822"/>
      <c r="E726" s="822"/>
      <c r="F726" s="822"/>
      <c r="G726" s="822"/>
      <c r="H726" s="822"/>
    </row>
    <row r="727" spans="1:8" ht="12" x14ac:dyDescent="0.3">
      <c r="A727" s="820">
        <v>723</v>
      </c>
      <c r="B727" s="1069" t="str">
        <f t="shared" si="11"/>
        <v>Diammonium hydrogenorthophosphate "diammonium phosphate" (excl. that in tablets or similar forms, or in packages with a gross weight of &lt;= 10 kg)</v>
      </c>
      <c r="C727" s="1069" t="s">
        <v>751</v>
      </c>
      <c r="D727" s="822"/>
      <c r="E727" s="822"/>
      <c r="F727" s="822"/>
      <c r="G727" s="822"/>
      <c r="H727" s="822"/>
    </row>
    <row r="728" spans="1:8" ht="12" x14ac:dyDescent="0.3">
      <c r="A728" s="820">
        <v>724</v>
      </c>
      <c r="B728" s="1069" t="str">
        <f t="shared" si="11"/>
        <v>Ammonium dihydrogenorthophosphate "monoammonium phosphate", whether or not mixed with diammonium hydrogenorthophosphate "diammonium phosphate" (excl. that in tablets or similar forms, or in packages with a gross weight of &lt;= 10 kg)</v>
      </c>
      <c r="C728" s="1069" t="s">
        <v>754</v>
      </c>
      <c r="D728" s="822"/>
      <c r="E728" s="822"/>
      <c r="F728" s="822"/>
      <c r="G728" s="822"/>
      <c r="H728" s="822"/>
    </row>
    <row r="729" spans="1:8" ht="12" x14ac:dyDescent="0.3">
      <c r="A729" s="820">
        <v>725</v>
      </c>
      <c r="B729" s="1069" t="str">
        <f t="shared" si="11"/>
        <v>Mineral or chemical fertilisers containing nitrates and phosphates (excl. ammonium dihydrogenorthophosphate "Monoammonium phosphate", diammonium hydrogenorthophosphate "Diammonium phosphate", and those in tablets or similar forms, or in packages with a gross weight of &lt;= 10 kg)</v>
      </c>
      <c r="C729" s="1069" t="s">
        <v>757</v>
      </c>
      <c r="D729" s="822"/>
      <c r="E729" s="822"/>
      <c r="F729" s="822"/>
      <c r="G729" s="822"/>
      <c r="H729" s="822"/>
    </row>
    <row r="730" spans="1:8" ht="12" x14ac:dyDescent="0.3">
      <c r="A730" s="820">
        <v>726</v>
      </c>
      <c r="B730" s="1069" t="str">
        <f t="shared" si="11"/>
        <v>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v>
      </c>
      <c r="C730" s="1069" t="s">
        <v>760</v>
      </c>
      <c r="D730" s="822"/>
      <c r="E730" s="822"/>
      <c r="F730" s="822"/>
      <c r="G730" s="822"/>
      <c r="H730" s="822"/>
    </row>
    <row r="731" spans="1:8" ht="12" x14ac:dyDescent="0.3">
      <c r="A731" s="820">
        <v>727</v>
      </c>
      <c r="B731" s="1069" t="str">
        <f t="shared" si="11"/>
        <v>Mineral or chemical fertilisers containing the two fertilising elements nitrogen and potassium or one principal fertilising substance only, incl. mixtures of animal or vegetable fertilisers with chemical or mineral fertilisers (excl. those in tablets or similar forms, or in packages with a gross weight of &lt;= 10 kg)</v>
      </c>
      <c r="C731" s="1069" t="s">
        <v>762</v>
      </c>
      <c r="D731" s="822"/>
      <c r="E731" s="822"/>
      <c r="F731" s="822"/>
      <c r="G731" s="822"/>
      <c r="H731" s="822"/>
    </row>
    <row r="732" spans="1:8" ht="12" x14ac:dyDescent="0.3">
      <c r="A732" s="820">
        <v>728</v>
      </c>
      <c r="B732" s="1069" t="str">
        <f t="shared" si="11"/>
        <v>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v>
      </c>
      <c r="C732" s="1069" t="s">
        <v>765</v>
      </c>
      <c r="D732" s="822"/>
      <c r="E732" s="822"/>
      <c r="F732" s="822"/>
      <c r="G732" s="822"/>
      <c r="H732" s="822"/>
    </row>
    <row r="733" spans="1:8" ht="12" x14ac:dyDescent="0.3">
      <c r="A733" s="820">
        <v>729</v>
      </c>
      <c r="B733" s="1069" t="str">
        <f t="shared" si="11"/>
        <v>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v>
      </c>
      <c r="C733" s="1069" t="s">
        <v>768</v>
      </c>
      <c r="D733" s="822"/>
      <c r="E733" s="822"/>
      <c r="F733" s="822"/>
      <c r="G733" s="822"/>
      <c r="H733" s="822"/>
    </row>
    <row r="734" spans="1:8" ht="12" x14ac:dyDescent="0.3">
      <c r="A734" s="820">
        <v>730</v>
      </c>
      <c r="B734" s="1069" t="str">
        <f t="shared" si="11"/>
        <v>Pig iron and spiegeleisen, in pigs, blocks or other primary forms</v>
      </c>
      <c r="C734" s="1069" t="s">
        <v>770</v>
      </c>
      <c r="D734" s="822"/>
      <c r="E734" s="822"/>
      <c r="F734" s="822"/>
      <c r="G734" s="822"/>
      <c r="H734" s="822"/>
    </row>
    <row r="735" spans="1:8" ht="12" x14ac:dyDescent="0.3">
      <c r="A735" s="820">
        <v>731</v>
      </c>
      <c r="B735" s="1069" t="str">
        <f t="shared" si="11"/>
        <v>Non-alloy pig iron in pigs, blocks or other primary forms, containing, by weight, &lt;= 0,5% of phosphorous</v>
      </c>
      <c r="C735" s="1069" t="s">
        <v>772</v>
      </c>
      <c r="D735" s="822"/>
      <c r="E735" s="822"/>
      <c r="F735" s="822"/>
      <c r="G735" s="822"/>
      <c r="H735" s="822"/>
    </row>
    <row r="736" spans="1:8" ht="12" x14ac:dyDescent="0.3">
      <c r="A736" s="820">
        <v>732</v>
      </c>
      <c r="B736" s="1069" t="str">
        <f t="shared" si="11"/>
        <v>Non-alloy pig iron in pigs, blocks or other primary forms, containing by weight &lt;= 0,5% phosphorus, &gt;= 0,4% manganese and &lt;= 1% silicon</v>
      </c>
      <c r="C736" s="1069" t="s">
        <v>775</v>
      </c>
      <c r="D736" s="822"/>
      <c r="E736" s="822"/>
      <c r="F736" s="822"/>
      <c r="G736" s="822"/>
      <c r="H736" s="822"/>
    </row>
    <row r="737" spans="1:8" ht="12" x14ac:dyDescent="0.3">
      <c r="A737" s="820">
        <v>733</v>
      </c>
      <c r="B737" s="1069" t="str">
        <f t="shared" si="11"/>
        <v>Non-alloy pig iron in pigs, blocks or other primary forms, containing by weight &lt;= 0,5% phosphorus, &gt;= 0,4% manganese and &gt; 1% silicon</v>
      </c>
      <c r="C737" s="1069" t="s">
        <v>778</v>
      </c>
      <c r="D737" s="822"/>
      <c r="E737" s="822"/>
      <c r="F737" s="822"/>
      <c r="G737" s="822"/>
      <c r="H737" s="822"/>
    </row>
    <row r="738" spans="1:8" ht="12" x14ac:dyDescent="0.3">
      <c r="A738" s="820">
        <v>734</v>
      </c>
      <c r="B738" s="1069" t="str">
        <f t="shared" si="11"/>
        <v>Non-alloy pig iron in pigs, blocks or other primary forms, containing by weight &lt;= 0,5% phosphorus, and &gt;= 0,1% but &lt; 0,4% manganese</v>
      </c>
      <c r="C738" s="1069" t="s">
        <v>781</v>
      </c>
      <c r="D738" s="822"/>
      <c r="E738" s="822"/>
      <c r="F738" s="822"/>
      <c r="G738" s="822"/>
      <c r="H738" s="822"/>
    </row>
    <row r="739" spans="1:8" ht="12" x14ac:dyDescent="0.3">
      <c r="A739" s="820">
        <v>735</v>
      </c>
      <c r="B739" s="1069" t="str">
        <f t="shared" si="11"/>
        <v>Non-alloy pig iron in pigs, blocks or other primary forms, containing by weight &lt;= 0,5% phosphorus, and &lt;= 0,1% manganese</v>
      </c>
      <c r="C739" s="1069" t="s">
        <v>784</v>
      </c>
      <c r="D739" s="822"/>
      <c r="E739" s="822"/>
      <c r="F739" s="822"/>
      <c r="G739" s="822"/>
      <c r="H739" s="822"/>
    </row>
    <row r="740" spans="1:8" ht="12" x14ac:dyDescent="0.3">
      <c r="A740" s="820">
        <v>736</v>
      </c>
      <c r="B740" s="1069" t="str">
        <f t="shared" si="11"/>
        <v>Non-alloy pig iron in pigs, blocks or other primary forms, containing by weight &gt;= 0,5% phosphorus</v>
      </c>
      <c r="C740" s="1069" t="s">
        <v>787</v>
      </c>
      <c r="D740" s="822"/>
      <c r="E740" s="822"/>
      <c r="F740" s="822"/>
      <c r="G740" s="822"/>
      <c r="H740" s="822"/>
    </row>
    <row r="741" spans="1:8" ht="12" x14ac:dyDescent="0.3">
      <c r="A741" s="820">
        <v>737</v>
      </c>
      <c r="B741" s="1069" t="str">
        <f t="shared" si="11"/>
        <v>Alloy pig iron and spiegeleisen, in pigs, blocks or other primary forms</v>
      </c>
      <c r="C741" s="1069" t="s">
        <v>789</v>
      </c>
      <c r="D741" s="822"/>
      <c r="E741" s="822"/>
      <c r="F741" s="822"/>
      <c r="G741" s="822"/>
      <c r="H741" s="822"/>
    </row>
    <row r="742" spans="1:8" ht="12" x14ac:dyDescent="0.3">
      <c r="A742" s="820">
        <v>738</v>
      </c>
      <c r="B742" s="1069" t="str">
        <f t="shared" si="11"/>
        <v>Alloy pig iron in pigs, blocks or other primary forms, containing by weight &gt;= 0,3% but &lt;= 1% titanium and &gt;= 0,5% but &lt;= 1% vanadium</v>
      </c>
      <c r="C742" s="1069" t="s">
        <v>792</v>
      </c>
      <c r="D742" s="822"/>
      <c r="E742" s="822"/>
      <c r="F742" s="822"/>
      <c r="G742" s="822"/>
      <c r="H742" s="822"/>
    </row>
    <row r="743" spans="1:8" ht="12" x14ac:dyDescent="0.3">
      <c r="A743" s="820">
        <v>739</v>
      </c>
      <c r="B743" s="1069" t="str">
        <f t="shared" si="11"/>
        <v>Alloy pig iron and spiegeleisen, in pigs, blocks or other primary forms (excl. alloy iron containing, by weight, &gt;= 0,3% but &lt;= 1% titanium and &gt;= 0,5% but &lt;= 1% vanadium)</v>
      </c>
      <c r="C743" s="1069" t="s">
        <v>795</v>
      </c>
      <c r="D743" s="822"/>
      <c r="E743" s="822"/>
      <c r="F743" s="822"/>
      <c r="G743" s="822"/>
      <c r="H743" s="822"/>
    </row>
    <row r="744" spans="1:8" ht="12" x14ac:dyDescent="0.3">
      <c r="A744" s="820">
        <v>740</v>
      </c>
      <c r="B744" s="1069" t="str">
        <f t="shared" si="11"/>
        <v>Ferro-manganese, containing by weight &gt; 2% of carbon</v>
      </c>
      <c r="C744" s="1069" t="s">
        <v>797</v>
      </c>
      <c r="D744" s="822"/>
      <c r="E744" s="822"/>
      <c r="F744" s="822"/>
      <c r="G744" s="822"/>
      <c r="H744" s="822"/>
    </row>
    <row r="745" spans="1:8" ht="12" x14ac:dyDescent="0.3">
      <c r="A745" s="820">
        <v>741</v>
      </c>
      <c r="B745" s="1069" t="str">
        <f t="shared" si="11"/>
        <v>Ferro-manganese, containing by weight &gt; 2% carbon, with a granulometry &lt;= 5 mm and a manganese content by weight &gt; 65%</v>
      </c>
      <c r="C745" s="1069" t="s">
        <v>800</v>
      </c>
      <c r="D745" s="822"/>
      <c r="E745" s="822"/>
      <c r="F745" s="822"/>
      <c r="G745" s="822"/>
      <c r="H745" s="822"/>
    </row>
    <row r="746" spans="1:8" ht="12" x14ac:dyDescent="0.3">
      <c r="A746" s="820">
        <v>742</v>
      </c>
      <c r="B746" s="1069" t="str">
        <f t="shared" si="11"/>
        <v>Ferro-manganese, containing by weight &gt; 2% carbon (excl. ferro-manganese with a granulometry of &lt;= 5 mm and containing by weight &gt; 65% manganese)</v>
      </c>
      <c r="C746" s="1069" t="s">
        <v>803</v>
      </c>
      <c r="D746" s="822"/>
      <c r="E746" s="822"/>
      <c r="F746" s="822"/>
      <c r="G746" s="822"/>
      <c r="H746" s="822"/>
    </row>
    <row r="747" spans="1:8" ht="12" x14ac:dyDescent="0.3">
      <c r="A747" s="820">
        <v>743</v>
      </c>
      <c r="B747" s="1069" t="str">
        <f t="shared" si="11"/>
        <v>Ferro-manganese, containing by weight &lt;= 2% carbon</v>
      </c>
      <c r="C747" s="1069" t="s">
        <v>806</v>
      </c>
      <c r="D747" s="822"/>
      <c r="E747" s="822"/>
      <c r="F747" s="822"/>
      <c r="G747" s="822"/>
      <c r="H747" s="822"/>
    </row>
    <row r="748" spans="1:8" ht="12" x14ac:dyDescent="0.3">
      <c r="A748" s="820">
        <v>744</v>
      </c>
      <c r="B748" s="1069" t="str">
        <f t="shared" si="11"/>
        <v>Ferro-chromium, containing by weight &gt; 4% of carbon</v>
      </c>
      <c r="C748" s="1069" t="s">
        <v>808</v>
      </c>
      <c r="D748" s="822"/>
      <c r="E748" s="822"/>
      <c r="F748" s="822"/>
      <c r="G748" s="822"/>
      <c r="H748" s="822"/>
    </row>
    <row r="749" spans="1:8" ht="12" x14ac:dyDescent="0.3">
      <c r="A749" s="820">
        <v>745</v>
      </c>
      <c r="B749" s="1069" t="str">
        <f t="shared" si="11"/>
        <v>Ferro-chromium, containing by weight &gt; 4% but &lt;= 6% carbon</v>
      </c>
      <c r="C749" s="1069" t="s">
        <v>811</v>
      </c>
      <c r="D749" s="822"/>
      <c r="E749" s="822"/>
      <c r="F749" s="822"/>
      <c r="G749" s="822"/>
      <c r="H749" s="822"/>
    </row>
    <row r="750" spans="1:8" ht="12" x14ac:dyDescent="0.3">
      <c r="A750" s="820">
        <v>746</v>
      </c>
      <c r="B750" s="1069" t="str">
        <f t="shared" si="11"/>
        <v>Ferro-chromium, containing by weight &gt; 6% carbon</v>
      </c>
      <c r="C750" s="1069" t="s">
        <v>814</v>
      </c>
      <c r="D750" s="822"/>
      <c r="E750" s="822"/>
      <c r="F750" s="822"/>
      <c r="G750" s="822"/>
      <c r="H750" s="822"/>
    </row>
    <row r="751" spans="1:8" ht="12" x14ac:dyDescent="0.3">
      <c r="A751" s="820">
        <v>747</v>
      </c>
      <c r="B751" s="1069" t="str">
        <f t="shared" si="11"/>
        <v>Ferro-chromium, containing by weight &lt;= 4% of carbon</v>
      </c>
      <c r="C751" s="1069" t="s">
        <v>816</v>
      </c>
      <c r="D751" s="822"/>
      <c r="E751" s="822"/>
      <c r="F751" s="822"/>
      <c r="G751" s="822"/>
      <c r="H751" s="822"/>
    </row>
    <row r="752" spans="1:8" ht="12" x14ac:dyDescent="0.3">
      <c r="A752" s="820">
        <v>748</v>
      </c>
      <c r="B752" s="1069" t="str">
        <f t="shared" si="11"/>
        <v>Ferro-chromium, containing by weight &lt;= 0,05% carbon</v>
      </c>
      <c r="C752" s="1069" t="s">
        <v>819</v>
      </c>
      <c r="D752" s="822"/>
      <c r="E752" s="822"/>
      <c r="F752" s="822"/>
      <c r="G752" s="822"/>
      <c r="H752" s="822"/>
    </row>
    <row r="753" spans="1:8" ht="12" x14ac:dyDescent="0.3">
      <c r="A753" s="820">
        <v>749</v>
      </c>
      <c r="B753" s="1069" t="str">
        <f t="shared" si="11"/>
        <v>Ferro-chromium, containing by weight &gt; 0,05% but &lt;= 0,5% carbon</v>
      </c>
      <c r="C753" s="1069" t="s">
        <v>822</v>
      </c>
      <c r="D753" s="822"/>
      <c r="E753" s="822"/>
      <c r="F753" s="822"/>
      <c r="G753" s="822"/>
      <c r="H753" s="822"/>
    </row>
    <row r="754" spans="1:8" ht="12" x14ac:dyDescent="0.3">
      <c r="A754" s="820">
        <v>750</v>
      </c>
      <c r="B754" s="1069" t="str">
        <f t="shared" si="11"/>
        <v>Ferro-chromium, containing by weight &gt; 0,5% but &lt;= 4% carbon</v>
      </c>
      <c r="C754" s="1069" t="s">
        <v>825</v>
      </c>
      <c r="D754" s="822"/>
      <c r="E754" s="822"/>
      <c r="F754" s="822"/>
      <c r="G754" s="822"/>
      <c r="H754" s="822"/>
    </row>
    <row r="755" spans="1:8" ht="12" x14ac:dyDescent="0.3">
      <c r="A755" s="820">
        <v>751</v>
      </c>
      <c r="B755" s="1069" t="str">
        <f t="shared" si="11"/>
        <v>Ferro-nickel</v>
      </c>
      <c r="C755" s="1069" t="s">
        <v>828</v>
      </c>
      <c r="D755" s="822"/>
      <c r="E755" s="822"/>
      <c r="F755" s="822"/>
      <c r="G755" s="822"/>
      <c r="H755" s="822"/>
    </row>
    <row r="756" spans="1:8" ht="12" x14ac:dyDescent="0.3">
      <c r="A756" s="820">
        <v>752</v>
      </c>
      <c r="B756" s="1069" t="str">
        <f t="shared" si="11"/>
        <v>Ferrous products obtained by direct reduction of iron ore and other spongy ferrous products, in lumps, pellets or similar forms; iron having a minimum purity by weight of 99,94%, in lumps, pellets or similar forms</v>
      </c>
      <c r="C756" s="1069" t="s">
        <v>830</v>
      </c>
      <c r="D756" s="822"/>
      <c r="E756" s="822"/>
      <c r="F756" s="822"/>
      <c r="G756" s="822"/>
      <c r="H756" s="822"/>
    </row>
    <row r="757" spans="1:8" ht="12" x14ac:dyDescent="0.3">
      <c r="A757" s="820">
        <v>753</v>
      </c>
      <c r="B757" s="1069" t="str">
        <f t="shared" si="11"/>
        <v>Ferrous products obtained by direct reduction of iron ore, in lumps, pellets or similar forms</v>
      </c>
      <c r="C757" s="1069" t="s">
        <v>833</v>
      </c>
      <c r="D757" s="822"/>
      <c r="E757" s="822"/>
      <c r="F757" s="822"/>
      <c r="G757" s="822"/>
      <c r="H757" s="822"/>
    </row>
    <row r="758" spans="1:8" ht="12" x14ac:dyDescent="0.3">
      <c r="A758" s="820">
        <v>754</v>
      </c>
      <c r="B758" s="1069" t="str">
        <f t="shared" si="11"/>
        <v>Spongy ferrous products, obtained from molten pig iron by atomisation, iron of a purity of &gt;= 99,94%, in lumps, pellets or similar forms</v>
      </c>
      <c r="C758" s="1069" t="s">
        <v>836</v>
      </c>
      <c r="D758" s="822"/>
      <c r="E758" s="822"/>
      <c r="F758" s="822"/>
      <c r="G758" s="822"/>
      <c r="H758" s="822"/>
    </row>
    <row r="759" spans="1:8" ht="12" x14ac:dyDescent="0.3">
      <c r="A759" s="820">
        <v>755</v>
      </c>
      <c r="B759" s="1069" t="str">
        <f t="shared" si="11"/>
        <v>Granules and powders of pig iron, spiegeleisen, iron or steel (excl. granules and powders of ferro-alloys, turnings and filings of iron or steel, radioactive iron powders "isotopes" and certain low-calibre, substandard balls for ballbearings)</v>
      </c>
      <c r="C759" s="1069" t="s">
        <v>838</v>
      </c>
      <c r="D759" s="822"/>
      <c r="E759" s="822"/>
      <c r="F759" s="822"/>
      <c r="G759" s="822"/>
      <c r="H759" s="822"/>
    </row>
    <row r="760" spans="1:8" ht="12" x14ac:dyDescent="0.3">
      <c r="A760" s="820">
        <v>756</v>
      </c>
      <c r="B760" s="1069" t="str">
        <f t="shared" si="11"/>
        <v>Granules, of pig iron, spiegeleisen, iron or steel (excl. granules of ferro-alloys, turnings and filings of iron or steel, certain small calibre items, defective balls for ball-bearings)</v>
      </c>
      <c r="C760" s="1069" t="s">
        <v>841</v>
      </c>
      <c r="D760" s="822"/>
      <c r="E760" s="822"/>
      <c r="F760" s="822"/>
      <c r="G760" s="822"/>
      <c r="H760" s="822"/>
    </row>
    <row r="761" spans="1:8" ht="12" x14ac:dyDescent="0.3">
      <c r="A761" s="820">
        <v>757</v>
      </c>
      <c r="B761" s="1069" t="str">
        <f t="shared" si="11"/>
        <v>Powders, of alloy steel (excl. powders of ferro-alloys and radioactive iron powders "isotopes")</v>
      </c>
      <c r="C761" s="1069" t="s">
        <v>844</v>
      </c>
      <c r="D761" s="822"/>
      <c r="E761" s="822"/>
      <c r="F761" s="822"/>
      <c r="G761" s="822"/>
      <c r="H761" s="822"/>
    </row>
    <row r="762" spans="1:8" ht="12" x14ac:dyDescent="0.3">
      <c r="A762" s="820">
        <v>758</v>
      </c>
      <c r="B762" s="1069" t="str">
        <f t="shared" si="11"/>
        <v>Powders, of pig iron, spiegeleisen, iron or non-alloy steel (excl. powders of ferro-alloys and radioactive iron powders "isotopes")</v>
      </c>
      <c r="C762" s="1069" t="s">
        <v>847</v>
      </c>
      <c r="D762" s="822"/>
      <c r="E762" s="822"/>
      <c r="F762" s="822"/>
      <c r="G762" s="822"/>
      <c r="H762" s="822"/>
    </row>
    <row r="763" spans="1:8" ht="12" x14ac:dyDescent="0.3">
      <c r="A763" s="820">
        <v>759</v>
      </c>
      <c r="B763" s="1069" t="str">
        <f t="shared" si="11"/>
        <v>Iron and non-alloy steel in ingots or other primary forms (excl. remelting scrap ingots, products obtained by continuous casting and iron of heading 7203)</v>
      </c>
      <c r="C763" s="1069" t="s">
        <v>849</v>
      </c>
      <c r="D763" s="822"/>
      <c r="E763" s="822"/>
      <c r="F763" s="822"/>
      <c r="G763" s="822"/>
      <c r="H763" s="822"/>
    </row>
    <row r="764" spans="1:8" ht="12" x14ac:dyDescent="0.3">
      <c r="A764" s="820">
        <v>760</v>
      </c>
      <c r="B764" s="1069" t="str">
        <f t="shared" si="11"/>
        <v>Ingots, of iron and non-alloy steel (excl. remelted scrap ingots, continuous cast products, iron of heading 7203)</v>
      </c>
      <c r="C764" s="1069" t="s">
        <v>852</v>
      </c>
      <c r="D764" s="822"/>
      <c r="E764" s="822"/>
      <c r="F764" s="822"/>
      <c r="G764" s="822"/>
      <c r="H764" s="822"/>
    </row>
    <row r="765" spans="1:8" ht="12" x14ac:dyDescent="0.3">
      <c r="A765" s="820">
        <v>761</v>
      </c>
      <c r="B765" s="1069" t="str">
        <f t="shared" si="11"/>
        <v>Iron and non-alloy steel, in puddled bars or other primary forms (excl. ingots, remelted scrap ingots, continuous cast products, iron of heading 7203)</v>
      </c>
      <c r="C765" s="1069" t="s">
        <v>855</v>
      </c>
      <c r="D765" s="822"/>
      <c r="E765" s="822"/>
      <c r="F765" s="822"/>
      <c r="G765" s="822"/>
      <c r="H765" s="822"/>
    </row>
    <row r="766" spans="1:8" ht="12" x14ac:dyDescent="0.3">
      <c r="A766" s="820">
        <v>762</v>
      </c>
      <c r="B766" s="1069" t="str">
        <f t="shared" si="11"/>
        <v>Semi-finished products of iron or non-alloy steel</v>
      </c>
      <c r="C766" s="1069" t="s">
        <v>857</v>
      </c>
      <c r="D766" s="822"/>
      <c r="E766" s="822"/>
      <c r="F766" s="822"/>
      <c r="G766" s="822"/>
      <c r="H766" s="822"/>
    </row>
    <row r="767" spans="1:8" ht="12" x14ac:dyDescent="0.3">
      <c r="A767" s="820">
        <v>763</v>
      </c>
      <c r="B767" s="1069" t="str">
        <f t="shared" si="11"/>
        <v>Semi-finished products of iron or non-alloy steel containing, by weight, &lt; 0,25% of carbon, of square or rectangular cross-section, the width measuring &lt; twice the thickness</v>
      </c>
      <c r="C767" s="1069" t="s">
        <v>859</v>
      </c>
      <c r="D767" s="822"/>
      <c r="E767" s="822"/>
      <c r="F767" s="822"/>
      <c r="G767" s="822"/>
      <c r="H767" s="822"/>
    </row>
    <row r="768" spans="1:8" ht="12" x14ac:dyDescent="0.3">
      <c r="A768" s="820">
        <v>764</v>
      </c>
      <c r="B768" s="1069" t="str">
        <f t="shared" si="11"/>
        <v>Semi-finished products, of non-alloy free-cutting steel, containing by weight &lt; 0,25% carbon, of square or rectangular cross-section, the width &lt; twice the thickness, rolled or obtained by continuous casting</v>
      </c>
      <c r="C768" s="1069" t="s">
        <v>862</v>
      </c>
      <c r="D768" s="822"/>
      <c r="E768" s="822"/>
      <c r="F768" s="822"/>
      <c r="G768" s="822"/>
      <c r="H768" s="822"/>
    </row>
    <row r="769" spans="1:8" ht="12" x14ac:dyDescent="0.3">
      <c r="A769" s="820">
        <v>765</v>
      </c>
      <c r="B769" s="1069" t="str">
        <f t="shared" si="11"/>
        <v>Semi-finished products, of iron or non-alloy steel, containing by weight &lt; 0,25% carbon, of square or rectangular cross-section, the width &lt; twice the thickness of &lt;= 130 mm, rolled or obtained by continuous casting (excl. free-cutting steel)</v>
      </c>
      <c r="C769" s="1069" t="s">
        <v>865</v>
      </c>
      <c r="D769" s="822"/>
      <c r="E769" s="822"/>
      <c r="F769" s="822"/>
      <c r="G769" s="822"/>
      <c r="H769" s="822"/>
    </row>
    <row r="770" spans="1:8" ht="12" x14ac:dyDescent="0.3">
      <c r="A770" s="820">
        <v>766</v>
      </c>
      <c r="B770" s="1069" t="str">
        <f t="shared" si="11"/>
        <v>Semi-finished products, of iron or non-alloy steel, containing by weight &lt; 0,25% carbon, of square or rectangular cross-section, the width &lt; twice the thickness of &gt; 130 mm, rolled or obtained by continuous casting (excl. free-cutting steel)</v>
      </c>
      <c r="C770" s="1069" t="s">
        <v>868</v>
      </c>
      <c r="D770" s="822"/>
      <c r="E770" s="822"/>
      <c r="F770" s="822"/>
      <c r="G770" s="822"/>
      <c r="H770" s="822"/>
    </row>
    <row r="771" spans="1:8" ht="12" x14ac:dyDescent="0.3">
      <c r="A771" s="820">
        <v>767</v>
      </c>
      <c r="B771" s="1069" t="str">
        <f t="shared" si="11"/>
        <v>Semi-finished products of iron or non-alloy steel, containing by weight &lt; 0,25% carbon, of rectangular cross-section, the width &lt; twice the thickness, forged</v>
      </c>
      <c r="C771" s="1069" t="s">
        <v>871</v>
      </c>
      <c r="D771" s="822"/>
      <c r="E771" s="822"/>
      <c r="F771" s="822"/>
      <c r="G771" s="822"/>
      <c r="H771" s="822"/>
    </row>
    <row r="772" spans="1:8" ht="12" x14ac:dyDescent="0.3">
      <c r="A772" s="820">
        <v>768</v>
      </c>
      <c r="B772" s="1069" t="str">
        <f t="shared" si="11"/>
        <v>Semi-finished products of iron or non-alloy steel containing, by weight, &lt; 0,25% of carbon, of rectangular "other than square" cross-section, the width measuring &gt;= twice the thickness</v>
      </c>
      <c r="C772" s="1069" t="s">
        <v>873</v>
      </c>
      <c r="D772" s="822"/>
      <c r="E772" s="822"/>
      <c r="F772" s="822"/>
      <c r="G772" s="822"/>
      <c r="H772" s="822"/>
    </row>
    <row r="773" spans="1:8" ht="12" x14ac:dyDescent="0.3">
      <c r="A773" s="820">
        <v>769</v>
      </c>
      <c r="B773" s="1069" t="str">
        <f t="shared" si="11"/>
        <v>Semi-finished products of iron or non-alloy steel, containing by weight &lt; 0,25 of carbon, of rectangular "other than square" cross-section, the width measuring &gt;= twice the thickness, rolled or obtained by continuous casting</v>
      </c>
      <c r="C773" s="1069" t="s">
        <v>876</v>
      </c>
      <c r="D773" s="822"/>
      <c r="E773" s="822"/>
      <c r="F773" s="822"/>
      <c r="G773" s="822"/>
      <c r="H773" s="822"/>
    </row>
    <row r="774" spans="1:8" ht="12" x14ac:dyDescent="0.3">
      <c r="A774" s="820">
        <v>770</v>
      </c>
      <c r="B774" s="1069" t="str">
        <f t="shared" ref="B774:B837" si="12">IFERROR(INDEX(C774:M774,$A$3-2),$C774)</f>
        <v>Semi-finished products of iron or non-alloy steel, containing by weight &lt; 0,25% carbon, of rectangular "other than square" cross-section, the width &gt;= twice the thickness, forged</v>
      </c>
      <c r="C774" s="1069" t="s">
        <v>879</v>
      </c>
      <c r="D774" s="822"/>
      <c r="E774" s="822"/>
      <c r="F774" s="822"/>
      <c r="G774" s="822"/>
      <c r="H774" s="822"/>
    </row>
    <row r="775" spans="1:8" ht="12" x14ac:dyDescent="0.3">
      <c r="A775" s="820">
        <v>771</v>
      </c>
      <c r="B775" s="1069" t="str">
        <f t="shared" si="12"/>
        <v>Semi-finished products of iron or non-alloy steel containing, by weight, &lt; 0,25% of carbon, of circular cross-section, or of a cross-section other than square or rectangular</v>
      </c>
      <c r="C775" s="1069" t="s">
        <v>881</v>
      </c>
      <c r="D775" s="822"/>
      <c r="E775" s="822"/>
      <c r="F775" s="822"/>
      <c r="G775" s="822"/>
      <c r="H775" s="822"/>
    </row>
    <row r="776" spans="1:8" ht="12" x14ac:dyDescent="0.3">
      <c r="A776" s="820">
        <v>772</v>
      </c>
      <c r="B776" s="1069" t="str">
        <f t="shared" si="12"/>
        <v>Semi-finished products, of iron or non-alloy steel, containing by weight &lt; 0,25% carbon, of circular or polygonal cross-section, rolled or obtained by continuous casting</v>
      </c>
      <c r="C776" s="1069" t="s">
        <v>884</v>
      </c>
      <c r="D776" s="822"/>
      <c r="E776" s="822"/>
      <c r="F776" s="822"/>
      <c r="G776" s="822"/>
      <c r="H776" s="822"/>
    </row>
    <row r="777" spans="1:8" ht="12" x14ac:dyDescent="0.3">
      <c r="A777" s="820">
        <v>773</v>
      </c>
      <c r="B777" s="1069" t="str">
        <f t="shared" si="12"/>
        <v>Semi-finished products of iron or non-alloy steel, containing by weight &lt; 0,25% carbon (excl. semi-products, of square, rectangular, circular or polygonal cross-section)</v>
      </c>
      <c r="C777" s="1069" t="s">
        <v>890</v>
      </c>
      <c r="D777" s="822"/>
      <c r="E777" s="822"/>
      <c r="F777" s="822"/>
      <c r="G777" s="822"/>
      <c r="H777" s="822"/>
    </row>
    <row r="778" spans="1:8" ht="12" x14ac:dyDescent="0.3">
      <c r="A778" s="820">
        <v>774</v>
      </c>
      <c r="B778" s="1069" t="str">
        <f t="shared" si="12"/>
        <v>Semi-finished products of iron or non-alloy steel containing, by weight, &gt;= 0,25% of carbon</v>
      </c>
      <c r="C778" s="1069" t="s">
        <v>892</v>
      </c>
      <c r="D778" s="822"/>
      <c r="E778" s="822"/>
      <c r="F778" s="822"/>
      <c r="G778" s="822"/>
      <c r="H778" s="822"/>
    </row>
    <row r="779" spans="1:8" ht="12" x14ac:dyDescent="0.3">
      <c r="A779" s="820">
        <v>775</v>
      </c>
      <c r="B779" s="1069" t="str">
        <f t="shared" si="12"/>
        <v>Semi-finished products, of non-alloy free-cutting steel, containing by weight &gt;= 0,25% carbon, of square or rectangular cross-section, the width &lt; twice the thickness, rolled or obtained by continuous casting</v>
      </c>
      <c r="C779" s="1069" t="s">
        <v>895</v>
      </c>
      <c r="D779" s="822"/>
      <c r="E779" s="822"/>
      <c r="F779" s="822"/>
      <c r="G779" s="822"/>
      <c r="H779" s="822"/>
    </row>
    <row r="780" spans="1:8" ht="12" x14ac:dyDescent="0.3">
      <c r="A780" s="820">
        <v>776</v>
      </c>
      <c r="B780" s="1069" t="str">
        <f t="shared" si="12"/>
        <v>Semi-finished products of iron or non-alloy steel, containing by weight &gt;= 0,25% but &lt; 0,6% carbon, of square or rectangular cross-section, the width &lt; twice the thickness, rolled or obtained by continuous casting (excl. free-cutting steel)</v>
      </c>
      <c r="C780" s="1069" t="s">
        <v>898</v>
      </c>
      <c r="D780" s="822"/>
      <c r="E780" s="822"/>
      <c r="F780" s="822"/>
      <c r="G780" s="822"/>
      <c r="H780" s="822"/>
    </row>
    <row r="781" spans="1:8" ht="12" x14ac:dyDescent="0.3">
      <c r="A781" s="820">
        <v>777</v>
      </c>
      <c r="B781" s="1069" t="str">
        <f t="shared" si="12"/>
        <v>Semi-finished products of iron or non-alloy steel, containing by weight &gt;= 0,6% carbon, of square or rectangular cross-section, the width &lt; twice the thickness, rolled or obtained by continuous casting (excl. free-cutting steel)</v>
      </c>
      <c r="C781" s="1069" t="s">
        <v>901</v>
      </c>
      <c r="D781" s="822"/>
      <c r="E781" s="822"/>
      <c r="F781" s="822"/>
      <c r="G781" s="822"/>
      <c r="H781" s="822"/>
    </row>
    <row r="782" spans="1:8" ht="12" x14ac:dyDescent="0.3">
      <c r="A782" s="820">
        <v>778</v>
      </c>
      <c r="B782" s="1069" t="str">
        <f t="shared" si="12"/>
        <v>Semi-finished products of iron or non-alloy steel, containing by weight &gt;= 0,25% carbon, of square or rectangular cross-section, the width &lt; twice the thickness, forged</v>
      </c>
      <c r="C782" s="1069" t="s">
        <v>904</v>
      </c>
      <c r="D782" s="822"/>
      <c r="E782" s="822"/>
      <c r="F782" s="822"/>
      <c r="G782" s="822"/>
      <c r="H782" s="822"/>
    </row>
    <row r="783" spans="1:8" ht="12" x14ac:dyDescent="0.3">
      <c r="A783" s="820">
        <v>779</v>
      </c>
      <c r="B783" s="1069" t="str">
        <f t="shared" si="12"/>
        <v>Semi-finished products of iron or non-alloy steel, containing by weight &gt;= 0,25 of carbon, of rectangular "other than square" cross-section, the width measuring &gt;= twice the thickness, rolled or obtained by continuous casting</v>
      </c>
      <c r="C783" s="1069" t="s">
        <v>907</v>
      </c>
      <c r="D783" s="822"/>
      <c r="E783" s="822"/>
      <c r="F783" s="822"/>
      <c r="G783" s="822"/>
      <c r="H783" s="822"/>
    </row>
    <row r="784" spans="1:8" ht="12" x14ac:dyDescent="0.3">
      <c r="A784" s="820">
        <v>780</v>
      </c>
      <c r="B784" s="1069" t="str">
        <f t="shared" si="12"/>
        <v>Semi-finished products of iron or non-alloy steel, containing by weight &gt;= 0,25% carbon, of rectangular "other than square" cross-section and the width &gt;= twice the thickness, forged</v>
      </c>
      <c r="C784" s="1069" t="s">
        <v>910</v>
      </c>
      <c r="D784" s="822"/>
      <c r="E784" s="822"/>
      <c r="F784" s="822"/>
      <c r="G784" s="822"/>
      <c r="H784" s="822"/>
    </row>
    <row r="785" spans="1:8" ht="12" x14ac:dyDescent="0.3">
      <c r="A785" s="820">
        <v>781</v>
      </c>
      <c r="B785" s="1069" t="str">
        <f t="shared" si="12"/>
        <v>Semi-finished products of iron or non-alloy steel, containing by weight &gt;= 0,25% carbon, of circular or polygonal cross-section, rolled or obtained by continuous casting</v>
      </c>
      <c r="C785" s="1069" t="s">
        <v>913</v>
      </c>
      <c r="D785" s="822"/>
      <c r="E785" s="822"/>
      <c r="F785" s="822"/>
      <c r="G785" s="822"/>
      <c r="H785" s="822"/>
    </row>
    <row r="786" spans="1:8" ht="12" x14ac:dyDescent="0.3">
      <c r="A786" s="820">
        <v>782</v>
      </c>
      <c r="B786" s="1069" t="str">
        <f t="shared" si="12"/>
        <v>Semi-finished products of iron or non-alloy steel, containing by weight &gt;= 0,6% carbon, of circular or polygonal cross-section, forged</v>
      </c>
      <c r="C786" s="1069" t="s">
        <v>916</v>
      </c>
      <c r="D786" s="822"/>
      <c r="E786" s="822"/>
      <c r="F786" s="822"/>
      <c r="G786" s="822"/>
      <c r="H786" s="822"/>
    </row>
    <row r="787" spans="1:8" ht="12" x14ac:dyDescent="0.3">
      <c r="A787" s="820">
        <v>783</v>
      </c>
      <c r="B787" s="1069" t="str">
        <f t="shared" si="12"/>
        <v>Semi-finished products of iron or non-alloy steel, containing by weight &gt;= 0,25% carbon (excl. those of square, rectangular, circular or polygonal cross-section)</v>
      </c>
      <c r="C787" s="1069" t="s">
        <v>919</v>
      </c>
      <c r="D787" s="822"/>
      <c r="E787" s="822"/>
      <c r="F787" s="822"/>
      <c r="G787" s="822"/>
      <c r="H787" s="822"/>
    </row>
    <row r="788" spans="1:8" ht="12" x14ac:dyDescent="0.3">
      <c r="A788" s="820">
        <v>784</v>
      </c>
      <c r="B788" s="1069" t="str">
        <f t="shared" si="12"/>
        <v>Flat-rolled products of iron or non-alloy steel, of a width &gt;= 600 mm, hot-rolled, not clad, plated or coated</v>
      </c>
      <c r="C788" s="1069" t="s">
        <v>921</v>
      </c>
      <c r="D788" s="822"/>
      <c r="E788" s="822"/>
      <c r="F788" s="822"/>
      <c r="G788" s="822"/>
      <c r="H788" s="822"/>
    </row>
    <row r="789" spans="1:8" ht="12" x14ac:dyDescent="0.3">
      <c r="A789" s="820">
        <v>785</v>
      </c>
      <c r="B789" s="1069" t="str">
        <f t="shared" si="12"/>
        <v>Flat-rolled products of iron or non-alloy steel, of a width of &gt;= 600 mm, in coils, simply hot-rolled, not clad, plated or coated, with patterns in relief directly due to the rolling process</v>
      </c>
      <c r="C789" s="1069" t="s">
        <v>924</v>
      </c>
      <c r="D789" s="822"/>
      <c r="E789" s="822"/>
      <c r="F789" s="822"/>
      <c r="G789" s="822"/>
      <c r="H789" s="822"/>
    </row>
    <row r="790" spans="1:8" ht="12" x14ac:dyDescent="0.3">
      <c r="A790" s="820">
        <v>786</v>
      </c>
      <c r="B790" s="1069" t="str">
        <f t="shared" si="12"/>
        <v>Flat-rolled products of iron or non-alloy steel, of a width of &gt;= 600 mm, in coils, simply hot-rolled, not clad, plated or coated, of a thickness of &gt;= 4,75 mm, pickled, without patterns in relief</v>
      </c>
      <c r="C790" s="1069" t="s">
        <v>927</v>
      </c>
      <c r="D790" s="822"/>
      <c r="E790" s="822"/>
      <c r="F790" s="822"/>
      <c r="G790" s="822"/>
      <c r="H790" s="822"/>
    </row>
    <row r="791" spans="1:8" ht="12" x14ac:dyDescent="0.3">
      <c r="A791" s="820">
        <v>787</v>
      </c>
      <c r="B791" s="1069" t="str">
        <f t="shared" si="12"/>
        <v>Flat-rolled products of iron or non-alloy steel, of a width of &gt;= 600 mm, in coils, simply hot-rolled, not clad, plated or coated, of a thickness of &gt;= 3 mm but &lt; 4,75 mm, pickled, without patterns in relief</v>
      </c>
      <c r="C791" s="1069" t="s">
        <v>930</v>
      </c>
      <c r="D791" s="822"/>
      <c r="E791" s="822"/>
      <c r="F791" s="822"/>
      <c r="G791" s="822"/>
      <c r="H791" s="822"/>
    </row>
    <row r="792" spans="1:8" ht="12" x14ac:dyDescent="0.3">
      <c r="A792" s="820">
        <v>788</v>
      </c>
      <c r="B792" s="1069" t="str">
        <f t="shared" si="12"/>
        <v>Flat-rolled products of iron or non-alloy steel, of a width of &gt;= 600 mm, in coils, simply hot-rolled, not clad, plated or coated, of a thickness of &lt; 3 mm, pickled, without patterns in relief</v>
      </c>
      <c r="C792" s="1069" t="s">
        <v>933</v>
      </c>
      <c r="D792" s="822"/>
      <c r="E792" s="822"/>
      <c r="F792" s="822"/>
      <c r="G792" s="822"/>
      <c r="H792" s="822"/>
    </row>
    <row r="793" spans="1:8" ht="12" x14ac:dyDescent="0.3">
      <c r="A793" s="820">
        <v>789</v>
      </c>
      <c r="B793" s="1069" t="str">
        <f t="shared" si="12"/>
        <v>Flat-rolled products of iron or non-alloy steel, of a width of &gt;= 600 mm, in coils, simply hot-rolled, not clad, plated or coated, of a thickness of &gt;= 10 mm, not pickled, without patterns in relief</v>
      </c>
      <c r="C793" s="1069" t="s">
        <v>936</v>
      </c>
      <c r="D793" s="822"/>
      <c r="E793" s="822"/>
      <c r="F793" s="822"/>
      <c r="G793" s="822"/>
      <c r="H793" s="822"/>
    </row>
    <row r="794" spans="1:8" ht="12" x14ac:dyDescent="0.3">
      <c r="A794" s="820">
        <v>790</v>
      </c>
      <c r="B794" s="1069" t="str">
        <f t="shared" si="12"/>
        <v>Flat-rolled products of iron or non-alloy steel, of a width of &gt;= 600 mm, in coils, simply hot-rolled, not clad, plated or coated, of a thickness of &gt;= 4,75 mm but &lt; 10 mm, not pickled, without patterns in relief</v>
      </c>
      <c r="C794" s="1069" t="s">
        <v>939</v>
      </c>
      <c r="D794" s="822"/>
      <c r="E794" s="822"/>
      <c r="F794" s="822"/>
      <c r="G794" s="822"/>
      <c r="H794" s="822"/>
    </row>
    <row r="795" spans="1:8" ht="12" x14ac:dyDescent="0.3">
      <c r="A795" s="820">
        <v>791</v>
      </c>
      <c r="B795" s="1069" t="str">
        <f t="shared" si="12"/>
        <v>Flat-rolled products of iron or non-alloy steel, of a width of &gt;= 600 mm, in coils, simply hot-rolled, not clad, plated or coated, of a thickness of &gt;= 3 mm but &lt; 4,75 mm, not pickled, without patterns in relief</v>
      </c>
      <c r="C795" s="1069" t="s">
        <v>942</v>
      </c>
      <c r="D795" s="822"/>
      <c r="E795" s="822"/>
      <c r="F795" s="822"/>
      <c r="G795" s="822"/>
      <c r="H795" s="822"/>
    </row>
    <row r="796" spans="1:8" ht="12" x14ac:dyDescent="0.3">
      <c r="A796" s="820">
        <v>792</v>
      </c>
      <c r="B796" s="1069" t="str">
        <f t="shared" si="12"/>
        <v>Flat-rolled products of iron or non-alloy steel, of a width of &gt;= 600 mm, in coils, simply hot-rolled, not clad, plated or coated, of a thickness of &lt; 3 mm, not pickled, without patterns in relief</v>
      </c>
      <c r="C796" s="1069" t="s">
        <v>945</v>
      </c>
      <c r="D796" s="822"/>
      <c r="E796" s="822"/>
      <c r="F796" s="822"/>
      <c r="G796" s="822"/>
      <c r="H796" s="822"/>
    </row>
    <row r="797" spans="1:8" ht="12" x14ac:dyDescent="0.3">
      <c r="A797" s="820">
        <v>793</v>
      </c>
      <c r="B797" s="1069" t="str">
        <f t="shared" si="12"/>
        <v>Flat-rolled products of iron or non-alloy steel, of a width of &gt;= 600 mm, not in coils, simply hot-rolled, not clad, plated or coated, with patterns in relief directly due to the rolling process</v>
      </c>
      <c r="C797" s="1069" t="s">
        <v>948</v>
      </c>
      <c r="D797" s="822"/>
      <c r="E797" s="822"/>
      <c r="F797" s="822"/>
      <c r="G797" s="822"/>
      <c r="H797" s="822"/>
    </row>
    <row r="798" spans="1:8" ht="12" x14ac:dyDescent="0.3">
      <c r="A798" s="820">
        <v>794</v>
      </c>
      <c r="B798" s="1069" t="str">
        <f t="shared" si="12"/>
        <v>Flat-rolled products of iron or non-alloy steel, of a width &gt;= 600 mm, not in coils, simply hot-rolled, not clad, plated or coated, of a thickness of &gt; 10 mm, without patterns in relief</v>
      </c>
      <c r="C798" s="1069" t="s">
        <v>950</v>
      </c>
      <c r="D798" s="822"/>
      <c r="E798" s="822"/>
      <c r="F798" s="822"/>
      <c r="G798" s="822"/>
      <c r="H798" s="822"/>
    </row>
    <row r="799" spans="1:8" ht="12" x14ac:dyDescent="0.3">
      <c r="A799" s="820">
        <v>795</v>
      </c>
      <c r="B799" s="1069" t="str">
        <f t="shared" si="12"/>
        <v>Flat-rolled products of iron or non-alloy steel, of a width of &gt;= 600 mm, not in coils, simply hot-rolled, not clad, plated or coated, of a thickness of &gt; 15 mm, without patterns in relief</v>
      </c>
      <c r="C799" s="1069" t="s">
        <v>953</v>
      </c>
      <c r="D799" s="822"/>
      <c r="E799" s="822"/>
      <c r="F799" s="822"/>
      <c r="G799" s="822"/>
      <c r="H799" s="822"/>
    </row>
    <row r="800" spans="1:8" ht="12" x14ac:dyDescent="0.3">
      <c r="A800" s="820">
        <v>796</v>
      </c>
      <c r="B800" s="1069" t="str">
        <f t="shared" si="12"/>
        <v>Flat-rolled products of iron or non-alloy steel, of a width of &gt;= 2.050 mm, not in coils, simply hot-rolled, not clad, plated or coated, of a thickness of &gt; 10 mm but &lt;= 15 mm, without patterns in relief (excl. "wide flats")</v>
      </c>
      <c r="C800" s="1069" t="s">
        <v>956</v>
      </c>
      <c r="D800" s="822"/>
      <c r="E800" s="822"/>
      <c r="F800" s="822"/>
      <c r="G800" s="822"/>
      <c r="H800" s="822"/>
    </row>
    <row r="801" spans="1:8" ht="12" x14ac:dyDescent="0.3">
      <c r="A801" s="820">
        <v>797</v>
      </c>
      <c r="B801" s="1069" t="str">
        <f t="shared" si="12"/>
        <v>Flat-rolled products of iron or non-alloy steel, of a width of &lt; 2.050 mm but &gt;= 600 mm, not in coils, simply hot-rolled, not clad, plated or coated, of a thickness of &gt; 10 mm but &lt;= 15 mm, without patterns in relief</v>
      </c>
      <c r="C801" s="1069" t="s">
        <v>959</v>
      </c>
      <c r="D801" s="822"/>
      <c r="E801" s="822"/>
      <c r="F801" s="822"/>
      <c r="G801" s="822"/>
      <c r="H801" s="822"/>
    </row>
    <row r="802" spans="1:8" ht="12" x14ac:dyDescent="0.3">
      <c r="A802" s="820">
        <v>798</v>
      </c>
      <c r="B802" s="1069" t="str">
        <f t="shared" si="12"/>
        <v>Flat-rolled products of iron or non-alloy steel, of a width of &gt;= 600 mm, not in coils, simply hot-rolled, not clad, plated or coated, of a thickness of &gt;= 4,75 mm but &lt;= 10 mm, without patterns in relief</v>
      </c>
      <c r="C802" s="1069" t="s">
        <v>961</v>
      </c>
      <c r="D802" s="822"/>
      <c r="E802" s="822"/>
      <c r="F802" s="822"/>
      <c r="G802" s="822"/>
      <c r="H802" s="822"/>
    </row>
    <row r="803" spans="1:8" ht="12" x14ac:dyDescent="0.3">
      <c r="A803" s="820">
        <v>799</v>
      </c>
      <c r="B803" s="1069" t="str">
        <f t="shared" si="12"/>
        <v>Flat-rolled products of iron or non-alloy steel, of a width of &lt;= 1.250 mm, not in coils, simply hot-rolled on four faces or in a closed box pass, not clad, plated or coated, of a thickness of &gt;= 4,75 mm but &lt;= 10 mm, without patterns in relief</v>
      </c>
      <c r="C803" s="1069" t="s">
        <v>964</v>
      </c>
      <c r="D803" s="822"/>
      <c r="E803" s="822"/>
      <c r="F803" s="822"/>
      <c r="G803" s="822"/>
      <c r="H803" s="822"/>
    </row>
    <row r="804" spans="1:8" ht="12" x14ac:dyDescent="0.3">
      <c r="A804" s="820">
        <v>800</v>
      </c>
      <c r="B804" s="1069" t="str">
        <f t="shared" si="12"/>
        <v>Flat-rolled products of iron or non-alloy steel, of a width of &gt;= 2.050 mm, not in coils, simply hot-rolled, not clad, plated or coated, of a thickness of &gt;= 4,75 mm but &lt;= 10 mm, without patterns in relief</v>
      </c>
      <c r="C804" s="1069" t="s">
        <v>967</v>
      </c>
      <c r="D804" s="822"/>
      <c r="E804" s="822"/>
      <c r="F804" s="822"/>
      <c r="G804" s="822"/>
      <c r="H804" s="822"/>
    </row>
    <row r="805" spans="1:8" ht="12" x14ac:dyDescent="0.3">
      <c r="A805" s="820">
        <v>801</v>
      </c>
      <c r="B805" s="1069" t="str">
        <f t="shared" si="12"/>
        <v>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v>
      </c>
      <c r="C805" s="1069" t="s">
        <v>970</v>
      </c>
      <c r="D805" s="822"/>
      <c r="E805" s="822"/>
      <c r="F805" s="822"/>
      <c r="G805" s="822"/>
      <c r="H805" s="822"/>
    </row>
    <row r="806" spans="1:8" ht="12" x14ac:dyDescent="0.3">
      <c r="A806" s="820">
        <v>802</v>
      </c>
      <c r="B806" s="1069" t="str">
        <f t="shared" si="12"/>
        <v>Flat-rolled products of iron or non-alloy steel, of a width of &gt;= 600 mm, not in coils, simply hot-rolled, not clad, plated or coated, of a thickness of &gt;= 3 mm but &lt; 4,75 mm, without patterns in relief</v>
      </c>
      <c r="C806" s="1069" t="s">
        <v>972</v>
      </c>
      <c r="D806" s="822"/>
      <c r="E806" s="822"/>
      <c r="F806" s="822"/>
      <c r="G806" s="822"/>
      <c r="H806" s="822"/>
    </row>
    <row r="807" spans="1:8" ht="12" x14ac:dyDescent="0.3">
      <c r="A807" s="820">
        <v>803</v>
      </c>
      <c r="B807" s="1069" t="str">
        <f t="shared" si="12"/>
        <v>Flat-rolled products of iron or non-alloy steel, of a width of &lt;= 1.250 mm, not in coils, simply hot-rolled on four faces or in a closed box pass, not clad, plated or coated, of a thickness of &gt;= 4 mm but &lt; 4,75 mm, without patterns in relief</v>
      </c>
      <c r="C807" s="1069" t="s">
        <v>975</v>
      </c>
      <c r="D807" s="822"/>
      <c r="E807" s="822"/>
      <c r="F807" s="822"/>
      <c r="G807" s="822"/>
      <c r="H807" s="822"/>
    </row>
    <row r="808" spans="1:8" ht="12" x14ac:dyDescent="0.3">
      <c r="A808" s="820">
        <v>804</v>
      </c>
      <c r="B808" s="1069" t="str">
        <f t="shared" si="12"/>
        <v>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v>
      </c>
      <c r="C808" s="1069" t="s">
        <v>978</v>
      </c>
      <c r="D808" s="822"/>
      <c r="E808" s="822"/>
      <c r="F808" s="822"/>
      <c r="G808" s="822"/>
      <c r="H808" s="822"/>
    </row>
    <row r="809" spans="1:8" ht="12" x14ac:dyDescent="0.3">
      <c r="A809" s="820">
        <v>805</v>
      </c>
      <c r="B809" s="1069" t="str">
        <f t="shared" si="12"/>
        <v>Flat-rolled products of iron or non-alloy steel, of a width of &gt;= 600 mm, not in coils, simply hot-rolled, not clad, plated or coated, of a thickness of &lt; 3 mm, without patterns in relief</v>
      </c>
      <c r="C809" s="1069" t="s">
        <v>981</v>
      </c>
      <c r="D809" s="822"/>
      <c r="E809" s="822"/>
      <c r="F809" s="822"/>
      <c r="G809" s="822"/>
      <c r="H809" s="822"/>
    </row>
    <row r="810" spans="1:8" ht="12" x14ac:dyDescent="0.3">
      <c r="A810" s="820">
        <v>806</v>
      </c>
      <c r="B810" s="1069" t="str">
        <f t="shared" si="12"/>
        <v>Flat-rolled products of iron or steel, of a width &gt;= 600 mm, hot-rolled and further worked, but not clad, plated or coated</v>
      </c>
      <c r="C810" s="1069" t="s">
        <v>983</v>
      </c>
      <c r="D810" s="822"/>
      <c r="E810" s="822"/>
      <c r="F810" s="822"/>
      <c r="G810" s="822"/>
      <c r="H810" s="822"/>
    </row>
    <row r="811" spans="1:8" ht="12" x14ac:dyDescent="0.3">
      <c r="A811" s="820">
        <v>807</v>
      </c>
      <c r="B811" s="1069" t="str">
        <f t="shared" si="12"/>
        <v>Flat-rolled products of iron or steel, of a width &gt;= 600 mm, hot-rolled and further worked, but not clad, plated or coated, perforated</v>
      </c>
      <c r="C811" s="1069" t="s">
        <v>986</v>
      </c>
      <c r="D811" s="822"/>
      <c r="E811" s="822"/>
      <c r="F811" s="822"/>
      <c r="G811" s="822"/>
      <c r="H811" s="822"/>
    </row>
    <row r="812" spans="1:8" ht="12" x14ac:dyDescent="0.3">
      <c r="A812" s="820">
        <v>808</v>
      </c>
      <c r="B812" s="1069" t="str">
        <f t="shared" si="12"/>
        <v>Flat-rolled products of iron or steel, of a width &gt;= 600 mm, hot-rolled and further worked, but not clad, plated or coated, non-perforated</v>
      </c>
      <c r="C812" s="1069" t="s">
        <v>989</v>
      </c>
      <c r="D812" s="822"/>
      <c r="E812" s="822"/>
      <c r="F812" s="822"/>
      <c r="G812" s="822"/>
      <c r="H812" s="822"/>
    </row>
    <row r="813" spans="1:8" ht="12" x14ac:dyDescent="0.3">
      <c r="A813" s="820">
        <v>809</v>
      </c>
      <c r="B813" s="1069" t="str">
        <f t="shared" si="12"/>
        <v>Flat-rolled products of iron or non-alloy steel, of a width of &gt;= 600 mm, cold-rolled "cold-reduced", not clad, plated or coated</v>
      </c>
      <c r="C813" s="1069" t="s">
        <v>991</v>
      </c>
      <c r="D813" s="822"/>
      <c r="E813" s="822"/>
      <c r="F813" s="822"/>
      <c r="G813" s="822"/>
      <c r="H813" s="822"/>
    </row>
    <row r="814" spans="1:8" ht="12" x14ac:dyDescent="0.3">
      <c r="A814" s="820">
        <v>810</v>
      </c>
      <c r="B814" s="1069" t="str">
        <f t="shared" si="12"/>
        <v>Flat-rolled products of iron or non-alloy steel, of a width of &gt;= 600 mm, in coils, simply cold-rolled "cold-reduced", not clad, plated or coated, of a thickness of &gt;= 3 mm</v>
      </c>
      <c r="C814" s="1069" t="s">
        <v>994</v>
      </c>
      <c r="D814" s="822"/>
      <c r="E814" s="822"/>
      <c r="F814" s="822"/>
      <c r="G814" s="822"/>
      <c r="H814" s="822"/>
    </row>
    <row r="815" spans="1:8" ht="12" x14ac:dyDescent="0.3">
      <c r="A815" s="820">
        <v>811</v>
      </c>
      <c r="B815" s="1069" t="str">
        <f t="shared" si="12"/>
        <v>Flat-rolled products of iron or non-alloy steel, of a width of &gt;= 600 mm, in coils, simply cold-rolled "cold-reduced", not clad, plated or coated, of a thickness of &gt; 1 mm but &lt; 3 mm</v>
      </c>
      <c r="C815" s="1069" t="s">
        <v>996</v>
      </c>
      <c r="D815" s="822"/>
      <c r="E815" s="822"/>
      <c r="F815" s="822"/>
      <c r="G815" s="822"/>
      <c r="H815" s="822"/>
    </row>
    <row r="816" spans="1:8" ht="12" x14ac:dyDescent="0.3">
      <c r="A816" s="820">
        <v>812</v>
      </c>
      <c r="B816" s="1069" t="str">
        <f t="shared" si="12"/>
        <v>Flat-rolled products of iron or non-alloy steel, of a width of &gt;= 600 mm, in coils, simply cold-rolled "cold-reduced", of a thickness of &gt; 1 mm but &lt; 3 mm "electrical"</v>
      </c>
      <c r="C816" s="1069" t="s">
        <v>999</v>
      </c>
      <c r="D816" s="822"/>
      <c r="E816" s="822"/>
      <c r="F816" s="822"/>
      <c r="G816" s="822"/>
      <c r="H816" s="822"/>
    </row>
    <row r="817" spans="1:8" ht="12" x14ac:dyDescent="0.3">
      <c r="A817" s="820">
        <v>813</v>
      </c>
      <c r="B817" s="1069" t="str">
        <f t="shared" si="12"/>
        <v>Flat-rolled products of iron or non-alloy steel, of a width of &gt;= 600 mm, in coils, simply cold-rolled "cold-reduced", not clad, plated or coated, of a thickness of &gt; 1 mm but &lt; 3 mm (excl. electrical)</v>
      </c>
      <c r="C817" s="1069" t="s">
        <v>1002</v>
      </c>
      <c r="D817" s="822"/>
      <c r="E817" s="822"/>
      <c r="F817" s="822"/>
      <c r="G817" s="822"/>
      <c r="H817" s="822"/>
    </row>
    <row r="818" spans="1:8" ht="12" x14ac:dyDescent="0.3">
      <c r="A818" s="820">
        <v>814</v>
      </c>
      <c r="B818" s="1069" t="str">
        <f t="shared" si="12"/>
        <v>Flat-rolled products of iron or non-alloy steel, of a width of &gt;= 600 mm, in coils, simply cold-rolled "cold-reduced", not clad, plated or coated, of a thickness of &gt;= 0,5 mm but &lt;= 1 mm</v>
      </c>
      <c r="C818" s="1069" t="s">
        <v>1004</v>
      </c>
      <c r="D818" s="822"/>
      <c r="E818" s="822"/>
      <c r="F818" s="822"/>
      <c r="G818" s="822"/>
      <c r="H818" s="822"/>
    </row>
    <row r="819" spans="1:8" ht="12" x14ac:dyDescent="0.3">
      <c r="A819" s="820">
        <v>815</v>
      </c>
      <c r="B819" s="1069" t="str">
        <f t="shared" si="12"/>
        <v>Flat-rolled products of iron or non-alloy steel, of a width of &gt;= 600 mm, in coils, simply cold-rolled "cold-reduced", of a thickness of &gt;= 0,5 mm but &lt;= 1 mm "electrical"</v>
      </c>
      <c r="C819" s="1069" t="s">
        <v>1007</v>
      </c>
      <c r="D819" s="822"/>
      <c r="E819" s="822"/>
      <c r="F819" s="822"/>
      <c r="G819" s="822"/>
      <c r="H819" s="822"/>
    </row>
    <row r="820" spans="1:8" ht="12" x14ac:dyDescent="0.3">
      <c r="A820" s="820">
        <v>816</v>
      </c>
      <c r="B820" s="1069" t="str">
        <f t="shared" si="12"/>
        <v>Flat-rolled products of iron or non-alloy steel, of a width of &gt;= 600 mm, in coils, simply cold-rolled "cold-reduced", not clad, plated or coated, of a thickness of &gt;= 0,5 mm but &lt;= 1 mm (excl. electrical)</v>
      </c>
      <c r="C820" s="1069" t="s">
        <v>1010</v>
      </c>
      <c r="D820" s="822"/>
      <c r="E820" s="822"/>
      <c r="F820" s="822"/>
      <c r="G820" s="822"/>
      <c r="H820" s="822"/>
    </row>
    <row r="821" spans="1:8" ht="12" x14ac:dyDescent="0.3">
      <c r="A821" s="820">
        <v>817</v>
      </c>
      <c r="B821" s="1069" t="str">
        <f t="shared" si="12"/>
        <v>Flat-rolled products of iron or non-alloy steel, of a width of &gt;= 600 mm, in coils, simply cold-rolled "cold-reduced", not clad, plated or coated, of a thickness of &lt; 0,5 mm</v>
      </c>
      <c r="C821" s="1069" t="s">
        <v>1012</v>
      </c>
      <c r="D821" s="822"/>
      <c r="E821" s="822"/>
      <c r="F821" s="822"/>
      <c r="G821" s="822"/>
      <c r="H821" s="822"/>
    </row>
    <row r="822" spans="1:8" ht="12" x14ac:dyDescent="0.3">
      <c r="A822" s="820">
        <v>818</v>
      </c>
      <c r="B822" s="1069" t="str">
        <f t="shared" si="12"/>
        <v>Flat-rolled products of iron or non-alloy steel, of a width of &gt;= 600 mm, in coils, simply cold-rolled "cold-reduced", of a thickness of &lt; 0,5 mm "electrical"</v>
      </c>
      <c r="C822" s="1069" t="s">
        <v>1015</v>
      </c>
      <c r="D822" s="822"/>
      <c r="E822" s="822"/>
      <c r="F822" s="822"/>
      <c r="G822" s="822"/>
      <c r="H822" s="822"/>
    </row>
    <row r="823" spans="1:8" ht="12" x14ac:dyDescent="0.3">
      <c r="A823" s="820">
        <v>819</v>
      </c>
      <c r="B823" s="1069" t="str">
        <f t="shared" si="12"/>
        <v>Flat-rolled products of iron or non-alloy steel, of a width of &gt;= 600 mm, in coils, simply cold-rolled "cold-reduced", not clad, plated or coated, of a thickness of &gt;= 0,35 mm but &lt; 0,5 mm (excl. electrical)</v>
      </c>
      <c r="C823" s="1069" t="s">
        <v>1018</v>
      </c>
      <c r="D823" s="822"/>
      <c r="E823" s="822"/>
      <c r="F823" s="822"/>
      <c r="G823" s="822"/>
      <c r="H823" s="822"/>
    </row>
    <row r="824" spans="1:8" ht="12" x14ac:dyDescent="0.3">
      <c r="A824" s="820">
        <v>820</v>
      </c>
      <c r="B824" s="1069" t="str">
        <f t="shared" si="12"/>
        <v>Flat-rolled products of iron or non-alloy steel, of a width of &gt;= 600 mm, in coils, simply cold-rolled "cold-reduced", not clad, plated or coated, of a thickness of &lt; 0,35 mm (excl. electrical)</v>
      </c>
      <c r="C824" s="1069" t="s">
        <v>1021</v>
      </c>
      <c r="D824" s="822"/>
      <c r="E824" s="822"/>
      <c r="F824" s="822"/>
      <c r="G824" s="822"/>
      <c r="H824" s="822"/>
    </row>
    <row r="825" spans="1:8" ht="12" x14ac:dyDescent="0.3">
      <c r="A825" s="820">
        <v>821</v>
      </c>
      <c r="B825" s="1069" t="str">
        <f t="shared" si="12"/>
        <v>Flat-rolled products of iron or non-alloy steel, of a width of &gt;= 600 mm, not in coils, simply cold-rolled "cold-reduced", not clad, plated or coated, of a thickness of &gt;= 3 mm</v>
      </c>
      <c r="C825" s="1069" t="s">
        <v>1024</v>
      </c>
      <c r="D825" s="822"/>
      <c r="E825" s="822"/>
      <c r="F825" s="822"/>
      <c r="G825" s="822"/>
      <c r="H825" s="822"/>
    </row>
    <row r="826" spans="1:8" ht="12" x14ac:dyDescent="0.3">
      <c r="A826" s="820">
        <v>822</v>
      </c>
      <c r="B826" s="1069" t="str">
        <f t="shared" si="12"/>
        <v>Flat-rolled products of iron or non-alloy steel, of a width of &gt;= 600 mm, not in coils, simply cold-rolled "cold-reduced", not clad, plated or coated, of a thickness of &gt; 1 mm but &lt; 3 mm</v>
      </c>
      <c r="C826" s="1069" t="s">
        <v>1026</v>
      </c>
      <c r="D826" s="822"/>
      <c r="E826" s="822"/>
      <c r="F826" s="822"/>
      <c r="G826" s="822"/>
      <c r="H826" s="822"/>
    </row>
    <row r="827" spans="1:8" ht="12" x14ac:dyDescent="0.3">
      <c r="A827" s="820">
        <v>823</v>
      </c>
      <c r="B827" s="1069" t="str">
        <f t="shared" si="12"/>
        <v>Flat-rolled products of iron or non-alloy steel, of a width of &gt;= 600 mm, not in coils, simply cold-rolled "cold-reduced", of a thickness of &gt; 1 mm but &lt; 3 mm "electrical"</v>
      </c>
      <c r="C827" s="1069" t="s">
        <v>1029</v>
      </c>
      <c r="D827" s="822"/>
      <c r="E827" s="822"/>
      <c r="F827" s="822"/>
      <c r="G827" s="822"/>
      <c r="H827" s="822"/>
    </row>
    <row r="828" spans="1:8" ht="12" x14ac:dyDescent="0.3">
      <c r="A828" s="820">
        <v>824</v>
      </c>
      <c r="B828" s="1069" t="str">
        <f t="shared" si="12"/>
        <v>Flat-rolled products of iron or non-alloy steel, of a width of &gt;= 600 mm, not in coils, simply cold-rolled "cold-reduced", not clad, plated or coated, of a thickness of &gt; 1 mm but &lt; 3 mm (excl. electrical)</v>
      </c>
      <c r="C828" s="1069" t="s">
        <v>1032</v>
      </c>
      <c r="D828" s="822"/>
      <c r="E828" s="822"/>
      <c r="F828" s="822"/>
      <c r="G828" s="822"/>
      <c r="H828" s="822"/>
    </row>
    <row r="829" spans="1:8" ht="12" x14ac:dyDescent="0.3">
      <c r="A829" s="820">
        <v>825</v>
      </c>
      <c r="B829" s="1069" t="str">
        <f t="shared" si="12"/>
        <v>Flat-rolled products of iron or non-alloy steel, of a width of &gt;= 600 mm, not in coils, simply cold-rolled "cold-reduced", not clad, plated or coated, of a thickness of &gt;= 0,5 mm but &lt;= 1 mm</v>
      </c>
      <c r="C829" s="1069" t="s">
        <v>1034</v>
      </c>
      <c r="D829" s="822"/>
      <c r="E829" s="822"/>
      <c r="F829" s="822"/>
      <c r="G829" s="822"/>
      <c r="H829" s="822"/>
    </row>
    <row r="830" spans="1:8" ht="12" x14ac:dyDescent="0.3">
      <c r="A830" s="820">
        <v>826</v>
      </c>
      <c r="B830" s="1069" t="str">
        <f t="shared" si="12"/>
        <v>Flat-rolled products of iron or non-alloy steel, of a width of &gt;= 600 mm, not in coils, simply cold-rolled "cold-reduced", of a thickness of &gt;= 0,5 mm but &lt;= 1 mm "electrical"</v>
      </c>
      <c r="C830" s="1069" t="s">
        <v>1037</v>
      </c>
      <c r="D830" s="822"/>
      <c r="E830" s="822"/>
      <c r="F830" s="822"/>
      <c r="G830" s="822"/>
      <c r="H830" s="822"/>
    </row>
    <row r="831" spans="1:8" ht="12" x14ac:dyDescent="0.3">
      <c r="A831" s="820">
        <v>827</v>
      </c>
      <c r="B831" s="1069" t="str">
        <f t="shared" si="12"/>
        <v>Flat-rolled products of iron or non-alloy steel, of a width of &gt;= 600 mm, not in coils, simply cold-rolled "cold-reduced", not clad, plated or coated, of a thickness of &gt;= 0,5 mm but &lt;= 1 mm (excl. electrical)</v>
      </c>
      <c r="C831" s="1069" t="s">
        <v>1040</v>
      </c>
      <c r="D831" s="822"/>
      <c r="E831" s="822"/>
      <c r="F831" s="822"/>
      <c r="G831" s="822"/>
      <c r="H831" s="822"/>
    </row>
    <row r="832" spans="1:8" ht="12" x14ac:dyDescent="0.3">
      <c r="A832" s="820">
        <v>828</v>
      </c>
      <c r="B832" s="1069" t="str">
        <f t="shared" si="12"/>
        <v>Flat-rolled products of iron or non-alloy steel, of a width of &gt;= 600 mm, not in coils, simply cold-rolled "cold-reduced", not clad, plated or coated, of a thickness of &lt; 0,5 mm</v>
      </c>
      <c r="C832" s="1069" t="s">
        <v>1042</v>
      </c>
      <c r="D832" s="822"/>
      <c r="E832" s="822"/>
      <c r="F832" s="822"/>
      <c r="G832" s="822"/>
      <c r="H832" s="822"/>
    </row>
    <row r="833" spans="1:8" ht="12" x14ac:dyDescent="0.3">
      <c r="A833" s="820">
        <v>829</v>
      </c>
      <c r="B833" s="1069" t="str">
        <f t="shared" si="12"/>
        <v>Flat-rolled products of iron or non-alloy steel, of a width of &gt;= 600 mm, not in coils, simply cold-rolled "cold-reduced", of a thickness of &lt; 0,5 mm "electrical"</v>
      </c>
      <c r="C833" s="1069" t="s">
        <v>1045</v>
      </c>
      <c r="D833" s="822"/>
      <c r="E833" s="822"/>
      <c r="F833" s="822"/>
      <c r="G833" s="822"/>
      <c r="H833" s="822"/>
    </row>
    <row r="834" spans="1:8" ht="12" x14ac:dyDescent="0.3">
      <c r="A834" s="820">
        <v>830</v>
      </c>
      <c r="B834" s="1069" t="str">
        <f t="shared" si="12"/>
        <v>Flat-rolled products of iron or non-alloy steel, of a width of &gt;= 600 mm, not in coils, simply cold-rolled "cold-reduced", not clad, plated or coated, of a thickness of &lt; 0,5 mm (excl. electrical)</v>
      </c>
      <c r="C834" s="1069" t="s">
        <v>1048</v>
      </c>
      <c r="D834" s="822"/>
      <c r="E834" s="822"/>
      <c r="F834" s="822"/>
      <c r="G834" s="822"/>
      <c r="H834" s="822"/>
    </row>
    <row r="835" spans="1:8" ht="12" x14ac:dyDescent="0.3">
      <c r="A835" s="820">
        <v>831</v>
      </c>
      <c r="B835" s="1069" t="str">
        <f t="shared" si="12"/>
        <v>Flat-rolled products of iron or steel, of a width of &gt;= 600 mm, cold-rolled "cold-reduced", and further worked, but not clad, plated or coated</v>
      </c>
      <c r="C835" s="1069" t="s">
        <v>1050</v>
      </c>
      <c r="D835" s="822"/>
      <c r="E835" s="822"/>
      <c r="F835" s="822"/>
      <c r="G835" s="822"/>
      <c r="H835" s="822"/>
    </row>
    <row r="836" spans="1:8" ht="12" x14ac:dyDescent="0.3">
      <c r="A836" s="820">
        <v>832</v>
      </c>
      <c r="B836" s="1069" t="str">
        <f t="shared" si="12"/>
        <v>Flat-rolled products of iron or steel, of a width of &gt;= 600 mm, cold-rolled "cold-reduced" and further worked, but not clad, plated or coated, perforated</v>
      </c>
      <c r="C836" s="1069" t="s">
        <v>1053</v>
      </c>
      <c r="D836" s="822"/>
      <c r="E836" s="822"/>
      <c r="F836" s="822"/>
      <c r="G836" s="822"/>
      <c r="H836" s="822"/>
    </row>
    <row r="837" spans="1:8" ht="12" x14ac:dyDescent="0.3">
      <c r="A837" s="820">
        <v>833</v>
      </c>
      <c r="B837" s="1069" t="str">
        <f t="shared" si="12"/>
        <v>Flat-rolled products of iron or steel, of a width of &gt;= 600 mm, cold-rolled "cold-reduced" and further worked, but not clad, plated or coated, non-perforated</v>
      </c>
      <c r="C837" s="1069" t="s">
        <v>1056</v>
      </c>
      <c r="D837" s="822"/>
      <c r="E837" s="822"/>
      <c r="F837" s="822"/>
      <c r="G837" s="822"/>
      <c r="H837" s="822"/>
    </row>
    <row r="838" spans="1:8" ht="12" x14ac:dyDescent="0.3">
      <c r="A838" s="820">
        <v>834</v>
      </c>
      <c r="B838" s="1069" t="str">
        <f t="shared" ref="B838:B901" si="13">IFERROR(INDEX(C838:M838,$A$3-2),$C838)</f>
        <v>Flat-rolled products of iron or non-alloy steel, of a width &gt;= 600 mm, hot-rolled or cold-rolled "cold-reduced", clad, plated or coated</v>
      </c>
      <c r="C838" s="1069" t="s">
        <v>1057</v>
      </c>
      <c r="D838" s="822"/>
      <c r="E838" s="822"/>
      <c r="F838" s="822"/>
      <c r="G838" s="822"/>
      <c r="H838" s="822"/>
    </row>
    <row r="839" spans="1:8" ht="12" x14ac:dyDescent="0.3">
      <c r="A839" s="820">
        <v>835</v>
      </c>
      <c r="B839" s="1069" t="str">
        <f t="shared" si="13"/>
        <v>Flat-rolled products of iron or non-alloy steel, of a width of &gt;= 600 mm, hot-rolled or cold-rolled "cold-reduced", tinned, of a thickness of &gt;= 0,5 mm</v>
      </c>
      <c r="C839" s="1069" t="s">
        <v>1060</v>
      </c>
      <c r="D839" s="822"/>
      <c r="E839" s="822"/>
      <c r="F839" s="822"/>
      <c r="G839" s="822"/>
      <c r="H839" s="822"/>
    </row>
    <row r="840" spans="1:8" ht="12" x14ac:dyDescent="0.3">
      <c r="A840" s="820">
        <v>836</v>
      </c>
      <c r="B840" s="1069" t="str">
        <f t="shared" si="13"/>
        <v>Flat-rolled products of iron or non-alloy steel, of a width of &gt;= 600 mm, hot-rolled or cold-rolled "cold-reduced", tinned, of a thickness of &lt; 0,5 mm</v>
      </c>
      <c r="C840" s="1069" t="s">
        <v>1062</v>
      </c>
      <c r="D840" s="822"/>
      <c r="E840" s="822"/>
      <c r="F840" s="822"/>
      <c r="G840" s="822"/>
      <c r="H840" s="822"/>
    </row>
    <row r="841" spans="1:8" ht="12" x14ac:dyDescent="0.3">
      <c r="A841" s="820">
        <v>837</v>
      </c>
      <c r="B841" s="1069" t="str">
        <f t="shared" si="13"/>
        <v>Tinplate of iron or non-alloy steel, of a width of &gt;= 600 mm and of a thickness of &lt; 0,5 mm, tinned [coated with a layer of metal containing, by weight,  &gt;= 97% of tin], not further worked than surface-treated</v>
      </c>
      <c r="C841" s="1069" t="s">
        <v>1065</v>
      </c>
      <c r="D841" s="822"/>
      <c r="E841" s="822"/>
      <c r="F841" s="822"/>
      <c r="G841" s="822"/>
      <c r="H841" s="822"/>
    </row>
    <row r="842" spans="1:8" ht="12" x14ac:dyDescent="0.3">
      <c r="A842" s="820">
        <v>838</v>
      </c>
      <c r="B842" s="1069" t="str">
        <f t="shared" si="13"/>
        <v>Flat-rolled products of iron or non-alloy steel, of a width of &gt;= 600 mm, hot-rolled or cold-rolled "cold-reduced", plated or coated with tin, of a thickness of &lt; 0,5 mm (excl. tinplate)</v>
      </c>
      <c r="C842" s="1069" t="s">
        <v>1068</v>
      </c>
      <c r="D842" s="822"/>
      <c r="E842" s="822"/>
      <c r="F842" s="822"/>
      <c r="G842" s="822"/>
      <c r="H842" s="822"/>
    </row>
    <row r="843" spans="1:8" ht="12" x14ac:dyDescent="0.3">
      <c r="A843" s="820">
        <v>839</v>
      </c>
      <c r="B843" s="1069" t="str">
        <f t="shared" si="13"/>
        <v>Flat-rolled products of iron or non-alloy steel, of a width of &gt;= 600 mm, hot-rolled or cold-rolled "cold-reduced", plated or coated with lead, incl. terne-plate</v>
      </c>
      <c r="C843" s="1069" t="s">
        <v>1071</v>
      </c>
      <c r="D843" s="822"/>
      <c r="E843" s="822"/>
      <c r="F843" s="822"/>
      <c r="G843" s="822"/>
      <c r="H843" s="822"/>
    </row>
    <row r="844" spans="1:8" ht="12" x14ac:dyDescent="0.3">
      <c r="A844" s="820">
        <v>840</v>
      </c>
      <c r="B844" s="1069" t="str">
        <f t="shared" si="13"/>
        <v>Flat-rolled products of iron or non-alloy steel, of a width of &gt;= 600 mm, hot-rolled or cold-rolled "cold-reduced", electrolytically plated or coated with zinc</v>
      </c>
      <c r="C844" s="1069" t="s">
        <v>1074</v>
      </c>
      <c r="D844" s="822"/>
      <c r="E844" s="822"/>
      <c r="F844" s="822"/>
      <c r="G844" s="822"/>
      <c r="H844" s="822"/>
    </row>
    <row r="845" spans="1:8" ht="12" x14ac:dyDescent="0.3">
      <c r="A845" s="820">
        <v>841</v>
      </c>
      <c r="B845" s="1069" t="str">
        <f t="shared" si="13"/>
        <v>Flat-rolled products of iron or non-alloy steel, of a width of &gt;= 600 mm, hot-rolled or cold-rolled "cold-reduced", corrugated, plated or coated with zinc (excl. electrolytically plated or coated with zinc)</v>
      </c>
      <c r="C845" s="1069" t="s">
        <v>1077</v>
      </c>
      <c r="D845" s="822"/>
      <c r="E845" s="822"/>
      <c r="F845" s="822"/>
      <c r="G845" s="822"/>
      <c r="H845" s="822"/>
    </row>
    <row r="846" spans="1:8" ht="12" x14ac:dyDescent="0.3">
      <c r="A846" s="820">
        <v>842</v>
      </c>
      <c r="B846" s="1069" t="str">
        <f t="shared" si="13"/>
        <v>Flat-rolled products of iron or non-alloy steel, of a width of &gt;= 600 mm, hot-rolled or cold-rolled "cold-reduced", not corrugated, plated or coated with zinc (excl. electrolytically plated or coated with zinc)</v>
      </c>
      <c r="C846" s="1069" t="s">
        <v>1080</v>
      </c>
      <c r="D846" s="822"/>
      <c r="E846" s="822"/>
      <c r="F846" s="822"/>
      <c r="G846" s="822"/>
      <c r="H846" s="822"/>
    </row>
    <row r="847" spans="1:8" ht="12" x14ac:dyDescent="0.3">
      <c r="A847" s="820">
        <v>843</v>
      </c>
      <c r="B847" s="1069" t="str">
        <f t="shared" si="13"/>
        <v>Flat-rolled products of iron or non-alloy steel, of a width of &gt;= 600 mm, hot-rolled or cold-rolled "cold-reduced", plated or coated with chromium oxides or with chromium and chromium oxides</v>
      </c>
      <c r="C847" s="1069" t="s">
        <v>1083</v>
      </c>
      <c r="D847" s="822"/>
      <c r="E847" s="822"/>
      <c r="F847" s="822"/>
      <c r="G847" s="822"/>
      <c r="H847" s="822"/>
    </row>
    <row r="848" spans="1:8" ht="12" x14ac:dyDescent="0.3">
      <c r="A848" s="820">
        <v>844</v>
      </c>
      <c r="B848" s="1069" t="str">
        <f t="shared" si="13"/>
        <v>Flat-rolled products of iron or non-alloy steel, of a width of &gt;= 600 mm, hot-rolled or cold-rolled "cold-reduced", plated or coated with aluminium-zinc alloys</v>
      </c>
      <c r="C848" s="1069" t="s">
        <v>1086</v>
      </c>
      <c r="D848" s="822"/>
      <c r="E848" s="822"/>
      <c r="F848" s="822"/>
      <c r="G848" s="822"/>
      <c r="H848" s="822"/>
    </row>
    <row r="849" spans="1:8" ht="12" x14ac:dyDescent="0.3">
      <c r="A849" s="820">
        <v>845</v>
      </c>
      <c r="B849" s="1069" t="str">
        <f t="shared" si="13"/>
        <v>Flat-rolled products of iron or non-alloy steel, of a width of &gt;= 600 mm, hot-rolled or cold-rolled "cold-reduced", plated or coated with aluminium (excl. products plated or coated with aluminium-zinc alloys)</v>
      </c>
      <c r="C849" s="1069" t="s">
        <v>1089</v>
      </c>
      <c r="D849" s="822"/>
      <c r="E849" s="822"/>
      <c r="F849" s="822"/>
      <c r="G849" s="822"/>
      <c r="H849" s="822"/>
    </row>
    <row r="850" spans="1:8" ht="12" x14ac:dyDescent="0.3">
      <c r="A850" s="820">
        <v>846</v>
      </c>
      <c r="B850" s="1069" t="str">
        <f t="shared" si="13"/>
        <v>Flat products of iron or non-alloy steel, of a width of &gt;= 600 mm, hot-rolled or cold-rolled "cold-reduced", painted, varnished or coated with plastics</v>
      </c>
      <c r="C850" s="1069" t="s">
        <v>1091</v>
      </c>
      <c r="D850" s="822"/>
      <c r="E850" s="822"/>
      <c r="F850" s="822"/>
      <c r="G850" s="822"/>
      <c r="H850" s="822"/>
    </row>
    <row r="851" spans="1:8" ht="12" x14ac:dyDescent="0.3">
      <c r="A851" s="820">
        <v>847</v>
      </c>
      <c r="B851" s="1069" t="str">
        <f t="shared" si="13"/>
        <v>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v>
      </c>
      <c r="C851" s="1069" t="s">
        <v>1094</v>
      </c>
      <c r="D851" s="822"/>
      <c r="E851" s="822"/>
      <c r="F851" s="822"/>
      <c r="G851" s="822"/>
      <c r="H851" s="822"/>
    </row>
    <row r="852" spans="1:8" ht="12" x14ac:dyDescent="0.3">
      <c r="A852" s="820">
        <v>848</v>
      </c>
      <c r="B852" s="1069" t="str">
        <f t="shared" si="13"/>
        <v>Flat-rolled products of iron or non-alloy steel, of a width of &gt;= 600 mm, hot-rolled or cold-rolled "cold-reduced", painted, varnished or plastic coated (excl. tinplate and products electrolytically plated or coated with chrome, varnished)</v>
      </c>
      <c r="C852" s="1069" t="s">
        <v>1097</v>
      </c>
      <c r="D852" s="822"/>
      <c r="E852" s="822"/>
      <c r="F852" s="822"/>
      <c r="G852" s="822"/>
      <c r="H852" s="822"/>
    </row>
    <row r="853" spans="1:8" ht="12" x14ac:dyDescent="0.3">
      <c r="A853" s="820">
        <v>849</v>
      </c>
      <c r="B853" s="1069" t="str">
        <f t="shared" si="13"/>
        <v>Flat-rolled products of iron or non-alloy steel, of a width of &gt;= 600 mm, hot-rolled or cold-rolled "cold-reduced", clad, plated or coated (excl. tinned, plated or coated with lead, zinc, chromium oxides, chromium and chromium oxides, or aluminium, painted, varnished or coated with plastics)</v>
      </c>
      <c r="C853" s="1069" t="s">
        <v>1099</v>
      </c>
      <c r="D853" s="822"/>
      <c r="E853" s="822"/>
      <c r="F853" s="822"/>
      <c r="G853" s="822"/>
      <c r="H853" s="822"/>
    </row>
    <row r="854" spans="1:8" ht="12" x14ac:dyDescent="0.3">
      <c r="A854" s="820">
        <v>850</v>
      </c>
      <c r="B854" s="1069" t="str">
        <f t="shared" si="13"/>
        <v>Flat-rolled products of iron or non-alloy steel, of a width of &gt;= 600 mm, hot-rolled or cold-rolled "cold-reduced", clad</v>
      </c>
      <c r="C854" s="1069" t="s">
        <v>1102</v>
      </c>
      <c r="D854" s="822"/>
      <c r="E854" s="822"/>
      <c r="F854" s="822"/>
      <c r="G854" s="822"/>
      <c r="H854" s="822"/>
    </row>
    <row r="855" spans="1:8" ht="12" x14ac:dyDescent="0.3">
      <c r="A855" s="820">
        <v>851</v>
      </c>
      <c r="B855" s="1069" t="str">
        <f t="shared" si="13"/>
        <v>Flat-rolled products of iron or non-alloy steel, tinned and printed, of a width of &gt;= 600 mm, hot-rolled or cold-rolled "cold-reduced"</v>
      </c>
      <c r="C855" s="1069" t="s">
        <v>1105</v>
      </c>
      <c r="D855" s="822"/>
      <c r="E855" s="822"/>
      <c r="F855" s="822"/>
      <c r="G855" s="822"/>
      <c r="H855" s="822"/>
    </row>
    <row r="856" spans="1:8" ht="12" x14ac:dyDescent="0.3">
      <c r="A856" s="820">
        <v>852</v>
      </c>
      <c r="B856" s="1069" t="str">
        <f t="shared" si="13"/>
        <v>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v>
      </c>
      <c r="C856" s="1069" t="s">
        <v>1108</v>
      </c>
      <c r="D856" s="822"/>
      <c r="E856" s="822"/>
      <c r="F856" s="822"/>
      <c r="G856" s="822"/>
      <c r="H856" s="822"/>
    </row>
    <row r="857" spans="1:8" ht="12" x14ac:dyDescent="0.3">
      <c r="A857" s="820">
        <v>853</v>
      </c>
      <c r="B857" s="1069" t="str">
        <f t="shared" si="13"/>
        <v>Flat-rolled products of iron or non-alloy steel, of a width of &lt; 600 mm, hot-rolled or cold-rolled "cold-reduced", not clad, plated or coated</v>
      </c>
      <c r="C857" s="1069" t="s">
        <v>1110</v>
      </c>
      <c r="D857" s="822"/>
      <c r="E857" s="822"/>
      <c r="F857" s="822"/>
      <c r="G857" s="822"/>
      <c r="H857" s="822"/>
    </row>
    <row r="858" spans="1:8" ht="12" x14ac:dyDescent="0.3">
      <c r="A858" s="820">
        <v>854</v>
      </c>
      <c r="B858" s="1069" t="str">
        <f t="shared" si="13"/>
        <v>Flat-rolled products of iron or non-alloy steel, simply hot-rolled on four faces or in a closed box pass, not clad, plated or coated, of a width of &gt; 150 mm but &lt; 600 mm and a thickness of &gt;= 4 mm, not in coils, without patterns in relief, commonly known as "wide flats"</v>
      </c>
      <c r="C858" s="1069" t="s">
        <v>1113</v>
      </c>
      <c r="D858" s="822"/>
      <c r="E858" s="822"/>
      <c r="F858" s="822"/>
      <c r="G858" s="822"/>
      <c r="H858" s="822"/>
    </row>
    <row r="859" spans="1:8" ht="12" x14ac:dyDescent="0.3">
      <c r="A859" s="820">
        <v>855</v>
      </c>
      <c r="B859" s="1069" t="str">
        <f t="shared" si="13"/>
        <v>Flat-rolled products of iron or non-alloy steel, of a width &lt; 600 mm, not further worked than hot-rolled, not clad, plated or coated, of a thickness of &gt;= 4,75 mm (excl. "wide flats")</v>
      </c>
      <c r="C859" s="1069" t="s">
        <v>1116</v>
      </c>
      <c r="D859" s="822"/>
      <c r="E859" s="822"/>
      <c r="F859" s="822"/>
      <c r="G859" s="822"/>
      <c r="H859" s="822"/>
    </row>
    <row r="860" spans="1:8" ht="12" x14ac:dyDescent="0.3">
      <c r="A860" s="820">
        <v>856</v>
      </c>
      <c r="B860" s="1069" t="str">
        <f t="shared" si="13"/>
        <v>Flat-rolled products of iron or non-alloy steel, of a width &lt; 600 mm, simply hot-rolled, not clad, plated or coated, of a thickness &lt; 4,75 mm (excl. "wide flats")</v>
      </c>
      <c r="C860" s="1069" t="s">
        <v>1119</v>
      </c>
      <c r="D860" s="822"/>
      <c r="E860" s="822"/>
      <c r="F860" s="822"/>
      <c r="G860" s="822"/>
      <c r="H860" s="822"/>
    </row>
    <row r="861" spans="1:8" ht="12" x14ac:dyDescent="0.3">
      <c r="A861" s="820">
        <v>857</v>
      </c>
      <c r="B861" s="1069" t="str">
        <f t="shared" si="13"/>
        <v>Flat-rolled products of iron or non-alloy steel, of a width of &lt; 600 mm, simply cold-rolled "cold-reduced", not clad, plated or coated, containing by weight &lt; 0,25% of carbon</v>
      </c>
      <c r="C861" s="1069" t="s">
        <v>1121</v>
      </c>
      <c r="D861" s="822"/>
      <c r="E861" s="822"/>
      <c r="F861" s="822"/>
      <c r="G861" s="822"/>
      <c r="H861" s="822"/>
    </row>
    <row r="862" spans="1:8" ht="12" x14ac:dyDescent="0.3">
      <c r="A862" s="820">
        <v>858</v>
      </c>
      <c r="B862" s="1069" t="str">
        <f t="shared" si="13"/>
        <v>Flat-rolled products of iron or non-alloy steel, of a width of &lt; 600 mm, simply cold-rolled "cold-reduced", not clad, plated or coated, containing by weight &lt; 0,25% of carbon "electrical"</v>
      </c>
      <c r="C862" s="1069" t="s">
        <v>1124</v>
      </c>
      <c r="D862" s="822"/>
      <c r="E862" s="822"/>
      <c r="F862" s="822"/>
      <c r="G862" s="822"/>
      <c r="H862" s="822"/>
    </row>
    <row r="863" spans="1:8" ht="12" x14ac:dyDescent="0.3">
      <c r="A863" s="820">
        <v>859</v>
      </c>
      <c r="B863" s="1069" t="str">
        <f t="shared" si="13"/>
        <v>Flat-rolled products of iron or non-alloy steel, of a width of &lt; 600 mm and of a thickness of &gt;= 0,35 mm, simply cold-rolled "cold-reduced", not clad, plated or coated, containing by weight &lt; 0,25% of carbon (excl. electrical plate)</v>
      </c>
      <c r="C863" s="1069" t="s">
        <v>1127</v>
      </c>
      <c r="D863" s="822"/>
      <c r="E863" s="822"/>
      <c r="F863" s="822"/>
      <c r="G863" s="822"/>
      <c r="H863" s="822"/>
    </row>
    <row r="864" spans="1:8" ht="12" x14ac:dyDescent="0.3">
      <c r="A864" s="820">
        <v>860</v>
      </c>
      <c r="B864" s="1069" t="str">
        <f t="shared" si="13"/>
        <v>Flat-rolled products of iron or non-alloy steel, of a width of &lt; 600 mm and of a thickness of &lt; 0,35 mm, simply cold-rolled "cold-reduced", not clad, plated or coated, containing by weight &lt; 0,25% of carbon (excl. electrical plate)</v>
      </c>
      <c r="C864" s="1069" t="s">
        <v>1130</v>
      </c>
      <c r="D864" s="822"/>
      <c r="E864" s="822"/>
      <c r="F864" s="822"/>
      <c r="G864" s="822"/>
      <c r="H864" s="822"/>
    </row>
    <row r="865" spans="1:8" ht="12" x14ac:dyDescent="0.3">
      <c r="A865" s="820">
        <v>861</v>
      </c>
      <c r="B865" s="1069" t="str">
        <f t="shared" si="13"/>
        <v>Flat-rolled products of iron or non-alloy steel, of a width of &lt; 600 mm, simply cold-rolled "cold-reduced", not clad, plated or coated, containing by weight &gt;= 0,25% of carbon</v>
      </c>
      <c r="C865" s="1069" t="s">
        <v>1133</v>
      </c>
      <c r="D865" s="822"/>
      <c r="E865" s="822"/>
      <c r="F865" s="822"/>
      <c r="G865" s="822"/>
      <c r="H865" s="822"/>
    </row>
    <row r="866" spans="1:8" ht="12" x14ac:dyDescent="0.3">
      <c r="A866" s="820">
        <v>862</v>
      </c>
      <c r="B866" s="1069" t="str">
        <f t="shared" si="13"/>
        <v>Flat-rolled products of iron or non-alloy steel, of a width of &lt; 600 mm, hot-rolled or cold-rolled "cold-reduced" and further worked, but not clad, plated or coated</v>
      </c>
      <c r="C866" s="1069" t="s">
        <v>1135</v>
      </c>
      <c r="D866" s="822"/>
      <c r="E866" s="822"/>
      <c r="F866" s="822"/>
      <c r="G866" s="822"/>
      <c r="H866" s="822"/>
    </row>
    <row r="867" spans="1:8" ht="12" x14ac:dyDescent="0.3">
      <c r="A867" s="820">
        <v>863</v>
      </c>
      <c r="B867" s="1069" t="str">
        <f t="shared" si="13"/>
        <v>Flat-rolled products of iron or non-alloy steel, of a width of &lt; 600 mm, hot-rolled or cold-rolled "cold-reduced" and further worked, but not clad, plated or coated, perforated</v>
      </c>
      <c r="C867" s="1069" t="s">
        <v>1138</v>
      </c>
      <c r="D867" s="822"/>
      <c r="E867" s="822"/>
      <c r="F867" s="822"/>
      <c r="G867" s="822"/>
      <c r="H867" s="822"/>
    </row>
    <row r="868" spans="1:8" ht="12" x14ac:dyDescent="0.3">
      <c r="A868" s="820">
        <v>864</v>
      </c>
      <c r="B868" s="1069" t="str">
        <f t="shared" si="13"/>
        <v>Flat-rolled products of iron or non-alloy steel, of a width of &lt; 600 mm, hot-rolled or cold-rolled "cold-reduced" and further worked, but not clad, plated or coatednon-perforated</v>
      </c>
      <c r="C868" s="1069" t="s">
        <v>1141</v>
      </c>
      <c r="D868" s="822"/>
      <c r="E868" s="822"/>
      <c r="F868" s="822"/>
      <c r="G868" s="822"/>
      <c r="H868" s="822"/>
    </row>
    <row r="869" spans="1:8" ht="12" x14ac:dyDescent="0.3">
      <c r="A869" s="820">
        <v>865</v>
      </c>
      <c r="B869" s="1069" t="str">
        <f t="shared" si="13"/>
        <v>Flat-rolled products of iron or non-alloy steel, of a width of &lt; 600 mm, hot-rolled or cold-rolled "cold-reduced", clad, plated or coated</v>
      </c>
      <c r="C869" s="1069" t="s">
        <v>1143</v>
      </c>
      <c r="D869" s="822"/>
      <c r="E869" s="822"/>
      <c r="F869" s="822"/>
      <c r="G869" s="822"/>
      <c r="H869" s="822"/>
    </row>
    <row r="870" spans="1:8" ht="12" x14ac:dyDescent="0.3">
      <c r="A870" s="820">
        <v>866</v>
      </c>
      <c r="B870" s="1069" t="str">
        <f t="shared" si="13"/>
        <v>Flat-rolled products of iron or non-alloy steel, of a width of &lt; 600 mm, hot-rolled or cold-rolled "cold-reduced", tinned</v>
      </c>
      <c r="C870" s="1069" t="s">
        <v>1145</v>
      </c>
      <c r="D870" s="822"/>
      <c r="E870" s="822"/>
      <c r="F870" s="822"/>
      <c r="G870" s="822"/>
      <c r="H870" s="822"/>
    </row>
    <row r="871" spans="1:8" ht="12" x14ac:dyDescent="0.3">
      <c r="A871" s="820">
        <v>867</v>
      </c>
      <c r="B871" s="1069" t="str">
        <f t="shared" si="13"/>
        <v>Tinplate of iron or non-alloy steel, of a width of &lt; 600 mm and of a thickness of &lt; 0,5 mm, tinned [coated with a layer of metal containing, by weight,  &gt;= 97% of tin], not further worked than surface-treated</v>
      </c>
      <c r="C871" s="1069" t="s">
        <v>1148</v>
      </c>
      <c r="D871" s="822"/>
      <c r="E871" s="822"/>
      <c r="F871" s="822"/>
      <c r="G871" s="822"/>
      <c r="H871" s="822"/>
    </row>
    <row r="872" spans="1:8" ht="12" x14ac:dyDescent="0.3">
      <c r="A872" s="820">
        <v>868</v>
      </c>
      <c r="B872" s="1069" t="str">
        <f t="shared" si="13"/>
        <v>Flat-rolled products of iron or non-alloy steel, hot-rolled or cold-rolled "cold-reduced", of a width of &lt; 600 mm, tinned (excl. tinplate, not further worked than surface-treated)</v>
      </c>
      <c r="C872" s="1069" t="s">
        <v>1151</v>
      </c>
      <c r="D872" s="822"/>
      <c r="E872" s="822"/>
      <c r="F872" s="822"/>
      <c r="G872" s="822"/>
      <c r="H872" s="822"/>
    </row>
    <row r="873" spans="1:8" ht="12" x14ac:dyDescent="0.3">
      <c r="A873" s="820">
        <v>869</v>
      </c>
      <c r="B873" s="1069" t="str">
        <f t="shared" si="13"/>
        <v>Flat-rolled products of iron or non-alloy steel, of a width of &lt; 600 mm, hot-rolled or cold-rolled "cold-reduced", electrolytically plated or coated with zinc</v>
      </c>
      <c r="C873" s="1069" t="s">
        <v>1154</v>
      </c>
      <c r="D873" s="822"/>
      <c r="E873" s="822"/>
      <c r="F873" s="822"/>
      <c r="G873" s="822"/>
      <c r="H873" s="822"/>
    </row>
    <row r="874" spans="1:8" ht="12" x14ac:dyDescent="0.3">
      <c r="A874" s="820">
        <v>870</v>
      </c>
      <c r="B874" s="1069" t="str">
        <f t="shared" si="13"/>
        <v>Flat-rolled products of iron or non-alloy steel, of a width of &lt; 600 mm, hot-rolled or cold-rolled "cold-reduced", tinned (excl. electrolytically plated or coated with zinc)</v>
      </c>
      <c r="C874" s="1069" t="s">
        <v>1157</v>
      </c>
      <c r="D874" s="822"/>
      <c r="E874" s="822"/>
      <c r="F874" s="822"/>
      <c r="G874" s="822"/>
      <c r="H874" s="822"/>
    </row>
    <row r="875" spans="1:8" ht="12" x14ac:dyDescent="0.3">
      <c r="A875" s="820">
        <v>871</v>
      </c>
      <c r="B875" s="1069" t="str">
        <f t="shared" si="13"/>
        <v>Flat-rolled products of iron or non-alloy steel, of a width of &lt; 600 mm, hot-rolled or cold-rolled "cold-reduced", painted, varnished or coated with plastics</v>
      </c>
      <c r="C875" s="1069" t="s">
        <v>1159</v>
      </c>
      <c r="D875" s="822"/>
      <c r="E875" s="822"/>
      <c r="F875" s="822"/>
      <c r="G875" s="822"/>
      <c r="H875" s="822"/>
    </row>
    <row r="876" spans="1:8" ht="12" x14ac:dyDescent="0.3">
      <c r="A876" s="820">
        <v>872</v>
      </c>
      <c r="B876" s="1069" t="str">
        <f t="shared" si="13"/>
        <v>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v>
      </c>
      <c r="C876" s="1069" t="s">
        <v>1162</v>
      </c>
      <c r="D876" s="822"/>
      <c r="E876" s="822"/>
      <c r="F876" s="822"/>
      <c r="G876" s="822"/>
      <c r="H876" s="822"/>
    </row>
    <row r="877" spans="1:8" ht="12" x14ac:dyDescent="0.3">
      <c r="A877" s="820">
        <v>873</v>
      </c>
      <c r="B877" s="1069" t="str">
        <f t="shared" si="13"/>
        <v>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v>
      </c>
      <c r="C877" s="1069" t="s">
        <v>1165</v>
      </c>
      <c r="D877" s="822"/>
      <c r="E877" s="822"/>
      <c r="F877" s="822"/>
      <c r="G877" s="822"/>
      <c r="H877" s="822"/>
    </row>
    <row r="878" spans="1:8" ht="12" x14ac:dyDescent="0.3">
      <c r="A878" s="820">
        <v>874</v>
      </c>
      <c r="B878" s="1069" t="str">
        <f t="shared" si="13"/>
        <v>Flat-rolled products of iron or non-alloy steel, of a width of &lt; 600 mm, hot-rolled or cold-rolled "cold-reduced", plated or coated (excl. tinned, plated or coated with zinc, painted, varnished or coated with plastics)</v>
      </c>
      <c r="C878" s="1069" t="s">
        <v>1167</v>
      </c>
      <c r="D878" s="822"/>
      <c r="E878" s="822"/>
      <c r="F878" s="822"/>
      <c r="G878" s="822"/>
      <c r="H878" s="822"/>
    </row>
    <row r="879" spans="1:8" ht="12" x14ac:dyDescent="0.3">
      <c r="A879" s="820">
        <v>875</v>
      </c>
      <c r="B879" s="1069" t="str">
        <f t="shared" si="13"/>
        <v>Flat-rolled products of iron or non-alloy steel, of a width of &lt; 600 mm, hot-rolled or cold-rolled "cold-reduced", plated or coated with chromium oxides or with chromium and chromium oxides (excl. varnished)</v>
      </c>
      <c r="C879" s="1069" t="s">
        <v>1170</v>
      </c>
      <c r="D879" s="822"/>
      <c r="E879" s="822"/>
      <c r="F879" s="822"/>
      <c r="G879" s="822"/>
      <c r="H879" s="822"/>
    </row>
    <row r="880" spans="1:8" ht="12" x14ac:dyDescent="0.3">
      <c r="A880" s="820">
        <v>876</v>
      </c>
      <c r="B880" s="1069" t="str">
        <f t="shared" si="13"/>
        <v>Flat-rolled products of iron or non-alloy steel, of a width of &lt; 600 mm, hot-rolled or cold-rolled "cold-reduced", plated or coated with chromium or nickel</v>
      </c>
      <c r="C880" s="1069" t="s">
        <v>1173</v>
      </c>
      <c r="D880" s="822"/>
      <c r="E880" s="822"/>
      <c r="F880" s="822"/>
      <c r="G880" s="822"/>
      <c r="H880" s="822"/>
    </row>
    <row r="881" spans="1:8" ht="12" x14ac:dyDescent="0.3">
      <c r="A881" s="820">
        <v>877</v>
      </c>
      <c r="B881" s="1069" t="str">
        <f t="shared" si="13"/>
        <v>Flat-rolled products of iron or non-alloy steel, of a width of &lt; 600 mm, hot-rolled or cold-rolled "cold-reduced", plated or coated with copper</v>
      </c>
      <c r="C881" s="1069" t="s">
        <v>1176</v>
      </c>
      <c r="D881" s="822"/>
      <c r="E881" s="822"/>
      <c r="F881" s="822"/>
      <c r="G881" s="822"/>
      <c r="H881" s="822"/>
    </row>
    <row r="882" spans="1:8" ht="12" x14ac:dyDescent="0.3">
      <c r="A882" s="820">
        <v>878</v>
      </c>
      <c r="B882" s="1069" t="str">
        <f t="shared" si="13"/>
        <v>Flat-rolled products of iron or non-alloy steel, of a width of &lt; 600 mm, hot-rolled or cold-rolled "cold-reduced", plated or coated with aluminium-zinc alloys</v>
      </c>
      <c r="C882" s="1069" t="s">
        <v>1179</v>
      </c>
      <c r="D882" s="822"/>
      <c r="E882" s="822"/>
      <c r="F882" s="822"/>
      <c r="G882" s="822"/>
      <c r="H882" s="822"/>
    </row>
    <row r="883" spans="1:8" ht="12" x14ac:dyDescent="0.3">
      <c r="A883" s="820">
        <v>879</v>
      </c>
      <c r="B883" s="1069" t="str">
        <f t="shared" si="13"/>
        <v>Flat-rolled products of iron or non-alloy steel, of a width of &lt; 600 mm, hot-rolled or cold-rolled "cold-reduced", plated or coated with aluminium (excl. products plated or coated with aluminium-zinc alloys)</v>
      </c>
      <c r="C883" s="1069" t="s">
        <v>1182</v>
      </c>
      <c r="D883" s="822"/>
      <c r="E883" s="822"/>
      <c r="F883" s="822"/>
      <c r="G883" s="822"/>
      <c r="H883" s="822"/>
    </row>
    <row r="884" spans="1:8" ht="12" x14ac:dyDescent="0.3">
      <c r="A884" s="820">
        <v>880</v>
      </c>
      <c r="B884" s="1069" t="str">
        <f t="shared" si="13"/>
        <v>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v>
      </c>
      <c r="C884" s="1069" t="s">
        <v>1185</v>
      </c>
      <c r="D884" s="822"/>
      <c r="E884" s="822"/>
      <c r="F884" s="822"/>
      <c r="G884" s="822"/>
      <c r="H884" s="822"/>
    </row>
    <row r="885" spans="1:8" ht="12" x14ac:dyDescent="0.3">
      <c r="A885" s="820">
        <v>881</v>
      </c>
      <c r="B885" s="1069" t="str">
        <f t="shared" si="13"/>
        <v>Flat-rolled products of iron or non-alloy steel, of a width of &lt; 600 mm, hot-rolled or cold-rolled "cold-reduced", clad</v>
      </c>
      <c r="C885" s="1069" t="s">
        <v>1188</v>
      </c>
      <c r="D885" s="822"/>
      <c r="E885" s="822"/>
      <c r="F885" s="822"/>
      <c r="G885" s="822"/>
      <c r="H885" s="822"/>
    </row>
    <row r="886" spans="1:8" ht="12" x14ac:dyDescent="0.3">
      <c r="A886" s="820">
        <v>882</v>
      </c>
      <c r="B886" s="1069" t="str">
        <f t="shared" si="13"/>
        <v>Bars and rods of iron or non-alloy steel, hot-rolled, in irregularly wound coils</v>
      </c>
      <c r="C886" s="1069" t="s">
        <v>1190</v>
      </c>
      <c r="D886" s="822"/>
      <c r="E886" s="822"/>
      <c r="F886" s="822"/>
      <c r="G886" s="822"/>
      <c r="H886" s="822"/>
    </row>
    <row r="887" spans="1:8" ht="12" x14ac:dyDescent="0.3">
      <c r="A887" s="820">
        <v>883</v>
      </c>
      <c r="B887" s="1069" t="str">
        <f t="shared" si="13"/>
        <v>Bars and rods, hot-rolled, in irregularly wound coils of iron or non-alloy steel, with indentations, ribs, grooves or other deformations produced during the rolling process</v>
      </c>
      <c r="C887" s="1069" t="s">
        <v>1193</v>
      </c>
      <c r="D887" s="822"/>
      <c r="E887" s="822"/>
      <c r="F887" s="822"/>
      <c r="G887" s="822"/>
      <c r="H887" s="822"/>
    </row>
    <row r="888" spans="1:8" ht="12" x14ac:dyDescent="0.3">
      <c r="A888" s="820">
        <v>884</v>
      </c>
      <c r="B888" s="1069" t="str">
        <f t="shared" si="13"/>
        <v>Bars and rods, hot-rolled, in irregularly wound coils, of non-alloy free-cutting steel (excl. bars and rods containing indentations, ribs, grooves or other deformations produced during the rolling process)</v>
      </c>
      <c r="C888" s="1069" t="s">
        <v>1196</v>
      </c>
      <c r="D888" s="822"/>
      <c r="E888" s="822"/>
      <c r="F888" s="822"/>
      <c r="G888" s="822"/>
      <c r="H888" s="822"/>
    </row>
    <row r="889" spans="1:8" ht="12" x14ac:dyDescent="0.3">
      <c r="A889" s="820">
        <v>885</v>
      </c>
      <c r="B889" s="1069" t="str">
        <f t="shared" si="13"/>
        <v>Bars and rods, hot-rolled, in irregularly wound coils, of iron or non-alloy steel, of circular cross-section measuring &lt; 14 mm in diameter (excl. bars and rods of free-cutting steel, and bars and rods with indentations, ribs, grooves or other deformations produced during the rolling process)</v>
      </c>
      <c r="C889" s="1069" t="s">
        <v>1198</v>
      </c>
      <c r="D889" s="822"/>
      <c r="E889" s="822"/>
      <c r="F889" s="822"/>
      <c r="G889" s="822"/>
      <c r="H889" s="822"/>
    </row>
    <row r="890" spans="1:8" ht="12" x14ac:dyDescent="0.3">
      <c r="A890" s="820">
        <v>886</v>
      </c>
      <c r="B890" s="1069" t="str">
        <f t="shared" si="13"/>
        <v>Bars and rods, hot-rolled, of the type used for concrete reinforcement, smooth, of iron or non-alloy steel, in irregularly wound coils, of circular cross-section measuring &lt; 14 mm in diameter</v>
      </c>
      <c r="C890" s="1069" t="s">
        <v>1201</v>
      </c>
      <c r="D890" s="822"/>
      <c r="E890" s="822"/>
      <c r="F890" s="822"/>
      <c r="G890" s="822"/>
      <c r="H890" s="822"/>
    </row>
    <row r="891" spans="1:8" ht="12" x14ac:dyDescent="0.3">
      <c r="A891" s="820">
        <v>887</v>
      </c>
      <c r="B891" s="1069" t="str">
        <f t="shared" si="13"/>
        <v>Bars and rods, hot-rolled, of the type used for tyre cord, smooth, of iron or non-alloy steel, in irregularly wound coils</v>
      </c>
      <c r="C891" s="1069" t="s">
        <v>1204</v>
      </c>
      <c r="D891" s="822"/>
      <c r="E891" s="822"/>
      <c r="F891" s="822"/>
      <c r="G891" s="822"/>
      <c r="H891" s="822"/>
    </row>
    <row r="892" spans="1:8" ht="12" x14ac:dyDescent="0.3">
      <c r="A892" s="820">
        <v>888</v>
      </c>
      <c r="B892" s="1069" t="str">
        <f t="shared" si="13"/>
        <v>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v>
      </c>
      <c r="C892" s="1069" t="s">
        <v>1207</v>
      </c>
      <c r="D892" s="822"/>
      <c r="E892" s="822"/>
      <c r="F892" s="822"/>
      <c r="G892" s="822"/>
      <c r="H892" s="822"/>
    </row>
    <row r="893" spans="1:8" ht="12" x14ac:dyDescent="0.3">
      <c r="A893" s="820">
        <v>889</v>
      </c>
      <c r="B893" s="1069" t="str">
        <f t="shared" si="13"/>
        <v>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v>
      </c>
      <c r="C893" s="1069" t="s">
        <v>1210</v>
      </c>
      <c r="D893" s="822"/>
      <c r="E893" s="822"/>
      <c r="F893" s="822"/>
      <c r="G893" s="822"/>
      <c r="H893" s="822"/>
    </row>
    <row r="894" spans="1:8" ht="12" x14ac:dyDescent="0.3">
      <c r="A894" s="820">
        <v>890</v>
      </c>
      <c r="B894" s="1069" t="str">
        <f t="shared" si="13"/>
        <v>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v>
      </c>
      <c r="C894" s="1069" t="s">
        <v>1213</v>
      </c>
      <c r="D894" s="822"/>
      <c r="E894" s="822"/>
      <c r="F894" s="822"/>
      <c r="G894" s="822"/>
      <c r="H894" s="822"/>
    </row>
    <row r="895" spans="1:8" ht="12" x14ac:dyDescent="0.3">
      <c r="A895" s="820">
        <v>891</v>
      </c>
      <c r="B895" s="1069" t="str">
        <f t="shared" si="13"/>
        <v>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v>
      </c>
      <c r="C895" s="1069" t="s">
        <v>1216</v>
      </c>
      <c r="D895" s="822"/>
      <c r="E895" s="822"/>
      <c r="F895" s="822"/>
      <c r="G895" s="822"/>
      <c r="H895" s="822"/>
    </row>
    <row r="896" spans="1:8" ht="12" x14ac:dyDescent="0.3">
      <c r="A896" s="820">
        <v>892</v>
      </c>
      <c r="B896" s="1069" t="str">
        <f t="shared" si="13"/>
        <v>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v>
      </c>
      <c r="C896" s="1069" t="s">
        <v>1218</v>
      </c>
      <c r="D896" s="822"/>
      <c r="E896" s="822"/>
      <c r="F896" s="822"/>
      <c r="G896" s="822"/>
      <c r="H896" s="822"/>
    </row>
    <row r="897" spans="1:8" ht="12" x14ac:dyDescent="0.3">
      <c r="A897" s="820">
        <v>893</v>
      </c>
      <c r="B897" s="1069" t="str">
        <f t="shared" si="13"/>
        <v>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v>
      </c>
      <c r="C897" s="1069" t="s">
        <v>1221</v>
      </c>
      <c r="D897" s="822"/>
      <c r="E897" s="822"/>
      <c r="F897" s="822"/>
      <c r="G897" s="822"/>
      <c r="H897" s="822"/>
    </row>
    <row r="898" spans="1:8" ht="12" x14ac:dyDescent="0.3">
      <c r="A898" s="820">
        <v>894</v>
      </c>
      <c r="B898" s="1069" t="str">
        <f t="shared" si="13"/>
        <v>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v>
      </c>
      <c r="C898" s="1069" t="s">
        <v>1224</v>
      </c>
      <c r="D898" s="822"/>
      <c r="E898" s="822"/>
      <c r="F898" s="822"/>
      <c r="G898" s="822"/>
      <c r="H898" s="822"/>
    </row>
    <row r="899" spans="1:8" ht="12" x14ac:dyDescent="0.3">
      <c r="A899" s="820">
        <v>895</v>
      </c>
      <c r="B899" s="1069" t="str">
        <f t="shared" si="13"/>
        <v>Bars and rods, of iron or non-alloy steel, not further worked than forged, hot-rolled, hot-drawn or hot-extruded, but incl. those twisted after rolling (excl. in irregularly wound coils)</v>
      </c>
      <c r="C899" s="1069" t="s">
        <v>1226</v>
      </c>
      <c r="D899" s="822"/>
      <c r="E899" s="822"/>
      <c r="F899" s="822"/>
      <c r="G899" s="822"/>
      <c r="H899" s="822"/>
    </row>
    <row r="900" spans="1:8" ht="12" x14ac:dyDescent="0.3">
      <c r="A900" s="820">
        <v>896</v>
      </c>
      <c r="B900" s="1069" t="str">
        <f t="shared" si="13"/>
        <v>Bars and rods, of iron or non-alloy steel, not further worked than forged (excl. in irregularly wound coils)</v>
      </c>
      <c r="C900" s="1069" t="s">
        <v>1229</v>
      </c>
      <c r="D900" s="822"/>
      <c r="E900" s="822"/>
      <c r="F900" s="822"/>
      <c r="G900" s="822"/>
      <c r="H900" s="822"/>
    </row>
    <row r="901" spans="1:8" ht="12" x14ac:dyDescent="0.3">
      <c r="A901" s="820">
        <v>897</v>
      </c>
      <c r="B901" s="1069" t="str">
        <f t="shared" si="13"/>
        <v>Bars and rods, of iron or non-alloy steel, with indentations, ribs, groves or other deformations produced during the rolling process</v>
      </c>
      <c r="C901" s="1069" t="s">
        <v>1232</v>
      </c>
      <c r="D901" s="822"/>
      <c r="E901" s="822"/>
      <c r="F901" s="822"/>
      <c r="G901" s="822"/>
      <c r="H901" s="822"/>
    </row>
    <row r="902" spans="1:8" ht="12" x14ac:dyDescent="0.3">
      <c r="A902" s="820">
        <v>898</v>
      </c>
      <c r="B902" s="1069" t="str">
        <f t="shared" ref="B902:B965" si="14">IFERROR(INDEX(C902:M902,$A$3-2),$C902)</f>
        <v>Bars and rods, of non-alloy free-cutting steel, not further worked than hot-rolled, hot-drawn or hot-extruded (excl. containing indentations, ribs, grooves or other deformations produced during the rolling process or twisted after rolling)</v>
      </c>
      <c r="C902" s="1069" t="s">
        <v>1235</v>
      </c>
      <c r="D902" s="822"/>
      <c r="E902" s="822"/>
      <c r="F902" s="822"/>
      <c r="G902" s="822"/>
      <c r="H902" s="822"/>
    </row>
    <row r="903" spans="1:8" ht="12" x14ac:dyDescent="0.3">
      <c r="A903" s="820">
        <v>899</v>
      </c>
      <c r="B903" s="1069" t="str">
        <f t="shared" si="14"/>
        <v>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v>
      </c>
      <c r="C903" s="1069" t="s">
        <v>1237</v>
      </c>
      <c r="D903" s="822"/>
      <c r="E903" s="822"/>
      <c r="F903" s="822"/>
      <c r="G903" s="822"/>
      <c r="H903" s="822"/>
    </row>
    <row r="904" spans="1:8" ht="12" x14ac:dyDescent="0.3">
      <c r="A904" s="820">
        <v>900</v>
      </c>
      <c r="B904" s="1069" t="str">
        <f t="shared" si="14"/>
        <v>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v>
      </c>
      <c r="C904" s="1069" t="s">
        <v>1240</v>
      </c>
      <c r="D904" s="822"/>
      <c r="E904" s="822"/>
      <c r="F904" s="822"/>
      <c r="G904" s="822"/>
      <c r="H904" s="822"/>
    </row>
    <row r="905" spans="1:8" ht="12" x14ac:dyDescent="0.3">
      <c r="A905" s="820">
        <v>901</v>
      </c>
      <c r="B905" s="1069" t="str">
        <f t="shared" si="14"/>
        <v>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v>
      </c>
      <c r="C905" s="1069" t="s">
        <v>1243</v>
      </c>
      <c r="D905" s="822"/>
      <c r="E905" s="822"/>
      <c r="F905" s="822"/>
      <c r="G905" s="822"/>
      <c r="H905" s="822"/>
    </row>
    <row r="906" spans="1:8" ht="12" x14ac:dyDescent="0.3">
      <c r="A906" s="820">
        <v>902</v>
      </c>
      <c r="B906" s="1069" t="str">
        <f t="shared" si="14"/>
        <v>Bars and rods, of iron or non-alloy steel, only hot-rolled, only hot-drawn or only hot-extruded (excl. of rectangular [other than square] cross-section and those containing indentations, ribs, grooves or other deformations produced during the rolling process, and of non-alloy free-cutting steel)</v>
      </c>
      <c r="C906" s="1069" t="s">
        <v>1245</v>
      </c>
      <c r="D906" s="822"/>
      <c r="E906" s="822"/>
      <c r="F906" s="822"/>
      <c r="G906" s="822"/>
      <c r="H906" s="822"/>
    </row>
    <row r="907" spans="1:8" ht="12" x14ac:dyDescent="0.3">
      <c r="A907" s="820">
        <v>903</v>
      </c>
      <c r="B907" s="1069" t="str">
        <f t="shared" si="14"/>
        <v>Bars and rods of the type used for concrete reinforcement, smooth, of iron or non-alloy steel, only hot-rolled, only hot-drawn or only hot-extruded, containing &lt; 0,25% of carbon, of square cross-section or of a cross-section other than rectangular</v>
      </c>
      <c r="C907" s="1069" t="s">
        <v>1248</v>
      </c>
      <c r="D907" s="822"/>
      <c r="E907" s="822"/>
      <c r="F907" s="822"/>
      <c r="G907" s="822"/>
      <c r="H907" s="822"/>
    </row>
    <row r="908" spans="1:8" ht="12" x14ac:dyDescent="0.3">
      <c r="A908" s="820">
        <v>904</v>
      </c>
      <c r="B908" s="1069" t="str">
        <f t="shared" si="14"/>
        <v>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v>
      </c>
      <c r="C908" s="1069" t="s">
        <v>1251</v>
      </c>
      <c r="D908" s="822"/>
      <c r="E908" s="822"/>
      <c r="F908" s="822"/>
      <c r="G908" s="822"/>
      <c r="H908" s="822"/>
    </row>
    <row r="909" spans="1:8" ht="12" x14ac:dyDescent="0.3">
      <c r="A909" s="820">
        <v>905</v>
      </c>
      <c r="B909" s="1069" t="str">
        <f t="shared" si="14"/>
        <v>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v>
      </c>
      <c r="C909" s="1069" t="s">
        <v>1254</v>
      </c>
      <c r="D909" s="822"/>
      <c r="E909" s="822"/>
      <c r="F909" s="822"/>
      <c r="G909" s="822"/>
      <c r="H909" s="822"/>
    </row>
    <row r="910" spans="1:8" ht="12" x14ac:dyDescent="0.3">
      <c r="A910" s="820">
        <v>906</v>
      </c>
      <c r="B910" s="1069" t="str">
        <f t="shared" si="14"/>
        <v>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v>
      </c>
      <c r="C910" s="1069" t="s">
        <v>1257</v>
      </c>
      <c r="D910" s="822"/>
      <c r="E910" s="822"/>
      <c r="F910" s="822"/>
      <c r="G910" s="822"/>
      <c r="H910" s="822"/>
    </row>
    <row r="911" spans="1:8" ht="12" x14ac:dyDescent="0.3">
      <c r="A911" s="820">
        <v>907</v>
      </c>
      <c r="B911" s="1069" t="str">
        <f t="shared" si="14"/>
        <v>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v>
      </c>
      <c r="C911" s="1069" t="s">
        <v>1260</v>
      </c>
      <c r="D911" s="822"/>
      <c r="E911" s="822"/>
      <c r="F911" s="822"/>
      <c r="G911" s="822"/>
      <c r="H911" s="822"/>
    </row>
    <row r="912" spans="1:8" ht="12" x14ac:dyDescent="0.3">
      <c r="A912" s="820">
        <v>908</v>
      </c>
      <c r="B912" s="1069" t="str">
        <f t="shared" si="14"/>
        <v>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v>
      </c>
      <c r="C912" s="1069" t="s">
        <v>1263</v>
      </c>
      <c r="D912" s="822"/>
      <c r="E912" s="822"/>
      <c r="F912" s="822"/>
      <c r="G912" s="822"/>
      <c r="H912" s="822"/>
    </row>
    <row r="913" spans="1:8" ht="12" x14ac:dyDescent="0.3">
      <c r="A913" s="820">
        <v>909</v>
      </c>
      <c r="B913" s="1069" t="str">
        <f t="shared" si="14"/>
        <v>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v>
      </c>
      <c r="C913" s="1069" t="s">
        <v>1266</v>
      </c>
      <c r="D913" s="822"/>
      <c r="E913" s="822"/>
      <c r="F913" s="822"/>
      <c r="G913" s="822"/>
      <c r="H913" s="822"/>
    </row>
    <row r="914" spans="1:8" ht="12" x14ac:dyDescent="0.3">
      <c r="A914" s="820">
        <v>910</v>
      </c>
      <c r="B914" s="1069" t="str">
        <f t="shared" si="14"/>
        <v>Bars and rods, of iron or non-alloy steel, cold-formed or cold-finished, whether or not further worked, or hot-formed and further worked, n.e.s.</v>
      </c>
      <c r="C914" s="1069" t="s">
        <v>1268</v>
      </c>
      <c r="D914" s="822"/>
      <c r="E914" s="822"/>
      <c r="F914" s="822"/>
      <c r="G914" s="822"/>
      <c r="H914" s="822"/>
    </row>
    <row r="915" spans="1:8" ht="12" x14ac:dyDescent="0.3">
      <c r="A915" s="820">
        <v>911</v>
      </c>
      <c r="B915" s="1069" t="str">
        <f t="shared" si="14"/>
        <v>Bars and rods, of non-alloy free-cutting steel, not further worked than cold-formed or cold-finished</v>
      </c>
      <c r="C915" s="1069" t="s">
        <v>1271</v>
      </c>
      <c r="D915" s="822"/>
      <c r="E915" s="822"/>
      <c r="F915" s="822"/>
      <c r="G915" s="822"/>
      <c r="H915" s="822"/>
    </row>
    <row r="916" spans="1:8" ht="12" x14ac:dyDescent="0.3">
      <c r="A916" s="820">
        <v>912</v>
      </c>
      <c r="B916" s="1069" t="str">
        <f t="shared" si="14"/>
        <v>Bars and rods, of iron or non-alloy steel, not further worked than cold-formed or cold-finished (excl. of free-cutting steel)</v>
      </c>
      <c r="C916" s="1069" t="s">
        <v>1273</v>
      </c>
      <c r="D916" s="822"/>
      <c r="E916" s="822"/>
      <c r="F916" s="822"/>
      <c r="G916" s="822"/>
      <c r="H916" s="822"/>
    </row>
    <row r="917" spans="1:8" ht="12" x14ac:dyDescent="0.3">
      <c r="A917" s="820">
        <v>913</v>
      </c>
      <c r="B917" s="1069" t="str">
        <f t="shared" si="14"/>
        <v>Other bars and rods of iron or non-alloy steel, not further worked than cold-formed or cold-finished, containing by weight &lt; 0,25% of carbon of rectangular "other than square" cross-section (excl. those of free-cutting steel)</v>
      </c>
      <c r="C917" s="1069" t="s">
        <v>1276</v>
      </c>
      <c r="D917" s="822"/>
      <c r="E917" s="822"/>
      <c r="F917" s="822"/>
      <c r="G917" s="822"/>
      <c r="H917" s="822"/>
    </row>
    <row r="918" spans="1:8" ht="12" x14ac:dyDescent="0.3">
      <c r="A918" s="820">
        <v>914</v>
      </c>
      <c r="B918" s="1069" t="str">
        <f t="shared" si="14"/>
        <v>Other bars and rods of iron or non-alloy steel, not further worked than cold-formed or cold-finished, containing by weight &lt; 0,25% of carbon, of square or other than rectangular cross-section (excl. those of free-cutting steel)</v>
      </c>
      <c r="C918" s="1069" t="s">
        <v>1279</v>
      </c>
      <c r="D918" s="822"/>
      <c r="E918" s="822"/>
      <c r="F918" s="822"/>
      <c r="G918" s="822"/>
      <c r="H918" s="822"/>
    </row>
    <row r="919" spans="1:8" ht="12" x14ac:dyDescent="0.3">
      <c r="A919" s="820">
        <v>915</v>
      </c>
      <c r="B919" s="1069" t="str">
        <f t="shared" si="14"/>
        <v>Other bars and rods of iron or non-alloy steel, not further worked than cold-formed or cold-finished, containing by weight &gt;= 0,25% of carbon (excl. those of free-cutting steel)</v>
      </c>
      <c r="C919" s="1069" t="s">
        <v>1282</v>
      </c>
      <c r="D919" s="822"/>
      <c r="E919" s="822"/>
      <c r="F919" s="822"/>
      <c r="G919" s="822"/>
      <c r="H919" s="822"/>
    </row>
    <row r="920" spans="1:8" ht="12" x14ac:dyDescent="0.3">
      <c r="A920" s="820">
        <v>916</v>
      </c>
      <c r="B920" s="1069" t="str">
        <f t="shared" si="14"/>
        <v>Bars or rods, of iron or non-alloy steel, cold-formed or cold-finished and further worked or hot-formed and further worked, n.e.s.</v>
      </c>
      <c r="C920" s="1069" t="s">
        <v>1285</v>
      </c>
      <c r="D920" s="822"/>
      <c r="E920" s="822"/>
      <c r="F920" s="822"/>
      <c r="G920" s="822"/>
      <c r="H920" s="822"/>
    </row>
    <row r="921" spans="1:8" ht="12" x14ac:dyDescent="0.3">
      <c r="A921" s="820">
        <v>917</v>
      </c>
      <c r="B921" s="1069" t="str">
        <f t="shared" si="14"/>
        <v>Angles, shapes and sections of iron or non-alloy steel, n.e.s.</v>
      </c>
      <c r="C921" s="1069" t="s">
        <v>1287</v>
      </c>
      <c r="D921" s="822"/>
      <c r="E921" s="822"/>
      <c r="F921" s="822"/>
      <c r="G921" s="822"/>
      <c r="H921" s="822"/>
    </row>
    <row r="922" spans="1:8" ht="12" x14ac:dyDescent="0.3">
      <c r="A922" s="820">
        <v>918</v>
      </c>
      <c r="B922" s="1069" t="str">
        <f t="shared" si="14"/>
        <v>U, I or H sections of iron or non-alloy steel, not further worked than hot-rolled, hot-drawn or extruded, of a height of &lt; 80 mm</v>
      </c>
      <c r="C922" s="1069" t="s">
        <v>1290</v>
      </c>
      <c r="D922" s="822"/>
      <c r="E922" s="822"/>
      <c r="F922" s="822"/>
      <c r="G922" s="822"/>
      <c r="H922" s="822"/>
    </row>
    <row r="923" spans="1:8" ht="12" x14ac:dyDescent="0.3">
      <c r="A923" s="820">
        <v>919</v>
      </c>
      <c r="B923" s="1069" t="str">
        <f t="shared" si="14"/>
        <v>L sections of iron or non-alloy steel, not further worked than hot-rolled, hot-drawn or extruded, of a height of &lt; 80 mm</v>
      </c>
      <c r="C923" s="1069" t="s">
        <v>1293</v>
      </c>
      <c r="D923" s="822"/>
      <c r="E923" s="822"/>
      <c r="F923" s="822"/>
      <c r="G923" s="822"/>
      <c r="H923" s="822"/>
    </row>
    <row r="924" spans="1:8" ht="12" x14ac:dyDescent="0.3">
      <c r="A924" s="820">
        <v>920</v>
      </c>
      <c r="B924" s="1069" t="str">
        <f t="shared" si="14"/>
        <v>T sections of iron or non-alloy steel, not further worked than hot-rolled, hot-drawn or extruded, of a height of &lt; 80 mm</v>
      </c>
      <c r="C924" s="1069" t="s">
        <v>1296</v>
      </c>
      <c r="D924" s="822"/>
      <c r="E924" s="822"/>
      <c r="F924" s="822"/>
      <c r="G924" s="822"/>
      <c r="H924" s="822"/>
    </row>
    <row r="925" spans="1:8" ht="12" x14ac:dyDescent="0.3">
      <c r="A925" s="820">
        <v>921</v>
      </c>
      <c r="B925" s="1069" t="str">
        <f t="shared" si="14"/>
        <v>U sections of iron or non-alloy steel, not further worked than hot-rolled, hot-drawn or hot-extruded, of a height &gt;= 80 mm</v>
      </c>
      <c r="C925" s="1069" t="s">
        <v>1298</v>
      </c>
      <c r="D925" s="822"/>
      <c r="E925" s="822"/>
      <c r="F925" s="822"/>
      <c r="G925" s="822"/>
      <c r="H925" s="822"/>
    </row>
    <row r="926" spans="1:8" ht="12" x14ac:dyDescent="0.3">
      <c r="A926" s="820">
        <v>922</v>
      </c>
      <c r="B926" s="1069" t="str">
        <f t="shared" si="14"/>
        <v>U sections of iron or non-alloy steel, simply hot-rolled, hot-drawn or extruded, of a height &gt;= 80 mm but &lt;= 220 mm</v>
      </c>
      <c r="C926" s="1069" t="s">
        <v>1301</v>
      </c>
      <c r="D926" s="822"/>
      <c r="E926" s="822"/>
      <c r="F926" s="822"/>
      <c r="G926" s="822"/>
      <c r="H926" s="822"/>
    </row>
    <row r="927" spans="1:8" ht="12" x14ac:dyDescent="0.3">
      <c r="A927" s="820">
        <v>923</v>
      </c>
      <c r="B927" s="1069" t="str">
        <f t="shared" si="14"/>
        <v>U sections of iron or non-alloy steel, simply hot-rolled, hot-drawn or extruded, of a height &gt; 220 mm</v>
      </c>
      <c r="C927" s="1069" t="s">
        <v>1304</v>
      </c>
      <c r="D927" s="822"/>
      <c r="E927" s="822"/>
      <c r="F927" s="822"/>
      <c r="G927" s="822"/>
      <c r="H927" s="822"/>
    </row>
    <row r="928" spans="1:8" ht="12" x14ac:dyDescent="0.3">
      <c r="A928" s="820">
        <v>924</v>
      </c>
      <c r="B928" s="1069" t="str">
        <f t="shared" si="14"/>
        <v>I sections of iron or non-alloy steel, not further worked than hot-rolled, hot-drawn or hot-extruded, of a height &gt;= 80 mm</v>
      </c>
      <c r="C928" s="1069" t="s">
        <v>1306</v>
      </c>
      <c r="D928" s="822"/>
      <c r="E928" s="822"/>
      <c r="F928" s="822"/>
      <c r="G928" s="822"/>
      <c r="H928" s="822"/>
    </row>
    <row r="929" spans="1:8" ht="12" x14ac:dyDescent="0.3">
      <c r="A929" s="820">
        <v>925</v>
      </c>
      <c r="B929" s="1069" t="str">
        <f t="shared" si="14"/>
        <v>I sections with parallel flange faces, of iron or non-alloy steel, simply hot-rolled, hot-drawn or extruded, of a height &gt;= 80 mm but &lt;= 220 mm</v>
      </c>
      <c r="C929" s="1069" t="s">
        <v>1309</v>
      </c>
      <c r="D929" s="822"/>
      <c r="E929" s="822"/>
      <c r="F929" s="822"/>
      <c r="G929" s="822"/>
      <c r="H929" s="822"/>
    </row>
    <row r="930" spans="1:8" ht="12" x14ac:dyDescent="0.3">
      <c r="A930" s="820">
        <v>926</v>
      </c>
      <c r="B930" s="1069" t="str">
        <f t="shared" si="14"/>
        <v>I sections of iron or non-alloy steel, simply hot-rolled, hot-drawn or extruded, of a height &gt;= 80 mm but &lt;= 220 mm (excl. 7216.32.11)</v>
      </c>
      <c r="C930" s="1069" t="s">
        <v>1312</v>
      </c>
      <c r="D930" s="822"/>
      <c r="E930" s="822"/>
      <c r="F930" s="822"/>
      <c r="G930" s="822"/>
      <c r="H930" s="822"/>
    </row>
    <row r="931" spans="1:8" ht="12" x14ac:dyDescent="0.3">
      <c r="A931" s="820">
        <v>927</v>
      </c>
      <c r="B931" s="1069" t="str">
        <f t="shared" si="14"/>
        <v>I sections with parallel flange faces, of iron or non-alloy steel, simply hot-rolled, hot-drawn or extruded, of a height &gt; 220 mm</v>
      </c>
      <c r="C931" s="1069" t="s">
        <v>1315</v>
      </c>
      <c r="D931" s="822"/>
      <c r="E931" s="822"/>
      <c r="F931" s="822"/>
      <c r="G931" s="822"/>
      <c r="H931" s="822"/>
    </row>
    <row r="932" spans="1:8" ht="12" x14ac:dyDescent="0.3">
      <c r="A932" s="820">
        <v>928</v>
      </c>
      <c r="B932" s="1069" t="str">
        <f t="shared" si="14"/>
        <v>I sections of iron or non-alloy steel, simply hot-rolled, hot-drawn or extruded, of a height &gt; 220 mm (excl. 7216.32.91)</v>
      </c>
      <c r="C932" s="1069" t="s">
        <v>1318</v>
      </c>
      <c r="D932" s="822"/>
      <c r="E932" s="822"/>
      <c r="F932" s="822"/>
      <c r="G932" s="822"/>
      <c r="H932" s="822"/>
    </row>
    <row r="933" spans="1:8" ht="12" x14ac:dyDescent="0.3">
      <c r="A933" s="820">
        <v>929</v>
      </c>
      <c r="B933" s="1069" t="str">
        <f t="shared" si="14"/>
        <v>H sections of iron or non-alloy steel, not further worked than hot-rolled, hot-drawn or hot-extruded, of a height &gt;= 80 mm</v>
      </c>
      <c r="C933" s="1069" t="s">
        <v>1320</v>
      </c>
      <c r="D933" s="822"/>
      <c r="E933" s="822"/>
      <c r="F933" s="822"/>
      <c r="G933" s="822"/>
      <c r="H933" s="822"/>
    </row>
    <row r="934" spans="1:8" ht="12" x14ac:dyDescent="0.3">
      <c r="A934" s="820">
        <v>930</v>
      </c>
      <c r="B934" s="1069" t="str">
        <f t="shared" si="14"/>
        <v>H sections of iron or non-alloy steel, simply hot-rolled, hot-drawn or extruded, of a height &gt;= 80 mm but &lt;= 180 mm</v>
      </c>
      <c r="C934" s="1069" t="s">
        <v>1323</v>
      </c>
      <c r="D934" s="822"/>
      <c r="E934" s="822"/>
      <c r="F934" s="822"/>
      <c r="G934" s="822"/>
      <c r="H934" s="822"/>
    </row>
    <row r="935" spans="1:8" ht="12" x14ac:dyDescent="0.3">
      <c r="A935" s="820">
        <v>931</v>
      </c>
      <c r="B935" s="1069" t="str">
        <f t="shared" si="14"/>
        <v>H sections of iron or non-alloy steel, simply hot-rolled, hot-drawn or extruded, of a height &gt; 180 mm</v>
      </c>
      <c r="C935" s="1069" t="s">
        <v>1326</v>
      </c>
      <c r="D935" s="822"/>
      <c r="E935" s="822"/>
      <c r="F935" s="822"/>
      <c r="G935" s="822"/>
      <c r="H935" s="822"/>
    </row>
    <row r="936" spans="1:8" ht="12" x14ac:dyDescent="0.3">
      <c r="A936" s="820">
        <v>932</v>
      </c>
      <c r="B936" s="1069" t="str">
        <f t="shared" si="14"/>
        <v>L sections of iron or non-alloy steel, not further worked than hot-rolled, hot-drawn or hot-extruded, of a height &gt;= 80 mm</v>
      </c>
      <c r="C936" s="1069" t="s">
        <v>1328</v>
      </c>
      <c r="D936" s="822"/>
      <c r="E936" s="822"/>
      <c r="F936" s="822"/>
      <c r="G936" s="822"/>
      <c r="H936" s="822"/>
    </row>
    <row r="937" spans="1:8" ht="12" x14ac:dyDescent="0.3">
      <c r="A937" s="820">
        <v>933</v>
      </c>
      <c r="B937" s="1069" t="str">
        <f t="shared" si="14"/>
        <v>L sections of iron or non-alloy steel, not further worked than hot-rolled, hot-drawn or extruded, of a height of &gt;= 80 mm</v>
      </c>
      <c r="C937" s="1069" t="s">
        <v>1331</v>
      </c>
      <c r="D937" s="822"/>
      <c r="E937" s="822"/>
      <c r="F937" s="822"/>
      <c r="G937" s="822"/>
      <c r="H937" s="822"/>
    </row>
    <row r="938" spans="1:8" ht="12" x14ac:dyDescent="0.3">
      <c r="A938" s="820">
        <v>934</v>
      </c>
      <c r="B938" s="1069" t="str">
        <f t="shared" si="14"/>
        <v>T sections of iron or non-alloy steel, not further worked than hot-rolled, hot-drawn or extruded, of a height of &gt;= 80 mm</v>
      </c>
      <c r="C938" s="1069" t="s">
        <v>1334</v>
      </c>
      <c r="D938" s="822"/>
      <c r="E938" s="822"/>
      <c r="F938" s="822"/>
      <c r="G938" s="822"/>
      <c r="H938" s="822"/>
    </row>
    <row r="939" spans="1:8" ht="12" x14ac:dyDescent="0.3">
      <c r="A939" s="820">
        <v>935</v>
      </c>
      <c r="B939" s="1069" t="str">
        <f t="shared" si="14"/>
        <v>Sections of iron or non-alloy steel, not further worked than hot-rolled, hot-drawn or hot-extruded (excl. U, I, H, L or T sections)</v>
      </c>
      <c r="C939" s="1069" t="s">
        <v>1336</v>
      </c>
      <c r="D939" s="822"/>
      <c r="E939" s="822"/>
      <c r="F939" s="822"/>
      <c r="G939" s="822"/>
      <c r="H939" s="822"/>
    </row>
    <row r="940" spans="1:8" ht="12" x14ac:dyDescent="0.3">
      <c r="A940" s="820">
        <v>936</v>
      </c>
      <c r="B940" s="1069" t="str">
        <f t="shared" si="14"/>
        <v>Sections of iron or non-alloy steel, not further worked than hot-rolled, hot-drawn or hot-extruded, with a cross-section which is capable of being enclosed in a square the side of which is &lt;= 80 mm (excl. U, I, H, L or T sections)</v>
      </c>
      <c r="C940" s="1069" t="s">
        <v>1339</v>
      </c>
      <c r="D940" s="822"/>
      <c r="E940" s="822"/>
      <c r="F940" s="822"/>
      <c r="G940" s="822"/>
      <c r="H940" s="822"/>
    </row>
    <row r="941" spans="1:8" ht="12" x14ac:dyDescent="0.3">
      <c r="A941" s="820">
        <v>937</v>
      </c>
      <c r="B941" s="1069" t="str">
        <f t="shared" si="14"/>
        <v>Bulb sections "bulb flat", only hot-rolled, hot-drawn or hot-extruded</v>
      </c>
      <c r="C941" s="1069" t="s">
        <v>1342</v>
      </c>
      <c r="D941" s="822"/>
      <c r="E941" s="822"/>
      <c r="F941" s="822"/>
      <c r="G941" s="822"/>
      <c r="H941" s="822"/>
    </row>
    <row r="942" spans="1:8" ht="12" x14ac:dyDescent="0.3">
      <c r="A942" s="820">
        <v>938</v>
      </c>
      <c r="B942" s="1069" t="str">
        <f t="shared" si="14"/>
        <v>Profile of iron or non-alloy steel, only hot-rolled, hot-drawn or hot-extruded (other than with a cross-section which is capable of being enclosed in a square the side of which is &lt;= 80 mm, and U-, I-, H-, L- or T-sections and ribbed sections [ribbed steel])</v>
      </c>
      <c r="C942" s="1069" t="s">
        <v>1345</v>
      </c>
      <c r="D942" s="822"/>
      <c r="E942" s="822"/>
      <c r="F942" s="822"/>
      <c r="G942" s="822"/>
      <c r="H942" s="822"/>
    </row>
    <row r="943" spans="1:8" ht="12" x14ac:dyDescent="0.3">
      <c r="A943" s="820">
        <v>939</v>
      </c>
      <c r="B943" s="1069" t="str">
        <f t="shared" si="14"/>
        <v>Angles, shapes and sections, of iron or non-alloy steel, from flat-rolled products simply cold-formed or cold-finished (excl. profiled sheet)</v>
      </c>
      <c r="C943" s="1069" t="s">
        <v>1347</v>
      </c>
      <c r="D943" s="822"/>
      <c r="E943" s="822"/>
      <c r="F943" s="822"/>
      <c r="G943" s="822"/>
      <c r="H943" s="822"/>
    </row>
    <row r="944" spans="1:8" ht="12" x14ac:dyDescent="0.3">
      <c r="A944" s="820">
        <v>940</v>
      </c>
      <c r="B944" s="1069" t="str">
        <f t="shared" si="14"/>
        <v>c, l, u, z, omega or open-ended sections of iron or non-alloy steel, simply cold-formed or cold-finished, obtained from flat-rolled products</v>
      </c>
      <c r="C944" s="1069" t="s">
        <v>1350</v>
      </c>
      <c r="D944" s="822"/>
      <c r="E944" s="822"/>
      <c r="F944" s="822"/>
      <c r="G944" s="822"/>
      <c r="H944" s="822"/>
    </row>
    <row r="945" spans="1:8" ht="12" x14ac:dyDescent="0.3">
      <c r="A945" s="820">
        <v>941</v>
      </c>
      <c r="B945" s="1069" t="str">
        <f t="shared" si="14"/>
        <v>Angles, shapes and sections (other than c, l, u, z, omega or open-ended sections) of iron or non-alloy steel, simply cold-formed or cold-finished, obtained from flat-rolled products</v>
      </c>
      <c r="C945" s="1069" t="s">
        <v>1353</v>
      </c>
      <c r="D945" s="822"/>
      <c r="E945" s="822"/>
      <c r="F945" s="822"/>
      <c r="G945" s="822"/>
      <c r="H945" s="822"/>
    </row>
    <row r="946" spans="1:8" ht="12" x14ac:dyDescent="0.3">
      <c r="A946" s="820">
        <v>942</v>
      </c>
      <c r="B946" s="1069" t="str">
        <f t="shared" si="14"/>
        <v>Angles, shapes and sections, of iron or non-alloy steel, not further worked than cold-formed or cold-finished (excl. profiled sheet)</v>
      </c>
      <c r="C946" s="1069" t="s">
        <v>1356</v>
      </c>
      <c r="D946" s="822"/>
      <c r="E946" s="822"/>
      <c r="F946" s="822"/>
      <c r="G946" s="822"/>
      <c r="H946" s="822"/>
    </row>
    <row r="947" spans="1:8" ht="12" x14ac:dyDescent="0.3">
      <c r="A947" s="820">
        <v>943</v>
      </c>
      <c r="B947" s="1069" t="str">
        <f t="shared" si="14"/>
        <v>Angles, shapes and sections, of iron or non-alloy steel, cold-formed or cold-finished from flat-rolled products and further worked</v>
      </c>
      <c r="C947" s="1069" t="s">
        <v>1358</v>
      </c>
      <c r="D947" s="822"/>
      <c r="E947" s="822"/>
      <c r="F947" s="822"/>
      <c r="G947" s="822"/>
      <c r="H947" s="822"/>
    </row>
    <row r="948" spans="1:8" ht="12" x14ac:dyDescent="0.3">
      <c r="A948" s="820">
        <v>944</v>
      </c>
      <c r="B948" s="1069" t="str">
        <f t="shared" si="14"/>
        <v>Sheets sheets of iron or non-alloy steel, cold-formed or cold finished, profiled "ribbed"</v>
      </c>
      <c r="C948" s="1069" t="s">
        <v>1361</v>
      </c>
      <c r="D948" s="822"/>
      <c r="E948" s="822"/>
      <c r="F948" s="822"/>
      <c r="G948" s="822"/>
      <c r="H948" s="822"/>
    </row>
    <row r="949" spans="1:8" ht="12" x14ac:dyDescent="0.3">
      <c r="A949" s="820">
        <v>945</v>
      </c>
      <c r="B949" s="1069" t="str">
        <f t="shared" si="14"/>
        <v>Angles, shapes and sections, of iron or non-alloy steel, cold-formed or cold-finished from flat-rolled products and further worked (excl. profiled sheet)</v>
      </c>
      <c r="C949" s="1069" t="s">
        <v>1364</v>
      </c>
      <c r="D949" s="822"/>
      <c r="E949" s="822"/>
      <c r="F949" s="822"/>
      <c r="G949" s="822"/>
      <c r="H949" s="822"/>
    </row>
    <row r="950" spans="1:8" ht="12" x14ac:dyDescent="0.3">
      <c r="A950" s="820">
        <v>946</v>
      </c>
      <c r="B950" s="1069" t="str">
        <f t="shared" si="14"/>
        <v>Angles, shapes and sections, of iron or non-alloy steel, cold-formed or cold-finished and further worked, or hot-forged, or hot-formed by other means and further worked, n.e.s. (excl. from flat-rolled products)</v>
      </c>
      <c r="C950" s="1069" t="s">
        <v>1367</v>
      </c>
      <c r="D950" s="822"/>
      <c r="E950" s="822"/>
      <c r="F950" s="822"/>
      <c r="G950" s="822"/>
      <c r="H950" s="822"/>
    </row>
    <row r="951" spans="1:8" ht="12" x14ac:dyDescent="0.3">
      <c r="A951" s="820">
        <v>947</v>
      </c>
      <c r="B951" s="1069" t="str">
        <f t="shared" si="14"/>
        <v>Wire of iron or non-alloy steel, in coils (excl. bars and rods)</v>
      </c>
      <c r="C951" s="1069" t="s">
        <v>1369</v>
      </c>
      <c r="D951" s="822"/>
      <c r="E951" s="822"/>
      <c r="F951" s="822"/>
      <c r="G951" s="822"/>
      <c r="H951" s="822"/>
    </row>
    <row r="952" spans="1:8" ht="12" x14ac:dyDescent="0.3">
      <c r="A952" s="820">
        <v>948</v>
      </c>
      <c r="B952" s="1069" t="str">
        <f t="shared" si="14"/>
        <v>Wire of iron or non-alloy steel, in coils, not plated or coated, whether or not polished (excl. bars and rods)</v>
      </c>
      <c r="C952" s="1069" t="s">
        <v>1371</v>
      </c>
      <c r="D952" s="822"/>
      <c r="E952" s="822"/>
      <c r="F952" s="822"/>
      <c r="G952" s="822"/>
      <c r="H952" s="822"/>
    </row>
    <row r="953" spans="1:8" ht="12" x14ac:dyDescent="0.3">
      <c r="A953" s="820">
        <v>949</v>
      </c>
      <c r="B953" s="1069" t="str">
        <f t="shared" si="14"/>
        <v>Wire of iron or non-alloy steel, in coils, containing by weight &lt; 0,25% carbon, not plated or coated, whether or not polished, with a maximum cross-sectional dimension of &lt; 0,8 mm</v>
      </c>
      <c r="C953" s="1069" t="s">
        <v>1374</v>
      </c>
      <c r="D953" s="822"/>
      <c r="E953" s="822"/>
      <c r="F953" s="822"/>
      <c r="G953" s="822"/>
      <c r="H953" s="822"/>
    </row>
    <row r="954" spans="1:8" ht="12" x14ac:dyDescent="0.3">
      <c r="A954" s="820">
        <v>950</v>
      </c>
      <c r="B954" s="1069" t="str">
        <f t="shared" si="14"/>
        <v>Wire of iron or non-alloy steel, in coils, containing by weight &lt; 0,25% carbon, with indentations, ribs, grooves or other deformations produced during the rolling process, not plated or coated, with a maximum cross-sectional dimension of &gt;= 0,8 mm</v>
      </c>
      <c r="C954" s="1069" t="s">
        <v>1377</v>
      </c>
      <c r="D954" s="822"/>
      <c r="E954" s="822"/>
      <c r="F954" s="822"/>
      <c r="G954" s="822"/>
      <c r="H954" s="822"/>
    </row>
    <row r="955" spans="1:8" ht="12" x14ac:dyDescent="0.3">
      <c r="A955" s="820">
        <v>951</v>
      </c>
      <c r="B955" s="1069" t="str">
        <f t="shared" si="14"/>
        <v>Wire of iron or non-alloy steel, in coils, containing by weight &lt; 0,25% carbon, not plated or coated, with a maximum cross-sectional dimension of &gt;= 0,8 mm (without indentations, ribs, grooves or other deformations produced during the rolling process)</v>
      </c>
      <c r="C955" s="1069" t="s">
        <v>1380</v>
      </c>
      <c r="D955" s="822"/>
      <c r="E955" s="822"/>
      <c r="F955" s="822"/>
      <c r="G955" s="822"/>
      <c r="H955" s="822"/>
    </row>
    <row r="956" spans="1:8" ht="12" x14ac:dyDescent="0.3">
      <c r="A956" s="820">
        <v>952</v>
      </c>
      <c r="B956" s="1069" t="str">
        <f t="shared" si="14"/>
        <v>Wire of iron or non-alloy steel, in coils, containing by weight &gt;= 0,25% but &lt; 0,6% carbon, not plated or coated, whether or not polished (excl. hot-rolled bars and rods)</v>
      </c>
      <c r="C956" s="1069" t="s">
        <v>1383</v>
      </c>
      <c r="D956" s="822"/>
      <c r="E956" s="822"/>
      <c r="F956" s="822"/>
      <c r="G956" s="822"/>
      <c r="H956" s="822"/>
    </row>
    <row r="957" spans="1:8" ht="12" x14ac:dyDescent="0.3">
      <c r="A957" s="820">
        <v>953</v>
      </c>
      <c r="B957" s="1069" t="str">
        <f t="shared" si="14"/>
        <v>Wire of iron or non-alloy steel, in coils, containing by weight &gt;= 0,6% carbon, not plated or coated, whether or not polished (excl. hot-rolled bars and rods)</v>
      </c>
      <c r="C957" s="1069" t="s">
        <v>1386</v>
      </c>
      <c r="D957" s="822"/>
      <c r="E957" s="822"/>
      <c r="F957" s="822"/>
      <c r="G957" s="822"/>
      <c r="H957" s="822"/>
    </row>
    <row r="958" spans="1:8" ht="12" x14ac:dyDescent="0.3">
      <c r="A958" s="820">
        <v>954</v>
      </c>
      <c r="B958" s="1069" t="str">
        <f t="shared" si="14"/>
        <v>Wire of iron or non-alloy steel, in coils, plated or coated with zinc (excl. bars and rods)</v>
      </c>
      <c r="C958" s="1069" t="s">
        <v>1388</v>
      </c>
      <c r="D958" s="822"/>
      <c r="E958" s="822"/>
      <c r="F958" s="822"/>
      <c r="G958" s="822"/>
      <c r="H958" s="822"/>
    </row>
    <row r="959" spans="1:8" ht="12" x14ac:dyDescent="0.3">
      <c r="A959" s="820">
        <v>955</v>
      </c>
      <c r="B959" s="1069" t="str">
        <f t="shared" si="14"/>
        <v>Wire of iron or non-alloy steel, in coils, containing by weight &lt; 0,25% carbon, plated or coated with zinc, with a maximum cross-sectional dimension of &lt; 0,8 mm</v>
      </c>
      <c r="C959" s="1069" t="s">
        <v>1391</v>
      </c>
      <c r="D959" s="822"/>
      <c r="E959" s="822"/>
      <c r="F959" s="822"/>
      <c r="G959" s="822"/>
      <c r="H959" s="822"/>
    </row>
    <row r="960" spans="1:8" ht="12" x14ac:dyDescent="0.3">
      <c r="A960" s="820">
        <v>956</v>
      </c>
      <c r="B960" s="1069" t="str">
        <f t="shared" si="14"/>
        <v>Wire of iron or non-alloy steel, in coils, containing by weight &lt; 0,25% carbon, plated or coated with zinc, with a maximum cross-sectional dimension of &lt; 0,8 mm (excl. bars and rods)</v>
      </c>
      <c r="C960" s="1069" t="s">
        <v>1394</v>
      </c>
      <c r="D960" s="822"/>
      <c r="E960" s="822"/>
      <c r="F960" s="822"/>
      <c r="G960" s="822"/>
      <c r="H960" s="822"/>
    </row>
    <row r="961" spans="1:8" ht="12" x14ac:dyDescent="0.3">
      <c r="A961" s="820">
        <v>957</v>
      </c>
      <c r="B961" s="1069" t="str">
        <f t="shared" si="14"/>
        <v>Wire of iron or non-alloy steel, in coils, containing by weight &gt;= 0,25% but &lt; 0,6% carbon, plated or coated with zinc (excl. bars and rods)</v>
      </c>
      <c r="C961" s="1069" t="s">
        <v>1397</v>
      </c>
      <c r="D961" s="822"/>
      <c r="E961" s="822"/>
      <c r="F961" s="822"/>
      <c r="G961" s="822"/>
      <c r="H961" s="822"/>
    </row>
    <row r="962" spans="1:8" ht="12" x14ac:dyDescent="0.3">
      <c r="A962" s="820">
        <v>958</v>
      </c>
      <c r="B962" s="1069" t="str">
        <f t="shared" si="14"/>
        <v>Wire of iron or non-alloy steel, in coils, containing by weight &gt;= 0,6% carbon, plated or coated with zinc (excl. bars and rods)</v>
      </c>
      <c r="C962" s="1069" t="s">
        <v>1400</v>
      </c>
      <c r="D962" s="822"/>
      <c r="E962" s="822"/>
      <c r="F962" s="822"/>
      <c r="G962" s="822"/>
      <c r="H962" s="822"/>
    </row>
    <row r="963" spans="1:8" ht="12" x14ac:dyDescent="0.3">
      <c r="A963" s="820">
        <v>959</v>
      </c>
      <c r="B963" s="1069" t="str">
        <f t="shared" si="14"/>
        <v>Wire of iron or non-alloy steel, in coils, plated or coated with base metals (excl. plated or coated with zinc, and bars and rods)</v>
      </c>
      <c r="C963" s="1069" t="s">
        <v>1402</v>
      </c>
      <c r="D963" s="822"/>
      <c r="E963" s="822"/>
      <c r="F963" s="822"/>
      <c r="G963" s="822"/>
      <c r="H963" s="822"/>
    </row>
    <row r="964" spans="1:8" ht="12" x14ac:dyDescent="0.3">
      <c r="A964" s="820">
        <v>960</v>
      </c>
      <c r="B964" s="1069" t="str">
        <f t="shared" si="14"/>
        <v>Wire of iron or non-alloy steel, in coils, containing by weight &lt; 0,25% carbon, copper-coated (excl. bars and rods)</v>
      </c>
      <c r="C964" s="1069" t="s">
        <v>1405</v>
      </c>
      <c r="D964" s="822"/>
      <c r="E964" s="822"/>
      <c r="F964" s="822"/>
      <c r="G964" s="822"/>
      <c r="H964" s="822"/>
    </row>
    <row r="965" spans="1:8" ht="12" x14ac:dyDescent="0.3">
      <c r="A965" s="820">
        <v>961</v>
      </c>
      <c r="B965" s="1069" t="str">
        <f t="shared" si="14"/>
        <v>Wire of iron or non-alloy steel, in coils, containing by weight &lt; 0,25% carbon, plated or coated with base metals (excl. products plated or coated with zinc or copper and bars and rods)</v>
      </c>
      <c r="C965" s="1069" t="s">
        <v>1408</v>
      </c>
      <c r="D965" s="822"/>
      <c r="E965" s="822"/>
      <c r="F965" s="822"/>
      <c r="G965" s="822"/>
      <c r="H965" s="822"/>
    </row>
    <row r="966" spans="1:8" ht="12" x14ac:dyDescent="0.3">
      <c r="A966" s="820">
        <v>962</v>
      </c>
      <c r="B966" s="1069" t="str">
        <f t="shared" ref="B966:B1029" si="15">IFERROR(INDEX(C966:M966,$A$3-2),$C966)</f>
        <v>Wire of iron or non-alloy steel, in coils, containing by weight &gt;= 0,25% but &lt; 0,6% carbon, plated or coated with base metals (excl. products plated or coated with zinc, and bars and rods)</v>
      </c>
      <c r="C966" s="1069" t="s">
        <v>1411</v>
      </c>
      <c r="D966" s="822"/>
      <c r="E966" s="822"/>
      <c r="F966" s="822"/>
      <c r="G966" s="822"/>
      <c r="H966" s="822"/>
    </row>
    <row r="967" spans="1:8" ht="12" x14ac:dyDescent="0.3">
      <c r="A967" s="820">
        <v>963</v>
      </c>
      <c r="B967" s="1069" t="str">
        <f t="shared" si="15"/>
        <v>Wire of iron or non-alloy steel, in coils, containing by weight &gt;= 0,6% carbon, plated or coated with base metals (excl. products plated or coated with zinc, and bars and rods)</v>
      </c>
      <c r="C967" s="1069" t="s">
        <v>1414</v>
      </c>
      <c r="D967" s="822"/>
      <c r="E967" s="822"/>
      <c r="F967" s="822"/>
      <c r="G967" s="822"/>
      <c r="H967" s="822"/>
    </row>
    <row r="968" spans="1:8" ht="12" x14ac:dyDescent="0.3">
      <c r="A968" s="820">
        <v>964</v>
      </c>
      <c r="B968" s="1069" t="str">
        <f t="shared" si="15"/>
        <v>Wire of iron or non-alloy steel, in coils, plated or coated (excl. plated or coated with base metals, and bars and rods)</v>
      </c>
      <c r="C968" s="1069" t="s">
        <v>1416</v>
      </c>
      <c r="D968" s="822"/>
      <c r="E968" s="822"/>
      <c r="F968" s="822"/>
      <c r="G968" s="822"/>
      <c r="H968" s="822"/>
    </row>
    <row r="969" spans="1:8" ht="12" x14ac:dyDescent="0.3">
      <c r="A969" s="820">
        <v>965</v>
      </c>
      <c r="B969" s="1069" t="str">
        <f t="shared" si="15"/>
        <v>Wire of iron or non-alloy steel, in coils, containing by weight &lt; 0,25% carbon, plated or coated (excl. products plated or coated with base metals and bars and rods)</v>
      </c>
      <c r="C969" s="1069" t="s">
        <v>1419</v>
      </c>
      <c r="D969" s="822"/>
      <c r="E969" s="822"/>
      <c r="F969" s="822"/>
      <c r="G969" s="822"/>
      <c r="H969" s="822"/>
    </row>
    <row r="970" spans="1:8" ht="12" x14ac:dyDescent="0.3">
      <c r="A970" s="820">
        <v>966</v>
      </c>
      <c r="B970" s="1069" t="str">
        <f t="shared" si="15"/>
        <v>Wire of iron or non-alloy steel, in coils, containing by weight &gt;= 0,25% but &lt; 0,6% carbon, plated or coated (excl. products plated or coated with with base metals, and bars and rods)</v>
      </c>
      <c r="C970" s="1069" t="s">
        <v>1422</v>
      </c>
      <c r="D970" s="822"/>
      <c r="E970" s="822"/>
      <c r="F970" s="822"/>
      <c r="G970" s="822"/>
      <c r="H970" s="822"/>
    </row>
    <row r="971" spans="1:8" ht="12" x14ac:dyDescent="0.3">
      <c r="A971" s="820">
        <v>967</v>
      </c>
      <c r="B971" s="1069" t="str">
        <f t="shared" si="15"/>
        <v>Wire of iron or non-alloy steel, in coils, containing by weight &gt;= 0,6% carbon, plated or coated (excl. products plated or coated with base metals, and bars and rods)</v>
      </c>
      <c r="C971" s="1069" t="s">
        <v>1425</v>
      </c>
      <c r="D971" s="822"/>
      <c r="E971" s="822"/>
      <c r="F971" s="822"/>
      <c r="G971" s="822"/>
      <c r="H971" s="822"/>
    </row>
    <row r="972" spans="1:8" ht="12" x14ac:dyDescent="0.3">
      <c r="A972" s="820">
        <v>968</v>
      </c>
      <c r="B972" s="1069" t="str">
        <f t="shared" si="15"/>
        <v>Stainless steel in ingots or other primary forms (excl. remelting scrap ingots and products obtained by continuous casting); semi-finished products of stainless steel</v>
      </c>
      <c r="C972" s="1069" t="s">
        <v>1427</v>
      </c>
      <c r="D972" s="822"/>
      <c r="E972" s="822"/>
      <c r="F972" s="822"/>
      <c r="G972" s="822"/>
      <c r="H972" s="822"/>
    </row>
    <row r="973" spans="1:8" ht="12" x14ac:dyDescent="0.3">
      <c r="A973" s="820">
        <v>969</v>
      </c>
      <c r="B973" s="1069" t="str">
        <f t="shared" si="15"/>
        <v>Steel, stainless, in ingots and other primary forms (excl. waste and scrap in ingot form, and products obtained by continuous casting)</v>
      </c>
      <c r="C973" s="1069" t="s">
        <v>1430</v>
      </c>
      <c r="D973" s="822"/>
      <c r="E973" s="822"/>
      <c r="F973" s="822"/>
      <c r="G973" s="822"/>
      <c r="H973" s="822"/>
    </row>
    <row r="974" spans="1:8" ht="12" x14ac:dyDescent="0.3">
      <c r="A974" s="820">
        <v>970</v>
      </c>
      <c r="B974" s="1069" t="str">
        <f t="shared" si="15"/>
        <v>Semi-finished products of stainless steel, of rectangular "other than square" cross-section</v>
      </c>
      <c r="C974" s="1069" t="s">
        <v>1432</v>
      </c>
      <c r="D974" s="822"/>
      <c r="E974" s="822"/>
      <c r="F974" s="822"/>
      <c r="G974" s="822"/>
      <c r="H974" s="822"/>
    </row>
    <row r="975" spans="1:8" ht="12" x14ac:dyDescent="0.3">
      <c r="A975" s="820">
        <v>971</v>
      </c>
      <c r="B975" s="1069" t="str">
        <f t="shared" si="15"/>
        <v>Semi-finished products of stainless steel, of rectangular "other than square" cross-section, containing by weight &gt;= 2,5% nickel</v>
      </c>
      <c r="C975" s="1069" t="s">
        <v>1435</v>
      </c>
      <c r="D975" s="822"/>
      <c r="E975" s="822"/>
      <c r="F975" s="822"/>
      <c r="G975" s="822"/>
      <c r="H975" s="822"/>
    </row>
    <row r="976" spans="1:8" ht="12" x14ac:dyDescent="0.3">
      <c r="A976" s="820">
        <v>972</v>
      </c>
      <c r="B976" s="1069" t="str">
        <f t="shared" si="15"/>
        <v>Semi-finished products of stainless steel, of rectangular "other than square" cross-section, containing by weight &lt; 2,5 nickel</v>
      </c>
      <c r="C976" s="1069" t="s">
        <v>1438</v>
      </c>
      <c r="D976" s="822"/>
      <c r="E976" s="822"/>
      <c r="F976" s="822"/>
      <c r="G976" s="822"/>
      <c r="H976" s="822"/>
    </row>
    <row r="977" spans="1:8" ht="12" x14ac:dyDescent="0.3">
      <c r="A977" s="820">
        <v>973</v>
      </c>
      <c r="B977" s="1069" t="str">
        <f t="shared" si="15"/>
        <v>Semi-finished products of stainless steel (excl. of rectangular [other than square] cross-section)</v>
      </c>
      <c r="C977" s="1069" t="s">
        <v>1440</v>
      </c>
      <c r="D977" s="822"/>
      <c r="E977" s="822"/>
      <c r="F977" s="822"/>
      <c r="G977" s="822"/>
      <c r="H977" s="822"/>
    </row>
    <row r="978" spans="1:8" ht="12" x14ac:dyDescent="0.3">
      <c r="A978" s="820">
        <v>974</v>
      </c>
      <c r="B978" s="1069" t="str">
        <f t="shared" si="15"/>
        <v>Semi-finished products of stainless steel, of square cross-section, rolled or obtained by continuous casting</v>
      </c>
      <c r="C978" s="1069" t="s">
        <v>1443</v>
      </c>
      <c r="D978" s="822"/>
      <c r="E978" s="822"/>
      <c r="F978" s="822"/>
      <c r="G978" s="822"/>
      <c r="H978" s="822"/>
    </row>
    <row r="979" spans="1:8" ht="12" x14ac:dyDescent="0.3">
      <c r="A979" s="820">
        <v>975</v>
      </c>
      <c r="B979" s="1069" t="str">
        <f t="shared" si="15"/>
        <v>Semi-finished products of stainless steel, of square cross-section, forged</v>
      </c>
      <c r="C979" s="1069" t="s">
        <v>1446</v>
      </c>
      <c r="D979" s="822"/>
      <c r="E979" s="822"/>
      <c r="F979" s="822"/>
      <c r="G979" s="822"/>
      <c r="H979" s="822"/>
    </row>
    <row r="980" spans="1:8" ht="12" x14ac:dyDescent="0.3">
      <c r="A980" s="820">
        <v>976</v>
      </c>
      <c r="B980" s="1069" t="str">
        <f t="shared" si="15"/>
        <v>Semi-finished products of stainless steel, of circular cross-section or of cross-section other than square or rectangular, rolled or obtained by continuous casting</v>
      </c>
      <c r="C980" s="1069" t="s">
        <v>1449</v>
      </c>
      <c r="D980" s="822"/>
      <c r="E980" s="822"/>
      <c r="F980" s="822"/>
      <c r="G980" s="822"/>
      <c r="H980" s="822"/>
    </row>
    <row r="981" spans="1:8" ht="12" x14ac:dyDescent="0.3">
      <c r="A981" s="820">
        <v>977</v>
      </c>
      <c r="B981" s="1069" t="str">
        <f t="shared" si="15"/>
        <v>Semi-finished products of stainless steel, forged (excl. products of square or rectangular cross-section)</v>
      </c>
      <c r="C981" s="1069" t="s">
        <v>1452</v>
      </c>
      <c r="D981" s="822"/>
      <c r="E981" s="822"/>
      <c r="F981" s="822"/>
      <c r="G981" s="822"/>
      <c r="H981" s="822"/>
    </row>
    <row r="982" spans="1:8" ht="12" x14ac:dyDescent="0.3">
      <c r="A982" s="820">
        <v>978</v>
      </c>
      <c r="B982" s="1069" t="str">
        <f t="shared" si="15"/>
        <v>Flat-rolled products of stainless steel, of a width of &gt;= 600 mm, hot-rolled or cold-rolled "cold-reduced"</v>
      </c>
      <c r="C982" s="1069" t="s">
        <v>1454</v>
      </c>
      <c r="D982" s="822"/>
      <c r="E982" s="822"/>
      <c r="F982" s="822"/>
      <c r="G982" s="822"/>
      <c r="H982" s="822"/>
    </row>
    <row r="983" spans="1:8" ht="12" x14ac:dyDescent="0.3">
      <c r="A983" s="820">
        <v>979</v>
      </c>
      <c r="B983" s="1069" t="str">
        <f t="shared" si="15"/>
        <v>Flat-rolled products of stainless steel, of a width of &gt;= 600 mm, not further worked than hot-rolled, in coils, of a thickness of &gt; 10 mm</v>
      </c>
      <c r="C983" s="1069" t="s">
        <v>1457</v>
      </c>
      <c r="D983" s="822"/>
      <c r="E983" s="822"/>
      <c r="F983" s="822"/>
      <c r="G983" s="822"/>
      <c r="H983" s="822"/>
    </row>
    <row r="984" spans="1:8" ht="12" x14ac:dyDescent="0.3">
      <c r="A984" s="820">
        <v>980</v>
      </c>
      <c r="B984" s="1069" t="str">
        <f t="shared" si="15"/>
        <v>Flat-rolled products of stainless steel, of a width of&gt;= 600 mm, not further worked than hot-rolled, in coils, of a thickness of &gt;= 4,7 mm and &lt;= 10 mm</v>
      </c>
      <c r="C984" s="1069" t="s">
        <v>1459</v>
      </c>
      <c r="D984" s="822"/>
      <c r="E984" s="822"/>
      <c r="F984" s="822"/>
      <c r="G984" s="822"/>
      <c r="H984" s="822"/>
    </row>
    <row r="985" spans="1:8" ht="12" x14ac:dyDescent="0.3">
      <c r="A985" s="820">
        <v>981</v>
      </c>
      <c r="B985" s="1069" t="str">
        <f t="shared" si="15"/>
        <v>Flat-rolled products of stainless steel, of a width of &gt;= 600 mm, not further worked than hot-rolled, in coils, of a thickness of &gt;= 4,75 mm but &lt;= 10 mm, containing by weight &gt;= 2,5 nickel</v>
      </c>
      <c r="C985" s="1069" t="s">
        <v>1462</v>
      </c>
      <c r="D985" s="822"/>
      <c r="E985" s="822"/>
      <c r="F985" s="822"/>
      <c r="G985" s="822"/>
      <c r="H985" s="822"/>
    </row>
    <row r="986" spans="1:8" ht="12" x14ac:dyDescent="0.3">
      <c r="A986" s="820">
        <v>982</v>
      </c>
      <c r="B986" s="1069" t="str">
        <f t="shared" si="15"/>
        <v>Flat-rolled products of stainless steel, of a width of &gt;= 600 mm, not further worked than hot-rolled, in coils, of a thickness of &gt;= 4,75 mm but &lt;= 10 mm, containing by weight &lt; 2,5 nickel</v>
      </c>
      <c r="C986" s="1069" t="s">
        <v>1465</v>
      </c>
      <c r="D986" s="822"/>
      <c r="E986" s="822"/>
      <c r="F986" s="822"/>
      <c r="G986" s="822"/>
      <c r="H986" s="822"/>
    </row>
    <row r="987" spans="1:8" ht="12" x14ac:dyDescent="0.3">
      <c r="A987" s="820">
        <v>983</v>
      </c>
      <c r="B987" s="1069" t="str">
        <f t="shared" si="15"/>
        <v>Flat-rolled products of stainless steel, of a width of &gt;= 600 mm, not further worked than hot-rolled, in coils, of a thickness of &gt;= 3 mm and &lt; 4,75 mm</v>
      </c>
      <c r="C987" s="1069" t="s">
        <v>1467</v>
      </c>
      <c r="D987" s="822"/>
      <c r="E987" s="822"/>
      <c r="F987" s="822"/>
      <c r="G987" s="822"/>
      <c r="H987" s="822"/>
    </row>
    <row r="988" spans="1:8" ht="12" x14ac:dyDescent="0.3">
      <c r="A988" s="820">
        <v>984</v>
      </c>
      <c r="B988" s="1069" t="str">
        <f t="shared" si="15"/>
        <v>Flat-rolled products of stainless steel, of a width of &gt;= 600 mm, not further worked than hot-rolled, in coils, of a thickness of &gt;= 3 mm but &lt;= 4,75 mm, containing by weight &gt;= 2,5 nickel</v>
      </c>
      <c r="C988" s="1069" t="s">
        <v>1470</v>
      </c>
      <c r="D988" s="822"/>
      <c r="E988" s="822"/>
      <c r="F988" s="822"/>
      <c r="G988" s="822"/>
      <c r="H988" s="822"/>
    </row>
    <row r="989" spans="1:8" ht="12" x14ac:dyDescent="0.3">
      <c r="A989" s="820">
        <v>985</v>
      </c>
      <c r="B989" s="1069" t="str">
        <f t="shared" si="15"/>
        <v>Flat-rolled products of stainless steel, of a width of &gt;= 600 mm, not further worked than hot-rolled, in coils, of a thickness of &gt;= 3 mm but &lt;= 4,75 mm, containing by weight &lt; 2,5 nickel</v>
      </c>
      <c r="C989" s="1069" t="s">
        <v>1473</v>
      </c>
      <c r="D989" s="822"/>
      <c r="E989" s="822"/>
      <c r="F989" s="822"/>
      <c r="G989" s="822"/>
      <c r="H989" s="822"/>
    </row>
    <row r="990" spans="1:8" ht="12" x14ac:dyDescent="0.3">
      <c r="A990" s="820">
        <v>986</v>
      </c>
      <c r="B990" s="1069" t="str">
        <f t="shared" si="15"/>
        <v>Flat-rolled products of stainless steel, of a width of &gt;= 600 mm, not further worked than hot-rolled, in coils, of a thickness of &lt; 3 mm</v>
      </c>
      <c r="C990" s="1069" t="s">
        <v>1475</v>
      </c>
      <c r="D990" s="822"/>
      <c r="E990" s="822"/>
      <c r="F990" s="822"/>
      <c r="G990" s="822"/>
      <c r="H990" s="822"/>
    </row>
    <row r="991" spans="1:8" ht="12" x14ac:dyDescent="0.3">
      <c r="A991" s="820">
        <v>987</v>
      </c>
      <c r="B991" s="1069" t="str">
        <f t="shared" si="15"/>
        <v>Flat-rolled products of stainless steel, of a width of &gt;= 600 mm, not further worked than hot-rolled, in coils, of a thickness of &lt; 3 mm, containing by weight &gt;= 2,5 nickel</v>
      </c>
      <c r="C991" s="1069" t="s">
        <v>1478</v>
      </c>
      <c r="D991" s="822"/>
      <c r="E991" s="822"/>
      <c r="F991" s="822"/>
      <c r="G991" s="822"/>
      <c r="H991" s="822"/>
    </row>
    <row r="992" spans="1:8" ht="12" x14ac:dyDescent="0.3">
      <c r="A992" s="820">
        <v>988</v>
      </c>
      <c r="B992" s="1069" t="str">
        <f t="shared" si="15"/>
        <v>Flat-rolled products of stainless steel, of a width of &gt;= 600 mm, not further worked than hot-rolled, in coils, of a thickness of &lt; 3 mm, containing by weight &lt; 2,5 nickel</v>
      </c>
      <c r="C992" s="1069" t="s">
        <v>1481</v>
      </c>
      <c r="D992" s="822"/>
      <c r="E992" s="822"/>
      <c r="F992" s="822"/>
      <c r="G992" s="822"/>
      <c r="H992" s="822"/>
    </row>
    <row r="993" spans="1:8" ht="12" x14ac:dyDescent="0.3">
      <c r="A993" s="820">
        <v>989</v>
      </c>
      <c r="B993" s="1069" t="str">
        <f t="shared" si="15"/>
        <v>Flat-rolled products of stainless steel, of a width of &gt;= 600 mm, not further worked than hot-rolled, not in coils, of a thickness of &gt; 10 mm</v>
      </c>
      <c r="C993" s="1069" t="s">
        <v>1483</v>
      </c>
      <c r="D993" s="822"/>
      <c r="E993" s="822"/>
      <c r="F993" s="822"/>
      <c r="G993" s="822"/>
      <c r="H993" s="822"/>
    </row>
    <row r="994" spans="1:8" ht="12" x14ac:dyDescent="0.3">
      <c r="A994" s="820">
        <v>990</v>
      </c>
      <c r="B994" s="1069" t="str">
        <f t="shared" si="15"/>
        <v>Flat-rolled products of stainless steel, of a width of &gt;= 600 mm, not further worked than hot-rolled, not in coils, of a thickness of &gt; 10 mm, containing by weight &gt;= 2,5 nickel</v>
      </c>
      <c r="C994" s="1069" t="s">
        <v>1486</v>
      </c>
      <c r="D994" s="822"/>
      <c r="E994" s="822"/>
      <c r="F994" s="822"/>
      <c r="G994" s="822"/>
      <c r="H994" s="822"/>
    </row>
    <row r="995" spans="1:8" ht="12" x14ac:dyDescent="0.3">
      <c r="A995" s="820">
        <v>991</v>
      </c>
      <c r="B995" s="1069" t="str">
        <f t="shared" si="15"/>
        <v>Flat-rolled products of stainless steel, of a width of &gt;= 600 mm, not further worked than hot-rolled, not in coils, of a thickness of &gt; 10 mm, containing by weight &lt; 2,5 nickel</v>
      </c>
      <c r="C995" s="1069" t="s">
        <v>1489</v>
      </c>
      <c r="D995" s="822"/>
      <c r="E995" s="822"/>
      <c r="F995" s="822"/>
      <c r="G995" s="822"/>
      <c r="H995" s="822"/>
    </row>
    <row r="996" spans="1:8" ht="12" x14ac:dyDescent="0.3">
      <c r="A996" s="820">
        <v>992</v>
      </c>
      <c r="B996" s="1069" t="str">
        <f t="shared" si="15"/>
        <v>Flat-rolled products of stainless steel, of a width of &gt;= 600 mm, not further worked than hot-rolled, not in coils, of a thickness of &gt;= 4,75 mm and &lt;= 10 mm</v>
      </c>
      <c r="C996" s="1069" t="s">
        <v>1491</v>
      </c>
      <c r="D996" s="822"/>
      <c r="E996" s="822"/>
      <c r="F996" s="822"/>
      <c r="G996" s="822"/>
      <c r="H996" s="822"/>
    </row>
    <row r="997" spans="1:8" ht="12" x14ac:dyDescent="0.3">
      <c r="A997" s="820">
        <v>993</v>
      </c>
      <c r="B997" s="1069" t="str">
        <f t="shared" si="15"/>
        <v>Flat-rolled products of stainless steel, of a width of &gt;= 600 mm, not further worked than hot-rolled, not in coils, of a thickness of &gt;= 4,75 mm but &lt;= 10 mm, containing by weight &gt;= 2,5% nickel</v>
      </c>
      <c r="C997" s="1069" t="s">
        <v>1494</v>
      </c>
      <c r="D997" s="822"/>
      <c r="E997" s="822"/>
      <c r="F997" s="822"/>
      <c r="G997" s="822"/>
      <c r="H997" s="822"/>
    </row>
    <row r="998" spans="1:8" ht="12" x14ac:dyDescent="0.3">
      <c r="A998" s="820">
        <v>994</v>
      </c>
      <c r="B998" s="1069" t="str">
        <f t="shared" si="15"/>
        <v>Flat-rolled products of stainless steel, of a width of &gt;= 600 mm, not further worked than hot-rolled, not in coils, of a thickness of &gt;= 4,75 mm but &lt;= 10 mm, containing by weight &lt; 2,5% nickel</v>
      </c>
      <c r="C998" s="1069" t="s">
        <v>1497</v>
      </c>
      <c r="D998" s="822"/>
      <c r="E998" s="822"/>
      <c r="F998" s="822"/>
      <c r="G998" s="822"/>
      <c r="H998" s="822"/>
    </row>
    <row r="999" spans="1:8" ht="12" x14ac:dyDescent="0.3">
      <c r="A999" s="820">
        <v>995</v>
      </c>
      <c r="B999" s="1069" t="str">
        <f t="shared" si="15"/>
        <v>Flat-rolled products of stainless steel, of a width of &gt;= 600 mm, not further worked than hot-rolled, not in coils, of a thickness of &gt;= 3 mm and &lt; 4,75 mm</v>
      </c>
      <c r="C999" s="1069" t="s">
        <v>1500</v>
      </c>
      <c r="D999" s="822"/>
      <c r="E999" s="822"/>
      <c r="F999" s="822"/>
      <c r="G999" s="822"/>
      <c r="H999" s="822"/>
    </row>
    <row r="1000" spans="1:8" ht="12" x14ac:dyDescent="0.3">
      <c r="A1000" s="820">
        <v>996</v>
      </c>
      <c r="B1000" s="1069" t="str">
        <f t="shared" si="15"/>
        <v>Flat-rolled products of stainless steel, of a width of &gt;= 600 mm, not further worked than hot-rolled, not in coils, of a thickness of &lt; 3 mm</v>
      </c>
      <c r="C1000" s="1069" t="s">
        <v>1503</v>
      </c>
      <c r="D1000" s="822"/>
      <c r="E1000" s="822"/>
      <c r="F1000" s="822"/>
      <c r="G1000" s="822"/>
      <c r="H1000" s="822"/>
    </row>
    <row r="1001" spans="1:8" ht="12" x14ac:dyDescent="0.3">
      <c r="A1001" s="820">
        <v>997</v>
      </c>
      <c r="B1001" s="1069" t="str">
        <f t="shared" si="15"/>
        <v>Flat-rolled products of stainless steel, of a width of &gt;= 600 mm, not further worked than cold-rolled "cold-reduced", of a thickness of &gt;= 4,75 mm</v>
      </c>
      <c r="C1001" s="1069" t="s">
        <v>1506</v>
      </c>
      <c r="D1001" s="822"/>
      <c r="E1001" s="822"/>
      <c r="F1001" s="822"/>
      <c r="G1001" s="822"/>
      <c r="H1001" s="822"/>
    </row>
    <row r="1002" spans="1:8" ht="12" x14ac:dyDescent="0.3">
      <c r="A1002" s="820">
        <v>998</v>
      </c>
      <c r="B1002" s="1069" t="str">
        <f t="shared" si="15"/>
        <v>Flat-rolled products of stainless steel, of a width of &gt;= 600 mm, not further worked than cold-rolled "cold-reduced", of a thickness of &gt;= 3 mm but &lt; 4,75 mm</v>
      </c>
      <c r="C1002" s="1069" t="s">
        <v>1508</v>
      </c>
      <c r="D1002" s="822"/>
      <c r="E1002" s="822"/>
      <c r="F1002" s="822"/>
      <c r="G1002" s="822"/>
      <c r="H1002" s="822"/>
    </row>
    <row r="1003" spans="1:8" ht="12" x14ac:dyDescent="0.3">
      <c r="A1003" s="820">
        <v>999</v>
      </c>
      <c r="B1003" s="1069" t="str">
        <f t="shared" si="15"/>
        <v>Flat-rolled products of stainless steel, of a width of &gt;= 600 mm, not further worked than cold-rolled "cold-reduced", of a thickness of &gt;= 3 mm but &lt;= 4,75 mm, containing by weight &gt;= 2,5% nickel</v>
      </c>
      <c r="C1003" s="1069" t="s">
        <v>1511</v>
      </c>
      <c r="D1003" s="822"/>
      <c r="E1003" s="822"/>
      <c r="F1003" s="822"/>
      <c r="G1003" s="822"/>
      <c r="H1003" s="822"/>
    </row>
    <row r="1004" spans="1:8" ht="12" x14ac:dyDescent="0.3">
      <c r="A1004" s="820">
        <v>1000</v>
      </c>
      <c r="B1004" s="1069" t="str">
        <f t="shared" si="15"/>
        <v>Flat-rolled products of stainless steel, of a width of &gt;= 600 mm, not further worked than cold-rolled "cold-reduced", of a thickness of &gt;= 3 mm but &lt;= 4,75 mm, containing by weight &lt; 2,5% nickel</v>
      </c>
      <c r="C1004" s="1069" t="s">
        <v>1514</v>
      </c>
      <c r="D1004" s="822"/>
      <c r="E1004" s="822"/>
      <c r="F1004" s="822"/>
      <c r="G1004" s="822"/>
      <c r="H1004" s="822"/>
    </row>
    <row r="1005" spans="1:8" ht="12" x14ac:dyDescent="0.3">
      <c r="A1005" s="820">
        <v>1001</v>
      </c>
      <c r="B1005" s="1069" t="str">
        <f t="shared" si="15"/>
        <v>Flat-rolled products of stainless steel, of a width of &gt;= 600 mm, not further worked than cold-rolled "cold-reduced", of a thickness of &gt; 1 mm but &lt; 3 mm</v>
      </c>
      <c r="C1005" s="1069" t="s">
        <v>1516</v>
      </c>
      <c r="D1005" s="822"/>
      <c r="E1005" s="822"/>
      <c r="F1005" s="822"/>
      <c r="G1005" s="822"/>
      <c r="H1005" s="822"/>
    </row>
    <row r="1006" spans="1:8" ht="12" x14ac:dyDescent="0.3">
      <c r="A1006" s="820">
        <v>1002</v>
      </c>
      <c r="B1006" s="1069" t="str">
        <f t="shared" si="15"/>
        <v>Flat-rolled products of stainless steel, of a width of &gt;= 600 mm, not further worked than cold-rolled "cold-reduced", of a thickness of &gt; 1 mm but &lt; 3 mm, containing by weight &gt;= 2,5% nickel</v>
      </c>
      <c r="C1006" s="1069" t="s">
        <v>1519</v>
      </c>
      <c r="D1006" s="822"/>
      <c r="E1006" s="822"/>
      <c r="F1006" s="822"/>
      <c r="G1006" s="822"/>
      <c r="H1006" s="822"/>
    </row>
    <row r="1007" spans="1:8" ht="12" x14ac:dyDescent="0.3">
      <c r="A1007" s="820">
        <v>1003</v>
      </c>
      <c r="B1007" s="1069" t="str">
        <f t="shared" si="15"/>
        <v>Flat-rolled products of stainless steel, of a width of &gt;= 600 mm, not further worked than cold-rolled "cold-reduced", of a thickness of &gt; 1 mm but &lt; 3 mm, containing by weight &lt; 2,5% nickel</v>
      </c>
      <c r="C1007" s="1069" t="s">
        <v>1522</v>
      </c>
      <c r="D1007" s="822"/>
      <c r="E1007" s="822"/>
      <c r="F1007" s="822"/>
      <c r="G1007" s="822"/>
      <c r="H1007" s="822"/>
    </row>
    <row r="1008" spans="1:8" ht="12" x14ac:dyDescent="0.3">
      <c r="A1008" s="820">
        <v>1004</v>
      </c>
      <c r="B1008" s="1069" t="str">
        <f t="shared" si="15"/>
        <v>Flat-rolled products of stainless steel, of a width of &gt;= 600 mm, not further worked than cold-rolled "cold-reduced", of a thickness of &gt;= 0,5 mm but &lt;= 1 mm</v>
      </c>
      <c r="C1008" s="1069" t="s">
        <v>1524</v>
      </c>
      <c r="D1008" s="822"/>
      <c r="E1008" s="822"/>
      <c r="F1008" s="822"/>
      <c r="G1008" s="822"/>
      <c r="H1008" s="822"/>
    </row>
    <row r="1009" spans="1:8" ht="12" x14ac:dyDescent="0.3">
      <c r="A1009" s="820">
        <v>1005</v>
      </c>
      <c r="B1009" s="1069" t="str">
        <f t="shared" si="15"/>
        <v>Flat-rolled products of stainless steel, of a width of &gt;= 600 mm, not further worked than cold-rolled "cold-reduced", of a thickness of &gt;= 0,5 mm but &lt;= 1 mm, containing by weight &gt;= 2,5% nickel</v>
      </c>
      <c r="C1009" s="1069" t="s">
        <v>1527</v>
      </c>
      <c r="D1009" s="822"/>
      <c r="E1009" s="822"/>
      <c r="F1009" s="822"/>
      <c r="G1009" s="822"/>
      <c r="H1009" s="822"/>
    </row>
    <row r="1010" spans="1:8" ht="12" x14ac:dyDescent="0.3">
      <c r="A1010" s="820">
        <v>1006</v>
      </c>
      <c r="B1010" s="1069" t="str">
        <f t="shared" si="15"/>
        <v>Flat-rolled products of stainless steel, of a width of &gt;= 600 mm, not further worked than cold-rolled "cold-reduced", of a thickness of &gt;= 0,5 mm but &lt;= 1 mm, containing by weight &lt; 2,5% nickel</v>
      </c>
      <c r="C1010" s="1069" t="s">
        <v>1530</v>
      </c>
      <c r="D1010" s="822"/>
      <c r="E1010" s="822"/>
      <c r="F1010" s="822"/>
      <c r="G1010" s="822"/>
      <c r="H1010" s="822"/>
    </row>
    <row r="1011" spans="1:8" ht="12" x14ac:dyDescent="0.3">
      <c r="A1011" s="820">
        <v>1007</v>
      </c>
      <c r="B1011" s="1069" t="str">
        <f t="shared" si="15"/>
        <v>Flat-rolled products of stainless steel, of a width of &gt;= 600 mm, not further worked than cold-rolled "cold-reduced", of a thickness of &lt; 0,5 mm</v>
      </c>
      <c r="C1011" s="1069" t="s">
        <v>1532</v>
      </c>
      <c r="D1011" s="822"/>
      <c r="E1011" s="822"/>
      <c r="F1011" s="822"/>
      <c r="G1011" s="822"/>
      <c r="H1011" s="822"/>
    </row>
    <row r="1012" spans="1:8" ht="12" x14ac:dyDescent="0.3">
      <c r="A1012" s="820">
        <v>1008</v>
      </c>
      <c r="B1012" s="1069" t="str">
        <f t="shared" si="15"/>
        <v>Flat-rolled products of stainless steel, of a width of &gt;= 600 mm, not further worked than cold-rolled "cold-reduced", of a thickness of &lt; 0,5 mm, containing by weight &gt;= 2,5% nickel</v>
      </c>
      <c r="C1012" s="1069" t="s">
        <v>1535</v>
      </c>
      <c r="D1012" s="822"/>
      <c r="E1012" s="822"/>
      <c r="F1012" s="822"/>
      <c r="G1012" s="822"/>
      <c r="H1012" s="822"/>
    </row>
    <row r="1013" spans="1:8" ht="12" x14ac:dyDescent="0.3">
      <c r="A1013" s="820">
        <v>1009</v>
      </c>
      <c r="B1013" s="1069" t="str">
        <f t="shared" si="15"/>
        <v>Flat-rolled products of stainless steel, of a width of &gt;= 600 mm, not further worked than cold-rolled "cold-reduced", of a thickness of &lt; 0,5 mm, containing by weight &lt; 2,5% nickel</v>
      </c>
      <c r="C1013" s="1069" t="s">
        <v>1538</v>
      </c>
      <c r="D1013" s="822"/>
      <c r="E1013" s="822"/>
      <c r="F1013" s="822"/>
      <c r="G1013" s="822"/>
      <c r="H1013" s="822"/>
    </row>
    <row r="1014" spans="1:8" ht="12" x14ac:dyDescent="0.3">
      <c r="A1014" s="820">
        <v>1010</v>
      </c>
      <c r="B1014" s="1069" t="str">
        <f t="shared" si="15"/>
        <v>Flat-rolled products of stainless steel, of a width of &gt;= 600 mm, hot-rolled or cold-rolled "cold-reduced" and further worked</v>
      </c>
      <c r="C1014" s="1069" t="s">
        <v>1540</v>
      </c>
      <c r="D1014" s="822"/>
      <c r="E1014" s="822"/>
      <c r="F1014" s="822"/>
      <c r="G1014" s="822"/>
      <c r="H1014" s="822"/>
    </row>
    <row r="1015" spans="1:8" ht="12" x14ac:dyDescent="0.3">
      <c r="A1015" s="820">
        <v>1011</v>
      </c>
      <c r="B1015" s="1069" t="str">
        <f t="shared" si="15"/>
        <v>Flat-rolled products of stainless steel, of a width of &gt;= 600 mm, hot-rolled or cold-rolled "cold-reduced" and further worked, perforated</v>
      </c>
      <c r="C1015" s="1069" t="s">
        <v>1543</v>
      </c>
      <c r="D1015" s="822"/>
      <c r="E1015" s="822"/>
      <c r="F1015" s="822"/>
      <c r="G1015" s="822"/>
      <c r="H1015" s="822"/>
    </row>
    <row r="1016" spans="1:8" ht="12" x14ac:dyDescent="0.3">
      <c r="A1016" s="820">
        <v>1012</v>
      </c>
      <c r="B1016" s="1069" t="str">
        <f t="shared" si="15"/>
        <v>Flat-rolled products of stainless steel, of a width of &gt;= 600 mm, hot-rolled or cold-rolled "cold-reduced" and further worked, non-perforated</v>
      </c>
      <c r="C1016" s="1069" t="s">
        <v>1546</v>
      </c>
      <c r="D1016" s="822"/>
      <c r="E1016" s="822"/>
      <c r="F1016" s="822"/>
      <c r="G1016" s="822"/>
      <c r="H1016" s="822"/>
    </row>
    <row r="1017" spans="1:8" ht="12" x14ac:dyDescent="0.3">
      <c r="A1017" s="820">
        <v>1013</v>
      </c>
      <c r="B1017" s="1069" t="str">
        <f t="shared" si="15"/>
        <v>Flat-rolled products of stainless steel, of a width of &lt; 600 mm, hot-rolled or cold-rolled "cold-reduced"</v>
      </c>
      <c r="C1017" s="1069" t="s">
        <v>1547</v>
      </c>
      <c r="D1017" s="822"/>
      <c r="E1017" s="822"/>
      <c r="F1017" s="822"/>
      <c r="G1017" s="822"/>
      <c r="H1017" s="822"/>
    </row>
    <row r="1018" spans="1:8" ht="12" x14ac:dyDescent="0.3">
      <c r="A1018" s="820">
        <v>1014</v>
      </c>
      <c r="B1018" s="1069" t="str">
        <f t="shared" si="15"/>
        <v>Flat-rolled products of stainless steel, of a width of &lt; 600 mm, not further worked than hot-rolled, of a thickness of &gt;= 4,75 mm</v>
      </c>
      <c r="C1018" s="1069" t="s">
        <v>1550</v>
      </c>
      <c r="D1018" s="822"/>
      <c r="E1018" s="822"/>
      <c r="F1018" s="822"/>
      <c r="G1018" s="822"/>
      <c r="H1018" s="822"/>
    </row>
    <row r="1019" spans="1:8" ht="12" x14ac:dyDescent="0.3">
      <c r="A1019" s="820">
        <v>1015</v>
      </c>
      <c r="B1019" s="1069" t="str">
        <f t="shared" si="15"/>
        <v>Flat-rolled products of stainless steel, of a width of &lt; 600 mm, not further worked than hot-rolled, of a thickness of &lt; 4,75 mm</v>
      </c>
      <c r="C1019" s="1069" t="s">
        <v>1553</v>
      </c>
      <c r="D1019" s="822"/>
      <c r="E1019" s="822"/>
      <c r="F1019" s="822"/>
      <c r="G1019" s="822"/>
      <c r="H1019" s="822"/>
    </row>
    <row r="1020" spans="1:8" ht="12" x14ac:dyDescent="0.3">
      <c r="A1020" s="820">
        <v>1016</v>
      </c>
      <c r="B1020" s="1069" t="str">
        <f t="shared" si="15"/>
        <v>Flat-rolled products of stainless steel, of a width of &lt; 600 mm, not further worked than cold-rolled "cold-reduced"</v>
      </c>
      <c r="C1020" s="1069" t="s">
        <v>1555</v>
      </c>
      <c r="D1020" s="822"/>
      <c r="E1020" s="822"/>
      <c r="F1020" s="822"/>
      <c r="G1020" s="822"/>
      <c r="H1020" s="822"/>
    </row>
    <row r="1021" spans="1:8" ht="12" x14ac:dyDescent="0.3">
      <c r="A1021" s="820">
        <v>1017</v>
      </c>
      <c r="B1021" s="1069" t="str">
        <f t="shared" si="15"/>
        <v>Flat-rolled products of stainless steel, of a width of &lt; 600 mm, not further worked than cold-rolled "cold-reduced", of a thickness of &gt;= 3 mm and containing by weight &gt;= 2,5% nickel</v>
      </c>
      <c r="C1021" s="1069" t="s">
        <v>1558</v>
      </c>
      <c r="D1021" s="822"/>
      <c r="E1021" s="822"/>
      <c r="F1021" s="822"/>
      <c r="G1021" s="822"/>
      <c r="H1021" s="822"/>
    </row>
    <row r="1022" spans="1:8" ht="12" x14ac:dyDescent="0.3">
      <c r="A1022" s="820">
        <v>1018</v>
      </c>
      <c r="B1022" s="1069" t="str">
        <f t="shared" si="15"/>
        <v>Flat-rolled products of stainless steel, of a width of &lt; 600 mm, not further worked than cold-rolled "cold-reduced", of a thickness of &gt;= 3 mm and containing by weight &lt; 2,5% nickel</v>
      </c>
      <c r="C1022" s="1069" t="s">
        <v>1561</v>
      </c>
      <c r="D1022" s="822"/>
      <c r="E1022" s="822"/>
      <c r="F1022" s="822"/>
      <c r="G1022" s="822"/>
      <c r="H1022" s="822"/>
    </row>
    <row r="1023" spans="1:8" ht="12" x14ac:dyDescent="0.3">
      <c r="A1023" s="820">
        <v>1019</v>
      </c>
      <c r="B1023" s="1069" t="str">
        <f t="shared" si="15"/>
        <v>Flat-rolled products of stainless steel, of a width of &lt; 600 mm, not further worked than cold-rolled "cold-reduced", of a thickness of &gt; 0,35 mm but &lt; 3 mm, and containing by weight &gt;= 2,5% nickel</v>
      </c>
      <c r="C1023" s="1069" t="s">
        <v>1564</v>
      </c>
      <c r="D1023" s="822"/>
      <c r="E1023" s="822"/>
      <c r="F1023" s="822"/>
      <c r="G1023" s="822"/>
      <c r="H1023" s="822"/>
    </row>
    <row r="1024" spans="1:8" ht="12" x14ac:dyDescent="0.3">
      <c r="A1024" s="820">
        <v>1020</v>
      </c>
      <c r="B1024" s="1069" t="str">
        <f t="shared" si="15"/>
        <v>Flat-rolled products of stainless steel, of a width of &lt; 600 mm, not further worked than cold-rolled "cold-reduced", of a thickness of &gt; 0,35 mm but &lt; 3 mm, and containing by weight &lt; 2,5% nickel</v>
      </c>
      <c r="C1024" s="1069" t="s">
        <v>1567</v>
      </c>
      <c r="D1024" s="822"/>
      <c r="E1024" s="822"/>
      <c r="F1024" s="822"/>
      <c r="G1024" s="822"/>
      <c r="H1024" s="822"/>
    </row>
    <row r="1025" spans="1:8" ht="12" x14ac:dyDescent="0.3">
      <c r="A1025" s="820">
        <v>1021</v>
      </c>
      <c r="B1025" s="1069" t="str">
        <f t="shared" si="15"/>
        <v>Flat-rolled products of stainless steel, of a width of &lt; 600 mm, not further worked than cold-rolled "cold-reduced", of a thickness of &lt;= 0,35 mm and containing by weight &gt;= 2,5% nickel</v>
      </c>
      <c r="C1025" s="1069" t="s">
        <v>1570</v>
      </c>
      <c r="D1025" s="822"/>
      <c r="E1025" s="822"/>
      <c r="F1025" s="822"/>
      <c r="G1025" s="822"/>
      <c r="H1025" s="822"/>
    </row>
    <row r="1026" spans="1:8" ht="12" x14ac:dyDescent="0.3">
      <c r="A1026" s="820">
        <v>1022</v>
      </c>
      <c r="B1026" s="1069" t="str">
        <f t="shared" si="15"/>
        <v>Flat-rolled products of stainless steel, of a width of &lt; 600 mm, not further worked than cold-rolled "cold-reduced", of a thickness of &lt;= 0,35 mm and containing by weight &lt; 2,5% nickel</v>
      </c>
      <c r="C1026" s="1069" t="s">
        <v>1573</v>
      </c>
      <c r="D1026" s="822"/>
      <c r="E1026" s="822"/>
      <c r="F1026" s="822"/>
      <c r="G1026" s="822"/>
      <c r="H1026" s="822"/>
    </row>
    <row r="1027" spans="1:8" ht="12" x14ac:dyDescent="0.3">
      <c r="A1027" s="820">
        <v>1023</v>
      </c>
      <c r="B1027" s="1069" t="str">
        <f t="shared" si="15"/>
        <v>Flat-rolled products of stainless steel, of a width of &lt; 600 mm, hot-rolled or cold-rolled "cold-reduced" and further worked</v>
      </c>
      <c r="C1027" s="1069" t="s">
        <v>1575</v>
      </c>
      <c r="D1027" s="822"/>
      <c r="E1027" s="822"/>
      <c r="F1027" s="822"/>
      <c r="G1027" s="822"/>
      <c r="H1027" s="822"/>
    </row>
    <row r="1028" spans="1:8" ht="12" x14ac:dyDescent="0.3">
      <c r="A1028" s="820">
        <v>1024</v>
      </c>
      <c r="B1028" s="1069" t="str">
        <f t="shared" si="15"/>
        <v>Flat-rolled products of stainless steel, of a width of &lt; 600 mm, hot-rolled or cold-rolled "cold-reduced" and further worked, perforated</v>
      </c>
      <c r="C1028" s="1069" t="s">
        <v>1578</v>
      </c>
      <c r="D1028" s="822"/>
      <c r="E1028" s="822"/>
      <c r="F1028" s="822"/>
      <c r="G1028" s="822"/>
      <c r="H1028" s="822"/>
    </row>
    <row r="1029" spans="1:8" ht="12" x14ac:dyDescent="0.3">
      <c r="A1029" s="820">
        <v>1025</v>
      </c>
      <c r="B1029" s="1069" t="str">
        <f t="shared" si="15"/>
        <v>Flat-rolled products of stainless steel, of a width of &lt; 600 mm, hot-rolled or cold-rolled "cold-reduced" and further worked, non-perforated</v>
      </c>
      <c r="C1029" s="1069" t="s">
        <v>1581</v>
      </c>
      <c r="D1029" s="822"/>
      <c r="E1029" s="822"/>
      <c r="F1029" s="822"/>
      <c r="G1029" s="822"/>
      <c r="H1029" s="822"/>
    </row>
    <row r="1030" spans="1:8" ht="12" x14ac:dyDescent="0.3">
      <c r="A1030" s="820">
        <v>1026</v>
      </c>
      <c r="B1030" s="1069" t="str">
        <f t="shared" ref="B1030:B1093" si="16">IFERROR(INDEX(C1030:M1030,$A$3-2),$C1030)</f>
        <v>Bars and rods of stainless steel, hot-rolled, in irregularly wound coils</v>
      </c>
      <c r="C1030" s="1069" t="s">
        <v>1583</v>
      </c>
      <c r="D1030" s="822"/>
      <c r="E1030" s="822"/>
      <c r="F1030" s="822"/>
      <c r="G1030" s="822"/>
      <c r="H1030" s="822"/>
    </row>
    <row r="1031" spans="1:8" ht="12" x14ac:dyDescent="0.3">
      <c r="A1031" s="820">
        <v>1027</v>
      </c>
      <c r="B1031" s="1069" t="str">
        <f t="shared" si="16"/>
        <v>Bars and rods of stainless steel, hot-rolled, in irregularly wound coils, containing by weight &gt;= 2,5% nickel</v>
      </c>
      <c r="C1031" s="1069" t="s">
        <v>1586</v>
      </c>
      <c r="D1031" s="822"/>
      <c r="E1031" s="822"/>
      <c r="F1031" s="822"/>
      <c r="G1031" s="822"/>
      <c r="H1031" s="822"/>
    </row>
    <row r="1032" spans="1:8" ht="12" x14ac:dyDescent="0.3">
      <c r="A1032" s="820">
        <v>1028</v>
      </c>
      <c r="B1032" s="1069" t="str">
        <f t="shared" si="16"/>
        <v>Bars and rods of stainless steel, hot-rolled, in irregularly wound coils, containing by weight &lt; 2,5% nickel</v>
      </c>
      <c r="C1032" s="1069" t="s">
        <v>1589</v>
      </c>
      <c r="D1032" s="822"/>
      <c r="E1032" s="822"/>
      <c r="F1032" s="822"/>
      <c r="G1032" s="822"/>
      <c r="H1032" s="822"/>
    </row>
    <row r="1033" spans="1:8" ht="12" x14ac:dyDescent="0.3">
      <c r="A1033" s="820">
        <v>1029</v>
      </c>
      <c r="B1033" s="1069" t="str">
        <f t="shared" si="16"/>
        <v>Other bars and rods of stainless steel; angles, shapes and sections of stainless steel, n.e.s.</v>
      </c>
      <c r="C1033" s="1069" t="s">
        <v>1591</v>
      </c>
      <c r="D1033" s="822"/>
      <c r="E1033" s="822"/>
      <c r="F1033" s="822"/>
      <c r="G1033" s="822"/>
      <c r="H1033" s="822"/>
    </row>
    <row r="1034" spans="1:8" ht="12" x14ac:dyDescent="0.3">
      <c r="A1034" s="820">
        <v>1030</v>
      </c>
      <c r="B1034" s="1069" t="str">
        <f t="shared" si="16"/>
        <v>Bars and rods of stainless steel, only hot-rolled, only hot-drawn or only hot-extruded, of circular cross-section</v>
      </c>
      <c r="C1034" s="1069" t="s">
        <v>1593</v>
      </c>
      <c r="D1034" s="822"/>
      <c r="E1034" s="822"/>
      <c r="F1034" s="822"/>
      <c r="G1034" s="822"/>
      <c r="H1034" s="822"/>
    </row>
    <row r="1035" spans="1:8" ht="12" x14ac:dyDescent="0.3">
      <c r="A1035" s="820">
        <v>1031</v>
      </c>
      <c r="B1035" s="1069" t="str">
        <f t="shared" si="16"/>
        <v>Bars and rods of stainless steel, not further worked than hot-rolled, hot-drawn or extruded, of circular cross-section of a diameter of &gt;= 800 mm, containing by weight &gt;= 2,5% nickel</v>
      </c>
      <c r="C1035" s="1069" t="s">
        <v>1596</v>
      </c>
      <c r="D1035" s="822"/>
      <c r="E1035" s="822"/>
      <c r="F1035" s="822"/>
      <c r="G1035" s="822"/>
      <c r="H1035" s="822"/>
    </row>
    <row r="1036" spans="1:8" ht="12" x14ac:dyDescent="0.3">
      <c r="A1036" s="820">
        <v>1032</v>
      </c>
      <c r="B1036" s="1069" t="str">
        <f t="shared" si="16"/>
        <v>Bars and rods of stainless steel, not further worked than hot-rolled, hot-drawn or extruded, of circular cross-section of a diameter of &gt;= 800 mm, containing by weight &lt; 2,5% nickel</v>
      </c>
      <c r="C1036" s="1069" t="s">
        <v>1599</v>
      </c>
      <c r="D1036" s="822"/>
      <c r="E1036" s="822"/>
      <c r="F1036" s="822"/>
      <c r="G1036" s="822"/>
      <c r="H1036" s="822"/>
    </row>
    <row r="1037" spans="1:8" ht="12" x14ac:dyDescent="0.3">
      <c r="A1037" s="820">
        <v>1033</v>
      </c>
      <c r="B1037" s="1069" t="str">
        <f t="shared" si="16"/>
        <v>Bars and rods of stainless steel, not further worked than hot-rolled, hot-drawn or extruded, of circular cross-section measuring &lt; 80 mm and containing by weight &gt;= 2,5% nickel</v>
      </c>
      <c r="C1037" s="1069" t="s">
        <v>1602</v>
      </c>
      <c r="D1037" s="822"/>
      <c r="E1037" s="822"/>
      <c r="F1037" s="822"/>
      <c r="G1037" s="822"/>
      <c r="H1037" s="822"/>
    </row>
    <row r="1038" spans="1:8" ht="12" x14ac:dyDescent="0.3">
      <c r="A1038" s="820">
        <v>1034</v>
      </c>
      <c r="B1038" s="1069" t="str">
        <f t="shared" si="16"/>
        <v>Bars and rods of stainless steel, not further worked than hot-rolled, hot-drawn or extruded, of circular cross-section measuring &lt; 80 mm and containing by weight &lt; 2,5% nickel</v>
      </c>
      <c r="C1038" s="1069" t="s">
        <v>1605</v>
      </c>
      <c r="D1038" s="822"/>
      <c r="E1038" s="822"/>
      <c r="F1038" s="822"/>
      <c r="G1038" s="822"/>
      <c r="H1038" s="822"/>
    </row>
    <row r="1039" spans="1:8" ht="12" x14ac:dyDescent="0.3">
      <c r="A1039" s="820">
        <v>1035</v>
      </c>
      <c r="B1039" s="1069" t="str">
        <f t="shared" si="16"/>
        <v>Bars and rods of stainless steel, only hot-rolled, only hot-drawn or only extruded (excl. of circular cross-section)</v>
      </c>
      <c r="C1039" s="1069" t="s">
        <v>1607</v>
      </c>
      <c r="D1039" s="822"/>
      <c r="E1039" s="822"/>
      <c r="F1039" s="822"/>
      <c r="G1039" s="822"/>
      <c r="H1039" s="822"/>
    </row>
    <row r="1040" spans="1:8" ht="12" x14ac:dyDescent="0.3">
      <c r="A1040" s="820">
        <v>1036</v>
      </c>
      <c r="B1040" s="1069" t="str">
        <f t="shared" si="16"/>
        <v>Bars and rods of stainless steel, not further worked than hot-rolled, hot-drawn or extruded, containing by weight &gt;= 2,5% nickel (excl. such products of circular cross-section)</v>
      </c>
      <c r="C1040" s="1069" t="s">
        <v>1610</v>
      </c>
      <c r="D1040" s="822"/>
      <c r="E1040" s="822"/>
      <c r="F1040" s="822"/>
      <c r="G1040" s="822"/>
      <c r="H1040" s="822"/>
    </row>
    <row r="1041" spans="1:8" ht="12" x14ac:dyDescent="0.3">
      <c r="A1041" s="820">
        <v>1037</v>
      </c>
      <c r="B1041" s="1069" t="str">
        <f t="shared" si="16"/>
        <v>Bars and rods of stainless steel, not further worked than hot-rolled, hot-drawn or extruded, containing by weight &lt; 2,5% nickel (excl. such products of circular cross-section)</v>
      </c>
      <c r="C1041" s="1069" t="s">
        <v>1613</v>
      </c>
      <c r="D1041" s="822"/>
      <c r="E1041" s="822"/>
      <c r="F1041" s="822"/>
      <c r="G1041" s="822"/>
      <c r="H1041" s="822"/>
    </row>
    <row r="1042" spans="1:8" ht="12" x14ac:dyDescent="0.3">
      <c r="A1042" s="820">
        <v>1038</v>
      </c>
      <c r="B1042" s="1069" t="str">
        <f t="shared" si="16"/>
        <v>Other bars and rods of stainless steel, not further worked than cold-formed or cold-finished</v>
      </c>
      <c r="C1042" s="1069" t="s">
        <v>1615</v>
      </c>
      <c r="D1042" s="822"/>
      <c r="E1042" s="822"/>
      <c r="F1042" s="822"/>
      <c r="G1042" s="822"/>
      <c r="H1042" s="822"/>
    </row>
    <row r="1043" spans="1:8" ht="12" x14ac:dyDescent="0.3">
      <c r="A1043" s="820">
        <v>1039</v>
      </c>
      <c r="B1043" s="1069" t="str">
        <f t="shared" si="16"/>
        <v>Bars and rods of stainless steel, of circular cross-section of a diameter &gt;= 80 mm, simply cold-formed or cold-finished, containing by weight &gt;= 2,5% nickel</v>
      </c>
      <c r="C1043" s="1069" t="s">
        <v>1618</v>
      </c>
      <c r="D1043" s="822"/>
      <c r="E1043" s="822"/>
      <c r="F1043" s="822"/>
      <c r="G1043" s="822"/>
      <c r="H1043" s="822"/>
    </row>
    <row r="1044" spans="1:8" ht="12" x14ac:dyDescent="0.3">
      <c r="A1044" s="820">
        <v>1040</v>
      </c>
      <c r="B1044" s="1069" t="str">
        <f t="shared" si="16"/>
        <v>Bars and rods of stainless steel, of circular cross-section of a diameter &gt;= 80 mm, simply cold-formed or cold-finished, containing by weight &lt; 2,5% nickel</v>
      </c>
      <c r="C1044" s="1069" t="s">
        <v>1621</v>
      </c>
      <c r="D1044" s="822"/>
      <c r="E1044" s="822"/>
      <c r="F1044" s="822"/>
      <c r="G1044" s="822"/>
      <c r="H1044" s="822"/>
    </row>
    <row r="1045" spans="1:8" ht="12" x14ac:dyDescent="0.3">
      <c r="A1045" s="820">
        <v>1041</v>
      </c>
      <c r="B1045" s="1069" t="str">
        <f t="shared" si="16"/>
        <v>Bars and rods of stainless steel, not further worked than cold-formed or cold-finished, of circular cross-section measuring &gt;= 25 mm but &lt; 80 mm and containing by weight &gt;= 2,5% nickel</v>
      </c>
      <c r="C1045" s="1069" t="s">
        <v>1624</v>
      </c>
      <c r="D1045" s="822"/>
      <c r="E1045" s="822"/>
      <c r="F1045" s="822"/>
      <c r="G1045" s="822"/>
      <c r="H1045" s="822"/>
    </row>
    <row r="1046" spans="1:8" ht="12" x14ac:dyDescent="0.3">
      <c r="A1046" s="820">
        <v>1042</v>
      </c>
      <c r="B1046" s="1069" t="str">
        <f t="shared" si="16"/>
        <v>Bars and rods of stainless steel, not further worked than cold-formed or cold-finished, of circular cross-section measuring &gt;= 25 mm but &lt; 80 mm and containing by weight &lt; 2,5% nickel</v>
      </c>
      <c r="C1046" s="1069" t="s">
        <v>1627</v>
      </c>
      <c r="D1046" s="822"/>
      <c r="E1046" s="822"/>
      <c r="F1046" s="822"/>
      <c r="G1046" s="822"/>
      <c r="H1046" s="822"/>
    </row>
    <row r="1047" spans="1:8" ht="12" x14ac:dyDescent="0.3">
      <c r="A1047" s="820">
        <v>1043</v>
      </c>
      <c r="B1047" s="1069" t="str">
        <f t="shared" si="16"/>
        <v>Bars and rods of stainless steel, not further worked than cold-formed or cold-finished, of circular cross-section measuring &lt; 25 mm and containing by weight &gt;= 2,5% nickel</v>
      </c>
      <c r="C1047" s="1069" t="s">
        <v>1630</v>
      </c>
      <c r="D1047" s="822"/>
      <c r="E1047" s="822"/>
      <c r="F1047" s="822"/>
      <c r="G1047" s="822"/>
      <c r="H1047" s="822"/>
    </row>
    <row r="1048" spans="1:8" ht="12" x14ac:dyDescent="0.3">
      <c r="A1048" s="820">
        <v>1044</v>
      </c>
      <c r="B1048" s="1069" t="str">
        <f t="shared" si="16"/>
        <v>Bars and rods of stainless steel, not further worked than cold-formed or cold-finished, of circular cross-section measuring &lt; 25 mm and containing by weight &lt; 2,5% nickel</v>
      </c>
      <c r="C1048" s="1069" t="s">
        <v>1633</v>
      </c>
      <c r="D1048" s="822"/>
      <c r="E1048" s="822"/>
      <c r="F1048" s="822"/>
      <c r="G1048" s="822"/>
      <c r="H1048" s="822"/>
    </row>
    <row r="1049" spans="1:8" ht="12" x14ac:dyDescent="0.3">
      <c r="A1049" s="820">
        <v>1045</v>
      </c>
      <c r="B1049" s="1069" t="str">
        <f t="shared" si="16"/>
        <v>Bars and rods of stainless steel, not further worked than cold-formed or cold-finished, containing by weight &gt;= 2,5% nickel (excl. such products of circular cross-section)</v>
      </c>
      <c r="C1049" s="1069" t="s">
        <v>1636</v>
      </c>
      <c r="D1049" s="822"/>
      <c r="E1049" s="822"/>
      <c r="F1049" s="822"/>
      <c r="G1049" s="822"/>
      <c r="H1049" s="822"/>
    </row>
    <row r="1050" spans="1:8" ht="12" x14ac:dyDescent="0.3">
      <c r="A1050" s="820">
        <v>1046</v>
      </c>
      <c r="B1050" s="1069" t="str">
        <f t="shared" si="16"/>
        <v>Bars and rods of stainless steel, not further worked than cold-formed or cold-finished, containing by weight &lt; 2,5% nickel (excl. such products of circular cross-section)</v>
      </c>
      <c r="C1050" s="1069" t="s">
        <v>1639</v>
      </c>
      <c r="D1050" s="822"/>
      <c r="E1050" s="822"/>
      <c r="F1050" s="822"/>
      <c r="G1050" s="822"/>
      <c r="H1050" s="822"/>
    </row>
    <row r="1051" spans="1:8" ht="12" x14ac:dyDescent="0.3">
      <c r="A1051" s="820">
        <v>1047</v>
      </c>
      <c r="B1051" s="1069" t="str">
        <f t="shared" si="16"/>
        <v>Other bars and rods of stainless steel, cold-formed or cold-finished and further worked, or not further worked than forged, or forged, or hot-formed by other means and further worked, n.e.s.</v>
      </c>
      <c r="C1051" s="1069" t="s">
        <v>1641</v>
      </c>
      <c r="D1051" s="822"/>
      <c r="E1051" s="822"/>
      <c r="F1051" s="822"/>
      <c r="G1051" s="822"/>
      <c r="H1051" s="822"/>
    </row>
    <row r="1052" spans="1:8" ht="12" x14ac:dyDescent="0.3">
      <c r="A1052" s="820">
        <v>1048</v>
      </c>
      <c r="B1052" s="1069" t="str">
        <f t="shared" si="16"/>
        <v>Other bars and rods of stainless steel, containing by weight &gt;= 2,5% of nickel, forged</v>
      </c>
      <c r="C1052" s="1069" t="s">
        <v>1644</v>
      </c>
      <c r="D1052" s="822"/>
      <c r="E1052" s="822"/>
      <c r="F1052" s="822"/>
      <c r="G1052" s="822"/>
      <c r="H1052" s="822"/>
    </row>
    <row r="1053" spans="1:8" ht="12" x14ac:dyDescent="0.3">
      <c r="A1053" s="820">
        <v>1049</v>
      </c>
      <c r="B1053" s="1069" t="str">
        <f t="shared" si="16"/>
        <v>Other bars and rods of stainless steel, containing by weight &lt; 2,5% of nickel, forged</v>
      </c>
      <c r="C1053" s="1069" t="s">
        <v>1647</v>
      </c>
      <c r="D1053" s="822"/>
      <c r="E1053" s="822"/>
      <c r="F1053" s="822"/>
      <c r="G1053" s="822"/>
      <c r="H1053" s="822"/>
    </row>
    <row r="1054" spans="1:8" ht="12" x14ac:dyDescent="0.3">
      <c r="A1054" s="820">
        <v>1050</v>
      </c>
      <c r="B1054" s="1069" t="str">
        <f t="shared" si="16"/>
        <v>Bars and rods of stainless steel, cold-formed or cold-finished and further worked, or hot-formed and further worked, n.e.s. (excl. forged products)</v>
      </c>
      <c r="C1054" s="1069" t="s">
        <v>1650</v>
      </c>
      <c r="D1054" s="822"/>
      <c r="E1054" s="822"/>
      <c r="F1054" s="822"/>
      <c r="G1054" s="822"/>
      <c r="H1054" s="822"/>
    </row>
    <row r="1055" spans="1:8" ht="12" x14ac:dyDescent="0.3">
      <c r="A1055" s="820">
        <v>1051</v>
      </c>
      <c r="B1055" s="1069" t="str">
        <f t="shared" si="16"/>
        <v>Angles, shapes and sections of stainless steel, n.e.s.</v>
      </c>
      <c r="C1055" s="1069" t="s">
        <v>1652</v>
      </c>
      <c r="D1055" s="822"/>
      <c r="E1055" s="822"/>
      <c r="F1055" s="822"/>
      <c r="G1055" s="822"/>
      <c r="H1055" s="822"/>
    </row>
    <row r="1056" spans="1:8" ht="12" x14ac:dyDescent="0.3">
      <c r="A1056" s="820">
        <v>1052</v>
      </c>
      <c r="B1056" s="1069" t="str">
        <f t="shared" si="16"/>
        <v>Angles, shapes and sections of stainless steel, only hot-rolled, only hot-drawn or only extruded</v>
      </c>
      <c r="C1056" s="1069" t="s">
        <v>1655</v>
      </c>
      <c r="D1056" s="822"/>
      <c r="E1056" s="822"/>
      <c r="F1056" s="822"/>
      <c r="G1056" s="822"/>
      <c r="H1056" s="822"/>
    </row>
    <row r="1057" spans="1:8" ht="12" x14ac:dyDescent="0.3">
      <c r="A1057" s="820">
        <v>1053</v>
      </c>
      <c r="B1057" s="1069" t="str">
        <f t="shared" si="16"/>
        <v>Angles, shapes and sections of stainless steel, not further worked than cold-formed or cold-finished</v>
      </c>
      <c r="C1057" s="1069" t="s">
        <v>1658</v>
      </c>
      <c r="D1057" s="822"/>
      <c r="E1057" s="822"/>
      <c r="F1057" s="822"/>
      <c r="G1057" s="822"/>
      <c r="H1057" s="822"/>
    </row>
    <row r="1058" spans="1:8" ht="12" x14ac:dyDescent="0.3">
      <c r="A1058" s="820">
        <v>1054</v>
      </c>
      <c r="B1058" s="1069" t="str">
        <f t="shared" si="16"/>
        <v>Angles, shapes and sections of stainless steel, cold-formed or cold-finished and further worked, or not further worked than forged, or forged, or hot-formed by other means and further worked, n.e.s.</v>
      </c>
      <c r="C1058" s="1069" t="s">
        <v>1661</v>
      </c>
      <c r="D1058" s="822"/>
      <c r="E1058" s="822"/>
      <c r="F1058" s="822"/>
      <c r="G1058" s="822"/>
      <c r="H1058" s="822"/>
    </row>
    <row r="1059" spans="1:8" ht="12" x14ac:dyDescent="0.3">
      <c r="A1059" s="820">
        <v>1055</v>
      </c>
      <c r="B1059" s="1069" t="str">
        <f t="shared" si="16"/>
        <v>Wire of stainless steel, in coils (excl. bars and rods)</v>
      </c>
      <c r="C1059" s="1069" t="s">
        <v>1663</v>
      </c>
      <c r="D1059" s="822"/>
      <c r="E1059" s="822"/>
      <c r="F1059" s="822"/>
      <c r="G1059" s="822"/>
      <c r="H1059" s="822"/>
    </row>
    <row r="1060" spans="1:8" ht="12" x14ac:dyDescent="0.3">
      <c r="A1060" s="820">
        <v>1056</v>
      </c>
      <c r="B1060" s="1069" t="str">
        <f t="shared" si="16"/>
        <v>Wire of stainless steel, in coils, containing by weight 28% to 31% nickel and 20% to 22% chromium (excl. bars and rods)</v>
      </c>
      <c r="C1060" s="1069" t="s">
        <v>1666</v>
      </c>
      <c r="D1060" s="822"/>
      <c r="E1060" s="822"/>
      <c r="F1060" s="822"/>
      <c r="G1060" s="822"/>
      <c r="H1060" s="822"/>
    </row>
    <row r="1061" spans="1:8" ht="12" x14ac:dyDescent="0.3">
      <c r="A1061" s="820">
        <v>1057</v>
      </c>
      <c r="B1061" s="1069" t="str">
        <f t="shared" si="16"/>
        <v>Wire of stainless steel, in coils, containing by weight &gt;= 2,5% nickel (excl. such products containing 28% to 31% nickel and 20% to 22% chromium, and bars and rods)</v>
      </c>
      <c r="C1061" s="1069" t="s">
        <v>1669</v>
      </c>
      <c r="D1061" s="822"/>
      <c r="E1061" s="822"/>
      <c r="F1061" s="822"/>
      <c r="G1061" s="822"/>
      <c r="H1061" s="822"/>
    </row>
    <row r="1062" spans="1:8" ht="12" x14ac:dyDescent="0.3">
      <c r="A1062" s="820">
        <v>1058</v>
      </c>
      <c r="B1062" s="1069" t="str">
        <f t="shared" si="16"/>
        <v>Wire of stainless steel, in coils, containing by weight &lt; 2,5% nickel, 13% to 25% chromium and 3,5% to 6% aluminium (excl. bars and rods)</v>
      </c>
      <c r="C1062" s="1069" t="s">
        <v>1672</v>
      </c>
      <c r="D1062" s="822"/>
      <c r="E1062" s="822"/>
      <c r="F1062" s="822"/>
      <c r="G1062" s="822"/>
      <c r="H1062" s="822"/>
    </row>
    <row r="1063" spans="1:8" ht="12" x14ac:dyDescent="0.3">
      <c r="A1063" s="820">
        <v>1059</v>
      </c>
      <c r="B1063" s="1069" t="str">
        <f t="shared" si="16"/>
        <v>Wire of stainless steel, in coils, containing by weight &lt; 2,5% nickel (excl. such products containing 13% to 25% chromium and 3,5% to 6% aluminium, and bars and rods)</v>
      </c>
      <c r="C1063" s="1069" t="s">
        <v>1675</v>
      </c>
      <c r="D1063" s="822"/>
      <c r="E1063" s="822"/>
      <c r="F1063" s="822"/>
      <c r="G1063" s="822"/>
      <c r="H1063" s="822"/>
    </row>
    <row r="1064" spans="1:8" ht="12" x14ac:dyDescent="0.3">
      <c r="A1064" s="820">
        <v>1060</v>
      </c>
      <c r="B1064" s="1069" t="str">
        <f t="shared" si="16"/>
        <v>Steel, alloy, other than stainless, in ingots or other primary forms, semi-finished products of alloy steel other than stainless (excl. waste and scrap in ingot form, and products obtained by continuous casting)</v>
      </c>
      <c r="C1064" s="1069" t="s">
        <v>1677</v>
      </c>
      <c r="D1064" s="822"/>
      <c r="E1064" s="822"/>
      <c r="F1064" s="822"/>
      <c r="G1064" s="822"/>
      <c r="H1064" s="822"/>
    </row>
    <row r="1065" spans="1:8" ht="12" x14ac:dyDescent="0.3">
      <c r="A1065" s="820">
        <v>1061</v>
      </c>
      <c r="B1065" s="1069" t="str">
        <f t="shared" si="16"/>
        <v>Steel, alloy, other than stainless, in ingots or other primary forms (excl. waste and scrap in ingot form, and products obtained by continuous casting)</v>
      </c>
      <c r="C1065" s="1069" t="s">
        <v>1679</v>
      </c>
      <c r="D1065" s="822"/>
      <c r="E1065" s="822"/>
      <c r="F1065" s="822"/>
      <c r="G1065" s="822"/>
      <c r="H1065" s="822"/>
    </row>
    <row r="1066" spans="1:8" ht="12" x14ac:dyDescent="0.3">
      <c r="A1066" s="820">
        <v>1062</v>
      </c>
      <c r="B1066" s="1069" t="str">
        <f t="shared" si="16"/>
        <v>Ingots and other primary forms, of tool steel</v>
      </c>
      <c r="C1066" s="1069" t="s">
        <v>1682</v>
      </c>
      <c r="D1066" s="822"/>
      <c r="E1066" s="822"/>
      <c r="F1066" s="822"/>
      <c r="G1066" s="822"/>
      <c r="H1066" s="822"/>
    </row>
    <row r="1067" spans="1:8" ht="12" x14ac:dyDescent="0.3">
      <c r="A1067" s="820">
        <v>1063</v>
      </c>
      <c r="B1067" s="1069" t="str">
        <f t="shared" si="16"/>
        <v>Steel, alloy, other than stainless, in ingots or other primary forms (excl. of tool steel, waste and scrap in ingot form and products obtained by continuous casting)</v>
      </c>
      <c r="C1067" s="1069" t="s">
        <v>1685</v>
      </c>
      <c r="D1067" s="822"/>
      <c r="E1067" s="822"/>
      <c r="F1067" s="822"/>
      <c r="G1067" s="822"/>
      <c r="H1067" s="822"/>
    </row>
    <row r="1068" spans="1:8" ht="12" x14ac:dyDescent="0.3">
      <c r="A1068" s="820">
        <v>1064</v>
      </c>
      <c r="B1068" s="1069" t="str">
        <f t="shared" si="16"/>
        <v>Semi-finished products of alloy steel other than stainless</v>
      </c>
      <c r="C1068" s="1069" t="s">
        <v>1687</v>
      </c>
      <c r="D1068" s="822"/>
      <c r="E1068" s="822"/>
      <c r="F1068" s="822"/>
      <c r="G1068" s="822"/>
      <c r="H1068" s="822"/>
    </row>
    <row r="1069" spans="1:8" ht="12" x14ac:dyDescent="0.3">
      <c r="A1069" s="820">
        <v>1065</v>
      </c>
      <c r="B1069" s="1069" t="str">
        <f t="shared" si="16"/>
        <v>Semi-finished products of tool steel</v>
      </c>
      <c r="C1069" s="1069" t="s">
        <v>1690</v>
      </c>
      <c r="D1069" s="822"/>
      <c r="E1069" s="822"/>
      <c r="F1069" s="822"/>
      <c r="G1069" s="822"/>
      <c r="H1069" s="822"/>
    </row>
    <row r="1070" spans="1:8" ht="12" x14ac:dyDescent="0.3">
      <c r="A1070" s="820">
        <v>1066</v>
      </c>
      <c r="B1070" s="1069" t="str">
        <f t="shared" si="16"/>
        <v>Semi-finished products of high-speed steel, of square or rectangular cross-section, hot-rolled or obtained by continuous casting the width measuring &lt; twice the thickness</v>
      </c>
      <c r="C1070" s="1069" t="s">
        <v>1693</v>
      </c>
      <c r="D1070" s="822"/>
      <c r="E1070" s="822"/>
      <c r="F1070" s="822"/>
      <c r="G1070" s="822"/>
      <c r="H1070" s="822"/>
    </row>
    <row r="1071" spans="1:8" ht="12" x14ac:dyDescent="0.3">
      <c r="A1071" s="820">
        <v>1067</v>
      </c>
      <c r="B1071" s="1069" t="str">
        <f t="shared" si="16"/>
        <v>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v>
      </c>
      <c r="C1071" s="1069" t="s">
        <v>1696</v>
      </c>
      <c r="D1071" s="822"/>
      <c r="E1071" s="822"/>
      <c r="F1071" s="822"/>
      <c r="G1071" s="822"/>
      <c r="H1071" s="822"/>
    </row>
    <row r="1072" spans="1:8" ht="12" x14ac:dyDescent="0.3">
      <c r="A1072" s="820">
        <v>1068</v>
      </c>
      <c r="B1072" s="1069" t="str">
        <f t="shared" si="16"/>
        <v>Semi-finished products of alloy steel other than stainless steel, of square or rectangular cross-section, hot-rolled or obtained by continuous casting, the width measuring &lt; twice the thickness (excl. of tool steel, high-speed steel and articles of subheading 7224.90.05)</v>
      </c>
      <c r="C1072" s="1069" t="s">
        <v>1699</v>
      </c>
      <c r="D1072" s="822"/>
      <c r="E1072" s="822"/>
      <c r="F1072" s="822"/>
      <c r="G1072" s="822"/>
      <c r="H1072" s="822"/>
    </row>
    <row r="1073" spans="1:8" ht="12" x14ac:dyDescent="0.3">
      <c r="A1073" s="820">
        <v>1069</v>
      </c>
      <c r="B1073" s="1069" t="str">
        <f t="shared" si="16"/>
        <v>Semi-finished products of alloy steel other than stainless steel, of square or rectangular cross-section, hot-rolled or obtained by continuous casting, the width measuring &gt;= twice the thickness (excl. of tool steel)</v>
      </c>
      <c r="C1073" s="1069" t="s">
        <v>1702</v>
      </c>
      <c r="D1073" s="822"/>
      <c r="E1073" s="822"/>
      <c r="F1073" s="822"/>
      <c r="G1073" s="822"/>
      <c r="H1073" s="822"/>
    </row>
    <row r="1074" spans="1:8" ht="12" x14ac:dyDescent="0.3">
      <c r="A1074" s="820">
        <v>1070</v>
      </c>
      <c r="B1074" s="1069" t="str">
        <f t="shared" si="16"/>
        <v>Semi-finished products of alloy steel other than stainless steel, of square or rectangular cross-section, forged (excl. of tool steel)</v>
      </c>
      <c r="C1074" s="1069" t="s">
        <v>1705</v>
      </c>
      <c r="D1074" s="822"/>
      <c r="E1074" s="822"/>
      <c r="F1074" s="822"/>
      <c r="G1074" s="822"/>
      <c r="H1074" s="822"/>
    </row>
    <row r="1075" spans="1:8" ht="12" x14ac:dyDescent="0.3">
      <c r="A1075" s="820">
        <v>1071</v>
      </c>
      <c r="B1075" s="1069" t="str">
        <f t="shared" si="16"/>
        <v>Semi-finished products of steel containing by weight 0,9% to 1,15% carbon, 0,5% to 2% of chromium and, if present, &lt;= 0,5% of molybdenum, cut into shapes other than square or rectangular, hot-rolled or obtained by continuous casting</v>
      </c>
      <c r="C1075" s="1069" t="s">
        <v>1708</v>
      </c>
      <c r="D1075" s="822"/>
      <c r="E1075" s="822"/>
      <c r="F1075" s="822"/>
      <c r="G1075" s="822"/>
      <c r="H1075" s="822"/>
    </row>
    <row r="1076" spans="1:8" ht="12" x14ac:dyDescent="0.3">
      <c r="A1076" s="820">
        <v>1072</v>
      </c>
      <c r="B1076" s="1069" t="str">
        <f t="shared" si="16"/>
        <v>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v>
      </c>
      <c r="C1076" s="1069" t="s">
        <v>1711</v>
      </c>
      <c r="D1076" s="822"/>
      <c r="E1076" s="822"/>
      <c r="F1076" s="822"/>
      <c r="G1076" s="822"/>
      <c r="H1076" s="822"/>
    </row>
    <row r="1077" spans="1:8" ht="12" x14ac:dyDescent="0.3">
      <c r="A1077" s="820">
        <v>1073</v>
      </c>
      <c r="B1077" s="1069" t="str">
        <f t="shared" si="16"/>
        <v>Semi-finished products of alloy steel, other than stainless steel, forged (excl. of tool steel and products of square or rectangular, circular or polygamol cross-section)</v>
      </c>
      <c r="C1077" s="1069" t="s">
        <v>1714</v>
      </c>
      <c r="D1077" s="822"/>
      <c r="E1077" s="822"/>
      <c r="F1077" s="822"/>
      <c r="G1077" s="822"/>
      <c r="H1077" s="822"/>
    </row>
    <row r="1078" spans="1:8" ht="12" x14ac:dyDescent="0.3">
      <c r="A1078" s="820">
        <v>1074</v>
      </c>
      <c r="B1078" s="1069" t="str">
        <f t="shared" si="16"/>
        <v>Flat-rolled products of alloy steel other than stainless, of a width of &gt;= 600 mm, hot-rolled or cold-rolled "cold-reduced"</v>
      </c>
      <c r="C1078" s="1069" t="s">
        <v>1716</v>
      </c>
      <c r="D1078" s="822"/>
      <c r="E1078" s="822"/>
      <c r="F1078" s="822"/>
      <c r="G1078" s="822"/>
      <c r="H1078" s="822"/>
    </row>
    <row r="1079" spans="1:8" ht="12" x14ac:dyDescent="0.3">
      <c r="A1079" s="820">
        <v>1075</v>
      </c>
      <c r="B1079" s="1069" t="str">
        <f t="shared" si="16"/>
        <v>Flat-rolled products of silicon-electrical steel, of a width of &gt;= 600 mm, grain-oriented</v>
      </c>
      <c r="C1079" s="1069" t="s">
        <v>1719</v>
      </c>
      <c r="D1079" s="822"/>
      <c r="E1079" s="822"/>
      <c r="F1079" s="822"/>
      <c r="G1079" s="822"/>
      <c r="H1079" s="822"/>
    </row>
    <row r="1080" spans="1:8" ht="12" x14ac:dyDescent="0.3">
      <c r="A1080" s="820">
        <v>1076</v>
      </c>
      <c r="B1080" s="1069" t="str">
        <f t="shared" si="16"/>
        <v>Flat-rolled products of silicon-electrical steel, of a width of &gt;= 600 mm, non-grain-oriented</v>
      </c>
      <c r="C1080" s="1069" t="s">
        <v>1721</v>
      </c>
      <c r="D1080" s="822"/>
      <c r="E1080" s="822"/>
      <c r="F1080" s="822"/>
      <c r="G1080" s="822"/>
      <c r="H1080" s="822"/>
    </row>
    <row r="1081" spans="1:8" ht="12" x14ac:dyDescent="0.3">
      <c r="A1081" s="820">
        <v>1077</v>
      </c>
      <c r="B1081" s="1069" t="str">
        <f t="shared" si="16"/>
        <v>Flat-rolled products of silicon-electrical steel, of a width of &gt;= 600 mm, hot-rolled</v>
      </c>
      <c r="C1081" s="1069" t="s">
        <v>1724</v>
      </c>
      <c r="D1081" s="822"/>
      <c r="E1081" s="822"/>
      <c r="F1081" s="822"/>
      <c r="G1081" s="822"/>
      <c r="H1081" s="822"/>
    </row>
    <row r="1082" spans="1:8" ht="12" x14ac:dyDescent="0.3">
      <c r="A1082" s="820">
        <v>1078</v>
      </c>
      <c r="B1082" s="1069" t="str">
        <f t="shared" si="16"/>
        <v>Flat-rolled products of silicon-electrical steel, of a width of &gt;= 600 mm, cold-rolled "cold-reduced", non-grain-oriented</v>
      </c>
      <c r="C1082" s="1069" t="s">
        <v>1727</v>
      </c>
      <c r="D1082" s="822"/>
      <c r="E1082" s="822"/>
      <c r="F1082" s="822"/>
      <c r="G1082" s="822"/>
      <c r="H1082" s="822"/>
    </row>
    <row r="1083" spans="1:8" ht="12" x14ac:dyDescent="0.3">
      <c r="A1083" s="820">
        <v>1079</v>
      </c>
      <c r="B1083" s="1069" t="str">
        <f t="shared" si="16"/>
        <v>Flat-rolled products of alloy steel other than stainless, of a width of &gt;= 600 mm, not further worked than hot-rolled, in coils (excl. products of silicon-electrical steel)</v>
      </c>
      <c r="C1083" s="1069" t="s">
        <v>1729</v>
      </c>
      <c r="D1083" s="822"/>
      <c r="E1083" s="822"/>
      <c r="F1083" s="822"/>
      <c r="G1083" s="822"/>
      <c r="H1083" s="822"/>
    </row>
    <row r="1084" spans="1:8" ht="12" x14ac:dyDescent="0.3">
      <c r="A1084" s="820">
        <v>1080</v>
      </c>
      <c r="B1084" s="1069" t="str">
        <f t="shared" si="16"/>
        <v>Flat-rolled products of tool steel, of a width of &gt;= 600 mm, not further worked than hot-rolled, in coils</v>
      </c>
      <c r="C1084" s="1069" t="s">
        <v>1732</v>
      </c>
      <c r="D1084" s="822"/>
      <c r="E1084" s="822"/>
      <c r="F1084" s="822"/>
      <c r="G1084" s="822"/>
      <c r="H1084" s="822"/>
    </row>
    <row r="1085" spans="1:8" ht="12" x14ac:dyDescent="0.3">
      <c r="A1085" s="820">
        <v>1081</v>
      </c>
      <c r="B1085" s="1069" t="str">
        <f t="shared" si="16"/>
        <v>Flat-rolled products of high-speed steel, of a width of &gt;= 600 mm, not further worked than hot-rolled, in coils</v>
      </c>
      <c r="C1085" s="1069" t="s">
        <v>1735</v>
      </c>
      <c r="D1085" s="822"/>
      <c r="E1085" s="822"/>
      <c r="F1085" s="822"/>
      <c r="G1085" s="822"/>
      <c r="H1085" s="822"/>
    </row>
    <row r="1086" spans="1:8" ht="12" x14ac:dyDescent="0.3">
      <c r="A1086" s="820">
        <v>1082</v>
      </c>
      <c r="B1086" s="1069" t="str">
        <f t="shared" si="16"/>
        <v>Flat-rolled products of alloy steel other than stainless, of a width of &gt;= 600 mm, not further worked than hot-rolled, in coils (excl. products of tool steel, high-speed steel or silicon-electrical steel)</v>
      </c>
      <c r="C1086" s="1069" t="s">
        <v>1738</v>
      </c>
      <c r="D1086" s="822"/>
      <c r="E1086" s="822"/>
      <c r="F1086" s="822"/>
      <c r="G1086" s="822"/>
      <c r="H1086" s="822"/>
    </row>
    <row r="1087" spans="1:8" ht="12" x14ac:dyDescent="0.3">
      <c r="A1087" s="820">
        <v>1083</v>
      </c>
      <c r="B1087" s="1069" t="str">
        <f t="shared" si="16"/>
        <v>Flat-rolled products of alloy steel other than stainless, of a width of &gt;= 600 mm, not further worked than hot-rolled, not in coils (excl. products of silicon-electrical steel)</v>
      </c>
      <c r="C1087" s="1069" t="s">
        <v>1740</v>
      </c>
      <c r="D1087" s="822"/>
      <c r="E1087" s="822"/>
      <c r="F1087" s="822"/>
      <c r="G1087" s="822"/>
      <c r="H1087" s="822"/>
    </row>
    <row r="1088" spans="1:8" ht="12" x14ac:dyDescent="0.3">
      <c r="A1088" s="820">
        <v>1084</v>
      </c>
      <c r="B1088" s="1069" t="str">
        <f t="shared" si="16"/>
        <v>Flat-rolled products of tool steel, of a width of &gt;= 600 mm, not further worked than hot-rolled, not in coils</v>
      </c>
      <c r="C1088" s="1069" t="s">
        <v>1743</v>
      </c>
      <c r="D1088" s="822"/>
      <c r="E1088" s="822"/>
      <c r="F1088" s="822"/>
      <c r="G1088" s="822"/>
      <c r="H1088" s="822"/>
    </row>
    <row r="1089" spans="1:8" ht="12" x14ac:dyDescent="0.3">
      <c r="A1089" s="820">
        <v>1085</v>
      </c>
      <c r="B1089" s="1069" t="str">
        <f t="shared" si="16"/>
        <v>Flat-rolled products of high-speed steel, of a width of &gt;= 600 mm, not further worked than hot-rolled, not in coils</v>
      </c>
      <c r="C1089" s="1069" t="s">
        <v>1746</v>
      </c>
      <c r="D1089" s="822"/>
      <c r="E1089" s="822"/>
      <c r="F1089" s="822"/>
      <c r="G1089" s="822"/>
      <c r="H1089" s="822"/>
    </row>
    <row r="1090" spans="1:8" ht="12" x14ac:dyDescent="0.3">
      <c r="A1090" s="820">
        <v>1086</v>
      </c>
      <c r="B1090" s="1069" t="str">
        <f t="shared" si="16"/>
        <v>Flat-rolled products of alloy steel other than stainless, of a width of &gt;= 600 mm, not further worked than hot-rolled, not in coils, of a thickness of &gt; 10 mm (excl. products of tool steel, high-speed steel or silicon-electrical steel)</v>
      </c>
      <c r="C1090" s="1069" t="s">
        <v>1749</v>
      </c>
      <c r="D1090" s="822"/>
      <c r="E1090" s="822"/>
      <c r="F1090" s="822"/>
      <c r="G1090" s="822"/>
      <c r="H1090" s="822"/>
    </row>
    <row r="1091" spans="1:8" ht="12" x14ac:dyDescent="0.3">
      <c r="A1091" s="820">
        <v>1087</v>
      </c>
      <c r="B1091" s="1069" t="str">
        <f t="shared" si="16"/>
        <v>Flat-rolled products of alloy steel other than stainless, of a width of &gt;= 600 mm, not further worked than hot-rolled, not in coils, of a thickness of &gt;= 4,75 mm but &lt;= 10 mm (excl. products of tool steel, high-speed steel or silicon-electrical steel)</v>
      </c>
      <c r="C1091" s="1069" t="s">
        <v>1752</v>
      </c>
      <c r="D1091" s="822"/>
      <c r="E1091" s="822"/>
      <c r="F1091" s="822"/>
      <c r="G1091" s="822"/>
      <c r="H1091" s="822"/>
    </row>
    <row r="1092" spans="1:8" ht="12" x14ac:dyDescent="0.3">
      <c r="A1092" s="820">
        <v>1088</v>
      </c>
      <c r="B1092" s="1069" t="str">
        <f t="shared" si="16"/>
        <v>Flat-rolled products of alloy steel other than stainless, of a width of &gt;= 600 mm, not further worked than hot-rolled, not in coils, of a thickness of &lt; 4,75 mm (excl. products of tool steel, high-speed steel or silicon-electrical steel)</v>
      </c>
      <c r="C1092" s="1069" t="s">
        <v>1755</v>
      </c>
      <c r="D1092" s="822"/>
      <c r="E1092" s="822"/>
      <c r="F1092" s="822"/>
      <c r="G1092" s="822"/>
      <c r="H1092" s="822"/>
    </row>
    <row r="1093" spans="1:8" ht="12" x14ac:dyDescent="0.3">
      <c r="A1093" s="820">
        <v>1089</v>
      </c>
      <c r="B1093" s="1069" t="str">
        <f t="shared" si="16"/>
        <v>Flat-rolled products of alloy steel other than stainless, of a width of &gt;= 600 mm, not further worked than cold-rolled "cold-reduced" (excl. products of silicon-electrical steel)</v>
      </c>
      <c r="C1093" s="1069" t="s">
        <v>1757</v>
      </c>
      <c r="D1093" s="822"/>
      <c r="E1093" s="822"/>
      <c r="F1093" s="822"/>
      <c r="G1093" s="822"/>
      <c r="H1093" s="822"/>
    </row>
    <row r="1094" spans="1:8" ht="12" x14ac:dyDescent="0.3">
      <c r="A1094" s="820">
        <v>1090</v>
      </c>
      <c r="B1094" s="1069" t="str">
        <f t="shared" ref="B1094:B1157" si="17">IFERROR(INDEX(C1094:M1094,$A$3-2),$C1094)</f>
        <v>Flat-rolled products of high-speed steel, of a width of &gt;= 600 mm, not further worked than cold-rolled "cold-reduced"</v>
      </c>
      <c r="C1094" s="1069" t="s">
        <v>1760</v>
      </c>
      <c r="D1094" s="822"/>
      <c r="E1094" s="822"/>
      <c r="F1094" s="822"/>
      <c r="G1094" s="822"/>
      <c r="H1094" s="822"/>
    </row>
    <row r="1095" spans="1:8" ht="12" x14ac:dyDescent="0.3">
      <c r="A1095" s="820">
        <v>1091</v>
      </c>
      <c r="B1095" s="1069" t="str">
        <f t="shared" si="17"/>
        <v>Flat-rolled products of alloy steel other than stainless, of a width of &gt;= 600 mm, not further worked than cold-rolled "cold-reduced" (excl. products of high-speed steel or silicon-electrical steel)</v>
      </c>
      <c r="C1095" s="1069" t="s">
        <v>1763</v>
      </c>
      <c r="D1095" s="822"/>
      <c r="E1095" s="822"/>
      <c r="F1095" s="822"/>
      <c r="G1095" s="822"/>
      <c r="H1095" s="822"/>
    </row>
    <row r="1096" spans="1:8" ht="12" x14ac:dyDescent="0.3">
      <c r="A1096" s="820">
        <v>1092</v>
      </c>
      <c r="B1096" s="1069" t="str">
        <f t="shared" si="17"/>
        <v>Flat-rolled products of alloy steel other than stainless, of a width of &gt;= 600 mm, hot-rolled or cold-rolled "cold-reduced" and electrolytically plated or coated with zinc (excl. products of silicon-electrical steel)</v>
      </c>
      <c r="C1096" s="1069" t="s">
        <v>1766</v>
      </c>
      <c r="D1096" s="822"/>
      <c r="E1096" s="822"/>
      <c r="F1096" s="822"/>
      <c r="G1096" s="822"/>
      <c r="H1096" s="822"/>
    </row>
    <row r="1097" spans="1:8" ht="12" x14ac:dyDescent="0.3">
      <c r="A1097" s="820">
        <v>1093</v>
      </c>
      <c r="B1097" s="1069" t="str">
        <f t="shared" si="17"/>
        <v>Flat-rolled products of alloy steel other than stainless, of a width of &gt;= 600 mm, hot-rolled or cold-rolled "cold-reduced" and plated or coated with zinc (excl. electrolytically plated or coated and products of silicon-electrical steel)</v>
      </c>
      <c r="C1097" s="1069" t="s">
        <v>1769</v>
      </c>
      <c r="D1097" s="822"/>
      <c r="E1097" s="822"/>
      <c r="F1097" s="822"/>
      <c r="G1097" s="822"/>
      <c r="H1097" s="822"/>
    </row>
    <row r="1098" spans="1:8" ht="12" x14ac:dyDescent="0.3">
      <c r="A1098" s="820">
        <v>1094</v>
      </c>
      <c r="B1098" s="1069" t="str">
        <f t="shared" si="17"/>
        <v>Flat-rolled products of alloy steel other than stainless, of a width of &gt;= 600 mm, hot-rolled or cold-rolled "cold-reduced" and further worked (excl. plated or coated with zinc and products of silicon-electrical steel)</v>
      </c>
      <c r="C1098" s="1069" t="s">
        <v>1772</v>
      </c>
      <c r="D1098" s="822"/>
      <c r="E1098" s="822"/>
      <c r="F1098" s="822"/>
      <c r="G1098" s="822"/>
      <c r="H1098" s="822"/>
    </row>
    <row r="1099" spans="1:8" ht="12" x14ac:dyDescent="0.3">
      <c r="A1099" s="820">
        <v>1095</v>
      </c>
      <c r="B1099" s="1069" t="str">
        <f t="shared" si="17"/>
        <v>Flat-rolled products of alloy steel other than stainless, of a width of &lt; 600 mm, hot-rolled or cold-rolled "cold-reduced"</v>
      </c>
      <c r="C1099" s="1069" t="s">
        <v>1774</v>
      </c>
      <c r="D1099" s="822"/>
      <c r="E1099" s="822"/>
      <c r="F1099" s="822"/>
      <c r="G1099" s="822"/>
      <c r="H1099" s="822"/>
    </row>
    <row r="1100" spans="1:8" ht="12" x14ac:dyDescent="0.3">
      <c r="A1100" s="820">
        <v>1096</v>
      </c>
      <c r="B1100" s="1069" t="str">
        <f t="shared" si="17"/>
        <v>Flat-rolled products of silicon-electrical steel, of a width of &lt; 600 mm, hot-rolled or cold-rolled "cold-reduced", grain-oriented</v>
      </c>
      <c r="C1100" s="1069" t="s">
        <v>1777</v>
      </c>
      <c r="D1100" s="822"/>
      <c r="E1100" s="822"/>
      <c r="F1100" s="822"/>
      <c r="G1100" s="822"/>
      <c r="H1100" s="822"/>
    </row>
    <row r="1101" spans="1:8" ht="12" x14ac:dyDescent="0.3">
      <c r="A1101" s="820">
        <v>1097</v>
      </c>
      <c r="B1101" s="1069" t="str">
        <f t="shared" si="17"/>
        <v>Flat-rolled products of silicon-electrical steel, of a width of &lt; 600 mm, hot-rolled or cold-rolled "cold-reduced", not grain-oriented</v>
      </c>
      <c r="C1101" s="1069" t="s">
        <v>1779</v>
      </c>
      <c r="D1101" s="822"/>
      <c r="E1101" s="822"/>
      <c r="F1101" s="822"/>
      <c r="G1101" s="822"/>
      <c r="H1101" s="822"/>
    </row>
    <row r="1102" spans="1:8" ht="12" x14ac:dyDescent="0.3">
      <c r="A1102" s="820">
        <v>1098</v>
      </c>
      <c r="B1102" s="1069" t="str">
        <f t="shared" si="17"/>
        <v>Flat-rolled products of silicon-electrical steel, of a width of &lt; 600 mm, not further worked than hot-rolled</v>
      </c>
      <c r="C1102" s="1069" t="s">
        <v>1782</v>
      </c>
      <c r="D1102" s="822"/>
      <c r="E1102" s="822"/>
      <c r="F1102" s="822"/>
      <c r="G1102" s="822"/>
      <c r="H1102" s="822"/>
    </row>
    <row r="1103" spans="1:8" ht="12" x14ac:dyDescent="0.3">
      <c r="A1103" s="820">
        <v>1099</v>
      </c>
      <c r="B1103" s="1069" t="str">
        <f t="shared" si="17"/>
        <v>Flat-rolled products of silicon-electrical steel, of a width of &lt; 600 mm, cold-rolled "cold-reduced", whether or not further worked, or hot-rolled and further worked, non-grain-oriented</v>
      </c>
      <c r="C1103" s="1069" t="s">
        <v>1785</v>
      </c>
      <c r="D1103" s="822"/>
      <c r="E1103" s="822"/>
      <c r="F1103" s="822"/>
      <c r="G1103" s="822"/>
      <c r="H1103" s="822"/>
    </row>
    <row r="1104" spans="1:8" ht="12" x14ac:dyDescent="0.3">
      <c r="A1104" s="820">
        <v>1100</v>
      </c>
      <c r="B1104" s="1069" t="str">
        <f t="shared" si="17"/>
        <v>Flat-rolled products of high-speed steel, of a width of &lt;= 600 mm, hot-rolled or cold-rolled "cold-reduced"</v>
      </c>
      <c r="C1104" s="1069" t="s">
        <v>1788</v>
      </c>
      <c r="D1104" s="822"/>
      <c r="E1104" s="822"/>
      <c r="F1104" s="822"/>
      <c r="G1104" s="822"/>
      <c r="H1104" s="822"/>
    </row>
    <row r="1105" spans="1:8" ht="12" x14ac:dyDescent="0.3">
      <c r="A1105" s="820">
        <v>1101</v>
      </c>
      <c r="B1105" s="1069" t="str">
        <f t="shared" si="17"/>
        <v>Flat-rolled products of alloy steel other than stainless, of a width of &lt; 600 mm, not further worked than hot-rolled (excl. products of high-speed steel or silicon-electrical steel)</v>
      </c>
      <c r="C1105" s="1069" t="s">
        <v>1790</v>
      </c>
      <c r="D1105" s="822"/>
      <c r="E1105" s="822"/>
      <c r="F1105" s="822"/>
      <c r="G1105" s="822"/>
      <c r="H1105" s="822"/>
    </row>
    <row r="1106" spans="1:8" ht="12" x14ac:dyDescent="0.3">
      <c r="A1106" s="820">
        <v>1102</v>
      </c>
      <c r="B1106" s="1069" t="str">
        <f t="shared" si="17"/>
        <v>Flat-rolled products of tool steel, of a width of &lt; 600 mm, simply hot-rolled</v>
      </c>
      <c r="C1106" s="1069" t="s">
        <v>1793</v>
      </c>
      <c r="D1106" s="822"/>
      <c r="E1106" s="822"/>
      <c r="F1106" s="822"/>
      <c r="G1106" s="822"/>
      <c r="H1106" s="822"/>
    </row>
    <row r="1107" spans="1:8" ht="12" x14ac:dyDescent="0.3">
      <c r="A1107" s="820">
        <v>1103</v>
      </c>
      <c r="B1107" s="1069" t="str">
        <f t="shared" si="17"/>
        <v>Flat-rolled products of alloy steel other than stainless steel, simply hot-rolled, of a thickness of &gt;= 4,75 mm, of a width of &lt; 600 mm (excl. of tool steel, silicon-electrical steel or high speed steel)</v>
      </c>
      <c r="C1107" s="1069" t="s">
        <v>1796</v>
      </c>
      <c r="D1107" s="822"/>
      <c r="E1107" s="822"/>
      <c r="F1107" s="822"/>
      <c r="G1107" s="822"/>
      <c r="H1107" s="822"/>
    </row>
    <row r="1108" spans="1:8" ht="12" x14ac:dyDescent="0.3">
      <c r="A1108" s="820">
        <v>1104</v>
      </c>
      <c r="B1108" s="1069" t="str">
        <f t="shared" si="17"/>
        <v>Flat-rolled products of alloy steel other than stainless steel, simply hot-rolled, of a thickness of &lt; 4,75 mm, of a width of &lt; 600 mm (excl. of tool steel, silicon-electrical steel or high speed steel)</v>
      </c>
      <c r="C1108" s="1069" t="s">
        <v>1799</v>
      </c>
      <c r="D1108" s="822"/>
      <c r="E1108" s="822"/>
      <c r="F1108" s="822"/>
      <c r="G1108" s="822"/>
      <c r="H1108" s="822"/>
    </row>
    <row r="1109" spans="1:8" ht="12" x14ac:dyDescent="0.3">
      <c r="A1109" s="820">
        <v>1105</v>
      </c>
      <c r="B1109" s="1069" t="str">
        <f t="shared" si="17"/>
        <v>Flat-rolled products of alloy steel other than stainless, of a width of &lt; 600 mm, not further worked than cold-rolled "cold-reduced" (excl. products of high-speed steel or silicon-electrical steel)</v>
      </c>
      <c r="C1109" s="1069" t="s">
        <v>1802</v>
      </c>
      <c r="D1109" s="822"/>
      <c r="E1109" s="822"/>
      <c r="F1109" s="822"/>
      <c r="G1109" s="822"/>
      <c r="H1109" s="822"/>
    </row>
    <row r="1110" spans="1:8" ht="12" x14ac:dyDescent="0.3">
      <c r="A1110" s="820">
        <v>1106</v>
      </c>
      <c r="B1110" s="1069" t="str">
        <f t="shared" si="17"/>
        <v>Flat-rolled products of alloy steel other than stainless, of a width of &lt; 600 mm, hot-rolled or cold-rolled "cold-reduced" and further worked (excl. products of high-speed steel or silicon-electrical steel)</v>
      </c>
      <c r="C1110" s="1069" t="s">
        <v>1804</v>
      </c>
      <c r="D1110" s="822"/>
      <c r="E1110" s="822"/>
      <c r="F1110" s="822"/>
      <c r="G1110" s="822"/>
      <c r="H1110" s="822"/>
    </row>
    <row r="1111" spans="1:8" ht="12" x14ac:dyDescent="0.3">
      <c r="A1111" s="820">
        <v>1107</v>
      </c>
      <c r="B1111" s="1069" t="str">
        <f t="shared" si="17"/>
        <v>Flat-rolled products of alloy steel other than stainless, of a width of &lt; 600 mm, hot-rolled or cold-rolled "cold-reduced" and electrolytically plated or coated with zinc (excl. products of high-speed steel or silicon-electrical steel)</v>
      </c>
      <c r="C1111" s="1069" t="s">
        <v>1807</v>
      </c>
      <c r="D1111" s="822"/>
      <c r="E1111" s="822"/>
      <c r="F1111" s="822"/>
      <c r="G1111" s="822"/>
      <c r="H1111" s="822"/>
    </row>
    <row r="1112" spans="1:8" ht="12" x14ac:dyDescent="0.3">
      <c r="A1112" s="820">
        <v>1108</v>
      </c>
      <c r="B1112" s="1069" t="str">
        <f t="shared" si="17"/>
        <v>Flat-rolled products of alloy steel other than stainless, of a width of &lt; 600 mm, hot-rolled or cold-rolled "cold-reduced" and plated or coated with zinc (excl. electrolytically plated or coated, and products of high-speed steel or silicon-electrical steel)</v>
      </c>
      <c r="C1112" s="1069" t="s">
        <v>1810</v>
      </c>
      <c r="D1112" s="822"/>
      <c r="E1112" s="822"/>
      <c r="F1112" s="822"/>
      <c r="G1112" s="822"/>
      <c r="H1112" s="822"/>
    </row>
    <row r="1113" spans="1:8" ht="12" x14ac:dyDescent="0.3">
      <c r="A1113" s="820">
        <v>1109</v>
      </c>
      <c r="B1113" s="1069" t="str">
        <f t="shared" si="17"/>
        <v>Flat-rolled products of alloy steel other than stainless, of a width of &lt; 600 mm, hot-rolled or cold-rolled "cold-reduced" and further worked (excl. plated or coated with zinc, and products of high-speed steel or silicon-electrical steel)</v>
      </c>
      <c r="C1113" s="1069" t="s">
        <v>1813</v>
      </c>
      <c r="D1113" s="822"/>
      <c r="E1113" s="822"/>
      <c r="F1113" s="822"/>
      <c r="G1113" s="822"/>
      <c r="H1113" s="822"/>
    </row>
    <row r="1114" spans="1:8" ht="12" x14ac:dyDescent="0.3">
      <c r="A1114" s="820">
        <v>1110</v>
      </c>
      <c r="B1114" s="1069" t="str">
        <f t="shared" si="17"/>
        <v>Bars and rods of alloy steel other than stainless, hot-rolled, in irregularly wound coils</v>
      </c>
      <c r="C1114" s="1069" t="s">
        <v>1815</v>
      </c>
      <c r="D1114" s="822"/>
      <c r="E1114" s="822"/>
      <c r="F1114" s="822"/>
      <c r="G1114" s="822"/>
      <c r="H1114" s="822"/>
    </row>
    <row r="1115" spans="1:8" ht="12" x14ac:dyDescent="0.3">
      <c r="A1115" s="820">
        <v>1111</v>
      </c>
      <c r="B1115" s="1069" t="str">
        <f t="shared" si="17"/>
        <v>Bars and rods of high-speed steel, hot-rolled, in irregularly wound coils</v>
      </c>
      <c r="C1115" s="1069" t="s">
        <v>1818</v>
      </c>
      <c r="D1115" s="822"/>
      <c r="E1115" s="822"/>
      <c r="F1115" s="822"/>
      <c r="G1115" s="822"/>
      <c r="H1115" s="822"/>
    </row>
    <row r="1116" spans="1:8" ht="12" x14ac:dyDescent="0.3">
      <c r="A1116" s="820">
        <v>1112</v>
      </c>
      <c r="B1116" s="1069" t="str">
        <f t="shared" si="17"/>
        <v>Bars and rods of silico-manganese steel, hot-rolled, in irregularly wound coils</v>
      </c>
      <c r="C1116" s="1069" t="s">
        <v>1821</v>
      </c>
      <c r="D1116" s="822"/>
      <c r="E1116" s="822"/>
      <c r="F1116" s="822"/>
      <c r="G1116" s="822"/>
      <c r="H1116" s="822"/>
    </row>
    <row r="1117" spans="1:8" ht="12" x14ac:dyDescent="0.3">
      <c r="A1117" s="820">
        <v>1113</v>
      </c>
      <c r="B1117" s="1069" t="str">
        <f t="shared" si="17"/>
        <v>Bars and rods of alloy steel other than stainless, hot-rolled, in irregularly wound coils (excl. products of high-speed steel or silicon-electrical steel)</v>
      </c>
      <c r="C1117" s="1069" t="s">
        <v>1823</v>
      </c>
      <c r="D1117" s="822"/>
      <c r="E1117" s="822"/>
      <c r="F1117" s="822"/>
      <c r="G1117" s="822"/>
      <c r="H1117" s="822"/>
    </row>
    <row r="1118" spans="1:8" ht="12" x14ac:dyDescent="0.3">
      <c r="A1118" s="820">
        <v>1114</v>
      </c>
      <c r="B1118" s="1069" t="str">
        <f t="shared" si="17"/>
        <v>Bars and rods, hot-rolled, of steel containing by weight &gt;= 0,0008% of boron with any other element &lt; the minimum content referred to in Note 1 f to this chapter, in irregularly wound coils</v>
      </c>
      <c r="C1118" s="1069" t="s">
        <v>1826</v>
      </c>
      <c r="D1118" s="822"/>
      <c r="E1118" s="822"/>
      <c r="F1118" s="822"/>
      <c r="G1118" s="822"/>
      <c r="H1118" s="822"/>
    </row>
    <row r="1119" spans="1:8" ht="12" x14ac:dyDescent="0.3">
      <c r="A1119" s="820">
        <v>1115</v>
      </c>
      <c r="B1119" s="1069" t="str">
        <f t="shared" si="17"/>
        <v>Bars and rods, hot-rolled, of steel containing by weight 0,9% to 1,15% carbon, 0,5% to 2% of chromium and, if present, &lt;= 0,5 of molybdenum, in irregularly wound coils</v>
      </c>
      <c r="C1119" s="1069" t="s">
        <v>1829</v>
      </c>
      <c r="D1119" s="822"/>
      <c r="E1119" s="822"/>
      <c r="F1119" s="822"/>
      <c r="G1119" s="822"/>
      <c r="H1119" s="822"/>
    </row>
    <row r="1120" spans="1:8" ht="12" x14ac:dyDescent="0.3">
      <c r="A1120" s="820">
        <v>1116</v>
      </c>
      <c r="B1120" s="1069" t="str">
        <f t="shared" si="17"/>
        <v>Bars and rods, hot-rolled, in irregularly wound coils of alloy steel other than stainless (excl. of high-speed steel or silico-manganese steel and bars and rods of subheadings 7227.90.10 and 7227.90.50)</v>
      </c>
      <c r="C1120" s="1069" t="s">
        <v>1832</v>
      </c>
      <c r="D1120" s="822"/>
      <c r="E1120" s="822"/>
      <c r="F1120" s="822"/>
      <c r="G1120" s="822"/>
      <c r="H1120" s="822"/>
    </row>
    <row r="1121" spans="1:8" ht="12" x14ac:dyDescent="0.3">
      <c r="A1121" s="820">
        <v>1117</v>
      </c>
      <c r="B1121" s="1069" t="str">
        <f t="shared" si="17"/>
        <v>Other bars and rods of alloy steel other than stainless, angles, shapes and sections of alloy steel other than stainless, n.e.s.; hollow drill bars and rods, of alloy or non-alloy steel</v>
      </c>
      <c r="C1121" s="1069" t="s">
        <v>1834</v>
      </c>
      <c r="D1121" s="822"/>
      <c r="E1121" s="822"/>
      <c r="F1121" s="822"/>
      <c r="G1121" s="822"/>
      <c r="H1121" s="822"/>
    </row>
    <row r="1122" spans="1:8" ht="12" x14ac:dyDescent="0.3">
      <c r="A1122" s="820">
        <v>1118</v>
      </c>
      <c r="B1122" s="1069" t="str">
        <f t="shared" si="17"/>
        <v>Bars and rods of high-speed steel (excl. semi-finished products, flat-rolled products and hot-rolled bars and rods in irregularly wound coils)</v>
      </c>
      <c r="C1122" s="1069" t="s">
        <v>1836</v>
      </c>
      <c r="D1122" s="822"/>
      <c r="E1122" s="822"/>
      <c r="F1122" s="822"/>
      <c r="G1122" s="822"/>
      <c r="H1122" s="822"/>
    </row>
    <row r="1123" spans="1:8" ht="12" x14ac:dyDescent="0.3">
      <c r="A1123" s="820">
        <v>1119</v>
      </c>
      <c r="B1123" s="1069" t="str">
        <f t="shared" si="17"/>
        <v>Bars and rods of high-speed steel, not further worked than hot-rolled, hot-drawn or extruded, and hot-rolled, hot-drawn or extruded, not further worked than clad (excl. semi-finished products, flat-rolled products and hot-rolled bars and rods in irregularly wound coils)</v>
      </c>
      <c r="C1123" s="1069" t="s">
        <v>1839</v>
      </c>
      <c r="D1123" s="822"/>
      <c r="E1123" s="822"/>
      <c r="F1123" s="822"/>
      <c r="G1123" s="822"/>
      <c r="H1123" s="822"/>
    </row>
    <row r="1124" spans="1:8" ht="12" x14ac:dyDescent="0.3">
      <c r="A1124" s="820">
        <v>1120</v>
      </c>
      <c r="B1124" s="1069" t="str">
        <f t="shared" si="17"/>
        <v>Bars and rods of high-speed steel, forged (excl. semi-finished products, flat-rolled products and hot-rolled bars and rods in irregularly wound coils)</v>
      </c>
      <c r="C1124" s="1069" t="s">
        <v>1842</v>
      </c>
      <c r="D1124" s="822"/>
      <c r="E1124" s="822"/>
      <c r="F1124" s="822"/>
      <c r="G1124" s="822"/>
      <c r="H1124" s="822"/>
    </row>
    <row r="1125" spans="1:8" ht="12" x14ac:dyDescent="0.3">
      <c r="A1125" s="820">
        <v>1121</v>
      </c>
      <c r="B1125" s="1069" t="str">
        <f t="shared" si="17"/>
        <v>Bars and rods of high-speed steel, not further worked than cold-formed or cold-finished, whether or not further worked, or hot-formed and further worked (excl. forged products, semi-finished products, flat-rolled products and hot-rolled bars and rods in irregularly wound coils)</v>
      </c>
      <c r="C1125" s="1069" t="s">
        <v>1845</v>
      </c>
      <c r="D1125" s="822"/>
      <c r="E1125" s="822"/>
      <c r="F1125" s="822"/>
      <c r="G1125" s="822"/>
      <c r="H1125" s="822"/>
    </row>
    <row r="1126" spans="1:8" ht="12" x14ac:dyDescent="0.3">
      <c r="A1126" s="820">
        <v>1122</v>
      </c>
      <c r="B1126" s="1069" t="str">
        <f t="shared" si="17"/>
        <v>Bars and rods of silico-manganese steel (excl. semi-finished products, flat-rolled products and hot-rolled bars and rods in irregularly wound coils)</v>
      </c>
      <c r="C1126" s="1069" t="s">
        <v>1847</v>
      </c>
      <c r="D1126" s="822"/>
      <c r="E1126" s="822"/>
      <c r="F1126" s="822"/>
      <c r="G1126" s="822"/>
      <c r="H1126" s="822"/>
    </row>
    <row r="1127" spans="1:8" ht="12" x14ac:dyDescent="0.3">
      <c r="A1127" s="820">
        <v>1123</v>
      </c>
      <c r="B1127" s="1069" t="str">
        <f t="shared" si="17"/>
        <v>Bars and rods of silico-manganese steel, of rectangular "other than square" cross-section, hot-rolled on four faces (excl. semi-finished products, flat-rolled products and hot-rolled bars and rods in irregularly wound coils)</v>
      </c>
      <c r="C1127" s="1069" t="s">
        <v>1850</v>
      </c>
      <c r="D1127" s="822"/>
      <c r="E1127" s="822"/>
      <c r="F1127" s="822"/>
      <c r="G1127" s="822"/>
      <c r="H1127" s="822"/>
    </row>
    <row r="1128" spans="1:8" ht="12" x14ac:dyDescent="0.3">
      <c r="A1128" s="820">
        <v>1124</v>
      </c>
      <c r="B1128" s="1069" t="str">
        <f t="shared" si="17"/>
        <v>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v>
      </c>
      <c r="C1128" s="1069" t="s">
        <v>1853</v>
      </c>
      <c r="D1128" s="822"/>
      <c r="E1128" s="822"/>
      <c r="F1128" s="822"/>
      <c r="G1128" s="822"/>
      <c r="H1128" s="822"/>
    </row>
    <row r="1129" spans="1:8" ht="12" x14ac:dyDescent="0.3">
      <c r="A1129" s="820">
        <v>1125</v>
      </c>
      <c r="B1129" s="1069" t="str">
        <f t="shared" si="17"/>
        <v>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v>
      </c>
      <c r="C1129" s="1069" t="s">
        <v>1856</v>
      </c>
      <c r="D1129" s="822"/>
      <c r="E1129" s="822"/>
      <c r="F1129" s="822"/>
      <c r="G1129" s="822"/>
      <c r="H1129" s="822"/>
    </row>
    <row r="1130" spans="1:8" ht="12" x14ac:dyDescent="0.3">
      <c r="A1130" s="820">
        <v>1126</v>
      </c>
      <c r="B1130" s="1069" t="str">
        <f t="shared" si="17"/>
        <v>Bars and rods of alloy steel other than stainless, not further worked than hot-rolled, hot-drawn or extruded (excl. products of high-speed steel or silico-manganese steel, semi-finished products, flat-rolled products and hot-rolled bars and rods in irregularly wound coils)</v>
      </c>
      <c r="C1130" s="1069" t="s">
        <v>1858</v>
      </c>
      <c r="D1130" s="822"/>
      <c r="E1130" s="822"/>
      <c r="F1130" s="822"/>
      <c r="G1130" s="822"/>
      <c r="H1130" s="822"/>
    </row>
    <row r="1131" spans="1:8" ht="12" x14ac:dyDescent="0.3">
      <c r="A1131" s="820">
        <v>1127</v>
      </c>
      <c r="B1131" s="1069" t="str">
        <f t="shared" si="17"/>
        <v>Bars and rods of tool steel, only hot-rolled, only hot-drawn or only extruded (excl. semi-finished products, flat-rolled products and hot-rolled bars and rods in irregularly wound coils)</v>
      </c>
      <c r="C1131" s="1069" t="s">
        <v>1861</v>
      </c>
      <c r="D1131" s="822"/>
      <c r="E1131" s="822"/>
      <c r="F1131" s="822"/>
      <c r="G1131" s="822"/>
      <c r="H1131" s="822"/>
    </row>
    <row r="1132" spans="1:8" ht="12" x14ac:dyDescent="0.3">
      <c r="A1132" s="820">
        <v>1128</v>
      </c>
      <c r="B1132" s="1069" t="str">
        <f t="shared" si="17"/>
        <v>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v>
      </c>
      <c r="C1132" s="1069" t="s">
        <v>1864</v>
      </c>
      <c r="D1132" s="822"/>
      <c r="E1132" s="822"/>
      <c r="F1132" s="822"/>
      <c r="G1132" s="822"/>
      <c r="H1132" s="822"/>
    </row>
    <row r="1133" spans="1:8" ht="12" x14ac:dyDescent="0.3">
      <c r="A1133" s="820">
        <v>1129</v>
      </c>
      <c r="B1133" s="1069" t="str">
        <f t="shared" si="17"/>
        <v>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v>
      </c>
      <c r="C1133" s="1069" t="s">
        <v>1867</v>
      </c>
      <c r="D1133" s="822"/>
      <c r="E1133" s="822"/>
      <c r="F1133" s="822"/>
      <c r="G1133" s="822"/>
      <c r="H1133" s="822"/>
    </row>
    <row r="1134" spans="1:8" ht="12" x14ac:dyDescent="0.3">
      <c r="A1134" s="820">
        <v>1130</v>
      </c>
      <c r="B1134" s="1069" t="str">
        <f t="shared" si="17"/>
        <v>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v>
      </c>
      <c r="C1134" s="1069" t="s">
        <v>1870</v>
      </c>
      <c r="D1134" s="822"/>
      <c r="E1134" s="822"/>
      <c r="F1134" s="822"/>
      <c r="G1134" s="822"/>
      <c r="H1134" s="822"/>
    </row>
    <row r="1135" spans="1:8" ht="12" x14ac:dyDescent="0.3">
      <c r="A1135" s="820">
        <v>1131</v>
      </c>
      <c r="B1135" s="1069" t="str">
        <f t="shared" si="17"/>
        <v>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v>
      </c>
      <c r="C1135" s="1069" t="s">
        <v>1873</v>
      </c>
      <c r="D1135" s="822"/>
      <c r="E1135" s="822"/>
      <c r="F1135" s="822"/>
      <c r="G1135" s="822"/>
      <c r="H1135" s="822"/>
    </row>
    <row r="1136" spans="1:8" ht="12" x14ac:dyDescent="0.3">
      <c r="A1136" s="820">
        <v>1132</v>
      </c>
      <c r="B1136" s="1069" t="str">
        <f t="shared" si="17"/>
        <v>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v>
      </c>
      <c r="C1136" s="1069" t="s">
        <v>1876</v>
      </c>
      <c r="D1136" s="822"/>
      <c r="E1136" s="822"/>
      <c r="F1136" s="822"/>
      <c r="G1136" s="822"/>
      <c r="H1136" s="822"/>
    </row>
    <row r="1137" spans="1:8" ht="12" x14ac:dyDescent="0.3">
      <c r="A1137" s="820">
        <v>1133</v>
      </c>
      <c r="B1137" s="1069" t="str">
        <f t="shared" si="17"/>
        <v>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v>
      </c>
      <c r="C1137" s="1069" t="s">
        <v>1879</v>
      </c>
      <c r="D1137" s="822"/>
      <c r="E1137" s="822"/>
      <c r="F1137" s="822"/>
      <c r="G1137" s="822"/>
      <c r="H1137" s="822"/>
    </row>
    <row r="1138" spans="1:8" ht="12" x14ac:dyDescent="0.3">
      <c r="A1138" s="820">
        <v>1134</v>
      </c>
      <c r="B1138" s="1069" t="str">
        <f t="shared" si="17"/>
        <v>Bars and rods of alloy steel other than stainless, not further worked than forged (excl. products of high-speed steel or silico-manganese steel, semi-finished products, flat-rolled products and hot-rolled bars and rods in irregularly wound coils)</v>
      </c>
      <c r="C1138" s="1069" t="s">
        <v>1881</v>
      </c>
      <c r="D1138" s="822"/>
      <c r="E1138" s="822"/>
      <c r="F1138" s="822"/>
      <c r="G1138" s="822"/>
      <c r="H1138" s="822"/>
    </row>
    <row r="1139" spans="1:8" ht="12" x14ac:dyDescent="0.3">
      <c r="A1139" s="820">
        <v>1135</v>
      </c>
      <c r="B1139" s="1069" t="str">
        <f t="shared" si="17"/>
        <v>Bars and rods of tool steel, only forged (excl. semi-finished products, flat-rolled products and hot-rolled bars and rods in irregularly wound coils)</v>
      </c>
      <c r="C1139" s="1069" t="s">
        <v>1884</v>
      </c>
      <c r="D1139" s="822"/>
      <c r="E1139" s="822"/>
      <c r="F1139" s="822"/>
      <c r="G1139" s="822"/>
      <c r="H1139" s="822"/>
    </row>
    <row r="1140" spans="1:8" ht="12" x14ac:dyDescent="0.3">
      <c r="A1140" s="820">
        <v>1136</v>
      </c>
      <c r="B1140" s="1069" t="str">
        <f t="shared" si="17"/>
        <v>Bars and rods of alloy steel, other than stainless steel, only forged (excl. of high-speed steel, silico-manganese steel, tool steel, semi-finished products, flat-rolled products and hot-rolled bars and rods in irregularly wound coils)</v>
      </c>
      <c r="C1140" s="1069" t="s">
        <v>1887</v>
      </c>
      <c r="D1140" s="822"/>
      <c r="E1140" s="822"/>
      <c r="F1140" s="822"/>
      <c r="G1140" s="822"/>
      <c r="H1140" s="822"/>
    </row>
    <row r="1141" spans="1:8" ht="12" x14ac:dyDescent="0.3">
      <c r="A1141" s="820">
        <v>1137</v>
      </c>
      <c r="B1141" s="1069" t="str">
        <f t="shared" si="17"/>
        <v>Bars and rods of alloy steel other than stainless, not further worked than cold-formed or cold-finished (excl. products of high-speed steel or silico-manganese steel, semi-finished products, flat-rolled products and hot-rolled bars and rods in irregularly wound coils)</v>
      </c>
      <c r="C1141" s="1069" t="s">
        <v>1889</v>
      </c>
      <c r="D1141" s="822"/>
      <c r="E1141" s="822"/>
      <c r="F1141" s="822"/>
      <c r="G1141" s="822"/>
      <c r="H1141" s="822"/>
    </row>
    <row r="1142" spans="1:8" ht="12" x14ac:dyDescent="0.3">
      <c r="A1142" s="820">
        <v>1138</v>
      </c>
      <c r="B1142" s="1069" t="str">
        <f t="shared" si="17"/>
        <v>Bars and rods of tool steel, only cold-formed or cold-finished (excl. semi-finished products, flat-rolled products and hot-rolled bars and rods in irregularly wound coils)</v>
      </c>
      <c r="C1142" s="1069" t="s">
        <v>1892</v>
      </c>
      <c r="D1142" s="822"/>
      <c r="E1142" s="822"/>
      <c r="F1142" s="822"/>
      <c r="G1142" s="822"/>
      <c r="H1142" s="822"/>
    </row>
    <row r="1143" spans="1:8" ht="12" x14ac:dyDescent="0.3">
      <c r="A1143" s="820">
        <v>1139</v>
      </c>
      <c r="B1143" s="1069" t="str">
        <f t="shared" si="17"/>
        <v>Bars and rods of steel containing 0,9% to 1,15% of carbon, 0,5% to 2% of chromium and, if present &lt;= 0,5% of molybdenum, only cold-formed or cold-finished (excl. semi-finished products, flat-rolled products and hot-rolled bars and rods in irregularly wound coils)</v>
      </c>
      <c r="C1143" s="1069" t="s">
        <v>1895</v>
      </c>
      <c r="D1143" s="822"/>
      <c r="E1143" s="822"/>
      <c r="F1143" s="822"/>
      <c r="G1143" s="822"/>
      <c r="H1143" s="822"/>
    </row>
    <row r="1144" spans="1:8" ht="12" x14ac:dyDescent="0.3">
      <c r="A1144" s="820">
        <v>1140</v>
      </c>
      <c r="B1144" s="1069" t="str">
        <f t="shared" si="17"/>
        <v>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v>
      </c>
      <c r="C1144" s="1069" t="s">
        <v>1898</v>
      </c>
      <c r="D1144" s="822"/>
      <c r="E1144" s="822"/>
      <c r="F1144" s="822"/>
      <c r="G1144" s="822"/>
      <c r="H1144" s="822"/>
    </row>
    <row r="1145" spans="1:8" ht="12" x14ac:dyDescent="0.3">
      <c r="A1145" s="820">
        <v>1141</v>
      </c>
      <c r="B1145" s="1069" t="str">
        <f t="shared" si="17"/>
        <v>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v>
      </c>
      <c r="C1145" s="1069" t="s">
        <v>1901</v>
      </c>
      <c r="D1145" s="822"/>
      <c r="E1145" s="822"/>
      <c r="F1145" s="822"/>
      <c r="G1145" s="822"/>
      <c r="H1145" s="822"/>
    </row>
    <row r="1146" spans="1:8" ht="12" x14ac:dyDescent="0.3">
      <c r="A1146" s="820">
        <v>1142</v>
      </c>
      <c r="B1146" s="1069" t="str">
        <f t="shared" si="17"/>
        <v>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v>
      </c>
      <c r="C1146" s="1069" t="s">
        <v>1904</v>
      </c>
      <c r="D1146" s="822"/>
      <c r="E1146" s="822"/>
      <c r="F1146" s="822"/>
      <c r="G1146" s="822"/>
      <c r="H1146" s="822"/>
    </row>
    <row r="1147" spans="1:8" ht="12" x14ac:dyDescent="0.3">
      <c r="A1147" s="820">
        <v>1143</v>
      </c>
      <c r="B1147" s="1069" t="str">
        <f t="shared" si="17"/>
        <v>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v>
      </c>
      <c r="C1147" s="1069" t="s">
        <v>1906</v>
      </c>
      <c r="D1147" s="822"/>
      <c r="E1147" s="822"/>
      <c r="F1147" s="822"/>
      <c r="G1147" s="822"/>
      <c r="H1147" s="822"/>
    </row>
    <row r="1148" spans="1:8" ht="12" x14ac:dyDescent="0.3">
      <c r="A1148" s="820">
        <v>1144</v>
      </c>
      <c r="B1148" s="1069" t="str">
        <f t="shared" si="17"/>
        <v>Bars and rods of tool steel, cold-formed or cold-finished and further worked or hot-formed and further worked (excl. semi-finished products, flat-rolled products and hot-rolled bars and rods in irregularly wound coils)</v>
      </c>
      <c r="C1148" s="1069" t="s">
        <v>1909</v>
      </c>
      <c r="D1148" s="822"/>
      <c r="E1148" s="822"/>
      <c r="F1148" s="822"/>
      <c r="G1148" s="822"/>
      <c r="H1148" s="822"/>
    </row>
    <row r="1149" spans="1:8" ht="12" x14ac:dyDescent="0.3">
      <c r="A1149" s="820">
        <v>1145</v>
      </c>
      <c r="B1149" s="1069" t="str">
        <f t="shared" si="17"/>
        <v>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v>
      </c>
      <c r="C1149" s="1069" t="s">
        <v>1912</v>
      </c>
      <c r="D1149" s="822"/>
      <c r="E1149" s="822"/>
      <c r="F1149" s="822"/>
      <c r="G1149" s="822"/>
      <c r="H1149" s="822"/>
    </row>
    <row r="1150" spans="1:8" ht="12" x14ac:dyDescent="0.3">
      <c r="A1150" s="820">
        <v>1146</v>
      </c>
      <c r="B1150" s="1069" t="str">
        <f t="shared" si="17"/>
        <v>Angles, shapes and sections of alloy steel other than stainless, n.e.s.</v>
      </c>
      <c r="C1150" s="1069" t="s">
        <v>1914</v>
      </c>
      <c r="D1150" s="822"/>
      <c r="E1150" s="822"/>
      <c r="F1150" s="822"/>
      <c r="G1150" s="822"/>
      <c r="H1150" s="822"/>
    </row>
    <row r="1151" spans="1:8" ht="12" x14ac:dyDescent="0.3">
      <c r="A1151" s="820">
        <v>1147</v>
      </c>
      <c r="B1151" s="1069" t="str">
        <f t="shared" si="17"/>
        <v>Angles, shapes and sections of alloy steel other than stainless, not further worked than hot-rolled, hot-drawn or extruded</v>
      </c>
      <c r="C1151" s="1069" t="s">
        <v>1917</v>
      </c>
      <c r="D1151" s="822"/>
      <c r="E1151" s="822"/>
      <c r="F1151" s="822"/>
      <c r="G1151" s="822"/>
      <c r="H1151" s="822"/>
    </row>
    <row r="1152" spans="1:8" ht="12" x14ac:dyDescent="0.3">
      <c r="A1152" s="820">
        <v>1148</v>
      </c>
      <c r="B1152" s="1069" t="str">
        <f t="shared" si="17"/>
        <v>Angles, shapes and sections of alloy steel other than stainless, n.e.s. (excl. products not further worked than hot-rolled, hot-drawn or extruded)</v>
      </c>
      <c r="C1152" s="1069" t="s">
        <v>1920</v>
      </c>
      <c r="D1152" s="822"/>
      <c r="E1152" s="822"/>
      <c r="F1152" s="822"/>
      <c r="G1152" s="822"/>
      <c r="H1152" s="822"/>
    </row>
    <row r="1153" spans="1:8" ht="12" x14ac:dyDescent="0.3">
      <c r="A1153" s="820">
        <v>1149</v>
      </c>
      <c r="B1153" s="1069" t="str">
        <f t="shared" si="17"/>
        <v>Hollow drill bars and rods, of alloy or non-alloy steel</v>
      </c>
      <c r="C1153" s="1069" t="s">
        <v>1923</v>
      </c>
      <c r="D1153" s="822"/>
      <c r="E1153" s="822"/>
      <c r="F1153" s="822"/>
      <c r="G1153" s="822"/>
      <c r="H1153" s="822"/>
    </row>
    <row r="1154" spans="1:8" ht="12" x14ac:dyDescent="0.3">
      <c r="A1154" s="820">
        <v>1150</v>
      </c>
      <c r="B1154" s="1069" t="str">
        <f t="shared" si="17"/>
        <v>Wire of alloy steel other than stainless, in coils (excl. bars and rods)</v>
      </c>
      <c r="C1154" s="1069" t="s">
        <v>1925</v>
      </c>
      <c r="D1154" s="822"/>
      <c r="E1154" s="822"/>
      <c r="F1154" s="822"/>
      <c r="G1154" s="822"/>
      <c r="H1154" s="822"/>
    </row>
    <row r="1155" spans="1:8" ht="12" x14ac:dyDescent="0.3">
      <c r="A1155" s="820">
        <v>1151</v>
      </c>
      <c r="B1155" s="1069" t="str">
        <f t="shared" si="17"/>
        <v>Wire of silico-manganese steel, in coils (excl. bars and rods)</v>
      </c>
      <c r="C1155" s="1069" t="s">
        <v>1928</v>
      </c>
      <c r="D1155" s="822"/>
      <c r="E1155" s="822"/>
      <c r="F1155" s="822"/>
      <c r="G1155" s="822"/>
      <c r="H1155" s="822"/>
    </row>
    <row r="1156" spans="1:8" ht="12" x14ac:dyDescent="0.3">
      <c r="A1156" s="820">
        <v>1152</v>
      </c>
      <c r="B1156" s="1069" t="str">
        <f t="shared" si="17"/>
        <v>Wire of alloy steel other than stainless, in coils (excl. bars and rods and wire of silico-manganese steel)</v>
      </c>
      <c r="C1156" s="1069" t="s">
        <v>1930</v>
      </c>
      <c r="D1156" s="822"/>
      <c r="E1156" s="822"/>
      <c r="F1156" s="822"/>
      <c r="G1156" s="822"/>
      <c r="H1156" s="822"/>
    </row>
    <row r="1157" spans="1:8" ht="12" x14ac:dyDescent="0.3">
      <c r="A1157" s="820">
        <v>1153</v>
      </c>
      <c r="B1157" s="1069" t="str">
        <f t="shared" si="17"/>
        <v>Wire of high-speed steel, in coils (excl. bars and rods)</v>
      </c>
      <c r="C1157" s="1069" t="s">
        <v>1933</v>
      </c>
      <c r="D1157" s="822"/>
      <c r="E1157" s="822"/>
      <c r="F1157" s="822"/>
      <c r="G1157" s="822"/>
      <c r="H1157" s="822"/>
    </row>
    <row r="1158" spans="1:8" ht="12" x14ac:dyDescent="0.3">
      <c r="A1158" s="820">
        <v>1154</v>
      </c>
      <c r="B1158" s="1069" t="str">
        <f t="shared" ref="B1158:B1221" si="18">IFERROR(INDEX(C1158:M1158,$A$3-2),$C1158)</f>
        <v>Wire of steel containing by weight 0,9% to 1,1% of carbon, 0,5% to 2% of chromium and, if present, &lt;= 0,5% of molybdenum, in coils (excl. rolled bars and rods)</v>
      </c>
      <c r="C1158" s="1069" t="s">
        <v>1936</v>
      </c>
      <c r="D1158" s="822"/>
      <c r="E1158" s="822"/>
      <c r="F1158" s="822"/>
      <c r="G1158" s="822"/>
      <c r="H1158" s="822"/>
    </row>
    <row r="1159" spans="1:8" ht="12" x14ac:dyDescent="0.3">
      <c r="A1159" s="820">
        <v>1155</v>
      </c>
      <c r="B1159" s="1069" t="str">
        <f t="shared" si="18"/>
        <v>Wire of alloy steel other than stainless, in coils (excl. rolled bars and rods, wire of high-speed steel or silico-manganese steel and articles of subheading 7229.90.50)</v>
      </c>
      <c r="C1159" s="1069" t="s">
        <v>1939</v>
      </c>
      <c r="D1159" s="822"/>
      <c r="E1159" s="822"/>
      <c r="F1159" s="822"/>
      <c r="G1159" s="822"/>
      <c r="H1159" s="822"/>
    </row>
    <row r="1160" spans="1:8" ht="12" x14ac:dyDescent="0.3">
      <c r="A1160" s="820">
        <v>1156</v>
      </c>
      <c r="B1160" s="1069" t="str">
        <f t="shared" si="18"/>
        <v>Sheet piling of iron or steel, whether or not drilled, punched or made from assembled elements; welded angles, shapes and sections, of iron or steel</v>
      </c>
      <c r="C1160" s="1069" t="s">
        <v>1941</v>
      </c>
      <c r="D1160" s="822"/>
      <c r="E1160" s="822"/>
      <c r="F1160" s="822"/>
      <c r="G1160" s="822"/>
      <c r="H1160" s="822"/>
    </row>
    <row r="1161" spans="1:8" ht="12" x14ac:dyDescent="0.3">
      <c r="A1161" s="820">
        <v>1157</v>
      </c>
      <c r="B1161" s="1069" t="str">
        <f t="shared" si="18"/>
        <v>Sheet piling of iron or steel, whether or not drilled, punched or made from assembled elements</v>
      </c>
      <c r="C1161" s="1069" t="s">
        <v>1944</v>
      </c>
      <c r="D1161" s="822"/>
      <c r="E1161" s="822"/>
      <c r="F1161" s="822"/>
      <c r="G1161" s="822"/>
      <c r="H1161" s="822"/>
    </row>
    <row r="1162" spans="1:8" ht="12" x14ac:dyDescent="0.3">
      <c r="A1162" s="820">
        <v>1158</v>
      </c>
      <c r="B1162" s="1069" t="str">
        <f t="shared" si="18"/>
        <v>Angles, shapes and sections, of iron or steel, welded</v>
      </c>
      <c r="C1162" s="1069" t="s">
        <v>1947</v>
      </c>
      <c r="D1162" s="822"/>
      <c r="E1162" s="822"/>
      <c r="F1162" s="822"/>
      <c r="G1162" s="822"/>
      <c r="H1162" s="822"/>
    </row>
    <row r="1163" spans="1:8" ht="12" x14ac:dyDescent="0.3">
      <c r="A1163" s="820">
        <v>1159</v>
      </c>
      <c r="B1163" s="1069" t="str">
        <f t="shared" si="18"/>
        <v>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specialised for jointing or fixing rails</v>
      </c>
      <c r="C1163" s="1069" t="s">
        <v>1949</v>
      </c>
      <c r="D1163" s="822"/>
      <c r="E1163" s="822"/>
      <c r="F1163" s="822"/>
      <c r="G1163" s="822"/>
      <c r="H1163" s="822"/>
    </row>
    <row r="1164" spans="1:8" ht="12" x14ac:dyDescent="0.3">
      <c r="A1164" s="820">
        <v>1160</v>
      </c>
      <c r="B1164" s="1069" t="str">
        <f t="shared" si="18"/>
        <v>Rails of iron or steel, for railway or tramway track (excl. check-rails)</v>
      </c>
      <c r="C1164" s="1069" t="s">
        <v>1951</v>
      </c>
      <c r="D1164" s="822"/>
      <c r="E1164" s="822"/>
      <c r="F1164" s="822"/>
      <c r="G1164" s="822"/>
      <c r="H1164" s="822"/>
    </row>
    <row r="1165" spans="1:8" ht="12" x14ac:dyDescent="0.3">
      <c r="A1165" s="820">
        <v>1161</v>
      </c>
      <c r="B1165" s="1069" t="str">
        <f t="shared" si="18"/>
        <v>Current-conducting rails of iron or steel, with parts of non-ferrous metal, for railway or tramway track (excl. check-rails)</v>
      </c>
      <c r="C1165" s="1069" t="s">
        <v>1954</v>
      </c>
      <c r="D1165" s="822"/>
      <c r="E1165" s="822"/>
      <c r="F1165" s="822"/>
      <c r="G1165" s="822"/>
      <c r="H1165" s="822"/>
    </row>
    <row r="1166" spans="1:8" ht="12" x14ac:dyDescent="0.3">
      <c r="A1166" s="820">
        <v>1162</v>
      </c>
      <c r="B1166" s="1069" t="str">
        <f t="shared" si="18"/>
        <v>Vignole rails of iron or steel, for railway or tramway track, new, of a weight of &gt;= 36 kg/m</v>
      </c>
      <c r="C1166" s="1069" t="s">
        <v>1957</v>
      </c>
      <c r="D1166" s="822"/>
      <c r="E1166" s="822"/>
      <c r="F1166" s="822"/>
      <c r="G1166" s="822"/>
      <c r="H1166" s="822"/>
    </row>
    <row r="1167" spans="1:8" ht="12" x14ac:dyDescent="0.3">
      <c r="A1167" s="820">
        <v>1163</v>
      </c>
      <c r="B1167" s="1069" t="str">
        <f t="shared" si="18"/>
        <v>Vignole rails of iron or steel, for railway or tramway track, new, of a weight of &lt; 36 kg/m</v>
      </c>
      <c r="C1167" s="1069" t="s">
        <v>1960</v>
      </c>
      <c r="D1167" s="822"/>
      <c r="E1167" s="822"/>
      <c r="F1167" s="822"/>
      <c r="G1167" s="822"/>
      <c r="H1167" s="822"/>
    </row>
    <row r="1168" spans="1:8" ht="12" x14ac:dyDescent="0.3">
      <c r="A1168" s="820">
        <v>1164</v>
      </c>
      <c r="B1168" s="1069" t="str">
        <f t="shared" si="18"/>
        <v>Grooved rails of iron or steel, for railway or tramway track, new</v>
      </c>
      <c r="C1168" s="1069" t="s">
        <v>1963</v>
      </c>
      <c r="D1168" s="822"/>
      <c r="E1168" s="822"/>
      <c r="F1168" s="822"/>
      <c r="G1168" s="822"/>
      <c r="H1168" s="822"/>
    </row>
    <row r="1169" spans="1:8" ht="12" x14ac:dyDescent="0.3">
      <c r="A1169" s="820">
        <v>1165</v>
      </c>
      <c r="B1169" s="1069" t="str">
        <f t="shared" si="18"/>
        <v>Rails of iron or steel, for railway or tramway track, new (excl. vignole rails, grooved rails, and current-conducting rails with parts of non-ferrous metal)</v>
      </c>
      <c r="C1169" s="1069" t="s">
        <v>1966</v>
      </c>
      <c r="D1169" s="822"/>
      <c r="E1169" s="822"/>
      <c r="F1169" s="822"/>
      <c r="G1169" s="822"/>
      <c r="H1169" s="822"/>
    </row>
    <row r="1170" spans="1:8" ht="12" x14ac:dyDescent="0.3">
      <c r="A1170" s="820">
        <v>1166</v>
      </c>
      <c r="B1170" s="1069" t="str">
        <f t="shared" si="18"/>
        <v>Rails of iron or steel, for railway or tramway track, used (excl. current-conducting rails with parts of non-ferrous metal)</v>
      </c>
      <c r="C1170" s="1069" t="s">
        <v>1969</v>
      </c>
      <c r="D1170" s="822"/>
      <c r="E1170" s="822"/>
      <c r="F1170" s="822"/>
      <c r="G1170" s="822"/>
      <c r="H1170" s="822"/>
    </row>
    <row r="1171" spans="1:8" ht="12" x14ac:dyDescent="0.3">
      <c r="A1171" s="820">
        <v>1167</v>
      </c>
      <c r="B1171" s="1069" t="str">
        <f t="shared" si="18"/>
        <v>Switch blades, crossing frogs, point rods and other crossing pieces, for railway or tramway track, of iron or steel</v>
      </c>
      <c r="C1171" s="1069" t="s">
        <v>1972</v>
      </c>
      <c r="D1171" s="822"/>
      <c r="E1171" s="822"/>
      <c r="F1171" s="822"/>
      <c r="G1171" s="822"/>
      <c r="H1171" s="822"/>
    </row>
    <row r="1172" spans="1:8" ht="12" x14ac:dyDescent="0.3">
      <c r="A1172" s="820">
        <v>1168</v>
      </c>
      <c r="B1172" s="1069" t="str">
        <f t="shared" si="18"/>
        <v>Fish-plates and sole plates of iron or steel, for railways or tramways</v>
      </c>
      <c r="C1172" s="1069" t="s">
        <v>1975</v>
      </c>
      <c r="D1172" s="822"/>
      <c r="E1172" s="822"/>
      <c r="F1172" s="822"/>
      <c r="G1172" s="822"/>
      <c r="H1172" s="822"/>
    </row>
    <row r="1173" spans="1:8" ht="12" x14ac:dyDescent="0.3">
      <c r="A1173" s="820">
        <v>1169</v>
      </c>
      <c r="B1173" s="1069" t="str">
        <f t="shared" si="18"/>
        <v>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v>
      </c>
      <c r="C1173" s="1069" t="s">
        <v>1978</v>
      </c>
      <c r="D1173" s="822"/>
      <c r="E1173" s="822"/>
      <c r="F1173" s="822"/>
      <c r="G1173" s="822"/>
      <c r="H1173" s="822"/>
    </row>
    <row r="1174" spans="1:8" ht="12" x14ac:dyDescent="0.3">
      <c r="A1174" s="820">
        <v>1170</v>
      </c>
      <c r="B1174" s="1069" t="str">
        <f t="shared" si="18"/>
        <v>Tubes, pipes and hollow profiles, of cast iron</v>
      </c>
      <c r="C1174" s="1069" t="s">
        <v>1980</v>
      </c>
      <c r="D1174" s="822"/>
      <c r="E1174" s="822"/>
      <c r="F1174" s="822"/>
      <c r="G1174" s="822"/>
      <c r="H1174" s="822"/>
    </row>
    <row r="1175" spans="1:8" ht="12" x14ac:dyDescent="0.3">
      <c r="A1175" s="820">
        <v>1171</v>
      </c>
      <c r="B1175" s="1069" t="str">
        <f t="shared" si="18"/>
        <v>Tubes and pipes of a kind used in pressure systems, of cast iron</v>
      </c>
      <c r="C1175" s="1069" t="s">
        <v>1983</v>
      </c>
      <c r="D1175" s="822"/>
      <c r="E1175" s="822"/>
      <c r="F1175" s="822"/>
      <c r="G1175" s="822"/>
      <c r="H1175" s="822"/>
    </row>
    <row r="1176" spans="1:8" ht="12" x14ac:dyDescent="0.3">
      <c r="A1176" s="820">
        <v>1172</v>
      </c>
      <c r="B1176" s="1069" t="str">
        <f t="shared" si="18"/>
        <v>Tubes, pipes and hollow profiles, of cast iron (excl. products of a kind used in pressure systems)</v>
      </c>
      <c r="C1176" s="1069" t="s">
        <v>1986</v>
      </c>
      <c r="D1176" s="822"/>
      <c r="E1176" s="822"/>
      <c r="F1176" s="822"/>
      <c r="G1176" s="822"/>
      <c r="H1176" s="822"/>
    </row>
    <row r="1177" spans="1:8" ht="12" x14ac:dyDescent="0.3">
      <c r="A1177" s="820">
        <v>1173</v>
      </c>
      <c r="B1177" s="1069" t="str">
        <f t="shared" si="18"/>
        <v>Tubes, pipes and hollow profiles, seamless, of iron or steel (excl. products of cast iron)</v>
      </c>
      <c r="C1177" s="1069" t="s">
        <v>1988</v>
      </c>
      <c r="D1177" s="822"/>
      <c r="E1177" s="822"/>
      <c r="F1177" s="822"/>
      <c r="G1177" s="822"/>
      <c r="H1177" s="822"/>
    </row>
    <row r="1178" spans="1:8" ht="12" x14ac:dyDescent="0.3">
      <c r="A1178" s="820">
        <v>1174</v>
      </c>
      <c r="B1178" s="1069" t="str">
        <f t="shared" si="18"/>
        <v>Line pipe of a kind used for oil or gas pipelines, seamless, of stainless steel</v>
      </c>
      <c r="C1178" s="1069" t="s">
        <v>1991</v>
      </c>
      <c r="D1178" s="822"/>
      <c r="E1178" s="822"/>
      <c r="F1178" s="822"/>
      <c r="G1178" s="822"/>
      <c r="H1178" s="822"/>
    </row>
    <row r="1179" spans="1:8" ht="12" x14ac:dyDescent="0.3">
      <c r="A1179" s="820">
        <v>1175</v>
      </c>
      <c r="B1179" s="1069" t="str">
        <f t="shared" si="18"/>
        <v>Line pipe of a kind used for oil or gas pipelines, seamless, of iron or steel (excl. products of stainless steel or of cast iron)</v>
      </c>
      <c r="C1179" s="1069" t="s">
        <v>1993</v>
      </c>
      <c r="D1179" s="822"/>
      <c r="E1179" s="822"/>
      <c r="F1179" s="822"/>
      <c r="G1179" s="822"/>
      <c r="H1179" s="822"/>
    </row>
    <row r="1180" spans="1:8" ht="12" x14ac:dyDescent="0.3">
      <c r="A1180" s="820">
        <v>1176</v>
      </c>
      <c r="B1180" s="1069" t="str">
        <f t="shared" si="18"/>
        <v>Line pipe of a kind used for oil or gas pipelines, seamless, of iron or steel, of an external diameter of &lt;= 168,3 mm (excl. products of stainless steel or of cast iron)</v>
      </c>
      <c r="C1180" s="1069" t="s">
        <v>1996</v>
      </c>
      <c r="D1180" s="822"/>
      <c r="E1180" s="822"/>
      <c r="F1180" s="822"/>
      <c r="G1180" s="822"/>
      <c r="H1180" s="822"/>
    </row>
    <row r="1181" spans="1:8" ht="12" x14ac:dyDescent="0.3">
      <c r="A1181" s="820">
        <v>1177</v>
      </c>
      <c r="B1181" s="1069" t="str">
        <f t="shared" si="18"/>
        <v>Line pipe of a kind used for oil or gas pipelines, seamless, of iron or steel, of an external diameter of &gt; 168,3 mm but &lt;= 406,4 mm (excl. products of stainless steel or of cast iron)</v>
      </c>
      <c r="C1181" s="1069" t="s">
        <v>1999</v>
      </c>
      <c r="D1181" s="822"/>
      <c r="E1181" s="822"/>
      <c r="F1181" s="822"/>
      <c r="G1181" s="822"/>
      <c r="H1181" s="822"/>
    </row>
    <row r="1182" spans="1:8" ht="12" x14ac:dyDescent="0.3">
      <c r="A1182" s="820">
        <v>1178</v>
      </c>
      <c r="B1182" s="1069" t="str">
        <f t="shared" si="18"/>
        <v>Line pipe of a kind used for oil or gas pipelines, seamless, of iron or steel, of an external diameter of &gt; 406,4 mm (excl. products of stainless steel or of cast iron)</v>
      </c>
      <c r="C1182" s="1069" t="s">
        <v>2002</v>
      </c>
      <c r="D1182" s="822"/>
      <c r="E1182" s="822"/>
      <c r="F1182" s="822"/>
      <c r="G1182" s="822"/>
      <c r="H1182" s="822"/>
    </row>
    <row r="1183" spans="1:8" ht="12" x14ac:dyDescent="0.3">
      <c r="A1183" s="820">
        <v>1179</v>
      </c>
      <c r="B1183" s="1069" t="str">
        <f t="shared" si="18"/>
        <v>Drill pipe, seamless, of stainless steel, of a kind used in drilling for oil or gas</v>
      </c>
      <c r="C1183" s="1069" t="s">
        <v>2005</v>
      </c>
      <c r="D1183" s="822"/>
      <c r="E1183" s="822"/>
      <c r="F1183" s="822"/>
      <c r="G1183" s="822"/>
      <c r="H1183" s="822"/>
    </row>
    <row r="1184" spans="1:8" ht="12" x14ac:dyDescent="0.3">
      <c r="A1184" s="820">
        <v>1180</v>
      </c>
      <c r="B1184" s="1069" t="str">
        <f t="shared" si="18"/>
        <v>Drill pipe, seamless, of a kind used in drilling for oil or gas, of iron or steel (excl. products of stainless steel or of cast iron)</v>
      </c>
      <c r="C1184" s="1069" t="s">
        <v>2008</v>
      </c>
      <c r="D1184" s="822"/>
      <c r="E1184" s="822"/>
      <c r="F1184" s="822"/>
      <c r="G1184" s="822"/>
      <c r="H1184" s="822"/>
    </row>
    <row r="1185" spans="1:8" ht="12" x14ac:dyDescent="0.3">
      <c r="A1185" s="820">
        <v>1181</v>
      </c>
      <c r="B1185" s="1069" t="str">
        <f t="shared" si="18"/>
        <v>Casing and tubing, seamless, of a kind used for drilling for oil or gas, of stainless steel</v>
      </c>
      <c r="C1185" s="1069" t="s">
        <v>2011</v>
      </c>
      <c r="D1185" s="822"/>
      <c r="E1185" s="822"/>
      <c r="F1185" s="822"/>
      <c r="G1185" s="822"/>
      <c r="H1185" s="822"/>
    </row>
    <row r="1186" spans="1:8" ht="12" x14ac:dyDescent="0.3">
      <c r="A1186" s="820">
        <v>1182</v>
      </c>
      <c r="B1186" s="1069" t="str">
        <f t="shared" si="18"/>
        <v>Casing and tubing, seamless, of iron or steel, of a kind used in drilling for oil or gas (excl. products of cast iron)</v>
      </c>
      <c r="C1186" s="1069" t="s">
        <v>2013</v>
      </c>
      <c r="D1186" s="822"/>
      <c r="E1186" s="822"/>
      <c r="F1186" s="822"/>
      <c r="G1186" s="822"/>
      <c r="H1186" s="822"/>
    </row>
    <row r="1187" spans="1:8" ht="12" x14ac:dyDescent="0.3">
      <c r="A1187" s="820">
        <v>1183</v>
      </c>
      <c r="B1187" s="1069" t="str">
        <f t="shared" si="18"/>
        <v>Casing and tubing of a kind used for drilling for oil or gas, seamless, of iron or steel, of an external diameter &lt;= 168,3 mm (excl. products of cast iron)</v>
      </c>
      <c r="C1187" s="1069" t="s">
        <v>2016</v>
      </c>
      <c r="D1187" s="822"/>
      <c r="E1187" s="822"/>
      <c r="F1187" s="822"/>
      <c r="G1187" s="822"/>
      <c r="H1187" s="822"/>
    </row>
    <row r="1188" spans="1:8" ht="12" x14ac:dyDescent="0.3">
      <c r="A1188" s="820">
        <v>1184</v>
      </c>
      <c r="B1188" s="1069" t="str">
        <f t="shared" si="18"/>
        <v>Casing and tubing of a kind used for drilling for oil or gas, seamless, of iron or steel, of an external diameter &gt; 168,3 mm, but &lt;= 406,4 mm (excl. products of cast iron)</v>
      </c>
      <c r="C1188" s="1069" t="s">
        <v>2019</v>
      </c>
      <c r="D1188" s="822"/>
      <c r="E1188" s="822"/>
      <c r="F1188" s="822"/>
      <c r="G1188" s="822"/>
      <c r="H1188" s="822"/>
    </row>
    <row r="1189" spans="1:8" ht="12" x14ac:dyDescent="0.3">
      <c r="A1189" s="820">
        <v>1185</v>
      </c>
      <c r="B1189" s="1069" t="str">
        <f t="shared" si="18"/>
        <v>Casing and tubing of a kind used for drilling for oil or gas, seamless, of iron or steel, of an external diameter &gt; 406,4 mm (excl. products of cast iron)</v>
      </c>
      <c r="C1189" s="1069" t="s">
        <v>2022</v>
      </c>
      <c r="D1189" s="822"/>
      <c r="E1189" s="822"/>
      <c r="F1189" s="822"/>
      <c r="G1189" s="822"/>
      <c r="H1189" s="822"/>
    </row>
    <row r="1190" spans="1:8" ht="12" x14ac:dyDescent="0.3">
      <c r="A1190" s="820">
        <v>1186</v>
      </c>
      <c r="B1190" s="1069" t="str">
        <f t="shared" si="18"/>
        <v>Tubes, pipes and hollow profiles, seamless, of circular cross-section, of iron or non-alloy steel, cold-drawn or cold-rolled "cold-reduced" (excl. cast iron products and line pipe of a kind used for oil or gas pipelines or casing and tubing of a kind used for drilling for oil or gas)</v>
      </c>
      <c r="C1190" s="1069" t="s">
        <v>2024</v>
      </c>
      <c r="D1190" s="822"/>
      <c r="E1190" s="822"/>
      <c r="F1190" s="822"/>
      <c r="G1190" s="822"/>
      <c r="H1190" s="822"/>
    </row>
    <row r="1191" spans="1:8" ht="12" x14ac:dyDescent="0.3">
      <c r="A1191" s="820">
        <v>1187</v>
      </c>
      <c r="B1191" s="1069" t="str">
        <f t="shared" si="18"/>
        <v>Precision tubes, seamless, of circular cross-section, of iron or non-alloy steel, cold-drawn or cold-rolled "cold-reduced" (excl. line pipe of a kind used for oil or gas pipelines or casing and tubing of a kind used for drilling for oil or gas)</v>
      </c>
      <c r="C1191" s="1069" t="s">
        <v>2027</v>
      </c>
      <c r="D1191" s="822"/>
      <c r="E1191" s="822"/>
      <c r="F1191" s="822"/>
      <c r="G1191" s="822"/>
      <c r="H1191" s="822"/>
    </row>
    <row r="1192" spans="1:8" ht="12" x14ac:dyDescent="0.3">
      <c r="A1192" s="820">
        <v>1188</v>
      </c>
      <c r="B1192" s="1069" t="str">
        <f t="shared" si="18"/>
        <v>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v>
      </c>
      <c r="C1192" s="1069" t="s">
        <v>2030</v>
      </c>
      <c r="D1192" s="822"/>
      <c r="E1192" s="822"/>
      <c r="F1192" s="822"/>
      <c r="G1192" s="822"/>
      <c r="H1192" s="822"/>
    </row>
    <row r="1193" spans="1:8" ht="12" x14ac:dyDescent="0.3">
      <c r="A1193" s="820">
        <v>1189</v>
      </c>
      <c r="B1193" s="1069" t="str">
        <f t="shared" si="18"/>
        <v>Tubes, pipes and hollow profiles, seamless, of circular cross-section, of iron or non-alloy steel, not cold-drawn or cold-rolled "cold-reduced" (excl. cast iron products, line pipe of a kind used for oil or gas pipelines, casing and tubing of a kind used for drilling for oil or gas)</v>
      </c>
      <c r="C1193" s="1069" t="s">
        <v>2032</v>
      </c>
      <c r="D1193" s="822"/>
      <c r="E1193" s="822"/>
      <c r="F1193" s="822"/>
      <c r="G1193" s="822"/>
      <c r="H1193" s="822"/>
    </row>
    <row r="1194" spans="1:8" ht="12" x14ac:dyDescent="0.3">
      <c r="A1194" s="820">
        <v>1190</v>
      </c>
      <c r="B1194" s="1069" t="str">
        <f t="shared" si="18"/>
        <v>Threaded or threadable tubes "gas pipe", seamless, of iron or non-alloy steel (excl. of cast iron)</v>
      </c>
      <c r="C1194" s="1069" t="s">
        <v>2035</v>
      </c>
      <c r="D1194" s="822"/>
      <c r="E1194" s="822"/>
      <c r="F1194" s="822"/>
      <c r="G1194" s="822"/>
      <c r="H1194" s="822"/>
    </row>
    <row r="1195" spans="1:8" ht="12" x14ac:dyDescent="0.3">
      <c r="A1195" s="820">
        <v>1191</v>
      </c>
      <c r="B1195" s="1069" t="str">
        <f t="shared" si="18"/>
        <v>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v>
      </c>
      <c r="C1195" s="1069" t="s">
        <v>2038</v>
      </c>
      <c r="D1195" s="822"/>
      <c r="E1195" s="822"/>
      <c r="F1195" s="822"/>
      <c r="G1195" s="822"/>
      <c r="H1195" s="822"/>
    </row>
    <row r="1196" spans="1:8" ht="12" x14ac:dyDescent="0.3">
      <c r="A1196" s="820">
        <v>1192</v>
      </c>
      <c r="B1196" s="1069" t="str">
        <f t="shared" si="18"/>
        <v>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v>
      </c>
      <c r="C1196" s="1069" t="s">
        <v>2041</v>
      </c>
      <c r="D1196" s="822"/>
      <c r="E1196" s="822"/>
      <c r="F1196" s="822"/>
      <c r="G1196" s="822"/>
      <c r="H1196" s="822"/>
    </row>
    <row r="1197" spans="1:8" ht="12" x14ac:dyDescent="0.3">
      <c r="A1197" s="820">
        <v>1193</v>
      </c>
      <c r="B1197" s="1069" t="str">
        <f t="shared" si="18"/>
        <v>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v>
      </c>
      <c r="C1197" s="1069" t="s">
        <v>2044</v>
      </c>
      <c r="D1197" s="822"/>
      <c r="E1197" s="822"/>
      <c r="F1197" s="822"/>
      <c r="G1197" s="822"/>
      <c r="H1197" s="822"/>
    </row>
    <row r="1198" spans="1:8" ht="12" x14ac:dyDescent="0.3">
      <c r="A1198" s="820">
        <v>1194</v>
      </c>
      <c r="B1198" s="1069" t="str">
        <f t="shared" si="18"/>
        <v>Tubes, pipes and hollow profiles, seamless, of circular cross-section, of stainless steel, cold-drawn or cold-rolled "cold-reduced" (excl. line pipe of a kind used for oil or gas pipelines, casing and tubing of a kind used for drilling for oil or gas)</v>
      </c>
      <c r="C1198" s="1069" t="s">
        <v>2047</v>
      </c>
      <c r="D1198" s="822"/>
      <c r="E1198" s="822"/>
      <c r="F1198" s="822"/>
      <c r="G1198" s="822"/>
      <c r="H1198" s="822"/>
    </row>
    <row r="1199" spans="1:8" ht="12" x14ac:dyDescent="0.3">
      <c r="A1199" s="820">
        <v>1195</v>
      </c>
      <c r="B1199" s="1069" t="str">
        <f t="shared" si="18"/>
        <v>Tubes, pipes and hollow profiles, seamless, of circular cross-section, of stainless steel, not cold-drawn or cold-rolled "cold-reduced" (excl. line pipe of a kind used for oil or gas pipelines or of a kind used for drilling for oil or gas)</v>
      </c>
      <c r="C1199" s="1069" t="s">
        <v>2049</v>
      </c>
      <c r="D1199" s="822"/>
      <c r="E1199" s="822"/>
      <c r="F1199" s="822"/>
      <c r="G1199" s="822"/>
      <c r="H1199" s="822"/>
    </row>
    <row r="1200" spans="1:8" ht="12" x14ac:dyDescent="0.3">
      <c r="A1200" s="820">
        <v>1196</v>
      </c>
      <c r="B1200" s="1069" t="str">
        <f t="shared" si="18"/>
        <v>Tubes, pipes and hollow profiles, seamless, of circular cross-section, of stainless steel, of an external diameter of &lt;= 168,3 mm (excl. cold-drawn or cold-rolled, line pipe of a kind used for oil or gas pipelines, and casing and tubing of a kind used for drilling for oil or gas and tubes)</v>
      </c>
      <c r="C1200" s="1069" t="s">
        <v>2052</v>
      </c>
      <c r="D1200" s="822"/>
      <c r="E1200" s="822"/>
      <c r="F1200" s="822"/>
      <c r="G1200" s="822"/>
      <c r="H1200" s="822"/>
    </row>
    <row r="1201" spans="1:8" ht="12" x14ac:dyDescent="0.3">
      <c r="A1201" s="820">
        <v>1197</v>
      </c>
      <c r="B1201" s="1069" t="str">
        <f t="shared" si="18"/>
        <v>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v>
      </c>
      <c r="C1201" s="1069" t="s">
        <v>2055</v>
      </c>
      <c r="D1201" s="822"/>
      <c r="E1201" s="822"/>
      <c r="F1201" s="822"/>
      <c r="G1201" s="822"/>
      <c r="H1201" s="822"/>
    </row>
    <row r="1202" spans="1:8" ht="12" x14ac:dyDescent="0.3">
      <c r="A1202" s="820">
        <v>1198</v>
      </c>
      <c r="B1202" s="1069" t="str">
        <f t="shared" si="18"/>
        <v>Tubes, pipes and hollow profiles, seamless, of circular cross-section, of stainless steel, of an external diameter of &gt; 406,4 mm (excl. cold-drawn or cold-rolled, line pipe of a kind used for oil or gas pipelines, and casing and tubing of a kind used for drilling for oil or gas and tubes)</v>
      </c>
      <c r="C1202" s="1069" t="s">
        <v>2058</v>
      </c>
      <c r="D1202" s="822"/>
      <c r="E1202" s="822"/>
      <c r="F1202" s="822"/>
      <c r="G1202" s="822"/>
      <c r="H1202" s="822"/>
    </row>
    <row r="1203" spans="1:8" ht="12" x14ac:dyDescent="0.3">
      <c r="A1203" s="820">
        <v>1199</v>
      </c>
      <c r="B1203" s="1069" t="str">
        <f t="shared" si="18"/>
        <v>Tubes, pipes and hollow profiles, seamless, of circular cross-section, of alloy steel other than stainless, cold-drawn or cold-rolled "cold-reduced" (excl. line pipe of a kind used for oil or gas pipelines, casing and tubing of a kind used for drilling for oil)</v>
      </c>
      <c r="C1203" s="1069" t="s">
        <v>2060</v>
      </c>
      <c r="D1203" s="822"/>
      <c r="E1203" s="822"/>
      <c r="F1203" s="822"/>
      <c r="G1203" s="822"/>
      <c r="H1203" s="822"/>
    </row>
    <row r="1204" spans="1:8" ht="12" x14ac:dyDescent="0.3">
      <c r="A1204" s="820">
        <v>1200</v>
      </c>
      <c r="B1204" s="1069" t="str">
        <f t="shared" si="18"/>
        <v>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v>
      </c>
      <c r="C1204" s="1069" t="s">
        <v>2063</v>
      </c>
      <c r="D1204" s="822"/>
      <c r="E1204" s="822"/>
      <c r="F1204" s="822"/>
      <c r="G1204" s="822"/>
      <c r="H1204" s="822"/>
    </row>
    <row r="1205" spans="1:8" ht="12" x14ac:dyDescent="0.3">
      <c r="A1205" s="820">
        <v>1201</v>
      </c>
      <c r="B1205" s="1069" t="str">
        <f t="shared" si="18"/>
        <v>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v>
      </c>
      <c r="C1205" s="1069" t="s">
        <v>2066</v>
      </c>
      <c r="D1205" s="822"/>
      <c r="E1205" s="822"/>
      <c r="F1205" s="822"/>
      <c r="G1205" s="822"/>
      <c r="H1205" s="822"/>
    </row>
    <row r="1206" spans="1:8" ht="12" x14ac:dyDescent="0.3">
      <c r="A1206" s="820">
        <v>1202</v>
      </c>
      <c r="B1206" s="1069" t="str">
        <f t="shared" si="18"/>
        <v>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v>
      </c>
      <c r="C1206" s="1069" t="s">
        <v>2069</v>
      </c>
      <c r="D1206" s="822"/>
      <c r="E1206" s="822"/>
      <c r="F1206" s="822"/>
      <c r="G1206" s="822"/>
      <c r="H1206" s="822"/>
    </row>
    <row r="1207" spans="1:8" ht="12" x14ac:dyDescent="0.3">
      <c r="A1207" s="820">
        <v>1203</v>
      </c>
      <c r="B1207" s="1069" t="str">
        <f t="shared" si="18"/>
        <v>Tubes, pipes and hollow profiles, seamless, of circular cross-section, of alloy steel other than stainless, not cold-drawn or cold-rolled "cold-reduced" (excl. line pipe of a kind used for oil or gas pipelines, casing and tubing of a kind used for drilling for oil)</v>
      </c>
      <c r="C1207" s="1069" t="s">
        <v>2071</v>
      </c>
      <c r="D1207" s="822"/>
      <c r="E1207" s="822"/>
      <c r="F1207" s="822"/>
      <c r="G1207" s="822"/>
      <c r="H1207" s="822"/>
    </row>
    <row r="1208" spans="1:8" ht="12" x14ac:dyDescent="0.3">
      <c r="A1208" s="820">
        <v>1204</v>
      </c>
      <c r="B1208" s="1069" t="str">
        <f t="shared" si="18"/>
        <v>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v>
      </c>
      <c r="C1208" s="1069" t="s">
        <v>2074</v>
      </c>
      <c r="D1208" s="822"/>
      <c r="E1208" s="822"/>
      <c r="F1208" s="822"/>
      <c r="G1208" s="822"/>
      <c r="H1208" s="822"/>
    </row>
    <row r="1209" spans="1:8" ht="12" x14ac:dyDescent="0.3">
      <c r="A1209" s="820">
        <v>1205</v>
      </c>
      <c r="B1209" s="1069" t="str">
        <f t="shared" si="18"/>
        <v>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v>
      </c>
      <c r="C1209" s="1069" t="s">
        <v>2077</v>
      </c>
      <c r="D1209" s="822"/>
      <c r="E1209" s="822"/>
      <c r="F1209" s="822"/>
      <c r="G1209" s="822"/>
      <c r="H1209" s="822"/>
    </row>
    <row r="1210" spans="1:8" ht="12" x14ac:dyDescent="0.3">
      <c r="A1210" s="820">
        <v>1206</v>
      </c>
      <c r="B1210" s="1069" t="str">
        <f t="shared" si="18"/>
        <v>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v>
      </c>
      <c r="C1210" s="1069" t="s">
        <v>2080</v>
      </c>
      <c r="D1210" s="822"/>
      <c r="E1210" s="822"/>
      <c r="F1210" s="822"/>
      <c r="G1210" s="822"/>
      <c r="H1210" s="822"/>
    </row>
    <row r="1211" spans="1:8" ht="12" x14ac:dyDescent="0.3">
      <c r="A1211" s="820">
        <v>1207</v>
      </c>
      <c r="B1211" s="1069" t="str">
        <f t="shared" si="18"/>
        <v>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v>
      </c>
      <c r="C1211" s="1069" t="s">
        <v>2083</v>
      </c>
      <c r="D1211" s="822"/>
      <c r="E1211" s="822"/>
      <c r="F1211" s="822"/>
      <c r="G1211" s="822"/>
      <c r="H1211" s="822"/>
    </row>
    <row r="1212" spans="1:8" ht="12" x14ac:dyDescent="0.3">
      <c r="A1212" s="820">
        <v>1208</v>
      </c>
      <c r="B1212" s="1069" t="str">
        <f t="shared" si="18"/>
        <v>Tubes, pipes and hollow profiles, seamless, of non-circular cross-section, of iron or steel (excl. products of cast iron)</v>
      </c>
      <c r="C1212" s="1069" t="s">
        <v>2086</v>
      </c>
      <c r="D1212" s="822"/>
      <c r="E1212" s="822"/>
      <c r="F1212" s="822"/>
      <c r="G1212" s="822"/>
      <c r="H1212" s="822"/>
    </row>
    <row r="1213" spans="1:8" ht="12" x14ac:dyDescent="0.3">
      <c r="A1213" s="820">
        <v>1209</v>
      </c>
      <c r="B1213" s="1069" t="str">
        <f t="shared" si="18"/>
        <v>Tubes and pipes, having circular cross-sections and an external diameter of &gt; 406,4 mm, of flat-rolled products of iron or steel "e.g., welded, riveted or similarly closed"</v>
      </c>
      <c r="C1213" s="1069" t="s">
        <v>2088</v>
      </c>
      <c r="D1213" s="822"/>
      <c r="E1213" s="822"/>
      <c r="F1213" s="822"/>
      <c r="G1213" s="822"/>
      <c r="H1213" s="822"/>
    </row>
    <row r="1214" spans="1:8" ht="12" x14ac:dyDescent="0.3">
      <c r="A1214" s="820">
        <v>1210</v>
      </c>
      <c r="B1214" s="1069" t="str">
        <f t="shared" si="18"/>
        <v>Line pipe of a kind used for oil or gas pipelines, having circular cross-sections and an external diameter of &gt; 406,4 mm, of iron or steel, longitudinally submerged arc welded</v>
      </c>
      <c r="C1214" s="1069" t="s">
        <v>2091</v>
      </c>
      <c r="D1214" s="822"/>
      <c r="E1214" s="822"/>
      <c r="F1214" s="822"/>
      <c r="G1214" s="822"/>
      <c r="H1214" s="822"/>
    </row>
    <row r="1215" spans="1:8" ht="12" x14ac:dyDescent="0.3">
      <c r="A1215" s="820">
        <v>1211</v>
      </c>
      <c r="B1215" s="1069" t="str">
        <f t="shared" si="18"/>
        <v>Line pipe of a kind used for oil or gas pipelines, having circular cross-sections and an external diameter of &gt; 406,4 mm, of iron or steel, longitudinally arc welded (excl. products longitudinally submerged arc welded)</v>
      </c>
      <c r="C1215" s="1069" t="s">
        <v>2094</v>
      </c>
      <c r="D1215" s="822"/>
      <c r="E1215" s="822"/>
      <c r="F1215" s="822"/>
      <c r="G1215" s="822"/>
      <c r="H1215" s="822"/>
    </row>
    <row r="1216" spans="1:8" ht="12" x14ac:dyDescent="0.3">
      <c r="A1216" s="820">
        <v>1212</v>
      </c>
      <c r="B1216" s="1069" t="str">
        <f t="shared" si="18"/>
        <v>Line pipe of a kind used for oil or gas pipelines, having circular cross-sections and an external diameter of &gt; 406,4 mm, of flat-rolled products of iron or steel (excl. products longitudinally arc welded)</v>
      </c>
      <c r="C1216" s="1069" t="s">
        <v>2097</v>
      </c>
      <c r="D1216" s="822"/>
      <c r="E1216" s="822"/>
      <c r="F1216" s="822"/>
      <c r="G1216" s="822"/>
      <c r="H1216" s="822"/>
    </row>
    <row r="1217" spans="1:8" ht="12" x14ac:dyDescent="0.3">
      <c r="A1217" s="820">
        <v>1213</v>
      </c>
      <c r="B1217" s="1069" t="str">
        <f t="shared" si="18"/>
        <v>Casing of a kind used in drilling for oil or gas, having circular cross-sections and an external diameter of &gt; 406,4 mm, of flat-rolled products of iron or steel</v>
      </c>
      <c r="C1217" s="1069" t="s">
        <v>2100</v>
      </c>
      <c r="D1217" s="822"/>
      <c r="E1217" s="822"/>
      <c r="F1217" s="822"/>
      <c r="G1217" s="822"/>
      <c r="H1217" s="822"/>
    </row>
    <row r="1218" spans="1:8" ht="12" x14ac:dyDescent="0.3">
      <c r="A1218" s="820">
        <v>1214</v>
      </c>
      <c r="B1218" s="1069" t="str">
        <f t="shared" si="18"/>
        <v>Tubes and pipes having circular cross-sections and an external diameter of &gt; 406,4 mm, of iron or steel, longitudinally welded (excl. products of a kind used for oil or gas pipelines or of a kind used in drilling for oil or gas)</v>
      </c>
      <c r="C1218" s="1069" t="s">
        <v>2103</v>
      </c>
      <c r="D1218" s="822"/>
      <c r="E1218" s="822"/>
      <c r="F1218" s="822"/>
      <c r="G1218" s="822"/>
      <c r="H1218" s="822"/>
    </row>
    <row r="1219" spans="1:8" ht="12" x14ac:dyDescent="0.3">
      <c r="A1219" s="820">
        <v>1215</v>
      </c>
      <c r="B1219" s="1069" t="str">
        <f t="shared" si="18"/>
        <v>Tubes and pipes having circular cross-sections and an external diameter of &gt; 406,4 mm, of iron or steel, welded (excl. products longitudinally welded or of a kind used for oil or gas pipelines or of a kind used in drilling for oil or gas)</v>
      </c>
      <c r="C1219" s="1069" t="s">
        <v>2106</v>
      </c>
      <c r="D1219" s="822"/>
      <c r="E1219" s="822"/>
      <c r="F1219" s="822"/>
      <c r="G1219" s="822"/>
      <c r="H1219" s="822"/>
    </row>
    <row r="1220" spans="1:8" ht="12" x14ac:dyDescent="0.3">
      <c r="A1220" s="820">
        <v>1216</v>
      </c>
      <c r="B1220" s="1069" t="str">
        <f t="shared" si="18"/>
        <v>Tubes and pipes having circular cross-sections and an external diameter of &gt; 406,4 mm, of flat-rolled products of iron or steel, welded (excl. welded products or products of a kind used for oil or gas pipelines or of a kind used in drilling for oil or gas)</v>
      </c>
      <c r="C1220" s="1069" t="s">
        <v>2109</v>
      </c>
      <c r="D1220" s="822"/>
      <c r="E1220" s="822"/>
      <c r="F1220" s="822"/>
      <c r="G1220" s="822"/>
      <c r="H1220" s="822"/>
    </row>
    <row r="1221" spans="1:8" ht="12" x14ac:dyDescent="0.3">
      <c r="A1221" s="820">
        <v>1217</v>
      </c>
      <c r="B1221" s="1069" t="str">
        <f t="shared" si="18"/>
        <v>Tubes, pipes and hollow profiles "e.g., open seam or welded, riveted or similarly closed", of iron or steel (excl. of cast iron, seamless tubes and pipes and tubes having internal and external circular cross-sections and an external diameter of &gt; 406,4 mm)</v>
      </c>
      <c r="C1221" s="1069" t="s">
        <v>2111</v>
      </c>
      <c r="D1221" s="822"/>
      <c r="E1221" s="822"/>
      <c r="F1221" s="822"/>
      <c r="G1221" s="822"/>
      <c r="H1221" s="822"/>
    </row>
    <row r="1222" spans="1:8" ht="12" x14ac:dyDescent="0.3">
      <c r="A1222" s="820">
        <v>1218</v>
      </c>
      <c r="B1222" s="1069" t="str">
        <f t="shared" ref="B1222:B1285" si="19">IFERROR(INDEX(C1222:M1222,$A$3-2),$C1222)</f>
        <v>Line pipe of a kind used for oil or gas pipelines, welded, of flat-rolled products of stainless steel, of an external diameter of &lt;= 406,4 mm</v>
      </c>
      <c r="C1222" s="1069" t="s">
        <v>2114</v>
      </c>
      <c r="D1222" s="822"/>
      <c r="E1222" s="822"/>
      <c r="F1222" s="822"/>
      <c r="G1222" s="822"/>
      <c r="H1222" s="822"/>
    </row>
    <row r="1223" spans="1:8" ht="12" x14ac:dyDescent="0.3">
      <c r="A1223" s="820">
        <v>1219</v>
      </c>
      <c r="B1223" s="1069" t="str">
        <f t="shared" si="19"/>
        <v>Line pipe of a kind used for oil or gas pipelines, welded, of flat-rolled products of iron or steel, of an external diameter of &lt;= 406,4 mm (excl. products of stainless steel or of cast iron)</v>
      </c>
      <c r="C1223" s="1069" t="s">
        <v>2117</v>
      </c>
      <c r="D1223" s="822"/>
      <c r="E1223" s="822"/>
      <c r="F1223" s="822"/>
      <c r="G1223" s="822"/>
      <c r="H1223" s="822"/>
    </row>
    <row r="1224" spans="1:8" ht="12" x14ac:dyDescent="0.3">
      <c r="A1224" s="820">
        <v>1220</v>
      </c>
      <c r="B1224" s="1069" t="str">
        <f t="shared" si="19"/>
        <v>Casing and tubing of a kind used in drilling for oil or gas, welded, of flat-rolled products of stainless steel, of an external diameter of &lt;= 406,4 mm</v>
      </c>
      <c r="C1224" s="1069" t="s">
        <v>2120</v>
      </c>
      <c r="D1224" s="822"/>
      <c r="E1224" s="822"/>
      <c r="F1224" s="822"/>
      <c r="G1224" s="822"/>
      <c r="H1224" s="822"/>
    </row>
    <row r="1225" spans="1:8" ht="12" x14ac:dyDescent="0.3">
      <c r="A1225" s="820">
        <v>1221</v>
      </c>
      <c r="B1225" s="1069" t="str">
        <f t="shared" si="19"/>
        <v>Casing and tubing of a kind used in drilling for oil or gas, welded, of flat-rolled products of iron or steel, of an external diameter of &lt;= 406,4 mm (excl. products of stainless steel or of cast iron)</v>
      </c>
      <c r="C1225" s="1069" t="s">
        <v>2123</v>
      </c>
      <c r="D1225" s="822"/>
      <c r="E1225" s="822"/>
      <c r="F1225" s="822"/>
      <c r="G1225" s="822"/>
      <c r="H1225" s="822"/>
    </row>
    <row r="1226" spans="1:8" ht="12" x14ac:dyDescent="0.3">
      <c r="A1226" s="820">
        <v>1222</v>
      </c>
      <c r="B1226" s="1069" t="str">
        <f t="shared" si="19"/>
        <v>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v>
      </c>
      <c r="C1226" s="1069" t="s">
        <v>2125</v>
      </c>
      <c r="D1226" s="822"/>
      <c r="E1226" s="822"/>
      <c r="F1226" s="822"/>
      <c r="G1226" s="822"/>
      <c r="H1226" s="822"/>
    </row>
    <row r="1227" spans="1:8" ht="12" x14ac:dyDescent="0.3">
      <c r="A1227" s="820">
        <v>1223</v>
      </c>
      <c r="B1227" s="1069" t="str">
        <f t="shared" si="19"/>
        <v>Precision tubes, welded, of circular cross-section, of iron or non-alloy steel, cold-drawn or cold-rolled "cold-reduced"</v>
      </c>
      <c r="C1227" s="1069" t="s">
        <v>2128</v>
      </c>
      <c r="D1227" s="822"/>
      <c r="E1227" s="822"/>
      <c r="F1227" s="822"/>
      <c r="G1227" s="822"/>
      <c r="H1227" s="822"/>
    </row>
    <row r="1228" spans="1:8" ht="12" x14ac:dyDescent="0.3">
      <c r="A1228" s="820">
        <v>1224</v>
      </c>
      <c r="B1228" s="1069" t="str">
        <f t="shared" si="19"/>
        <v>Precision tubes, welded, of circular cross-section, of iron or non-alloy steel (excl. cold-drawn or cold-rolled)</v>
      </c>
      <c r="C1228" s="1069" t="s">
        <v>2131</v>
      </c>
      <c r="D1228" s="822"/>
      <c r="E1228" s="822"/>
      <c r="F1228" s="822"/>
      <c r="G1228" s="822"/>
      <c r="H1228" s="822"/>
    </row>
    <row r="1229" spans="1:8" ht="12" x14ac:dyDescent="0.3">
      <c r="A1229" s="820">
        <v>1225</v>
      </c>
      <c r="B1229" s="1069" t="str">
        <f t="shared" si="19"/>
        <v>Threaded or threadable tubes "gas pipe", welded, of circular cross-section, of iron or non-alloy steel, plated or coated with zinc</v>
      </c>
      <c r="C1229" s="1069" t="s">
        <v>2134</v>
      </c>
      <c r="D1229" s="822"/>
      <c r="E1229" s="822"/>
      <c r="F1229" s="822"/>
      <c r="G1229" s="822"/>
      <c r="H1229" s="822"/>
    </row>
    <row r="1230" spans="1:8" ht="12" x14ac:dyDescent="0.3">
      <c r="A1230" s="820">
        <v>1226</v>
      </c>
      <c r="B1230" s="1069" t="str">
        <f t="shared" si="19"/>
        <v>Threaded or threadable tubes "gas pipe", welded, of circular cross-section, of iron or non-alloy steel (excl. products plated or coated with zinc)</v>
      </c>
      <c r="C1230" s="1069" t="s">
        <v>2137</v>
      </c>
      <c r="D1230" s="822"/>
      <c r="E1230" s="822"/>
      <c r="F1230" s="822"/>
      <c r="G1230" s="822"/>
      <c r="H1230" s="822"/>
    </row>
    <row r="1231" spans="1:8" ht="12" x14ac:dyDescent="0.3">
      <c r="A1231" s="820">
        <v>1227</v>
      </c>
      <c r="B1231" s="1069" t="str">
        <f t="shared" si="19"/>
        <v>Other tubes, pipes and hollow profiles, welded, of circular cross-section, of iron or non-alloy steel, of an external diameter of &lt;= 168,3 mm, plated or coated with zinc (excl. line pipe of a kind used for oil or gas pipelines or casing and tubingof a kind used in drilling for oil or gas)</v>
      </c>
      <c r="C1231" s="1069" t="s">
        <v>2140</v>
      </c>
      <c r="D1231" s="822"/>
      <c r="E1231" s="822"/>
      <c r="F1231" s="822"/>
      <c r="G1231" s="822"/>
      <c r="H1231" s="822"/>
    </row>
    <row r="1232" spans="1:8" ht="12" x14ac:dyDescent="0.3">
      <c r="A1232" s="820">
        <v>1228</v>
      </c>
      <c r="B1232" s="1069" t="str">
        <f t="shared" si="19"/>
        <v>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v>
      </c>
      <c r="C1232" s="1069" t="s">
        <v>2143</v>
      </c>
      <c r="D1232" s="822"/>
      <c r="E1232" s="822"/>
      <c r="F1232" s="822"/>
      <c r="G1232" s="822"/>
      <c r="H1232" s="822"/>
    </row>
    <row r="1233" spans="1:8" ht="12" x14ac:dyDescent="0.3">
      <c r="A1233" s="820">
        <v>1229</v>
      </c>
      <c r="B1233" s="1069" t="str">
        <f t="shared" si="19"/>
        <v>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v>
      </c>
      <c r="C1233" s="1069" t="s">
        <v>2146</v>
      </c>
      <c r="D1233" s="822"/>
      <c r="E1233" s="822"/>
      <c r="F1233" s="822"/>
      <c r="G1233" s="822"/>
      <c r="H1233" s="822"/>
    </row>
    <row r="1234" spans="1:8" ht="12" x14ac:dyDescent="0.3">
      <c r="A1234" s="820">
        <v>1230</v>
      </c>
      <c r="B1234" s="1069" t="str">
        <f t="shared" si="19"/>
        <v>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v>
      </c>
      <c r="C1234" s="1069" t="s">
        <v>2148</v>
      </c>
      <c r="D1234" s="822"/>
      <c r="E1234" s="822"/>
      <c r="F1234" s="822"/>
      <c r="G1234" s="822"/>
      <c r="H1234" s="822"/>
    </row>
    <row r="1235" spans="1:8" ht="12" x14ac:dyDescent="0.3">
      <c r="A1235" s="820">
        <v>1231</v>
      </c>
      <c r="B1235" s="1069" t="str">
        <f t="shared" si="19"/>
        <v>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v>
      </c>
      <c r="C1235" s="1069" t="s">
        <v>2151</v>
      </c>
      <c r="D1235" s="822"/>
      <c r="E1235" s="822"/>
      <c r="F1235" s="822"/>
      <c r="G1235" s="822"/>
      <c r="H1235" s="822"/>
    </row>
    <row r="1236" spans="1:8" ht="12" x14ac:dyDescent="0.3">
      <c r="A1236" s="820">
        <v>1232</v>
      </c>
      <c r="B1236" s="1069" t="str">
        <f t="shared" si="19"/>
        <v>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v>
      </c>
      <c r="C1236" s="1069" t="s">
        <v>2154</v>
      </c>
      <c r="D1236" s="822"/>
      <c r="E1236" s="822"/>
      <c r="F1236" s="822"/>
      <c r="G1236" s="822"/>
      <c r="H1236" s="822"/>
    </row>
    <row r="1237" spans="1:8" ht="12" x14ac:dyDescent="0.3">
      <c r="A1237" s="820">
        <v>1233</v>
      </c>
      <c r="B1237" s="1069" t="str">
        <f t="shared" si="19"/>
        <v>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v>
      </c>
      <c r="C1237" s="1069" t="s">
        <v>2156</v>
      </c>
      <c r="D1237" s="822"/>
      <c r="E1237" s="822"/>
      <c r="F1237" s="822"/>
      <c r="G1237" s="822"/>
      <c r="H1237" s="822"/>
    </row>
    <row r="1238" spans="1:8" ht="12" x14ac:dyDescent="0.3">
      <c r="A1238" s="820">
        <v>1234</v>
      </c>
      <c r="B1238" s="1069" t="str">
        <f t="shared" si="19"/>
        <v>Precision steel tubes, welded, of circular cross-section, of alloy steel other than stainless, cold-drawn or cold-rolled "cold-reduced"</v>
      </c>
      <c r="C1238" s="1069" t="s">
        <v>2159</v>
      </c>
      <c r="D1238" s="822"/>
      <c r="E1238" s="822"/>
      <c r="F1238" s="822"/>
      <c r="G1238" s="822"/>
      <c r="H1238" s="822"/>
    </row>
    <row r="1239" spans="1:8" ht="12" x14ac:dyDescent="0.3">
      <c r="A1239" s="820">
        <v>1235</v>
      </c>
      <c r="B1239" s="1069" t="str">
        <f t="shared" si="19"/>
        <v>Precision steel tubes, welded, of circular cross-section, of alloy steel other than stainless (excl. cold-drawn or cold-rolled)</v>
      </c>
      <c r="C1239" s="1069" t="s">
        <v>2162</v>
      </c>
      <c r="D1239" s="822"/>
      <c r="E1239" s="822"/>
      <c r="F1239" s="822"/>
      <c r="G1239" s="822"/>
      <c r="H1239" s="822"/>
    </row>
    <row r="1240" spans="1:8" ht="12" x14ac:dyDescent="0.3">
      <c r="A1240" s="820">
        <v>1236</v>
      </c>
      <c r="B1240" s="1069" t="str">
        <f t="shared" si="19"/>
        <v>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v>
      </c>
      <c r="C1240" s="1069" t="s">
        <v>2165</v>
      </c>
      <c r="D1240" s="822"/>
      <c r="E1240" s="822"/>
      <c r="F1240" s="822"/>
      <c r="G1240" s="822"/>
      <c r="H1240" s="822"/>
    </row>
    <row r="1241" spans="1:8" ht="12" x14ac:dyDescent="0.3">
      <c r="A1241" s="820">
        <v>1237</v>
      </c>
      <c r="B1241" s="1069" t="str">
        <f t="shared" si="19"/>
        <v>Tubes and pipes and hollow profiles, welded, of square or rectangular cross-section, of iron or steel</v>
      </c>
      <c r="C1241" s="1069" t="s">
        <v>2167</v>
      </c>
      <c r="D1241" s="822"/>
      <c r="E1241" s="822"/>
      <c r="F1241" s="822"/>
      <c r="G1241" s="822"/>
      <c r="H1241" s="822"/>
    </row>
    <row r="1242" spans="1:8" ht="12" x14ac:dyDescent="0.3">
      <c r="A1242" s="820">
        <v>1238</v>
      </c>
      <c r="B1242" s="1069" t="str">
        <f t="shared" si="19"/>
        <v>Tubes and pipes and hollow profiles, welded, of square or rectangular cross-section, of stainless steel</v>
      </c>
      <c r="C1242" s="1069" t="s">
        <v>2170</v>
      </c>
      <c r="D1242" s="822"/>
      <c r="E1242" s="822"/>
      <c r="F1242" s="822"/>
      <c r="G1242" s="822"/>
      <c r="H1242" s="822"/>
    </row>
    <row r="1243" spans="1:8" ht="12" x14ac:dyDescent="0.3">
      <c r="A1243" s="820">
        <v>1239</v>
      </c>
      <c r="B1243" s="1069" t="str">
        <f t="shared" si="19"/>
        <v>Tubes and pipes and hollow profiles, welded, of square or rectangular cross-section, of iron or steel other than stainless steel, with a wall thickness of &lt;= 2 mm</v>
      </c>
      <c r="C1243" s="1069" t="s">
        <v>2173</v>
      </c>
      <c r="D1243" s="822"/>
      <c r="E1243" s="822"/>
      <c r="F1243" s="822"/>
      <c r="G1243" s="822"/>
      <c r="H1243" s="822"/>
    </row>
    <row r="1244" spans="1:8" ht="12" x14ac:dyDescent="0.3">
      <c r="A1244" s="820">
        <v>1240</v>
      </c>
      <c r="B1244" s="1069" t="str">
        <f t="shared" si="19"/>
        <v>Tubes and pipes and hollow profiles, welded, of square or rectangular cross-section, of iron or steel other than stainless steel, with a wall thickness of &gt; 2 mm</v>
      </c>
      <c r="C1244" s="1069" t="s">
        <v>2176</v>
      </c>
      <c r="D1244" s="822"/>
      <c r="E1244" s="822"/>
      <c r="F1244" s="822"/>
      <c r="G1244" s="822"/>
      <c r="H1244" s="822"/>
    </row>
    <row r="1245" spans="1:8" ht="12" x14ac:dyDescent="0.3">
      <c r="A1245" s="820">
        <v>1241</v>
      </c>
      <c r="B1245" s="1069" t="str">
        <f t="shared" si="19"/>
        <v>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C1245" s="1069" t="s">
        <v>2178</v>
      </c>
      <c r="D1245" s="822"/>
      <c r="E1245" s="822"/>
      <c r="F1245" s="822"/>
      <c r="G1245" s="822"/>
      <c r="H1245" s="822"/>
    </row>
    <row r="1246" spans="1:8" ht="12" x14ac:dyDescent="0.3">
      <c r="A1246" s="820">
        <v>1242</v>
      </c>
      <c r="B1246" s="1069" t="str">
        <f t="shared" si="19"/>
        <v>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C1246" s="1069" t="s">
        <v>2181</v>
      </c>
      <c r="D1246" s="822"/>
      <c r="E1246" s="822"/>
      <c r="F1246" s="822"/>
      <c r="G1246" s="822"/>
      <c r="H1246" s="822"/>
    </row>
    <row r="1247" spans="1:8" ht="12" x14ac:dyDescent="0.3">
      <c r="A1247" s="820">
        <v>1243</v>
      </c>
      <c r="B1247" s="1069" t="str">
        <f t="shared" si="19"/>
        <v>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C1247" s="1069" t="s">
        <v>2184</v>
      </c>
      <c r="D1247" s="822"/>
      <c r="E1247" s="822"/>
      <c r="F1247" s="822"/>
      <c r="G1247" s="822"/>
      <c r="H1247" s="822"/>
    </row>
    <row r="1248" spans="1:8" ht="12" x14ac:dyDescent="0.3">
      <c r="A1248" s="820">
        <v>1244</v>
      </c>
      <c r="B1248" s="1069" t="str">
        <f t="shared" si="19"/>
        <v>Tubes, pipes and hollow profiles "e.g., open seam, riveted or similarly closed", of iron or steel (excl. of cast iron, seamless or welded tubes and pipes and tubes and pipes having internal and external circular cross-sections and an external diameter of &gt; 406,4 mm)</v>
      </c>
      <c r="C1248" s="1069" t="s">
        <v>2187</v>
      </c>
      <c r="D1248" s="822"/>
      <c r="E1248" s="822"/>
      <c r="F1248" s="822"/>
      <c r="G1248" s="822"/>
      <c r="H1248" s="822"/>
    </row>
    <row r="1249" spans="1:8" ht="12" x14ac:dyDescent="0.3">
      <c r="A1249" s="820">
        <v>1245</v>
      </c>
      <c r="B1249" s="1069" t="str">
        <f t="shared" si="19"/>
        <v>Tube or pipe fittings "e.g. couplings, elbows, sleeves", of iron or steel</v>
      </c>
      <c r="C1249" s="1069" t="s">
        <v>2189</v>
      </c>
      <c r="D1249" s="822"/>
      <c r="E1249" s="822"/>
      <c r="F1249" s="822"/>
      <c r="G1249" s="822"/>
      <c r="H1249" s="822"/>
    </row>
    <row r="1250" spans="1:8" ht="12" x14ac:dyDescent="0.3">
      <c r="A1250" s="820">
        <v>1246</v>
      </c>
      <c r="B1250" s="1069" t="str">
        <f t="shared" si="19"/>
        <v>Tube or pipe fittings of non-malleable cast iron</v>
      </c>
      <c r="C1250" s="1069" t="s">
        <v>2191</v>
      </c>
      <c r="D1250" s="822"/>
      <c r="E1250" s="822"/>
      <c r="F1250" s="822"/>
      <c r="G1250" s="822"/>
      <c r="H1250" s="822"/>
    </row>
    <row r="1251" spans="1:8" ht="12" x14ac:dyDescent="0.3">
      <c r="A1251" s="820">
        <v>1247</v>
      </c>
      <c r="B1251" s="1069" t="str">
        <f t="shared" si="19"/>
        <v>Tube or pipe fittings of non-malleable cast iron, of a kind used in pressure systems</v>
      </c>
      <c r="C1251" s="1069" t="s">
        <v>2194</v>
      </c>
      <c r="D1251" s="822"/>
      <c r="E1251" s="822"/>
      <c r="F1251" s="822"/>
      <c r="G1251" s="822"/>
      <c r="H1251" s="822"/>
    </row>
    <row r="1252" spans="1:8" ht="12" x14ac:dyDescent="0.3">
      <c r="A1252" s="820">
        <v>1248</v>
      </c>
      <c r="B1252" s="1069" t="str">
        <f t="shared" si="19"/>
        <v>Tube or pipe fittings of non-malleable cast iron (excl. products of a kind used in pressure systems)</v>
      </c>
      <c r="C1252" s="1069" t="s">
        <v>2197</v>
      </c>
      <c r="D1252" s="822"/>
      <c r="E1252" s="822"/>
      <c r="F1252" s="822"/>
      <c r="G1252" s="822"/>
      <c r="H1252" s="822"/>
    </row>
    <row r="1253" spans="1:8" ht="12" x14ac:dyDescent="0.3">
      <c r="A1253" s="820">
        <v>1249</v>
      </c>
      <c r="B1253" s="1069" t="str">
        <f t="shared" si="19"/>
        <v>Cast tube or pipe fittings of iron or steel (excl. products of non-malleable cast iron)</v>
      </c>
      <c r="C1253" s="1069" t="s">
        <v>2199</v>
      </c>
      <c r="D1253" s="822"/>
      <c r="E1253" s="822"/>
      <c r="F1253" s="822"/>
      <c r="G1253" s="822"/>
      <c r="H1253" s="822"/>
    </row>
    <row r="1254" spans="1:8" ht="12" x14ac:dyDescent="0.3">
      <c r="A1254" s="820">
        <v>1250</v>
      </c>
      <c r="B1254" s="1069" t="str">
        <f t="shared" si="19"/>
        <v>Tube or pipe fittings of cast iron (excl. of non-malleable)</v>
      </c>
      <c r="C1254" s="1069" t="s">
        <v>2202</v>
      </c>
      <c r="D1254" s="822"/>
      <c r="E1254" s="822"/>
      <c r="F1254" s="822"/>
      <c r="G1254" s="822"/>
      <c r="H1254" s="822"/>
    </row>
    <row r="1255" spans="1:8" ht="12" x14ac:dyDescent="0.3">
      <c r="A1255" s="820">
        <v>1251</v>
      </c>
      <c r="B1255" s="1069" t="str">
        <f t="shared" si="19"/>
        <v>Cast tube or pipe fittings of steel</v>
      </c>
      <c r="C1255" s="1069" t="s">
        <v>2205</v>
      </c>
      <c r="D1255" s="822"/>
      <c r="E1255" s="822"/>
      <c r="F1255" s="822"/>
      <c r="G1255" s="822"/>
      <c r="H1255" s="822"/>
    </row>
    <row r="1256" spans="1:8" ht="12" x14ac:dyDescent="0.3">
      <c r="A1256" s="820">
        <v>1252</v>
      </c>
      <c r="B1256" s="1069" t="str">
        <f t="shared" si="19"/>
        <v>Flanges of stainless steel (excl. cast products)</v>
      </c>
      <c r="C1256" s="1069" t="s">
        <v>2208</v>
      </c>
      <c r="D1256" s="822"/>
      <c r="E1256" s="822"/>
      <c r="F1256" s="822"/>
      <c r="G1256" s="822"/>
      <c r="H1256" s="822"/>
    </row>
    <row r="1257" spans="1:8" ht="12" x14ac:dyDescent="0.3">
      <c r="A1257" s="820">
        <v>1253</v>
      </c>
      <c r="B1257" s="1069" t="str">
        <f t="shared" si="19"/>
        <v>Threaded elbows, bends and sleeves of stainless steel (excl. cast products)</v>
      </c>
      <c r="C1257" s="1069" t="s">
        <v>2210</v>
      </c>
      <c r="D1257" s="822"/>
      <c r="E1257" s="822"/>
      <c r="F1257" s="822"/>
      <c r="G1257" s="822"/>
      <c r="H1257" s="822"/>
    </row>
    <row r="1258" spans="1:8" ht="12" x14ac:dyDescent="0.3">
      <c r="A1258" s="820">
        <v>1254</v>
      </c>
      <c r="B1258" s="1069" t="str">
        <f t="shared" si="19"/>
        <v>Sleeves, of stainless steel, threaded (excl. cast products)</v>
      </c>
      <c r="C1258" s="1069" t="s">
        <v>2213</v>
      </c>
      <c r="D1258" s="822"/>
      <c r="E1258" s="822"/>
      <c r="F1258" s="822"/>
      <c r="G1258" s="822"/>
      <c r="H1258" s="822"/>
    </row>
    <row r="1259" spans="1:8" ht="12" x14ac:dyDescent="0.3">
      <c r="A1259" s="820">
        <v>1255</v>
      </c>
      <c r="B1259" s="1069" t="str">
        <f t="shared" si="19"/>
        <v>Elbows and bends, of stainless steel, threaded (excl. cast products)</v>
      </c>
      <c r="C1259" s="1069" t="s">
        <v>2216</v>
      </c>
      <c r="D1259" s="822"/>
      <c r="E1259" s="822"/>
      <c r="F1259" s="822"/>
      <c r="G1259" s="822"/>
      <c r="H1259" s="822"/>
    </row>
    <row r="1260" spans="1:8" ht="12" x14ac:dyDescent="0.3">
      <c r="A1260" s="820">
        <v>1256</v>
      </c>
      <c r="B1260" s="1069" t="str">
        <f t="shared" si="19"/>
        <v>Butt welding tube or pipe fittings of stainless steel (excl. cast products)</v>
      </c>
      <c r="C1260" s="1069" t="s">
        <v>2218</v>
      </c>
      <c r="D1260" s="822"/>
      <c r="E1260" s="822"/>
      <c r="F1260" s="822"/>
      <c r="G1260" s="822"/>
      <c r="H1260" s="822"/>
    </row>
    <row r="1261" spans="1:8" ht="12" x14ac:dyDescent="0.3">
      <c r="A1261" s="820">
        <v>1257</v>
      </c>
      <c r="B1261" s="1069" t="str">
        <f t="shared" si="19"/>
        <v>Butt welding elbows and bends of stainless steel (excl. cast products)</v>
      </c>
      <c r="C1261" s="1069" t="s">
        <v>2221</v>
      </c>
      <c r="D1261" s="822"/>
      <c r="E1261" s="822"/>
      <c r="F1261" s="822"/>
      <c r="G1261" s="822"/>
      <c r="H1261" s="822"/>
    </row>
    <row r="1262" spans="1:8" ht="12" x14ac:dyDescent="0.3">
      <c r="A1262" s="820">
        <v>1258</v>
      </c>
      <c r="B1262" s="1069" t="str">
        <f t="shared" si="19"/>
        <v>Butt welding tube or pipe fittings of stainless steel (excl. cast products and elbows and bends)</v>
      </c>
      <c r="C1262" s="1069" t="s">
        <v>2224</v>
      </c>
      <c r="D1262" s="822"/>
      <c r="E1262" s="822"/>
      <c r="F1262" s="822"/>
      <c r="G1262" s="822"/>
      <c r="H1262" s="822"/>
    </row>
    <row r="1263" spans="1:8" ht="12" x14ac:dyDescent="0.3">
      <c r="A1263" s="820">
        <v>1259</v>
      </c>
      <c r="B1263" s="1069" t="str">
        <f t="shared" si="19"/>
        <v>Tube or pipe fittings of stainless steel (excl. cast products, flanges, threaded elbows, bends and sleeves and butt weldings fittings)</v>
      </c>
      <c r="C1263" s="1069" t="s">
        <v>2226</v>
      </c>
      <c r="D1263" s="822"/>
      <c r="E1263" s="822"/>
      <c r="F1263" s="822"/>
      <c r="G1263" s="822"/>
      <c r="H1263" s="822"/>
    </row>
    <row r="1264" spans="1:8" ht="12" x14ac:dyDescent="0.3">
      <c r="A1264" s="820">
        <v>1260</v>
      </c>
      <c r="B1264" s="1069" t="str">
        <f t="shared" si="19"/>
        <v>Threaded tube or pipe fittings of stainless steel (excl. cast products, flanges, elbows, bends and sleeves)</v>
      </c>
      <c r="C1264" s="1069" t="s">
        <v>2229</v>
      </c>
      <c r="D1264" s="822"/>
      <c r="E1264" s="822"/>
      <c r="F1264" s="822"/>
      <c r="G1264" s="822"/>
      <c r="H1264" s="822"/>
    </row>
    <row r="1265" spans="1:8" ht="12" x14ac:dyDescent="0.3">
      <c r="A1265" s="820">
        <v>1261</v>
      </c>
      <c r="B1265" s="1069" t="str">
        <f t="shared" si="19"/>
        <v>Tube or pipe fittings of stainless steel (excl. cast, threaded, butt welding fittings and flanges)</v>
      </c>
      <c r="C1265" s="1069" t="s">
        <v>2232</v>
      </c>
      <c r="D1265" s="822"/>
      <c r="E1265" s="822"/>
      <c r="F1265" s="822"/>
      <c r="G1265" s="822"/>
      <c r="H1265" s="822"/>
    </row>
    <row r="1266" spans="1:8" ht="12" x14ac:dyDescent="0.3">
      <c r="A1266" s="820">
        <v>1262</v>
      </c>
      <c r="B1266" s="1069" t="str">
        <f t="shared" si="19"/>
        <v>Flanges of iron or steel (excl. cast or stainless products)</v>
      </c>
      <c r="C1266" s="1069" t="s">
        <v>2235</v>
      </c>
      <c r="D1266" s="822"/>
      <c r="E1266" s="822"/>
      <c r="F1266" s="822"/>
      <c r="G1266" s="822"/>
      <c r="H1266" s="822"/>
    </row>
    <row r="1267" spans="1:8" ht="12" x14ac:dyDescent="0.3">
      <c r="A1267" s="820">
        <v>1263</v>
      </c>
      <c r="B1267" s="1069" t="str">
        <f t="shared" si="19"/>
        <v>Threaded elbows, bends and sleeves, of stainless steel (excl. cast or stainless products)</v>
      </c>
      <c r="C1267" s="1069" t="s">
        <v>2237</v>
      </c>
      <c r="D1267" s="822"/>
      <c r="E1267" s="822"/>
      <c r="F1267" s="822"/>
      <c r="G1267" s="822"/>
      <c r="H1267" s="822"/>
    </row>
    <row r="1268" spans="1:8" ht="12" x14ac:dyDescent="0.3">
      <c r="A1268" s="820">
        <v>1264</v>
      </c>
      <c r="B1268" s="1069" t="str">
        <f t="shared" si="19"/>
        <v>Sleeves of iron or steel, threaded (excl. cast or of stainless steel)</v>
      </c>
      <c r="C1268" s="1069" t="s">
        <v>2240</v>
      </c>
      <c r="D1268" s="822"/>
      <c r="E1268" s="822"/>
      <c r="F1268" s="822"/>
      <c r="G1268" s="822"/>
      <c r="H1268" s="822"/>
    </row>
    <row r="1269" spans="1:8" ht="12" x14ac:dyDescent="0.3">
      <c r="A1269" s="820">
        <v>1265</v>
      </c>
      <c r="B1269" s="1069" t="str">
        <f t="shared" si="19"/>
        <v>Elbows and bends, of iron or steel, threaded (excl. cast or of stainless steel)</v>
      </c>
      <c r="C1269" s="1069" t="s">
        <v>2243</v>
      </c>
      <c r="D1269" s="822"/>
      <c r="E1269" s="822"/>
      <c r="F1269" s="822"/>
      <c r="G1269" s="822"/>
      <c r="H1269" s="822"/>
    </row>
    <row r="1270" spans="1:8" ht="12" x14ac:dyDescent="0.3">
      <c r="A1270" s="820">
        <v>1266</v>
      </c>
      <c r="B1270" s="1069" t="str">
        <f t="shared" si="19"/>
        <v>Butt welding fittings of iron or steel (excl. cast iron or stainless steel products, and flanges)</v>
      </c>
      <c r="C1270" s="1069" t="s">
        <v>2245</v>
      </c>
      <c r="D1270" s="822"/>
      <c r="E1270" s="822"/>
      <c r="F1270" s="822"/>
      <c r="G1270" s="822"/>
      <c r="H1270" s="822"/>
    </row>
    <row r="1271" spans="1:8" ht="12" x14ac:dyDescent="0.3">
      <c r="A1271" s="820">
        <v>1267</v>
      </c>
      <c r="B1271" s="1069" t="str">
        <f t="shared" si="19"/>
        <v>Butt welding elbows and bends, of iron or steel, with greatest external diameter &lt;= 609,6 mm (excl. cast iron or stainless steel products)</v>
      </c>
      <c r="C1271" s="1069" t="s">
        <v>2248</v>
      </c>
      <c r="D1271" s="822"/>
      <c r="E1271" s="822"/>
      <c r="F1271" s="822"/>
      <c r="G1271" s="822"/>
      <c r="H1271" s="822"/>
    </row>
    <row r="1272" spans="1:8" ht="12" x14ac:dyDescent="0.3">
      <c r="A1272" s="820">
        <v>1268</v>
      </c>
      <c r="B1272" s="1069" t="str">
        <f t="shared" si="19"/>
        <v>Butt welding fittings of iron or steel, with greatest external diameter &lt;= 609,6 mm (excl. cast iron or stainless steel products, elbows, bends and flanges)</v>
      </c>
      <c r="C1272" s="1069" t="s">
        <v>2251</v>
      </c>
      <c r="D1272" s="822"/>
      <c r="E1272" s="822"/>
      <c r="F1272" s="822"/>
      <c r="G1272" s="822"/>
      <c r="H1272" s="822"/>
    </row>
    <row r="1273" spans="1:8" ht="12" x14ac:dyDescent="0.3">
      <c r="A1273" s="820">
        <v>1269</v>
      </c>
      <c r="B1273" s="1069" t="str">
        <f t="shared" si="19"/>
        <v>Butt welding elbows and bends, of iron or steel, with greatest external diameter &gt; 609,6 mm (excl. cast iron or stainless steel products)</v>
      </c>
      <c r="C1273" s="1069" t="s">
        <v>2254</v>
      </c>
      <c r="D1273" s="822"/>
      <c r="E1273" s="822"/>
      <c r="F1273" s="822"/>
      <c r="G1273" s="822"/>
      <c r="H1273" s="822"/>
    </row>
    <row r="1274" spans="1:8" ht="12" x14ac:dyDescent="0.3">
      <c r="A1274" s="820">
        <v>1270</v>
      </c>
      <c r="B1274" s="1069" t="str">
        <f t="shared" si="19"/>
        <v>Butt welding fittings of iron or steel, with greatest external diameter &gt; 609,6 mm (excl. cast iron or stainless steel products, elbows, bends and flanges)</v>
      </c>
      <c r="C1274" s="1069" t="s">
        <v>2257</v>
      </c>
      <c r="D1274" s="822"/>
      <c r="E1274" s="822"/>
      <c r="F1274" s="822"/>
      <c r="G1274" s="822"/>
      <c r="H1274" s="822"/>
    </row>
    <row r="1275" spans="1:8" ht="12" x14ac:dyDescent="0.3">
      <c r="A1275" s="820">
        <v>1271</v>
      </c>
      <c r="B1275" s="1069" t="str">
        <f t="shared" si="19"/>
        <v>Tube or pipe fittings, of iron or steel (excl. cast iron or stainless steel products; flanges; threaded elbows, bends and sleeves; butt welding fittings)</v>
      </c>
      <c r="C1275" s="1069" t="s">
        <v>2259</v>
      </c>
      <c r="D1275" s="822"/>
      <c r="E1275" s="822"/>
      <c r="F1275" s="822"/>
      <c r="G1275" s="822"/>
      <c r="H1275" s="822"/>
    </row>
    <row r="1276" spans="1:8" ht="12" x14ac:dyDescent="0.3">
      <c r="A1276" s="820">
        <v>1272</v>
      </c>
      <c r="B1276" s="1069" t="str">
        <f t="shared" si="19"/>
        <v>Threaded tube or pipe fittings, of iron or steel (excl. cast iron or stainless steel products, flanges, elbows, bends and sleeves)</v>
      </c>
      <c r="C1276" s="1069" t="s">
        <v>2262</v>
      </c>
      <c r="D1276" s="822"/>
      <c r="E1276" s="822"/>
      <c r="F1276" s="822"/>
      <c r="G1276" s="822"/>
      <c r="H1276" s="822"/>
    </row>
    <row r="1277" spans="1:8" ht="12" x14ac:dyDescent="0.3">
      <c r="A1277" s="820">
        <v>1273</v>
      </c>
      <c r="B1277" s="1069" t="str">
        <f t="shared" si="19"/>
        <v>Tube or pipe fittings, of iron or steel (excl. of cast iron or stainless steel, threaded, butt welding fittings, and flanges)</v>
      </c>
      <c r="C1277" s="1069" t="s">
        <v>2265</v>
      </c>
      <c r="D1277" s="822"/>
      <c r="E1277" s="822"/>
      <c r="F1277" s="822"/>
      <c r="G1277" s="822"/>
      <c r="H1277" s="822"/>
    </row>
    <row r="1278" spans="1:8" ht="12" x14ac:dyDescent="0.3">
      <c r="A1278" s="820">
        <v>1274</v>
      </c>
      <c r="B1278" s="1069" t="str">
        <f t="shared" si="19"/>
        <v>Structures and parts of structures "e.g.,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(excl. prefabricated buildings of heading 9406)</v>
      </c>
      <c r="C1278" s="1069" t="s">
        <v>2267</v>
      </c>
      <c r="D1278" s="822"/>
      <c r="E1278" s="822"/>
      <c r="F1278" s="822"/>
      <c r="G1278" s="822"/>
      <c r="H1278" s="822"/>
    </row>
    <row r="1279" spans="1:8" ht="12" x14ac:dyDescent="0.3">
      <c r="A1279" s="820">
        <v>1275</v>
      </c>
      <c r="B1279" s="1069" t="str">
        <f t="shared" si="19"/>
        <v>Bridges and bridge-sections, of iron or steel</v>
      </c>
      <c r="C1279" s="1069" t="s">
        <v>2270</v>
      </c>
      <c r="D1279" s="822"/>
      <c r="E1279" s="822"/>
      <c r="F1279" s="822"/>
      <c r="G1279" s="822"/>
      <c r="H1279" s="822"/>
    </row>
    <row r="1280" spans="1:8" ht="12" x14ac:dyDescent="0.3">
      <c r="A1280" s="820">
        <v>1276</v>
      </c>
      <c r="B1280" s="1069" t="str">
        <f t="shared" si="19"/>
        <v>Towers and lattice masts, of iron or steel</v>
      </c>
      <c r="C1280" s="1069" t="s">
        <v>2273</v>
      </c>
      <c r="D1280" s="822"/>
      <c r="E1280" s="822"/>
      <c r="F1280" s="822"/>
      <c r="G1280" s="822"/>
      <c r="H1280" s="822"/>
    </row>
    <row r="1281" spans="1:8" ht="12" x14ac:dyDescent="0.3">
      <c r="A1281" s="820">
        <v>1277</v>
      </c>
      <c r="B1281" s="1069" t="str">
        <f t="shared" si="19"/>
        <v>Doors, windows and their frames and thresholds for doors, of iron or steel</v>
      </c>
      <c r="C1281" s="1069" t="s">
        <v>2276</v>
      </c>
      <c r="D1281" s="822"/>
      <c r="E1281" s="822"/>
      <c r="F1281" s="822"/>
      <c r="G1281" s="822"/>
      <c r="H1281" s="822"/>
    </row>
    <row r="1282" spans="1:8" ht="12" x14ac:dyDescent="0.3">
      <c r="A1282" s="820">
        <v>1278</v>
      </c>
      <c r="B1282" s="1069" t="str">
        <f t="shared" si="19"/>
        <v>Equipment for scaffolding, shuttering, propping or pit-propping (excl. composite sheetpiling products and formwork panels for poured-in-place concrete, which have the characteristics of moulds)</v>
      </c>
      <c r="C1282" s="1069" t="s">
        <v>2279</v>
      </c>
      <c r="D1282" s="822"/>
      <c r="E1282" s="822"/>
      <c r="F1282" s="822"/>
      <c r="G1282" s="822"/>
      <c r="H1282" s="822"/>
    </row>
    <row r="1283" spans="1:8" ht="12" x14ac:dyDescent="0.3">
      <c r="A1283" s="820">
        <v>1279</v>
      </c>
      <c r="B1283" s="1069" t="str">
        <f t="shared" si="19"/>
        <v>Structures and parts of structures, of iron or steel, n.e.s. (excl. bridges and bridge-sections, towers and lattice masts, doors and windows and their frames, thresholds for doors, props and similar equipment for scaffolding, shuttering, propping or pit-propping)</v>
      </c>
      <c r="C1283" s="1069" t="s">
        <v>2281</v>
      </c>
      <c r="D1283" s="822"/>
      <c r="E1283" s="822"/>
      <c r="F1283" s="822"/>
      <c r="G1283" s="822"/>
      <c r="H1283" s="822"/>
    </row>
    <row r="1284" spans="1:8" ht="12" x14ac:dyDescent="0.3">
      <c r="A1284" s="820">
        <v>1280</v>
      </c>
      <c r="B1284" s="1069" t="str">
        <f t="shared" si="19"/>
        <v>Panels comprising two walls of profiled "ribbed" sheet, of iron or steel, with an insulating core</v>
      </c>
      <c r="C1284" s="1069" t="s">
        <v>2284</v>
      </c>
      <c r="D1284" s="822"/>
      <c r="E1284" s="822"/>
      <c r="F1284" s="822"/>
      <c r="G1284" s="822"/>
      <c r="H1284" s="822"/>
    </row>
    <row r="1285" spans="1:8" ht="12" x14ac:dyDescent="0.3">
      <c r="A1285" s="820">
        <v>1281</v>
      </c>
      <c r="B1285" s="1069" t="str">
        <f t="shared" si="19"/>
        <v>Structures and parts of structures, of iron or steel, solely or principally of sheet, n.e.s. (excl. doors and windows and their frames, and panels comprising two walls of profiled "ribbed" sheet, of iron or steel, with an insulating core)</v>
      </c>
      <c r="C1285" s="1069" t="s">
        <v>2287</v>
      </c>
      <c r="D1285" s="822"/>
      <c r="E1285" s="822"/>
      <c r="F1285" s="822"/>
      <c r="G1285" s="822"/>
      <c r="H1285" s="822"/>
    </row>
    <row r="1286" spans="1:8" ht="12" x14ac:dyDescent="0.3">
      <c r="A1286" s="820">
        <v>1282</v>
      </c>
      <c r="B1286" s="1069" t="str">
        <f t="shared" ref="B1286:B1349" si="20">IFERROR(INDEX(C1286:M1286,$A$3-2),$C1286)</f>
        <v>Structures and parts of structures of iron or steel, n.e.s. (excl. bridges and bridge-sections; towers; lattice masts; doors, windows and their frames and thresholds; equipment for scaffolding, shuttering, propping or pit-propping, and products made principally of sheet)</v>
      </c>
      <c r="C1286" s="1069" t="s">
        <v>2290</v>
      </c>
      <c r="D1286" s="822"/>
      <c r="E1286" s="822"/>
      <c r="F1286" s="822"/>
      <c r="G1286" s="822"/>
      <c r="H1286" s="822"/>
    </row>
    <row r="1287" spans="1:8" ht="12" x14ac:dyDescent="0.3">
      <c r="A1287" s="820">
        <v>1283</v>
      </c>
      <c r="B1287" s="1069" t="str">
        <f t="shared" si="20"/>
        <v>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v>
      </c>
      <c r="C1287" s="1069" t="s">
        <v>2292</v>
      </c>
      <c r="D1287" s="822"/>
      <c r="E1287" s="822"/>
      <c r="F1287" s="822"/>
      <c r="G1287" s="822"/>
      <c r="H1287" s="822"/>
    </row>
    <row r="1288" spans="1:8" ht="12" x14ac:dyDescent="0.3">
      <c r="A1288" s="820">
        <v>1284</v>
      </c>
      <c r="B1288" s="1069" t="str">
        <f t="shared" si="20"/>
        <v>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v>
      </c>
      <c r="C1288" s="1069" t="s">
        <v>2295</v>
      </c>
      <c r="D1288" s="822"/>
      <c r="E1288" s="822"/>
      <c r="F1288" s="822"/>
      <c r="G1288" s="822"/>
      <c r="H1288" s="822"/>
    </row>
    <row r="1289" spans="1:8" ht="12" x14ac:dyDescent="0.3">
      <c r="A1289" s="820">
        <v>1285</v>
      </c>
      <c r="B1289" s="1069" t="str">
        <f t="shared" si="20"/>
        <v>Reservoirs, tanks, vats and similar containers, of iron or steel, for liquids, lined or heat-insulated and of a capacity of &gt; 300 l (excl. containers fitted with mechanical or thermal equipment and containers specifically constructed or equipped for one or more types of transport)</v>
      </c>
      <c r="C1289" s="1069" t="s">
        <v>2298</v>
      </c>
      <c r="D1289" s="822"/>
      <c r="E1289" s="822"/>
      <c r="F1289" s="822"/>
      <c r="G1289" s="822"/>
      <c r="H1289" s="822"/>
    </row>
    <row r="1290" spans="1:8" ht="12" x14ac:dyDescent="0.3">
      <c r="A1290" s="820">
        <v>1286</v>
      </c>
      <c r="B1290" s="1069" t="str">
        <f t="shared" si="20"/>
        <v>Reservoirs, tanks, vats and similar containers, of iron or steel, for liquids, of a capacity of &gt; 100.000 l (excl. containers lined or heat-insulated or fitted with mechanical or thermal equipment and containers specifically constructed or equipped for one or more types of transport)</v>
      </c>
      <c r="C1290" s="1069" t="s">
        <v>2301</v>
      </c>
      <c r="D1290" s="822"/>
      <c r="E1290" s="822"/>
      <c r="F1290" s="822"/>
      <c r="G1290" s="822"/>
      <c r="H1290" s="822"/>
    </row>
    <row r="1291" spans="1:8" ht="12" x14ac:dyDescent="0.3">
      <c r="A1291" s="820">
        <v>1287</v>
      </c>
      <c r="B1291" s="1069" t="str">
        <f t="shared" si="20"/>
        <v>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v>
      </c>
      <c r="C1291" s="1069" t="s">
        <v>2304</v>
      </c>
      <c r="D1291" s="822"/>
      <c r="E1291" s="822"/>
      <c r="F1291" s="822"/>
      <c r="G1291" s="822"/>
      <c r="H1291" s="822"/>
    </row>
    <row r="1292" spans="1:8" ht="12" x14ac:dyDescent="0.3">
      <c r="A1292" s="820">
        <v>1288</v>
      </c>
      <c r="B1292" s="1069" t="str">
        <f t="shared" si="20"/>
        <v>Reservoirs, tanks, vats and similar containers, of iron or steel, for solids, of a capacity of &gt; 300 l (excl. containers lined or heat-insulated or fitted with mechanical or thermal equipment and containers specifically constructed or equipped for one or more types of transport)</v>
      </c>
      <c r="C1292" s="1069" t="s">
        <v>2307</v>
      </c>
      <c r="D1292" s="822"/>
      <c r="E1292" s="822"/>
      <c r="F1292" s="822"/>
      <c r="G1292" s="822"/>
      <c r="H1292" s="822"/>
    </row>
    <row r="1293" spans="1:8" ht="12" x14ac:dyDescent="0.3">
      <c r="A1293" s="820">
        <v>1289</v>
      </c>
      <c r="B1293" s="1069" t="str">
        <f t="shared" si="20"/>
        <v>Tanks, casks, drums, cans, boxes and similar containers, of iron or steel, for any material "other than compressed or liquefied gas", of a capacity of &lt;= 300 l, not fitted with mechanical or thermal equipment, whether or not lined or heat-insulated, n.e.s.</v>
      </c>
      <c r="C1293" s="1069" t="s">
        <v>2309</v>
      </c>
      <c r="D1293" s="822"/>
      <c r="E1293" s="822"/>
      <c r="F1293" s="822"/>
      <c r="G1293" s="822"/>
      <c r="H1293" s="822"/>
    </row>
    <row r="1294" spans="1:8" ht="12" x14ac:dyDescent="0.3">
      <c r="A1294" s="820">
        <v>1290</v>
      </c>
      <c r="B1294" s="1069" t="str">
        <f t="shared" si="20"/>
        <v>Tanks, casks, drums, cans, boxes and similar containers, of iron or steel, for any material, of a capacity of &gt;= 50 l but &lt;= 300 l, n.e.s. (excl. containers for compressed or liquefied gas, or containers fitted with mechanical or thermal equipment)</v>
      </c>
      <c r="C1294" s="1069" t="s">
        <v>2312</v>
      </c>
      <c r="D1294" s="822"/>
      <c r="E1294" s="822"/>
      <c r="F1294" s="822"/>
      <c r="G1294" s="822"/>
      <c r="H1294" s="822"/>
    </row>
    <row r="1295" spans="1:8" ht="12" x14ac:dyDescent="0.3">
      <c r="A1295" s="820">
        <v>1291</v>
      </c>
      <c r="B1295" s="1069" t="str">
        <f t="shared" si="20"/>
        <v>Cans of iron or steel, of a capacity of &lt; 50 l, which are to be closed by soldering or crimping (excl. containers for compressed or liquefied gas)</v>
      </c>
      <c r="C1295" s="1069" t="s">
        <v>2314</v>
      </c>
      <c r="D1295" s="822"/>
      <c r="E1295" s="822"/>
      <c r="F1295" s="822"/>
      <c r="G1295" s="822"/>
      <c r="H1295" s="822"/>
    </row>
    <row r="1296" spans="1:8" ht="12" x14ac:dyDescent="0.3">
      <c r="A1296" s="820">
        <v>1292</v>
      </c>
      <c r="B1296" s="1069" t="str">
        <f t="shared" si="20"/>
        <v>Cans of iron or steel, of a capacity of &lt; 50 l, which are to be closed by soldering or crimping, of a kind used for preserving food</v>
      </c>
      <c r="C1296" s="1069" t="s">
        <v>2317</v>
      </c>
      <c r="D1296" s="822"/>
      <c r="E1296" s="822"/>
      <c r="F1296" s="822"/>
      <c r="G1296" s="822"/>
      <c r="H1296" s="822"/>
    </row>
    <row r="1297" spans="1:8" ht="12" x14ac:dyDescent="0.3">
      <c r="A1297" s="820">
        <v>1293</v>
      </c>
      <c r="B1297" s="1069" t="str">
        <f t="shared" si="20"/>
        <v>Cans of iron or steel, of a capacity of &lt; 50 l, which are to be closed by soldering or crimping, of a kind used for preserving drink</v>
      </c>
      <c r="C1297" s="1069" t="s">
        <v>2320</v>
      </c>
      <c r="D1297" s="822"/>
      <c r="E1297" s="822"/>
      <c r="F1297" s="822"/>
      <c r="G1297" s="822"/>
      <c r="H1297" s="822"/>
    </row>
    <row r="1298" spans="1:8" ht="12" x14ac:dyDescent="0.3">
      <c r="A1298" s="820">
        <v>1294</v>
      </c>
      <c r="B1298" s="1069" t="str">
        <f t="shared" si="20"/>
        <v>Cans of iron or steel, of a capacity of &lt; 50 l, which are to be closed by soldering or crimping, of a wall thickness of &lt; 0,5 mm (excl. cans for compressed or liquefied gas, and cans of a kind used for preserving food and drink)</v>
      </c>
      <c r="C1298" s="1069" t="s">
        <v>2323</v>
      </c>
      <c r="D1298" s="822"/>
      <c r="E1298" s="822"/>
      <c r="F1298" s="822"/>
      <c r="G1298" s="822"/>
      <c r="H1298" s="822"/>
    </row>
    <row r="1299" spans="1:8" ht="12" x14ac:dyDescent="0.3">
      <c r="A1299" s="820">
        <v>1295</v>
      </c>
      <c r="B1299" s="1069" t="str">
        <f t="shared" si="20"/>
        <v>Cans of iron or steel, of a capacity of &lt; 50 l, which are to be closed by soldering or crimping, of a wall thickness of &gt;= 0,5 mm (excl. cans for compressed or liquefied gas, and cans of a kind used for preserving food and drink)</v>
      </c>
      <c r="C1299" s="1069" t="s">
        <v>2326</v>
      </c>
      <c r="D1299" s="822"/>
      <c r="E1299" s="822"/>
      <c r="F1299" s="822"/>
      <c r="G1299" s="822"/>
      <c r="H1299" s="822"/>
    </row>
    <row r="1300" spans="1:8" ht="12" x14ac:dyDescent="0.3">
      <c r="A1300" s="820">
        <v>1296</v>
      </c>
      <c r="B1300" s="1069" t="str">
        <f t="shared" si="20"/>
        <v>Tanks, casks, drums, cans, boxes and similar containers, of iron or steel, for any material, of a capacity of &lt; 50 l, n.e.s. (excl. containers for compressed or liquefied gas, or containers fitted with mechanical or thermal equipment, and cans which are to be closed by soldering or crimping)</v>
      </c>
      <c r="C1300" s="1069" t="s">
        <v>2328</v>
      </c>
      <c r="D1300" s="822"/>
      <c r="E1300" s="822"/>
      <c r="F1300" s="822"/>
      <c r="G1300" s="822"/>
      <c r="H1300" s="822"/>
    </row>
    <row r="1301" spans="1:8" ht="12" x14ac:dyDescent="0.3">
      <c r="A1301" s="820">
        <v>1297</v>
      </c>
      <c r="B1301" s="1069" t="str">
        <f t="shared" si="20"/>
        <v>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v>
      </c>
      <c r="C1301" s="1069" t="s">
        <v>2331</v>
      </c>
      <c r="D1301" s="822"/>
      <c r="E1301" s="822"/>
      <c r="F1301" s="822"/>
      <c r="G1301" s="822"/>
      <c r="H1301" s="822"/>
    </row>
    <row r="1302" spans="1:8" ht="12" x14ac:dyDescent="0.3">
      <c r="A1302" s="820">
        <v>1298</v>
      </c>
      <c r="B1302" s="1069" t="str">
        <f t="shared" si="20"/>
        <v>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v>
      </c>
      <c r="C1302" s="1069" t="s">
        <v>2334</v>
      </c>
      <c r="D1302" s="822"/>
      <c r="E1302" s="822"/>
      <c r="F1302" s="822"/>
      <c r="G1302" s="822"/>
      <c r="H1302" s="822"/>
    </row>
    <row r="1303" spans="1:8" ht="12" x14ac:dyDescent="0.3">
      <c r="A1303" s="820">
        <v>1299</v>
      </c>
      <c r="B1303" s="1069" t="str">
        <f t="shared" si="20"/>
        <v>Containers of iron or steel, for compressed or liquefied gas (excl. containers specifically constructed or equipped for one or more types of transport)</v>
      </c>
      <c r="C1303" s="1069" t="s">
        <v>2336</v>
      </c>
      <c r="D1303" s="822"/>
      <c r="E1303" s="822"/>
      <c r="F1303" s="822"/>
      <c r="G1303" s="822"/>
      <c r="H1303" s="822"/>
    </row>
    <row r="1304" spans="1:8" ht="12" x14ac:dyDescent="0.3">
      <c r="A1304" s="820">
        <v>1300</v>
      </c>
      <c r="B1304" s="1069" t="str">
        <f t="shared" si="20"/>
        <v>Containers of iron or steel, seamless, for compressed or liquefied gas, for a pressure &gt;= 165 bar, of a capacity &lt; 20 l (excl. containers specifically constructed or equipped for one or more types of transport)</v>
      </c>
      <c r="C1304" s="1069" t="s">
        <v>2339</v>
      </c>
      <c r="D1304" s="822"/>
      <c r="E1304" s="822"/>
      <c r="F1304" s="822"/>
      <c r="G1304" s="822"/>
      <c r="H1304" s="822"/>
    </row>
    <row r="1305" spans="1:8" ht="12" x14ac:dyDescent="0.3">
      <c r="A1305" s="820">
        <v>1301</v>
      </c>
      <c r="B1305" s="1069" t="str">
        <f t="shared" si="20"/>
        <v>Containers of iron or steel, seamless, for compressed or liquefied gas, for a pressure &gt;= 165 bar, of a capacity &gt;= 20 l to &lt;= 50 l (excl. containers specifically constructed or equipped for one or more types of transport)</v>
      </c>
      <c r="C1305" s="1069" t="s">
        <v>2342</v>
      </c>
      <c r="D1305" s="822"/>
      <c r="E1305" s="822"/>
      <c r="F1305" s="822"/>
      <c r="G1305" s="822"/>
      <c r="H1305" s="822"/>
    </row>
    <row r="1306" spans="1:8" ht="12" x14ac:dyDescent="0.3">
      <c r="A1306" s="820">
        <v>1302</v>
      </c>
      <c r="B1306" s="1069" t="str">
        <f t="shared" si="20"/>
        <v>Containers of iron or steel, seamless, for compressed or liquefied gas, for a pressure &gt;= 165 bar, of a capacity &gt; 50 l (excl. containers specifically constructed or equipped for one or more types of transport)</v>
      </c>
      <c r="C1306" s="1069" t="s">
        <v>2345</v>
      </c>
      <c r="D1306" s="822"/>
      <c r="E1306" s="822"/>
      <c r="F1306" s="822"/>
      <c r="G1306" s="822"/>
      <c r="H1306" s="822"/>
    </row>
    <row r="1307" spans="1:8" ht="12" x14ac:dyDescent="0.3">
      <c r="A1307" s="820">
        <v>1303</v>
      </c>
      <c r="B1307" s="1069" t="str">
        <f t="shared" si="20"/>
        <v>Containers of iron or steel, seamless, for compressed or liquefied gas, for a pressure &lt; 165 bar (excl. containers specifically constructed or equipped for one or more types of transport)</v>
      </c>
      <c r="C1307" s="1069" t="s">
        <v>2348</v>
      </c>
      <c r="D1307" s="822"/>
      <c r="E1307" s="822"/>
      <c r="F1307" s="822"/>
      <c r="G1307" s="822"/>
      <c r="H1307" s="822"/>
    </row>
    <row r="1308" spans="1:8" ht="12" x14ac:dyDescent="0.3">
      <c r="A1308" s="820">
        <v>1304</v>
      </c>
      <c r="B1308" s="1069" t="str">
        <f t="shared" si="20"/>
        <v>Containers of iron or steel, seamless, for compressed or liquefied gas, of a capacity of &lt; 1.000 l (excl. seamless containers and containers specifically constructed or equipped for one or more types of transport)</v>
      </c>
      <c r="C1308" s="1069" t="s">
        <v>2351</v>
      </c>
      <c r="D1308" s="822"/>
      <c r="E1308" s="822"/>
      <c r="F1308" s="822"/>
      <c r="G1308" s="822"/>
      <c r="H1308" s="822"/>
    </row>
    <row r="1309" spans="1:8" ht="12" x14ac:dyDescent="0.3">
      <c r="A1309" s="820">
        <v>1305</v>
      </c>
      <c r="B1309" s="1069" t="str">
        <f t="shared" si="20"/>
        <v>Containers of iron or steel, seamless, for compressed or liquefied gas, of a capacity of &gt;= 1.000 l (excl. seamless containers and containers specifically constructed or equipped for one or more types of transport)</v>
      </c>
      <c r="C1309" s="1069" t="s">
        <v>2354</v>
      </c>
      <c r="D1309" s="822"/>
      <c r="E1309" s="822"/>
      <c r="F1309" s="822"/>
      <c r="G1309" s="822"/>
      <c r="H1309" s="822"/>
    </row>
    <row r="1310" spans="1:8" ht="12" x14ac:dyDescent="0.3">
      <c r="A1310" s="820">
        <v>1306</v>
      </c>
      <c r="B1310" s="1069" t="str">
        <f t="shared" si="20"/>
        <v>Screws, bolts, nuts, coach screws, screw hooks, rivets, cotters, cotter pins, washers, incl. spring washers, and similar articles, of iron or steel (excl. lag screws, stoppers, plugs and the like, threaded)</v>
      </c>
      <c r="C1310" s="1069" t="s">
        <v>2356</v>
      </c>
      <c r="D1310" s="822"/>
      <c r="E1310" s="822"/>
      <c r="F1310" s="822"/>
      <c r="G1310" s="822"/>
      <c r="H1310" s="822"/>
    </row>
    <row r="1311" spans="1:8" ht="12" x14ac:dyDescent="0.3">
      <c r="A1311" s="820">
        <v>1307</v>
      </c>
      <c r="B1311" s="1069" t="str">
        <f t="shared" si="20"/>
        <v>Coach screws of iron or steel</v>
      </c>
      <c r="C1311" s="1069" t="s">
        <v>2359</v>
      </c>
      <c r="D1311" s="822"/>
      <c r="E1311" s="822"/>
      <c r="F1311" s="822"/>
      <c r="G1311" s="822"/>
      <c r="H1311" s="822"/>
    </row>
    <row r="1312" spans="1:8" ht="12" x14ac:dyDescent="0.3">
      <c r="A1312" s="820">
        <v>1308</v>
      </c>
      <c r="B1312" s="1069" t="str">
        <f t="shared" si="20"/>
        <v>Wood screws of iron or steel (excl. coach screws)</v>
      </c>
      <c r="C1312" s="1069" t="s">
        <v>2361</v>
      </c>
      <c r="D1312" s="822"/>
      <c r="E1312" s="822"/>
      <c r="F1312" s="822"/>
      <c r="G1312" s="822"/>
      <c r="H1312" s="822"/>
    </row>
    <row r="1313" spans="1:8" ht="12" x14ac:dyDescent="0.3">
      <c r="A1313" s="820">
        <v>1309</v>
      </c>
      <c r="B1313" s="1069" t="str">
        <f t="shared" si="20"/>
        <v>Wood screws of stainless steel (excl. coach screws)</v>
      </c>
      <c r="C1313" s="1069" t="s">
        <v>2364</v>
      </c>
      <c r="D1313" s="822"/>
      <c r="E1313" s="822"/>
      <c r="F1313" s="822"/>
      <c r="G1313" s="822"/>
      <c r="H1313" s="822"/>
    </row>
    <row r="1314" spans="1:8" ht="12" x14ac:dyDescent="0.3">
      <c r="A1314" s="820">
        <v>1310</v>
      </c>
      <c r="B1314" s="1069" t="str">
        <f t="shared" si="20"/>
        <v>Wood screws of iron or steel other than stainless (excl. coach screws)</v>
      </c>
      <c r="C1314" s="1069" t="s">
        <v>2367</v>
      </c>
      <c r="D1314" s="822"/>
      <c r="E1314" s="822"/>
      <c r="F1314" s="822"/>
      <c r="G1314" s="822"/>
      <c r="H1314" s="822"/>
    </row>
    <row r="1315" spans="1:8" ht="12" x14ac:dyDescent="0.3">
      <c r="A1315" s="820">
        <v>1311</v>
      </c>
      <c r="B1315" s="1069" t="str">
        <f t="shared" si="20"/>
        <v>Screw hooks and screw rings, of iron or steel</v>
      </c>
      <c r="C1315" s="1069" t="s">
        <v>2370</v>
      </c>
      <c r="D1315" s="822"/>
      <c r="E1315" s="822"/>
      <c r="F1315" s="822"/>
      <c r="G1315" s="822"/>
      <c r="H1315" s="822"/>
    </row>
    <row r="1316" spans="1:8" ht="12" x14ac:dyDescent="0.3">
      <c r="A1316" s="820">
        <v>1312</v>
      </c>
      <c r="B1316" s="1069" t="str">
        <f t="shared" si="20"/>
        <v>Self-tapping screws, of iron or steel (excl. wood screws)</v>
      </c>
      <c r="C1316" s="1069" t="s">
        <v>2372</v>
      </c>
      <c r="D1316" s="822"/>
      <c r="E1316" s="822"/>
      <c r="F1316" s="822"/>
      <c r="G1316" s="822"/>
      <c r="H1316" s="822"/>
    </row>
    <row r="1317" spans="1:8" ht="12" x14ac:dyDescent="0.3">
      <c r="A1317" s="820">
        <v>1313</v>
      </c>
      <c r="B1317" s="1069" t="str">
        <f t="shared" si="20"/>
        <v>Self-tapping screws, of stainless steel (excl. wood screws)</v>
      </c>
      <c r="C1317" s="1069" t="s">
        <v>2375</v>
      </c>
      <c r="D1317" s="822"/>
      <c r="E1317" s="822"/>
      <c r="F1317" s="822"/>
      <c r="G1317" s="822"/>
      <c r="H1317" s="822"/>
    </row>
    <row r="1318" spans="1:8" ht="12" x14ac:dyDescent="0.3">
      <c r="A1318" s="820">
        <v>1314</v>
      </c>
      <c r="B1318" s="1069" t="str">
        <f t="shared" si="20"/>
        <v>Spaced-thread screws of iron or steel other than stainless</v>
      </c>
      <c r="C1318" s="1069" t="s">
        <v>2378</v>
      </c>
      <c r="D1318" s="822"/>
      <c r="E1318" s="822"/>
      <c r="F1318" s="822"/>
      <c r="G1318" s="822"/>
      <c r="H1318" s="822"/>
    </row>
    <row r="1319" spans="1:8" ht="12" x14ac:dyDescent="0.3">
      <c r="A1319" s="820">
        <v>1315</v>
      </c>
      <c r="B1319" s="1069" t="str">
        <f t="shared" si="20"/>
        <v>Self-tapping screws of iron or steel other than stainless (excl. spaced-thread screws and wood screws)</v>
      </c>
      <c r="C1319" s="1069" t="s">
        <v>2381</v>
      </c>
      <c r="D1319" s="822"/>
      <c r="E1319" s="822"/>
      <c r="F1319" s="822"/>
      <c r="G1319" s="822"/>
      <c r="H1319" s="822"/>
    </row>
    <row r="1320" spans="1:8" ht="12" x14ac:dyDescent="0.3">
      <c r="A1320" s="820">
        <v>1316</v>
      </c>
      <c r="B1320" s="1069" t="str">
        <f t="shared" si="20"/>
        <v>Threaded screws and bolts, of iron or steel, whether or not with their nuts and washers (excl. coach screws and other wood screws, screw hooks and screw rings, self-tapping screws, lag screws, stoppers, plugs and the like, threaded)</v>
      </c>
      <c r="C1320" s="1069" t="s">
        <v>2383</v>
      </c>
      <c r="D1320" s="822"/>
      <c r="E1320" s="822"/>
      <c r="F1320" s="822"/>
      <c r="G1320" s="822"/>
      <c r="H1320" s="822"/>
    </row>
    <row r="1321" spans="1:8" ht="12" x14ac:dyDescent="0.3">
      <c r="A1321" s="820">
        <v>1317</v>
      </c>
      <c r="B1321" s="1069" t="str">
        <f t="shared" si="20"/>
        <v>Screws and bolts, of iron or steel "whether or not with their nuts and washers", for fixing railway track construction material (excl. coach screws)</v>
      </c>
      <c r="C1321" s="1069" t="s">
        <v>2386</v>
      </c>
      <c r="D1321" s="822"/>
      <c r="E1321" s="822"/>
      <c r="F1321" s="822"/>
      <c r="G1321" s="822"/>
      <c r="H1321" s="822"/>
    </row>
    <row r="1322" spans="1:8" ht="12" x14ac:dyDescent="0.3">
      <c r="A1322" s="820">
        <v>1318</v>
      </c>
      <c r="B1322" s="1069" t="str">
        <f t="shared" si="20"/>
        <v>Screws and bolts, of stainless steel "whether or not with their nuts and washers", without heads (excl. screws and bolts for fixing railway track construction material)</v>
      </c>
      <c r="C1322" s="1069" t="s">
        <v>2389</v>
      </c>
      <c r="D1322" s="822"/>
      <c r="E1322" s="822"/>
      <c r="F1322" s="822"/>
      <c r="G1322" s="822"/>
      <c r="H1322" s="822"/>
    </row>
    <row r="1323" spans="1:8" ht="12" x14ac:dyDescent="0.3">
      <c r="A1323" s="820">
        <v>1319</v>
      </c>
      <c r="B1323" s="1069" t="str">
        <f t="shared" si="20"/>
        <v>Screws and bolts, of iron or steel other than stainless "whether or not with their nuts and washers", without heads, with a tensile strength of &lt; 800 MPa (excl. screws and bolts for fixing railway track construction material)</v>
      </c>
      <c r="C1323" s="1069" t="s">
        <v>2392</v>
      </c>
      <c r="D1323" s="822"/>
      <c r="E1323" s="822"/>
      <c r="F1323" s="822"/>
      <c r="G1323" s="822"/>
      <c r="H1323" s="822"/>
    </row>
    <row r="1324" spans="1:8" ht="12" x14ac:dyDescent="0.3">
      <c r="A1324" s="820">
        <v>1320</v>
      </c>
      <c r="B1324" s="1069" t="str">
        <f t="shared" si="20"/>
        <v>Screws and bolts, of iron or steel other than stainless "whether or not with their nuts and washers", without heads, with a tensile strength of &gt;= 800 MPa (excl. screws and bolts for fixing railway track construction material)</v>
      </c>
      <c r="C1324" s="1069" t="s">
        <v>2395</v>
      </c>
      <c r="D1324" s="822"/>
      <c r="E1324" s="822"/>
      <c r="F1324" s="822"/>
      <c r="G1324" s="822"/>
      <c r="H1324" s="822"/>
    </row>
    <row r="1325" spans="1:8" ht="12" x14ac:dyDescent="0.3">
      <c r="A1325" s="820">
        <v>1321</v>
      </c>
      <c r="B1325" s="1069" t="str">
        <f t="shared" si="20"/>
        <v>Screws and bolts, of stainless steel "whether or not with their nuts and washers", with slotted or cross-recessed heads (excl. wood screws and self-tapping screws)</v>
      </c>
      <c r="C1325" s="1069" t="s">
        <v>2398</v>
      </c>
      <c r="D1325" s="822"/>
      <c r="E1325" s="822"/>
      <c r="F1325" s="822"/>
      <c r="G1325" s="822"/>
      <c r="H1325" s="822"/>
    </row>
    <row r="1326" spans="1:8" ht="12" x14ac:dyDescent="0.3">
      <c r="A1326" s="820">
        <v>1322</v>
      </c>
      <c r="B1326" s="1069" t="str">
        <f t="shared" si="20"/>
        <v>Screws and bolts, of iron or steel other than stainless "whether or not with their nuts and washers", with slotted or cross-recessed heads (excl. wood screws and self-tapping screws)</v>
      </c>
      <c r="C1326" s="1069" t="s">
        <v>2401</v>
      </c>
      <c r="D1326" s="822"/>
      <c r="E1326" s="822"/>
      <c r="F1326" s="822"/>
      <c r="G1326" s="822"/>
      <c r="H1326" s="822"/>
    </row>
    <row r="1327" spans="1:8" ht="12" x14ac:dyDescent="0.3">
      <c r="A1327" s="820">
        <v>1323</v>
      </c>
      <c r="B1327" s="1069" t="str">
        <f t="shared" si="20"/>
        <v>Hexagonal-socket head screws and bolts, of stainless steel "whether or not with their nuts and washers" (excl. wood screws, self-tapping screws and screws and bolts for fixing railway track construction material)</v>
      </c>
      <c r="C1327" s="1069" t="s">
        <v>2404</v>
      </c>
      <c r="D1327" s="822"/>
      <c r="E1327" s="822"/>
      <c r="F1327" s="822"/>
      <c r="G1327" s="822"/>
      <c r="H1327" s="822"/>
    </row>
    <row r="1328" spans="1:8" ht="12" x14ac:dyDescent="0.3">
      <c r="A1328" s="820">
        <v>1324</v>
      </c>
      <c r="B1328" s="1069" t="str">
        <f t="shared" si="20"/>
        <v>Hexagonal-socket head screws and bolts, of iron or steel other than stainless "whether or not with their nuts and washers" (excl. wood screws, self-tapping screws and screws and bolts for fixing railway track construction material)</v>
      </c>
      <c r="C1328" s="1069" t="s">
        <v>2407</v>
      </c>
      <c r="D1328" s="822"/>
      <c r="E1328" s="822"/>
      <c r="F1328" s="822"/>
      <c r="G1328" s="822"/>
      <c r="H1328" s="822"/>
    </row>
    <row r="1329" spans="1:8" ht="12" x14ac:dyDescent="0.3">
      <c r="A1329" s="820">
        <v>1325</v>
      </c>
      <c r="B1329" s="1069" t="str">
        <f t="shared" si="20"/>
        <v>Hexagon screws and bolts, of stainless steel "whether or not with their nuts and washers" (excl. with socket head, wood screws, self-tapping screws and screws and bolts for fixing railway track construction material)</v>
      </c>
      <c r="C1329" s="1069" t="s">
        <v>2410</v>
      </c>
      <c r="D1329" s="822"/>
      <c r="E1329" s="822"/>
      <c r="F1329" s="822"/>
      <c r="G1329" s="822"/>
      <c r="H1329" s="822"/>
    </row>
    <row r="1330" spans="1:8" ht="12" x14ac:dyDescent="0.3">
      <c r="A1330" s="820">
        <v>1326</v>
      </c>
      <c r="B1330" s="1069" t="str">
        <f t="shared" si="20"/>
        <v>Hexagon screws and bolts, of iron or steel other than stainless "whether or not with their nuts and washers", with a tensile strength of &lt; 800 MPa (excl. with socket head, wood screws, self-tapping screws and screws and bolts for fixing railway track construction material)</v>
      </c>
      <c r="C1330" s="1069" t="s">
        <v>2413</v>
      </c>
      <c r="D1330" s="822"/>
      <c r="E1330" s="822"/>
      <c r="F1330" s="822"/>
      <c r="G1330" s="822"/>
      <c r="H1330" s="822"/>
    </row>
    <row r="1331" spans="1:8" ht="12" x14ac:dyDescent="0.3">
      <c r="A1331" s="820">
        <v>1327</v>
      </c>
      <c r="B1331" s="1069" t="str">
        <f t="shared" si="20"/>
        <v>Hexagon screws and bolts, of iron or steel other than stainless "whether or not with their nuts and washers", with a tensile strength of =&gt; 800 MPa (excl. with socket head, wood screws, self-tapping screws and screws and bolts for fixing railway track construction material)</v>
      </c>
      <c r="C1331" s="1069" t="s">
        <v>2416</v>
      </c>
      <c r="D1331" s="822"/>
      <c r="E1331" s="822"/>
      <c r="F1331" s="822"/>
      <c r="G1331" s="822"/>
      <c r="H1331" s="822"/>
    </row>
    <row r="1332" spans="1:8" ht="12" x14ac:dyDescent="0.3">
      <c r="A1332" s="820">
        <v>1328</v>
      </c>
      <c r="B1332" s="1069" t="str">
        <f t="shared" si="20"/>
        <v>Screws and bolts, of iron or steel "whether or not with their nuts and washers", with heads (excl. with slotted, cross-recessed or hexagonal head; wood screws, self-tapping screws and screws and bolts for fixing railway track construction material, screw hooks and screw rings)</v>
      </c>
      <c r="C1332" s="1069" t="s">
        <v>2419</v>
      </c>
      <c r="D1332" s="822"/>
      <c r="E1332" s="822"/>
      <c r="F1332" s="822"/>
      <c r="G1332" s="822"/>
      <c r="H1332" s="822"/>
    </row>
    <row r="1333" spans="1:8" ht="12" x14ac:dyDescent="0.3">
      <c r="A1333" s="820">
        <v>1329</v>
      </c>
      <c r="B1333" s="1069" t="str">
        <f t="shared" si="20"/>
        <v>Nuts of iron or steel</v>
      </c>
      <c r="C1333" s="1069" t="s">
        <v>2421</v>
      </c>
      <c r="D1333" s="822"/>
      <c r="E1333" s="822"/>
      <c r="F1333" s="822"/>
      <c r="G1333" s="822"/>
      <c r="H1333" s="822"/>
    </row>
    <row r="1334" spans="1:8" ht="12" x14ac:dyDescent="0.3">
      <c r="A1334" s="820">
        <v>1330</v>
      </c>
      <c r="B1334" s="1069" t="str">
        <f t="shared" si="20"/>
        <v>Blind rivet nuts of stainless steel</v>
      </c>
      <c r="C1334" s="1069" t="s">
        <v>2424</v>
      </c>
      <c r="D1334" s="822"/>
      <c r="E1334" s="822"/>
      <c r="F1334" s="822"/>
      <c r="G1334" s="822"/>
      <c r="H1334" s="822"/>
    </row>
    <row r="1335" spans="1:8" ht="12" x14ac:dyDescent="0.3">
      <c r="A1335" s="820">
        <v>1331</v>
      </c>
      <c r="B1335" s="1069" t="str">
        <f t="shared" si="20"/>
        <v>Nuts of stainless steel (excl. blind rivet nuts)</v>
      </c>
      <c r="C1335" s="1069" t="s">
        <v>2427</v>
      </c>
      <c r="D1335" s="822"/>
      <c r="E1335" s="822"/>
      <c r="F1335" s="822"/>
      <c r="G1335" s="822"/>
      <c r="H1335" s="822"/>
    </row>
    <row r="1336" spans="1:8" ht="12" x14ac:dyDescent="0.3">
      <c r="A1336" s="820">
        <v>1332</v>
      </c>
      <c r="B1336" s="1069" t="str">
        <f t="shared" si="20"/>
        <v>Blind rivet nuts of iron or steel other than stainless</v>
      </c>
      <c r="C1336" s="1069" t="s">
        <v>2430</v>
      </c>
      <c r="D1336" s="822"/>
      <c r="E1336" s="822"/>
      <c r="F1336" s="822"/>
      <c r="G1336" s="822"/>
      <c r="H1336" s="822"/>
    </row>
    <row r="1337" spans="1:8" ht="12" x14ac:dyDescent="0.3">
      <c r="A1337" s="820">
        <v>1333</v>
      </c>
      <c r="B1337" s="1069" t="str">
        <f t="shared" si="20"/>
        <v>Self-locking nuts of iron or steel other than stainless</v>
      </c>
      <c r="C1337" s="1069" t="s">
        <v>2433</v>
      </c>
      <c r="D1337" s="822"/>
      <c r="E1337" s="822"/>
      <c r="F1337" s="822"/>
      <c r="G1337" s="822"/>
      <c r="H1337" s="822"/>
    </row>
    <row r="1338" spans="1:8" ht="12" x14ac:dyDescent="0.3">
      <c r="A1338" s="820">
        <v>1334</v>
      </c>
      <c r="B1338" s="1069" t="str">
        <f t="shared" si="20"/>
        <v>Nuts of iron or steel other than stainless, with an inside diameter &lt;= 12 mm (excl. blind rivet nuts and self-locking nuts)</v>
      </c>
      <c r="C1338" s="1069" t="s">
        <v>2436</v>
      </c>
      <c r="D1338" s="822"/>
      <c r="E1338" s="822"/>
      <c r="F1338" s="822"/>
      <c r="G1338" s="822"/>
      <c r="H1338" s="822"/>
    </row>
    <row r="1339" spans="1:8" ht="12" x14ac:dyDescent="0.3">
      <c r="A1339" s="820">
        <v>1335</v>
      </c>
      <c r="B1339" s="1069" t="str">
        <f t="shared" si="20"/>
        <v>Nuts of iron or steel other than stainless, with an inside diameter &gt; 12 mm (excl. blind rivet nuts and self-locking nuts)</v>
      </c>
      <c r="C1339" s="1069" t="s">
        <v>2439</v>
      </c>
      <c r="D1339" s="822"/>
      <c r="E1339" s="822"/>
      <c r="F1339" s="822"/>
      <c r="G1339" s="822"/>
      <c r="H1339" s="822"/>
    </row>
    <row r="1340" spans="1:8" ht="12" x14ac:dyDescent="0.3">
      <c r="A1340" s="820">
        <v>1336</v>
      </c>
      <c r="B1340" s="1069" t="str">
        <f t="shared" si="20"/>
        <v>Threaded articles, of iron or steel, n.e.s.</v>
      </c>
      <c r="C1340" s="1069" t="s">
        <v>2442</v>
      </c>
      <c r="D1340" s="822"/>
      <c r="E1340" s="822"/>
      <c r="F1340" s="822"/>
      <c r="G1340" s="822"/>
      <c r="H1340" s="822"/>
    </row>
    <row r="1341" spans="1:8" ht="12" x14ac:dyDescent="0.3">
      <c r="A1341" s="820">
        <v>1337</v>
      </c>
      <c r="B1341" s="1069" t="str">
        <f t="shared" si="20"/>
        <v>Spring washers and other lock washers, of iron or steel</v>
      </c>
      <c r="C1341" s="1069" t="s">
        <v>2445</v>
      </c>
      <c r="D1341" s="822"/>
      <c r="E1341" s="822"/>
      <c r="F1341" s="822"/>
      <c r="G1341" s="822"/>
      <c r="H1341" s="822"/>
    </row>
    <row r="1342" spans="1:8" ht="12" x14ac:dyDescent="0.3">
      <c r="A1342" s="820">
        <v>1338</v>
      </c>
      <c r="B1342" s="1069" t="str">
        <f t="shared" si="20"/>
        <v>Washers of iron or steel (excl. spring washers and other lock washers)</v>
      </c>
      <c r="C1342" s="1069" t="s">
        <v>2448</v>
      </c>
      <c r="D1342" s="822"/>
      <c r="E1342" s="822"/>
      <c r="F1342" s="822"/>
      <c r="G1342" s="822"/>
      <c r="H1342" s="822"/>
    </row>
    <row r="1343" spans="1:8" ht="12" x14ac:dyDescent="0.3">
      <c r="A1343" s="820">
        <v>1339</v>
      </c>
      <c r="B1343" s="1069" t="str">
        <f t="shared" si="20"/>
        <v>Rivets of iron or steel (excl. tubular and bifurcated rivets for particular uses)</v>
      </c>
      <c r="C1343" s="1069" t="s">
        <v>2451</v>
      </c>
      <c r="D1343" s="822"/>
      <c r="E1343" s="822"/>
      <c r="F1343" s="822"/>
      <c r="G1343" s="822"/>
      <c r="H1343" s="822"/>
    </row>
    <row r="1344" spans="1:8" ht="12" x14ac:dyDescent="0.3">
      <c r="A1344" s="820">
        <v>1340</v>
      </c>
      <c r="B1344" s="1069" t="str">
        <f t="shared" si="20"/>
        <v>Cotters and cotter pins, of iron or steel</v>
      </c>
      <c r="C1344" s="1069" t="s">
        <v>2454</v>
      </c>
      <c r="D1344" s="822"/>
      <c r="E1344" s="822"/>
      <c r="F1344" s="822"/>
      <c r="G1344" s="822"/>
      <c r="H1344" s="822"/>
    </row>
    <row r="1345" spans="1:8" ht="12" x14ac:dyDescent="0.3">
      <c r="A1345" s="820">
        <v>1341</v>
      </c>
      <c r="B1345" s="1069" t="str">
        <f t="shared" si="20"/>
        <v>Non-threaded articles, of iron or steel</v>
      </c>
      <c r="C1345" s="1069" t="s">
        <v>2457</v>
      </c>
      <c r="D1345" s="822"/>
      <c r="E1345" s="822"/>
      <c r="F1345" s="822"/>
      <c r="G1345" s="822"/>
      <c r="H1345" s="822"/>
    </row>
    <row r="1346" spans="1:8" ht="12" x14ac:dyDescent="0.3">
      <c r="A1346" s="820">
        <v>1342</v>
      </c>
      <c r="B1346" s="1069" t="str">
        <f t="shared" si="20"/>
        <v>Articles of iron or steel, n.e.s. (excl. cast articles)</v>
      </c>
      <c r="C1346" s="1069" t="s">
        <v>2459</v>
      </c>
      <c r="D1346" s="822"/>
      <c r="E1346" s="822"/>
      <c r="F1346" s="822"/>
      <c r="G1346" s="822"/>
      <c r="H1346" s="822"/>
    </row>
    <row r="1347" spans="1:8" ht="12" x14ac:dyDescent="0.3">
      <c r="A1347" s="820">
        <v>1343</v>
      </c>
      <c r="B1347" s="1069" t="str">
        <f t="shared" si="20"/>
        <v>Grinding balls and similar articles for mills, of iron or steel, forged or stamped, but not further worked</v>
      </c>
      <c r="C1347" s="1069" t="s">
        <v>2462</v>
      </c>
      <c r="D1347" s="822"/>
      <c r="E1347" s="822"/>
      <c r="F1347" s="822"/>
      <c r="G1347" s="822"/>
      <c r="H1347" s="822"/>
    </row>
    <row r="1348" spans="1:8" ht="12" x14ac:dyDescent="0.3">
      <c r="A1348" s="820">
        <v>1344</v>
      </c>
      <c r="B1348" s="1069" t="str">
        <f t="shared" si="20"/>
        <v>Articles of iron or steel, forged or stamped, but not further worked, n.e.s. (excl. grinding balls and similar articles for mills)</v>
      </c>
      <c r="C1348" s="1069" t="s">
        <v>2464</v>
      </c>
      <c r="D1348" s="822"/>
      <c r="E1348" s="822"/>
      <c r="F1348" s="822"/>
      <c r="G1348" s="822"/>
      <c r="H1348" s="822"/>
    </row>
    <row r="1349" spans="1:8" ht="12" x14ac:dyDescent="0.3">
      <c r="A1349" s="820">
        <v>1345</v>
      </c>
      <c r="B1349" s="1069" t="str">
        <f t="shared" si="20"/>
        <v>Articles of iron or steel, open-die forged, but not further worked, n.e.s. (excl. grinding balls and similar articles for mills)</v>
      </c>
      <c r="C1349" s="1069" t="s">
        <v>2467</v>
      </c>
      <c r="D1349" s="822"/>
      <c r="E1349" s="822"/>
      <c r="F1349" s="822"/>
      <c r="G1349" s="822"/>
      <c r="H1349" s="822"/>
    </row>
    <row r="1350" spans="1:8" ht="12" x14ac:dyDescent="0.3">
      <c r="A1350" s="820">
        <v>1346</v>
      </c>
      <c r="B1350" s="1069" t="str">
        <f t="shared" ref="B1350:B1413" si="21">IFERROR(INDEX(C1350:M1350,$A$3-2),$C1350)</f>
        <v>Articles of iron or steel, closed-die forged or stamped, but not further worked, n.e.s. (excl. grinding balls and similar articles for mills)</v>
      </c>
      <c r="C1350" s="1069" t="s">
        <v>2470</v>
      </c>
      <c r="D1350" s="822"/>
      <c r="E1350" s="822"/>
      <c r="F1350" s="822"/>
      <c r="G1350" s="822"/>
      <c r="H1350" s="822"/>
    </row>
    <row r="1351" spans="1:8" ht="12" x14ac:dyDescent="0.3">
      <c r="A1351" s="820">
        <v>1347</v>
      </c>
      <c r="B1351" s="1069" t="str">
        <f t="shared" si="21"/>
        <v>Articles of iron or steel wire, n.e.s.</v>
      </c>
      <c r="C1351" s="1069" t="s">
        <v>2473</v>
      </c>
      <c r="D1351" s="822"/>
      <c r="E1351" s="822"/>
      <c r="F1351" s="822"/>
      <c r="G1351" s="822"/>
      <c r="H1351" s="822"/>
    </row>
    <row r="1352" spans="1:8" ht="12" x14ac:dyDescent="0.3">
      <c r="A1352" s="820">
        <v>1348</v>
      </c>
      <c r="B1352" s="1069" t="str">
        <f t="shared" si="21"/>
        <v>Articles of iron or steel, n.e.s. (excl. cast articles or articles of iron or steel wire)</v>
      </c>
      <c r="C1352" s="1069" t="s">
        <v>2475</v>
      </c>
      <c r="D1352" s="822"/>
      <c r="E1352" s="822"/>
      <c r="F1352" s="822"/>
      <c r="G1352" s="822"/>
      <c r="H1352" s="822"/>
    </row>
    <row r="1353" spans="1:8" ht="12" x14ac:dyDescent="0.3">
      <c r="A1353" s="820">
        <v>1349</v>
      </c>
      <c r="B1353" s="1069" t="str">
        <f t="shared" si="21"/>
        <v>Ladders and steps, of iron or steel</v>
      </c>
      <c r="C1353" s="1069" t="s">
        <v>2478</v>
      </c>
      <c r="D1353" s="822"/>
      <c r="E1353" s="822"/>
      <c r="F1353" s="822"/>
      <c r="G1353" s="822"/>
      <c r="H1353" s="822"/>
    </row>
    <row r="1354" spans="1:8" ht="12" x14ac:dyDescent="0.3">
      <c r="A1354" s="820">
        <v>1350</v>
      </c>
      <c r="B1354" s="1069" t="str">
        <f t="shared" si="21"/>
        <v>Pallets and similar platforms for handling goods, of iron or steel</v>
      </c>
      <c r="C1354" s="1069" t="s">
        <v>2481</v>
      </c>
      <c r="D1354" s="822"/>
      <c r="E1354" s="822"/>
      <c r="F1354" s="822"/>
      <c r="G1354" s="822"/>
      <c r="H1354" s="822"/>
    </row>
    <row r="1355" spans="1:8" ht="12" x14ac:dyDescent="0.3">
      <c r="A1355" s="820">
        <v>1351</v>
      </c>
      <c r="B1355" s="1069" t="str">
        <f t="shared" si="21"/>
        <v>Reels for cables, piping and the like, of iron or steel</v>
      </c>
      <c r="C1355" s="1069" t="s">
        <v>2484</v>
      </c>
      <c r="D1355" s="822"/>
      <c r="E1355" s="822"/>
      <c r="F1355" s="822"/>
      <c r="G1355" s="822"/>
      <c r="H1355" s="822"/>
    </row>
    <row r="1356" spans="1:8" ht="12" x14ac:dyDescent="0.3">
      <c r="A1356" s="820">
        <v>1352</v>
      </c>
      <c r="B1356" s="1069" t="str">
        <f t="shared" si="21"/>
        <v>Ventilators, non-mechanical, guttering, hooks and like articles used in the building industry, n.e.s., of iron or steel</v>
      </c>
      <c r="C1356" s="1069" t="s">
        <v>2487</v>
      </c>
      <c r="D1356" s="822"/>
      <c r="E1356" s="822"/>
      <c r="F1356" s="822"/>
      <c r="G1356" s="822"/>
      <c r="H1356" s="822"/>
    </row>
    <row r="1357" spans="1:8" ht="12" x14ac:dyDescent="0.3">
      <c r="A1357" s="820">
        <v>1353</v>
      </c>
      <c r="B1357" s="1069" t="str">
        <f t="shared" si="21"/>
        <v>Articles of iron or steel, open-die forged, n.e.s.</v>
      </c>
      <c r="C1357" s="1069" t="s">
        <v>2490</v>
      </c>
      <c r="D1357" s="822"/>
      <c r="E1357" s="822"/>
      <c r="F1357" s="822"/>
      <c r="G1357" s="822"/>
      <c r="H1357" s="822"/>
    </row>
    <row r="1358" spans="1:8" ht="12" x14ac:dyDescent="0.3">
      <c r="A1358" s="820">
        <v>1354</v>
      </c>
      <c r="B1358" s="1069" t="str">
        <f t="shared" si="21"/>
        <v>Articles of iron or steel, closed-die forged, n.e.s.</v>
      </c>
      <c r="C1358" s="1069" t="s">
        <v>2493</v>
      </c>
      <c r="D1358" s="822"/>
      <c r="E1358" s="822"/>
      <c r="F1358" s="822"/>
      <c r="G1358" s="822"/>
      <c r="H1358" s="822"/>
    </row>
    <row r="1359" spans="1:8" ht="12" x14ac:dyDescent="0.3">
      <c r="A1359" s="820">
        <v>1355</v>
      </c>
      <c r="B1359" s="1069" t="str">
        <f t="shared" si="21"/>
        <v>Sintered articles of iron or steel, n.e.s.</v>
      </c>
      <c r="C1359" s="1069" t="s">
        <v>2496</v>
      </c>
      <c r="D1359" s="822"/>
      <c r="E1359" s="822"/>
      <c r="F1359" s="822"/>
      <c r="G1359" s="822"/>
      <c r="H1359" s="822"/>
    </row>
    <row r="1360" spans="1:8" ht="12" x14ac:dyDescent="0.3">
      <c r="A1360" s="820">
        <v>1356</v>
      </c>
      <c r="B1360" s="1069" t="str">
        <f t="shared" si="21"/>
        <v>Articles of iron or steel, n.e.s.</v>
      </c>
      <c r="C1360" s="1069" t="s">
        <v>2499</v>
      </c>
      <c r="D1360" s="822"/>
      <c r="E1360" s="822"/>
      <c r="F1360" s="822"/>
      <c r="G1360" s="822"/>
      <c r="H1360" s="822"/>
    </row>
    <row r="1361" spans="1:8" ht="12" x14ac:dyDescent="0.3">
      <c r="A1361" s="820">
        <v>1357</v>
      </c>
      <c r="B1361" s="1069" t="str">
        <f t="shared" si="21"/>
        <v>Aluminium, not alloyed, unwrought</v>
      </c>
      <c r="C1361" s="1069" t="s">
        <v>2502</v>
      </c>
      <c r="D1361" s="822"/>
      <c r="E1361" s="822"/>
      <c r="F1361" s="822"/>
      <c r="G1361" s="822"/>
      <c r="H1361" s="822"/>
    </row>
    <row r="1362" spans="1:8" ht="12" x14ac:dyDescent="0.3">
      <c r="A1362" s="820">
        <v>1358</v>
      </c>
      <c r="B1362" s="1069" t="str">
        <f t="shared" si="21"/>
        <v>Unwrought aluminium alloys</v>
      </c>
      <c r="C1362" s="1069" t="s">
        <v>2504</v>
      </c>
      <c r="D1362" s="822"/>
      <c r="E1362" s="822"/>
      <c r="F1362" s="822"/>
      <c r="G1362" s="822"/>
      <c r="H1362" s="822"/>
    </row>
    <row r="1363" spans="1:8" ht="12" x14ac:dyDescent="0.3">
      <c r="A1363" s="820">
        <v>1359</v>
      </c>
      <c r="B1363" s="1069" t="str">
        <f t="shared" si="21"/>
        <v>Unwrought aluminium alloys in the form of slabs or billets</v>
      </c>
      <c r="C1363" s="1069" t="s">
        <v>2506</v>
      </c>
      <c r="D1363" s="822"/>
      <c r="E1363" s="822"/>
      <c r="F1363" s="822"/>
      <c r="G1363" s="822"/>
      <c r="H1363" s="822"/>
    </row>
    <row r="1364" spans="1:8" ht="12" x14ac:dyDescent="0.3">
      <c r="A1364" s="820">
        <v>1360</v>
      </c>
      <c r="B1364" s="1069" t="str">
        <f t="shared" si="21"/>
        <v>Unwrought aluminium alloys (excl. slabs and billets)</v>
      </c>
      <c r="C1364" s="1069" t="s">
        <v>2509</v>
      </c>
      <c r="D1364" s="822"/>
      <c r="E1364" s="822"/>
      <c r="F1364" s="822"/>
      <c r="G1364" s="822"/>
      <c r="H1364" s="822"/>
    </row>
    <row r="1365" spans="1:8" ht="12" x14ac:dyDescent="0.3">
      <c r="A1365" s="820">
        <v>1361</v>
      </c>
      <c r="B1365" s="1069" t="str">
        <f t="shared" si="21"/>
        <v>Powder and flakes, of aluminium (excl. pellets of aluminium, and spangles)</v>
      </c>
      <c r="C1365" s="1069" t="s">
        <v>2511</v>
      </c>
      <c r="D1365" s="822"/>
      <c r="E1365" s="822"/>
      <c r="F1365" s="822"/>
      <c r="G1365" s="822"/>
      <c r="H1365" s="822"/>
    </row>
    <row r="1366" spans="1:8" ht="12" x14ac:dyDescent="0.3">
      <c r="A1366" s="820">
        <v>1362</v>
      </c>
      <c r="B1366" s="1069" t="str">
        <f t="shared" si="21"/>
        <v>Powders of aluminium, of non-lamellar structure (excl. pellets of aluminium)</v>
      </c>
      <c r="C1366" s="1069" t="s">
        <v>2514</v>
      </c>
      <c r="D1366" s="822"/>
      <c r="E1366" s="822"/>
      <c r="F1366" s="822"/>
      <c r="G1366" s="822"/>
      <c r="H1366" s="822"/>
    </row>
    <row r="1367" spans="1:8" ht="12" x14ac:dyDescent="0.3">
      <c r="A1367" s="820">
        <v>1363</v>
      </c>
      <c r="B1367" s="1069" t="str">
        <f t="shared" si="21"/>
        <v>Powders of aluminium, of lamellar structure, and flakes of aluminium (excl. pellets of aluminium, and spangles)</v>
      </c>
      <c r="C1367" s="1069" t="s">
        <v>2517</v>
      </c>
      <c r="D1367" s="822"/>
      <c r="E1367" s="822"/>
      <c r="F1367" s="822"/>
      <c r="G1367" s="822"/>
      <c r="H1367" s="822"/>
    </row>
    <row r="1368" spans="1:8" ht="12" x14ac:dyDescent="0.3">
      <c r="A1368" s="820">
        <v>1364</v>
      </c>
      <c r="B1368" s="1069" t="str">
        <f t="shared" si="21"/>
        <v>Bars, rods and profiles, of aluminium, n.e.s.</v>
      </c>
      <c r="C1368" s="1069" t="s">
        <v>2519</v>
      </c>
      <c r="D1368" s="822"/>
      <c r="E1368" s="822"/>
      <c r="F1368" s="822"/>
      <c r="G1368" s="822"/>
      <c r="H1368" s="822"/>
    </row>
    <row r="1369" spans="1:8" ht="12" x14ac:dyDescent="0.3">
      <c r="A1369" s="820">
        <v>1365</v>
      </c>
      <c r="B1369" s="1069" t="str">
        <f t="shared" si="21"/>
        <v>Bars, rods and profiles, of non-alloy aluminium, n.e.s.</v>
      </c>
      <c r="C1369" s="1069" t="s">
        <v>2521</v>
      </c>
      <c r="D1369" s="822"/>
      <c r="E1369" s="822"/>
      <c r="F1369" s="822"/>
      <c r="G1369" s="822"/>
      <c r="H1369" s="822"/>
    </row>
    <row r="1370" spans="1:8" ht="12" x14ac:dyDescent="0.3">
      <c r="A1370" s="820">
        <v>1366</v>
      </c>
      <c r="B1370" s="1069" t="str">
        <f t="shared" si="21"/>
        <v>Bars, rods and profiles, of non-alloy aluminium</v>
      </c>
      <c r="C1370" s="1069" t="s">
        <v>2524</v>
      </c>
      <c r="D1370" s="822"/>
      <c r="E1370" s="822"/>
      <c r="F1370" s="822"/>
      <c r="G1370" s="822"/>
      <c r="H1370" s="822"/>
    </row>
    <row r="1371" spans="1:8" ht="12" x14ac:dyDescent="0.3">
      <c r="A1371" s="820">
        <v>1367</v>
      </c>
      <c r="B1371" s="1069" t="str">
        <f t="shared" si="21"/>
        <v>Profiles of non-alloy aluminium, n.e.s.</v>
      </c>
      <c r="C1371" s="1069" t="s">
        <v>2527</v>
      </c>
      <c r="D1371" s="822"/>
      <c r="E1371" s="822"/>
      <c r="F1371" s="822"/>
      <c r="G1371" s="822"/>
      <c r="H1371" s="822"/>
    </row>
    <row r="1372" spans="1:8" ht="12" x14ac:dyDescent="0.3">
      <c r="A1372" s="820">
        <v>1368</v>
      </c>
      <c r="B1372" s="1069" t="str">
        <f t="shared" si="21"/>
        <v>Hollow profiles of aluminium alloys, n.e.s.</v>
      </c>
      <c r="C1372" s="1069" t="s">
        <v>2530</v>
      </c>
      <c r="D1372" s="822"/>
      <c r="E1372" s="822"/>
      <c r="F1372" s="822"/>
      <c r="G1372" s="822"/>
      <c r="H1372" s="822"/>
    </row>
    <row r="1373" spans="1:8" ht="12" x14ac:dyDescent="0.3">
      <c r="A1373" s="820">
        <v>1369</v>
      </c>
      <c r="B1373" s="1069" t="str">
        <f t="shared" si="21"/>
        <v>Bars, rods and solid profiles, of aluminium alloys, n.e.s.</v>
      </c>
      <c r="C1373" s="1069" t="s">
        <v>2532</v>
      </c>
      <c r="D1373" s="822"/>
      <c r="E1373" s="822"/>
      <c r="F1373" s="822"/>
      <c r="G1373" s="822"/>
      <c r="H1373" s="822"/>
    </row>
    <row r="1374" spans="1:8" ht="12" x14ac:dyDescent="0.3">
      <c r="A1374" s="820">
        <v>1370</v>
      </c>
      <c r="B1374" s="1069" t="str">
        <f t="shared" si="21"/>
        <v>Bars and rods of aluminium alloys</v>
      </c>
      <c r="C1374" s="1069" t="s">
        <v>2535</v>
      </c>
      <c r="D1374" s="822"/>
      <c r="E1374" s="822"/>
      <c r="F1374" s="822"/>
      <c r="G1374" s="822"/>
      <c r="H1374" s="822"/>
    </row>
    <row r="1375" spans="1:8" ht="12" x14ac:dyDescent="0.3">
      <c r="A1375" s="820">
        <v>1371</v>
      </c>
      <c r="B1375" s="1069" t="str">
        <f t="shared" si="21"/>
        <v>Solid profiles, of aluminium alloys, n.e.s.</v>
      </c>
      <c r="C1375" s="1069" t="s">
        <v>2538</v>
      </c>
      <c r="D1375" s="822"/>
      <c r="E1375" s="822"/>
      <c r="F1375" s="822"/>
      <c r="G1375" s="822"/>
      <c r="H1375" s="822"/>
    </row>
    <row r="1376" spans="1:8" ht="12" x14ac:dyDescent="0.3">
      <c r="A1376" s="820">
        <v>1372</v>
      </c>
      <c r="B1376" s="1069" t="str">
        <f t="shared" si="21"/>
        <v>Aluminium wire (excl. stranded wire, cables, plaited bands and the like and other articles of heading 7614, electrically insulated wires, and strings for musical instruments)</v>
      </c>
      <c r="C1376" s="1069" t="s">
        <v>2540</v>
      </c>
      <c r="D1376" s="822"/>
      <c r="E1376" s="822"/>
      <c r="F1376" s="822"/>
      <c r="G1376" s="822"/>
      <c r="H1376" s="822"/>
    </row>
    <row r="1377" spans="1:8" ht="12" x14ac:dyDescent="0.3">
      <c r="A1377" s="820">
        <v>1373</v>
      </c>
      <c r="B1377" s="1069" t="str">
        <f t="shared" si="21"/>
        <v>Wire of non-alloy aluminium, with a maximum cross-sectional dimension of &gt; 7 mm (excl. stranded wire, cables, plaited bands and the like and other articles of heading 7614, and electrically insulated wires)</v>
      </c>
      <c r="C1377" s="1069" t="s">
        <v>2543</v>
      </c>
      <c r="D1377" s="822"/>
      <c r="E1377" s="822"/>
      <c r="F1377" s="822"/>
      <c r="G1377" s="822"/>
      <c r="H1377" s="822"/>
    </row>
    <row r="1378" spans="1:8" ht="12" x14ac:dyDescent="0.3">
      <c r="A1378" s="820">
        <v>1374</v>
      </c>
      <c r="B1378" s="1069" t="str">
        <f t="shared" si="21"/>
        <v>Wire of non-alloy aluminium, with a maximum cross-sectional dimension of &lt;= 7 mm (other than stranded wires, cables, ropes and other articles of heading 7614, electrically insulated wires, strings for musical instruments)</v>
      </c>
      <c r="C1378" s="1069" t="s">
        <v>2546</v>
      </c>
      <c r="D1378" s="822"/>
      <c r="E1378" s="822"/>
      <c r="F1378" s="822"/>
      <c r="G1378" s="822"/>
      <c r="H1378" s="822"/>
    </row>
    <row r="1379" spans="1:8" ht="12" x14ac:dyDescent="0.3">
      <c r="A1379" s="820">
        <v>1375</v>
      </c>
      <c r="B1379" s="1069" t="str">
        <f t="shared" si="21"/>
        <v>Wire of aluminium alloys, with a maximum cross-sectional dimension of &gt; 7 mm (excl. stranded wire, cables, plaited bands and the like and other articles of heading 7614, and electrically insulated wires)</v>
      </c>
      <c r="C1379" s="1069" t="s">
        <v>2549</v>
      </c>
      <c r="D1379" s="822"/>
      <c r="E1379" s="822"/>
      <c r="F1379" s="822"/>
      <c r="G1379" s="822"/>
      <c r="H1379" s="822"/>
    </row>
    <row r="1380" spans="1:8" ht="12" x14ac:dyDescent="0.3">
      <c r="A1380" s="820">
        <v>1376</v>
      </c>
      <c r="B1380" s="1069" t="str">
        <f t="shared" si="21"/>
        <v>Wire, of aluminium alloys, having a maximum cross-sectional dimension of &lt;= 7 mm (other than stranded wires, cables, ropes and other articles of heading 7614, electrically insulated wires, strings for musical instruments)</v>
      </c>
      <c r="C1380" s="1069" t="s">
        <v>2552</v>
      </c>
      <c r="D1380" s="822"/>
      <c r="E1380" s="822"/>
      <c r="F1380" s="822"/>
      <c r="G1380" s="822"/>
      <c r="H1380" s="822"/>
    </row>
    <row r="1381" spans="1:8" ht="12" x14ac:dyDescent="0.3">
      <c r="A1381" s="820">
        <v>1377</v>
      </c>
      <c r="B1381" s="1069" t="str">
        <f t="shared" si="21"/>
        <v>Plates, sheets and strip, of aluminium, of a thickness of &gt; 0,2 mm (excl. expanded plates, sheets and strip)</v>
      </c>
      <c r="C1381" s="1069" t="s">
        <v>2554</v>
      </c>
      <c r="D1381" s="822"/>
      <c r="E1381" s="822"/>
      <c r="F1381" s="822"/>
      <c r="G1381" s="822"/>
      <c r="H1381" s="822"/>
    </row>
    <row r="1382" spans="1:8" ht="12" x14ac:dyDescent="0.3">
      <c r="A1382" s="820">
        <v>1378</v>
      </c>
      <c r="B1382" s="1069" t="str">
        <f t="shared" si="21"/>
        <v>Plates, sheets and strip, of non-alloy aluminium, of a thickness of &gt; 0,2 mm, square or rectangular (excl. expanded plates, sheets and strip)</v>
      </c>
      <c r="C1382" s="1069" t="s">
        <v>2556</v>
      </c>
      <c r="D1382" s="822"/>
      <c r="E1382" s="822"/>
      <c r="F1382" s="822"/>
      <c r="G1382" s="822"/>
      <c r="H1382" s="822"/>
    </row>
    <row r="1383" spans="1:8" ht="12" x14ac:dyDescent="0.3">
      <c r="A1383" s="820">
        <v>1379</v>
      </c>
      <c r="B1383" s="1069" t="str">
        <f t="shared" si="21"/>
        <v>Aluminium Composite Panel, of non-alloy aluminium, of a thickness of &gt; 0,2 mm</v>
      </c>
      <c r="C1383" s="1069" t="s">
        <v>2559</v>
      </c>
      <c r="D1383" s="822"/>
      <c r="E1383" s="822"/>
      <c r="F1383" s="822"/>
      <c r="G1383" s="822"/>
      <c r="H1383" s="822"/>
    </row>
    <row r="1384" spans="1:8" ht="12" x14ac:dyDescent="0.3">
      <c r="A1384" s="820">
        <v>1380</v>
      </c>
      <c r="B1384" s="1069" t="str">
        <f t="shared" si="21"/>
        <v>Plates, sheets and strip, of non-alloy aluminium, of a thickness of &gt; 0,2 mm, square or rectangular, painted, varnished or coated with plastics (excl. Aluminium Composite Panel)</v>
      </c>
      <c r="C1384" s="1069" t="s">
        <v>2562</v>
      </c>
      <c r="D1384" s="822"/>
      <c r="E1384" s="822"/>
      <c r="F1384" s="822"/>
      <c r="G1384" s="822"/>
      <c r="H1384" s="822"/>
    </row>
    <row r="1385" spans="1:8" ht="12" x14ac:dyDescent="0.3">
      <c r="A1385" s="820">
        <v>1381</v>
      </c>
      <c r="B1385" s="1069" t="str">
        <f t="shared" si="21"/>
        <v>Plates, sheets and strip, of non-alloy aluminium, of a thickness of &gt; 0,2 mm but &lt; 3 mm, square or rectangular (excl. such products painted, varnished or coated with plastics, and expanded plates, sheets and strip)</v>
      </c>
      <c r="C1385" s="1069" t="s">
        <v>2565</v>
      </c>
      <c r="D1385" s="822"/>
      <c r="E1385" s="822"/>
      <c r="F1385" s="822"/>
      <c r="G1385" s="822"/>
      <c r="H1385" s="822"/>
    </row>
    <row r="1386" spans="1:8" ht="12" x14ac:dyDescent="0.3">
      <c r="A1386" s="820">
        <v>1382</v>
      </c>
      <c r="B1386" s="1069" t="str">
        <f t="shared" si="21"/>
        <v>Plates, sheets and strip, of non-alloy aluminium, of a thickness of &gt;= 3 mm but &lt; 6 mm, square or rectangular (excl. such products painted, varnished or coated with plastics)</v>
      </c>
      <c r="C1386" s="1069" t="s">
        <v>2568</v>
      </c>
      <c r="D1386" s="822"/>
      <c r="E1386" s="822"/>
      <c r="F1386" s="822"/>
      <c r="G1386" s="822"/>
      <c r="H1386" s="822"/>
    </row>
    <row r="1387" spans="1:8" ht="12" x14ac:dyDescent="0.3">
      <c r="A1387" s="820">
        <v>1383</v>
      </c>
      <c r="B1387" s="1069" t="str">
        <f t="shared" si="21"/>
        <v>Plates, sheets and strip, of non-alloy aluminium, of a thickness of &gt;= 6 mm, square or rectangular (excl. such products painted, varnished or coated with plastics)</v>
      </c>
      <c r="C1387" s="1069" t="s">
        <v>2571</v>
      </c>
      <c r="D1387" s="822"/>
      <c r="E1387" s="822"/>
      <c r="F1387" s="822"/>
      <c r="G1387" s="822"/>
      <c r="H1387" s="822"/>
    </row>
    <row r="1388" spans="1:8" ht="12" x14ac:dyDescent="0.3">
      <c r="A1388" s="820">
        <v>1384</v>
      </c>
      <c r="B1388" s="1069" t="str">
        <f t="shared" si="21"/>
        <v>Plates, sheets and strip, of aluminium alloys, of a thickness of &gt; 0,2 mm, square or rectangular (excl. expanded plates, sheets and strip)</v>
      </c>
      <c r="C1388" s="1069" t="s">
        <v>2573</v>
      </c>
      <c r="D1388" s="822"/>
      <c r="E1388" s="822"/>
      <c r="F1388" s="822"/>
      <c r="G1388" s="822"/>
      <c r="H1388" s="822"/>
    </row>
    <row r="1389" spans="1:8" ht="12" x14ac:dyDescent="0.3">
      <c r="A1389" s="820">
        <v>1385</v>
      </c>
      <c r="B1389" s="1069" t="str">
        <f t="shared" si="21"/>
        <v>Beverage can body stock, of aluminium alloys, of a thickness of &gt; 0,2 mm</v>
      </c>
      <c r="C1389" s="1069" t="s">
        <v>2576</v>
      </c>
      <c r="D1389" s="822"/>
      <c r="E1389" s="822"/>
      <c r="F1389" s="822"/>
      <c r="G1389" s="822"/>
      <c r="H1389" s="822"/>
    </row>
    <row r="1390" spans="1:8" ht="12" x14ac:dyDescent="0.3">
      <c r="A1390" s="820">
        <v>1386</v>
      </c>
      <c r="B1390" s="1069" t="str">
        <f t="shared" si="21"/>
        <v>Beverage can end stock and tab stock, of aluminium alloys, of a thickness of &gt; 0,2 mm</v>
      </c>
      <c r="C1390" s="1069" t="s">
        <v>2579</v>
      </c>
      <c r="D1390" s="822"/>
      <c r="E1390" s="822"/>
      <c r="F1390" s="822"/>
      <c r="G1390" s="822"/>
      <c r="H1390" s="822"/>
    </row>
    <row r="1391" spans="1:8" ht="12" x14ac:dyDescent="0.3">
      <c r="A1391" s="820">
        <v>1387</v>
      </c>
      <c r="B1391" s="1069" t="str">
        <f t="shared" si="21"/>
        <v>Aluminium Composite Panel, of aluminium alloys, of a thickness of &gt; 0,2 mm</v>
      </c>
      <c r="C1391" s="1069" t="s">
        <v>2582</v>
      </c>
      <c r="D1391" s="822"/>
      <c r="E1391" s="822"/>
      <c r="F1391" s="822"/>
      <c r="G1391" s="822"/>
      <c r="H1391" s="822"/>
    </row>
    <row r="1392" spans="1:8" ht="12" x14ac:dyDescent="0.3">
      <c r="A1392" s="820">
        <v>1388</v>
      </c>
      <c r="B1392" s="1069" t="str">
        <f t="shared" si="21"/>
        <v>Plates, sheets and strip, of aluminium alloys, of a thickness of &gt; 0,2 mm, square or rectangular, painted, varnished or coated with plastics (excl. beverage can body stock, end stock and tab stock, and Aluminium Composite Panel)</v>
      </c>
      <c r="C1392" s="1069" t="s">
        <v>2585</v>
      </c>
      <c r="D1392" s="822"/>
      <c r="E1392" s="822"/>
      <c r="F1392" s="822"/>
      <c r="G1392" s="822"/>
      <c r="H1392" s="822"/>
    </row>
    <row r="1393" spans="1:8" ht="12" x14ac:dyDescent="0.3">
      <c r="A1393" s="820">
        <v>1389</v>
      </c>
      <c r="B1393" s="1069" t="str">
        <f t="shared" si="21"/>
        <v>Plates, sheets and strip, of aluminium alloys, of a thickness of &gt; 0,2 mm but &lt; 3 mm, square or rectangular (excl. painted, varnished or coated with plastics, expanded plates, sheets and strip, beverage can body stock, end stock and tab stock)</v>
      </c>
      <c r="C1393" s="1069" t="s">
        <v>2588</v>
      </c>
      <c r="D1393" s="822"/>
      <c r="E1393" s="822"/>
      <c r="F1393" s="822"/>
      <c r="G1393" s="822"/>
      <c r="H1393" s="822"/>
    </row>
    <row r="1394" spans="1:8" ht="12" x14ac:dyDescent="0.3">
      <c r="A1394" s="820">
        <v>1390</v>
      </c>
      <c r="B1394" s="1069" t="str">
        <f t="shared" si="21"/>
        <v>Plates, sheets and strip, of aluminium alloys, of a thickness of &gt;= 3 mm but &lt; 6 mm, square or rectangular (excl. such products painted, varnished or coated with plastics)</v>
      </c>
      <c r="C1394" s="1069" t="s">
        <v>2591</v>
      </c>
      <c r="D1394" s="822"/>
      <c r="E1394" s="822"/>
      <c r="F1394" s="822"/>
      <c r="G1394" s="822"/>
      <c r="H1394" s="822"/>
    </row>
    <row r="1395" spans="1:8" ht="12" x14ac:dyDescent="0.3">
      <c r="A1395" s="820">
        <v>1391</v>
      </c>
      <c r="B1395" s="1069" t="str">
        <f t="shared" si="21"/>
        <v>Plates, sheets and strip, of aluminium alloys, of a thickness of &gt;= 6 mm, square or rectangular (excl. such products painted, varnished or coated with plastics)</v>
      </c>
      <c r="C1395" s="1069" t="s">
        <v>2594</v>
      </c>
      <c r="D1395" s="822"/>
      <c r="E1395" s="822"/>
      <c r="F1395" s="822"/>
      <c r="G1395" s="822"/>
      <c r="H1395" s="822"/>
    </row>
    <row r="1396" spans="1:8" ht="12" x14ac:dyDescent="0.3">
      <c r="A1396" s="820">
        <v>1392</v>
      </c>
      <c r="B1396" s="1069" t="str">
        <f t="shared" si="21"/>
        <v>Plates, sheets and strip, of non-alloy aluminium, of a thickness of &gt; 0,2 mm (other than square or rectangular)</v>
      </c>
      <c r="C1396" s="1069" t="s">
        <v>2597</v>
      </c>
      <c r="D1396" s="822"/>
      <c r="E1396" s="822"/>
      <c r="F1396" s="822"/>
      <c r="G1396" s="822"/>
      <c r="H1396" s="822"/>
    </row>
    <row r="1397" spans="1:8" ht="12" x14ac:dyDescent="0.3">
      <c r="A1397" s="820">
        <v>1393</v>
      </c>
      <c r="B1397" s="1069" t="str">
        <f t="shared" si="21"/>
        <v>Plates, sheets and strip, of aluminium alloys, of a thickness of &gt; 0,2 mm (other than square or rectangular)</v>
      </c>
      <c r="C1397" s="1069" t="s">
        <v>2600</v>
      </c>
      <c r="D1397" s="822"/>
      <c r="E1397" s="822"/>
      <c r="F1397" s="822"/>
      <c r="G1397" s="822"/>
      <c r="H1397" s="822"/>
    </row>
    <row r="1398" spans="1:8" ht="12" x14ac:dyDescent="0.3">
      <c r="A1398" s="820">
        <v>1394</v>
      </c>
      <c r="B1398" s="1069" t="str">
        <f t="shared" si="21"/>
        <v>Aluminium foil, "whether or not printed or backed with paper, paperboard, plastics or similar backing materials", of a thickness "excl. any backing" of &lt;= 0,2 mm (excl. stamping foils of heading 3212, christmas tree decorating material)</v>
      </c>
      <c r="C1398" s="1069" t="s">
        <v>2602</v>
      </c>
      <c r="D1398" s="822"/>
      <c r="E1398" s="822"/>
      <c r="F1398" s="822"/>
      <c r="G1398" s="822"/>
      <c r="H1398" s="822"/>
    </row>
    <row r="1399" spans="1:8" ht="12" x14ac:dyDescent="0.3">
      <c r="A1399" s="820">
        <v>1395</v>
      </c>
      <c r="B1399" s="1069" t="str">
        <f t="shared" si="21"/>
        <v>Aluminium foil, not backed, rolled but not further worked, of a thickness of &lt;= 0,2 mm (excl. stamping foils of heading 3212, and foil made up as christmas tree decorating material)</v>
      </c>
      <c r="C1399" s="1069" t="s">
        <v>2604</v>
      </c>
      <c r="D1399" s="822"/>
      <c r="E1399" s="822"/>
      <c r="F1399" s="822"/>
      <c r="G1399" s="822"/>
      <c r="H1399" s="822"/>
    </row>
    <row r="1400" spans="1:8" ht="12" x14ac:dyDescent="0.3">
      <c r="A1400" s="820">
        <v>1396</v>
      </c>
      <c r="B1400" s="1069" t="str">
        <f t="shared" si="21"/>
        <v>Aluminium foil, not backed, rolled but not further worked, of a thickness of &lt; 0,021 mm, in rolls of a weight of &lt;= 10 kg (excl. stamping foils of heading 3212, and foil made up as christmas tree decorating material)</v>
      </c>
      <c r="C1400" s="1069" t="s">
        <v>2607</v>
      </c>
      <c r="D1400" s="822"/>
      <c r="E1400" s="822"/>
      <c r="F1400" s="822"/>
      <c r="G1400" s="822"/>
      <c r="H1400" s="822"/>
    </row>
    <row r="1401" spans="1:8" ht="12" x14ac:dyDescent="0.3">
      <c r="A1401" s="820">
        <v>1397</v>
      </c>
      <c r="B1401" s="1069" t="str">
        <f t="shared" si="21"/>
        <v>Aluminium foil, not backed, rolled but not further worked, of a thickness of &lt; 0,021 mm (excl. stamping foils of heading 3212, and foil made up as christmas tree decorating material and in rolls of a weight &lt;= 10 kg)</v>
      </c>
      <c r="C1401" s="1069" t="s">
        <v>2610</v>
      </c>
      <c r="D1401" s="822"/>
      <c r="E1401" s="822"/>
      <c r="F1401" s="822"/>
      <c r="G1401" s="822"/>
      <c r="H1401" s="822"/>
    </row>
    <row r="1402" spans="1:8" ht="12" x14ac:dyDescent="0.3">
      <c r="A1402" s="820">
        <v>1398</v>
      </c>
      <c r="B1402" s="1069" t="str">
        <f t="shared" si="21"/>
        <v>Aluminium foil, not backed, rolled but not further worked, of a thickness of &gt;= 0,021 mm but &lt;= 2 mm (excl. stamping foils of heading 3212, and foil made up as christmas tree decorating material)</v>
      </c>
      <c r="C1402" s="1069" t="s">
        <v>2613</v>
      </c>
      <c r="D1402" s="822"/>
      <c r="E1402" s="822"/>
      <c r="F1402" s="822"/>
      <c r="G1402" s="822"/>
      <c r="H1402" s="822"/>
    </row>
    <row r="1403" spans="1:8" ht="12" x14ac:dyDescent="0.3">
      <c r="A1403" s="820">
        <v>1399</v>
      </c>
      <c r="B1403" s="1069" t="str">
        <f t="shared" si="21"/>
        <v>Aluminium foil, not backed, rolled and further worked, of a thickness of &lt;= 2 mm (excl. stamping foils of heading 3212, and foil made up as christmas tree decorating material)</v>
      </c>
      <c r="C1403" s="1069" t="s">
        <v>2615</v>
      </c>
      <c r="D1403" s="822"/>
      <c r="E1403" s="822"/>
      <c r="F1403" s="822"/>
      <c r="G1403" s="822"/>
      <c r="H1403" s="822"/>
    </row>
    <row r="1404" spans="1:8" ht="12" x14ac:dyDescent="0.3">
      <c r="A1404" s="820">
        <v>1400</v>
      </c>
      <c r="B1404" s="1069" t="str">
        <f t="shared" si="21"/>
        <v>Aluminium foil, not backed, rolled and further worked, of a thickness of &lt; 0,021 mm (excl. stamping foils of heading 3212, and foil made up as christmas tree decorating material)</v>
      </c>
      <c r="C1404" s="1069" t="s">
        <v>2618</v>
      </c>
      <c r="D1404" s="822"/>
      <c r="E1404" s="822"/>
      <c r="F1404" s="822"/>
      <c r="G1404" s="822"/>
      <c r="H1404" s="822"/>
    </row>
    <row r="1405" spans="1:8" ht="12" x14ac:dyDescent="0.3">
      <c r="A1405" s="820">
        <v>1401</v>
      </c>
      <c r="B1405" s="1069" t="str">
        <f t="shared" si="21"/>
        <v>Aluminium foil, not backed, rolled and further worked, of a thickness (excl. any backing) from 0,021 mm to 0,2 mm (excl. stamping foils of heading 3212, and foil made up as christmas tree decorating material)</v>
      </c>
      <c r="C1405" s="1069" t="s">
        <v>2621</v>
      </c>
      <c r="D1405" s="822"/>
      <c r="E1405" s="822"/>
      <c r="F1405" s="822"/>
      <c r="G1405" s="822"/>
      <c r="H1405" s="822"/>
    </row>
    <row r="1406" spans="1:8" ht="12" x14ac:dyDescent="0.3">
      <c r="A1406" s="820">
        <v>1402</v>
      </c>
      <c r="B1406" s="1069" t="str">
        <f t="shared" si="21"/>
        <v>Aluminium foil, backed, of a thickness (excl. any backing) of &lt;= 0,2 mm (excl. stamping foils of heading 3212, and foil made up as christmas tree decorating material)</v>
      </c>
      <c r="C1406" s="1069" t="s">
        <v>2623</v>
      </c>
      <c r="D1406" s="822"/>
      <c r="E1406" s="822"/>
      <c r="F1406" s="822"/>
      <c r="G1406" s="822"/>
      <c r="H1406" s="822"/>
    </row>
    <row r="1407" spans="1:8" ht="12" x14ac:dyDescent="0.3">
      <c r="A1407" s="820">
        <v>1403</v>
      </c>
      <c r="B1407" s="1069" t="str">
        <f t="shared" si="21"/>
        <v>Aluminium foil, backed, of a thickness (excl. any backing) of &lt; 0,021 mm (excl. stamping foils of heading 3212, and foil made up as christmas tree decorating material)</v>
      </c>
      <c r="C1407" s="1069" t="s">
        <v>2626</v>
      </c>
      <c r="D1407" s="822"/>
      <c r="E1407" s="822"/>
      <c r="F1407" s="822"/>
      <c r="G1407" s="822"/>
      <c r="H1407" s="822"/>
    </row>
    <row r="1408" spans="1:8" ht="12" x14ac:dyDescent="0.3">
      <c r="A1408" s="820">
        <v>1404</v>
      </c>
      <c r="B1408" s="1069" t="str">
        <f t="shared" si="21"/>
        <v>Aluminium Composite Panel, of a thickness &lt;= 0,2 mm</v>
      </c>
      <c r="C1408" s="1069" t="s">
        <v>2629</v>
      </c>
      <c r="D1408" s="822"/>
      <c r="E1408" s="822"/>
      <c r="F1408" s="822"/>
      <c r="G1408" s="822"/>
      <c r="H1408" s="822"/>
    </row>
    <row r="1409" spans="1:8" ht="12" x14ac:dyDescent="0.3">
      <c r="A1409" s="820">
        <v>1405</v>
      </c>
      <c r="B1409" s="1069" t="str">
        <f t="shared" si="21"/>
        <v>Aluminium foil, backed, of a thickness (excl. any backing) of &gt;= 0,021 mm but &lt;= 0,2 mm (excl. stamping foils of heading 3212, foil made up as christmas tree decorating material, and Aluminium Composite Panel)</v>
      </c>
      <c r="C1409" s="1069" t="s">
        <v>2632</v>
      </c>
      <c r="D1409" s="822"/>
      <c r="E1409" s="822"/>
      <c r="F1409" s="822"/>
      <c r="G1409" s="822"/>
      <c r="H1409" s="822"/>
    </row>
    <row r="1410" spans="1:8" ht="12" x14ac:dyDescent="0.3">
      <c r="A1410" s="820">
        <v>1406</v>
      </c>
      <c r="B1410" s="1069" t="str">
        <f t="shared" si="21"/>
        <v>Aluminium tubes and pipes (excl. hollow profiles)</v>
      </c>
      <c r="C1410" s="1069" t="s">
        <v>2634</v>
      </c>
      <c r="D1410" s="822"/>
      <c r="E1410" s="822"/>
      <c r="F1410" s="822"/>
      <c r="G1410" s="822"/>
      <c r="H1410" s="822"/>
    </row>
    <row r="1411" spans="1:8" ht="12" x14ac:dyDescent="0.3">
      <c r="A1411" s="820">
        <v>1407</v>
      </c>
      <c r="B1411" s="1069" t="str">
        <f t="shared" si="21"/>
        <v>Tubes and pipes of non-alloy aluminium (excl. hollow profiles)</v>
      </c>
      <c r="C1411" s="1069" t="s">
        <v>2637</v>
      </c>
      <c r="D1411" s="822"/>
      <c r="E1411" s="822"/>
      <c r="F1411" s="822"/>
      <c r="G1411" s="822"/>
      <c r="H1411" s="822"/>
    </row>
    <row r="1412" spans="1:8" ht="12" x14ac:dyDescent="0.3">
      <c r="A1412" s="820">
        <v>1408</v>
      </c>
      <c r="B1412" s="1069" t="str">
        <f t="shared" si="21"/>
        <v>Tubes and pipes of aluminium alloys (excl. hollow profiles)</v>
      </c>
      <c r="C1412" s="1069" t="s">
        <v>2639</v>
      </c>
      <c r="D1412" s="822"/>
      <c r="E1412" s="822"/>
      <c r="F1412" s="822"/>
      <c r="G1412" s="822"/>
      <c r="H1412" s="822"/>
    </row>
    <row r="1413" spans="1:8" ht="12" x14ac:dyDescent="0.3">
      <c r="A1413" s="820">
        <v>1409</v>
      </c>
      <c r="B1413" s="1069" t="str">
        <f t="shared" si="21"/>
        <v>Tubes and pipes of aluminium alloys, welded (excl. hollow profiles)</v>
      </c>
      <c r="C1413" s="1069" t="s">
        <v>2642</v>
      </c>
      <c r="D1413" s="822"/>
      <c r="E1413" s="822"/>
      <c r="F1413" s="822"/>
      <c r="G1413" s="822"/>
      <c r="H1413" s="822"/>
    </row>
    <row r="1414" spans="1:8" ht="12" x14ac:dyDescent="0.3">
      <c r="A1414" s="820">
        <v>1410</v>
      </c>
      <c r="B1414" s="1069" t="str">
        <f t="shared" ref="B1414:B1477" si="22">IFERROR(INDEX(C1414:M1414,$A$3-2),$C1414)</f>
        <v>Tubes and pipes of aluminium alloys, not further worked than extruded (excl. hollow profiles)</v>
      </c>
      <c r="C1414" s="1069" t="s">
        <v>2645</v>
      </c>
      <c r="D1414" s="822"/>
      <c r="E1414" s="822"/>
      <c r="F1414" s="822"/>
      <c r="G1414" s="822"/>
      <c r="H1414" s="822"/>
    </row>
    <row r="1415" spans="1:8" ht="12" x14ac:dyDescent="0.3">
      <c r="A1415" s="820">
        <v>1411</v>
      </c>
      <c r="B1415" s="1069" t="str">
        <f t="shared" si="22"/>
        <v>Tubes and pipes of aluminium alloys (excl. such products welded or not further worked than extruded, and hollow profiles)</v>
      </c>
      <c r="C1415" s="1069" t="s">
        <v>2648</v>
      </c>
      <c r="D1415" s="822"/>
      <c r="E1415" s="822"/>
      <c r="F1415" s="822"/>
      <c r="G1415" s="822"/>
      <c r="H1415" s="822"/>
    </row>
    <row r="1416" spans="1:8" ht="12" x14ac:dyDescent="0.3">
      <c r="A1416" s="820">
        <v>1412</v>
      </c>
      <c r="B1416" s="1069" t="str">
        <f t="shared" si="22"/>
        <v>Aluminium tube or pipe fittings "e.g., couplings, elbows, sleeves"</v>
      </c>
      <c r="C1416" s="1069" t="s">
        <v>2651</v>
      </c>
      <c r="D1416" s="822"/>
      <c r="E1416" s="822"/>
      <c r="F1416" s="822"/>
      <c r="G1416" s="822"/>
      <c r="H1416" s="822"/>
    </row>
    <row r="1417" spans="1:8" ht="12" x14ac:dyDescent="0.3">
      <c r="A1417" s="820">
        <v>1413</v>
      </c>
      <c r="B1417" s="1069" t="str">
        <f t="shared" si="22"/>
        <v>Structures and parts of structures "e.g., bridges and bridge-sections, towers, lattice masts, pillars and columns, roofs, roofing frameworks, doors and windows and their frames and thresholds for doors, shutters, balustrades", of aluminium (excl. prefabricated buildings of heading 9406); plates, rods, profiles, tubes and the like, prepared for use in structures, of aluminium</v>
      </c>
      <c r="C1417" s="1069" t="s">
        <v>2653</v>
      </c>
      <c r="D1417" s="822"/>
      <c r="E1417" s="822"/>
      <c r="F1417" s="822"/>
      <c r="G1417" s="822"/>
      <c r="H1417" s="822"/>
    </row>
    <row r="1418" spans="1:8" ht="12" x14ac:dyDescent="0.3">
      <c r="A1418" s="820">
        <v>1414</v>
      </c>
      <c r="B1418" s="1069" t="str">
        <f t="shared" si="22"/>
        <v>Doors, windows and their frames and thresholds for door, of aluminium (excl. door furniture)</v>
      </c>
      <c r="C1418" s="1069" t="s">
        <v>2656</v>
      </c>
      <c r="D1418" s="822"/>
      <c r="E1418" s="822"/>
      <c r="F1418" s="822"/>
      <c r="G1418" s="822"/>
      <c r="H1418" s="822"/>
    </row>
    <row r="1419" spans="1:8" ht="12" x14ac:dyDescent="0.3">
      <c r="A1419" s="820">
        <v>1415</v>
      </c>
      <c r="B1419" s="1069" t="str">
        <f t="shared" si="22"/>
        <v>Structures and parts of structures, of aluminium, n.e.s., and plates, rods, profiles, tubes and the like, prepared for use in structures, of aluminium, n.e.s. (excl. prefabricated buildings of heading 9406, doors and windows and their frames and thresholds for doors)</v>
      </c>
      <c r="C1419" s="1069" t="s">
        <v>2658</v>
      </c>
      <c r="D1419" s="822"/>
      <c r="E1419" s="822"/>
      <c r="F1419" s="822"/>
      <c r="G1419" s="822"/>
      <c r="H1419" s="822"/>
    </row>
    <row r="1420" spans="1:8" ht="12" x14ac:dyDescent="0.3">
      <c r="A1420" s="820">
        <v>1416</v>
      </c>
      <c r="B1420" s="1069" t="str">
        <f t="shared" si="22"/>
        <v>Bridges and bridge-sections, towers and lattice masts, of aluminium</v>
      </c>
      <c r="C1420" s="1069" t="s">
        <v>2661</v>
      </c>
      <c r="D1420" s="822"/>
      <c r="E1420" s="822"/>
      <c r="F1420" s="822"/>
      <c r="G1420" s="822"/>
      <c r="H1420" s="822"/>
    </row>
    <row r="1421" spans="1:8" ht="12" x14ac:dyDescent="0.3">
      <c r="A1421" s="820">
        <v>1417</v>
      </c>
      <c r="B1421" s="1069" t="str">
        <f t="shared" si="22"/>
        <v>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v>
      </c>
      <c r="C1421" s="1069" t="s">
        <v>2664</v>
      </c>
      <c r="D1421" s="822"/>
      <c r="E1421" s="822"/>
      <c r="F1421" s="822"/>
      <c r="G1421" s="822"/>
      <c r="H1421" s="822"/>
    </row>
    <row r="1422" spans="1:8" ht="12" x14ac:dyDescent="0.3">
      <c r="A1422" s="820">
        <v>1418</v>
      </c>
      <c r="B1422" s="1069" t="str">
        <f t="shared" si="22"/>
        <v>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v>
      </c>
      <c r="C1422" s="1069" t="s">
        <v>2667</v>
      </c>
      <c r="D1422" s="822"/>
      <c r="E1422" s="822"/>
      <c r="F1422" s="822"/>
      <c r="G1422" s="822"/>
      <c r="H1422" s="822"/>
    </row>
    <row r="1423" spans="1:8" ht="12" x14ac:dyDescent="0.3">
      <c r="A1423" s="820">
        <v>1419</v>
      </c>
      <c r="B1423" s="1069" t="str">
        <f t="shared" si="22"/>
        <v>Casks, drums, cans, boxes and similar containers, incl. rigid or collapsible tubular containers, of aluminium, for any material (other than compressed or liquefied gas), of a capacity of &lt;= 300 l, not fitted with mechanical or thermal equipment, whether or not lined or heat-insulated, n.e.s.</v>
      </c>
      <c r="C1423" s="1069" t="s">
        <v>2669</v>
      </c>
      <c r="D1423" s="822"/>
      <c r="E1423" s="822"/>
      <c r="F1423" s="822"/>
      <c r="G1423" s="822"/>
      <c r="H1423" s="822"/>
    </row>
    <row r="1424" spans="1:8" ht="12" x14ac:dyDescent="0.3">
      <c r="A1424" s="820">
        <v>1420</v>
      </c>
      <c r="B1424" s="1069" t="str">
        <f t="shared" si="22"/>
        <v>Collapsible tubular containers, of aluminium</v>
      </c>
      <c r="C1424" s="1069" t="s">
        <v>2672</v>
      </c>
      <c r="D1424" s="822"/>
      <c r="E1424" s="822"/>
      <c r="F1424" s="822"/>
      <c r="G1424" s="822"/>
      <c r="H1424" s="822"/>
    </row>
    <row r="1425" spans="1:8" ht="12" x14ac:dyDescent="0.3">
      <c r="A1425" s="820">
        <v>1421</v>
      </c>
      <c r="B1425" s="1069" t="str">
        <f t="shared" si="22"/>
        <v>Casks, drums, cans, boxes and similar containers, incl. rigid tubular containers, of aluminium, for any material (other than compressed or liquefied gas), of a capacity of &lt;= 300 l, n.e.s.</v>
      </c>
      <c r="C1425" s="1069" t="s">
        <v>2674</v>
      </c>
      <c r="D1425" s="822"/>
      <c r="E1425" s="822"/>
      <c r="F1425" s="822"/>
      <c r="G1425" s="822"/>
      <c r="H1425" s="822"/>
    </row>
    <row r="1426" spans="1:8" ht="12" x14ac:dyDescent="0.3">
      <c r="A1426" s="820">
        <v>1422</v>
      </c>
      <c r="B1426" s="1069" t="str">
        <f t="shared" si="22"/>
        <v>Containers of a kind used for aerosols, of aluminium</v>
      </c>
      <c r="C1426" s="1069" t="s">
        <v>2677</v>
      </c>
      <c r="D1426" s="822"/>
      <c r="E1426" s="822"/>
      <c r="F1426" s="822"/>
      <c r="G1426" s="822"/>
      <c r="H1426" s="822"/>
    </row>
    <row r="1427" spans="1:8" ht="12" x14ac:dyDescent="0.3">
      <c r="A1427" s="820">
        <v>1423</v>
      </c>
      <c r="B1427" s="1069" t="str">
        <f t="shared" si="22"/>
        <v>Casks, drums, cans, boxes and similar containers, of aluminium, manufactured from foil of a thickness &lt;= 0,2 mm</v>
      </c>
      <c r="C1427" s="1069" t="s">
        <v>2680</v>
      </c>
      <c r="D1427" s="822"/>
      <c r="E1427" s="822"/>
      <c r="F1427" s="822"/>
      <c r="G1427" s="822"/>
      <c r="H1427" s="822"/>
    </row>
    <row r="1428" spans="1:8" ht="12" x14ac:dyDescent="0.3">
      <c r="A1428" s="820">
        <v>1424</v>
      </c>
      <c r="B1428" s="1069" t="str">
        <f t="shared" si="22"/>
        <v>Casks, drums, cans, boxes and similar containers &lt;= 300 l, of aluminium, for any material (other than compressed or liquefied gas), n.e.s. (other than collapsible tubular containers, containers for aerosols and containers manufactured from foil of a thickness &lt;= 0,2 mm</v>
      </c>
      <c r="C1428" s="1069" t="s">
        <v>2683</v>
      </c>
      <c r="D1428" s="822"/>
      <c r="E1428" s="822"/>
      <c r="F1428" s="822"/>
      <c r="G1428" s="822"/>
      <c r="H1428" s="822"/>
    </row>
    <row r="1429" spans="1:8" ht="12" x14ac:dyDescent="0.3">
      <c r="A1429" s="820">
        <v>1425</v>
      </c>
      <c r="B1429" s="1069" t="str">
        <f t="shared" si="22"/>
        <v>Aluminium containers for compressed or liquefied gas</v>
      </c>
      <c r="C1429" s="1069" t="s">
        <v>2686</v>
      </c>
      <c r="D1429" s="822"/>
      <c r="E1429" s="822"/>
      <c r="F1429" s="822"/>
      <c r="G1429" s="822"/>
      <c r="H1429" s="822"/>
    </row>
    <row r="1430" spans="1:8" ht="12" x14ac:dyDescent="0.3">
      <c r="A1430" s="820">
        <v>1426</v>
      </c>
      <c r="B1430" s="1069" t="str">
        <f t="shared" si="22"/>
        <v>Stranded wire, cables, plaited bands and the like, of aluminium (excl. such products electrically insulated)</v>
      </c>
      <c r="C1430" s="1069" t="s">
        <v>2688</v>
      </c>
      <c r="D1430" s="822"/>
      <c r="E1430" s="822"/>
      <c r="F1430" s="822"/>
      <c r="G1430" s="822"/>
      <c r="H1430" s="822"/>
    </row>
    <row r="1431" spans="1:8" ht="12" x14ac:dyDescent="0.3">
      <c r="A1431" s="820">
        <v>1427</v>
      </c>
      <c r="B1431" s="1069" t="str">
        <f t="shared" si="22"/>
        <v>Stranded wire, cables, plaited bands and the like, of aluminium, with steel core (excl. such products electrically insulated)</v>
      </c>
      <c r="C1431" s="1069" t="s">
        <v>2691</v>
      </c>
      <c r="D1431" s="822"/>
      <c r="E1431" s="822"/>
      <c r="F1431" s="822"/>
      <c r="G1431" s="822"/>
      <c r="H1431" s="822"/>
    </row>
    <row r="1432" spans="1:8" ht="12" x14ac:dyDescent="0.3">
      <c r="A1432" s="820">
        <v>1428</v>
      </c>
      <c r="B1432" s="1069" t="str">
        <f t="shared" si="22"/>
        <v>Stranded wires, cables, ropes and similar articles, of aluminium (other than with steel core and electrically insulated products)</v>
      </c>
      <c r="C1432" s="1069" t="s">
        <v>2694</v>
      </c>
      <c r="D1432" s="822"/>
      <c r="E1432" s="822"/>
      <c r="F1432" s="822"/>
      <c r="G1432" s="822"/>
      <c r="H1432" s="822"/>
    </row>
    <row r="1433" spans="1:8" ht="12" x14ac:dyDescent="0.3">
      <c r="A1433" s="820">
        <v>1429</v>
      </c>
      <c r="B1433" s="1069" t="str">
        <f t="shared" si="22"/>
        <v>Articles of aluminium, n.e.s.</v>
      </c>
      <c r="C1433" s="1069" t="s">
        <v>2696</v>
      </c>
      <c r="D1433" s="822"/>
      <c r="E1433" s="822"/>
      <c r="F1433" s="822"/>
      <c r="G1433" s="822"/>
      <c r="H1433" s="822"/>
    </row>
    <row r="1434" spans="1:8" ht="12" x14ac:dyDescent="0.3">
      <c r="A1434" s="820">
        <v>1430</v>
      </c>
      <c r="B1434" s="1069" t="str">
        <f t="shared" si="22"/>
        <v>Nails, tacks, staples, screws, bolts, nuts, screw hooks, rivets, cotters, cotter pins, washers and similar articles, of aluminium (excl. staples in strips, plugs, bungs and the like, threaded)</v>
      </c>
      <c r="C1434" s="1069" t="s">
        <v>2699</v>
      </c>
      <c r="D1434" s="822"/>
      <c r="E1434" s="822"/>
      <c r="F1434" s="822"/>
      <c r="G1434" s="822"/>
      <c r="H1434" s="822"/>
    </row>
    <row r="1435" spans="1:8" ht="12" x14ac:dyDescent="0.3">
      <c r="A1435" s="820">
        <v>1431</v>
      </c>
      <c r="B1435" s="1069" t="str">
        <f t="shared" si="22"/>
        <v>Cloth, grill, netting and fencing, of aluminium wire (excl. cloth of metal fibres for clothing, lining and similar uses, and cloth, grill and netting made into hand sieves or machine parts)</v>
      </c>
      <c r="C1435" s="1069" t="s">
        <v>2702</v>
      </c>
      <c r="D1435" s="822"/>
      <c r="E1435" s="822"/>
      <c r="F1435" s="822"/>
      <c r="G1435" s="822"/>
      <c r="H1435" s="822"/>
    </row>
    <row r="1436" spans="1:8" ht="12" x14ac:dyDescent="0.3">
      <c r="A1436" s="820">
        <v>1432</v>
      </c>
      <c r="B1436" s="1069" t="str">
        <f t="shared" si="22"/>
        <v>Articles of aluminium, cast, n.e.s.</v>
      </c>
      <c r="C1436" s="1069" t="s">
        <v>2706</v>
      </c>
      <c r="D1436" s="822"/>
      <c r="E1436" s="822"/>
      <c r="F1436" s="822"/>
      <c r="G1436" s="822"/>
      <c r="H1436" s="822"/>
    </row>
    <row r="1437" spans="1:8" ht="12" x14ac:dyDescent="0.3">
      <c r="A1437" s="820">
        <v>1433</v>
      </c>
      <c r="B1437" s="1069" t="str">
        <f t="shared" si="22"/>
        <v>Articles of aluminium, uncast, n.e.s.</v>
      </c>
      <c r="C1437" s="1069" t="s">
        <v>2709</v>
      </c>
      <c r="D1437" s="822"/>
      <c r="E1437" s="822"/>
      <c r="F1437" s="822"/>
      <c r="G1437" s="822"/>
      <c r="H1437" s="822"/>
    </row>
    <row r="1438" spans="1:8" x14ac:dyDescent="0.25">
      <c r="A1438" s="820">
        <v>1434</v>
      </c>
      <c r="B1438" s="1085" t="str">
        <f t="shared" si="22"/>
        <v>Code Lists</v>
      </c>
      <c r="C1438" s="1070" t="s">
        <v>3883</v>
      </c>
      <c r="D1438" s="822"/>
      <c r="E1438" s="822"/>
      <c r="F1438" s="822"/>
      <c r="G1438" s="822"/>
      <c r="H1438" s="822"/>
    </row>
    <row r="1439" spans="1:8" x14ac:dyDescent="0.25">
      <c r="A1439" s="820">
        <v>1435</v>
      </c>
      <c r="B1439" s="1085" t="str">
        <f t="shared" si="22"/>
        <v>Sheet "Code Lists"</v>
      </c>
      <c r="C1439" s="1070" t="s">
        <v>3882</v>
      </c>
      <c r="D1439" s="822"/>
      <c r="E1439" s="822"/>
      <c r="F1439" s="822"/>
      <c r="G1439" s="822"/>
      <c r="H1439" s="822"/>
    </row>
    <row r="1440" spans="1:8" x14ac:dyDescent="0.25">
      <c r="A1440" s="820">
        <v>1436</v>
      </c>
      <c r="B1440" s="1085" t="str">
        <f t="shared" si="22"/>
        <v>Countries &amp; Currencies</v>
      </c>
      <c r="C1440" s="1070" t="s">
        <v>3873</v>
      </c>
      <c r="D1440" s="822"/>
      <c r="E1440" s="822"/>
      <c r="F1440" s="822"/>
      <c r="G1440" s="822"/>
      <c r="H1440" s="822"/>
    </row>
    <row r="1441" spans="1:8" x14ac:dyDescent="0.25">
      <c r="A1441" s="820">
        <v>1437</v>
      </c>
      <c r="B1441" s="1085" t="str">
        <f t="shared" si="22"/>
        <v>Code</v>
      </c>
      <c r="C1441" s="1070" t="s">
        <v>3866</v>
      </c>
      <c r="D1441" s="822"/>
      <c r="E1441" s="822"/>
      <c r="F1441" s="822"/>
      <c r="G1441" s="822"/>
      <c r="H1441" s="822"/>
    </row>
    <row r="1442" spans="1:8" x14ac:dyDescent="0.25">
      <c r="A1442" s="820">
        <v>1438</v>
      </c>
      <c r="B1442" s="1085" t="str">
        <f t="shared" si="22"/>
        <v>Country Name</v>
      </c>
      <c r="C1442" s="1070" t="s">
        <v>3867</v>
      </c>
      <c r="D1442" s="822"/>
      <c r="E1442" s="822"/>
      <c r="F1442" s="822"/>
      <c r="G1442" s="822"/>
      <c r="H1442" s="822"/>
    </row>
    <row r="1443" spans="1:8" x14ac:dyDescent="0.25">
      <c r="A1443" s="820">
        <v>1439</v>
      </c>
      <c r="B1443" s="1085" t="str">
        <f t="shared" si="22"/>
        <v>Currency Name</v>
      </c>
      <c r="C1443" s="1070" t="s">
        <v>3868</v>
      </c>
      <c r="D1443" s="822"/>
      <c r="E1443" s="822"/>
      <c r="F1443" s="822"/>
      <c r="G1443" s="822"/>
      <c r="H1443" s="822"/>
    </row>
    <row r="1444" spans="1:8" x14ac:dyDescent="0.25">
      <c r="A1444" s="820">
        <v>1440</v>
      </c>
      <c r="B1444" s="1085" t="str">
        <f t="shared" si="22"/>
        <v>Andorra</v>
      </c>
      <c r="C1444" s="1070" t="s">
        <v>3066</v>
      </c>
      <c r="D1444" s="822"/>
      <c r="E1444" s="822"/>
      <c r="F1444" s="822"/>
      <c r="G1444" s="822"/>
      <c r="H1444" s="822"/>
    </row>
    <row r="1445" spans="1:8" x14ac:dyDescent="0.25">
      <c r="A1445" s="820">
        <v>1441</v>
      </c>
      <c r="B1445" s="1085" t="str">
        <f t="shared" si="22"/>
        <v>UAE Dirham</v>
      </c>
      <c r="C1445" s="1070" t="s">
        <v>3536</v>
      </c>
      <c r="D1445" s="822"/>
      <c r="E1445" s="822"/>
      <c r="F1445" s="822"/>
      <c r="G1445" s="822"/>
      <c r="H1445" s="822"/>
    </row>
    <row r="1446" spans="1:8" x14ac:dyDescent="0.25">
      <c r="A1446" s="820">
        <v>1442</v>
      </c>
      <c r="B1446" s="1085" t="str">
        <f t="shared" si="22"/>
        <v>United Arab Emirates</v>
      </c>
      <c r="C1446" s="1070" t="s">
        <v>3067</v>
      </c>
      <c r="D1446" s="822"/>
      <c r="E1446" s="822"/>
      <c r="F1446" s="822"/>
      <c r="G1446" s="822"/>
      <c r="H1446" s="822"/>
    </row>
    <row r="1447" spans="1:8" x14ac:dyDescent="0.25">
      <c r="A1447" s="820">
        <v>1443</v>
      </c>
      <c r="B1447" s="1085" t="str">
        <f t="shared" si="22"/>
        <v>Afghani</v>
      </c>
      <c r="C1447" s="1070" t="s">
        <v>3538</v>
      </c>
      <c r="D1447" s="822"/>
      <c r="E1447" s="822"/>
      <c r="F1447" s="822"/>
      <c r="G1447" s="822"/>
      <c r="H1447" s="822"/>
    </row>
    <row r="1448" spans="1:8" x14ac:dyDescent="0.25">
      <c r="A1448" s="820">
        <v>1444</v>
      </c>
      <c r="B1448" s="1085" t="str">
        <f t="shared" si="22"/>
        <v>Afghanistan</v>
      </c>
      <c r="C1448" s="1070" t="s">
        <v>3068</v>
      </c>
      <c r="D1448" s="822"/>
      <c r="E1448" s="822"/>
      <c r="F1448" s="822"/>
      <c r="G1448" s="822"/>
      <c r="H1448" s="822"/>
    </row>
    <row r="1449" spans="1:8" x14ac:dyDescent="0.25">
      <c r="A1449" s="820">
        <v>1445</v>
      </c>
      <c r="B1449" s="1085" t="str">
        <f t="shared" si="22"/>
        <v>Lek</v>
      </c>
      <c r="C1449" s="1070" t="s">
        <v>3540</v>
      </c>
      <c r="D1449" s="822"/>
      <c r="E1449" s="822"/>
      <c r="F1449" s="822"/>
      <c r="G1449" s="822"/>
      <c r="H1449" s="822"/>
    </row>
    <row r="1450" spans="1:8" x14ac:dyDescent="0.25">
      <c r="A1450" s="820">
        <v>1446</v>
      </c>
      <c r="B1450" s="1085" t="str">
        <f t="shared" si="22"/>
        <v>Antigua and Barbuda</v>
      </c>
      <c r="C1450" s="1070" t="s">
        <v>3069</v>
      </c>
      <c r="D1450" s="822"/>
      <c r="E1450" s="822"/>
      <c r="F1450" s="822"/>
      <c r="G1450" s="822"/>
      <c r="H1450" s="822"/>
    </row>
    <row r="1451" spans="1:8" x14ac:dyDescent="0.25">
      <c r="A1451" s="820">
        <v>1447</v>
      </c>
      <c r="B1451" s="1085" t="str">
        <f t="shared" si="22"/>
        <v>Armenian Dram</v>
      </c>
      <c r="C1451" s="1070" t="s">
        <v>3542</v>
      </c>
      <c r="D1451" s="822"/>
      <c r="E1451" s="822"/>
      <c r="F1451" s="822"/>
      <c r="G1451" s="822"/>
      <c r="H1451" s="822"/>
    </row>
    <row r="1452" spans="1:8" x14ac:dyDescent="0.25">
      <c r="A1452" s="820">
        <v>1448</v>
      </c>
      <c r="B1452" s="1085" t="str">
        <f t="shared" si="22"/>
        <v>Anguilla</v>
      </c>
      <c r="C1452" s="1070" t="s">
        <v>3070</v>
      </c>
      <c r="D1452" s="822"/>
      <c r="E1452" s="822"/>
      <c r="F1452" s="822"/>
      <c r="G1452" s="822"/>
      <c r="H1452" s="822"/>
    </row>
    <row r="1453" spans="1:8" x14ac:dyDescent="0.25">
      <c r="A1453" s="820">
        <v>1449</v>
      </c>
      <c r="B1453" s="1085" t="str">
        <f t="shared" si="22"/>
        <v>Netherlands Antillean Guilder</v>
      </c>
      <c r="C1453" s="1070" t="s">
        <v>3544</v>
      </c>
      <c r="D1453" s="822"/>
      <c r="E1453" s="822"/>
      <c r="F1453" s="822"/>
      <c r="G1453" s="822"/>
      <c r="H1453" s="822"/>
    </row>
    <row r="1454" spans="1:8" x14ac:dyDescent="0.25">
      <c r="A1454" s="820">
        <v>1450</v>
      </c>
      <c r="B1454" s="1085" t="str">
        <f t="shared" si="22"/>
        <v>Albania</v>
      </c>
      <c r="C1454" s="1070" t="s">
        <v>3071</v>
      </c>
      <c r="D1454" s="822"/>
      <c r="E1454" s="822"/>
      <c r="F1454" s="822"/>
      <c r="G1454" s="822"/>
      <c r="H1454" s="822"/>
    </row>
    <row r="1455" spans="1:8" x14ac:dyDescent="0.25">
      <c r="A1455" s="820">
        <v>1451</v>
      </c>
      <c r="B1455" s="1085" t="str">
        <f t="shared" si="22"/>
        <v>Kwanza</v>
      </c>
      <c r="C1455" s="1070" t="s">
        <v>3546</v>
      </c>
      <c r="D1455" s="822"/>
      <c r="E1455" s="822"/>
      <c r="F1455" s="822"/>
      <c r="G1455" s="822"/>
      <c r="H1455" s="822"/>
    </row>
    <row r="1456" spans="1:8" x14ac:dyDescent="0.25">
      <c r="A1456" s="820">
        <v>1452</v>
      </c>
      <c r="B1456" s="1085" t="str">
        <f t="shared" si="22"/>
        <v>Armenia</v>
      </c>
      <c r="C1456" s="1070" t="s">
        <v>3072</v>
      </c>
      <c r="D1456" s="822"/>
      <c r="E1456" s="822"/>
      <c r="F1456" s="822"/>
      <c r="G1456" s="822"/>
      <c r="H1456" s="822"/>
    </row>
    <row r="1457" spans="1:8" x14ac:dyDescent="0.25">
      <c r="A1457" s="820">
        <v>1453</v>
      </c>
      <c r="B1457" s="1085" t="str">
        <f t="shared" si="22"/>
        <v>Argentine Peso</v>
      </c>
      <c r="C1457" s="1070" t="s">
        <v>3548</v>
      </c>
      <c r="D1457" s="822"/>
      <c r="E1457" s="822"/>
      <c r="F1457" s="822"/>
      <c r="G1457" s="822"/>
      <c r="H1457" s="822"/>
    </row>
    <row r="1458" spans="1:8" x14ac:dyDescent="0.25">
      <c r="A1458" s="820">
        <v>1454</v>
      </c>
      <c r="B1458" s="1085" t="str">
        <f t="shared" si="22"/>
        <v>Netherlands Antilles</v>
      </c>
      <c r="C1458" s="1070" t="s">
        <v>3073</v>
      </c>
      <c r="D1458" s="822"/>
      <c r="E1458" s="822"/>
      <c r="F1458" s="822"/>
      <c r="G1458" s="822"/>
      <c r="H1458" s="822"/>
    </row>
    <row r="1459" spans="1:8" x14ac:dyDescent="0.25">
      <c r="A1459" s="820">
        <v>1455</v>
      </c>
      <c r="B1459" s="1085" t="str">
        <f t="shared" si="22"/>
        <v>Australian Dollar</v>
      </c>
      <c r="C1459" s="1070" t="s">
        <v>3550</v>
      </c>
      <c r="D1459" s="822"/>
      <c r="E1459" s="822"/>
      <c r="F1459" s="822"/>
      <c r="G1459" s="822"/>
      <c r="H1459" s="822"/>
    </row>
    <row r="1460" spans="1:8" x14ac:dyDescent="0.25">
      <c r="A1460" s="820">
        <v>1456</v>
      </c>
      <c r="B1460" s="1085" t="str">
        <f t="shared" si="22"/>
        <v>Angola</v>
      </c>
      <c r="C1460" s="1070" t="s">
        <v>3074</v>
      </c>
      <c r="D1460" s="822"/>
      <c r="E1460" s="822"/>
      <c r="F1460" s="822"/>
      <c r="G1460" s="822"/>
      <c r="H1460" s="822"/>
    </row>
    <row r="1461" spans="1:8" x14ac:dyDescent="0.25">
      <c r="A1461" s="820">
        <v>1457</v>
      </c>
      <c r="B1461" s="1085" t="str">
        <f t="shared" si="22"/>
        <v>Aruban Florin</v>
      </c>
      <c r="C1461" s="1070" t="s">
        <v>3552</v>
      </c>
      <c r="D1461" s="822"/>
      <c r="E1461" s="822"/>
      <c r="F1461" s="822"/>
      <c r="G1461" s="822"/>
      <c r="H1461" s="822"/>
    </row>
    <row r="1462" spans="1:8" x14ac:dyDescent="0.25">
      <c r="A1462" s="820">
        <v>1458</v>
      </c>
      <c r="B1462" s="1085" t="str">
        <f t="shared" si="22"/>
        <v>Antarctica</v>
      </c>
      <c r="C1462" s="1070" t="s">
        <v>3075</v>
      </c>
      <c r="D1462" s="822"/>
      <c r="E1462" s="822"/>
      <c r="F1462" s="822"/>
      <c r="G1462" s="822"/>
      <c r="H1462" s="822"/>
    </row>
    <row r="1463" spans="1:8" x14ac:dyDescent="0.25">
      <c r="A1463" s="820">
        <v>1459</v>
      </c>
      <c r="B1463" s="1085" t="str">
        <f t="shared" si="22"/>
        <v>Azerbaijan Manat</v>
      </c>
      <c r="C1463" s="1070" t="s">
        <v>3554</v>
      </c>
      <c r="D1463" s="822"/>
      <c r="E1463" s="822"/>
      <c r="F1463" s="822"/>
      <c r="G1463" s="822"/>
      <c r="H1463" s="822"/>
    </row>
    <row r="1464" spans="1:8" x14ac:dyDescent="0.25">
      <c r="A1464" s="820">
        <v>1460</v>
      </c>
      <c r="B1464" s="1085" t="str">
        <f t="shared" si="22"/>
        <v>Argentina</v>
      </c>
      <c r="C1464" s="1070" t="s">
        <v>3076</v>
      </c>
      <c r="D1464" s="822"/>
      <c r="E1464" s="822"/>
      <c r="F1464" s="822"/>
      <c r="G1464" s="822"/>
      <c r="H1464" s="822"/>
    </row>
    <row r="1465" spans="1:8" x14ac:dyDescent="0.25">
      <c r="A1465" s="820">
        <v>1461</v>
      </c>
      <c r="B1465" s="1085" t="str">
        <f t="shared" si="22"/>
        <v>Convertible Mark</v>
      </c>
      <c r="C1465" s="1070" t="s">
        <v>3556</v>
      </c>
      <c r="D1465" s="822"/>
      <c r="E1465" s="822"/>
      <c r="F1465" s="822"/>
      <c r="G1465" s="822"/>
      <c r="H1465" s="822"/>
    </row>
    <row r="1466" spans="1:8" x14ac:dyDescent="0.25">
      <c r="A1466" s="820">
        <v>1462</v>
      </c>
      <c r="B1466" s="1085" t="str">
        <f t="shared" si="22"/>
        <v>American Samoa</v>
      </c>
      <c r="C1466" s="1070" t="s">
        <v>3077</v>
      </c>
      <c r="D1466" s="822"/>
      <c r="E1466" s="822"/>
      <c r="F1466" s="822"/>
      <c r="G1466" s="822"/>
      <c r="H1466" s="822"/>
    </row>
    <row r="1467" spans="1:8" x14ac:dyDescent="0.25">
      <c r="A1467" s="820">
        <v>1463</v>
      </c>
      <c r="B1467" s="1085" t="str">
        <f t="shared" si="22"/>
        <v>Barbados Dollar</v>
      </c>
      <c r="C1467" s="1070" t="s">
        <v>3558</v>
      </c>
      <c r="D1467" s="822"/>
      <c r="E1467" s="822"/>
      <c r="F1467" s="822"/>
      <c r="G1467" s="822"/>
      <c r="H1467" s="822"/>
    </row>
    <row r="1468" spans="1:8" x14ac:dyDescent="0.25">
      <c r="A1468" s="820">
        <v>1464</v>
      </c>
      <c r="B1468" s="1085" t="str">
        <f t="shared" si="22"/>
        <v>Taka</v>
      </c>
      <c r="C1468" s="1070" t="s">
        <v>3560</v>
      </c>
      <c r="D1468" s="822"/>
      <c r="E1468" s="822"/>
      <c r="F1468" s="822"/>
      <c r="G1468" s="822"/>
      <c r="H1468" s="822"/>
    </row>
    <row r="1469" spans="1:8" x14ac:dyDescent="0.25">
      <c r="A1469" s="820">
        <v>1465</v>
      </c>
      <c r="B1469" s="1085" t="str">
        <f t="shared" si="22"/>
        <v>Australia</v>
      </c>
      <c r="C1469" s="1070" t="s">
        <v>3078</v>
      </c>
      <c r="D1469" s="822"/>
      <c r="E1469" s="822"/>
      <c r="F1469" s="822"/>
      <c r="G1469" s="822"/>
      <c r="H1469" s="822"/>
    </row>
    <row r="1470" spans="1:8" x14ac:dyDescent="0.25">
      <c r="A1470" s="820">
        <v>1466</v>
      </c>
      <c r="B1470" s="1085" t="str">
        <f t="shared" si="22"/>
        <v>Bulgarian Lev</v>
      </c>
      <c r="C1470" s="1070" t="s">
        <v>3562</v>
      </c>
      <c r="D1470" s="822"/>
      <c r="E1470" s="822"/>
      <c r="F1470" s="822"/>
      <c r="G1470" s="822"/>
      <c r="H1470" s="822"/>
    </row>
    <row r="1471" spans="1:8" x14ac:dyDescent="0.25">
      <c r="A1471" s="820">
        <v>1467</v>
      </c>
      <c r="B1471" s="1085" t="str">
        <f t="shared" si="22"/>
        <v>Aruba</v>
      </c>
      <c r="C1471" s="1070" t="s">
        <v>3079</v>
      </c>
      <c r="D1471" s="822"/>
      <c r="E1471" s="822"/>
      <c r="F1471" s="822"/>
      <c r="G1471" s="822"/>
      <c r="H1471" s="822"/>
    </row>
    <row r="1472" spans="1:8" x14ac:dyDescent="0.25">
      <c r="A1472" s="820">
        <v>1468</v>
      </c>
      <c r="B1472" s="1085" t="str">
        <f t="shared" si="22"/>
        <v>Bahraini Dinar</v>
      </c>
      <c r="C1472" s="1070" t="s">
        <v>3564</v>
      </c>
      <c r="D1472" s="822"/>
      <c r="E1472" s="822"/>
      <c r="F1472" s="822"/>
      <c r="G1472" s="822"/>
      <c r="H1472" s="822"/>
    </row>
    <row r="1473" spans="1:8" x14ac:dyDescent="0.25">
      <c r="A1473" s="820">
        <v>1469</v>
      </c>
      <c r="B1473" s="1085" t="str">
        <f t="shared" si="22"/>
        <v>ÅLAND ISLANDS</v>
      </c>
      <c r="C1473" s="1070" t="s">
        <v>3080</v>
      </c>
      <c r="D1473" s="822"/>
      <c r="E1473" s="822"/>
      <c r="F1473" s="822"/>
      <c r="G1473" s="822"/>
      <c r="H1473" s="822"/>
    </row>
    <row r="1474" spans="1:8" x14ac:dyDescent="0.25">
      <c r="A1474" s="820">
        <v>1470</v>
      </c>
      <c r="B1474" s="1085" t="str">
        <f t="shared" si="22"/>
        <v>Burundi Franc</v>
      </c>
      <c r="C1474" s="1070" t="s">
        <v>3566</v>
      </c>
      <c r="D1474" s="822"/>
      <c r="E1474" s="822"/>
      <c r="F1474" s="822"/>
      <c r="G1474" s="822"/>
      <c r="H1474" s="822"/>
    </row>
    <row r="1475" spans="1:8" x14ac:dyDescent="0.25">
      <c r="A1475" s="820">
        <v>1471</v>
      </c>
      <c r="B1475" s="1085" t="str">
        <f t="shared" si="22"/>
        <v>Azerbaijan</v>
      </c>
      <c r="C1475" s="1070" t="s">
        <v>3081</v>
      </c>
      <c r="D1475" s="822"/>
      <c r="E1475" s="822"/>
      <c r="F1475" s="822"/>
      <c r="G1475" s="822"/>
      <c r="H1475" s="822"/>
    </row>
    <row r="1476" spans="1:8" x14ac:dyDescent="0.25">
      <c r="A1476" s="820">
        <v>1472</v>
      </c>
      <c r="B1476" s="1085" t="str">
        <f t="shared" si="22"/>
        <v>Bermudian Dollar</v>
      </c>
      <c r="C1476" s="1070" t="s">
        <v>3568</v>
      </c>
      <c r="D1476" s="822"/>
      <c r="E1476" s="822"/>
      <c r="F1476" s="822"/>
      <c r="G1476" s="822"/>
      <c r="H1476" s="822"/>
    </row>
    <row r="1477" spans="1:8" x14ac:dyDescent="0.25">
      <c r="A1477" s="820">
        <v>1473</v>
      </c>
      <c r="B1477" s="1085" t="str">
        <f t="shared" si="22"/>
        <v>Bosnia and Herzegovina</v>
      </c>
      <c r="C1477" s="1070" t="s">
        <v>3082</v>
      </c>
      <c r="D1477" s="822"/>
      <c r="E1477" s="822"/>
      <c r="F1477" s="822"/>
      <c r="G1477" s="822"/>
      <c r="H1477" s="822"/>
    </row>
    <row r="1478" spans="1:8" x14ac:dyDescent="0.25">
      <c r="A1478" s="820">
        <v>1474</v>
      </c>
      <c r="B1478" s="1085" t="str">
        <f t="shared" ref="B1478:B1541" si="23">IFERROR(INDEX(C1478:M1478,$A$3-2),$C1478)</f>
        <v>Brunei Dollar</v>
      </c>
      <c r="C1478" s="1070" t="s">
        <v>3570</v>
      </c>
      <c r="D1478" s="822"/>
      <c r="E1478" s="822"/>
      <c r="F1478" s="822"/>
      <c r="G1478" s="822"/>
      <c r="H1478" s="822"/>
    </row>
    <row r="1479" spans="1:8" x14ac:dyDescent="0.25">
      <c r="A1479" s="820">
        <v>1475</v>
      </c>
      <c r="B1479" s="1085" t="str">
        <f t="shared" si="23"/>
        <v>Barbados</v>
      </c>
      <c r="C1479" s="1070" t="s">
        <v>3083</v>
      </c>
      <c r="D1479" s="822"/>
      <c r="E1479" s="822"/>
      <c r="F1479" s="822"/>
      <c r="G1479" s="822"/>
      <c r="H1479" s="822"/>
    </row>
    <row r="1480" spans="1:8" x14ac:dyDescent="0.25">
      <c r="A1480" s="820">
        <v>1476</v>
      </c>
      <c r="B1480" s="1085" t="str">
        <f t="shared" si="23"/>
        <v>Boliviano</v>
      </c>
      <c r="C1480" s="1070" t="s">
        <v>3572</v>
      </c>
      <c r="D1480" s="822"/>
      <c r="E1480" s="822"/>
      <c r="F1480" s="822"/>
      <c r="G1480" s="822"/>
      <c r="H1480" s="822"/>
    </row>
    <row r="1481" spans="1:8" x14ac:dyDescent="0.25">
      <c r="A1481" s="820">
        <v>1477</v>
      </c>
      <c r="B1481" s="1085" t="str">
        <f t="shared" si="23"/>
        <v>Bangladesh</v>
      </c>
      <c r="C1481" s="1070" t="s">
        <v>3084</v>
      </c>
      <c r="D1481" s="822"/>
      <c r="E1481" s="822"/>
      <c r="F1481" s="822"/>
      <c r="G1481" s="822"/>
      <c r="H1481" s="822"/>
    </row>
    <row r="1482" spans="1:8" x14ac:dyDescent="0.25">
      <c r="A1482" s="820">
        <v>1478</v>
      </c>
      <c r="B1482" s="1085" t="str">
        <f t="shared" si="23"/>
        <v>Mvdol</v>
      </c>
      <c r="C1482" s="1070" t="s">
        <v>3574</v>
      </c>
      <c r="D1482" s="822"/>
      <c r="E1482" s="822"/>
      <c r="F1482" s="822"/>
      <c r="G1482" s="822"/>
      <c r="H1482" s="822"/>
    </row>
    <row r="1483" spans="1:8" x14ac:dyDescent="0.25">
      <c r="A1483" s="820">
        <v>1479</v>
      </c>
      <c r="B1483" s="1085" t="str">
        <f t="shared" si="23"/>
        <v>Brazilian Real</v>
      </c>
      <c r="C1483" s="1070" t="s">
        <v>3576</v>
      </c>
      <c r="D1483" s="822"/>
      <c r="E1483" s="822"/>
      <c r="F1483" s="822"/>
      <c r="G1483" s="822"/>
      <c r="H1483" s="822"/>
    </row>
    <row r="1484" spans="1:8" x14ac:dyDescent="0.25">
      <c r="A1484" s="820">
        <v>1480</v>
      </c>
      <c r="B1484" s="1085" t="str">
        <f t="shared" si="23"/>
        <v>Burkina Faso</v>
      </c>
      <c r="C1484" s="1070" t="s">
        <v>3085</v>
      </c>
      <c r="D1484" s="822"/>
      <c r="E1484" s="822"/>
      <c r="F1484" s="822"/>
      <c r="G1484" s="822"/>
      <c r="H1484" s="822"/>
    </row>
    <row r="1485" spans="1:8" x14ac:dyDescent="0.25">
      <c r="A1485" s="820">
        <v>1481</v>
      </c>
      <c r="B1485" s="1085" t="str">
        <f t="shared" si="23"/>
        <v>Bahamian Dollar</v>
      </c>
      <c r="C1485" s="1070" t="s">
        <v>3578</v>
      </c>
      <c r="D1485" s="822"/>
      <c r="E1485" s="822"/>
      <c r="F1485" s="822"/>
      <c r="G1485" s="822"/>
      <c r="H1485" s="822"/>
    </row>
    <row r="1486" spans="1:8" x14ac:dyDescent="0.25">
      <c r="A1486" s="820">
        <v>1482</v>
      </c>
      <c r="B1486" s="1085" t="str">
        <f t="shared" si="23"/>
        <v>Ngultrum</v>
      </c>
      <c r="C1486" s="1070" t="s">
        <v>3580</v>
      </c>
      <c r="D1486" s="822"/>
      <c r="E1486" s="822"/>
      <c r="F1486" s="822"/>
      <c r="G1486" s="822"/>
      <c r="H1486" s="822"/>
    </row>
    <row r="1487" spans="1:8" x14ac:dyDescent="0.25">
      <c r="A1487" s="820">
        <v>1483</v>
      </c>
      <c r="B1487" s="1085" t="str">
        <f t="shared" si="23"/>
        <v>Bahrain</v>
      </c>
      <c r="C1487" s="1070" t="s">
        <v>3086</v>
      </c>
      <c r="D1487" s="822"/>
      <c r="E1487" s="822"/>
      <c r="F1487" s="822"/>
      <c r="G1487" s="822"/>
      <c r="H1487" s="822"/>
    </row>
    <row r="1488" spans="1:8" x14ac:dyDescent="0.25">
      <c r="A1488" s="820">
        <v>1484</v>
      </c>
      <c r="B1488" s="1085" t="str">
        <f t="shared" si="23"/>
        <v>Pula</v>
      </c>
      <c r="C1488" s="1070" t="s">
        <v>3582</v>
      </c>
      <c r="D1488" s="822"/>
      <c r="E1488" s="822"/>
      <c r="F1488" s="822"/>
      <c r="G1488" s="822"/>
      <c r="H1488" s="822"/>
    </row>
    <row r="1489" spans="1:8" x14ac:dyDescent="0.25">
      <c r="A1489" s="820">
        <v>1485</v>
      </c>
      <c r="B1489" s="1085" t="str">
        <f t="shared" si="23"/>
        <v>Burundi</v>
      </c>
      <c r="C1489" s="1070" t="s">
        <v>3087</v>
      </c>
      <c r="D1489" s="822"/>
      <c r="E1489" s="822"/>
      <c r="F1489" s="822"/>
      <c r="G1489" s="822"/>
      <c r="H1489" s="822"/>
    </row>
    <row r="1490" spans="1:8" x14ac:dyDescent="0.25">
      <c r="A1490" s="820">
        <v>1486</v>
      </c>
      <c r="B1490" s="1085" t="str">
        <f t="shared" si="23"/>
        <v>Belarusian Ruble</v>
      </c>
      <c r="C1490" s="1070" t="s">
        <v>3584</v>
      </c>
      <c r="D1490" s="822"/>
      <c r="E1490" s="822"/>
      <c r="F1490" s="822"/>
      <c r="G1490" s="822"/>
      <c r="H1490" s="822"/>
    </row>
    <row r="1491" spans="1:8" x14ac:dyDescent="0.25">
      <c r="A1491" s="820">
        <v>1487</v>
      </c>
      <c r="B1491" s="1085" t="str">
        <f t="shared" si="23"/>
        <v>Benin</v>
      </c>
      <c r="C1491" s="1070" t="s">
        <v>3088</v>
      </c>
      <c r="D1491" s="822"/>
      <c r="E1491" s="822"/>
      <c r="F1491" s="822"/>
      <c r="G1491" s="822"/>
      <c r="H1491" s="822"/>
    </row>
    <row r="1492" spans="1:8" x14ac:dyDescent="0.25">
      <c r="A1492" s="820">
        <v>1488</v>
      </c>
      <c r="B1492" s="1085" t="str">
        <f t="shared" si="23"/>
        <v>Belize Dollar</v>
      </c>
      <c r="C1492" s="1070" t="s">
        <v>3586</v>
      </c>
      <c r="D1492" s="822"/>
      <c r="E1492" s="822"/>
      <c r="F1492" s="822"/>
      <c r="G1492" s="822"/>
      <c r="H1492" s="822"/>
    </row>
    <row r="1493" spans="1:8" x14ac:dyDescent="0.25">
      <c r="A1493" s="820">
        <v>1489</v>
      </c>
      <c r="B1493" s="1085" t="str">
        <f t="shared" si="23"/>
        <v>Saint Barthélemy</v>
      </c>
      <c r="C1493" s="1070" t="s">
        <v>3089</v>
      </c>
      <c r="D1493" s="822"/>
      <c r="E1493" s="822"/>
      <c r="F1493" s="822"/>
      <c r="G1493" s="822"/>
      <c r="H1493" s="822"/>
    </row>
    <row r="1494" spans="1:8" x14ac:dyDescent="0.25">
      <c r="A1494" s="820">
        <v>1490</v>
      </c>
      <c r="B1494" s="1085" t="str">
        <f t="shared" si="23"/>
        <v>Canadian Dollar</v>
      </c>
      <c r="C1494" s="1070" t="s">
        <v>3588</v>
      </c>
      <c r="D1494" s="822"/>
      <c r="E1494" s="822"/>
      <c r="F1494" s="822"/>
      <c r="G1494" s="822"/>
      <c r="H1494" s="822"/>
    </row>
    <row r="1495" spans="1:8" x14ac:dyDescent="0.25">
      <c r="A1495" s="820">
        <v>1491</v>
      </c>
      <c r="B1495" s="1085" t="str">
        <f t="shared" si="23"/>
        <v>Bermuda</v>
      </c>
      <c r="C1495" s="1070" t="s">
        <v>3090</v>
      </c>
      <c r="D1495" s="822"/>
      <c r="E1495" s="822"/>
      <c r="F1495" s="822"/>
      <c r="G1495" s="822"/>
      <c r="H1495" s="822"/>
    </row>
    <row r="1496" spans="1:8" x14ac:dyDescent="0.25">
      <c r="A1496" s="820">
        <v>1492</v>
      </c>
      <c r="B1496" s="1085" t="str">
        <f t="shared" si="23"/>
        <v>Congolese Franc</v>
      </c>
      <c r="C1496" s="1070" t="s">
        <v>3590</v>
      </c>
      <c r="D1496" s="822"/>
      <c r="E1496" s="822"/>
      <c r="F1496" s="822"/>
      <c r="G1496" s="822"/>
      <c r="H1496" s="822"/>
    </row>
    <row r="1497" spans="1:8" x14ac:dyDescent="0.25">
      <c r="A1497" s="820">
        <v>1493</v>
      </c>
      <c r="B1497" s="1085" t="str">
        <f t="shared" si="23"/>
        <v>Brunei Darussalam</v>
      </c>
      <c r="C1497" s="1070" t="s">
        <v>3091</v>
      </c>
      <c r="D1497" s="822"/>
      <c r="E1497" s="822"/>
      <c r="F1497" s="822"/>
      <c r="G1497" s="822"/>
      <c r="H1497" s="822"/>
    </row>
    <row r="1498" spans="1:8" x14ac:dyDescent="0.25">
      <c r="A1498" s="820">
        <v>1494</v>
      </c>
      <c r="B1498" s="1085" t="str">
        <f t="shared" si="23"/>
        <v>WIR Euro</v>
      </c>
      <c r="C1498" s="1070" t="s">
        <v>3592</v>
      </c>
      <c r="D1498" s="822"/>
      <c r="E1498" s="822"/>
      <c r="F1498" s="822"/>
      <c r="G1498" s="822"/>
      <c r="H1498" s="822"/>
    </row>
    <row r="1499" spans="1:8" x14ac:dyDescent="0.25">
      <c r="A1499" s="820">
        <v>1495</v>
      </c>
      <c r="B1499" s="1085" t="str">
        <f t="shared" si="23"/>
        <v>Bolivia, Plurinational State of</v>
      </c>
      <c r="C1499" s="1070" t="s">
        <v>3092</v>
      </c>
      <c r="D1499" s="822"/>
      <c r="E1499" s="822"/>
      <c r="F1499" s="822"/>
      <c r="G1499" s="822"/>
      <c r="H1499" s="822"/>
    </row>
    <row r="1500" spans="1:8" x14ac:dyDescent="0.25">
      <c r="A1500" s="820">
        <v>1496</v>
      </c>
      <c r="B1500" s="1085" t="str">
        <f t="shared" si="23"/>
        <v>Swiss Franc</v>
      </c>
      <c r="C1500" s="1070" t="s">
        <v>3594</v>
      </c>
      <c r="D1500" s="822"/>
      <c r="E1500" s="822"/>
      <c r="F1500" s="822"/>
      <c r="G1500" s="822"/>
      <c r="H1500" s="822"/>
    </row>
    <row r="1501" spans="1:8" x14ac:dyDescent="0.25">
      <c r="A1501" s="820">
        <v>1497</v>
      </c>
      <c r="B1501" s="1085" t="str">
        <f t="shared" si="23"/>
        <v>Bonaire, Sint Eustatius and Saba</v>
      </c>
      <c r="C1501" s="1070" t="s">
        <v>3093</v>
      </c>
      <c r="D1501" s="822"/>
      <c r="E1501" s="822"/>
      <c r="F1501" s="822"/>
      <c r="G1501" s="822"/>
      <c r="H1501" s="822"/>
    </row>
    <row r="1502" spans="1:8" x14ac:dyDescent="0.25">
      <c r="A1502" s="820">
        <v>1498</v>
      </c>
      <c r="B1502" s="1085" t="str">
        <f t="shared" si="23"/>
        <v>WIR Franc</v>
      </c>
      <c r="C1502" s="1070" t="s">
        <v>3596</v>
      </c>
      <c r="D1502" s="822"/>
      <c r="E1502" s="822"/>
      <c r="F1502" s="822"/>
      <c r="G1502" s="822"/>
      <c r="H1502" s="822"/>
    </row>
    <row r="1503" spans="1:8" x14ac:dyDescent="0.25">
      <c r="A1503" s="820">
        <v>1499</v>
      </c>
      <c r="B1503" s="1085" t="str">
        <f t="shared" si="23"/>
        <v>Brazil</v>
      </c>
      <c r="C1503" s="1070" t="s">
        <v>3094</v>
      </c>
      <c r="D1503" s="822"/>
      <c r="E1503" s="822"/>
      <c r="F1503" s="822"/>
      <c r="G1503" s="822"/>
      <c r="H1503" s="822"/>
    </row>
    <row r="1504" spans="1:8" x14ac:dyDescent="0.25">
      <c r="A1504" s="820">
        <v>1500</v>
      </c>
      <c r="B1504" s="1085" t="str">
        <f t="shared" si="23"/>
        <v>Unidad de Fomento</v>
      </c>
      <c r="C1504" s="1070" t="s">
        <v>3598</v>
      </c>
      <c r="D1504" s="822"/>
      <c r="E1504" s="822"/>
      <c r="F1504" s="822"/>
      <c r="G1504" s="822"/>
      <c r="H1504" s="822"/>
    </row>
    <row r="1505" spans="1:8" x14ac:dyDescent="0.25">
      <c r="A1505" s="820">
        <v>1501</v>
      </c>
      <c r="B1505" s="1085" t="str">
        <f t="shared" si="23"/>
        <v>Bahamas</v>
      </c>
      <c r="C1505" s="1070" t="s">
        <v>3095</v>
      </c>
      <c r="D1505" s="822"/>
      <c r="E1505" s="822"/>
      <c r="F1505" s="822"/>
      <c r="G1505" s="822"/>
      <c r="H1505" s="822"/>
    </row>
    <row r="1506" spans="1:8" x14ac:dyDescent="0.25">
      <c r="A1506" s="820">
        <v>1502</v>
      </c>
      <c r="B1506" s="1085" t="str">
        <f t="shared" si="23"/>
        <v>Chilean Peso</v>
      </c>
      <c r="C1506" s="1070" t="s">
        <v>3600</v>
      </c>
      <c r="D1506" s="822"/>
      <c r="E1506" s="822"/>
      <c r="F1506" s="822"/>
      <c r="G1506" s="822"/>
      <c r="H1506" s="822"/>
    </row>
    <row r="1507" spans="1:8" x14ac:dyDescent="0.25">
      <c r="A1507" s="820">
        <v>1503</v>
      </c>
      <c r="B1507" s="1085" t="str">
        <f t="shared" si="23"/>
        <v>Bhutan</v>
      </c>
      <c r="C1507" s="1070" t="s">
        <v>3096</v>
      </c>
      <c r="D1507" s="822"/>
      <c r="E1507" s="822"/>
      <c r="F1507" s="822"/>
      <c r="G1507" s="822"/>
      <c r="H1507" s="822"/>
    </row>
    <row r="1508" spans="1:8" x14ac:dyDescent="0.25">
      <c r="A1508" s="820">
        <v>1504</v>
      </c>
      <c r="B1508" s="1085" t="str">
        <f t="shared" si="23"/>
        <v>Yuan Renminbi</v>
      </c>
      <c r="C1508" s="1070" t="s">
        <v>3602</v>
      </c>
      <c r="D1508" s="822"/>
      <c r="E1508" s="822"/>
      <c r="F1508" s="822"/>
      <c r="G1508" s="822"/>
      <c r="H1508" s="822"/>
    </row>
    <row r="1509" spans="1:8" x14ac:dyDescent="0.25">
      <c r="A1509" s="820">
        <v>1505</v>
      </c>
      <c r="B1509" s="1085" t="str">
        <f t="shared" si="23"/>
        <v>Bouvet Island</v>
      </c>
      <c r="C1509" s="1070" t="s">
        <v>3097</v>
      </c>
      <c r="D1509" s="822"/>
      <c r="E1509" s="822"/>
      <c r="F1509" s="822"/>
      <c r="G1509" s="822"/>
      <c r="H1509" s="822"/>
    </row>
    <row r="1510" spans="1:8" x14ac:dyDescent="0.25">
      <c r="A1510" s="820">
        <v>1506</v>
      </c>
      <c r="B1510" s="1085" t="str">
        <f t="shared" si="23"/>
        <v>Colombian Peso</v>
      </c>
      <c r="C1510" s="1070" t="s">
        <v>3604</v>
      </c>
      <c r="D1510" s="822"/>
      <c r="E1510" s="822"/>
      <c r="F1510" s="822"/>
      <c r="G1510" s="822"/>
      <c r="H1510" s="822"/>
    </row>
    <row r="1511" spans="1:8" x14ac:dyDescent="0.25">
      <c r="A1511" s="820">
        <v>1507</v>
      </c>
      <c r="B1511" s="1085" t="str">
        <f t="shared" si="23"/>
        <v>Botswana</v>
      </c>
      <c r="C1511" s="1070" t="s">
        <v>3098</v>
      </c>
      <c r="D1511" s="822"/>
      <c r="E1511" s="822"/>
      <c r="F1511" s="822"/>
      <c r="G1511" s="822"/>
      <c r="H1511" s="822"/>
    </row>
    <row r="1512" spans="1:8" x14ac:dyDescent="0.25">
      <c r="A1512" s="820">
        <v>1508</v>
      </c>
      <c r="B1512" s="1085" t="str">
        <f t="shared" si="23"/>
        <v>Unidad de Valor Real</v>
      </c>
      <c r="C1512" s="1070" t="s">
        <v>3606</v>
      </c>
      <c r="D1512" s="822"/>
      <c r="E1512" s="822"/>
      <c r="F1512" s="822"/>
      <c r="G1512" s="822"/>
      <c r="H1512" s="822"/>
    </row>
    <row r="1513" spans="1:8" x14ac:dyDescent="0.25">
      <c r="A1513" s="820">
        <v>1509</v>
      </c>
      <c r="B1513" s="1085" t="str">
        <f t="shared" si="23"/>
        <v>Belarus</v>
      </c>
      <c r="C1513" s="1070" t="s">
        <v>3099</v>
      </c>
      <c r="D1513" s="822"/>
      <c r="E1513" s="822"/>
      <c r="F1513" s="822"/>
      <c r="G1513" s="822"/>
      <c r="H1513" s="822"/>
    </row>
    <row r="1514" spans="1:8" x14ac:dyDescent="0.25">
      <c r="A1514" s="820">
        <v>1510</v>
      </c>
      <c r="B1514" s="1085" t="str">
        <f t="shared" si="23"/>
        <v>Costa Rican Colon</v>
      </c>
      <c r="C1514" s="1070" t="s">
        <v>3608</v>
      </c>
      <c r="D1514" s="822"/>
      <c r="E1514" s="822"/>
      <c r="F1514" s="822"/>
      <c r="G1514" s="822"/>
      <c r="H1514" s="822"/>
    </row>
    <row r="1515" spans="1:8" x14ac:dyDescent="0.25">
      <c r="A1515" s="820">
        <v>1511</v>
      </c>
      <c r="B1515" s="1085" t="str">
        <f t="shared" si="23"/>
        <v>Belize</v>
      </c>
      <c r="C1515" s="1070" t="s">
        <v>3100</v>
      </c>
      <c r="D1515" s="822"/>
      <c r="E1515" s="822"/>
      <c r="F1515" s="822"/>
      <c r="G1515" s="822"/>
      <c r="H1515" s="822"/>
    </row>
    <row r="1516" spans="1:8" x14ac:dyDescent="0.25">
      <c r="A1516" s="820">
        <v>1512</v>
      </c>
      <c r="B1516" s="1085" t="str">
        <f t="shared" si="23"/>
        <v>Peso Convertible</v>
      </c>
      <c r="C1516" s="1070" t="s">
        <v>3610</v>
      </c>
      <c r="D1516" s="822"/>
      <c r="E1516" s="822"/>
      <c r="F1516" s="822"/>
      <c r="G1516" s="822"/>
      <c r="H1516" s="822"/>
    </row>
    <row r="1517" spans="1:8" x14ac:dyDescent="0.25">
      <c r="A1517" s="820">
        <v>1513</v>
      </c>
      <c r="B1517" s="1085" t="str">
        <f t="shared" si="23"/>
        <v>Canada</v>
      </c>
      <c r="C1517" s="1070" t="s">
        <v>3101</v>
      </c>
      <c r="D1517" s="822"/>
      <c r="E1517" s="822"/>
      <c r="F1517" s="822"/>
      <c r="G1517" s="822"/>
      <c r="H1517" s="822"/>
    </row>
    <row r="1518" spans="1:8" x14ac:dyDescent="0.25">
      <c r="A1518" s="820">
        <v>1514</v>
      </c>
      <c r="B1518" s="1085" t="str">
        <f t="shared" si="23"/>
        <v>Cuban Peso</v>
      </c>
      <c r="C1518" s="1070" t="s">
        <v>3612</v>
      </c>
      <c r="D1518" s="822"/>
      <c r="E1518" s="822"/>
      <c r="F1518" s="822"/>
      <c r="G1518" s="822"/>
      <c r="H1518" s="822"/>
    </row>
    <row r="1519" spans="1:8" x14ac:dyDescent="0.25">
      <c r="A1519" s="820">
        <v>1515</v>
      </c>
      <c r="B1519" s="1085" t="str">
        <f t="shared" si="23"/>
        <v>Cocos Islands (or Keeling Islands)</v>
      </c>
      <c r="C1519" s="1070" t="s">
        <v>3102</v>
      </c>
      <c r="D1519" s="822"/>
      <c r="E1519" s="822"/>
      <c r="F1519" s="822"/>
      <c r="G1519" s="822"/>
      <c r="H1519" s="822"/>
    </row>
    <row r="1520" spans="1:8" x14ac:dyDescent="0.25">
      <c r="A1520" s="820">
        <v>1516</v>
      </c>
      <c r="B1520" s="1085" t="str">
        <f t="shared" si="23"/>
        <v>Cabo Verde Escudo</v>
      </c>
      <c r="C1520" s="1070" t="s">
        <v>3614</v>
      </c>
      <c r="D1520" s="822"/>
      <c r="E1520" s="822"/>
      <c r="F1520" s="822"/>
      <c r="G1520" s="822"/>
      <c r="H1520" s="822"/>
    </row>
    <row r="1521" spans="1:8" x14ac:dyDescent="0.25">
      <c r="A1521" s="820">
        <v>1517</v>
      </c>
      <c r="B1521" s="1085" t="str">
        <f t="shared" si="23"/>
        <v>Congo, Democratic Republic of</v>
      </c>
      <c r="C1521" s="1070" t="s">
        <v>3103</v>
      </c>
      <c r="D1521" s="822"/>
      <c r="E1521" s="822"/>
      <c r="F1521" s="822"/>
      <c r="G1521" s="822"/>
      <c r="H1521" s="822"/>
    </row>
    <row r="1522" spans="1:8" x14ac:dyDescent="0.25">
      <c r="A1522" s="820">
        <v>1518</v>
      </c>
      <c r="B1522" s="1085" t="str">
        <f t="shared" si="23"/>
        <v>Czech Koruna</v>
      </c>
      <c r="C1522" s="1070" t="s">
        <v>3616</v>
      </c>
      <c r="D1522" s="822"/>
      <c r="E1522" s="822"/>
      <c r="F1522" s="822"/>
      <c r="G1522" s="822"/>
      <c r="H1522" s="822"/>
    </row>
    <row r="1523" spans="1:8" x14ac:dyDescent="0.25">
      <c r="A1523" s="820">
        <v>1519</v>
      </c>
      <c r="B1523" s="1085" t="str">
        <f t="shared" si="23"/>
        <v>Central African Republic</v>
      </c>
      <c r="C1523" s="1070" t="s">
        <v>3104</v>
      </c>
      <c r="D1523" s="822"/>
      <c r="E1523" s="822"/>
      <c r="F1523" s="822"/>
      <c r="G1523" s="822"/>
      <c r="H1523" s="822"/>
    </row>
    <row r="1524" spans="1:8" x14ac:dyDescent="0.25">
      <c r="A1524" s="820">
        <v>1520</v>
      </c>
      <c r="B1524" s="1085" t="str">
        <f t="shared" si="23"/>
        <v>Djibouti Franc</v>
      </c>
      <c r="C1524" s="1070" t="s">
        <v>3618</v>
      </c>
      <c r="D1524" s="822"/>
      <c r="E1524" s="822"/>
      <c r="F1524" s="822"/>
      <c r="G1524" s="822"/>
      <c r="H1524" s="822"/>
    </row>
    <row r="1525" spans="1:8" x14ac:dyDescent="0.25">
      <c r="A1525" s="820">
        <v>1521</v>
      </c>
      <c r="B1525" s="1085" t="str">
        <f t="shared" si="23"/>
        <v>Congo</v>
      </c>
      <c r="C1525" s="1070" t="s">
        <v>3105</v>
      </c>
      <c r="D1525" s="822"/>
      <c r="E1525" s="822"/>
      <c r="F1525" s="822"/>
      <c r="G1525" s="822"/>
      <c r="H1525" s="822"/>
    </row>
    <row r="1526" spans="1:8" x14ac:dyDescent="0.25">
      <c r="A1526" s="820">
        <v>1522</v>
      </c>
      <c r="B1526" s="1085" t="str">
        <f t="shared" si="23"/>
        <v>Danish Krone</v>
      </c>
      <c r="C1526" s="1070" t="s">
        <v>3620</v>
      </c>
      <c r="D1526" s="822"/>
      <c r="E1526" s="822"/>
      <c r="F1526" s="822"/>
      <c r="G1526" s="822"/>
      <c r="H1526" s="822"/>
    </row>
    <row r="1527" spans="1:8" x14ac:dyDescent="0.25">
      <c r="A1527" s="820">
        <v>1523</v>
      </c>
      <c r="B1527" s="1085" t="str">
        <f t="shared" si="23"/>
        <v>Switzerland</v>
      </c>
      <c r="C1527" s="1070" t="s">
        <v>3106</v>
      </c>
      <c r="D1527" s="822"/>
      <c r="E1527" s="822"/>
      <c r="F1527" s="822"/>
      <c r="G1527" s="822"/>
      <c r="H1527" s="822"/>
    </row>
    <row r="1528" spans="1:8" x14ac:dyDescent="0.25">
      <c r="A1528" s="820">
        <v>1524</v>
      </c>
      <c r="B1528" s="1085" t="str">
        <f t="shared" si="23"/>
        <v>Dominican Peso</v>
      </c>
      <c r="C1528" s="1070" t="s">
        <v>3622</v>
      </c>
      <c r="D1528" s="822"/>
      <c r="E1528" s="822"/>
      <c r="F1528" s="822"/>
      <c r="G1528" s="822"/>
      <c r="H1528" s="822"/>
    </row>
    <row r="1529" spans="1:8" x14ac:dyDescent="0.25">
      <c r="A1529" s="820">
        <v>1525</v>
      </c>
      <c r="B1529" s="1085" t="str">
        <f t="shared" si="23"/>
        <v>Côte d'Ivoire</v>
      </c>
      <c r="C1529" s="1070" t="s">
        <v>3107</v>
      </c>
      <c r="D1529" s="822"/>
      <c r="E1529" s="822"/>
      <c r="F1529" s="822"/>
      <c r="G1529" s="822"/>
      <c r="H1529" s="822"/>
    </row>
    <row r="1530" spans="1:8" x14ac:dyDescent="0.25">
      <c r="A1530" s="820">
        <v>1526</v>
      </c>
      <c r="B1530" s="1085" t="str">
        <f t="shared" si="23"/>
        <v>Algerian Dinar</v>
      </c>
      <c r="C1530" s="1070" t="s">
        <v>3624</v>
      </c>
      <c r="D1530" s="822"/>
      <c r="E1530" s="822"/>
      <c r="F1530" s="822"/>
      <c r="G1530" s="822"/>
      <c r="H1530" s="822"/>
    </row>
    <row r="1531" spans="1:8" x14ac:dyDescent="0.25">
      <c r="A1531" s="820">
        <v>1527</v>
      </c>
      <c r="B1531" s="1085" t="str">
        <f t="shared" si="23"/>
        <v>Cook Islands</v>
      </c>
      <c r="C1531" s="1070" t="s">
        <v>3108</v>
      </c>
      <c r="D1531" s="822"/>
      <c r="E1531" s="822"/>
      <c r="F1531" s="822"/>
      <c r="G1531" s="822"/>
      <c r="H1531" s="822"/>
    </row>
    <row r="1532" spans="1:8" x14ac:dyDescent="0.25">
      <c r="A1532" s="820">
        <v>1528</v>
      </c>
      <c r="B1532" s="1085" t="str">
        <f t="shared" si="23"/>
        <v>Egyptian Pound</v>
      </c>
      <c r="C1532" s="1070" t="s">
        <v>3626</v>
      </c>
      <c r="D1532" s="822"/>
      <c r="E1532" s="822"/>
      <c r="F1532" s="822"/>
      <c r="G1532" s="822"/>
      <c r="H1532" s="822"/>
    </row>
    <row r="1533" spans="1:8" x14ac:dyDescent="0.25">
      <c r="A1533" s="820">
        <v>1529</v>
      </c>
      <c r="B1533" s="1085" t="str">
        <f t="shared" si="23"/>
        <v>Chile</v>
      </c>
      <c r="C1533" s="1070" t="s">
        <v>3109</v>
      </c>
      <c r="D1533" s="822"/>
      <c r="E1533" s="822"/>
      <c r="F1533" s="822"/>
      <c r="G1533" s="822"/>
      <c r="H1533" s="822"/>
    </row>
    <row r="1534" spans="1:8" x14ac:dyDescent="0.25">
      <c r="A1534" s="820">
        <v>1530</v>
      </c>
      <c r="B1534" s="1085" t="str">
        <f t="shared" si="23"/>
        <v>Nakfa</v>
      </c>
      <c r="C1534" s="1070" t="s">
        <v>3628</v>
      </c>
      <c r="D1534" s="822"/>
      <c r="E1534" s="822"/>
      <c r="F1534" s="822"/>
      <c r="G1534" s="822"/>
      <c r="H1534" s="822"/>
    </row>
    <row r="1535" spans="1:8" x14ac:dyDescent="0.25">
      <c r="A1535" s="820">
        <v>1531</v>
      </c>
      <c r="B1535" s="1085" t="str">
        <f t="shared" si="23"/>
        <v>Cameroon</v>
      </c>
      <c r="C1535" s="1070" t="s">
        <v>3110</v>
      </c>
      <c r="D1535" s="822"/>
      <c r="E1535" s="822"/>
      <c r="F1535" s="822"/>
      <c r="G1535" s="822"/>
      <c r="H1535" s="822"/>
    </row>
    <row r="1536" spans="1:8" x14ac:dyDescent="0.25">
      <c r="A1536" s="820">
        <v>1532</v>
      </c>
      <c r="B1536" s="1085" t="str">
        <f t="shared" si="23"/>
        <v>Ethiopian Birr</v>
      </c>
      <c r="C1536" s="1070" t="s">
        <v>3630</v>
      </c>
      <c r="D1536" s="822"/>
      <c r="E1536" s="822"/>
      <c r="F1536" s="822"/>
      <c r="G1536" s="822"/>
      <c r="H1536" s="822"/>
    </row>
    <row r="1537" spans="1:8" x14ac:dyDescent="0.25">
      <c r="A1537" s="820">
        <v>1533</v>
      </c>
      <c r="B1537" s="1085" t="str">
        <f t="shared" si="23"/>
        <v>China</v>
      </c>
      <c r="C1537" s="1070" t="s">
        <v>3112</v>
      </c>
      <c r="D1537" s="822"/>
      <c r="E1537" s="822"/>
      <c r="F1537" s="822"/>
      <c r="G1537" s="822"/>
      <c r="H1537" s="822"/>
    </row>
    <row r="1538" spans="1:8" x14ac:dyDescent="0.25">
      <c r="A1538" s="820">
        <v>1534</v>
      </c>
      <c r="B1538" s="1085" t="str">
        <f t="shared" si="23"/>
        <v>Euro</v>
      </c>
      <c r="C1538" s="1070" t="s">
        <v>3632</v>
      </c>
      <c r="D1538" s="822"/>
      <c r="E1538" s="822"/>
      <c r="F1538" s="822"/>
      <c r="G1538" s="822"/>
      <c r="H1538" s="822"/>
    </row>
    <row r="1539" spans="1:8" x14ac:dyDescent="0.25">
      <c r="A1539" s="820">
        <v>1535</v>
      </c>
      <c r="B1539" s="1085" t="str">
        <f t="shared" si="23"/>
        <v>Colombia</v>
      </c>
      <c r="C1539" s="1070" t="s">
        <v>3113</v>
      </c>
      <c r="D1539" s="822"/>
      <c r="E1539" s="822"/>
      <c r="F1539" s="822"/>
      <c r="G1539" s="822"/>
      <c r="H1539" s="822"/>
    </row>
    <row r="1540" spans="1:8" x14ac:dyDescent="0.25">
      <c r="A1540" s="820">
        <v>1536</v>
      </c>
      <c r="B1540" s="1085" t="str">
        <f t="shared" si="23"/>
        <v>Fiji Dollar</v>
      </c>
      <c r="C1540" s="1070" t="s">
        <v>3634</v>
      </c>
      <c r="D1540" s="822"/>
      <c r="E1540" s="822"/>
      <c r="F1540" s="822"/>
      <c r="G1540" s="822"/>
      <c r="H1540" s="822"/>
    </row>
    <row r="1541" spans="1:8" x14ac:dyDescent="0.25">
      <c r="A1541" s="820">
        <v>1537</v>
      </c>
      <c r="B1541" s="1085" t="str">
        <f t="shared" si="23"/>
        <v>Costa Rica</v>
      </c>
      <c r="C1541" s="1070" t="s">
        <v>3114</v>
      </c>
      <c r="D1541" s="822"/>
      <c r="E1541" s="822"/>
      <c r="F1541" s="822"/>
      <c r="G1541" s="822"/>
      <c r="H1541" s="822"/>
    </row>
    <row r="1542" spans="1:8" x14ac:dyDescent="0.25">
      <c r="A1542" s="820">
        <v>1538</v>
      </c>
      <c r="B1542" s="1085" t="str">
        <f t="shared" ref="B1542:B1605" si="24">IFERROR(INDEX(C1542:M1542,$A$3-2),$C1542)</f>
        <v>Falkland Islands Pound</v>
      </c>
      <c r="C1542" s="1070" t="s">
        <v>3636</v>
      </c>
      <c r="D1542" s="822"/>
      <c r="E1542" s="822"/>
      <c r="F1542" s="822"/>
      <c r="G1542" s="822"/>
      <c r="H1542" s="822"/>
    </row>
    <row r="1543" spans="1:8" x14ac:dyDescent="0.25">
      <c r="A1543" s="820">
        <v>1539</v>
      </c>
      <c r="B1543" s="1085" t="str">
        <f t="shared" si="24"/>
        <v>Serbia and Montenegro</v>
      </c>
      <c r="C1543" s="1070" t="s">
        <v>3115</v>
      </c>
      <c r="D1543" s="822"/>
      <c r="E1543" s="822"/>
      <c r="F1543" s="822"/>
      <c r="G1543" s="822"/>
      <c r="H1543" s="822"/>
    </row>
    <row r="1544" spans="1:8" x14ac:dyDescent="0.25">
      <c r="A1544" s="820">
        <v>1540</v>
      </c>
      <c r="B1544" s="1085" t="str">
        <f t="shared" si="24"/>
        <v>Pound Sterling</v>
      </c>
      <c r="C1544" s="1070" t="s">
        <v>3638</v>
      </c>
      <c r="D1544" s="822"/>
      <c r="E1544" s="822"/>
      <c r="F1544" s="822"/>
      <c r="G1544" s="822"/>
      <c r="H1544" s="822"/>
    </row>
    <row r="1545" spans="1:8" x14ac:dyDescent="0.25">
      <c r="A1545" s="820">
        <v>1541</v>
      </c>
      <c r="B1545" s="1085" t="str">
        <f t="shared" si="24"/>
        <v>Cuba</v>
      </c>
      <c r="C1545" s="1070" t="s">
        <v>3116</v>
      </c>
      <c r="D1545" s="822"/>
      <c r="E1545" s="822"/>
      <c r="F1545" s="822"/>
      <c r="G1545" s="822"/>
      <c r="H1545" s="822"/>
    </row>
    <row r="1546" spans="1:8" x14ac:dyDescent="0.25">
      <c r="A1546" s="820">
        <v>1542</v>
      </c>
      <c r="B1546" s="1085" t="str">
        <f t="shared" si="24"/>
        <v>Lari</v>
      </c>
      <c r="C1546" s="1070" t="s">
        <v>3640</v>
      </c>
      <c r="D1546" s="822"/>
      <c r="E1546" s="822"/>
      <c r="F1546" s="822"/>
      <c r="G1546" s="822"/>
      <c r="H1546" s="822"/>
    </row>
    <row r="1547" spans="1:8" x14ac:dyDescent="0.25">
      <c r="A1547" s="820">
        <v>1543</v>
      </c>
      <c r="B1547" s="1085" t="str">
        <f t="shared" si="24"/>
        <v>Cape Verde</v>
      </c>
      <c r="C1547" s="1070" t="s">
        <v>3117</v>
      </c>
      <c r="D1547" s="822"/>
      <c r="E1547" s="822"/>
      <c r="F1547" s="822"/>
      <c r="G1547" s="822"/>
      <c r="H1547" s="822"/>
    </row>
    <row r="1548" spans="1:8" x14ac:dyDescent="0.25">
      <c r="A1548" s="820">
        <v>1544</v>
      </c>
      <c r="B1548" s="1085" t="str">
        <f t="shared" si="24"/>
        <v>Ghana Cedi</v>
      </c>
      <c r="C1548" s="1070" t="s">
        <v>3642</v>
      </c>
      <c r="D1548" s="822"/>
      <c r="E1548" s="822"/>
      <c r="F1548" s="822"/>
      <c r="G1548" s="822"/>
      <c r="H1548" s="822"/>
    </row>
    <row r="1549" spans="1:8" x14ac:dyDescent="0.25">
      <c r="A1549" s="820">
        <v>1545</v>
      </c>
      <c r="B1549" s="1085" t="str">
        <f t="shared" si="24"/>
        <v>Curaçao</v>
      </c>
      <c r="C1549" s="1070" t="s">
        <v>3118</v>
      </c>
      <c r="D1549" s="822"/>
      <c r="E1549" s="822"/>
      <c r="F1549" s="822"/>
      <c r="G1549" s="822"/>
      <c r="H1549" s="822"/>
    </row>
    <row r="1550" spans="1:8" x14ac:dyDescent="0.25">
      <c r="A1550" s="820">
        <v>1546</v>
      </c>
      <c r="B1550" s="1085" t="str">
        <f t="shared" si="24"/>
        <v>Gibraltar Pound</v>
      </c>
      <c r="C1550" s="1070" t="s">
        <v>3644</v>
      </c>
      <c r="D1550" s="822"/>
      <c r="E1550" s="822"/>
      <c r="F1550" s="822"/>
      <c r="G1550" s="822"/>
      <c r="H1550" s="822"/>
    </row>
    <row r="1551" spans="1:8" x14ac:dyDescent="0.25">
      <c r="A1551" s="820">
        <v>1547</v>
      </c>
      <c r="B1551" s="1085" t="str">
        <f t="shared" si="24"/>
        <v>Christmas Island</v>
      </c>
      <c r="C1551" s="1070" t="s">
        <v>3119</v>
      </c>
      <c r="D1551" s="822"/>
      <c r="E1551" s="822"/>
      <c r="F1551" s="822"/>
      <c r="G1551" s="822"/>
      <c r="H1551" s="822"/>
    </row>
    <row r="1552" spans="1:8" x14ac:dyDescent="0.25">
      <c r="A1552" s="820">
        <v>1548</v>
      </c>
      <c r="B1552" s="1085" t="str">
        <f t="shared" si="24"/>
        <v>Dalasi</v>
      </c>
      <c r="C1552" s="1070" t="s">
        <v>3646</v>
      </c>
      <c r="D1552" s="822"/>
      <c r="E1552" s="822"/>
      <c r="F1552" s="822"/>
      <c r="G1552" s="822"/>
      <c r="H1552" s="822"/>
    </row>
    <row r="1553" spans="1:8" x14ac:dyDescent="0.25">
      <c r="A1553" s="820">
        <v>1549</v>
      </c>
      <c r="B1553" s="1085" t="str">
        <f t="shared" si="24"/>
        <v>Guinean Franc</v>
      </c>
      <c r="C1553" s="1070" t="s">
        <v>3648</v>
      </c>
      <c r="D1553" s="822"/>
      <c r="E1553" s="822"/>
      <c r="F1553" s="822"/>
      <c r="G1553" s="822"/>
      <c r="H1553" s="822"/>
    </row>
    <row r="1554" spans="1:8" x14ac:dyDescent="0.25">
      <c r="A1554" s="820">
        <v>1550</v>
      </c>
      <c r="B1554" s="1085" t="str">
        <f t="shared" si="24"/>
        <v>Czechia</v>
      </c>
      <c r="C1554" s="1070" t="s">
        <v>3120</v>
      </c>
      <c r="D1554" s="822"/>
      <c r="E1554" s="822"/>
      <c r="F1554" s="822"/>
      <c r="G1554" s="822"/>
      <c r="H1554" s="822"/>
    </row>
    <row r="1555" spans="1:8" x14ac:dyDescent="0.25">
      <c r="A1555" s="820">
        <v>1551</v>
      </c>
      <c r="B1555" s="1085" t="str">
        <f t="shared" si="24"/>
        <v>Quetzal</v>
      </c>
      <c r="C1555" s="1070" t="s">
        <v>3650</v>
      </c>
      <c r="D1555" s="822"/>
      <c r="E1555" s="822"/>
      <c r="F1555" s="822"/>
      <c r="G1555" s="822"/>
      <c r="H1555" s="822"/>
    </row>
    <row r="1556" spans="1:8" x14ac:dyDescent="0.25">
      <c r="A1556" s="820">
        <v>1552</v>
      </c>
      <c r="B1556" s="1085" t="str">
        <f t="shared" si="24"/>
        <v>Guyana Dollar</v>
      </c>
      <c r="C1556" s="1070" t="s">
        <v>3652</v>
      </c>
      <c r="D1556" s="822"/>
      <c r="E1556" s="822"/>
      <c r="F1556" s="822"/>
      <c r="G1556" s="822"/>
      <c r="H1556" s="822"/>
    </row>
    <row r="1557" spans="1:8" x14ac:dyDescent="0.25">
      <c r="A1557" s="820">
        <v>1553</v>
      </c>
      <c r="B1557" s="1085" t="str">
        <f t="shared" si="24"/>
        <v>Djibouti</v>
      </c>
      <c r="C1557" s="1070" t="s">
        <v>3121</v>
      </c>
      <c r="D1557" s="822"/>
      <c r="E1557" s="822"/>
      <c r="F1557" s="822"/>
      <c r="G1557" s="822"/>
      <c r="H1557" s="822"/>
    </row>
    <row r="1558" spans="1:8" x14ac:dyDescent="0.25">
      <c r="A1558" s="820">
        <v>1554</v>
      </c>
      <c r="B1558" s="1085" t="str">
        <f t="shared" si="24"/>
        <v>Hong Kong Dollar</v>
      </c>
      <c r="C1558" s="1070" t="s">
        <v>3654</v>
      </c>
      <c r="D1558" s="822"/>
      <c r="E1558" s="822"/>
      <c r="F1558" s="822"/>
      <c r="G1558" s="822"/>
      <c r="H1558" s="822"/>
    </row>
    <row r="1559" spans="1:8" x14ac:dyDescent="0.25">
      <c r="A1559" s="820">
        <v>1555</v>
      </c>
      <c r="B1559" s="1085" t="str">
        <f t="shared" si="24"/>
        <v>Lempira</v>
      </c>
      <c r="C1559" s="1070" t="s">
        <v>3656</v>
      </c>
      <c r="D1559" s="822"/>
      <c r="E1559" s="822"/>
      <c r="F1559" s="822"/>
      <c r="G1559" s="822"/>
      <c r="H1559" s="822"/>
    </row>
    <row r="1560" spans="1:8" x14ac:dyDescent="0.25">
      <c r="A1560" s="820">
        <v>1556</v>
      </c>
      <c r="B1560" s="1085" t="str">
        <f t="shared" si="24"/>
        <v>Dominica</v>
      </c>
      <c r="C1560" s="1070" t="s">
        <v>3122</v>
      </c>
      <c r="D1560" s="822"/>
      <c r="E1560" s="822"/>
      <c r="F1560" s="822"/>
      <c r="G1560" s="822"/>
      <c r="H1560" s="822"/>
    </row>
    <row r="1561" spans="1:8" x14ac:dyDescent="0.25">
      <c r="A1561" s="820">
        <v>1557</v>
      </c>
      <c r="B1561" s="1085" t="str">
        <f t="shared" si="24"/>
        <v>Gourde</v>
      </c>
      <c r="C1561" s="1070" t="s">
        <v>3658</v>
      </c>
      <c r="D1561" s="822"/>
      <c r="E1561" s="822"/>
      <c r="F1561" s="822"/>
      <c r="G1561" s="822"/>
      <c r="H1561" s="822"/>
    </row>
    <row r="1562" spans="1:8" x14ac:dyDescent="0.25">
      <c r="A1562" s="820">
        <v>1558</v>
      </c>
      <c r="B1562" s="1085" t="str">
        <f t="shared" si="24"/>
        <v>Dominican Republic</v>
      </c>
      <c r="C1562" s="1070" t="s">
        <v>3123</v>
      </c>
      <c r="D1562" s="822"/>
      <c r="E1562" s="822"/>
      <c r="F1562" s="822"/>
      <c r="G1562" s="822"/>
      <c r="H1562" s="822"/>
    </row>
    <row r="1563" spans="1:8" x14ac:dyDescent="0.25">
      <c r="A1563" s="820">
        <v>1559</v>
      </c>
      <c r="B1563" s="1085" t="str">
        <f t="shared" si="24"/>
        <v>Forint</v>
      </c>
      <c r="C1563" s="1070" t="s">
        <v>3660</v>
      </c>
      <c r="D1563" s="822"/>
      <c r="E1563" s="822"/>
      <c r="F1563" s="822"/>
      <c r="G1563" s="822"/>
      <c r="H1563" s="822"/>
    </row>
    <row r="1564" spans="1:8" x14ac:dyDescent="0.25">
      <c r="A1564" s="820">
        <v>1560</v>
      </c>
      <c r="B1564" s="1085" t="str">
        <f t="shared" si="24"/>
        <v>Algeria</v>
      </c>
      <c r="C1564" s="1070" t="s">
        <v>3124</v>
      </c>
      <c r="D1564" s="822"/>
      <c r="E1564" s="822"/>
      <c r="F1564" s="822"/>
      <c r="G1564" s="822"/>
      <c r="H1564" s="822"/>
    </row>
    <row r="1565" spans="1:8" x14ac:dyDescent="0.25">
      <c r="A1565" s="820">
        <v>1561</v>
      </c>
      <c r="B1565" s="1085" t="str">
        <f t="shared" si="24"/>
        <v>Rupiah</v>
      </c>
      <c r="C1565" s="1070" t="s">
        <v>3662</v>
      </c>
      <c r="D1565" s="822"/>
      <c r="E1565" s="822"/>
      <c r="F1565" s="822"/>
      <c r="G1565" s="822"/>
      <c r="H1565" s="822"/>
    </row>
    <row r="1566" spans="1:8" x14ac:dyDescent="0.25">
      <c r="A1566" s="820">
        <v>1562</v>
      </c>
      <c r="B1566" s="1085" t="str">
        <f t="shared" si="24"/>
        <v>Ecuador</v>
      </c>
      <c r="C1566" s="1070" t="s">
        <v>3125</v>
      </c>
      <c r="D1566" s="822"/>
      <c r="E1566" s="822"/>
      <c r="F1566" s="822"/>
      <c r="G1566" s="822"/>
      <c r="H1566" s="822"/>
    </row>
    <row r="1567" spans="1:8" x14ac:dyDescent="0.25">
      <c r="A1567" s="820">
        <v>1563</v>
      </c>
      <c r="B1567" s="1085" t="str">
        <f t="shared" si="24"/>
        <v>New Israeli Sheqel</v>
      </c>
      <c r="C1567" s="1070" t="s">
        <v>3664</v>
      </c>
      <c r="D1567" s="822"/>
      <c r="E1567" s="822"/>
      <c r="F1567" s="822"/>
      <c r="G1567" s="822"/>
      <c r="H1567" s="822"/>
    </row>
    <row r="1568" spans="1:8" x14ac:dyDescent="0.25">
      <c r="A1568" s="820">
        <v>1564</v>
      </c>
      <c r="B1568" s="1085" t="str">
        <f t="shared" si="24"/>
        <v>Indian Rupee</v>
      </c>
      <c r="C1568" s="1070" t="s">
        <v>3666</v>
      </c>
      <c r="D1568" s="822"/>
      <c r="E1568" s="822"/>
      <c r="F1568" s="822"/>
      <c r="G1568" s="822"/>
      <c r="H1568" s="822"/>
    </row>
    <row r="1569" spans="1:8" x14ac:dyDescent="0.25">
      <c r="A1569" s="820">
        <v>1565</v>
      </c>
      <c r="B1569" s="1085" t="str">
        <f t="shared" si="24"/>
        <v>Egypt</v>
      </c>
      <c r="C1569" s="1070" t="s">
        <v>3126</v>
      </c>
      <c r="D1569" s="822"/>
      <c r="E1569" s="822"/>
      <c r="F1569" s="822"/>
      <c r="G1569" s="822"/>
      <c r="H1569" s="822"/>
    </row>
    <row r="1570" spans="1:8" x14ac:dyDescent="0.25">
      <c r="A1570" s="820">
        <v>1566</v>
      </c>
      <c r="B1570" s="1085" t="str">
        <f t="shared" si="24"/>
        <v>Iraqi Dinar</v>
      </c>
      <c r="C1570" s="1070" t="s">
        <v>3668</v>
      </c>
      <c r="D1570" s="822"/>
      <c r="E1570" s="822"/>
      <c r="F1570" s="822"/>
      <c r="G1570" s="822"/>
      <c r="H1570" s="822"/>
    </row>
    <row r="1571" spans="1:8" x14ac:dyDescent="0.25">
      <c r="A1571" s="820">
        <v>1567</v>
      </c>
      <c r="B1571" s="1085" t="str">
        <f t="shared" si="24"/>
        <v>Western Sahara</v>
      </c>
      <c r="C1571" s="1070" t="s">
        <v>3127</v>
      </c>
      <c r="D1571" s="822"/>
      <c r="E1571" s="822"/>
      <c r="F1571" s="822"/>
      <c r="G1571" s="822"/>
      <c r="H1571" s="822"/>
    </row>
    <row r="1572" spans="1:8" x14ac:dyDescent="0.25">
      <c r="A1572" s="820">
        <v>1568</v>
      </c>
      <c r="B1572" s="1085" t="str">
        <f t="shared" si="24"/>
        <v>Iranian Rial</v>
      </c>
      <c r="C1572" s="1070" t="s">
        <v>3670</v>
      </c>
      <c r="D1572" s="822"/>
      <c r="E1572" s="822"/>
      <c r="F1572" s="822"/>
      <c r="G1572" s="822"/>
      <c r="H1572" s="822"/>
    </row>
    <row r="1573" spans="1:8" x14ac:dyDescent="0.25">
      <c r="A1573" s="820">
        <v>1569</v>
      </c>
      <c r="B1573" s="1085" t="str">
        <f t="shared" si="24"/>
        <v>Eritrea</v>
      </c>
      <c r="C1573" s="1070" t="s">
        <v>3128</v>
      </c>
      <c r="D1573" s="822"/>
      <c r="E1573" s="822"/>
      <c r="F1573" s="822"/>
      <c r="G1573" s="822"/>
      <c r="H1573" s="822"/>
    </row>
    <row r="1574" spans="1:8" x14ac:dyDescent="0.25">
      <c r="A1574" s="820">
        <v>1570</v>
      </c>
      <c r="B1574" s="1085" t="str">
        <f t="shared" si="24"/>
        <v>Iceland Krona</v>
      </c>
      <c r="C1574" s="1070" t="s">
        <v>3672</v>
      </c>
      <c r="D1574" s="822"/>
      <c r="E1574" s="822"/>
      <c r="F1574" s="822"/>
      <c r="G1574" s="822"/>
      <c r="H1574" s="822"/>
    </row>
    <row r="1575" spans="1:8" x14ac:dyDescent="0.25">
      <c r="A1575" s="820">
        <v>1571</v>
      </c>
      <c r="B1575" s="1085" t="str">
        <f t="shared" si="24"/>
        <v>Jamaican Dollar</v>
      </c>
      <c r="C1575" s="1070" t="s">
        <v>3674</v>
      </c>
      <c r="D1575" s="822"/>
      <c r="E1575" s="822"/>
      <c r="F1575" s="822"/>
      <c r="G1575" s="822"/>
      <c r="H1575" s="822"/>
    </row>
    <row r="1576" spans="1:8" x14ac:dyDescent="0.25">
      <c r="A1576" s="820">
        <v>1572</v>
      </c>
      <c r="B1576" s="1085" t="str">
        <f t="shared" si="24"/>
        <v>Ethiopia</v>
      </c>
      <c r="C1576" s="1070" t="s">
        <v>3129</v>
      </c>
      <c r="D1576" s="822"/>
      <c r="E1576" s="822"/>
      <c r="F1576" s="822"/>
      <c r="G1576" s="822"/>
      <c r="H1576" s="822"/>
    </row>
    <row r="1577" spans="1:8" x14ac:dyDescent="0.25">
      <c r="A1577" s="820">
        <v>1573</v>
      </c>
      <c r="B1577" s="1085" t="str">
        <f t="shared" si="24"/>
        <v>Jordanian Dinar</v>
      </c>
      <c r="C1577" s="1070" t="s">
        <v>3676</v>
      </c>
      <c r="D1577" s="822"/>
      <c r="E1577" s="822"/>
      <c r="F1577" s="822"/>
      <c r="G1577" s="822"/>
      <c r="H1577" s="822"/>
    </row>
    <row r="1578" spans="1:8" x14ac:dyDescent="0.25">
      <c r="A1578" s="820">
        <v>1574</v>
      </c>
      <c r="B1578" s="1085" t="str">
        <f t="shared" si="24"/>
        <v>European Community</v>
      </c>
      <c r="C1578" s="1070" t="s">
        <v>3130</v>
      </c>
      <c r="D1578" s="822"/>
      <c r="E1578" s="822"/>
      <c r="F1578" s="822"/>
      <c r="G1578" s="822"/>
      <c r="H1578" s="822"/>
    </row>
    <row r="1579" spans="1:8" x14ac:dyDescent="0.25">
      <c r="A1579" s="820">
        <v>1575</v>
      </c>
      <c r="B1579" s="1085" t="str">
        <f t="shared" si="24"/>
        <v>Yen</v>
      </c>
      <c r="C1579" s="1070" t="s">
        <v>3678</v>
      </c>
      <c r="D1579" s="822"/>
      <c r="E1579" s="822"/>
      <c r="F1579" s="822"/>
      <c r="G1579" s="822"/>
      <c r="H1579" s="822"/>
    </row>
    <row r="1580" spans="1:8" x14ac:dyDescent="0.25">
      <c r="A1580" s="820">
        <v>1576</v>
      </c>
      <c r="B1580" s="1085" t="str">
        <f t="shared" si="24"/>
        <v>Kenyan Shilling</v>
      </c>
      <c r="C1580" s="1070" t="s">
        <v>3680</v>
      </c>
      <c r="D1580" s="822"/>
      <c r="E1580" s="822"/>
      <c r="F1580" s="822"/>
      <c r="G1580" s="822"/>
      <c r="H1580" s="822"/>
    </row>
    <row r="1581" spans="1:8" x14ac:dyDescent="0.25">
      <c r="A1581" s="820">
        <v>1577</v>
      </c>
      <c r="B1581" s="1085" t="str">
        <f t="shared" si="24"/>
        <v>Fiji</v>
      </c>
      <c r="C1581" s="1070" t="s">
        <v>3131</v>
      </c>
      <c r="D1581" s="822"/>
      <c r="E1581" s="822"/>
      <c r="F1581" s="822"/>
      <c r="G1581" s="822"/>
      <c r="H1581" s="822"/>
    </row>
    <row r="1582" spans="1:8" x14ac:dyDescent="0.25">
      <c r="A1582" s="820">
        <v>1578</v>
      </c>
      <c r="B1582" s="1085" t="str">
        <f t="shared" si="24"/>
        <v>Som</v>
      </c>
      <c r="C1582" s="1070" t="s">
        <v>3682</v>
      </c>
      <c r="D1582" s="822"/>
      <c r="E1582" s="822"/>
      <c r="F1582" s="822"/>
      <c r="G1582" s="822"/>
      <c r="H1582" s="822"/>
    </row>
    <row r="1583" spans="1:8" x14ac:dyDescent="0.25">
      <c r="A1583" s="820">
        <v>1579</v>
      </c>
      <c r="B1583" s="1085" t="str">
        <f t="shared" si="24"/>
        <v>Falkland Islands</v>
      </c>
      <c r="C1583" s="1070" t="s">
        <v>3132</v>
      </c>
      <c r="D1583" s="822"/>
      <c r="E1583" s="822"/>
      <c r="F1583" s="822"/>
      <c r="G1583" s="822"/>
      <c r="H1583" s="822"/>
    </row>
    <row r="1584" spans="1:8" x14ac:dyDescent="0.25">
      <c r="A1584" s="820">
        <v>1580</v>
      </c>
      <c r="B1584" s="1085" t="str">
        <f t="shared" si="24"/>
        <v>Riel</v>
      </c>
      <c r="C1584" s="1070" t="s">
        <v>3684</v>
      </c>
      <c r="D1584" s="822"/>
      <c r="E1584" s="822"/>
      <c r="F1584" s="822"/>
      <c r="G1584" s="822"/>
      <c r="H1584" s="822"/>
    </row>
    <row r="1585" spans="1:8" x14ac:dyDescent="0.25">
      <c r="A1585" s="820">
        <v>1581</v>
      </c>
      <c r="B1585" s="1085" t="str">
        <f t="shared" si="24"/>
        <v>Micronesia, Federated States of</v>
      </c>
      <c r="C1585" s="1070" t="s">
        <v>3133</v>
      </c>
      <c r="D1585" s="822"/>
      <c r="E1585" s="822"/>
      <c r="F1585" s="822"/>
      <c r="G1585" s="822"/>
      <c r="H1585" s="822"/>
    </row>
    <row r="1586" spans="1:8" x14ac:dyDescent="0.25">
      <c r="A1586" s="820">
        <v>1582</v>
      </c>
      <c r="B1586" s="1085" t="str">
        <f t="shared" si="24"/>
        <v>Comorian Franc</v>
      </c>
      <c r="C1586" s="1070" t="s">
        <v>3686</v>
      </c>
      <c r="D1586" s="822"/>
      <c r="E1586" s="822"/>
      <c r="F1586" s="822"/>
      <c r="G1586" s="822"/>
      <c r="H1586" s="822"/>
    </row>
    <row r="1587" spans="1:8" x14ac:dyDescent="0.25">
      <c r="A1587" s="820">
        <v>1583</v>
      </c>
      <c r="B1587" s="1085" t="str">
        <f t="shared" si="24"/>
        <v>Faroe Islands</v>
      </c>
      <c r="C1587" s="1070" t="s">
        <v>3134</v>
      </c>
      <c r="D1587" s="822"/>
      <c r="E1587" s="822"/>
      <c r="F1587" s="822"/>
      <c r="G1587" s="822"/>
      <c r="H1587" s="822"/>
    </row>
    <row r="1588" spans="1:8" x14ac:dyDescent="0.25">
      <c r="A1588" s="820">
        <v>1584</v>
      </c>
      <c r="B1588" s="1085" t="str">
        <f t="shared" si="24"/>
        <v>North Korean Won</v>
      </c>
      <c r="C1588" s="1070" t="s">
        <v>3688</v>
      </c>
      <c r="D1588" s="822"/>
      <c r="E1588" s="822"/>
      <c r="F1588" s="822"/>
      <c r="G1588" s="822"/>
      <c r="H1588" s="822"/>
    </row>
    <row r="1589" spans="1:8" x14ac:dyDescent="0.25">
      <c r="A1589" s="820">
        <v>1585</v>
      </c>
      <c r="B1589" s="1085" t="str">
        <f t="shared" si="24"/>
        <v>Won</v>
      </c>
      <c r="C1589" s="1070" t="s">
        <v>3690</v>
      </c>
      <c r="D1589" s="822"/>
      <c r="E1589" s="822"/>
      <c r="F1589" s="822"/>
      <c r="G1589" s="822"/>
      <c r="H1589" s="822"/>
    </row>
    <row r="1590" spans="1:8" x14ac:dyDescent="0.25">
      <c r="A1590" s="820">
        <v>1586</v>
      </c>
      <c r="B1590" s="1085" t="str">
        <f t="shared" si="24"/>
        <v>Gabon</v>
      </c>
      <c r="C1590" s="1070" t="s">
        <v>3135</v>
      </c>
      <c r="D1590" s="822"/>
      <c r="E1590" s="822"/>
      <c r="F1590" s="822"/>
      <c r="G1590" s="822"/>
      <c r="H1590" s="822"/>
    </row>
    <row r="1591" spans="1:8" x14ac:dyDescent="0.25">
      <c r="A1591" s="820">
        <v>1587</v>
      </c>
      <c r="B1591" s="1085" t="str">
        <f t="shared" si="24"/>
        <v>Kuwaiti Dinar</v>
      </c>
      <c r="C1591" s="1070" t="s">
        <v>3692</v>
      </c>
      <c r="D1591" s="822"/>
      <c r="E1591" s="822"/>
      <c r="F1591" s="822"/>
      <c r="G1591" s="822"/>
      <c r="H1591" s="822"/>
    </row>
    <row r="1592" spans="1:8" x14ac:dyDescent="0.25">
      <c r="A1592" s="820">
        <v>1588</v>
      </c>
      <c r="B1592" s="1085" t="str">
        <f t="shared" si="24"/>
        <v>Cayman Islands Dollar</v>
      </c>
      <c r="C1592" s="1070" t="s">
        <v>3694</v>
      </c>
      <c r="D1592" s="822"/>
      <c r="E1592" s="822"/>
      <c r="F1592" s="822"/>
      <c r="G1592" s="822"/>
      <c r="H1592" s="822"/>
    </row>
    <row r="1593" spans="1:8" x14ac:dyDescent="0.25">
      <c r="A1593" s="820">
        <v>1589</v>
      </c>
      <c r="B1593" s="1085" t="str">
        <f t="shared" si="24"/>
        <v>Grenada</v>
      </c>
      <c r="C1593" s="1070" t="s">
        <v>3136</v>
      </c>
      <c r="D1593" s="822"/>
      <c r="E1593" s="822"/>
      <c r="F1593" s="822"/>
      <c r="G1593" s="822"/>
      <c r="H1593" s="822"/>
    </row>
    <row r="1594" spans="1:8" x14ac:dyDescent="0.25">
      <c r="A1594" s="820">
        <v>1590</v>
      </c>
      <c r="B1594" s="1085" t="str">
        <f t="shared" si="24"/>
        <v>Tenge</v>
      </c>
      <c r="C1594" s="1070" t="s">
        <v>3696</v>
      </c>
      <c r="D1594" s="822"/>
      <c r="E1594" s="822"/>
      <c r="F1594" s="822"/>
      <c r="G1594" s="822"/>
      <c r="H1594" s="822"/>
    </row>
    <row r="1595" spans="1:8" x14ac:dyDescent="0.25">
      <c r="A1595" s="820">
        <v>1591</v>
      </c>
      <c r="B1595" s="1085" t="str">
        <f t="shared" si="24"/>
        <v>Georgia</v>
      </c>
      <c r="C1595" s="1070" t="s">
        <v>3137</v>
      </c>
      <c r="D1595" s="822"/>
      <c r="E1595" s="822"/>
      <c r="F1595" s="822"/>
      <c r="G1595" s="822"/>
      <c r="H1595" s="822"/>
    </row>
    <row r="1596" spans="1:8" x14ac:dyDescent="0.25">
      <c r="A1596" s="820">
        <v>1592</v>
      </c>
      <c r="B1596" s="1085" t="str">
        <f t="shared" si="24"/>
        <v>Lao Kip</v>
      </c>
      <c r="C1596" s="1070" t="s">
        <v>3698</v>
      </c>
      <c r="D1596" s="822"/>
      <c r="E1596" s="822"/>
      <c r="F1596" s="822"/>
      <c r="G1596" s="822"/>
      <c r="H1596" s="822"/>
    </row>
    <row r="1597" spans="1:8" x14ac:dyDescent="0.25">
      <c r="A1597" s="820">
        <v>1593</v>
      </c>
      <c r="B1597" s="1085" t="str">
        <f t="shared" si="24"/>
        <v>French Guyana</v>
      </c>
      <c r="C1597" s="1070" t="s">
        <v>3138</v>
      </c>
      <c r="D1597" s="822"/>
      <c r="E1597" s="822"/>
      <c r="F1597" s="822"/>
      <c r="G1597" s="822"/>
      <c r="H1597" s="822"/>
    </row>
    <row r="1598" spans="1:8" x14ac:dyDescent="0.25">
      <c r="A1598" s="820">
        <v>1594</v>
      </c>
      <c r="B1598" s="1085" t="str">
        <f t="shared" si="24"/>
        <v>Lebanese Pound</v>
      </c>
      <c r="C1598" s="1070" t="s">
        <v>3700</v>
      </c>
      <c r="D1598" s="822"/>
      <c r="E1598" s="822"/>
      <c r="F1598" s="822"/>
      <c r="G1598" s="822"/>
      <c r="H1598" s="822"/>
    </row>
    <row r="1599" spans="1:8" x14ac:dyDescent="0.25">
      <c r="A1599" s="820">
        <v>1595</v>
      </c>
      <c r="B1599" s="1085" t="str">
        <f t="shared" si="24"/>
        <v>Guernsey</v>
      </c>
      <c r="C1599" s="1070" t="s">
        <v>3139</v>
      </c>
      <c r="D1599" s="822"/>
      <c r="E1599" s="822"/>
      <c r="F1599" s="822"/>
      <c r="G1599" s="822"/>
      <c r="H1599" s="822"/>
    </row>
    <row r="1600" spans="1:8" x14ac:dyDescent="0.25">
      <c r="A1600" s="820">
        <v>1596</v>
      </c>
      <c r="B1600" s="1085" t="str">
        <f t="shared" si="24"/>
        <v>Sri Lanka Rupee</v>
      </c>
      <c r="C1600" s="1070" t="s">
        <v>3702</v>
      </c>
      <c r="D1600" s="822"/>
      <c r="E1600" s="822"/>
      <c r="F1600" s="822"/>
      <c r="G1600" s="822"/>
      <c r="H1600" s="822"/>
    </row>
    <row r="1601" spans="1:8" x14ac:dyDescent="0.25">
      <c r="A1601" s="820">
        <v>1597</v>
      </c>
      <c r="B1601" s="1085" t="str">
        <f t="shared" si="24"/>
        <v>Ghana</v>
      </c>
      <c r="C1601" s="1070" t="s">
        <v>3140</v>
      </c>
      <c r="D1601" s="822"/>
      <c r="E1601" s="822"/>
      <c r="F1601" s="822"/>
      <c r="G1601" s="822"/>
      <c r="H1601" s="822"/>
    </row>
    <row r="1602" spans="1:8" x14ac:dyDescent="0.25">
      <c r="A1602" s="820">
        <v>1598</v>
      </c>
      <c r="B1602" s="1085" t="str">
        <f t="shared" si="24"/>
        <v>Liberian Dollar</v>
      </c>
      <c r="C1602" s="1070" t="s">
        <v>3704</v>
      </c>
      <c r="D1602" s="822"/>
      <c r="E1602" s="822"/>
      <c r="F1602" s="822"/>
      <c r="G1602" s="822"/>
      <c r="H1602" s="822"/>
    </row>
    <row r="1603" spans="1:8" x14ac:dyDescent="0.25">
      <c r="A1603" s="820">
        <v>1599</v>
      </c>
      <c r="B1603" s="1085" t="str">
        <f t="shared" si="24"/>
        <v>Gibraltar</v>
      </c>
      <c r="C1603" s="1070" t="s">
        <v>3141</v>
      </c>
      <c r="D1603" s="822"/>
      <c r="E1603" s="822"/>
      <c r="F1603" s="822"/>
      <c r="G1603" s="822"/>
      <c r="H1603" s="822"/>
    </row>
    <row r="1604" spans="1:8" x14ac:dyDescent="0.25">
      <c r="A1604" s="820">
        <v>1600</v>
      </c>
      <c r="B1604" s="1085" t="str">
        <f t="shared" si="24"/>
        <v>Loti</v>
      </c>
      <c r="C1604" s="1070" t="s">
        <v>3706</v>
      </c>
      <c r="D1604" s="822"/>
      <c r="E1604" s="822"/>
      <c r="F1604" s="822"/>
      <c r="G1604" s="822"/>
      <c r="H1604" s="822"/>
    </row>
    <row r="1605" spans="1:8" x14ac:dyDescent="0.25">
      <c r="A1605" s="820">
        <v>1601</v>
      </c>
      <c r="B1605" s="1085" t="str">
        <f t="shared" si="24"/>
        <v>Greenland</v>
      </c>
      <c r="C1605" s="1070" t="s">
        <v>3142</v>
      </c>
      <c r="D1605" s="822"/>
      <c r="E1605" s="822"/>
      <c r="F1605" s="822"/>
      <c r="G1605" s="822"/>
      <c r="H1605" s="822"/>
    </row>
    <row r="1606" spans="1:8" x14ac:dyDescent="0.25">
      <c r="A1606" s="820">
        <v>1602</v>
      </c>
      <c r="B1606" s="1085" t="str">
        <f t="shared" ref="B1606:B1669" si="25">IFERROR(INDEX(C1606:M1606,$A$3-2),$C1606)</f>
        <v>Libyan Dinar</v>
      </c>
      <c r="C1606" s="1070" t="s">
        <v>3708</v>
      </c>
      <c r="D1606" s="822"/>
      <c r="E1606" s="822"/>
      <c r="F1606" s="822"/>
      <c r="G1606" s="822"/>
      <c r="H1606" s="822"/>
    </row>
    <row r="1607" spans="1:8" x14ac:dyDescent="0.25">
      <c r="A1607" s="820">
        <v>1603</v>
      </c>
      <c r="B1607" s="1085" t="str">
        <f t="shared" si="25"/>
        <v>Gambia</v>
      </c>
      <c r="C1607" s="1070" t="s">
        <v>3143</v>
      </c>
      <c r="D1607" s="822"/>
      <c r="E1607" s="822"/>
      <c r="F1607" s="822"/>
      <c r="G1607" s="822"/>
      <c r="H1607" s="822"/>
    </row>
    <row r="1608" spans="1:8" x14ac:dyDescent="0.25">
      <c r="A1608" s="820">
        <v>1604</v>
      </c>
      <c r="B1608" s="1085" t="str">
        <f t="shared" si="25"/>
        <v>Moroccan Dirham</v>
      </c>
      <c r="C1608" s="1070" t="s">
        <v>3710</v>
      </c>
      <c r="D1608" s="822"/>
      <c r="E1608" s="822"/>
      <c r="F1608" s="822"/>
      <c r="G1608" s="822"/>
      <c r="H1608" s="822"/>
    </row>
    <row r="1609" spans="1:8" x14ac:dyDescent="0.25">
      <c r="A1609" s="820">
        <v>1605</v>
      </c>
      <c r="B1609" s="1085" t="str">
        <f t="shared" si="25"/>
        <v>Guinea</v>
      </c>
      <c r="C1609" s="1070" t="s">
        <v>3144</v>
      </c>
      <c r="D1609" s="822"/>
      <c r="E1609" s="822"/>
      <c r="F1609" s="822"/>
      <c r="G1609" s="822"/>
      <c r="H1609" s="822"/>
    </row>
    <row r="1610" spans="1:8" x14ac:dyDescent="0.25">
      <c r="A1610" s="820">
        <v>1606</v>
      </c>
      <c r="B1610" s="1085" t="str">
        <f t="shared" si="25"/>
        <v>Moldovan Leu</v>
      </c>
      <c r="C1610" s="1070" t="s">
        <v>3712</v>
      </c>
      <c r="D1610" s="822"/>
      <c r="E1610" s="822"/>
      <c r="F1610" s="822"/>
      <c r="G1610" s="822"/>
      <c r="H1610" s="822"/>
    </row>
    <row r="1611" spans="1:8" x14ac:dyDescent="0.25">
      <c r="A1611" s="820">
        <v>1607</v>
      </c>
      <c r="B1611" s="1085" t="str">
        <f t="shared" si="25"/>
        <v>Guadeloupe</v>
      </c>
      <c r="C1611" s="1070" t="s">
        <v>3145</v>
      </c>
      <c r="D1611" s="822"/>
      <c r="E1611" s="822"/>
      <c r="F1611" s="822"/>
      <c r="G1611" s="822"/>
      <c r="H1611" s="822"/>
    </row>
    <row r="1612" spans="1:8" x14ac:dyDescent="0.25">
      <c r="A1612" s="820">
        <v>1608</v>
      </c>
      <c r="B1612" s="1085" t="str">
        <f t="shared" si="25"/>
        <v>Malagasy Ariary</v>
      </c>
      <c r="C1612" s="1070" t="s">
        <v>3714</v>
      </c>
      <c r="D1612" s="822"/>
      <c r="E1612" s="822"/>
      <c r="F1612" s="822"/>
      <c r="G1612" s="822"/>
      <c r="H1612" s="822"/>
    </row>
    <row r="1613" spans="1:8" x14ac:dyDescent="0.25">
      <c r="A1613" s="820">
        <v>1609</v>
      </c>
      <c r="B1613" s="1085" t="str">
        <f t="shared" si="25"/>
        <v>Equatorial Guinea</v>
      </c>
      <c r="C1613" s="1070" t="s">
        <v>3146</v>
      </c>
      <c r="D1613" s="822"/>
      <c r="E1613" s="822"/>
      <c r="F1613" s="822"/>
      <c r="G1613" s="822"/>
      <c r="H1613" s="822"/>
    </row>
    <row r="1614" spans="1:8" x14ac:dyDescent="0.25">
      <c r="A1614" s="820">
        <v>1610</v>
      </c>
      <c r="B1614" s="1085" t="str">
        <f t="shared" si="25"/>
        <v>Denar</v>
      </c>
      <c r="C1614" s="1070" t="s">
        <v>3716</v>
      </c>
      <c r="D1614" s="822"/>
      <c r="E1614" s="822"/>
      <c r="F1614" s="822"/>
      <c r="G1614" s="822"/>
      <c r="H1614" s="822"/>
    </row>
    <row r="1615" spans="1:8" x14ac:dyDescent="0.25">
      <c r="A1615" s="820">
        <v>1611</v>
      </c>
      <c r="B1615" s="1085" t="str">
        <f t="shared" si="25"/>
        <v>Kyat</v>
      </c>
      <c r="C1615" s="1070" t="s">
        <v>3718</v>
      </c>
      <c r="D1615" s="822"/>
      <c r="E1615" s="822"/>
      <c r="F1615" s="822"/>
      <c r="G1615" s="822"/>
      <c r="H1615" s="822"/>
    </row>
    <row r="1616" spans="1:8" x14ac:dyDescent="0.25">
      <c r="A1616" s="820">
        <v>1612</v>
      </c>
      <c r="B1616" s="1085" t="str">
        <f t="shared" si="25"/>
        <v>South Georgia and South Sandwich</v>
      </c>
      <c r="C1616" s="1070" t="s">
        <v>3147</v>
      </c>
      <c r="D1616" s="822"/>
      <c r="E1616" s="822"/>
      <c r="F1616" s="822"/>
      <c r="G1616" s="822"/>
      <c r="H1616" s="822"/>
    </row>
    <row r="1617" spans="1:8" x14ac:dyDescent="0.25">
      <c r="A1617" s="820">
        <v>1613</v>
      </c>
      <c r="B1617" s="1085" t="str">
        <f t="shared" si="25"/>
        <v>Tugrik</v>
      </c>
      <c r="C1617" s="1070" t="s">
        <v>3720</v>
      </c>
      <c r="D1617" s="822"/>
      <c r="E1617" s="822"/>
      <c r="F1617" s="822"/>
      <c r="G1617" s="822"/>
      <c r="H1617" s="822"/>
    </row>
    <row r="1618" spans="1:8" x14ac:dyDescent="0.25">
      <c r="A1618" s="820">
        <v>1614</v>
      </c>
      <c r="B1618" s="1085" t="str">
        <f t="shared" si="25"/>
        <v>Guatemala</v>
      </c>
      <c r="C1618" s="1070" t="s">
        <v>3148</v>
      </c>
      <c r="D1618" s="822"/>
      <c r="E1618" s="822"/>
      <c r="F1618" s="822"/>
      <c r="G1618" s="822"/>
      <c r="H1618" s="822"/>
    </row>
    <row r="1619" spans="1:8" x14ac:dyDescent="0.25">
      <c r="A1619" s="820">
        <v>1615</v>
      </c>
      <c r="B1619" s="1085" t="str">
        <f t="shared" si="25"/>
        <v>Pataca</v>
      </c>
      <c r="C1619" s="1070" t="s">
        <v>3722</v>
      </c>
      <c r="D1619" s="822"/>
      <c r="E1619" s="822"/>
      <c r="F1619" s="822"/>
      <c r="G1619" s="822"/>
      <c r="H1619" s="822"/>
    </row>
    <row r="1620" spans="1:8" x14ac:dyDescent="0.25">
      <c r="A1620" s="820">
        <v>1616</v>
      </c>
      <c r="B1620" s="1085" t="str">
        <f t="shared" si="25"/>
        <v>Guam</v>
      </c>
      <c r="C1620" s="1070" t="s">
        <v>3149</v>
      </c>
      <c r="D1620" s="822"/>
      <c r="E1620" s="822"/>
      <c r="F1620" s="822"/>
      <c r="G1620" s="822"/>
      <c r="H1620" s="822"/>
    </row>
    <row r="1621" spans="1:8" x14ac:dyDescent="0.25">
      <c r="A1621" s="820">
        <v>1617</v>
      </c>
      <c r="B1621" s="1085" t="str">
        <f t="shared" si="25"/>
        <v>Ouguiya</v>
      </c>
      <c r="C1621" s="1070" t="s">
        <v>3724</v>
      </c>
      <c r="D1621" s="822"/>
      <c r="E1621" s="822"/>
      <c r="F1621" s="822"/>
      <c r="G1621" s="822"/>
      <c r="H1621" s="822"/>
    </row>
    <row r="1622" spans="1:8" x14ac:dyDescent="0.25">
      <c r="A1622" s="820">
        <v>1618</v>
      </c>
      <c r="B1622" s="1085" t="str">
        <f t="shared" si="25"/>
        <v>Guinea-Bissau</v>
      </c>
      <c r="C1622" s="1070" t="s">
        <v>3150</v>
      </c>
      <c r="D1622" s="822"/>
      <c r="E1622" s="822"/>
      <c r="F1622" s="822"/>
      <c r="G1622" s="822"/>
      <c r="H1622" s="822"/>
    </row>
    <row r="1623" spans="1:8" x14ac:dyDescent="0.25">
      <c r="A1623" s="820">
        <v>1619</v>
      </c>
      <c r="B1623" s="1085" t="str">
        <f t="shared" si="25"/>
        <v>Mauritius Rupee</v>
      </c>
      <c r="C1623" s="1070" t="s">
        <v>3726</v>
      </c>
      <c r="D1623" s="822"/>
      <c r="E1623" s="822"/>
      <c r="F1623" s="822"/>
      <c r="G1623" s="822"/>
      <c r="H1623" s="822"/>
    </row>
    <row r="1624" spans="1:8" x14ac:dyDescent="0.25">
      <c r="A1624" s="820">
        <v>1620</v>
      </c>
      <c r="B1624" s="1085" t="str">
        <f t="shared" si="25"/>
        <v>Guyana</v>
      </c>
      <c r="C1624" s="1070" t="s">
        <v>3151</v>
      </c>
      <c r="D1624" s="822"/>
      <c r="E1624" s="822"/>
      <c r="F1624" s="822"/>
      <c r="G1624" s="822"/>
      <c r="H1624" s="822"/>
    </row>
    <row r="1625" spans="1:8" x14ac:dyDescent="0.25">
      <c r="A1625" s="820">
        <v>1621</v>
      </c>
      <c r="B1625" s="1085" t="str">
        <f t="shared" si="25"/>
        <v>Rufiyaa</v>
      </c>
      <c r="C1625" s="1070" t="s">
        <v>3728</v>
      </c>
      <c r="D1625" s="822"/>
      <c r="E1625" s="822"/>
      <c r="F1625" s="822"/>
      <c r="G1625" s="822"/>
      <c r="H1625" s="822"/>
    </row>
    <row r="1626" spans="1:8" x14ac:dyDescent="0.25">
      <c r="A1626" s="820">
        <v>1622</v>
      </c>
      <c r="B1626" s="1085" t="str">
        <f t="shared" si="25"/>
        <v>Hong Kong</v>
      </c>
      <c r="C1626" s="1070" t="s">
        <v>3152</v>
      </c>
      <c r="D1626" s="822"/>
      <c r="E1626" s="822"/>
      <c r="F1626" s="822"/>
      <c r="G1626" s="822"/>
      <c r="H1626" s="822"/>
    </row>
    <row r="1627" spans="1:8" x14ac:dyDescent="0.25">
      <c r="A1627" s="820">
        <v>1623</v>
      </c>
      <c r="B1627" s="1085" t="str">
        <f t="shared" si="25"/>
        <v>Malawi Kwacha</v>
      </c>
      <c r="C1627" s="1070" t="s">
        <v>3730</v>
      </c>
      <c r="D1627" s="822"/>
      <c r="E1627" s="822"/>
      <c r="F1627" s="822"/>
      <c r="G1627" s="822"/>
      <c r="H1627" s="822"/>
    </row>
    <row r="1628" spans="1:8" x14ac:dyDescent="0.25">
      <c r="A1628" s="820">
        <v>1624</v>
      </c>
      <c r="B1628" s="1085" t="str">
        <f t="shared" si="25"/>
        <v>Heard Island and McDonald Islands</v>
      </c>
      <c r="C1628" s="1070" t="s">
        <v>3153</v>
      </c>
      <c r="D1628" s="822"/>
      <c r="E1628" s="822"/>
      <c r="F1628" s="822"/>
      <c r="G1628" s="822"/>
      <c r="H1628" s="822"/>
    </row>
    <row r="1629" spans="1:8" x14ac:dyDescent="0.25">
      <c r="A1629" s="820">
        <v>1625</v>
      </c>
      <c r="B1629" s="1085" t="str">
        <f t="shared" si="25"/>
        <v>Mexican Peso</v>
      </c>
      <c r="C1629" s="1070" t="s">
        <v>3732</v>
      </c>
      <c r="D1629" s="822"/>
      <c r="E1629" s="822"/>
      <c r="F1629" s="822"/>
      <c r="G1629" s="822"/>
      <c r="H1629" s="822"/>
    </row>
    <row r="1630" spans="1:8" x14ac:dyDescent="0.25">
      <c r="A1630" s="820">
        <v>1626</v>
      </c>
      <c r="B1630" s="1085" t="str">
        <f t="shared" si="25"/>
        <v>Honduras</v>
      </c>
      <c r="C1630" s="1070" t="s">
        <v>3154</v>
      </c>
      <c r="D1630" s="822"/>
      <c r="E1630" s="822"/>
      <c r="F1630" s="822"/>
      <c r="G1630" s="822"/>
      <c r="H1630" s="822"/>
    </row>
    <row r="1631" spans="1:8" x14ac:dyDescent="0.25">
      <c r="A1631" s="820">
        <v>1627</v>
      </c>
      <c r="B1631" s="1085" t="str">
        <f t="shared" si="25"/>
        <v>Mexican Unidad de Inversion (UDI)</v>
      </c>
      <c r="C1631" s="1070" t="s">
        <v>3734</v>
      </c>
      <c r="D1631" s="822"/>
      <c r="E1631" s="822"/>
      <c r="F1631" s="822"/>
      <c r="G1631" s="822"/>
      <c r="H1631" s="822"/>
    </row>
    <row r="1632" spans="1:8" x14ac:dyDescent="0.25">
      <c r="A1632" s="820">
        <v>1628</v>
      </c>
      <c r="B1632" s="1085" t="str">
        <f t="shared" si="25"/>
        <v>Malaysian Ringgit</v>
      </c>
      <c r="C1632" s="1070" t="s">
        <v>3736</v>
      </c>
      <c r="D1632" s="822"/>
      <c r="E1632" s="822"/>
      <c r="F1632" s="822"/>
      <c r="G1632" s="822"/>
      <c r="H1632" s="822"/>
    </row>
    <row r="1633" spans="1:8" x14ac:dyDescent="0.25">
      <c r="A1633" s="820">
        <v>1629</v>
      </c>
      <c r="B1633" s="1085" t="str">
        <f t="shared" si="25"/>
        <v>Haiti</v>
      </c>
      <c r="C1633" s="1070" t="s">
        <v>3155</v>
      </c>
      <c r="D1633" s="822"/>
      <c r="E1633" s="822"/>
      <c r="F1633" s="822"/>
      <c r="G1633" s="822"/>
      <c r="H1633" s="822"/>
    </row>
    <row r="1634" spans="1:8" x14ac:dyDescent="0.25">
      <c r="A1634" s="820">
        <v>1630</v>
      </c>
      <c r="B1634" s="1085" t="str">
        <f t="shared" si="25"/>
        <v>Mozambique Metical</v>
      </c>
      <c r="C1634" s="1070" t="s">
        <v>3738</v>
      </c>
      <c r="D1634" s="822"/>
      <c r="E1634" s="822"/>
      <c r="F1634" s="822"/>
      <c r="G1634" s="822"/>
      <c r="H1634" s="822"/>
    </row>
    <row r="1635" spans="1:8" x14ac:dyDescent="0.25">
      <c r="A1635" s="820">
        <v>1631</v>
      </c>
      <c r="B1635" s="1085" t="str">
        <f t="shared" si="25"/>
        <v>Namibia Dollar</v>
      </c>
      <c r="C1635" s="1070" t="s">
        <v>3740</v>
      </c>
      <c r="D1635" s="822"/>
      <c r="E1635" s="822"/>
      <c r="F1635" s="822"/>
      <c r="G1635" s="822"/>
      <c r="H1635" s="822"/>
    </row>
    <row r="1636" spans="1:8" x14ac:dyDescent="0.25">
      <c r="A1636" s="820">
        <v>1632</v>
      </c>
      <c r="B1636" s="1085" t="str">
        <f t="shared" si="25"/>
        <v>Indonesia</v>
      </c>
      <c r="C1636" s="1070" t="s">
        <v>3156</v>
      </c>
      <c r="D1636" s="822"/>
      <c r="E1636" s="822"/>
      <c r="F1636" s="822"/>
      <c r="G1636" s="822"/>
      <c r="H1636" s="822"/>
    </row>
    <row r="1637" spans="1:8" x14ac:dyDescent="0.25">
      <c r="A1637" s="820">
        <v>1633</v>
      </c>
      <c r="B1637" s="1085" t="str">
        <f t="shared" si="25"/>
        <v>Naira</v>
      </c>
      <c r="C1637" s="1070" t="s">
        <v>3742</v>
      </c>
      <c r="D1637" s="822"/>
      <c r="E1637" s="822"/>
      <c r="F1637" s="822"/>
      <c r="G1637" s="822"/>
      <c r="H1637" s="822"/>
    </row>
    <row r="1638" spans="1:8" x14ac:dyDescent="0.25">
      <c r="A1638" s="820">
        <v>1634</v>
      </c>
      <c r="B1638" s="1085" t="str">
        <f t="shared" si="25"/>
        <v>Cordoba Oro</v>
      </c>
      <c r="C1638" s="1070" t="s">
        <v>3744</v>
      </c>
      <c r="D1638" s="822"/>
      <c r="E1638" s="822"/>
      <c r="F1638" s="822"/>
      <c r="G1638" s="822"/>
      <c r="H1638" s="822"/>
    </row>
    <row r="1639" spans="1:8" x14ac:dyDescent="0.25">
      <c r="A1639" s="820">
        <v>1635</v>
      </c>
      <c r="B1639" s="1085" t="str">
        <f t="shared" si="25"/>
        <v>Israel</v>
      </c>
      <c r="C1639" s="1070" t="s">
        <v>3157</v>
      </c>
      <c r="D1639" s="822"/>
      <c r="E1639" s="822"/>
      <c r="F1639" s="822"/>
      <c r="G1639" s="822"/>
      <c r="H1639" s="822"/>
    </row>
    <row r="1640" spans="1:8" x14ac:dyDescent="0.25">
      <c r="A1640" s="820">
        <v>1636</v>
      </c>
      <c r="B1640" s="1085" t="str">
        <f t="shared" si="25"/>
        <v>Norwegian Krone</v>
      </c>
      <c r="C1640" s="1070" t="s">
        <v>3746</v>
      </c>
      <c r="D1640" s="822"/>
      <c r="E1640" s="822"/>
      <c r="F1640" s="822"/>
      <c r="G1640" s="822"/>
      <c r="H1640" s="822"/>
    </row>
    <row r="1641" spans="1:8" x14ac:dyDescent="0.25">
      <c r="A1641" s="820">
        <v>1637</v>
      </c>
      <c r="B1641" s="1085" t="str">
        <f t="shared" si="25"/>
        <v>Isle of Man</v>
      </c>
      <c r="C1641" s="1070" t="s">
        <v>3158</v>
      </c>
      <c r="D1641" s="822"/>
      <c r="E1641" s="822"/>
      <c r="F1641" s="822"/>
      <c r="G1641" s="822"/>
      <c r="H1641" s="822"/>
    </row>
    <row r="1642" spans="1:8" x14ac:dyDescent="0.25">
      <c r="A1642" s="820">
        <v>1638</v>
      </c>
      <c r="B1642" s="1085" t="str">
        <f t="shared" si="25"/>
        <v>Nepalese Rupee</v>
      </c>
      <c r="C1642" s="1070" t="s">
        <v>3748</v>
      </c>
      <c r="D1642" s="822"/>
      <c r="E1642" s="822"/>
      <c r="F1642" s="822"/>
      <c r="G1642" s="822"/>
      <c r="H1642" s="822"/>
    </row>
    <row r="1643" spans="1:8" x14ac:dyDescent="0.25">
      <c r="A1643" s="820">
        <v>1639</v>
      </c>
      <c r="B1643" s="1085" t="str">
        <f t="shared" si="25"/>
        <v>India</v>
      </c>
      <c r="C1643" s="1070" t="s">
        <v>3159</v>
      </c>
      <c r="D1643" s="822"/>
      <c r="E1643" s="822"/>
      <c r="F1643" s="822"/>
      <c r="G1643" s="822"/>
      <c r="H1643" s="822"/>
    </row>
    <row r="1644" spans="1:8" x14ac:dyDescent="0.25">
      <c r="A1644" s="820">
        <v>1640</v>
      </c>
      <c r="B1644" s="1085" t="str">
        <f t="shared" si="25"/>
        <v>New Zealand Dollar</v>
      </c>
      <c r="C1644" s="1070" t="s">
        <v>3750</v>
      </c>
      <c r="D1644" s="822"/>
      <c r="E1644" s="822"/>
      <c r="F1644" s="822"/>
      <c r="G1644" s="822"/>
      <c r="H1644" s="822"/>
    </row>
    <row r="1645" spans="1:8" x14ac:dyDescent="0.25">
      <c r="A1645" s="820">
        <v>1641</v>
      </c>
      <c r="B1645" s="1085" t="str">
        <f t="shared" si="25"/>
        <v>British Indian Ocean Territory</v>
      </c>
      <c r="C1645" s="1070" t="s">
        <v>3160</v>
      </c>
      <c r="D1645" s="822"/>
      <c r="E1645" s="822"/>
      <c r="F1645" s="822"/>
      <c r="G1645" s="822"/>
      <c r="H1645" s="822"/>
    </row>
    <row r="1646" spans="1:8" x14ac:dyDescent="0.25">
      <c r="A1646" s="820">
        <v>1642</v>
      </c>
      <c r="B1646" s="1085" t="str">
        <f t="shared" si="25"/>
        <v>Rial Omani</v>
      </c>
      <c r="C1646" s="1070" t="s">
        <v>3752</v>
      </c>
      <c r="D1646" s="822"/>
      <c r="E1646" s="822"/>
      <c r="F1646" s="822"/>
      <c r="G1646" s="822"/>
      <c r="H1646" s="822"/>
    </row>
    <row r="1647" spans="1:8" x14ac:dyDescent="0.25">
      <c r="A1647" s="820">
        <v>1643</v>
      </c>
      <c r="B1647" s="1085" t="str">
        <f t="shared" si="25"/>
        <v>Iraq</v>
      </c>
      <c r="C1647" s="1070" t="s">
        <v>3161</v>
      </c>
      <c r="D1647" s="822"/>
      <c r="E1647" s="822"/>
      <c r="F1647" s="822"/>
      <c r="G1647" s="822"/>
      <c r="H1647" s="822"/>
    </row>
    <row r="1648" spans="1:8" x14ac:dyDescent="0.25">
      <c r="A1648" s="820">
        <v>1644</v>
      </c>
      <c r="B1648" s="1085" t="str">
        <f t="shared" si="25"/>
        <v>Balboa</v>
      </c>
      <c r="C1648" s="1070" t="s">
        <v>3754</v>
      </c>
      <c r="D1648" s="822"/>
      <c r="E1648" s="822"/>
      <c r="F1648" s="822"/>
      <c r="G1648" s="822"/>
      <c r="H1648" s="822"/>
    </row>
    <row r="1649" spans="1:8" x14ac:dyDescent="0.25">
      <c r="A1649" s="820">
        <v>1645</v>
      </c>
      <c r="B1649" s="1085" t="str">
        <f t="shared" si="25"/>
        <v>Iran, Islamic Republic of</v>
      </c>
      <c r="C1649" s="1070" t="s">
        <v>3162</v>
      </c>
      <c r="D1649" s="822"/>
      <c r="E1649" s="822"/>
      <c r="F1649" s="822"/>
      <c r="G1649" s="822"/>
      <c r="H1649" s="822"/>
    </row>
    <row r="1650" spans="1:8" x14ac:dyDescent="0.25">
      <c r="A1650" s="820">
        <v>1646</v>
      </c>
      <c r="B1650" s="1085" t="str">
        <f t="shared" si="25"/>
        <v>Sol</v>
      </c>
      <c r="C1650" s="1070" t="s">
        <v>3756</v>
      </c>
      <c r="D1650" s="822"/>
      <c r="E1650" s="822"/>
      <c r="F1650" s="822"/>
      <c r="G1650" s="822"/>
      <c r="H1650" s="822"/>
    </row>
    <row r="1651" spans="1:8" x14ac:dyDescent="0.25">
      <c r="A1651" s="820">
        <v>1647</v>
      </c>
      <c r="B1651" s="1085" t="str">
        <f t="shared" si="25"/>
        <v>Kina</v>
      </c>
      <c r="C1651" s="1070" t="s">
        <v>3111</v>
      </c>
      <c r="D1651" s="822"/>
      <c r="E1651" s="822"/>
      <c r="F1651" s="822"/>
      <c r="G1651" s="822"/>
      <c r="H1651" s="822"/>
    </row>
    <row r="1652" spans="1:8" x14ac:dyDescent="0.25">
      <c r="A1652" s="820">
        <v>1648</v>
      </c>
      <c r="B1652" s="1085" t="str">
        <f t="shared" si="25"/>
        <v>Philippine Peso</v>
      </c>
      <c r="C1652" s="1070" t="s">
        <v>3759</v>
      </c>
      <c r="D1652" s="822"/>
      <c r="E1652" s="822"/>
      <c r="F1652" s="822"/>
      <c r="G1652" s="822"/>
      <c r="H1652" s="822"/>
    </row>
    <row r="1653" spans="1:8" x14ac:dyDescent="0.25">
      <c r="A1653" s="820">
        <v>1649</v>
      </c>
      <c r="B1653" s="1085" t="str">
        <f t="shared" si="25"/>
        <v>Jersey</v>
      </c>
      <c r="C1653" s="1070" t="s">
        <v>3163</v>
      </c>
      <c r="D1653" s="822"/>
      <c r="E1653" s="822"/>
      <c r="F1653" s="822"/>
      <c r="G1653" s="822"/>
      <c r="H1653" s="822"/>
    </row>
    <row r="1654" spans="1:8" x14ac:dyDescent="0.25">
      <c r="A1654" s="820">
        <v>1650</v>
      </c>
      <c r="B1654" s="1085" t="str">
        <f t="shared" si="25"/>
        <v>Pakistan Rupee</v>
      </c>
      <c r="C1654" s="1070" t="s">
        <v>3761</v>
      </c>
      <c r="D1654" s="822"/>
      <c r="E1654" s="822"/>
      <c r="F1654" s="822"/>
      <c r="G1654" s="822"/>
      <c r="H1654" s="822"/>
    </row>
    <row r="1655" spans="1:8" x14ac:dyDescent="0.25">
      <c r="A1655" s="820">
        <v>1651</v>
      </c>
      <c r="B1655" s="1085" t="str">
        <f t="shared" si="25"/>
        <v>Jamaica</v>
      </c>
      <c r="C1655" s="1070" t="s">
        <v>3164</v>
      </c>
      <c r="D1655" s="822"/>
      <c r="E1655" s="822"/>
      <c r="F1655" s="822"/>
      <c r="G1655" s="822"/>
      <c r="H1655" s="822"/>
    </row>
    <row r="1656" spans="1:8" x14ac:dyDescent="0.25">
      <c r="A1656" s="820">
        <v>1652</v>
      </c>
      <c r="B1656" s="1085" t="str">
        <f t="shared" si="25"/>
        <v>Zloty</v>
      </c>
      <c r="C1656" s="1070" t="s">
        <v>3763</v>
      </c>
      <c r="D1656" s="822"/>
      <c r="E1656" s="822"/>
      <c r="F1656" s="822"/>
      <c r="G1656" s="822"/>
      <c r="H1656" s="822"/>
    </row>
    <row r="1657" spans="1:8" x14ac:dyDescent="0.25">
      <c r="A1657" s="820">
        <v>1653</v>
      </c>
      <c r="B1657" s="1085" t="str">
        <f t="shared" si="25"/>
        <v>Jordan</v>
      </c>
      <c r="C1657" s="1070" t="s">
        <v>3165</v>
      </c>
      <c r="D1657" s="822"/>
      <c r="E1657" s="822"/>
      <c r="F1657" s="822"/>
      <c r="G1657" s="822"/>
      <c r="H1657" s="822"/>
    </row>
    <row r="1658" spans="1:8" x14ac:dyDescent="0.25">
      <c r="A1658" s="820">
        <v>1654</v>
      </c>
      <c r="B1658" s="1085" t="str">
        <f t="shared" si="25"/>
        <v>Guarani</v>
      </c>
      <c r="C1658" s="1070" t="s">
        <v>3765</v>
      </c>
      <c r="D1658" s="822"/>
      <c r="E1658" s="822"/>
      <c r="F1658" s="822"/>
      <c r="G1658" s="822"/>
      <c r="H1658" s="822"/>
    </row>
    <row r="1659" spans="1:8" x14ac:dyDescent="0.25">
      <c r="A1659" s="820">
        <v>1655</v>
      </c>
      <c r="B1659" s="1085" t="str">
        <f t="shared" si="25"/>
        <v>Japan</v>
      </c>
      <c r="C1659" s="1070" t="s">
        <v>3166</v>
      </c>
      <c r="D1659" s="822"/>
      <c r="E1659" s="822"/>
      <c r="F1659" s="822"/>
      <c r="G1659" s="822"/>
      <c r="H1659" s="822"/>
    </row>
    <row r="1660" spans="1:8" x14ac:dyDescent="0.25">
      <c r="A1660" s="820">
        <v>1656</v>
      </c>
      <c r="B1660" s="1085" t="str">
        <f t="shared" si="25"/>
        <v>Qatari Rial</v>
      </c>
      <c r="C1660" s="1070" t="s">
        <v>3767</v>
      </c>
      <c r="D1660" s="822"/>
      <c r="E1660" s="822"/>
      <c r="F1660" s="822"/>
      <c r="G1660" s="822"/>
      <c r="H1660" s="822"/>
    </row>
    <row r="1661" spans="1:8" x14ac:dyDescent="0.25">
      <c r="A1661" s="820">
        <v>1657</v>
      </c>
      <c r="B1661" s="1085" t="str">
        <f t="shared" si="25"/>
        <v>Kenya</v>
      </c>
      <c r="C1661" s="1070" t="s">
        <v>3167</v>
      </c>
      <c r="D1661" s="822"/>
      <c r="E1661" s="822"/>
      <c r="F1661" s="822"/>
      <c r="G1661" s="822"/>
      <c r="H1661" s="822"/>
    </row>
    <row r="1662" spans="1:8" x14ac:dyDescent="0.25">
      <c r="A1662" s="820">
        <v>1658</v>
      </c>
      <c r="B1662" s="1085" t="str">
        <f t="shared" si="25"/>
        <v>Romanian Leu</v>
      </c>
      <c r="C1662" s="1070" t="s">
        <v>3769</v>
      </c>
      <c r="D1662" s="822"/>
      <c r="E1662" s="822"/>
      <c r="F1662" s="822"/>
      <c r="G1662" s="822"/>
      <c r="H1662" s="822"/>
    </row>
    <row r="1663" spans="1:8" x14ac:dyDescent="0.25">
      <c r="A1663" s="820">
        <v>1659</v>
      </c>
      <c r="B1663" s="1085" t="str">
        <f t="shared" si="25"/>
        <v>Kyrgyz, Republic</v>
      </c>
      <c r="C1663" s="1070" t="s">
        <v>3168</v>
      </c>
      <c r="D1663" s="822"/>
      <c r="E1663" s="822"/>
      <c r="F1663" s="822"/>
      <c r="G1663" s="822"/>
      <c r="H1663" s="822"/>
    </row>
    <row r="1664" spans="1:8" x14ac:dyDescent="0.25">
      <c r="A1664" s="820">
        <v>1660</v>
      </c>
      <c r="B1664" s="1085" t="str">
        <f t="shared" si="25"/>
        <v>Serbian Dinar</v>
      </c>
      <c r="C1664" s="1070" t="s">
        <v>3771</v>
      </c>
      <c r="D1664" s="822"/>
      <c r="E1664" s="822"/>
      <c r="F1664" s="822"/>
      <c r="G1664" s="822"/>
      <c r="H1664" s="822"/>
    </row>
    <row r="1665" spans="1:8" x14ac:dyDescent="0.25">
      <c r="A1665" s="820">
        <v>1661</v>
      </c>
      <c r="B1665" s="1085" t="str">
        <f t="shared" si="25"/>
        <v>Cambodia</v>
      </c>
      <c r="C1665" s="1070" t="s">
        <v>3169</v>
      </c>
      <c r="D1665" s="822"/>
      <c r="E1665" s="822"/>
      <c r="F1665" s="822"/>
      <c r="G1665" s="822"/>
      <c r="H1665" s="822"/>
    </row>
    <row r="1666" spans="1:8" x14ac:dyDescent="0.25">
      <c r="A1666" s="820">
        <v>1662</v>
      </c>
      <c r="B1666" s="1085" t="str">
        <f t="shared" si="25"/>
        <v>Russian Ruble</v>
      </c>
      <c r="C1666" s="1070" t="s">
        <v>3773</v>
      </c>
      <c r="D1666" s="822"/>
      <c r="E1666" s="822"/>
      <c r="F1666" s="822"/>
      <c r="G1666" s="822"/>
      <c r="H1666" s="822"/>
    </row>
    <row r="1667" spans="1:8" x14ac:dyDescent="0.25">
      <c r="A1667" s="820">
        <v>1663</v>
      </c>
      <c r="B1667" s="1085" t="str">
        <f t="shared" si="25"/>
        <v>Kiribati</v>
      </c>
      <c r="C1667" s="1070" t="s">
        <v>3170</v>
      </c>
      <c r="D1667" s="822"/>
      <c r="E1667" s="822"/>
      <c r="F1667" s="822"/>
      <c r="G1667" s="822"/>
      <c r="H1667" s="822"/>
    </row>
    <row r="1668" spans="1:8" x14ac:dyDescent="0.25">
      <c r="A1668" s="820">
        <v>1664</v>
      </c>
      <c r="B1668" s="1085" t="str">
        <f t="shared" si="25"/>
        <v>Rwanda Franc</v>
      </c>
      <c r="C1668" s="1070" t="s">
        <v>3775</v>
      </c>
      <c r="D1668" s="822"/>
      <c r="E1668" s="822"/>
      <c r="F1668" s="822"/>
      <c r="G1668" s="822"/>
      <c r="H1668" s="822"/>
    </row>
    <row r="1669" spans="1:8" x14ac:dyDescent="0.25">
      <c r="A1669" s="820">
        <v>1665</v>
      </c>
      <c r="B1669" s="1085" t="str">
        <f t="shared" si="25"/>
        <v>Comoros</v>
      </c>
      <c r="C1669" s="1070" t="s">
        <v>3171</v>
      </c>
      <c r="D1669" s="822"/>
      <c r="E1669" s="822"/>
      <c r="F1669" s="822"/>
      <c r="G1669" s="822"/>
      <c r="H1669" s="822"/>
    </row>
    <row r="1670" spans="1:8" x14ac:dyDescent="0.25">
      <c r="A1670" s="820">
        <v>1666</v>
      </c>
      <c r="B1670" s="1085" t="str">
        <f t="shared" ref="B1670:B1733" si="26">IFERROR(INDEX(C1670:M1670,$A$3-2),$C1670)</f>
        <v>Saudi Riyal</v>
      </c>
      <c r="C1670" s="1070" t="s">
        <v>3777</v>
      </c>
      <c r="D1670" s="822"/>
      <c r="E1670" s="822"/>
      <c r="F1670" s="822"/>
      <c r="G1670" s="822"/>
      <c r="H1670" s="822"/>
    </row>
    <row r="1671" spans="1:8" x14ac:dyDescent="0.25">
      <c r="A1671" s="820">
        <v>1667</v>
      </c>
      <c r="B1671" s="1085" t="str">
        <f t="shared" si="26"/>
        <v>St Kitts and Nevis</v>
      </c>
      <c r="C1671" s="1070" t="s">
        <v>3172</v>
      </c>
      <c r="D1671" s="822"/>
      <c r="E1671" s="822"/>
      <c r="F1671" s="822"/>
      <c r="G1671" s="822"/>
      <c r="H1671" s="822"/>
    </row>
    <row r="1672" spans="1:8" x14ac:dyDescent="0.25">
      <c r="A1672" s="820">
        <v>1668</v>
      </c>
      <c r="B1672" s="1085" t="str">
        <f t="shared" si="26"/>
        <v>Solomon Islands Dollar</v>
      </c>
      <c r="C1672" s="1070" t="s">
        <v>3779</v>
      </c>
      <c r="D1672" s="822"/>
      <c r="E1672" s="822"/>
      <c r="F1672" s="822"/>
      <c r="G1672" s="822"/>
      <c r="H1672" s="822"/>
    </row>
    <row r="1673" spans="1:8" x14ac:dyDescent="0.25">
      <c r="A1673" s="820">
        <v>1669</v>
      </c>
      <c r="B1673" s="1085" t="str">
        <f t="shared" si="26"/>
        <v>Korea, Democratic People’s Republ</v>
      </c>
      <c r="C1673" s="1070" t="s">
        <v>3173</v>
      </c>
      <c r="D1673" s="822"/>
      <c r="E1673" s="822"/>
      <c r="F1673" s="822"/>
      <c r="G1673" s="822"/>
      <c r="H1673" s="822"/>
    </row>
    <row r="1674" spans="1:8" x14ac:dyDescent="0.25">
      <c r="A1674" s="820">
        <v>1670</v>
      </c>
      <c r="B1674" s="1085" t="str">
        <f t="shared" si="26"/>
        <v>Seychelles Rupee</v>
      </c>
      <c r="C1674" s="1070" t="s">
        <v>3781</v>
      </c>
      <c r="D1674" s="822"/>
      <c r="E1674" s="822"/>
      <c r="F1674" s="822"/>
      <c r="G1674" s="822"/>
      <c r="H1674" s="822"/>
    </row>
    <row r="1675" spans="1:8" x14ac:dyDescent="0.25">
      <c r="A1675" s="820">
        <v>1671</v>
      </c>
      <c r="B1675" s="1085" t="str">
        <f t="shared" si="26"/>
        <v>Korea, Republic of</v>
      </c>
      <c r="C1675" s="1070" t="s">
        <v>3174</v>
      </c>
      <c r="D1675" s="822"/>
      <c r="E1675" s="822"/>
      <c r="F1675" s="822"/>
      <c r="G1675" s="822"/>
      <c r="H1675" s="822"/>
    </row>
    <row r="1676" spans="1:8" x14ac:dyDescent="0.25">
      <c r="A1676" s="820">
        <v>1672</v>
      </c>
      <c r="B1676" s="1085" t="str">
        <f t="shared" si="26"/>
        <v>Sudanese Pound</v>
      </c>
      <c r="C1676" s="1070" t="s">
        <v>3783</v>
      </c>
      <c r="D1676" s="822"/>
      <c r="E1676" s="822"/>
      <c r="F1676" s="822"/>
      <c r="G1676" s="822"/>
      <c r="H1676" s="822"/>
    </row>
    <row r="1677" spans="1:8" x14ac:dyDescent="0.25">
      <c r="A1677" s="820">
        <v>1673</v>
      </c>
      <c r="B1677" s="1085" t="str">
        <f t="shared" si="26"/>
        <v>Kuwait</v>
      </c>
      <c r="C1677" s="1070" t="s">
        <v>3175</v>
      </c>
      <c r="D1677" s="822"/>
      <c r="E1677" s="822"/>
      <c r="F1677" s="822"/>
      <c r="G1677" s="822"/>
      <c r="H1677" s="822"/>
    </row>
    <row r="1678" spans="1:8" x14ac:dyDescent="0.25">
      <c r="A1678" s="820">
        <v>1674</v>
      </c>
      <c r="B1678" s="1085" t="str">
        <f t="shared" si="26"/>
        <v>Swedish Krona</v>
      </c>
      <c r="C1678" s="1070" t="s">
        <v>3785</v>
      </c>
      <c r="D1678" s="822"/>
      <c r="E1678" s="822"/>
      <c r="F1678" s="822"/>
      <c r="G1678" s="822"/>
      <c r="H1678" s="822"/>
    </row>
    <row r="1679" spans="1:8" x14ac:dyDescent="0.25">
      <c r="A1679" s="820">
        <v>1675</v>
      </c>
      <c r="B1679" s="1085" t="str">
        <f t="shared" si="26"/>
        <v>Cayman Islands</v>
      </c>
      <c r="C1679" s="1070" t="s">
        <v>3176</v>
      </c>
      <c r="D1679" s="822"/>
      <c r="E1679" s="822"/>
      <c r="F1679" s="822"/>
      <c r="G1679" s="822"/>
      <c r="H1679" s="822"/>
    </row>
    <row r="1680" spans="1:8" x14ac:dyDescent="0.25">
      <c r="A1680" s="820">
        <v>1676</v>
      </c>
      <c r="B1680" s="1085" t="str">
        <f t="shared" si="26"/>
        <v>Singapore Dollar</v>
      </c>
      <c r="C1680" s="1070" t="s">
        <v>3787</v>
      </c>
      <c r="D1680" s="822"/>
      <c r="E1680" s="822"/>
      <c r="F1680" s="822"/>
      <c r="G1680" s="822"/>
      <c r="H1680" s="822"/>
    </row>
    <row r="1681" spans="1:8" x14ac:dyDescent="0.25">
      <c r="A1681" s="820">
        <v>1677</v>
      </c>
      <c r="B1681" s="1085" t="str">
        <f t="shared" si="26"/>
        <v>Kazakhstan</v>
      </c>
      <c r="C1681" s="1070" t="s">
        <v>3177</v>
      </c>
      <c r="D1681" s="822"/>
      <c r="E1681" s="822"/>
      <c r="F1681" s="822"/>
      <c r="G1681" s="822"/>
      <c r="H1681" s="822"/>
    </row>
    <row r="1682" spans="1:8" x14ac:dyDescent="0.25">
      <c r="A1682" s="820">
        <v>1678</v>
      </c>
      <c r="B1682" s="1085" t="str">
        <f t="shared" si="26"/>
        <v>Saint Helena Pound</v>
      </c>
      <c r="C1682" s="1070" t="s">
        <v>3789</v>
      </c>
      <c r="D1682" s="822"/>
      <c r="E1682" s="822"/>
      <c r="F1682" s="822"/>
      <c r="G1682" s="822"/>
      <c r="H1682" s="822"/>
    </row>
    <row r="1683" spans="1:8" x14ac:dyDescent="0.25">
      <c r="A1683" s="820">
        <v>1679</v>
      </c>
      <c r="B1683" s="1085" t="str">
        <f t="shared" si="26"/>
        <v>Lao People’s Democratic Republic</v>
      </c>
      <c r="C1683" s="1070" t="s">
        <v>3178</v>
      </c>
      <c r="D1683" s="822"/>
      <c r="E1683" s="822"/>
      <c r="F1683" s="822"/>
      <c r="G1683" s="822"/>
      <c r="H1683" s="822"/>
    </row>
    <row r="1684" spans="1:8" x14ac:dyDescent="0.25">
      <c r="A1684" s="820">
        <v>1680</v>
      </c>
      <c r="B1684" s="1085" t="str">
        <f t="shared" si="26"/>
        <v>Leone</v>
      </c>
      <c r="C1684" s="1070" t="s">
        <v>3791</v>
      </c>
      <c r="D1684" s="822"/>
      <c r="E1684" s="822"/>
      <c r="F1684" s="822"/>
      <c r="G1684" s="822"/>
      <c r="H1684" s="822"/>
    </row>
    <row r="1685" spans="1:8" x14ac:dyDescent="0.25">
      <c r="A1685" s="820">
        <v>1681</v>
      </c>
      <c r="B1685" s="1085" t="str">
        <f t="shared" si="26"/>
        <v>Lebanon</v>
      </c>
      <c r="C1685" s="1070" t="s">
        <v>3179</v>
      </c>
      <c r="D1685" s="822"/>
      <c r="E1685" s="822"/>
      <c r="F1685" s="822"/>
      <c r="G1685" s="822"/>
      <c r="H1685" s="822"/>
    </row>
    <row r="1686" spans="1:8" x14ac:dyDescent="0.25">
      <c r="A1686" s="820">
        <v>1682</v>
      </c>
      <c r="B1686" s="1085" t="str">
        <f t="shared" si="26"/>
        <v>St Lucia</v>
      </c>
      <c r="C1686" s="1070" t="s">
        <v>3180</v>
      </c>
      <c r="D1686" s="822"/>
      <c r="E1686" s="822"/>
      <c r="F1686" s="822"/>
      <c r="G1686" s="822"/>
      <c r="H1686" s="822"/>
    </row>
    <row r="1687" spans="1:8" x14ac:dyDescent="0.25">
      <c r="A1687" s="820">
        <v>1683</v>
      </c>
      <c r="B1687" s="1085" t="str">
        <f t="shared" si="26"/>
        <v>Somali Shilling</v>
      </c>
      <c r="C1687" s="1070" t="s">
        <v>3794</v>
      </c>
      <c r="D1687" s="822"/>
      <c r="E1687" s="822"/>
      <c r="F1687" s="822"/>
      <c r="G1687" s="822"/>
      <c r="H1687" s="822"/>
    </row>
    <row r="1688" spans="1:8" x14ac:dyDescent="0.25">
      <c r="A1688" s="820">
        <v>1684</v>
      </c>
      <c r="B1688" s="1085" t="str">
        <f t="shared" si="26"/>
        <v>Surinam Dollar</v>
      </c>
      <c r="C1688" s="1070" t="s">
        <v>3796</v>
      </c>
      <c r="D1688" s="822"/>
      <c r="E1688" s="822"/>
      <c r="F1688" s="822"/>
      <c r="G1688" s="822"/>
      <c r="H1688" s="822"/>
    </row>
    <row r="1689" spans="1:8" x14ac:dyDescent="0.25">
      <c r="A1689" s="820">
        <v>1685</v>
      </c>
      <c r="B1689" s="1085" t="str">
        <f t="shared" si="26"/>
        <v>Sri Lanka</v>
      </c>
      <c r="C1689" s="1070" t="s">
        <v>3181</v>
      </c>
      <c r="D1689" s="822"/>
      <c r="E1689" s="822"/>
      <c r="F1689" s="822"/>
      <c r="G1689" s="822"/>
      <c r="H1689" s="822"/>
    </row>
    <row r="1690" spans="1:8" x14ac:dyDescent="0.25">
      <c r="A1690" s="820">
        <v>1686</v>
      </c>
      <c r="B1690" s="1085" t="str">
        <f t="shared" si="26"/>
        <v>South Sudanese Pound</v>
      </c>
      <c r="C1690" s="1070" t="s">
        <v>3798</v>
      </c>
      <c r="D1690" s="822"/>
      <c r="E1690" s="822"/>
      <c r="F1690" s="822"/>
      <c r="G1690" s="822"/>
      <c r="H1690" s="822"/>
    </row>
    <row r="1691" spans="1:8" x14ac:dyDescent="0.25">
      <c r="A1691" s="820">
        <v>1687</v>
      </c>
      <c r="B1691" s="1085" t="str">
        <f t="shared" si="26"/>
        <v>Liberia</v>
      </c>
      <c r="C1691" s="1070" t="s">
        <v>3182</v>
      </c>
      <c r="D1691" s="822"/>
      <c r="E1691" s="822"/>
      <c r="F1691" s="822"/>
      <c r="G1691" s="822"/>
      <c r="H1691" s="822"/>
    </row>
    <row r="1692" spans="1:8" x14ac:dyDescent="0.25">
      <c r="A1692" s="820">
        <v>1688</v>
      </c>
      <c r="B1692" s="1085" t="str">
        <f t="shared" si="26"/>
        <v>Dobra</v>
      </c>
      <c r="C1692" s="1070" t="s">
        <v>3800</v>
      </c>
      <c r="D1692" s="822"/>
      <c r="E1692" s="822"/>
      <c r="F1692" s="822"/>
      <c r="G1692" s="822"/>
      <c r="H1692" s="822"/>
    </row>
    <row r="1693" spans="1:8" x14ac:dyDescent="0.25">
      <c r="A1693" s="820">
        <v>1689</v>
      </c>
      <c r="B1693" s="1085" t="str">
        <f t="shared" si="26"/>
        <v>Lesotho</v>
      </c>
      <c r="C1693" s="1070" t="s">
        <v>3183</v>
      </c>
      <c r="D1693" s="822"/>
      <c r="E1693" s="822"/>
      <c r="F1693" s="822"/>
      <c r="G1693" s="822"/>
      <c r="H1693" s="822"/>
    </row>
    <row r="1694" spans="1:8" x14ac:dyDescent="0.25">
      <c r="A1694" s="820">
        <v>1690</v>
      </c>
      <c r="B1694" s="1085" t="str">
        <f t="shared" si="26"/>
        <v>El Salvador Colon</v>
      </c>
      <c r="C1694" s="1070" t="s">
        <v>3802</v>
      </c>
      <c r="D1694" s="822"/>
      <c r="E1694" s="822"/>
      <c r="F1694" s="822"/>
      <c r="G1694" s="822"/>
      <c r="H1694" s="822"/>
    </row>
    <row r="1695" spans="1:8" x14ac:dyDescent="0.25">
      <c r="A1695" s="820">
        <v>1691</v>
      </c>
      <c r="B1695" s="1085" t="str">
        <f t="shared" si="26"/>
        <v>Syrian Pound</v>
      </c>
      <c r="C1695" s="1070" t="s">
        <v>3804</v>
      </c>
      <c r="D1695" s="822"/>
      <c r="E1695" s="822"/>
      <c r="F1695" s="822"/>
      <c r="G1695" s="822"/>
      <c r="H1695" s="822"/>
    </row>
    <row r="1696" spans="1:8" x14ac:dyDescent="0.25">
      <c r="A1696" s="820">
        <v>1692</v>
      </c>
      <c r="B1696" s="1085" t="str">
        <f t="shared" si="26"/>
        <v>Lilangeni</v>
      </c>
      <c r="C1696" s="1070" t="s">
        <v>3806</v>
      </c>
      <c r="D1696" s="822"/>
      <c r="E1696" s="822"/>
      <c r="F1696" s="822"/>
      <c r="G1696" s="822"/>
      <c r="H1696" s="822"/>
    </row>
    <row r="1697" spans="1:8" x14ac:dyDescent="0.25">
      <c r="A1697" s="820">
        <v>1693</v>
      </c>
      <c r="B1697" s="1085" t="str">
        <f t="shared" si="26"/>
        <v>Baht</v>
      </c>
      <c r="C1697" s="1070" t="s">
        <v>3808</v>
      </c>
      <c r="D1697" s="822"/>
      <c r="E1697" s="822"/>
      <c r="F1697" s="822"/>
      <c r="G1697" s="822"/>
      <c r="H1697" s="822"/>
    </row>
    <row r="1698" spans="1:8" x14ac:dyDescent="0.25">
      <c r="A1698" s="820">
        <v>1694</v>
      </c>
      <c r="B1698" s="1085" t="str">
        <f t="shared" si="26"/>
        <v>Libya</v>
      </c>
      <c r="C1698" s="1070" t="s">
        <v>3184</v>
      </c>
      <c r="D1698" s="822"/>
      <c r="E1698" s="822"/>
      <c r="F1698" s="822"/>
      <c r="G1698" s="822"/>
      <c r="H1698" s="822"/>
    </row>
    <row r="1699" spans="1:8" x14ac:dyDescent="0.25">
      <c r="A1699" s="820">
        <v>1695</v>
      </c>
      <c r="B1699" s="1085" t="str">
        <f t="shared" si="26"/>
        <v>Somoni</v>
      </c>
      <c r="C1699" s="1070" t="s">
        <v>3810</v>
      </c>
      <c r="D1699" s="822"/>
      <c r="E1699" s="822"/>
      <c r="F1699" s="822"/>
      <c r="G1699" s="822"/>
      <c r="H1699" s="822"/>
    </row>
    <row r="1700" spans="1:8" x14ac:dyDescent="0.25">
      <c r="A1700" s="820">
        <v>1696</v>
      </c>
      <c r="B1700" s="1085" t="str">
        <f t="shared" si="26"/>
        <v>Morocco</v>
      </c>
      <c r="C1700" s="1070" t="s">
        <v>3185</v>
      </c>
      <c r="D1700" s="822"/>
      <c r="E1700" s="822"/>
      <c r="F1700" s="822"/>
      <c r="G1700" s="822"/>
      <c r="H1700" s="822"/>
    </row>
    <row r="1701" spans="1:8" x14ac:dyDescent="0.25">
      <c r="A1701" s="820">
        <v>1697</v>
      </c>
      <c r="B1701" s="1085" t="str">
        <f t="shared" si="26"/>
        <v>Turkmenistan New Manat</v>
      </c>
      <c r="C1701" s="1070" t="s">
        <v>3812</v>
      </c>
      <c r="D1701" s="822"/>
      <c r="E1701" s="822"/>
      <c r="F1701" s="822"/>
      <c r="G1701" s="822"/>
      <c r="H1701" s="822"/>
    </row>
    <row r="1702" spans="1:8" x14ac:dyDescent="0.25">
      <c r="A1702" s="820">
        <v>1698</v>
      </c>
      <c r="B1702" s="1085" t="str">
        <f t="shared" si="26"/>
        <v>Monaco</v>
      </c>
      <c r="C1702" s="1070" t="s">
        <v>3186</v>
      </c>
      <c r="D1702" s="822"/>
      <c r="E1702" s="822"/>
      <c r="F1702" s="822"/>
      <c r="G1702" s="822"/>
      <c r="H1702" s="822"/>
    </row>
    <row r="1703" spans="1:8" x14ac:dyDescent="0.25">
      <c r="A1703" s="820">
        <v>1699</v>
      </c>
      <c r="B1703" s="1085" t="str">
        <f t="shared" si="26"/>
        <v>Tunisian Dinar</v>
      </c>
      <c r="C1703" s="1070" t="s">
        <v>3814</v>
      </c>
      <c r="D1703" s="822"/>
      <c r="E1703" s="822"/>
      <c r="F1703" s="822"/>
      <c r="G1703" s="822"/>
      <c r="H1703" s="822"/>
    </row>
    <row r="1704" spans="1:8" x14ac:dyDescent="0.25">
      <c r="A1704" s="820">
        <v>1700</v>
      </c>
      <c r="B1704" s="1085" t="str">
        <f t="shared" si="26"/>
        <v>Moldova, Republic of</v>
      </c>
      <c r="C1704" s="1070" t="s">
        <v>3187</v>
      </c>
      <c r="D1704" s="822"/>
      <c r="E1704" s="822"/>
      <c r="F1704" s="822"/>
      <c r="G1704" s="822"/>
      <c r="H1704" s="822"/>
    </row>
    <row r="1705" spans="1:8" x14ac:dyDescent="0.25">
      <c r="A1705" s="820">
        <v>1701</v>
      </c>
      <c r="B1705" s="1085" t="str">
        <f t="shared" si="26"/>
        <v>Pa’anga</v>
      </c>
      <c r="C1705" s="1070" t="s">
        <v>3816</v>
      </c>
      <c r="D1705" s="822"/>
      <c r="E1705" s="822"/>
      <c r="F1705" s="822"/>
      <c r="G1705" s="822"/>
      <c r="H1705" s="822"/>
    </row>
    <row r="1706" spans="1:8" x14ac:dyDescent="0.25">
      <c r="A1706" s="820">
        <v>1702</v>
      </c>
      <c r="B1706" s="1085" t="str">
        <f t="shared" si="26"/>
        <v>Montenegro</v>
      </c>
      <c r="C1706" s="1070" t="s">
        <v>3188</v>
      </c>
      <c r="D1706" s="822"/>
      <c r="E1706" s="822"/>
      <c r="F1706" s="822"/>
      <c r="G1706" s="822"/>
      <c r="H1706" s="822"/>
    </row>
    <row r="1707" spans="1:8" x14ac:dyDescent="0.25">
      <c r="A1707" s="820">
        <v>1703</v>
      </c>
      <c r="B1707" s="1085" t="str">
        <f t="shared" si="26"/>
        <v>Turkish Lira</v>
      </c>
      <c r="C1707" s="1070" t="s">
        <v>3818</v>
      </c>
      <c r="D1707" s="822"/>
      <c r="E1707" s="822"/>
      <c r="F1707" s="822"/>
      <c r="G1707" s="822"/>
      <c r="H1707" s="822"/>
    </row>
    <row r="1708" spans="1:8" x14ac:dyDescent="0.25">
      <c r="A1708" s="820">
        <v>1704</v>
      </c>
      <c r="B1708" s="1085" t="str">
        <f t="shared" si="26"/>
        <v>Saint Martin (French part)</v>
      </c>
      <c r="C1708" s="1070" t="s">
        <v>3189</v>
      </c>
      <c r="D1708" s="822"/>
      <c r="E1708" s="822"/>
      <c r="F1708" s="822"/>
      <c r="G1708" s="822"/>
      <c r="H1708" s="822"/>
    </row>
    <row r="1709" spans="1:8" x14ac:dyDescent="0.25">
      <c r="A1709" s="820">
        <v>1705</v>
      </c>
      <c r="B1709" s="1085" t="str">
        <f t="shared" si="26"/>
        <v>Trinidad and Tobago Dollar</v>
      </c>
      <c r="C1709" s="1070" t="s">
        <v>3820</v>
      </c>
      <c r="D1709" s="822"/>
      <c r="E1709" s="822"/>
      <c r="F1709" s="822"/>
      <c r="G1709" s="822"/>
      <c r="H1709" s="822"/>
    </row>
    <row r="1710" spans="1:8" x14ac:dyDescent="0.25">
      <c r="A1710" s="820">
        <v>1706</v>
      </c>
      <c r="B1710" s="1085" t="str">
        <f t="shared" si="26"/>
        <v>Madagascar</v>
      </c>
      <c r="C1710" s="1070" t="s">
        <v>3190</v>
      </c>
      <c r="D1710" s="822"/>
      <c r="E1710" s="822"/>
      <c r="F1710" s="822"/>
      <c r="G1710" s="822"/>
      <c r="H1710" s="822"/>
    </row>
    <row r="1711" spans="1:8" x14ac:dyDescent="0.25">
      <c r="A1711" s="820">
        <v>1707</v>
      </c>
      <c r="B1711" s="1085" t="str">
        <f t="shared" si="26"/>
        <v>New Taiwan Dollar</v>
      </c>
      <c r="C1711" s="1070" t="s">
        <v>3822</v>
      </c>
      <c r="D1711" s="822"/>
      <c r="E1711" s="822"/>
      <c r="F1711" s="822"/>
      <c r="G1711" s="822"/>
      <c r="H1711" s="822"/>
    </row>
    <row r="1712" spans="1:8" x14ac:dyDescent="0.25">
      <c r="A1712" s="820">
        <v>1708</v>
      </c>
      <c r="B1712" s="1085" t="str">
        <f t="shared" si="26"/>
        <v>Marshall Islands</v>
      </c>
      <c r="C1712" s="1070" t="s">
        <v>3191</v>
      </c>
      <c r="D1712" s="822"/>
      <c r="E1712" s="822"/>
      <c r="F1712" s="822"/>
      <c r="G1712" s="822"/>
      <c r="H1712" s="822"/>
    </row>
    <row r="1713" spans="1:8" x14ac:dyDescent="0.25">
      <c r="A1713" s="820">
        <v>1709</v>
      </c>
      <c r="B1713" s="1085" t="str">
        <f t="shared" si="26"/>
        <v>Tanzanian Shilling</v>
      </c>
      <c r="C1713" s="1070" t="s">
        <v>3824</v>
      </c>
      <c r="D1713" s="822"/>
      <c r="E1713" s="822"/>
      <c r="F1713" s="822"/>
      <c r="G1713" s="822"/>
      <c r="H1713" s="822"/>
    </row>
    <row r="1714" spans="1:8" x14ac:dyDescent="0.25">
      <c r="A1714" s="820">
        <v>1710</v>
      </c>
      <c r="B1714" s="1085" t="str">
        <f t="shared" si="26"/>
        <v>North Macedonia</v>
      </c>
      <c r="C1714" s="1070" t="s">
        <v>3192</v>
      </c>
      <c r="D1714" s="822"/>
      <c r="E1714" s="822"/>
      <c r="F1714" s="822"/>
      <c r="G1714" s="822"/>
      <c r="H1714" s="822"/>
    </row>
    <row r="1715" spans="1:8" x14ac:dyDescent="0.25">
      <c r="A1715" s="820">
        <v>1711</v>
      </c>
      <c r="B1715" s="1085" t="str">
        <f t="shared" si="26"/>
        <v>Hryvnia</v>
      </c>
      <c r="C1715" s="1070" t="s">
        <v>3826</v>
      </c>
      <c r="D1715" s="822"/>
      <c r="E1715" s="822"/>
      <c r="F1715" s="822"/>
      <c r="G1715" s="822"/>
      <c r="H1715" s="822"/>
    </row>
    <row r="1716" spans="1:8" x14ac:dyDescent="0.25">
      <c r="A1716" s="820">
        <v>1712</v>
      </c>
      <c r="B1716" s="1085" t="str">
        <f t="shared" si="26"/>
        <v>Mali</v>
      </c>
      <c r="C1716" s="1070" t="s">
        <v>3193</v>
      </c>
      <c r="D1716" s="822"/>
      <c r="E1716" s="822"/>
      <c r="F1716" s="822"/>
      <c r="G1716" s="822"/>
      <c r="H1716" s="822"/>
    </row>
    <row r="1717" spans="1:8" x14ac:dyDescent="0.25">
      <c r="A1717" s="820">
        <v>1713</v>
      </c>
      <c r="B1717" s="1085" t="str">
        <f t="shared" si="26"/>
        <v>Uganda Shilling</v>
      </c>
      <c r="C1717" s="1070" t="s">
        <v>3828</v>
      </c>
      <c r="D1717" s="822"/>
      <c r="E1717" s="822"/>
      <c r="F1717" s="822"/>
      <c r="G1717" s="822"/>
      <c r="H1717" s="822"/>
    </row>
    <row r="1718" spans="1:8" x14ac:dyDescent="0.25">
      <c r="A1718" s="820">
        <v>1714</v>
      </c>
      <c r="B1718" s="1085" t="str">
        <f t="shared" si="26"/>
        <v>Myanmar</v>
      </c>
      <c r="C1718" s="1070" t="s">
        <v>3194</v>
      </c>
      <c r="D1718" s="822"/>
      <c r="E1718" s="822"/>
      <c r="F1718" s="822"/>
      <c r="G1718" s="822"/>
      <c r="H1718" s="822"/>
    </row>
    <row r="1719" spans="1:8" x14ac:dyDescent="0.25">
      <c r="A1719" s="820">
        <v>1715</v>
      </c>
      <c r="B1719" s="1085" t="str">
        <f t="shared" si="26"/>
        <v>US Dollar</v>
      </c>
      <c r="C1719" s="1070" t="s">
        <v>3829</v>
      </c>
      <c r="D1719" s="822"/>
      <c r="E1719" s="822"/>
      <c r="F1719" s="822"/>
      <c r="G1719" s="822"/>
      <c r="H1719" s="822"/>
    </row>
    <row r="1720" spans="1:8" x14ac:dyDescent="0.25">
      <c r="A1720" s="820">
        <v>1716</v>
      </c>
      <c r="B1720" s="1085" t="str">
        <f t="shared" si="26"/>
        <v>Mongolia</v>
      </c>
      <c r="C1720" s="1070" t="s">
        <v>3195</v>
      </c>
      <c r="D1720" s="822"/>
      <c r="E1720" s="822"/>
      <c r="F1720" s="822"/>
      <c r="G1720" s="822"/>
      <c r="H1720" s="822"/>
    </row>
    <row r="1721" spans="1:8" x14ac:dyDescent="0.25">
      <c r="A1721" s="820">
        <v>1717</v>
      </c>
      <c r="B1721" s="1085" t="str">
        <f t="shared" si="26"/>
        <v>Uruguay Peso en Unidades Indexadas (UI)</v>
      </c>
      <c r="C1721" s="1070" t="s">
        <v>3831</v>
      </c>
      <c r="D1721" s="822"/>
      <c r="E1721" s="822"/>
      <c r="F1721" s="822"/>
      <c r="G1721" s="822"/>
      <c r="H1721" s="822"/>
    </row>
    <row r="1722" spans="1:8" x14ac:dyDescent="0.25">
      <c r="A1722" s="820">
        <v>1718</v>
      </c>
      <c r="B1722" s="1085" t="str">
        <f t="shared" si="26"/>
        <v>Macao</v>
      </c>
      <c r="C1722" s="1070" t="s">
        <v>3196</v>
      </c>
      <c r="D1722" s="822"/>
      <c r="E1722" s="822"/>
      <c r="F1722" s="822"/>
      <c r="G1722" s="822"/>
      <c r="H1722" s="822"/>
    </row>
    <row r="1723" spans="1:8" x14ac:dyDescent="0.25">
      <c r="A1723" s="820">
        <v>1719</v>
      </c>
      <c r="B1723" s="1085" t="str">
        <f t="shared" si="26"/>
        <v>Peso Uruguayo</v>
      </c>
      <c r="C1723" s="1070" t="s">
        <v>3833</v>
      </c>
      <c r="D1723" s="822"/>
      <c r="E1723" s="822"/>
      <c r="F1723" s="822"/>
      <c r="G1723" s="822"/>
      <c r="H1723" s="822"/>
    </row>
    <row r="1724" spans="1:8" x14ac:dyDescent="0.25">
      <c r="A1724" s="820">
        <v>1720</v>
      </c>
      <c r="B1724" s="1085" t="str">
        <f t="shared" si="26"/>
        <v>Northern Mariana Islands</v>
      </c>
      <c r="C1724" s="1070" t="s">
        <v>3197</v>
      </c>
      <c r="D1724" s="822"/>
      <c r="E1724" s="822"/>
      <c r="F1724" s="822"/>
      <c r="G1724" s="822"/>
      <c r="H1724" s="822"/>
    </row>
    <row r="1725" spans="1:8" x14ac:dyDescent="0.25">
      <c r="A1725" s="820">
        <v>1721</v>
      </c>
      <c r="B1725" s="1085" t="str">
        <f t="shared" si="26"/>
        <v>Unidad Previsional</v>
      </c>
      <c r="C1725" s="1070" t="s">
        <v>3835</v>
      </c>
      <c r="D1725" s="822"/>
      <c r="E1725" s="822"/>
      <c r="F1725" s="822"/>
      <c r="G1725" s="822"/>
      <c r="H1725" s="822"/>
    </row>
    <row r="1726" spans="1:8" x14ac:dyDescent="0.25">
      <c r="A1726" s="820">
        <v>1722</v>
      </c>
      <c r="B1726" s="1085" t="str">
        <f t="shared" si="26"/>
        <v>Martinique</v>
      </c>
      <c r="C1726" s="1070" t="s">
        <v>3198</v>
      </c>
      <c r="D1726" s="822"/>
      <c r="E1726" s="822"/>
      <c r="F1726" s="822"/>
      <c r="G1726" s="822"/>
      <c r="H1726" s="822"/>
    </row>
    <row r="1727" spans="1:8" x14ac:dyDescent="0.25">
      <c r="A1727" s="820">
        <v>1723</v>
      </c>
      <c r="B1727" s="1085" t="str">
        <f t="shared" si="26"/>
        <v>Uzbekistan Sum</v>
      </c>
      <c r="C1727" s="1070" t="s">
        <v>3837</v>
      </c>
      <c r="D1727" s="822"/>
      <c r="E1727" s="822"/>
      <c r="F1727" s="822"/>
      <c r="G1727" s="822"/>
      <c r="H1727" s="822"/>
    </row>
    <row r="1728" spans="1:8" x14ac:dyDescent="0.25">
      <c r="A1728" s="820">
        <v>1724</v>
      </c>
      <c r="B1728" s="1085" t="str">
        <f t="shared" si="26"/>
        <v>Mauritania</v>
      </c>
      <c r="C1728" s="1070" t="s">
        <v>3199</v>
      </c>
      <c r="D1728" s="822"/>
      <c r="E1728" s="822"/>
      <c r="F1728" s="822"/>
      <c r="G1728" s="822"/>
      <c r="H1728" s="822"/>
    </row>
    <row r="1729" spans="1:8" x14ac:dyDescent="0.25">
      <c r="A1729" s="820">
        <v>1725</v>
      </c>
      <c r="B1729" s="1085" t="str">
        <f t="shared" si="26"/>
        <v>Bolívar Soberano</v>
      </c>
      <c r="C1729" s="1070" t="s">
        <v>3839</v>
      </c>
      <c r="D1729" s="822"/>
      <c r="E1729" s="822"/>
      <c r="F1729" s="822"/>
      <c r="G1729" s="822"/>
      <c r="H1729" s="822"/>
    </row>
    <row r="1730" spans="1:8" x14ac:dyDescent="0.25">
      <c r="A1730" s="820">
        <v>1726</v>
      </c>
      <c r="B1730" s="1085" t="str">
        <f t="shared" si="26"/>
        <v>Montserrat</v>
      </c>
      <c r="C1730" s="1070" t="s">
        <v>3200</v>
      </c>
      <c r="D1730" s="822"/>
      <c r="E1730" s="822"/>
      <c r="F1730" s="822"/>
      <c r="G1730" s="822"/>
      <c r="H1730" s="822"/>
    </row>
    <row r="1731" spans="1:8" x14ac:dyDescent="0.25">
      <c r="A1731" s="820">
        <v>1727</v>
      </c>
      <c r="B1731" s="1085" t="str">
        <f t="shared" si="26"/>
        <v>Bolivar Soberano</v>
      </c>
      <c r="C1731" s="1070" t="s">
        <v>3841</v>
      </c>
      <c r="D1731" s="822"/>
      <c r="E1731" s="822"/>
      <c r="F1731" s="822"/>
      <c r="G1731" s="822"/>
      <c r="H1731" s="822"/>
    </row>
    <row r="1732" spans="1:8" x14ac:dyDescent="0.25">
      <c r="A1732" s="820">
        <v>1728</v>
      </c>
      <c r="B1732" s="1085" t="str">
        <f t="shared" si="26"/>
        <v>Dong</v>
      </c>
      <c r="C1732" s="1070" t="s">
        <v>3843</v>
      </c>
      <c r="D1732" s="822"/>
      <c r="E1732" s="822"/>
      <c r="F1732" s="822"/>
      <c r="G1732" s="822"/>
      <c r="H1732" s="822"/>
    </row>
    <row r="1733" spans="1:8" x14ac:dyDescent="0.25">
      <c r="A1733" s="820">
        <v>1729</v>
      </c>
      <c r="B1733" s="1085" t="str">
        <f t="shared" si="26"/>
        <v>Mauritius</v>
      </c>
      <c r="C1733" s="1070" t="s">
        <v>3201</v>
      </c>
      <c r="D1733" s="822"/>
      <c r="E1733" s="822"/>
      <c r="F1733" s="822"/>
      <c r="G1733" s="822"/>
      <c r="H1733" s="822"/>
    </row>
    <row r="1734" spans="1:8" x14ac:dyDescent="0.25">
      <c r="A1734" s="820">
        <v>1730</v>
      </c>
      <c r="B1734" s="1085" t="str">
        <f t="shared" ref="B1734:B1797" si="27">IFERROR(INDEX(C1734:M1734,$A$3-2),$C1734)</f>
        <v>Vatu</v>
      </c>
      <c r="C1734" s="1070" t="s">
        <v>3845</v>
      </c>
      <c r="D1734" s="822"/>
      <c r="E1734" s="822"/>
      <c r="F1734" s="822"/>
      <c r="G1734" s="822"/>
      <c r="H1734" s="822"/>
    </row>
    <row r="1735" spans="1:8" x14ac:dyDescent="0.25">
      <c r="A1735" s="820">
        <v>1731</v>
      </c>
      <c r="B1735" s="1085" t="str">
        <f t="shared" si="27"/>
        <v>Maldives</v>
      </c>
      <c r="C1735" s="1070" t="s">
        <v>3202</v>
      </c>
      <c r="D1735" s="822"/>
      <c r="E1735" s="822"/>
      <c r="F1735" s="822"/>
      <c r="G1735" s="822"/>
      <c r="H1735" s="822"/>
    </row>
    <row r="1736" spans="1:8" x14ac:dyDescent="0.25">
      <c r="A1736" s="820">
        <v>1732</v>
      </c>
      <c r="B1736" s="1085" t="str">
        <f t="shared" si="27"/>
        <v>Tala</v>
      </c>
      <c r="C1736" s="1070" t="s">
        <v>3847</v>
      </c>
      <c r="D1736" s="822"/>
      <c r="E1736" s="822"/>
      <c r="F1736" s="822"/>
      <c r="G1736" s="822"/>
      <c r="H1736" s="822"/>
    </row>
    <row r="1737" spans="1:8" x14ac:dyDescent="0.25">
      <c r="A1737" s="820">
        <v>1733</v>
      </c>
      <c r="B1737" s="1085" t="str">
        <f t="shared" si="27"/>
        <v>Malawi</v>
      </c>
      <c r="C1737" s="1070" t="s">
        <v>3203</v>
      </c>
      <c r="D1737" s="822"/>
      <c r="E1737" s="822"/>
      <c r="F1737" s="822"/>
      <c r="G1737" s="822"/>
      <c r="H1737" s="822"/>
    </row>
    <row r="1738" spans="1:8" x14ac:dyDescent="0.25">
      <c r="A1738" s="820">
        <v>1734</v>
      </c>
      <c r="B1738" s="1085" t="str">
        <f t="shared" si="27"/>
        <v>CFA Franc BEAC</v>
      </c>
      <c r="C1738" s="1070" t="s">
        <v>3849</v>
      </c>
      <c r="D1738" s="822"/>
      <c r="E1738" s="822"/>
      <c r="F1738" s="822"/>
      <c r="G1738" s="822"/>
      <c r="H1738" s="822"/>
    </row>
    <row r="1739" spans="1:8" x14ac:dyDescent="0.25">
      <c r="A1739" s="820">
        <v>1735</v>
      </c>
      <c r="B1739" s="1085" t="str">
        <f t="shared" si="27"/>
        <v>Mexico</v>
      </c>
      <c r="C1739" s="1070" t="s">
        <v>3204</v>
      </c>
      <c r="D1739" s="822"/>
      <c r="E1739" s="822"/>
      <c r="F1739" s="822"/>
      <c r="G1739" s="822"/>
      <c r="H1739" s="822"/>
    </row>
    <row r="1740" spans="1:8" x14ac:dyDescent="0.25">
      <c r="A1740" s="820">
        <v>1736</v>
      </c>
      <c r="B1740" s="1085" t="str">
        <f t="shared" si="27"/>
        <v>East Caribbean Dollar</v>
      </c>
      <c r="C1740" s="1070" t="s">
        <v>3851</v>
      </c>
      <c r="D1740" s="822"/>
      <c r="E1740" s="822"/>
      <c r="F1740" s="822"/>
      <c r="G1740" s="822"/>
      <c r="H1740" s="822"/>
    </row>
    <row r="1741" spans="1:8" x14ac:dyDescent="0.25">
      <c r="A1741" s="820">
        <v>1737</v>
      </c>
      <c r="B1741" s="1085" t="str">
        <f t="shared" si="27"/>
        <v>Malaysia</v>
      </c>
      <c r="C1741" s="1070" t="s">
        <v>3205</v>
      </c>
      <c r="D1741" s="822"/>
      <c r="E1741" s="822"/>
      <c r="F1741" s="822"/>
      <c r="G1741" s="822"/>
      <c r="H1741" s="822"/>
    </row>
    <row r="1742" spans="1:8" x14ac:dyDescent="0.25">
      <c r="A1742" s="820">
        <v>1738</v>
      </c>
      <c r="B1742" s="1085" t="str">
        <f t="shared" si="27"/>
        <v>SDR (Special Drawing Right)</v>
      </c>
      <c r="C1742" s="1070" t="s">
        <v>3853</v>
      </c>
      <c r="D1742" s="822"/>
      <c r="E1742" s="822"/>
      <c r="F1742" s="822"/>
      <c r="G1742" s="822"/>
      <c r="H1742" s="822"/>
    </row>
    <row r="1743" spans="1:8" x14ac:dyDescent="0.25">
      <c r="A1743" s="820">
        <v>1739</v>
      </c>
      <c r="B1743" s="1085" t="str">
        <f t="shared" si="27"/>
        <v>Mozambique</v>
      </c>
      <c r="C1743" s="1070" t="s">
        <v>3206</v>
      </c>
      <c r="D1743" s="822"/>
      <c r="E1743" s="822"/>
      <c r="F1743" s="822"/>
      <c r="G1743" s="822"/>
      <c r="H1743" s="822"/>
    </row>
    <row r="1744" spans="1:8" x14ac:dyDescent="0.25">
      <c r="A1744" s="820">
        <v>1740</v>
      </c>
      <c r="B1744" s="1085" t="str">
        <f t="shared" si="27"/>
        <v>CFA Franc BCEAO</v>
      </c>
      <c r="C1744" s="1070" t="s">
        <v>3855</v>
      </c>
      <c r="D1744" s="822"/>
      <c r="E1744" s="822"/>
      <c r="F1744" s="822"/>
      <c r="G1744" s="822"/>
      <c r="H1744" s="822"/>
    </row>
    <row r="1745" spans="1:8" x14ac:dyDescent="0.25">
      <c r="A1745" s="820">
        <v>1741</v>
      </c>
      <c r="B1745" s="1085" t="str">
        <f t="shared" si="27"/>
        <v>Namibia</v>
      </c>
      <c r="C1745" s="1070" t="s">
        <v>3207</v>
      </c>
      <c r="D1745" s="822"/>
      <c r="E1745" s="822"/>
      <c r="F1745" s="822"/>
      <c r="G1745" s="822"/>
      <c r="H1745" s="822"/>
    </row>
    <row r="1746" spans="1:8" x14ac:dyDescent="0.25">
      <c r="A1746" s="820">
        <v>1742</v>
      </c>
      <c r="B1746" s="1085" t="str">
        <f t="shared" si="27"/>
        <v>CFP Franc</v>
      </c>
      <c r="C1746" s="1070" t="s">
        <v>3857</v>
      </c>
      <c r="D1746" s="822"/>
      <c r="E1746" s="822"/>
      <c r="F1746" s="822"/>
      <c r="G1746" s="822"/>
      <c r="H1746" s="822"/>
    </row>
    <row r="1747" spans="1:8" x14ac:dyDescent="0.25">
      <c r="A1747" s="820">
        <v>1743</v>
      </c>
      <c r="B1747" s="1085" t="str">
        <f t="shared" si="27"/>
        <v>New Caledonia</v>
      </c>
      <c r="C1747" s="1070" t="s">
        <v>3208</v>
      </c>
      <c r="D1747" s="822"/>
      <c r="E1747" s="822"/>
      <c r="F1747" s="822"/>
      <c r="G1747" s="822"/>
      <c r="H1747" s="822"/>
    </row>
    <row r="1748" spans="1:8" x14ac:dyDescent="0.25">
      <c r="A1748" s="820">
        <v>1744</v>
      </c>
      <c r="B1748" s="1085" t="str">
        <f t="shared" si="27"/>
        <v>Yemeni Rial</v>
      </c>
      <c r="C1748" s="1070" t="s">
        <v>3859</v>
      </c>
      <c r="D1748" s="822"/>
      <c r="E1748" s="822"/>
      <c r="F1748" s="822"/>
      <c r="G1748" s="822"/>
      <c r="H1748" s="822"/>
    </row>
    <row r="1749" spans="1:8" x14ac:dyDescent="0.25">
      <c r="A1749" s="820">
        <v>1745</v>
      </c>
      <c r="B1749" s="1085" t="str">
        <f t="shared" si="27"/>
        <v>Niger</v>
      </c>
      <c r="C1749" s="1070" t="s">
        <v>3209</v>
      </c>
      <c r="D1749" s="822"/>
      <c r="E1749" s="822"/>
      <c r="F1749" s="822"/>
      <c r="G1749" s="822"/>
      <c r="H1749" s="822"/>
    </row>
    <row r="1750" spans="1:8" x14ac:dyDescent="0.25">
      <c r="A1750" s="820">
        <v>1746</v>
      </c>
      <c r="B1750" s="1085" t="str">
        <f t="shared" si="27"/>
        <v>Rand</v>
      </c>
      <c r="C1750" s="1070" t="s">
        <v>3861</v>
      </c>
      <c r="D1750" s="822"/>
      <c r="E1750" s="822"/>
      <c r="F1750" s="822"/>
      <c r="G1750" s="822"/>
      <c r="H1750" s="822"/>
    </row>
    <row r="1751" spans="1:8" x14ac:dyDescent="0.25">
      <c r="A1751" s="820">
        <v>1747</v>
      </c>
      <c r="B1751" s="1085" t="str">
        <f t="shared" si="27"/>
        <v>Norfolk Island</v>
      </c>
      <c r="C1751" s="1070" t="s">
        <v>3210</v>
      </c>
      <c r="D1751" s="822"/>
      <c r="E1751" s="822"/>
      <c r="F1751" s="822"/>
      <c r="G1751" s="822"/>
      <c r="H1751" s="822"/>
    </row>
    <row r="1752" spans="1:8" x14ac:dyDescent="0.25">
      <c r="A1752" s="820">
        <v>1748</v>
      </c>
      <c r="B1752" s="1085" t="str">
        <f t="shared" si="27"/>
        <v>Zambian Kwacha</v>
      </c>
      <c r="C1752" s="1070" t="s">
        <v>3863</v>
      </c>
      <c r="D1752" s="822"/>
      <c r="E1752" s="822"/>
      <c r="F1752" s="822"/>
      <c r="G1752" s="822"/>
      <c r="H1752" s="822"/>
    </row>
    <row r="1753" spans="1:8" x14ac:dyDescent="0.25">
      <c r="A1753" s="820">
        <v>1749</v>
      </c>
      <c r="B1753" s="1085" t="str">
        <f t="shared" si="27"/>
        <v>Nigeria</v>
      </c>
      <c r="C1753" s="1070" t="s">
        <v>3211</v>
      </c>
      <c r="D1753" s="822"/>
      <c r="E1753" s="822"/>
      <c r="F1753" s="822"/>
      <c r="G1753" s="822"/>
      <c r="H1753" s="822"/>
    </row>
    <row r="1754" spans="1:8" x14ac:dyDescent="0.25">
      <c r="A1754" s="820">
        <v>1750</v>
      </c>
      <c r="B1754" s="1085" t="str">
        <f t="shared" si="27"/>
        <v>Zimbabwe Dollar</v>
      </c>
      <c r="C1754" s="1070" t="s">
        <v>3865</v>
      </c>
      <c r="D1754" s="822"/>
      <c r="E1754" s="822"/>
      <c r="F1754" s="822"/>
      <c r="G1754" s="822"/>
      <c r="H1754" s="822"/>
    </row>
    <row r="1755" spans="1:8" x14ac:dyDescent="0.25">
      <c r="A1755" s="820">
        <v>1751</v>
      </c>
      <c r="B1755" s="1085" t="str">
        <f t="shared" si="27"/>
        <v>Nicaragua</v>
      </c>
      <c r="C1755" s="1070" t="s">
        <v>3212</v>
      </c>
      <c r="D1755" s="822"/>
      <c r="E1755" s="822"/>
      <c r="F1755" s="822"/>
      <c r="G1755" s="822"/>
      <c r="H1755" s="822"/>
    </row>
    <row r="1756" spans="1:8" x14ac:dyDescent="0.25">
      <c r="A1756" s="820">
        <v>1752</v>
      </c>
      <c r="B1756" s="1085" t="str">
        <f t="shared" si="27"/>
        <v>Nepal</v>
      </c>
      <c r="C1756" s="1070" t="s">
        <v>3213</v>
      </c>
      <c r="D1756" s="822"/>
      <c r="E1756" s="822"/>
      <c r="F1756" s="822"/>
      <c r="G1756" s="822"/>
      <c r="H1756" s="822"/>
    </row>
    <row r="1757" spans="1:8" x14ac:dyDescent="0.25">
      <c r="A1757" s="820">
        <v>1753</v>
      </c>
      <c r="B1757" s="1085" t="str">
        <f t="shared" si="27"/>
        <v>Nauru</v>
      </c>
      <c r="C1757" s="1070" t="s">
        <v>3214</v>
      </c>
      <c r="D1757" s="822"/>
      <c r="E1757" s="822"/>
      <c r="F1757" s="822"/>
      <c r="G1757" s="822"/>
      <c r="H1757" s="822"/>
    </row>
    <row r="1758" spans="1:8" x14ac:dyDescent="0.25">
      <c r="A1758" s="820">
        <v>1754</v>
      </c>
      <c r="B1758" s="1085" t="str">
        <f t="shared" si="27"/>
        <v>Niue</v>
      </c>
      <c r="C1758" s="1070" t="s">
        <v>3215</v>
      </c>
      <c r="D1758" s="822"/>
      <c r="E1758" s="822"/>
      <c r="F1758" s="822"/>
      <c r="G1758" s="822"/>
      <c r="H1758" s="822"/>
    </row>
    <row r="1759" spans="1:8" x14ac:dyDescent="0.25">
      <c r="A1759" s="820">
        <v>1755</v>
      </c>
      <c r="B1759" s="1085" t="str">
        <f t="shared" si="27"/>
        <v>New Zealand</v>
      </c>
      <c r="C1759" s="1070" t="s">
        <v>3216</v>
      </c>
      <c r="D1759" s="822"/>
      <c r="E1759" s="822"/>
      <c r="F1759" s="822"/>
      <c r="G1759" s="822"/>
      <c r="H1759" s="822"/>
    </row>
    <row r="1760" spans="1:8" x14ac:dyDescent="0.25">
      <c r="A1760" s="820">
        <v>1756</v>
      </c>
      <c r="B1760" s="1085" t="str">
        <f t="shared" si="27"/>
        <v>Oman</v>
      </c>
      <c r="C1760" s="1070" t="s">
        <v>3217</v>
      </c>
      <c r="D1760" s="822"/>
      <c r="E1760" s="822"/>
      <c r="F1760" s="822"/>
      <c r="G1760" s="822"/>
      <c r="H1760" s="822"/>
    </row>
    <row r="1761" spans="1:8" x14ac:dyDescent="0.25">
      <c r="A1761" s="820">
        <v>1757</v>
      </c>
      <c r="B1761" s="1085" t="str">
        <f t="shared" si="27"/>
        <v>Panama</v>
      </c>
      <c r="C1761" s="1070" t="s">
        <v>3218</v>
      </c>
      <c r="D1761" s="822"/>
      <c r="E1761" s="822"/>
      <c r="F1761" s="822"/>
      <c r="G1761" s="822"/>
      <c r="H1761" s="822"/>
    </row>
    <row r="1762" spans="1:8" x14ac:dyDescent="0.25">
      <c r="A1762" s="820">
        <v>1758</v>
      </c>
      <c r="B1762" s="1085" t="str">
        <f t="shared" si="27"/>
        <v>Peru</v>
      </c>
      <c r="C1762" s="1070" t="s">
        <v>3219</v>
      </c>
      <c r="D1762" s="822"/>
      <c r="E1762" s="822"/>
      <c r="F1762" s="822"/>
      <c r="G1762" s="822"/>
      <c r="H1762" s="822"/>
    </row>
    <row r="1763" spans="1:8" x14ac:dyDescent="0.25">
      <c r="A1763" s="820">
        <v>1759</v>
      </c>
      <c r="B1763" s="1085" t="str">
        <f t="shared" si="27"/>
        <v>French Polynesia</v>
      </c>
      <c r="C1763" s="1070" t="s">
        <v>3220</v>
      </c>
      <c r="D1763" s="822"/>
      <c r="E1763" s="822"/>
      <c r="F1763" s="822"/>
      <c r="G1763" s="822"/>
      <c r="H1763" s="822"/>
    </row>
    <row r="1764" spans="1:8" x14ac:dyDescent="0.25">
      <c r="A1764" s="820">
        <v>1760</v>
      </c>
      <c r="B1764" s="1085" t="str">
        <f t="shared" si="27"/>
        <v>Papua New Guinea</v>
      </c>
      <c r="C1764" s="1070" t="s">
        <v>3221</v>
      </c>
      <c r="D1764" s="822"/>
      <c r="E1764" s="822"/>
      <c r="F1764" s="822"/>
      <c r="G1764" s="822"/>
      <c r="H1764" s="822"/>
    </row>
    <row r="1765" spans="1:8" x14ac:dyDescent="0.25">
      <c r="A1765" s="820">
        <v>1761</v>
      </c>
      <c r="B1765" s="1085" t="str">
        <f t="shared" si="27"/>
        <v>Philippines</v>
      </c>
      <c r="C1765" s="1070" t="s">
        <v>3222</v>
      </c>
      <c r="D1765" s="822"/>
      <c r="E1765" s="822"/>
      <c r="F1765" s="822"/>
      <c r="G1765" s="822"/>
      <c r="H1765" s="822"/>
    </row>
    <row r="1766" spans="1:8" x14ac:dyDescent="0.25">
      <c r="A1766" s="820">
        <v>1762</v>
      </c>
      <c r="B1766" s="1085" t="str">
        <f t="shared" si="27"/>
        <v>Pakistan</v>
      </c>
      <c r="C1766" s="1070" t="s">
        <v>3223</v>
      </c>
      <c r="D1766" s="822"/>
      <c r="E1766" s="822"/>
      <c r="F1766" s="822"/>
      <c r="G1766" s="822"/>
      <c r="H1766" s="822"/>
    </row>
    <row r="1767" spans="1:8" x14ac:dyDescent="0.25">
      <c r="A1767" s="820">
        <v>1763</v>
      </c>
      <c r="B1767" s="1085" t="str">
        <f t="shared" si="27"/>
        <v>St Pierre and Miquelon</v>
      </c>
      <c r="C1767" s="1070" t="s">
        <v>3224</v>
      </c>
      <c r="D1767" s="822"/>
      <c r="E1767" s="822"/>
      <c r="F1767" s="822"/>
      <c r="G1767" s="822"/>
      <c r="H1767" s="822"/>
    </row>
    <row r="1768" spans="1:8" x14ac:dyDescent="0.25">
      <c r="A1768" s="820">
        <v>1764</v>
      </c>
      <c r="B1768" s="1085" t="str">
        <f t="shared" si="27"/>
        <v>Pitcairn</v>
      </c>
      <c r="C1768" s="1070" t="s">
        <v>3225</v>
      </c>
      <c r="D1768" s="822"/>
      <c r="E1768" s="822"/>
      <c r="F1768" s="822"/>
      <c r="G1768" s="822"/>
      <c r="H1768" s="822"/>
    </row>
    <row r="1769" spans="1:8" x14ac:dyDescent="0.25">
      <c r="A1769" s="820">
        <v>1765</v>
      </c>
      <c r="B1769" s="1085" t="str">
        <f t="shared" si="27"/>
        <v>Puerto Rico</v>
      </c>
      <c r="C1769" s="1070" t="s">
        <v>3226</v>
      </c>
      <c r="D1769" s="822"/>
      <c r="E1769" s="822"/>
      <c r="F1769" s="822"/>
      <c r="G1769" s="822"/>
      <c r="H1769" s="822"/>
    </row>
    <row r="1770" spans="1:8" x14ac:dyDescent="0.25">
      <c r="A1770" s="820">
        <v>1766</v>
      </c>
      <c r="B1770" s="1085" t="str">
        <f t="shared" si="27"/>
        <v>Occupied Palestinian Territory</v>
      </c>
      <c r="C1770" s="1070" t="s">
        <v>3227</v>
      </c>
      <c r="D1770" s="822"/>
      <c r="E1770" s="822"/>
      <c r="F1770" s="822"/>
      <c r="G1770" s="822"/>
      <c r="H1770" s="822"/>
    </row>
    <row r="1771" spans="1:8" x14ac:dyDescent="0.25">
      <c r="A1771" s="820">
        <v>1767</v>
      </c>
      <c r="B1771" s="1085" t="str">
        <f t="shared" si="27"/>
        <v>Palau</v>
      </c>
      <c r="C1771" s="1070" t="s">
        <v>3228</v>
      </c>
      <c r="D1771" s="822"/>
      <c r="E1771" s="822"/>
      <c r="F1771" s="822"/>
      <c r="G1771" s="822"/>
      <c r="H1771" s="822"/>
    </row>
    <row r="1772" spans="1:8" x14ac:dyDescent="0.25">
      <c r="A1772" s="820">
        <v>1768</v>
      </c>
      <c r="B1772" s="1085" t="str">
        <f t="shared" si="27"/>
        <v>Paraguay</v>
      </c>
      <c r="C1772" s="1070" t="s">
        <v>3229</v>
      </c>
      <c r="D1772" s="822"/>
      <c r="E1772" s="822"/>
      <c r="F1772" s="822"/>
      <c r="G1772" s="822"/>
      <c r="H1772" s="822"/>
    </row>
    <row r="1773" spans="1:8" x14ac:dyDescent="0.25">
      <c r="A1773" s="820">
        <v>1769</v>
      </c>
      <c r="B1773" s="1085" t="str">
        <f t="shared" si="27"/>
        <v>Qatar</v>
      </c>
      <c r="C1773" s="1070" t="s">
        <v>3230</v>
      </c>
      <c r="D1773" s="822"/>
      <c r="E1773" s="822"/>
      <c r="F1773" s="822"/>
      <c r="G1773" s="822"/>
      <c r="H1773" s="822"/>
    </row>
    <row r="1774" spans="1:8" x14ac:dyDescent="0.25">
      <c r="A1774" s="820">
        <v>1770</v>
      </c>
      <c r="B1774" s="1085" t="str">
        <f t="shared" si="27"/>
        <v>High seas</v>
      </c>
      <c r="C1774" s="1070" t="s">
        <v>3231</v>
      </c>
      <c r="D1774" s="822"/>
      <c r="E1774" s="822"/>
      <c r="F1774" s="822"/>
      <c r="G1774" s="822"/>
      <c r="H1774" s="822"/>
    </row>
    <row r="1775" spans="1:8" x14ac:dyDescent="0.25">
      <c r="A1775" s="820">
        <v>1771</v>
      </c>
      <c r="B1775" s="1085" t="str">
        <f t="shared" si="27"/>
        <v>Réunion</v>
      </c>
      <c r="C1775" s="1070" t="s">
        <v>3232</v>
      </c>
      <c r="D1775" s="822"/>
      <c r="E1775" s="822"/>
      <c r="F1775" s="822"/>
      <c r="G1775" s="822"/>
      <c r="H1775" s="822"/>
    </row>
    <row r="1776" spans="1:8" x14ac:dyDescent="0.25">
      <c r="A1776" s="820">
        <v>1772</v>
      </c>
      <c r="B1776" s="1085" t="str">
        <f t="shared" si="27"/>
        <v>Serbia</v>
      </c>
      <c r="C1776" s="1070" t="s">
        <v>3233</v>
      </c>
      <c r="D1776" s="822"/>
      <c r="E1776" s="822"/>
      <c r="F1776" s="822"/>
      <c r="G1776" s="822"/>
      <c r="H1776" s="822"/>
    </row>
    <row r="1777" spans="1:8" x14ac:dyDescent="0.25">
      <c r="A1777" s="820">
        <v>1773</v>
      </c>
      <c r="B1777" s="1085" t="str">
        <f t="shared" si="27"/>
        <v>Russian Federation</v>
      </c>
      <c r="C1777" s="1070" t="s">
        <v>3234</v>
      </c>
      <c r="D1777" s="822"/>
      <c r="E1777" s="822"/>
      <c r="F1777" s="822"/>
      <c r="G1777" s="822"/>
      <c r="H1777" s="822"/>
    </row>
    <row r="1778" spans="1:8" x14ac:dyDescent="0.25">
      <c r="A1778" s="820">
        <v>1774</v>
      </c>
      <c r="B1778" s="1085" t="str">
        <f t="shared" si="27"/>
        <v>Rwanda</v>
      </c>
      <c r="C1778" s="1070" t="s">
        <v>3235</v>
      </c>
      <c r="D1778" s="822"/>
      <c r="E1778" s="822"/>
      <c r="F1778" s="822"/>
      <c r="G1778" s="822"/>
      <c r="H1778" s="822"/>
    </row>
    <row r="1779" spans="1:8" x14ac:dyDescent="0.25">
      <c r="A1779" s="820">
        <v>1775</v>
      </c>
      <c r="B1779" s="1085" t="str">
        <f t="shared" si="27"/>
        <v>Saudi Arabia</v>
      </c>
      <c r="C1779" s="1070" t="s">
        <v>3236</v>
      </c>
      <c r="D1779" s="822"/>
      <c r="E1779" s="822"/>
      <c r="F1779" s="822"/>
      <c r="G1779" s="822"/>
      <c r="H1779" s="822"/>
    </row>
    <row r="1780" spans="1:8" x14ac:dyDescent="0.25">
      <c r="A1780" s="820">
        <v>1776</v>
      </c>
      <c r="B1780" s="1085" t="str">
        <f t="shared" si="27"/>
        <v>Solomon Islands</v>
      </c>
      <c r="C1780" s="1070" t="s">
        <v>3237</v>
      </c>
      <c r="D1780" s="822"/>
      <c r="E1780" s="822"/>
      <c r="F1780" s="822"/>
      <c r="G1780" s="822"/>
      <c r="H1780" s="822"/>
    </row>
    <row r="1781" spans="1:8" x14ac:dyDescent="0.25">
      <c r="A1781" s="820">
        <v>1777</v>
      </c>
      <c r="B1781" s="1085" t="str">
        <f t="shared" si="27"/>
        <v>Seychelles</v>
      </c>
      <c r="C1781" s="1070" t="s">
        <v>3238</v>
      </c>
      <c r="D1781" s="822"/>
      <c r="E1781" s="822"/>
      <c r="F1781" s="822"/>
      <c r="G1781" s="822"/>
      <c r="H1781" s="822"/>
    </row>
    <row r="1782" spans="1:8" x14ac:dyDescent="0.25">
      <c r="A1782" s="820">
        <v>1778</v>
      </c>
      <c r="B1782" s="1085" t="str">
        <f t="shared" si="27"/>
        <v>Sudan</v>
      </c>
      <c r="C1782" s="1070" t="s">
        <v>3239</v>
      </c>
      <c r="D1782" s="822"/>
      <c r="E1782" s="822"/>
      <c r="F1782" s="822"/>
      <c r="G1782" s="822"/>
      <c r="H1782" s="822"/>
    </row>
    <row r="1783" spans="1:8" x14ac:dyDescent="0.25">
      <c r="A1783" s="820">
        <v>1779</v>
      </c>
      <c r="B1783" s="1085" t="str">
        <f t="shared" si="27"/>
        <v>Singapore</v>
      </c>
      <c r="C1783" s="1070" t="s">
        <v>3240</v>
      </c>
      <c r="D1783" s="822"/>
      <c r="E1783" s="822"/>
      <c r="F1783" s="822"/>
      <c r="G1783" s="822"/>
      <c r="H1783" s="822"/>
    </row>
    <row r="1784" spans="1:8" x14ac:dyDescent="0.25">
      <c r="A1784" s="820">
        <v>1780</v>
      </c>
      <c r="B1784" s="1085" t="str">
        <f t="shared" si="27"/>
        <v>Saint Helena, Ascension and Tristan</v>
      </c>
      <c r="C1784" s="1070" t="s">
        <v>3241</v>
      </c>
      <c r="D1784" s="822"/>
      <c r="E1784" s="822"/>
      <c r="F1784" s="822"/>
      <c r="G1784" s="822"/>
      <c r="H1784" s="822"/>
    </row>
    <row r="1785" spans="1:8" x14ac:dyDescent="0.25">
      <c r="A1785" s="820">
        <v>1781</v>
      </c>
      <c r="B1785" s="1085" t="str">
        <f t="shared" si="27"/>
        <v>Svalbard and Jan Mayen Islands</v>
      </c>
      <c r="C1785" s="1070" t="s">
        <v>3242</v>
      </c>
      <c r="D1785" s="822"/>
      <c r="E1785" s="822"/>
      <c r="F1785" s="822"/>
      <c r="G1785" s="822"/>
      <c r="H1785" s="822"/>
    </row>
    <row r="1786" spans="1:8" x14ac:dyDescent="0.25">
      <c r="A1786" s="820">
        <v>1782</v>
      </c>
      <c r="B1786" s="1085" t="str">
        <f t="shared" si="27"/>
        <v>Sierra Leone</v>
      </c>
      <c r="C1786" s="1070" t="s">
        <v>3243</v>
      </c>
      <c r="D1786" s="822"/>
      <c r="E1786" s="822"/>
      <c r="F1786" s="822"/>
      <c r="G1786" s="822"/>
      <c r="H1786" s="822"/>
    </row>
    <row r="1787" spans="1:8" x14ac:dyDescent="0.25">
      <c r="A1787" s="820">
        <v>1783</v>
      </c>
      <c r="B1787" s="1085" t="str">
        <f t="shared" si="27"/>
        <v>San Marino</v>
      </c>
      <c r="C1787" s="1070" t="s">
        <v>3244</v>
      </c>
      <c r="D1787" s="822"/>
      <c r="E1787" s="822"/>
      <c r="F1787" s="822"/>
      <c r="G1787" s="822"/>
      <c r="H1787" s="822"/>
    </row>
    <row r="1788" spans="1:8" x14ac:dyDescent="0.25">
      <c r="A1788" s="820">
        <v>1784</v>
      </c>
      <c r="B1788" s="1085" t="str">
        <f t="shared" si="27"/>
        <v>Senegal</v>
      </c>
      <c r="C1788" s="1070" t="s">
        <v>3245</v>
      </c>
      <c r="D1788" s="822"/>
      <c r="E1788" s="822"/>
      <c r="F1788" s="822"/>
      <c r="G1788" s="822"/>
      <c r="H1788" s="822"/>
    </row>
    <row r="1789" spans="1:8" x14ac:dyDescent="0.25">
      <c r="A1789" s="820">
        <v>1785</v>
      </c>
      <c r="B1789" s="1085" t="str">
        <f t="shared" si="27"/>
        <v>Somalia</v>
      </c>
      <c r="C1789" s="1070" t="s">
        <v>3246</v>
      </c>
      <c r="D1789" s="822"/>
      <c r="E1789" s="822"/>
      <c r="F1789" s="822"/>
      <c r="G1789" s="822"/>
      <c r="H1789" s="822"/>
    </row>
    <row r="1790" spans="1:8" x14ac:dyDescent="0.25">
      <c r="A1790" s="820">
        <v>1786</v>
      </c>
      <c r="B1790" s="1085" t="str">
        <f t="shared" si="27"/>
        <v>Suriname</v>
      </c>
      <c r="C1790" s="1070" t="s">
        <v>3247</v>
      </c>
      <c r="D1790" s="822"/>
      <c r="E1790" s="822"/>
      <c r="F1790" s="822"/>
      <c r="G1790" s="822"/>
      <c r="H1790" s="822"/>
    </row>
    <row r="1791" spans="1:8" x14ac:dyDescent="0.25">
      <c r="A1791" s="820">
        <v>1787</v>
      </c>
      <c r="B1791" s="1085" t="str">
        <f t="shared" si="27"/>
        <v>South Sudan</v>
      </c>
      <c r="C1791" s="1070" t="s">
        <v>3248</v>
      </c>
      <c r="D1791" s="822"/>
      <c r="E1791" s="822"/>
      <c r="F1791" s="822"/>
      <c r="G1791" s="822"/>
      <c r="H1791" s="822"/>
    </row>
    <row r="1792" spans="1:8" x14ac:dyDescent="0.25">
      <c r="A1792" s="820">
        <v>1788</v>
      </c>
      <c r="B1792" s="1085" t="str">
        <f t="shared" si="27"/>
        <v>Sao Tome and Principe</v>
      </c>
      <c r="C1792" s="1070" t="s">
        <v>3249</v>
      </c>
      <c r="D1792" s="822"/>
      <c r="E1792" s="822"/>
      <c r="F1792" s="822"/>
      <c r="G1792" s="822"/>
      <c r="H1792" s="822"/>
    </row>
    <row r="1793" spans="1:8" x14ac:dyDescent="0.25">
      <c r="A1793" s="820">
        <v>1789</v>
      </c>
      <c r="B1793" s="1085" t="str">
        <f t="shared" si="27"/>
        <v>El Salvador</v>
      </c>
      <c r="C1793" s="1070" t="s">
        <v>3250</v>
      </c>
      <c r="D1793" s="822"/>
      <c r="E1793" s="822"/>
      <c r="F1793" s="822"/>
      <c r="G1793" s="822"/>
      <c r="H1793" s="822"/>
    </row>
    <row r="1794" spans="1:8" x14ac:dyDescent="0.25">
      <c r="A1794" s="820">
        <v>1790</v>
      </c>
      <c r="B1794" s="1085" t="str">
        <f t="shared" si="27"/>
        <v>Sint Maarten (Dutch part)</v>
      </c>
      <c r="C1794" s="1070" t="s">
        <v>3251</v>
      </c>
      <c r="D1794" s="822"/>
      <c r="E1794" s="822"/>
      <c r="F1794" s="822"/>
      <c r="G1794" s="822"/>
      <c r="H1794" s="822"/>
    </row>
    <row r="1795" spans="1:8" x14ac:dyDescent="0.25">
      <c r="A1795" s="820">
        <v>1791</v>
      </c>
      <c r="B1795" s="1085" t="str">
        <f t="shared" si="27"/>
        <v>Syrian Arab Republic</v>
      </c>
      <c r="C1795" s="1070" t="s">
        <v>3252</v>
      </c>
      <c r="D1795" s="822"/>
      <c r="E1795" s="822"/>
      <c r="F1795" s="822"/>
      <c r="G1795" s="822"/>
      <c r="H1795" s="822"/>
    </row>
    <row r="1796" spans="1:8" x14ac:dyDescent="0.25">
      <c r="A1796" s="820">
        <v>1792</v>
      </c>
      <c r="B1796" s="1085" t="str">
        <f t="shared" si="27"/>
        <v>Swaziland</v>
      </c>
      <c r="C1796" s="1070" t="s">
        <v>3253</v>
      </c>
      <c r="D1796" s="822"/>
      <c r="E1796" s="822"/>
      <c r="F1796" s="822"/>
      <c r="G1796" s="822"/>
      <c r="H1796" s="822"/>
    </row>
    <row r="1797" spans="1:8" x14ac:dyDescent="0.25">
      <c r="A1797" s="820">
        <v>1793</v>
      </c>
      <c r="B1797" s="1085" t="str">
        <f t="shared" si="27"/>
        <v>Turks and Caicos Islands</v>
      </c>
      <c r="C1797" s="1070" t="s">
        <v>3254</v>
      </c>
      <c r="D1797" s="822"/>
      <c r="E1797" s="822"/>
      <c r="F1797" s="822"/>
      <c r="G1797" s="822"/>
      <c r="H1797" s="822"/>
    </row>
    <row r="1798" spans="1:8" x14ac:dyDescent="0.25">
      <c r="A1798" s="820">
        <v>1794</v>
      </c>
      <c r="B1798" s="1085" t="str">
        <f t="shared" ref="B1798:B1861" si="28">IFERROR(INDEX(C1798:M1798,$A$3-2),$C1798)</f>
        <v>Chad</v>
      </c>
      <c r="C1798" s="1070" t="s">
        <v>3255</v>
      </c>
      <c r="D1798" s="822"/>
      <c r="E1798" s="822"/>
      <c r="F1798" s="822"/>
      <c r="G1798" s="822"/>
      <c r="H1798" s="822"/>
    </row>
    <row r="1799" spans="1:8" x14ac:dyDescent="0.25">
      <c r="A1799" s="820">
        <v>1795</v>
      </c>
      <c r="B1799" s="1085" t="str">
        <f t="shared" si="28"/>
        <v>French Southern Territories</v>
      </c>
      <c r="C1799" s="1070" t="s">
        <v>3256</v>
      </c>
      <c r="D1799" s="822"/>
      <c r="E1799" s="822"/>
      <c r="F1799" s="822"/>
      <c r="G1799" s="822"/>
      <c r="H1799" s="822"/>
    </row>
    <row r="1800" spans="1:8" x14ac:dyDescent="0.25">
      <c r="A1800" s="820">
        <v>1796</v>
      </c>
      <c r="B1800" s="1085" t="str">
        <f t="shared" si="28"/>
        <v>Togo</v>
      </c>
      <c r="C1800" s="1070" t="s">
        <v>3257</v>
      </c>
      <c r="D1800" s="822"/>
      <c r="E1800" s="822"/>
      <c r="F1800" s="822"/>
      <c r="G1800" s="822"/>
      <c r="H1800" s="822"/>
    </row>
    <row r="1801" spans="1:8" x14ac:dyDescent="0.25">
      <c r="A1801" s="820">
        <v>1797</v>
      </c>
      <c r="B1801" s="1085" t="str">
        <f t="shared" si="28"/>
        <v>Thailand</v>
      </c>
      <c r="C1801" s="1070" t="s">
        <v>3258</v>
      </c>
      <c r="D1801" s="822"/>
      <c r="E1801" s="822"/>
      <c r="F1801" s="822"/>
      <c r="G1801" s="822"/>
      <c r="H1801" s="822"/>
    </row>
    <row r="1802" spans="1:8" x14ac:dyDescent="0.25">
      <c r="A1802" s="820">
        <v>1798</v>
      </c>
      <c r="B1802" s="1085" t="str">
        <f t="shared" si="28"/>
        <v>Tajikistan</v>
      </c>
      <c r="C1802" s="1070" t="s">
        <v>3259</v>
      </c>
      <c r="D1802" s="822"/>
      <c r="E1802" s="822"/>
      <c r="F1802" s="822"/>
      <c r="G1802" s="822"/>
      <c r="H1802" s="822"/>
    </row>
    <row r="1803" spans="1:8" x14ac:dyDescent="0.25">
      <c r="A1803" s="820">
        <v>1799</v>
      </c>
      <c r="B1803" s="1085" t="str">
        <f t="shared" si="28"/>
        <v>Tokelau</v>
      </c>
      <c r="C1803" s="1070" t="s">
        <v>3260</v>
      </c>
      <c r="D1803" s="822"/>
      <c r="E1803" s="822"/>
      <c r="F1803" s="822"/>
      <c r="G1803" s="822"/>
      <c r="H1803" s="822"/>
    </row>
    <row r="1804" spans="1:8" x14ac:dyDescent="0.25">
      <c r="A1804" s="820">
        <v>1800</v>
      </c>
      <c r="B1804" s="1085" t="str">
        <f t="shared" si="28"/>
        <v>Timor-Leste</v>
      </c>
      <c r="C1804" s="1070" t="s">
        <v>3261</v>
      </c>
      <c r="D1804" s="822"/>
      <c r="E1804" s="822"/>
      <c r="F1804" s="822"/>
      <c r="G1804" s="822"/>
      <c r="H1804" s="822"/>
    </row>
    <row r="1805" spans="1:8" x14ac:dyDescent="0.25">
      <c r="A1805" s="820">
        <v>1801</v>
      </c>
      <c r="B1805" s="1085" t="str">
        <f t="shared" si="28"/>
        <v>Turkmenistan</v>
      </c>
      <c r="C1805" s="1070" t="s">
        <v>3262</v>
      </c>
      <c r="D1805" s="822"/>
      <c r="E1805" s="822"/>
      <c r="F1805" s="822"/>
      <c r="G1805" s="822"/>
      <c r="H1805" s="822"/>
    </row>
    <row r="1806" spans="1:8" x14ac:dyDescent="0.25">
      <c r="A1806" s="820">
        <v>1802</v>
      </c>
      <c r="B1806" s="1085" t="str">
        <f t="shared" si="28"/>
        <v>Tunisia</v>
      </c>
      <c r="C1806" s="1070" t="s">
        <v>3263</v>
      </c>
      <c r="D1806" s="822"/>
      <c r="E1806" s="822"/>
      <c r="F1806" s="822"/>
      <c r="G1806" s="822"/>
      <c r="H1806" s="822"/>
    </row>
    <row r="1807" spans="1:8" x14ac:dyDescent="0.25">
      <c r="A1807" s="820">
        <v>1803</v>
      </c>
      <c r="B1807" s="1085" t="str">
        <f t="shared" si="28"/>
        <v>Tonga</v>
      </c>
      <c r="C1807" s="1070" t="s">
        <v>3264</v>
      </c>
      <c r="D1807" s="822"/>
      <c r="E1807" s="822"/>
      <c r="F1807" s="822"/>
      <c r="G1807" s="822"/>
      <c r="H1807" s="822"/>
    </row>
    <row r="1808" spans="1:8" x14ac:dyDescent="0.25">
      <c r="A1808" s="820">
        <v>1804</v>
      </c>
      <c r="B1808" s="1085" t="str">
        <f t="shared" si="28"/>
        <v>East Timor</v>
      </c>
      <c r="C1808" s="1070" t="s">
        <v>3265</v>
      </c>
      <c r="D1808" s="822"/>
      <c r="E1808" s="822"/>
      <c r="F1808" s="822"/>
      <c r="G1808" s="822"/>
      <c r="H1808" s="822"/>
    </row>
    <row r="1809" spans="1:8" x14ac:dyDescent="0.25">
      <c r="A1809" s="820">
        <v>1805</v>
      </c>
      <c r="B1809" s="1085" t="str">
        <f t="shared" si="28"/>
        <v>Türkiye</v>
      </c>
      <c r="C1809" s="1070" t="s">
        <v>3266</v>
      </c>
      <c r="D1809" s="822"/>
      <c r="E1809" s="822"/>
      <c r="F1809" s="822"/>
      <c r="G1809" s="822"/>
      <c r="H1809" s="822"/>
    </row>
    <row r="1810" spans="1:8" x14ac:dyDescent="0.25">
      <c r="A1810" s="820">
        <v>1806</v>
      </c>
      <c r="B1810" s="1085" t="str">
        <f t="shared" si="28"/>
        <v>Trinidad and Tobago</v>
      </c>
      <c r="C1810" s="1070" t="s">
        <v>3267</v>
      </c>
      <c r="D1810" s="822"/>
      <c r="E1810" s="822"/>
      <c r="F1810" s="822"/>
      <c r="G1810" s="822"/>
      <c r="H1810" s="822"/>
    </row>
    <row r="1811" spans="1:8" x14ac:dyDescent="0.25">
      <c r="A1811" s="820">
        <v>1807</v>
      </c>
      <c r="B1811" s="1085" t="str">
        <f t="shared" si="28"/>
        <v>Tuvalu</v>
      </c>
      <c r="C1811" s="1070" t="s">
        <v>3268</v>
      </c>
      <c r="D1811" s="822"/>
      <c r="E1811" s="822"/>
      <c r="F1811" s="822"/>
      <c r="G1811" s="822"/>
      <c r="H1811" s="822"/>
    </row>
    <row r="1812" spans="1:8" x14ac:dyDescent="0.25">
      <c r="A1812" s="820">
        <v>1808</v>
      </c>
      <c r="B1812" s="1085" t="str">
        <f t="shared" si="28"/>
        <v>Taiwan</v>
      </c>
      <c r="C1812" s="1070" t="s">
        <v>3269</v>
      </c>
      <c r="D1812" s="822"/>
      <c r="E1812" s="822"/>
      <c r="F1812" s="822"/>
      <c r="G1812" s="822"/>
      <c r="H1812" s="822"/>
    </row>
    <row r="1813" spans="1:8" x14ac:dyDescent="0.25">
      <c r="A1813" s="820">
        <v>1809</v>
      </c>
      <c r="B1813" s="1085" t="str">
        <f t="shared" si="28"/>
        <v>Tanzania, United Republic of</v>
      </c>
      <c r="C1813" s="1070" t="s">
        <v>3270</v>
      </c>
      <c r="D1813" s="822"/>
      <c r="E1813" s="822"/>
      <c r="F1813" s="822"/>
      <c r="G1813" s="822"/>
      <c r="H1813" s="822"/>
    </row>
    <row r="1814" spans="1:8" x14ac:dyDescent="0.25">
      <c r="A1814" s="820">
        <v>1810</v>
      </c>
      <c r="B1814" s="1085" t="str">
        <f t="shared" si="28"/>
        <v>Ukraine</v>
      </c>
      <c r="C1814" s="1070" t="s">
        <v>3271</v>
      </c>
      <c r="D1814" s="822"/>
      <c r="E1814" s="822"/>
      <c r="F1814" s="822"/>
      <c r="G1814" s="822"/>
      <c r="H1814" s="822"/>
    </row>
    <row r="1815" spans="1:8" x14ac:dyDescent="0.25">
      <c r="A1815" s="820">
        <v>1811</v>
      </c>
      <c r="B1815" s="1085" t="str">
        <f t="shared" si="28"/>
        <v>Uganda</v>
      </c>
      <c r="C1815" s="1070" t="s">
        <v>3272</v>
      </c>
      <c r="D1815" s="822"/>
      <c r="E1815" s="822"/>
      <c r="F1815" s="822"/>
      <c r="G1815" s="822"/>
      <c r="H1815" s="822"/>
    </row>
    <row r="1816" spans="1:8" x14ac:dyDescent="0.25">
      <c r="A1816" s="820">
        <v>1812</v>
      </c>
      <c r="B1816" s="1085" t="str">
        <f t="shared" si="28"/>
        <v>United States Minor Outlying Island</v>
      </c>
      <c r="C1816" s="1070" t="s">
        <v>3273</v>
      </c>
      <c r="D1816" s="822"/>
      <c r="E1816" s="822"/>
      <c r="F1816" s="822"/>
      <c r="G1816" s="822"/>
      <c r="H1816" s="822"/>
    </row>
    <row r="1817" spans="1:8" x14ac:dyDescent="0.25">
      <c r="A1817" s="820">
        <v>1813</v>
      </c>
      <c r="B1817" s="1085" t="str">
        <f t="shared" si="28"/>
        <v>United States</v>
      </c>
      <c r="C1817" s="1070" t="s">
        <v>3274</v>
      </c>
      <c r="D1817" s="822"/>
      <c r="E1817" s="822"/>
      <c r="F1817" s="822"/>
      <c r="G1817" s="822"/>
      <c r="H1817" s="822"/>
    </row>
    <row r="1818" spans="1:8" x14ac:dyDescent="0.25">
      <c r="A1818" s="820">
        <v>1814</v>
      </c>
      <c r="B1818" s="1085" t="str">
        <f t="shared" si="28"/>
        <v>Uruguay</v>
      </c>
      <c r="C1818" s="1070" t="s">
        <v>3275</v>
      </c>
      <c r="D1818" s="822"/>
      <c r="E1818" s="822"/>
      <c r="F1818" s="822"/>
      <c r="G1818" s="822"/>
      <c r="H1818" s="822"/>
    </row>
    <row r="1819" spans="1:8" x14ac:dyDescent="0.25">
      <c r="A1819" s="820">
        <v>1815</v>
      </c>
      <c r="B1819" s="1085" t="str">
        <f t="shared" si="28"/>
        <v>Uzbekistan</v>
      </c>
      <c r="C1819" s="1070" t="s">
        <v>3276</v>
      </c>
      <c r="D1819" s="822"/>
      <c r="E1819" s="822"/>
      <c r="F1819" s="822"/>
      <c r="G1819" s="822"/>
      <c r="H1819" s="822"/>
    </row>
    <row r="1820" spans="1:8" x14ac:dyDescent="0.25">
      <c r="A1820" s="820">
        <v>1816</v>
      </c>
      <c r="B1820" s="1085" t="str">
        <f t="shared" si="28"/>
        <v>Vatican City</v>
      </c>
      <c r="C1820" s="1070" t="s">
        <v>3277</v>
      </c>
      <c r="D1820" s="822"/>
      <c r="E1820" s="822"/>
      <c r="F1820" s="822"/>
      <c r="G1820" s="822"/>
      <c r="H1820" s="822"/>
    </row>
    <row r="1821" spans="1:8" x14ac:dyDescent="0.25">
      <c r="A1821" s="820">
        <v>1817</v>
      </c>
      <c r="B1821" s="1085" t="str">
        <f t="shared" si="28"/>
        <v>St Vincent</v>
      </c>
      <c r="C1821" s="1070" t="s">
        <v>3278</v>
      </c>
      <c r="D1821" s="822"/>
      <c r="E1821" s="822"/>
      <c r="F1821" s="822"/>
      <c r="G1821" s="822"/>
      <c r="H1821" s="822"/>
    </row>
    <row r="1822" spans="1:8" x14ac:dyDescent="0.25">
      <c r="A1822" s="820">
        <v>1818</v>
      </c>
      <c r="B1822" s="1085" t="str">
        <f t="shared" si="28"/>
        <v>Venezuela</v>
      </c>
      <c r="C1822" s="1070" t="s">
        <v>3279</v>
      </c>
      <c r="D1822" s="822"/>
      <c r="E1822" s="822"/>
      <c r="F1822" s="822"/>
      <c r="G1822" s="822"/>
      <c r="H1822" s="822"/>
    </row>
    <row r="1823" spans="1:8" x14ac:dyDescent="0.25">
      <c r="A1823" s="820">
        <v>1819</v>
      </c>
      <c r="B1823" s="1085" t="str">
        <f t="shared" si="28"/>
        <v>British Virgin Islands</v>
      </c>
      <c r="C1823" s="1070" t="s">
        <v>3280</v>
      </c>
      <c r="D1823" s="822"/>
      <c r="E1823" s="822"/>
      <c r="F1823" s="822"/>
      <c r="G1823" s="822"/>
      <c r="H1823" s="822"/>
    </row>
    <row r="1824" spans="1:8" x14ac:dyDescent="0.25">
      <c r="A1824" s="820">
        <v>1820</v>
      </c>
      <c r="B1824" s="1085" t="str">
        <f t="shared" si="28"/>
        <v>US Virgin Islands</v>
      </c>
      <c r="C1824" s="1070" t="s">
        <v>3281</v>
      </c>
      <c r="D1824" s="822"/>
      <c r="E1824" s="822"/>
      <c r="F1824" s="822"/>
      <c r="G1824" s="822"/>
      <c r="H1824" s="822"/>
    </row>
    <row r="1825" spans="1:8" x14ac:dyDescent="0.25">
      <c r="A1825" s="820">
        <v>1821</v>
      </c>
      <c r="B1825" s="1085" t="str">
        <f t="shared" si="28"/>
        <v>Vietnam</v>
      </c>
      <c r="C1825" s="1070" t="s">
        <v>3282</v>
      </c>
      <c r="D1825" s="822"/>
      <c r="E1825" s="822"/>
      <c r="F1825" s="822"/>
      <c r="G1825" s="822"/>
      <c r="H1825" s="822"/>
    </row>
    <row r="1826" spans="1:8" x14ac:dyDescent="0.25">
      <c r="A1826" s="820">
        <v>1822</v>
      </c>
      <c r="B1826" s="1085" t="str">
        <f t="shared" si="28"/>
        <v>Vanuatu</v>
      </c>
      <c r="C1826" s="1070" t="s">
        <v>3283</v>
      </c>
      <c r="D1826" s="822"/>
      <c r="E1826" s="822"/>
      <c r="F1826" s="822"/>
      <c r="G1826" s="822"/>
      <c r="H1826" s="822"/>
    </row>
    <row r="1827" spans="1:8" x14ac:dyDescent="0.25">
      <c r="A1827" s="820">
        <v>1823</v>
      </c>
      <c r="B1827" s="1085" t="str">
        <f t="shared" si="28"/>
        <v>Wallis and Futuna Islands</v>
      </c>
      <c r="C1827" s="1070" t="s">
        <v>3284</v>
      </c>
      <c r="D1827" s="822"/>
      <c r="E1827" s="822"/>
      <c r="F1827" s="822"/>
      <c r="G1827" s="822"/>
      <c r="H1827" s="822"/>
    </row>
    <row r="1828" spans="1:8" x14ac:dyDescent="0.25">
      <c r="A1828" s="820">
        <v>1824</v>
      </c>
      <c r="B1828" s="1085" t="str">
        <f t="shared" si="28"/>
        <v>Samoa</v>
      </c>
      <c r="C1828" s="1070" t="s">
        <v>3285</v>
      </c>
      <c r="D1828" s="822"/>
      <c r="E1828" s="822"/>
      <c r="F1828" s="822"/>
      <c r="G1828" s="822"/>
      <c r="H1828" s="822"/>
    </row>
    <row r="1829" spans="1:8" x14ac:dyDescent="0.25">
      <c r="A1829" s="820">
        <v>1825</v>
      </c>
      <c r="B1829" s="1085" t="str">
        <f t="shared" si="28"/>
        <v>American Oceania</v>
      </c>
      <c r="C1829" s="1070" t="s">
        <v>3286</v>
      </c>
      <c r="D1829" s="822"/>
      <c r="E1829" s="822"/>
      <c r="F1829" s="822"/>
      <c r="G1829" s="822"/>
      <c r="H1829" s="822"/>
    </row>
    <row r="1830" spans="1:8" x14ac:dyDescent="0.25">
      <c r="A1830" s="820">
        <v>1826</v>
      </c>
      <c r="B1830" s="1085" t="str">
        <f t="shared" si="28"/>
        <v>Ceuta</v>
      </c>
      <c r="C1830" s="1070" t="s">
        <v>3287</v>
      </c>
      <c r="D1830" s="822"/>
      <c r="E1830" s="822"/>
      <c r="F1830" s="822"/>
      <c r="G1830" s="822"/>
      <c r="H1830" s="822"/>
    </row>
    <row r="1831" spans="1:8" x14ac:dyDescent="0.25">
      <c r="A1831" s="820">
        <v>1827</v>
      </c>
      <c r="B1831" s="1085" t="str">
        <f t="shared" si="28"/>
        <v>United Kingdom (Northern Ireland)</v>
      </c>
      <c r="C1831" s="1070" t="s">
        <v>3288</v>
      </c>
      <c r="D1831" s="822"/>
      <c r="E1831" s="822"/>
      <c r="F1831" s="822"/>
      <c r="G1831" s="822"/>
      <c r="H1831" s="822"/>
    </row>
    <row r="1832" spans="1:8" x14ac:dyDescent="0.25">
      <c r="A1832" s="820">
        <v>1828</v>
      </c>
      <c r="B1832" s="1085" t="str">
        <f t="shared" si="28"/>
        <v>Kosovo</v>
      </c>
      <c r="C1832" s="1070" t="s">
        <v>3289</v>
      </c>
      <c r="D1832" s="822"/>
      <c r="E1832" s="822"/>
      <c r="F1832" s="822"/>
      <c r="G1832" s="822"/>
      <c r="H1832" s="822"/>
    </row>
    <row r="1833" spans="1:8" x14ac:dyDescent="0.25">
      <c r="A1833" s="820">
        <v>1829</v>
      </c>
      <c r="B1833" s="1085" t="str">
        <f t="shared" si="28"/>
        <v>Melilla</v>
      </c>
      <c r="C1833" s="1070" t="s">
        <v>3290</v>
      </c>
      <c r="D1833" s="822"/>
      <c r="E1833" s="822"/>
      <c r="F1833" s="822"/>
      <c r="G1833" s="822"/>
      <c r="H1833" s="822"/>
    </row>
    <row r="1834" spans="1:8" x14ac:dyDescent="0.25">
      <c r="A1834" s="820">
        <v>1830</v>
      </c>
      <c r="B1834" s="1085" t="str">
        <f t="shared" si="28"/>
        <v>Australian Oceania</v>
      </c>
      <c r="C1834" s="1070" t="s">
        <v>3291</v>
      </c>
      <c r="D1834" s="822"/>
      <c r="E1834" s="822"/>
      <c r="F1834" s="822"/>
      <c r="G1834" s="822"/>
      <c r="H1834" s="822"/>
    </row>
    <row r="1835" spans="1:8" x14ac:dyDescent="0.25">
      <c r="A1835" s="820">
        <v>1831</v>
      </c>
      <c r="B1835" s="1085" t="str">
        <f t="shared" si="28"/>
        <v>West Bank and Gaza Strip</v>
      </c>
      <c r="C1835" s="1070" t="s">
        <v>3292</v>
      </c>
      <c r="D1835" s="822"/>
      <c r="E1835" s="822"/>
      <c r="F1835" s="822"/>
      <c r="G1835" s="822"/>
      <c r="H1835" s="822"/>
    </row>
    <row r="1836" spans="1:8" x14ac:dyDescent="0.25">
      <c r="A1836" s="820">
        <v>1832</v>
      </c>
      <c r="B1836" s="1085" t="str">
        <f t="shared" si="28"/>
        <v>Polar regions</v>
      </c>
      <c r="C1836" s="1070" t="s">
        <v>3293</v>
      </c>
      <c r="D1836" s="822"/>
      <c r="E1836" s="822"/>
      <c r="F1836" s="822"/>
      <c r="G1836" s="822"/>
      <c r="H1836" s="822"/>
    </row>
    <row r="1837" spans="1:8" x14ac:dyDescent="0.25">
      <c r="A1837" s="820">
        <v>1833</v>
      </c>
      <c r="B1837" s="1085" t="str">
        <f t="shared" si="28"/>
        <v>New Zealand Oceania</v>
      </c>
      <c r="C1837" s="1070" t="s">
        <v>3294</v>
      </c>
      <c r="D1837" s="822"/>
      <c r="E1837" s="822"/>
      <c r="F1837" s="822"/>
      <c r="G1837" s="822"/>
      <c r="H1837" s="822"/>
    </row>
    <row r="1838" spans="1:8" x14ac:dyDescent="0.25">
      <c r="A1838" s="820">
        <v>1834</v>
      </c>
      <c r="B1838" s="1085" t="str">
        <f t="shared" si="28"/>
        <v>Yemen</v>
      </c>
      <c r="C1838" s="1070" t="s">
        <v>3295</v>
      </c>
      <c r="D1838" s="822"/>
      <c r="E1838" s="822"/>
      <c r="F1838" s="822"/>
      <c r="G1838" s="822"/>
      <c r="H1838" s="822"/>
    </row>
    <row r="1839" spans="1:8" x14ac:dyDescent="0.25">
      <c r="A1839" s="820">
        <v>1835</v>
      </c>
      <c r="B1839" s="1085" t="str">
        <f t="shared" si="28"/>
        <v>Mayotte</v>
      </c>
      <c r="C1839" s="1070" t="s">
        <v>3296</v>
      </c>
      <c r="D1839" s="822"/>
      <c r="E1839" s="822"/>
      <c r="F1839" s="822"/>
      <c r="G1839" s="822"/>
      <c r="H1839" s="822"/>
    </row>
    <row r="1840" spans="1:8" x14ac:dyDescent="0.25">
      <c r="A1840" s="820">
        <v>1836</v>
      </c>
      <c r="B1840" s="1085" t="str">
        <f t="shared" si="28"/>
        <v>Federal Republic of Yugoslavia</v>
      </c>
      <c r="C1840" s="1070" t="s">
        <v>3297</v>
      </c>
      <c r="D1840" s="822"/>
      <c r="E1840" s="822"/>
      <c r="F1840" s="822"/>
      <c r="G1840" s="822"/>
      <c r="H1840" s="822"/>
    </row>
    <row r="1841" spans="1:8" x14ac:dyDescent="0.25">
      <c r="A1841" s="820">
        <v>1837</v>
      </c>
      <c r="B1841" s="1085" t="str">
        <f t="shared" si="28"/>
        <v>South Africa</v>
      </c>
      <c r="C1841" s="1070" t="s">
        <v>3298</v>
      </c>
      <c r="D1841" s="822"/>
      <c r="E1841" s="822"/>
      <c r="F1841" s="822"/>
      <c r="G1841" s="822"/>
      <c r="H1841" s="822"/>
    </row>
    <row r="1842" spans="1:8" x14ac:dyDescent="0.25">
      <c r="A1842" s="820">
        <v>1838</v>
      </c>
      <c r="B1842" s="1085" t="str">
        <f t="shared" si="28"/>
        <v>Zambia</v>
      </c>
      <c r="C1842" s="1070" t="s">
        <v>3299</v>
      </c>
      <c r="D1842" s="822"/>
      <c r="E1842" s="822"/>
      <c r="F1842" s="822"/>
      <c r="G1842" s="822"/>
      <c r="H1842" s="822"/>
    </row>
    <row r="1843" spans="1:8" x14ac:dyDescent="0.25">
      <c r="A1843" s="820">
        <v>1839</v>
      </c>
      <c r="B1843" s="1085" t="str">
        <f t="shared" si="28"/>
        <v>Zaire</v>
      </c>
      <c r="C1843" s="1070" t="s">
        <v>3300</v>
      </c>
      <c r="D1843" s="822"/>
      <c r="E1843" s="822"/>
      <c r="F1843" s="822"/>
      <c r="G1843" s="822"/>
      <c r="H1843" s="822"/>
    </row>
    <row r="1844" spans="1:8" x14ac:dyDescent="0.25">
      <c r="A1844" s="820">
        <v>1840</v>
      </c>
      <c r="B1844" s="1085" t="str">
        <f t="shared" si="28"/>
        <v>Zimbabwe</v>
      </c>
      <c r="C1844" s="1070" t="s">
        <v>3301</v>
      </c>
      <c r="D1844" s="822"/>
      <c r="E1844" s="822"/>
      <c r="F1844" s="822"/>
      <c r="G1844" s="822"/>
      <c r="H1844" s="822"/>
    </row>
    <row r="1845" spans="1:8" x14ac:dyDescent="0.25">
      <c r="A1845" s="820">
        <v>1841</v>
      </c>
      <c r="B1845" s="1085" t="str">
        <f t="shared" si="28"/>
        <v>Common Nomenclature Codes for CBAM goods</v>
      </c>
      <c r="C1845" s="1070" t="s">
        <v>3874</v>
      </c>
      <c r="D1845" s="822"/>
      <c r="E1845" s="822"/>
      <c r="F1845" s="822"/>
      <c r="G1845" s="822"/>
      <c r="H1845" s="822"/>
    </row>
    <row r="1846" spans="1:8" x14ac:dyDescent="0.25">
      <c r="A1846" s="820">
        <v>1842</v>
      </c>
      <c r="B1846" s="1085" t="str">
        <f t="shared" si="28"/>
        <v>The list below shows the CN codes and corresponding names of all CBAM goods and the aggregated goods category to which the CN code pertains.</v>
      </c>
      <c r="C1846" s="1070" t="s">
        <v>3880</v>
      </c>
      <c r="D1846" s="822"/>
      <c r="E1846" s="822"/>
      <c r="F1846" s="822"/>
      <c r="G1846" s="822"/>
      <c r="H1846" s="822"/>
    </row>
    <row r="1847" spans="1:8" x14ac:dyDescent="0.25">
      <c r="A1847" s="820">
        <v>1843</v>
      </c>
      <c r="B1847" s="1085" t="str">
        <f t="shared" si="28"/>
        <v xml:space="preserve">CN codes for products that are not listed here do currently not fall under the CBAM. </v>
      </c>
      <c r="C1847" s="1070" t="s">
        <v>3881</v>
      </c>
      <c r="D1847" s="822"/>
      <c r="E1847" s="822"/>
      <c r="F1847" s="822"/>
      <c r="G1847" s="822"/>
      <c r="H1847" s="822"/>
    </row>
    <row r="1848" spans="1:8" x14ac:dyDescent="0.25">
      <c r="A1848" s="820">
        <v>1844</v>
      </c>
      <c r="B1848" s="1085" t="str">
        <f t="shared" si="28"/>
        <v>CN Code</v>
      </c>
      <c r="C1848" s="1070" t="s">
        <v>3879</v>
      </c>
      <c r="D1848" s="822"/>
      <c r="E1848" s="822"/>
      <c r="F1848" s="822"/>
      <c r="G1848" s="822"/>
      <c r="H1848" s="822"/>
    </row>
    <row r="1849" spans="1:8" x14ac:dyDescent="0.25">
      <c r="A1849" s="820">
        <v>1845</v>
      </c>
      <c r="B1849" s="1085" t="str">
        <f t="shared" si="28"/>
        <v>GHG balance &amp; data quality</v>
      </c>
      <c r="C1849" s="1070" t="s">
        <v>3052</v>
      </c>
      <c r="D1849" s="822"/>
      <c r="E1849" s="822"/>
      <c r="F1849" s="822"/>
      <c r="G1849" s="822"/>
      <c r="H1849" s="822"/>
    </row>
    <row r="1850" spans="1:8" x14ac:dyDescent="0.25">
      <c r="A1850" s="820">
        <v>1846</v>
      </c>
      <c r="B1850" s="1085" t="str">
        <f t="shared" si="28"/>
        <v>GHG balance by type of GHG</v>
      </c>
      <c r="C1850" s="1070" t="s">
        <v>3060</v>
      </c>
      <c r="D1850" s="822"/>
      <c r="E1850" s="822"/>
      <c r="F1850" s="822"/>
      <c r="G1850" s="822"/>
      <c r="H1850" s="822"/>
    </row>
    <row r="1851" spans="1:8" x14ac:dyDescent="0.25">
      <c r="A1851" s="820">
        <v>1847</v>
      </c>
      <c r="B1851" s="1085" t="str">
        <f t="shared" si="28"/>
        <v>GHG balance by type of monitoring methodology</v>
      </c>
      <c r="C1851" s="1070" t="s">
        <v>3061</v>
      </c>
      <c r="D1851" s="822"/>
      <c r="E1851" s="822"/>
      <c r="F1851" s="822"/>
      <c r="G1851" s="822"/>
      <c r="H1851" s="822"/>
    </row>
    <row r="1852" spans="1:8" x14ac:dyDescent="0.25">
      <c r="A1852" s="820">
        <v>1848</v>
      </c>
      <c r="B1852" s="1085" t="str">
        <f t="shared" si="28"/>
        <v>Values below are taken automatically from entries in sheet "B_EmInst" and point (a) above.</v>
      </c>
      <c r="C1852" s="1070" t="s">
        <v>3039</v>
      </c>
      <c r="D1852" s="822"/>
      <c r="E1852" s="822"/>
      <c r="F1852" s="822"/>
      <c r="G1852" s="822"/>
      <c r="H1852" s="822"/>
    </row>
    <row r="1853" spans="1:8" x14ac:dyDescent="0.25">
      <c r="A1853" s="820">
        <v>1849</v>
      </c>
      <c r="B1853" s="1085" t="str">
        <f t="shared" si="28"/>
        <v>Calculation - based (excl. PFC emissions)</v>
      </c>
      <c r="C1853" s="1070" t="s">
        <v>3038</v>
      </c>
      <c r="D1853" s="822"/>
      <c r="E1853" s="822"/>
      <c r="F1853" s="822"/>
      <c r="G1853" s="822"/>
      <c r="H1853" s="822"/>
    </row>
    <row r="1854" spans="1:8" x14ac:dyDescent="0.25">
      <c r="A1854" s="820">
        <v>1850</v>
      </c>
      <c r="B1854" s="1085" t="str">
        <f t="shared" si="28"/>
        <v>Measurement - based</v>
      </c>
      <c r="C1854" s="1070" t="s">
        <v>3037</v>
      </c>
      <c r="D1854" s="822"/>
      <c r="E1854" s="822"/>
      <c r="F1854" s="822"/>
      <c r="G1854" s="822"/>
      <c r="H1854" s="822"/>
    </row>
    <row r="1855" spans="1:8" x14ac:dyDescent="0.25">
      <c r="A1855" s="820">
        <v>1851</v>
      </c>
      <c r="B1855" s="1085" t="str">
        <f t="shared" si="28"/>
        <v>Information on the data quality and quality assurance</v>
      </c>
      <c r="C1855" s="1070" t="s">
        <v>3057</v>
      </c>
      <c r="D1855" s="822"/>
      <c r="E1855" s="822"/>
      <c r="F1855" s="822"/>
      <c r="G1855" s="822"/>
      <c r="H1855" s="822"/>
    </row>
    <row r="1856" spans="1:8" x14ac:dyDescent="0.25">
      <c r="A1856" s="820">
        <v>1852</v>
      </c>
      <c r="B1856" s="1085" t="str">
        <f t="shared" si="28"/>
        <v>General information on data quality:</v>
      </c>
      <c r="C1856" s="1070" t="s">
        <v>3055</v>
      </c>
      <c r="D1856" s="822"/>
      <c r="E1856" s="822"/>
      <c r="F1856" s="822"/>
      <c r="G1856" s="822"/>
      <c r="H1856" s="822"/>
    </row>
    <row r="1857" spans="1:8" x14ac:dyDescent="0.25">
      <c r="A1857" s="820">
        <v>1853</v>
      </c>
      <c r="B1857" s="1085" t="str">
        <f t="shared" si="28"/>
        <v>Please select from the hierarchical order (descending order) in the drop-down list the predominant approach for determining the installation's direct emissions.</v>
      </c>
      <c r="C1857" s="1070" t="s">
        <v>3059</v>
      </c>
      <c r="D1857" s="822"/>
      <c r="E1857" s="822"/>
      <c r="F1857" s="822"/>
      <c r="G1857" s="822"/>
      <c r="H1857" s="822"/>
    </row>
    <row r="1858" spans="1:8" x14ac:dyDescent="0.25">
      <c r="A1858" s="820">
        <v>1854</v>
      </c>
      <c r="B1858" s="1085" t="str">
        <f t="shared" si="28"/>
        <v>Justification for use of default values (if relevant):</v>
      </c>
      <c r="C1858" s="1070" t="s">
        <v>3063</v>
      </c>
      <c r="D1858" s="822"/>
      <c r="E1858" s="822"/>
      <c r="F1858" s="822"/>
      <c r="G1858" s="822"/>
      <c r="H1858" s="822"/>
    </row>
    <row r="1859" spans="1:8" x14ac:dyDescent="0.25">
      <c r="A1859" s="820">
        <v>1855</v>
      </c>
      <c r="B1859" s="1085" t="str">
        <f t="shared" si="28"/>
        <v>If the predominant method was to use default values published by the European Commission, please select from the drop-down list the most appropriate justification for not achieving higher data quality.</v>
      </c>
      <c r="C1859" s="1070" t="s">
        <v>3058</v>
      </c>
      <c r="D1859" s="822"/>
      <c r="E1859" s="822"/>
      <c r="F1859" s="822"/>
      <c r="G1859" s="822"/>
      <c r="H1859" s="822"/>
    </row>
    <row r="1860" spans="1:8" x14ac:dyDescent="0.25">
      <c r="A1860" s="820">
        <v>1856</v>
      </c>
      <c r="B1860" s="1085" t="str">
        <f t="shared" si="28"/>
        <v>Information on quality assurance:</v>
      </c>
      <c r="C1860" s="1070" t="s">
        <v>3056</v>
      </c>
      <c r="D1860" s="822"/>
      <c r="E1860" s="822"/>
      <c r="F1860" s="822"/>
      <c r="G1860" s="822"/>
      <c r="H1860" s="822"/>
    </row>
    <row r="1861" spans="1:8" x14ac:dyDescent="0.25">
      <c r="A1861" s="820">
        <v>1857</v>
      </c>
      <c r="B1861" s="1085" t="str">
        <f t="shared" si="28"/>
        <v>SE (total)</v>
      </c>
      <c r="C1861" s="1070" t="s">
        <v>3033</v>
      </c>
      <c r="D1861" s="822"/>
      <c r="E1861" s="822"/>
      <c r="F1861" s="822"/>
      <c r="G1861" s="822"/>
      <c r="H1861" s="822"/>
    </row>
    <row r="1862" spans="1:8" x14ac:dyDescent="0.25">
      <c r="A1862" s="820">
        <v>1858</v>
      </c>
      <c r="B1862" s="1085" t="str">
        <f t="shared" ref="B1862:B1886" si="29">IFERROR(INDEX(C1862:M1862,$A$3-2),$C1862)</f>
        <v>Specific direct + indirect emissions of the production process, i.e. excluding any embedded emissions from any precursors consumed in the process.</v>
      </c>
      <c r="C1862" s="1070" t="s">
        <v>3034</v>
      </c>
      <c r="D1862" s="822"/>
      <c r="E1862" s="822"/>
      <c r="F1862" s="822"/>
      <c r="G1862" s="822"/>
      <c r="H1862" s="822"/>
    </row>
    <row r="1863" spans="1:8" x14ac:dyDescent="0.25">
      <c r="A1863" s="820">
        <v>1859</v>
      </c>
      <c r="B1863" s="1085" t="str">
        <f t="shared" si="29"/>
        <v>Please enter here the share of the TOTAL (direct + indirect) specific emissions that are subject to carbon pricing. For instance, if only direct emissions are covered by a carbon pricing system, the share to be provided here would be exactly the share of the direct emissions of the total emissions.</v>
      </c>
      <c r="C1863" s="1070" t="s">
        <v>4191</v>
      </c>
      <c r="D1863" s="822"/>
      <c r="E1863" s="822"/>
      <c r="F1863" s="822"/>
      <c r="G1863" s="822"/>
      <c r="H1863" s="822"/>
    </row>
    <row r="1864" spans="1:8" x14ac:dyDescent="0.25">
      <c r="A1864" s="820">
        <v>1860</v>
      </c>
      <c r="B1864" s="1085" t="str">
        <f t="shared" si="29"/>
        <v>Please enter here the carbon price due per tonne of CO2e in the relevant currency. This value shall not include any rebate such as free allocation or financial compensation. It shall also not include any carbon price due for any precursors outside the production process to avoid double counting.</v>
      </c>
      <c r="C1864" s="1070" t="s">
        <v>4192</v>
      </c>
      <c r="D1864" s="822"/>
      <c r="E1864" s="822"/>
      <c r="F1864" s="822"/>
      <c r="G1864" s="822"/>
      <c r="H1864" s="822"/>
    </row>
    <row r="1865" spans="1:8" x14ac:dyDescent="0.25">
      <c r="A1865" s="820">
        <v>1861</v>
      </c>
      <c r="B1865" s="1085" t="str">
        <f t="shared" si="29"/>
        <v>Please enter here the rebate per tonne of CO2e covered by the rebate in the relevant currency. It shall also not include any rebate for any precursors outside the production process to avoid double counting.</v>
      </c>
      <c r="C1865" s="1070" t="s">
        <v>4193</v>
      </c>
      <c r="D1865" s="822"/>
      <c r="E1865" s="822"/>
      <c r="F1865" s="822"/>
      <c r="G1865" s="822"/>
      <c r="H1865" s="822"/>
    </row>
    <row r="1866" spans="1:8" x14ac:dyDescent="0.25">
      <c r="A1866" s="820">
        <v>1862</v>
      </c>
      <c r="B1866" s="1085" t="str">
        <f t="shared" si="29"/>
        <v>Currency:</v>
      </c>
      <c r="C1866" s="1070" t="s">
        <v>3875</v>
      </c>
      <c r="D1866" s="822"/>
      <c r="E1866" s="822"/>
      <c r="F1866" s="822"/>
      <c r="G1866" s="822"/>
      <c r="H1866" s="822"/>
    </row>
    <row r="1867" spans="1:8" x14ac:dyDescent="0.25">
      <c r="A1867" s="820">
        <v>1863</v>
      </c>
      <c r="B1867" s="1085" t="str">
        <f t="shared" si="29"/>
        <v>Covered SE</v>
      </c>
      <c r="C1867" s="1070" t="s">
        <v>3036</v>
      </c>
      <c r="D1867" s="822"/>
      <c r="E1867" s="822"/>
      <c r="F1867" s="822"/>
      <c r="G1867" s="822"/>
      <c r="H1867" s="822"/>
    </row>
    <row r="1868" spans="1:8" x14ac:dyDescent="0.25">
      <c r="A1868" s="820">
        <v>1864</v>
      </c>
      <c r="B1868" s="1085" t="str">
        <f t="shared" si="29"/>
        <v>Share of emissions by default value</v>
      </c>
      <c r="C1868" s="1070" t="s">
        <v>3877</v>
      </c>
      <c r="D1868" s="822"/>
      <c r="E1868" s="822"/>
      <c r="F1868" s="822"/>
      <c r="G1868" s="822"/>
      <c r="H1868" s="822"/>
    </row>
    <row r="1869" spans="1:8" x14ac:dyDescent="0.25">
      <c r="A1869" s="820">
        <v>1865</v>
      </c>
      <c r="B1869" s="1085" t="str">
        <f t="shared" si="29"/>
        <v>Share of direct embedded emissions embedded in purchased precursors and determined by default values.</v>
      </c>
      <c r="C1869" s="1070" t="s">
        <v>3878</v>
      </c>
      <c r="D1869" s="822"/>
      <c r="E1869" s="822"/>
      <c r="F1869" s="822"/>
      <c r="G1869" s="822"/>
      <c r="H1869" s="822"/>
    </row>
    <row r="1870" spans="1:8" x14ac:dyDescent="0.25">
      <c r="A1870" s="820">
        <v>1866</v>
      </c>
      <c r="B1870" s="1085" t="str">
        <f t="shared" si="29"/>
        <v>This information is taken from the "tool to calculate the carbon price due" in sheet "F_Tools", where relevant.</v>
      </c>
      <c r="C1870" s="1070" t="s">
        <v>3062</v>
      </c>
      <c r="D1870" s="822"/>
      <c r="E1870" s="822"/>
      <c r="F1870" s="822"/>
      <c r="G1870" s="822"/>
      <c r="H1870" s="822"/>
    </row>
    <row r="1871" spans="1:8" x14ac:dyDescent="0.25">
      <c r="A1871" s="820">
        <v>1867</v>
      </c>
      <c r="B1871" s="1085" t="str">
        <f t="shared" si="29"/>
        <v>Carbon price (CP)</v>
      </c>
      <c r="C1871" s="1070" t="s">
        <v>3876</v>
      </c>
      <c r="D1871" s="822"/>
      <c r="E1871" s="822"/>
      <c r="F1871" s="822"/>
      <c r="G1871" s="822"/>
      <c r="H1871" s="822"/>
    </row>
    <row r="1872" spans="1:8" x14ac:dyDescent="0.25">
      <c r="A1872" s="820">
        <v>1868</v>
      </c>
      <c r="B1872" s="1085" t="str">
        <f t="shared" si="29"/>
        <v>Amount of rebate (per produced t or MWh)</v>
      </c>
      <c r="C1872" s="1070" t="s">
        <v>4208</v>
      </c>
      <c r="D1872" s="822"/>
      <c r="E1872" s="822"/>
      <c r="F1872" s="822"/>
      <c r="G1872" s="822"/>
      <c r="H1872" s="822"/>
    </row>
    <row r="1873" spans="1:8" x14ac:dyDescent="0.25">
      <c r="A1873" s="820">
        <v>1869</v>
      </c>
      <c r="B1873" s="1085" t="str">
        <f t="shared" si="29"/>
        <v>Missing entries?</v>
      </c>
      <c r="C1873" s="1070" t="s">
        <v>2717</v>
      </c>
      <c r="D1873" s="822"/>
      <c r="E1873" s="822"/>
      <c r="F1873" s="822"/>
      <c r="G1873" s="822"/>
      <c r="H1873" s="822"/>
    </row>
    <row r="1874" spans="1:8" x14ac:dyDescent="0.25">
      <c r="A1874" s="820">
        <v>1870</v>
      </c>
      <c r="B1874" s="1085" t="str">
        <f t="shared" si="29"/>
        <v>Summary of emissions by monitoring methodology and data quality</v>
      </c>
      <c r="C1874" s="1070" t="s">
        <v>3886</v>
      </c>
      <c r="D1874" s="822"/>
      <c r="E1874" s="822"/>
      <c r="F1874" s="822"/>
      <c r="G1874" s="822"/>
      <c r="H1874" s="822"/>
    </row>
    <row r="1875" spans="1:8" x14ac:dyDescent="0.25">
      <c r="A1875" s="820">
        <v>1871</v>
      </c>
      <c r="B1875" s="1085" t="str">
        <f t="shared" si="29"/>
        <v>Mostly measurements &amp; analyses</v>
      </c>
      <c r="C1875" s="1070" t="s">
        <v>3042</v>
      </c>
      <c r="D1875" s="822"/>
      <c r="E1875" s="822"/>
      <c r="F1875" s="822"/>
      <c r="G1875" s="822"/>
      <c r="H1875" s="822"/>
    </row>
    <row r="1876" spans="1:8" x14ac:dyDescent="0.25">
      <c r="A1876" s="820">
        <v>1872</v>
      </c>
      <c r="B1876" s="1085" t="str">
        <f t="shared" si="29"/>
        <v>Mostly measurements &amp; national standard factors for e.g. the emission factor</v>
      </c>
      <c r="C1876" s="1070" t="s">
        <v>3044</v>
      </c>
      <c r="D1876" s="822"/>
      <c r="E1876" s="822"/>
      <c r="F1876" s="822"/>
      <c r="G1876" s="822"/>
      <c r="H1876" s="822"/>
    </row>
    <row r="1877" spans="1:8" x14ac:dyDescent="0.25">
      <c r="A1877" s="820">
        <v>1873</v>
      </c>
      <c r="B1877" s="1085" t="str">
        <f t="shared" si="29"/>
        <v>Mostly measurements &amp; sector-specific standard factors for e.g. the emission factor</v>
      </c>
      <c r="C1877" s="1070" t="s">
        <v>3045</v>
      </c>
      <c r="D1877" s="822"/>
      <c r="E1877" s="822"/>
      <c r="F1877" s="822"/>
      <c r="G1877" s="822"/>
      <c r="H1877" s="822"/>
    </row>
    <row r="1878" spans="1:8" x14ac:dyDescent="0.25">
      <c r="A1878" s="820">
        <v>1874</v>
      </c>
      <c r="B1878" s="1085" t="str">
        <f t="shared" si="29"/>
        <v>Mostly measurements &amp; international standard factors for e.g. the emission factor</v>
      </c>
      <c r="C1878" s="1070" t="s">
        <v>3043</v>
      </c>
      <c r="D1878" s="822"/>
      <c r="E1878" s="822"/>
      <c r="F1878" s="822"/>
      <c r="G1878" s="822"/>
      <c r="H1878" s="822"/>
    </row>
    <row r="1879" spans="1:8" x14ac:dyDescent="0.25">
      <c r="A1879" s="820">
        <v>1875</v>
      </c>
      <c r="B1879" s="1085" t="str">
        <f t="shared" si="29"/>
        <v>Mostly default values provided by the European Commission</v>
      </c>
      <c r="C1879" s="1070" t="s">
        <v>3046</v>
      </c>
      <c r="D1879" s="822"/>
      <c r="E1879" s="822"/>
      <c r="F1879" s="822"/>
      <c r="G1879" s="822"/>
      <c r="H1879" s="822"/>
    </row>
    <row r="1880" spans="1:8" x14ac:dyDescent="0.25">
      <c r="A1880" s="820">
        <v>1876</v>
      </c>
      <c r="B1880" s="1085" t="str">
        <f t="shared" si="29"/>
        <v>Third-party verification</v>
      </c>
      <c r="C1880" s="1070" t="s">
        <v>3048</v>
      </c>
      <c r="D1880" s="822"/>
      <c r="E1880" s="822"/>
      <c r="F1880" s="822"/>
      <c r="G1880" s="822"/>
      <c r="H1880" s="822"/>
    </row>
    <row r="1881" spans="1:8" x14ac:dyDescent="0.25">
      <c r="A1881" s="820">
        <v>1877</v>
      </c>
      <c r="B1881" s="1085" t="str">
        <f t="shared" si="29"/>
        <v>Internal audits</v>
      </c>
      <c r="C1881" s="1070" t="s">
        <v>3049</v>
      </c>
      <c r="D1881" s="822"/>
      <c r="E1881" s="822"/>
      <c r="F1881" s="822"/>
      <c r="G1881" s="822"/>
      <c r="H1881" s="822"/>
    </row>
    <row r="1882" spans="1:8" x14ac:dyDescent="0.25">
      <c r="A1882" s="820">
        <v>1878</v>
      </c>
      <c r="B1882" s="1085" t="str">
        <f t="shared" si="29"/>
        <v>Four eyes principle</v>
      </c>
      <c r="C1882" s="1070" t="s">
        <v>3050</v>
      </c>
      <c r="D1882" s="822"/>
      <c r="E1882" s="822"/>
      <c r="F1882" s="822"/>
      <c r="G1882" s="822"/>
      <c r="H1882" s="822"/>
    </row>
    <row r="1883" spans="1:8" x14ac:dyDescent="0.25">
      <c r="A1883" s="820">
        <v>1879</v>
      </c>
      <c r="B1883" s="1085" t="str">
        <f t="shared" si="29"/>
        <v>Unreasonable costs for more accurate monitoring</v>
      </c>
      <c r="C1883" s="1070" t="s">
        <v>3053</v>
      </c>
      <c r="D1883" s="822"/>
      <c r="E1883" s="822"/>
      <c r="F1883" s="822"/>
      <c r="G1883" s="822"/>
      <c r="H1883" s="822"/>
    </row>
    <row r="1884" spans="1:8" x14ac:dyDescent="0.25">
      <c r="A1884" s="820">
        <v>1880</v>
      </c>
      <c r="B1884" s="1085" t="str">
        <f t="shared" si="29"/>
        <v>Data gaps</v>
      </c>
      <c r="C1884" s="1070" t="s">
        <v>3054</v>
      </c>
      <c r="D1884" s="822"/>
      <c r="E1884" s="822"/>
      <c r="F1884" s="822"/>
      <c r="G1884" s="822"/>
      <c r="H1884" s="822"/>
    </row>
    <row r="1885" spans="1:8" x14ac:dyDescent="0.25">
      <c r="A1885" s="820">
        <v>1881</v>
      </c>
      <c r="B1885" s="1085" t="str">
        <f t="shared" si="29"/>
        <v>Name of this sheet:</v>
      </c>
      <c r="C1885" s="1070" t="s">
        <v>2996</v>
      </c>
      <c r="D1885" s="822"/>
      <c r="E1885" s="822"/>
      <c r="F1885" s="822"/>
      <c r="G1885" s="822"/>
      <c r="H1885" s="822"/>
    </row>
    <row r="1886" spans="1:8" x14ac:dyDescent="0.25">
      <c r="A1886" s="820">
        <v>1882</v>
      </c>
      <c r="B1886" s="1085" t="str">
        <f t="shared" si="29"/>
        <v>Please select from the hierarchical order (descending order) in the drop-down list the approach for quality assurance of emissions data.</v>
      </c>
      <c r="C1886" s="1070" t="s">
        <v>3887</v>
      </c>
      <c r="D1886" s="822"/>
      <c r="E1886" s="822"/>
      <c r="F1886" s="822"/>
      <c r="G1886" s="822"/>
      <c r="H1886" s="822"/>
    </row>
    <row r="1887" spans="1:8" x14ac:dyDescent="0.35">
      <c r="A1887" s="1081" t="s">
        <v>4195</v>
      </c>
      <c r="B1887" s="1081" t="s">
        <v>4195</v>
      </c>
      <c r="C1887" s="1081" t="s">
        <v>4195</v>
      </c>
      <c r="D1887" s="822"/>
      <c r="E1887" s="822"/>
      <c r="F1887" s="822"/>
      <c r="G1887" s="822"/>
      <c r="H1887" s="822"/>
    </row>
    <row r="1888" spans="1:8" x14ac:dyDescent="0.25">
      <c r="A1888" s="1080" t="s">
        <v>4194</v>
      </c>
      <c r="B1888" s="1085"/>
      <c r="C1888" s="1070"/>
      <c r="D1888" s="822"/>
      <c r="E1888" s="822"/>
      <c r="F1888" s="822"/>
      <c r="G1888" s="822"/>
      <c r="H1888" s="822"/>
    </row>
    <row r="1889" spans="1:8" ht="12.5" x14ac:dyDescent="0.35">
      <c r="A1889" s="820">
        <v>1883</v>
      </c>
      <c r="B1889" s="860" t="str">
        <f t="shared" ref="B1889:B1952" si="30">IFERROR(INDEX(C1889:M1889,$A$3-2),$C1889)</f>
        <v>first preliminary published version</v>
      </c>
      <c r="C1889" s="860" t="s">
        <v>3897</v>
      </c>
      <c r="F1889" s="822"/>
      <c r="G1889" s="822"/>
      <c r="H1889" s="822"/>
    </row>
    <row r="1890" spans="1:8" ht="12.5" x14ac:dyDescent="0.35">
      <c r="A1890" s="820">
        <v>1884</v>
      </c>
      <c r="B1890" s="1086" t="str">
        <f t="shared" si="30"/>
        <v>Sheet A: UNLOCODE made mandatory</v>
      </c>
      <c r="C1890" s="1086" t="s">
        <v>4085</v>
      </c>
      <c r="F1890" s="822"/>
      <c r="G1890" s="822"/>
      <c r="H1890" s="822"/>
    </row>
    <row r="1891" spans="1:8" ht="12.5" x14ac:dyDescent="0.35">
      <c r="A1891" s="820">
        <v>1885</v>
      </c>
      <c r="B1891" s="1087" t="str">
        <f t="shared" si="30"/>
        <v>Sheet B: Calculation of emissions corrected (incl. adding missing factor of 3.664 in the mass balance)</v>
      </c>
      <c r="C1891" s="1087" t="s">
        <v>4086</v>
      </c>
      <c r="F1891" s="822"/>
      <c r="G1891" s="822"/>
      <c r="H1891" s="822"/>
    </row>
    <row r="1892" spans="1:8" ht="12.5" x14ac:dyDescent="0.35">
      <c r="A1892" s="820">
        <v>1886</v>
      </c>
      <c r="B1892" s="1087" t="str">
        <f t="shared" si="30"/>
        <v>Sheet C: Inconsistency between cells L16 and L17 fixed</v>
      </c>
      <c r="C1892" s="1087" t="s">
        <v>4087</v>
      </c>
      <c r="F1892" s="822"/>
      <c r="G1892" s="822"/>
      <c r="H1892" s="822"/>
    </row>
    <row r="1893" spans="1:8" ht="12.5" x14ac:dyDescent="0.35">
      <c r="A1893" s="820">
        <v>1887</v>
      </c>
      <c r="B1893" s="1087" t="str">
        <f t="shared" si="30"/>
        <v>Sheet D: Electricity exported bug fixed</v>
      </c>
      <c r="C1893" s="1087" t="s">
        <v>4088</v>
      </c>
      <c r="F1893" s="822"/>
      <c r="G1893" s="822"/>
      <c r="H1893" s="822"/>
    </row>
    <row r="1894" spans="1:8" ht="12.5" x14ac:dyDescent="0.35">
      <c r="A1894" s="820">
        <v>1888</v>
      </c>
      <c r="B1894" s="1087" t="str">
        <f t="shared" si="30"/>
        <v>Sheet Summary processes: broken references to “production process 1” fixed</v>
      </c>
      <c r="C1894" s="1087" t="s">
        <v>4089</v>
      </c>
      <c r="F1894" s="822"/>
      <c r="G1894" s="822"/>
      <c r="H1894" s="822"/>
    </row>
    <row r="1895" spans="1:8" ht="12.5" x14ac:dyDescent="0.35">
      <c r="A1895" s="820">
        <v>1889</v>
      </c>
      <c r="B1895" s="1088" t="str">
        <f t="shared" si="30"/>
        <v>Sheet Summary products: Scrap per t steel/aluminium: values &gt;100% can be entered now</v>
      </c>
      <c r="C1895" s="1088" t="s">
        <v>4200</v>
      </c>
      <c r="F1895" s="822"/>
      <c r="G1895" s="822"/>
      <c r="H1895" s="822"/>
    </row>
    <row r="1896" spans="1:8" ht="12.5" x14ac:dyDescent="0.35">
      <c r="A1896" s="820">
        <v>1890</v>
      </c>
      <c r="B1896" s="861" t="str">
        <f t="shared" si="30"/>
        <v>Fixed bug 'CN code ranges' in sheet Summary_Products</v>
      </c>
      <c r="C1896" s="861" t="s">
        <v>3905</v>
      </c>
      <c r="F1896" s="822"/>
      <c r="G1896" s="822"/>
      <c r="H1896" s="822"/>
    </row>
    <row r="1897" spans="1:8" ht="12.5" x14ac:dyDescent="0.35">
      <c r="A1897" s="820">
        <v>1891</v>
      </c>
      <c r="B1897" s="1089" t="str">
        <f t="shared" si="30"/>
        <v>Improvements and fixed bugs:</v>
      </c>
      <c r="C1897" s="1089" t="s">
        <v>4112</v>
      </c>
      <c r="F1897" s="822"/>
      <c r="G1897" s="822"/>
      <c r="H1897" s="822"/>
    </row>
    <row r="1898" spans="1:8" ht="12.5" x14ac:dyDescent="0.35">
      <c r="A1898" s="820">
        <v>1892</v>
      </c>
      <c r="B1898" s="1087" t="str">
        <f t="shared" si="30"/>
        <v>Sheet a_contents: Error in sheet names in table of contents for certain Excel versions</v>
      </c>
      <c r="C1898" s="1087" t="s">
        <v>4106</v>
      </c>
      <c r="F1898" s="822"/>
      <c r="G1898" s="822"/>
      <c r="H1898" s="822"/>
    </row>
    <row r="1899" spans="1:8" ht="12.5" x14ac:dyDescent="0.35">
      <c r="A1899" s="820">
        <v>1893</v>
      </c>
      <c r="B1899" s="1087" t="str">
        <f t="shared" si="30"/>
        <v>Sheet b: Link to implementing act corrected</v>
      </c>
      <c r="C1899" s="1087" t="s">
        <v>4090</v>
      </c>
      <c r="F1899" s="822"/>
      <c r="G1899" s="822"/>
      <c r="H1899" s="822"/>
    </row>
    <row r="1900" spans="1:8" ht="12.5" x14ac:dyDescent="0.35">
      <c r="A1900" s="820">
        <v>1894</v>
      </c>
      <c r="B1900" s="1087" t="str">
        <f t="shared" si="30"/>
        <v>Sheet A: Inconsistency warning for production routes added</v>
      </c>
      <c r="C1900" s="1087" t="s">
        <v>4107</v>
      </c>
      <c r="F1900" s="822"/>
      <c r="G1900" s="822"/>
      <c r="H1900" s="822"/>
    </row>
    <row r="1901" spans="1:8" ht="12.5" x14ac:dyDescent="0.35">
      <c r="A1901" s="820">
        <v>1895</v>
      </c>
      <c r="B1901" s="1087" t="str">
        <f t="shared" si="30"/>
        <v>Sheet B: Source stream calculation corrected (all percentage values need to be entered as numbers [0..100]). A warning for incomplete data has been added.</v>
      </c>
      <c r="C1901" s="1087" t="s">
        <v>4101</v>
      </c>
      <c r="F1901" s="822"/>
      <c r="G1901" s="822"/>
      <c r="H1901" s="822"/>
    </row>
    <row r="1902" spans="1:8" ht="12.5" x14ac:dyDescent="0.35">
      <c r="A1902" s="820">
        <v>1896</v>
      </c>
      <c r="B1902" s="1087" t="str">
        <f t="shared" si="30"/>
        <v>Sheet B: PFC emissions (2nd source stream) incl. further improvements</v>
      </c>
      <c r="C1902" s="1087" t="s">
        <v>4091</v>
      </c>
      <c r="F1902" s="822"/>
      <c r="G1902" s="822"/>
      <c r="H1902" s="822"/>
    </row>
    <row r="1903" spans="1:8" ht="12.5" x14ac:dyDescent="0.35">
      <c r="A1903" s="820">
        <v>1897</v>
      </c>
      <c r="B1903" s="1087" t="str">
        <f t="shared" si="30"/>
        <v>Sheet C: Fixed inputs and formulae in L25 and L26</v>
      </c>
      <c r="C1903" s="1087" t="s">
        <v>4092</v>
      </c>
      <c r="F1903" s="822"/>
      <c r="G1903" s="822"/>
      <c r="H1903" s="822"/>
    </row>
    <row r="1904" spans="1:8" ht="12.5" x14ac:dyDescent="0.35">
      <c r="A1904" s="820">
        <v>1898</v>
      </c>
      <c r="B1904" s="1087" t="str">
        <f t="shared" si="30"/>
        <v>Sheet E: Decomposed SEE (indirect) into entries for electricity consumption and emission factor. Consequently, in the summary sheets there is now consistent display of "specific embedded electricity consumption" taking into account the electricity consumption of precursors for consistent and complete calculation of embedded indirect emissions.</v>
      </c>
      <c r="C1904" s="1087" t="s">
        <v>4105</v>
      </c>
      <c r="F1904" s="822"/>
      <c r="G1904" s="822"/>
      <c r="H1904" s="822"/>
    </row>
    <row r="1905" spans="1:8" ht="12.5" x14ac:dyDescent="0.35">
      <c r="A1905" s="820">
        <v>1899</v>
      </c>
      <c r="B1905" s="1087" t="str">
        <f t="shared" si="30"/>
        <v>Sheet E: More completeness indicators added.</v>
      </c>
      <c r="C1905" s="1087" t="s">
        <v>4098</v>
      </c>
      <c r="F1905" s="822"/>
      <c r="G1905" s="822"/>
      <c r="H1905" s="822"/>
    </row>
    <row r="1906" spans="1:8" ht="12.5" x14ac:dyDescent="0.35">
      <c r="A1906" s="820">
        <v>1900</v>
      </c>
      <c r="B1906" s="1087" t="str">
        <f t="shared" si="30"/>
        <v>Sheet E: Navigation area extended to cover all 20 possible precursors</v>
      </c>
      <c r="C1906" s="1087" t="s">
        <v>4103</v>
      </c>
      <c r="F1906" s="822"/>
      <c r="G1906" s="822"/>
      <c r="H1906" s="822"/>
    </row>
    <row r="1907" spans="1:8" ht="12.5" x14ac:dyDescent="0.35">
      <c r="A1907" s="820">
        <v>1901</v>
      </c>
      <c r="B1907" s="1087" t="str">
        <f t="shared" si="30"/>
        <v>Sheet F: CHP tool corrected for taking into account emissions from flue gas cleaning.</v>
      </c>
      <c r="C1907" s="1087" t="s">
        <v>4104</v>
      </c>
      <c r="F1907" s="822"/>
      <c r="G1907" s="822"/>
      <c r="H1907" s="822"/>
    </row>
    <row r="1908" spans="1:8" ht="12.5" x14ac:dyDescent="0.35">
      <c r="A1908" s="820">
        <v>1902</v>
      </c>
      <c r="B1908" s="1087" t="str">
        <f t="shared" si="30"/>
        <v>Sheet G: Guidance texts have been revised. An additional guidance section for sheet E has been added.</v>
      </c>
      <c r="C1908" s="1087" t="s">
        <v>4102</v>
      </c>
      <c r="F1908" s="822"/>
      <c r="G1908" s="822"/>
      <c r="H1908" s="822"/>
    </row>
    <row r="1909" spans="1:8" ht="12.5" x14ac:dyDescent="0.35">
      <c r="A1909" s="820">
        <v>1903</v>
      </c>
      <c r="B1909" s="1087" t="str">
        <f t="shared" si="30"/>
        <v>Sheet Summary_Processes: The processes' activity levels have been added in Table 2.1.a. Corrected  CP due and rebate in the sectio 3 tables.</v>
      </c>
      <c r="C1909" s="1087" t="s">
        <v>4204</v>
      </c>
      <c r="F1909" s="822"/>
      <c r="G1909" s="822"/>
      <c r="H1909" s="822"/>
    </row>
    <row r="1910" spans="1:8" ht="12.5" x14ac:dyDescent="0.35">
      <c r="A1910" s="820">
        <v>1904</v>
      </c>
      <c r="B1910" s="1087" t="str">
        <f t="shared" si="30"/>
        <v>Sheet Summary_Products: Consistent units for carbon price due</v>
      </c>
      <c r="C1910" s="1087" t="s">
        <v>4108</v>
      </c>
      <c r="F1910" s="822"/>
      <c r="G1910" s="822"/>
      <c r="H1910" s="822"/>
    </row>
    <row r="1911" spans="1:8" ht="12.5" x14ac:dyDescent="0.35">
      <c r="A1911" s="820">
        <v>1905</v>
      </c>
      <c r="B1911" s="1087" t="str">
        <f t="shared" si="30"/>
        <v>Sheet Summary_Products: Qualifying parameters (columns R to AA) made optional</v>
      </c>
      <c r="C1911" s="1087" t="s">
        <v>4109</v>
      </c>
      <c r="F1911" s="822"/>
      <c r="G1911" s="822"/>
      <c r="H1911" s="822"/>
    </row>
    <row r="1912" spans="1:8" ht="12.5" x14ac:dyDescent="0.35">
      <c r="A1912" s="820">
        <v>1906</v>
      </c>
      <c r="B1912" s="1087" t="str">
        <f t="shared" si="30"/>
        <v>General: Consistent units for the good "Electricity" expressed as MWh</v>
      </c>
      <c r="C1912" s="1087" t="s">
        <v>4110</v>
      </c>
      <c r="F1912" s="822"/>
      <c r="G1912" s="822"/>
      <c r="H1912" s="822"/>
    </row>
    <row r="1913" spans="1:8" ht="12.5" x14ac:dyDescent="0.35">
      <c r="A1913" s="820">
        <v>1907</v>
      </c>
      <c r="B1913" s="1087" t="str">
        <f t="shared" si="30"/>
        <v>General: Further clarification in guidance texts at several locations</v>
      </c>
      <c r="C1913" s="1087" t="s">
        <v>4111</v>
      </c>
      <c r="F1913" s="822"/>
      <c r="G1913" s="822"/>
      <c r="H1913" s="822"/>
    </row>
    <row r="1914" spans="1:8" ht="12.5" x14ac:dyDescent="0.35">
      <c r="A1914" s="820">
        <v>1908</v>
      </c>
      <c r="B1914" s="1087" t="str">
        <f t="shared" si="30"/>
        <v>General: Uniform formatting, conditional formats improved</v>
      </c>
      <c r="C1914" s="1087" t="s">
        <v>4097</v>
      </c>
      <c r="F1914" s="822"/>
      <c r="G1914" s="822"/>
      <c r="H1914" s="822"/>
    </row>
    <row r="1915" spans="1:8" ht="12.5" x14ac:dyDescent="0.35">
      <c r="A1915" s="820">
        <v>1909</v>
      </c>
      <c r="B1915" s="866" t="str">
        <f t="shared" si="30"/>
        <v>Pursuant to Article 35(7) of the CBAM Regulation, the Commission adopted an implementing act (Commission Implementing Regulation (EU) 2023/1773 of 17 August 2023) which lays down the detailed rules for 'reporting declarants' (as defined in Article 2(1) of this implementing act) for reporting obligations upon import into the European Union during the transitional period from 1 October 2023 to 31 December 2025 (‘transitional period’). The Regulation can be downloaded from:</v>
      </c>
      <c r="C1915" s="866" t="s">
        <v>3938</v>
      </c>
      <c r="F1915" s="822"/>
      <c r="G1915" s="822"/>
      <c r="H1915" s="822"/>
    </row>
    <row r="1916" spans="1:8" ht="12.5" x14ac:dyDescent="0.35">
      <c r="A1916" s="820">
        <v>1910</v>
      </c>
      <c r="B1916" s="823" t="str">
        <f t="shared" si="30"/>
        <v>http://data.europa.eu/eli/reg_impl/2023/1773/oj</v>
      </c>
      <c r="C1916" s="823" t="s">
        <v>3919</v>
      </c>
      <c r="F1916" s="822"/>
      <c r="G1916" s="822"/>
      <c r="H1916" s="822"/>
    </row>
    <row r="1917" spans="1:8" ht="15.5" x14ac:dyDescent="0.35">
      <c r="A1917" s="820">
        <v>1911</v>
      </c>
      <c r="B1917" s="864" t="str">
        <f t="shared" si="30"/>
        <v>This is the published version 2.1.1 of the CBAM template, version of 13 December 2024.</v>
      </c>
      <c r="C1917" s="864" t="s">
        <v>4264</v>
      </c>
      <c r="F1917" s="822"/>
      <c r="G1917" s="822"/>
      <c r="H1917" s="822"/>
    </row>
    <row r="1918" spans="1:8" ht="12.5" x14ac:dyDescent="0.35">
      <c r="A1918" s="820">
        <v>1912</v>
      </c>
      <c r="B1918" s="866" t="str">
        <f t="shared" si="30"/>
        <v>Whenever a value of zero is to be reported, it should be entered rather than keeping the cell empty. Values needed for calculations should always be entered (especially if zero, because some formulas don't give results as long as required cells are empty). If a cell is kept empty, the reporting declarant does not know if the value is zero, is irrelevant or unknown, or if making entries has been overlooked.</v>
      </c>
      <c r="C1918" s="866" t="s">
        <v>3939</v>
      </c>
      <c r="F1918" s="822"/>
      <c r="G1918" s="822"/>
      <c r="H1918" s="822"/>
    </row>
    <row r="1919" spans="1:8" ht="12.5" x14ac:dyDescent="0.35">
      <c r="A1919" s="820">
        <v>1913</v>
      </c>
      <c r="B1919" s="866" t="str">
        <f t="shared" si="30"/>
        <v>Special care must be taken to ensure consistency of data with the units displayed.</v>
      </c>
      <c r="C1919" s="866" t="s">
        <v>3940</v>
      </c>
      <c r="F1919" s="822"/>
      <c r="G1919" s="822"/>
      <c r="H1919" s="822"/>
    </row>
    <row r="1920" spans="1:8" ht="12.5" x14ac:dyDescent="0.35">
      <c r="A1920" s="820">
        <v>1914</v>
      </c>
      <c r="B1920" s="866" t="str">
        <f t="shared" si="30"/>
        <v>White fields with grey text indicate that an input in another field makes the input here irrelevant.</v>
      </c>
      <c r="C1920" s="866" t="s">
        <v>4055</v>
      </c>
      <c r="F1920" s="822"/>
      <c r="G1920" s="822"/>
      <c r="H1920" s="822"/>
    </row>
    <row r="1921" spans="1:8" ht="12.5" x14ac:dyDescent="0.35">
      <c r="A1921" s="820">
        <v>1915</v>
      </c>
      <c r="B1921" s="866" t="str">
        <f t="shared" si="30"/>
        <v>Additionally, there are colour indicators in some sheets (e.g. in column O of sheets D, E; column B in sheet Summary_Products) indicating the following:</v>
      </c>
      <c r="C1921" s="866" t="s">
        <v>4056</v>
      </c>
      <c r="F1921" s="822"/>
      <c r="G1921" s="822"/>
      <c r="H1921" s="822"/>
    </row>
    <row r="1922" spans="1:8" x14ac:dyDescent="0.35">
      <c r="A1922" s="820">
        <v>1916</v>
      </c>
      <c r="B1922" s="1073" t="str">
        <f t="shared" si="30"/>
        <v>Austria</v>
      </c>
      <c r="C1922" s="1073" t="s">
        <v>450</v>
      </c>
      <c r="F1922" s="822"/>
      <c r="G1922" s="822"/>
      <c r="H1922" s="822"/>
    </row>
    <row r="1923" spans="1:8" x14ac:dyDescent="0.35">
      <c r="A1923" s="820">
        <v>1917</v>
      </c>
      <c r="B1923" s="1073" t="str">
        <f t="shared" si="30"/>
        <v>Belgium</v>
      </c>
      <c r="C1923" s="1073" t="s">
        <v>452</v>
      </c>
      <c r="F1923" s="822"/>
      <c r="G1923" s="822"/>
      <c r="H1923" s="822"/>
    </row>
    <row r="1924" spans="1:8" x14ac:dyDescent="0.35">
      <c r="A1924" s="820">
        <v>1918</v>
      </c>
      <c r="B1924" s="1073" t="str">
        <f t="shared" si="30"/>
        <v>Bulgaria</v>
      </c>
      <c r="C1924" s="1073" t="s">
        <v>454</v>
      </c>
      <c r="F1924" s="822"/>
      <c r="G1924" s="822"/>
      <c r="H1924" s="822"/>
    </row>
    <row r="1925" spans="1:8" x14ac:dyDescent="0.35">
      <c r="A1925" s="820">
        <v>1919</v>
      </c>
      <c r="B1925" s="1073" t="str">
        <f t="shared" si="30"/>
        <v>Cyprus</v>
      </c>
      <c r="C1925" s="1073" t="s">
        <v>458</v>
      </c>
      <c r="F1925" s="822"/>
      <c r="G1925" s="822"/>
      <c r="H1925" s="822"/>
    </row>
    <row r="1926" spans="1:8" x14ac:dyDescent="0.35">
      <c r="A1926" s="820">
        <v>1920</v>
      </c>
      <c r="B1926" s="1073" t="str">
        <f t="shared" si="30"/>
        <v>Germany</v>
      </c>
      <c r="C1926" s="1073" t="s">
        <v>470</v>
      </c>
      <c r="F1926" s="822"/>
      <c r="G1926" s="822"/>
      <c r="H1926" s="822"/>
    </row>
    <row r="1927" spans="1:8" x14ac:dyDescent="0.35">
      <c r="A1927" s="820">
        <v>1921</v>
      </c>
      <c r="B1927" s="1073" t="str">
        <f t="shared" si="30"/>
        <v>Denmark</v>
      </c>
      <c r="C1927" s="1073" t="s">
        <v>462</v>
      </c>
      <c r="F1927" s="822"/>
      <c r="G1927" s="822"/>
      <c r="H1927" s="822"/>
    </row>
    <row r="1928" spans="1:8" x14ac:dyDescent="0.35">
      <c r="A1928" s="820">
        <v>1922</v>
      </c>
      <c r="B1928" s="1073" t="str">
        <f t="shared" si="30"/>
        <v>Estonia</v>
      </c>
      <c r="C1928" s="1073" t="s">
        <v>464</v>
      </c>
      <c r="F1928" s="822"/>
      <c r="G1928" s="822"/>
      <c r="H1928" s="822"/>
    </row>
    <row r="1929" spans="1:8" x14ac:dyDescent="0.35">
      <c r="A1929" s="820">
        <v>1923</v>
      </c>
      <c r="B1929" s="1073" t="str">
        <f t="shared" si="30"/>
        <v>Spain</v>
      </c>
      <c r="C1929" s="1073" t="s">
        <v>506</v>
      </c>
      <c r="F1929" s="822"/>
      <c r="G1929" s="822"/>
      <c r="H1929" s="822"/>
    </row>
    <row r="1930" spans="1:8" x14ac:dyDescent="0.35">
      <c r="A1930" s="820">
        <v>1924</v>
      </c>
      <c r="B1930" s="1073" t="str">
        <f t="shared" si="30"/>
        <v>Finland</v>
      </c>
      <c r="C1930" s="1073" t="s">
        <v>466</v>
      </c>
      <c r="F1930" s="822"/>
      <c r="G1930" s="822"/>
      <c r="H1930" s="822"/>
    </row>
    <row r="1931" spans="1:8" x14ac:dyDescent="0.35">
      <c r="A1931" s="820">
        <v>1925</v>
      </c>
      <c r="B1931" s="1073" t="str">
        <f t="shared" si="30"/>
        <v>France</v>
      </c>
      <c r="C1931" s="1073" t="s">
        <v>468</v>
      </c>
      <c r="F1931" s="822"/>
      <c r="G1931" s="822"/>
      <c r="H1931" s="822"/>
    </row>
    <row r="1932" spans="1:8" x14ac:dyDescent="0.35">
      <c r="A1932" s="820">
        <v>1926</v>
      </c>
      <c r="B1932" s="1073" t="str">
        <f t="shared" si="30"/>
        <v>United Kingdom</v>
      </c>
      <c r="C1932" s="1073" t="s">
        <v>510</v>
      </c>
      <c r="F1932" s="822"/>
      <c r="G1932" s="822"/>
      <c r="H1932" s="822"/>
    </row>
    <row r="1933" spans="1:8" x14ac:dyDescent="0.35">
      <c r="A1933" s="820">
        <v>1927</v>
      </c>
      <c r="B1933" s="1073" t="str">
        <f t="shared" si="30"/>
        <v>Greece</v>
      </c>
      <c r="C1933" s="1073" t="s">
        <v>472</v>
      </c>
      <c r="F1933" s="822"/>
      <c r="G1933" s="822"/>
      <c r="H1933" s="822"/>
    </row>
    <row r="1934" spans="1:8" x14ac:dyDescent="0.35">
      <c r="A1934" s="820">
        <v>1928</v>
      </c>
      <c r="B1934" s="1073" t="str">
        <f t="shared" si="30"/>
        <v>Croatia</v>
      </c>
      <c r="C1934" s="1073" t="s">
        <v>456</v>
      </c>
      <c r="F1934" s="822"/>
      <c r="G1934" s="822"/>
      <c r="H1934" s="822"/>
    </row>
    <row r="1935" spans="1:8" x14ac:dyDescent="0.35">
      <c r="A1935" s="820">
        <v>1929</v>
      </c>
      <c r="B1935" s="1073" t="str">
        <f t="shared" si="30"/>
        <v>Hungary</v>
      </c>
      <c r="C1935" s="1073" t="s">
        <v>474</v>
      </c>
      <c r="F1935" s="822"/>
      <c r="G1935" s="822"/>
      <c r="H1935" s="822"/>
    </row>
    <row r="1936" spans="1:8" x14ac:dyDescent="0.35">
      <c r="A1936" s="820">
        <v>1930</v>
      </c>
      <c r="B1936" s="1073" t="str">
        <f t="shared" si="30"/>
        <v>Ireland</v>
      </c>
      <c r="C1936" s="1073" t="s">
        <v>478</v>
      </c>
      <c r="F1936" s="822"/>
      <c r="G1936" s="822"/>
      <c r="H1936" s="822"/>
    </row>
    <row r="1937" spans="1:8" x14ac:dyDescent="0.35">
      <c r="A1937" s="820">
        <v>1931</v>
      </c>
      <c r="B1937" s="1073" t="str">
        <f t="shared" si="30"/>
        <v>Iceland</v>
      </c>
      <c r="C1937" s="1073" t="s">
        <v>476</v>
      </c>
      <c r="F1937" s="822"/>
      <c r="G1937" s="822"/>
      <c r="H1937" s="822"/>
    </row>
    <row r="1938" spans="1:8" x14ac:dyDescent="0.35">
      <c r="A1938" s="820">
        <v>1932</v>
      </c>
      <c r="B1938" s="1073" t="str">
        <f t="shared" si="30"/>
        <v>Italy</v>
      </c>
      <c r="C1938" s="1073" t="s">
        <v>480</v>
      </c>
      <c r="F1938" s="822"/>
      <c r="G1938" s="822"/>
      <c r="H1938" s="822"/>
    </row>
    <row r="1939" spans="1:8" x14ac:dyDescent="0.35">
      <c r="A1939" s="820">
        <v>1933</v>
      </c>
      <c r="B1939" s="1073" t="str">
        <f t="shared" si="30"/>
        <v>Liechtenstein</v>
      </c>
      <c r="C1939" s="1073" t="s">
        <v>484</v>
      </c>
      <c r="F1939" s="822"/>
      <c r="G1939" s="822"/>
      <c r="H1939" s="822"/>
    </row>
    <row r="1940" spans="1:8" x14ac:dyDescent="0.35">
      <c r="A1940" s="820">
        <v>1934</v>
      </c>
      <c r="B1940" s="1073" t="str">
        <f t="shared" si="30"/>
        <v>Lithuania</v>
      </c>
      <c r="C1940" s="1073" t="s">
        <v>486</v>
      </c>
      <c r="F1940" s="822"/>
      <c r="G1940" s="822"/>
      <c r="H1940" s="822"/>
    </row>
    <row r="1941" spans="1:8" x14ac:dyDescent="0.35">
      <c r="A1941" s="820">
        <v>1935</v>
      </c>
      <c r="B1941" s="1073" t="str">
        <f t="shared" si="30"/>
        <v>Luxembourg</v>
      </c>
      <c r="C1941" s="1073" t="s">
        <v>488</v>
      </c>
      <c r="F1941" s="822"/>
      <c r="G1941" s="822"/>
      <c r="H1941" s="822"/>
    </row>
    <row r="1942" spans="1:8" x14ac:dyDescent="0.35">
      <c r="A1942" s="820">
        <v>1936</v>
      </c>
      <c r="B1942" s="1073" t="str">
        <f t="shared" si="30"/>
        <v>Latvia</v>
      </c>
      <c r="C1942" s="1073" t="s">
        <v>482</v>
      </c>
      <c r="F1942" s="822"/>
      <c r="G1942" s="822"/>
      <c r="H1942" s="822"/>
    </row>
    <row r="1943" spans="1:8" x14ac:dyDescent="0.35">
      <c r="A1943" s="820">
        <v>1937</v>
      </c>
      <c r="B1943" s="1073" t="str">
        <f t="shared" si="30"/>
        <v>Malta</v>
      </c>
      <c r="C1943" s="1073" t="s">
        <v>490</v>
      </c>
      <c r="F1943" s="822"/>
      <c r="G1943" s="822"/>
      <c r="H1943" s="822"/>
    </row>
    <row r="1944" spans="1:8" x14ac:dyDescent="0.35">
      <c r="A1944" s="820">
        <v>1938</v>
      </c>
      <c r="B1944" s="1073" t="str">
        <f t="shared" si="30"/>
        <v>Netherlands</v>
      </c>
      <c r="C1944" s="1073" t="s">
        <v>492</v>
      </c>
      <c r="F1944" s="822"/>
      <c r="G1944" s="822"/>
      <c r="H1944" s="822"/>
    </row>
    <row r="1945" spans="1:8" x14ac:dyDescent="0.35">
      <c r="A1945" s="820">
        <v>1939</v>
      </c>
      <c r="B1945" s="1073" t="str">
        <f t="shared" si="30"/>
        <v>Norway</v>
      </c>
      <c r="C1945" s="1073" t="s">
        <v>494</v>
      </c>
      <c r="F1945" s="822"/>
      <c r="G1945" s="822"/>
      <c r="H1945" s="822"/>
    </row>
    <row r="1946" spans="1:8" x14ac:dyDescent="0.35">
      <c r="A1946" s="820">
        <v>1940</v>
      </c>
      <c r="B1946" s="1073" t="str">
        <f t="shared" si="30"/>
        <v>Poland</v>
      </c>
      <c r="C1946" s="1073" t="s">
        <v>496</v>
      </c>
      <c r="F1946" s="822"/>
      <c r="G1946" s="822"/>
      <c r="H1946" s="822"/>
    </row>
    <row r="1947" spans="1:8" x14ac:dyDescent="0.35">
      <c r="A1947" s="820">
        <v>1941</v>
      </c>
      <c r="B1947" s="1073" t="str">
        <f t="shared" si="30"/>
        <v>Portugal</v>
      </c>
      <c r="C1947" s="1073" t="s">
        <v>498</v>
      </c>
      <c r="F1947" s="822"/>
      <c r="G1947" s="822"/>
      <c r="H1947" s="822"/>
    </row>
    <row r="1948" spans="1:8" x14ac:dyDescent="0.35">
      <c r="A1948" s="820">
        <v>1942</v>
      </c>
      <c r="B1948" s="1073" t="str">
        <f t="shared" si="30"/>
        <v>Romania</v>
      </c>
      <c r="C1948" s="1073" t="s">
        <v>500</v>
      </c>
      <c r="F1948" s="822"/>
      <c r="G1948" s="822"/>
      <c r="H1948" s="822"/>
    </row>
    <row r="1949" spans="1:8" x14ac:dyDescent="0.35">
      <c r="A1949" s="820">
        <v>1943</v>
      </c>
      <c r="B1949" s="1073" t="str">
        <f t="shared" si="30"/>
        <v>Sweden</v>
      </c>
      <c r="C1949" s="1073" t="s">
        <v>508</v>
      </c>
      <c r="F1949" s="822"/>
      <c r="G1949" s="822"/>
      <c r="H1949" s="822"/>
    </row>
    <row r="1950" spans="1:8" x14ac:dyDescent="0.35">
      <c r="A1950" s="820">
        <v>1944</v>
      </c>
      <c r="B1950" s="1073" t="str">
        <f t="shared" si="30"/>
        <v>Slovenia</v>
      </c>
      <c r="C1950" s="1073" t="s">
        <v>504</v>
      </c>
      <c r="F1950" s="822"/>
      <c r="G1950" s="822"/>
      <c r="H1950" s="822"/>
    </row>
    <row r="1951" spans="1:8" x14ac:dyDescent="0.35">
      <c r="A1951" s="820">
        <v>1945</v>
      </c>
      <c r="B1951" s="1073" t="str">
        <f t="shared" si="30"/>
        <v>Slovakia</v>
      </c>
      <c r="C1951" s="1073" t="s">
        <v>502</v>
      </c>
      <c r="F1951" s="822"/>
      <c r="G1951" s="822"/>
      <c r="H1951" s="822"/>
    </row>
    <row r="1952" spans="1:8" ht="12" x14ac:dyDescent="0.35">
      <c r="A1952" s="820">
        <v>1946</v>
      </c>
      <c r="B1952" s="1090" t="str">
        <f t="shared" si="30"/>
        <v>Please enter here the starting date and the end date of the reporting period to which the data entered in this communication template refers to. For example, if you want to report data based on the whole calendar year 2023, the starting date would be 1.1.2023 and the end date 31.12.2023.</v>
      </c>
      <c r="C1952" s="1090" t="s">
        <v>3941</v>
      </c>
      <c r="F1952" s="822"/>
      <c r="G1952" s="822"/>
      <c r="H1952" s="822"/>
    </row>
    <row r="1953" spans="1:8" ht="12" x14ac:dyDescent="0.35">
      <c r="A1953" s="820">
        <v>1947</v>
      </c>
      <c r="B1953" s="1091" t="str">
        <f t="shared" ref="B1953:B2016" si="31">IFERROR(INDEX(C1953:M1953,$A$3-2),$C1953)</f>
        <v>For information, emissions from the following precursors are relevant for the embedded emissions of the types of aggregated goods listed above. Where those precursors are actually relevant for your production processes, please make sure those are also listed either as products in the table above (if produced within your installation) or under section 5 "purchased precursors" below (where produced in other installations). Please note that for some goods the same aggregated good category itself can be a relevant precursor (e.g. iron &amp; steel products, aluminium products, mixed fertilisers).</v>
      </c>
      <c r="C1953" s="1091" t="s">
        <v>3942</v>
      </c>
      <c r="F1953" s="822"/>
      <c r="G1953" s="822"/>
      <c r="H1953" s="822"/>
    </row>
    <row r="1954" spans="1:8" ht="12" x14ac:dyDescent="0.35">
      <c r="A1954" s="820">
        <v>1948</v>
      </c>
      <c r="B1954" s="1091" t="str">
        <f t="shared" si="31"/>
        <v>Based on the list under (a), please list here only aggregated goods categories (G1, G2, etc.) for which you want to establish distinct "production process" and assign all aggregated goods categories and relevant precursors that will be covered by its system boundary. Where the selected "production process" only includes the one aggregated goods category selected, please select "only direct production" in column F.</v>
      </c>
      <c r="C1954" s="1091" t="s">
        <v>3943</v>
      </c>
      <c r="F1954" s="822"/>
      <c r="G1954" s="822"/>
      <c r="H1954" s="822"/>
    </row>
    <row r="1955" spans="1:8" ht="12" x14ac:dyDescent="0.35">
      <c r="A1955" s="820">
        <v>1949</v>
      </c>
      <c r="B1955" s="1092" t="str">
        <f t="shared" si="31"/>
        <v>Example: If "ammonia" and "nitric acid" are both produced in your installation, you may either create a separate production process for each of these good types, or report them combined under 'nitric acid' under a 'bubble approach'. In the case of the latter, please select as of column F which other process you want to include under this 'bubble approach'. Note: the 'bubble approach' is only allowed if all ammonia produced is processed into nitric acid. If parts of the ammonia are exported from the installation, two separate production processes have to be entered here.</v>
      </c>
      <c r="C1955" s="1092" t="s">
        <v>3944</v>
      </c>
      <c r="F1955" s="822"/>
      <c r="G1955" s="822"/>
      <c r="H1955" s="822"/>
    </row>
    <row r="1956" spans="1:8" ht="13" x14ac:dyDescent="0.3">
      <c r="A1956" s="820">
        <v>1950</v>
      </c>
      <c r="B1956" s="1074" t="str">
        <f t="shared" si="31"/>
        <v>Completeness check:</v>
      </c>
      <c r="C1956" s="1074" t="s">
        <v>394</v>
      </c>
      <c r="F1956" s="822"/>
      <c r="G1956" s="822"/>
      <c r="H1956" s="822"/>
    </row>
    <row r="1957" spans="1:8" ht="13" x14ac:dyDescent="0.3">
      <c r="A1957" s="820">
        <v>1951</v>
      </c>
      <c r="B1957" s="867" t="str">
        <f t="shared" si="31"/>
        <v>Country code</v>
      </c>
      <c r="C1957" s="867" t="s">
        <v>125</v>
      </c>
      <c r="F1957" s="822"/>
      <c r="G1957" s="822"/>
      <c r="H1957" s="822"/>
    </row>
    <row r="1958" spans="1:8" ht="16" thickBot="1" x14ac:dyDescent="0.4">
      <c r="A1958" s="820">
        <v>1952</v>
      </c>
      <c r="B1958" s="15" t="str">
        <f t="shared" si="31"/>
        <v>Calculation based approaches: Source Streams (excluding PFC emissions)</v>
      </c>
      <c r="C1958" s="15" t="s">
        <v>3945</v>
      </c>
      <c r="F1958" s="822"/>
      <c r="G1958" s="822"/>
      <c r="H1958" s="822"/>
    </row>
    <row r="1959" spans="1:8" ht="13.5" thickBot="1" x14ac:dyDescent="0.35">
      <c r="A1959" s="820">
        <v>1953</v>
      </c>
      <c r="B1959" s="1022" t="str">
        <f t="shared" si="31"/>
        <v>Flue gas flow (average)</v>
      </c>
      <c r="C1959" s="1022" t="s">
        <v>3982</v>
      </c>
      <c r="F1959" s="822"/>
      <c r="G1959" s="822"/>
      <c r="H1959" s="822"/>
    </row>
    <row r="1960" spans="1:8" ht="13.5" thickBot="1" x14ac:dyDescent="0.35">
      <c r="A1960" s="820">
        <v>1954</v>
      </c>
      <c r="B1960" s="1022" t="str">
        <f t="shared" si="31"/>
        <v>Flue gas flow (average), Unit</v>
      </c>
      <c r="C1960" s="1022" t="s">
        <v>3983</v>
      </c>
      <c r="F1960" s="822"/>
      <c r="G1960" s="822"/>
      <c r="H1960" s="822"/>
    </row>
    <row r="1961" spans="1:8" ht="13.5" thickBot="1" x14ac:dyDescent="0.35">
      <c r="A1961" s="820">
        <v>1955</v>
      </c>
      <c r="B1961" s="1022" t="str">
        <f t="shared" si="31"/>
        <v>GWP (tCO2e/t)</v>
      </c>
      <c r="C1961" s="1022" t="s">
        <v>3984</v>
      </c>
      <c r="F1961" s="822"/>
      <c r="G1961" s="822"/>
      <c r="H1961" s="822"/>
    </row>
    <row r="1962" spans="1:8" ht="16" thickBot="1" x14ac:dyDescent="0.4">
      <c r="A1962" s="820">
        <v>1956</v>
      </c>
      <c r="B1962" s="15" t="str">
        <f t="shared" si="31"/>
        <v>PFC (perfluorocarbon) emissions</v>
      </c>
      <c r="C1962" s="15" t="s">
        <v>3960</v>
      </c>
      <c r="F1962" s="822"/>
      <c r="G1962" s="822"/>
      <c r="H1962" s="822"/>
    </row>
    <row r="1963" spans="1:8" ht="13.5" thickBot="1" x14ac:dyDescent="0.35">
      <c r="A1963" s="820">
        <v>1957</v>
      </c>
      <c r="B1963" s="1022" t="str">
        <f t="shared" si="31"/>
        <v>Technology type</v>
      </c>
      <c r="C1963" s="1022" t="s">
        <v>3908</v>
      </c>
      <c r="F1963" s="822"/>
      <c r="G1963" s="822"/>
      <c r="H1963" s="822"/>
    </row>
    <row r="1964" spans="1:8" ht="15.5" x14ac:dyDescent="0.35">
      <c r="A1964" s="820">
        <v>1958</v>
      </c>
      <c r="B1964" s="15" t="str">
        <f t="shared" si="31"/>
        <v>Measurement-Based Approaches: Emissions Sources</v>
      </c>
      <c r="C1964" s="15" t="s">
        <v>3993</v>
      </c>
      <c r="F1964" s="822"/>
      <c r="G1964" s="822"/>
      <c r="H1964" s="822"/>
    </row>
    <row r="1965" spans="1:8" ht="12" x14ac:dyDescent="0.35">
      <c r="A1965" s="820">
        <v>1959</v>
      </c>
      <c r="B1965" s="1091" t="str">
        <f t="shared" si="31"/>
        <v>The entry of total indirect emissions must always be entered manually.</v>
      </c>
      <c r="C1965" s="1091" t="s">
        <v>3994</v>
      </c>
      <c r="F1965" s="822"/>
      <c r="G1965" s="822"/>
      <c r="H1965" s="822"/>
    </row>
    <row r="1966" spans="1:8" ht="13" x14ac:dyDescent="0.35">
      <c r="A1966" s="820">
        <v>1960</v>
      </c>
      <c r="B1966" s="1037" t="str">
        <f t="shared" si="31"/>
        <v>Total purchase for possible consumption within installation:</v>
      </c>
      <c r="C1966" s="1037" t="s">
        <v>4078</v>
      </c>
      <c r="F1966" s="822"/>
      <c r="G1966" s="822"/>
      <c r="H1966" s="822"/>
    </row>
    <row r="1967" spans="1:8" ht="13" x14ac:dyDescent="0.35">
      <c r="A1967" s="820">
        <v>1961</v>
      </c>
      <c r="B1967" s="1041" t="str">
        <f t="shared" si="31"/>
        <v>Consumed in 'production processes' within the installation:</v>
      </c>
      <c r="C1967" s="1041" t="s">
        <v>4018</v>
      </c>
      <c r="F1967" s="822"/>
      <c r="G1967" s="822"/>
      <c r="H1967" s="822"/>
    </row>
    <row r="1968" spans="1:8" ht="13" x14ac:dyDescent="0.35">
      <c r="A1968" s="820">
        <v>1962</v>
      </c>
      <c r="B1968" s="1041" t="str">
        <f t="shared" si="31"/>
        <v>Consumed for other purposes, e.g. sold or used for non-CBAM goods:</v>
      </c>
      <c r="C1968" s="1041" t="s">
        <v>4021</v>
      </c>
      <c r="F1968" s="822"/>
      <c r="G1968" s="822"/>
      <c r="H1968" s="822"/>
    </row>
    <row r="1969" spans="1:8" ht="12.5" x14ac:dyDescent="0.35">
      <c r="A1969" s="820">
        <v>1963</v>
      </c>
      <c r="B1969" s="1046" t="str">
        <f t="shared" si="31"/>
        <v>Specific embedded direct emissions (SEE (direct))</v>
      </c>
      <c r="C1969" s="1046" t="s">
        <v>4024</v>
      </c>
      <c r="F1969" s="822"/>
      <c r="G1969" s="822"/>
      <c r="H1969" s="822"/>
    </row>
    <row r="1970" spans="1:8" ht="12.5" x14ac:dyDescent="0.35">
      <c r="A1970" s="820">
        <v>1964</v>
      </c>
      <c r="B1970" s="1075" t="str">
        <f t="shared" si="31"/>
        <v>Specific electricity consumption (for SEE (indirect))</v>
      </c>
      <c r="C1970" s="1075" t="s">
        <v>3920</v>
      </c>
      <c r="F1970" s="822"/>
      <c r="G1970" s="822"/>
      <c r="H1970" s="822"/>
    </row>
    <row r="1971" spans="1:8" ht="12.5" x14ac:dyDescent="0.35">
      <c r="A1971" s="820">
        <v>1965</v>
      </c>
      <c r="B1971" s="1076" t="str">
        <f t="shared" si="31"/>
        <v>Electricity emission factor (for SEE (indirect))</v>
      </c>
      <c r="C1971" s="1076" t="s">
        <v>3921</v>
      </c>
      <c r="F1971" s="822"/>
      <c r="G1971" s="822"/>
      <c r="H1971" s="822"/>
    </row>
    <row r="1972" spans="1:8" ht="12.5" x14ac:dyDescent="0.35">
      <c r="A1972" s="820">
        <v>1966</v>
      </c>
      <c r="B1972" s="1077" t="str">
        <f t="shared" si="31"/>
        <v>Specific embedded indirect emissions (SEE (indirect))</v>
      </c>
      <c r="C1972" s="1077" t="s">
        <v>4025</v>
      </c>
      <c r="F1972" s="822"/>
      <c r="G1972" s="822"/>
      <c r="H1972" s="822"/>
    </row>
    <row r="1973" spans="1:8" ht="12" x14ac:dyDescent="0.35">
      <c r="A1973" s="820">
        <v>1967</v>
      </c>
      <c r="B1973" s="1093" t="str">
        <f t="shared" si="31"/>
        <v>This tool exists twofold in this template and each tool should only be used for one CHP. If more CHPs are relevant, you must aggregate energy amounts and emissions from multiple CHPs, as appropriate, or perform separate calculations using additional copies of this template.</v>
      </c>
      <c r="C1973" s="1093" t="s">
        <v>4034</v>
      </c>
      <c r="F1973" s="822"/>
      <c r="G1973" s="822"/>
      <c r="H1973" s="822"/>
    </row>
    <row r="1974" spans="1:8" ht="12" x14ac:dyDescent="0.35">
      <c r="A1974" s="820">
        <v>1968</v>
      </c>
      <c r="B1974" s="1091" t="str">
        <f t="shared" si="31"/>
        <v>For the reference efficiencies the appropriate fuel-specific values from Annex IX of the Implementing Act should be used.</v>
      </c>
      <c r="C1974" s="1091" t="s">
        <v>4035</v>
      </c>
      <c r="F1974" s="822"/>
      <c r="G1974" s="822"/>
      <c r="H1974" s="822"/>
    </row>
    <row r="1975" spans="1:8" ht="12" x14ac:dyDescent="0.35">
      <c r="A1975" s="820">
        <v>1969</v>
      </c>
      <c r="B1975" s="1091" t="str">
        <f t="shared" si="31"/>
        <v>Below the default efficiencies for hard coal CHPs producing electricity and hot water are entered as an example.</v>
      </c>
      <c r="C1975" s="1091" t="s">
        <v>4036</v>
      </c>
      <c r="F1975" s="822"/>
      <c r="G1975" s="822"/>
      <c r="H1975" s="822"/>
    </row>
    <row r="1976" spans="1:8" ht="13" x14ac:dyDescent="0.35">
      <c r="A1976" s="820">
        <v>1970</v>
      </c>
      <c r="B1976" s="632" t="str">
        <f t="shared" si="31"/>
        <v>Emissions attributable to heat and electricity production from CHP</v>
      </c>
      <c r="C1976" s="632" t="s">
        <v>4037</v>
      </c>
      <c r="F1976" s="822"/>
      <c r="G1976" s="822"/>
      <c r="H1976" s="822"/>
    </row>
    <row r="1977" spans="1:8" ht="12" x14ac:dyDescent="0.35">
      <c r="A1977" s="820">
        <v>1971</v>
      </c>
      <c r="B1977" s="1091" t="str">
        <f t="shared" si="31"/>
        <v>Calculation results can only be considered correct if complete and consistent data have been reported in sections above.</v>
      </c>
      <c r="C1977" s="1091" t="s">
        <v>4038</v>
      </c>
      <c r="F1977" s="822"/>
      <c r="G1977" s="822"/>
      <c r="H1977" s="822"/>
    </row>
    <row r="1978" spans="1:8" x14ac:dyDescent="0.35">
      <c r="A1978" s="820">
        <v>1972</v>
      </c>
      <c r="B1978" s="1094" t="str">
        <f t="shared" si="31"/>
        <v>The results obtained here in columns L and M have to be manually entered into the respective fields in sheet "Summary_Products", columns AR and AX, respectively.</v>
      </c>
      <c r="C1978" s="1094" t="s">
        <v>4042</v>
      </c>
      <c r="F1978" s="822"/>
      <c r="G1978" s="822"/>
      <c r="H1978" s="822"/>
    </row>
    <row r="1979" spans="1:8" ht="12" x14ac:dyDescent="0.35">
      <c r="A1979" s="820">
        <v>1973</v>
      </c>
      <c r="B1979" s="1095" t="str">
        <f t="shared" si="31"/>
        <v>Please enter here the share of the TOTAL (direct + indirect) specific emissions that are subject to carbon pricing. For instance, if only direct emissions are covered by a carbon pricing system, the share to be provided here would be exactly the share in the direct emissions of the total emissions.</v>
      </c>
      <c r="C1979" s="1095" t="s">
        <v>4039</v>
      </c>
      <c r="F1979" s="822"/>
      <c r="G1979" s="822"/>
      <c r="H1979" s="822"/>
    </row>
    <row r="1980" spans="1:8" ht="12" x14ac:dyDescent="0.35">
      <c r="A1980" s="820">
        <v>1974</v>
      </c>
      <c r="B1980" s="1095" t="str">
        <f t="shared" si="31"/>
        <v>Please enter here the carbon price due per tonne of CO2e in the relevant currency. This value shall be the carbon price before application of any rebate such as free allocation or financial compensation. It shall furthermore exclude any carbon price due for any precursors outside the production process to avoid double counting.</v>
      </c>
      <c r="C1980" s="1095" t="s">
        <v>4040</v>
      </c>
      <c r="F1980" s="822"/>
      <c r="G1980" s="822"/>
      <c r="H1980" s="822"/>
    </row>
    <row r="1981" spans="1:8" ht="12" x14ac:dyDescent="0.35">
      <c r="A1981" s="820">
        <v>1975</v>
      </c>
      <c r="B1981" s="1096" t="str">
        <f t="shared" si="31"/>
        <v>Please enter here the rebate per tonne of CO2e covered by the rebate in the relevant currency. Again, it shall exclude any rebate for any precursors outside the production process to avoid double counting.</v>
      </c>
      <c r="C1981" s="1096" t="s">
        <v>4041</v>
      </c>
      <c r="F1981" s="822"/>
      <c r="G1981" s="822"/>
      <c r="H1981" s="822"/>
    </row>
    <row r="1982" spans="1:8" x14ac:dyDescent="0.35">
      <c r="A1982" s="820">
        <v>1976</v>
      </c>
      <c r="B1982" s="1097" t="str">
        <f t="shared" si="31"/>
        <v>Because this sheet is provided in a database-like format covering all monitoring approaches, each monitored item is corresponding to one row, and each parameter to be monitored is corresponding to one column. The columns not applicable to a specific monitoring approach are greyed out.</v>
      </c>
      <c r="C1982" s="1097" t="s">
        <v>3947</v>
      </c>
      <c r="F1982" s="822"/>
      <c r="G1982" s="822"/>
      <c r="H1982" s="822"/>
    </row>
    <row r="1983" spans="1:8" x14ac:dyDescent="0.35">
      <c r="A1983" s="820">
        <v>1977</v>
      </c>
      <c r="B1983" s="651" t="str">
        <f t="shared" si="31"/>
        <v xml:space="preserve">This block is used for entering all emissions monitored using a "calculation-based approach" (Implementing Act Annex III section B.3). </v>
      </c>
      <c r="C1983" s="651" t="s">
        <v>3962</v>
      </c>
      <c r="F1983" s="822"/>
      <c r="G1983" s="822"/>
      <c r="H1983" s="822"/>
    </row>
    <row r="1984" spans="1:8" x14ac:dyDescent="0.35">
      <c r="A1984" s="820">
        <v>1978</v>
      </c>
      <c r="B1984" s="651" t="str">
        <f t="shared" si="31"/>
        <v>The activity data is the data on the amount of fuels or materials consumed or produced by a process as relevant for the calculation-based monitoring methodology, expressed as mass in tonnes (t), or for gases as volume in normal cubic metres (Nm³), as appropriate.</v>
      </c>
      <c r="C1984" s="651" t="s">
        <v>3948</v>
      </c>
      <c r="F1984" s="822"/>
      <c r="G1984" s="822"/>
      <c r="H1984" s="822"/>
    </row>
    <row r="1985" spans="1:8" x14ac:dyDescent="0.35">
      <c r="A1985" s="820">
        <v>1979</v>
      </c>
      <c r="B1985" s="651" t="str">
        <f t="shared" si="31"/>
        <v>The corresponding units in which the amounts above are provided. Please select tonnes (t) for mass of solid, liquid or gaseous materials and fuels, or 1000 normal cubic metres (Nm³) for gases.</v>
      </c>
      <c r="C1985" s="651" t="s">
        <v>3949</v>
      </c>
      <c r="F1985" s="822"/>
      <c r="G1985" s="822"/>
      <c r="H1985" s="822"/>
    </row>
    <row r="1986" spans="1:8" x14ac:dyDescent="0.35">
      <c r="A1986" s="820">
        <v>1980</v>
      </c>
      <c r="B1986" s="656" t="str">
        <f t="shared" si="31"/>
        <v>The net calorific value is the specific amount of energy released as heat when a fuel or material undergoes complete combustion with oxygen under standard conditions less the heat of vaporisation of any water formed.</v>
      </c>
      <c r="C1986" s="656" t="s">
        <v>3950</v>
      </c>
      <c r="F1986" s="822"/>
      <c r="G1986" s="822"/>
      <c r="H1986" s="822"/>
    </row>
    <row r="1987" spans="1:8" x14ac:dyDescent="0.35">
      <c r="A1987" s="820">
        <v>1981</v>
      </c>
      <c r="B1987" s="1098" t="str">
        <f t="shared" si="31"/>
        <v>The input of NCV is mandatory for combustion emissions in order for the emission calculation to give meaningful results. However, in exceptional cases (where the emission factor is available as tCO2/t or tCO2/1000Nm3, the NCV is not taken into account for emission calculation, but only for the calculation of energy input.</v>
      </c>
      <c r="C1987" s="1098" t="s">
        <v>4099</v>
      </c>
      <c r="F1987" s="822"/>
      <c r="G1987" s="822"/>
      <c r="H1987" s="822"/>
    </row>
    <row r="1988" spans="1:8" x14ac:dyDescent="0.35">
      <c r="A1988" s="820">
        <v>1982</v>
      </c>
      <c r="B1988" s="1098" t="str">
        <f t="shared" si="31"/>
        <v>For process emissions, the NCV can be entered for fuels used as process material. In this case, the unit for the emission factor must be chosen as "tCO2/TJ". Otherwise the NCV is ignored in the calculation of emissions.</v>
      </c>
      <c r="C1988" s="1098" t="s">
        <v>4100</v>
      </c>
      <c r="F1988" s="822"/>
      <c r="G1988" s="822"/>
      <c r="H1988" s="822"/>
    </row>
    <row r="1989" spans="1:8" x14ac:dyDescent="0.35">
      <c r="A1989" s="820">
        <v>1983</v>
      </c>
      <c r="B1989" s="657" t="str">
        <f t="shared" si="31"/>
        <v>For mass balances, the NCV can be entered for informative purposes, but it is not used for emission calculation.</v>
      </c>
      <c r="C1989" s="657" t="s">
        <v>3951</v>
      </c>
      <c r="F1989" s="822"/>
      <c r="G1989" s="822"/>
      <c r="H1989" s="822"/>
    </row>
    <row r="1990" spans="1:8" x14ac:dyDescent="0.35">
      <c r="A1990" s="820">
        <v>1984</v>
      </c>
      <c r="B1990" s="651" t="str">
        <f t="shared" si="31"/>
        <v>The appropriate unit for the NCV is automatically displayed based on the selection of the AD unit. Note, however, that in accordance with what has been said on the NCV above, in case of process emissions, the unit of the NCV will only be displayed if the unit for the EF is selected to be tCO2/TJ.</v>
      </c>
      <c r="C1990" s="651" t="s">
        <v>4201</v>
      </c>
      <c r="F1990" s="822"/>
      <c r="G1990" s="822"/>
      <c r="H1990" s="822"/>
    </row>
    <row r="1991" spans="1:8" x14ac:dyDescent="0.35">
      <c r="A1991" s="820">
        <v>1985</v>
      </c>
      <c r="B1991" s="651" t="str">
        <f t="shared" si="31"/>
        <v>The emission factor is used to calculate emissions under the "standard methodology" (section B.3.1 of Annex III of the implementing Act), but not for the mass balance approach. For biomass and mixed materials, the "preliminary" emission factor must be used. This is the assumed total emission factor of a mixed fuel or material based on the total carbon content composed of biomass fraction and fossil fraction before multiplying it with the fossil fraction to result in the emission factor.</v>
      </c>
      <c r="C1991" s="651" t="s">
        <v>3953</v>
      </c>
      <c r="F1991" s="822"/>
      <c r="G1991" s="822"/>
      <c r="H1991" s="822"/>
    </row>
    <row r="1992" spans="1:8" x14ac:dyDescent="0.35">
      <c r="A1992" s="820">
        <v>1986</v>
      </c>
      <c r="B1992" s="1099" t="str">
        <f t="shared" si="31"/>
        <v>Please select here either "tCO2/TJ" (default for fuels), or "tCO2/t" or "tCO2/1000Nm3" if the NCV is not to be used for the calculation of emissions. The latter applies to process emissions or in exceptional cases to fuels, if the determination of NCV is not possible without incurring unreasonable costs.</v>
      </c>
      <c r="C1992" s="1099" t="s">
        <v>3952</v>
      </c>
      <c r="F1992" s="822"/>
      <c r="G1992" s="822"/>
      <c r="H1992" s="822"/>
    </row>
    <row r="1993" spans="1:8" x14ac:dyDescent="0.35">
      <c r="A1993" s="820">
        <v>1987</v>
      </c>
      <c r="B1993" s="651" t="str">
        <f t="shared" si="31"/>
        <v>The carbon content of the fuel or material. This parameter is used only for the mass balance approach (Section B.3.2 of Annex III of the implementing act).</v>
      </c>
      <c r="C1993" s="651" t="s">
        <v>3954</v>
      </c>
      <c r="F1993" s="822"/>
      <c r="G1993" s="822"/>
      <c r="H1993" s="822"/>
    </row>
    <row r="1994" spans="1:8" x14ac:dyDescent="0.35">
      <c r="A1994" s="820">
        <v>1988</v>
      </c>
      <c r="B1994" s="651" t="str">
        <f t="shared" si="31"/>
        <v xml:space="preserve">Depending on the selected unit for the activity data, the correct unit for the carbon content (either "tC/t material", or "tC/1000Nm3" for gases) is automatically displayed. </v>
      </c>
      <c r="C1994" s="651" t="s">
        <v>3955</v>
      </c>
      <c r="F1994" s="822"/>
      <c r="G1994" s="822"/>
      <c r="H1994" s="822"/>
    </row>
    <row r="1995" spans="1:8" x14ac:dyDescent="0.35">
      <c r="A1995" s="820">
        <v>1989</v>
      </c>
      <c r="B1995" s="657" t="str">
        <f t="shared" si="31"/>
        <v>In order for the emission calculation to work properly, a standard value of 100% is used if the field is left empty. Note that the unit is fixed to percent (see next point). Therefore, the value entered here must be between 100 (full oxidation) and 0 (no oxidation at all).</v>
      </c>
      <c r="C1995" s="657" t="s">
        <v>4064</v>
      </c>
      <c r="F1995" s="822"/>
      <c r="G1995" s="822"/>
      <c r="H1995" s="822"/>
    </row>
    <row r="1996" spans="1:8" x14ac:dyDescent="0.35">
      <c r="A1996" s="820">
        <v>1990</v>
      </c>
      <c r="B1996" s="657" t="str">
        <f t="shared" si="31"/>
        <v>Due to the way how Excel handles percentage values, only numbers WITHOUT percentage sign ("%") must be entered.</v>
      </c>
      <c r="C1996" s="657" t="s">
        <v>3957</v>
      </c>
      <c r="F1996" s="822"/>
      <c r="G1996" s="822"/>
      <c r="H1996" s="822"/>
    </row>
    <row r="1997" spans="1:8" x14ac:dyDescent="0.35">
      <c r="A1997" s="820">
        <v>1991</v>
      </c>
      <c r="B1997" s="651" t="str">
        <f t="shared" si="31"/>
        <v>The unit of the oxidation factor is always percent (%).</v>
      </c>
      <c r="C1997" s="651" t="s">
        <v>3956</v>
      </c>
      <c r="F1997" s="822"/>
      <c r="G1997" s="822"/>
      <c r="H1997" s="822"/>
    </row>
    <row r="1998" spans="1:8" x14ac:dyDescent="0.35">
      <c r="A1998" s="820">
        <v>1992</v>
      </c>
      <c r="B1998" s="657" t="str">
        <f t="shared" si="31"/>
        <v>In order for the emission calculation to work properly, a standard value of 100% is used if the field is left empty. Note that the unit is fixed to percent (see next point). Therefore, the value entered here must be between 100 (full yield of the process) and 0 (no reaction at all).</v>
      </c>
      <c r="C1998" s="657" t="s">
        <v>4065</v>
      </c>
      <c r="F1998" s="822"/>
      <c r="G1998" s="822"/>
      <c r="H1998" s="822"/>
    </row>
    <row r="1999" spans="1:8" x14ac:dyDescent="0.35">
      <c r="A1999" s="820">
        <v>1993</v>
      </c>
      <c r="B1999" s="651" t="str">
        <f t="shared" si="31"/>
        <v>The unit of the conversion factor is always percent (%).</v>
      </c>
      <c r="C1999" s="651" t="s">
        <v>3958</v>
      </c>
      <c r="F1999" s="822"/>
      <c r="G1999" s="822"/>
      <c r="H1999" s="822"/>
    </row>
    <row r="2000" spans="1:8" x14ac:dyDescent="0.35">
      <c r="A2000" s="820">
        <v>1994</v>
      </c>
      <c r="B2000" s="1098" t="str">
        <f t="shared" si="31"/>
        <v>The entry of a biomass fraction is voluntary. If there is no biomass fraction, or if 0 is entered, the emission calculation gives automatically the result of a purely fossil fuel or material. Note that the unit is fixed to percent (see next point). Therefore, any value entered here must be between 100 (pure biomass) and 0 (no biomass at all).</v>
      </c>
      <c r="C2000" s="1098" t="s">
        <v>3977</v>
      </c>
      <c r="F2000" s="822"/>
      <c r="G2000" s="822"/>
      <c r="H2000" s="822"/>
    </row>
    <row r="2001" spans="1:8" x14ac:dyDescent="0.35">
      <c r="A2001" s="820">
        <v>1995</v>
      </c>
      <c r="B2001" s="651" t="str">
        <f t="shared" si="31"/>
        <v>The unit of the biomass fraction is always percent (%).</v>
      </c>
      <c r="C2001" s="651" t="s">
        <v>3959</v>
      </c>
      <c r="F2001" s="822"/>
      <c r="G2001" s="822"/>
      <c r="H2001" s="822"/>
    </row>
    <row r="2002" spans="1:8" x14ac:dyDescent="0.35">
      <c r="A2002" s="820">
        <v>1996</v>
      </c>
      <c r="B2002" s="656" t="str">
        <f t="shared" si="31"/>
        <v>On the far right side of each block the total energy content and GHG emissions (fossil and biogenic) are calculated automatically for each source stream.</v>
      </c>
      <c r="C2002" s="656" t="s">
        <v>3946</v>
      </c>
      <c r="F2002" s="822"/>
      <c r="G2002" s="822"/>
      <c r="H2002" s="822"/>
    </row>
    <row r="2003" spans="1:8" x14ac:dyDescent="0.35">
      <c r="A2003" s="820">
        <v>1997</v>
      </c>
      <c r="B2003" s="1098" t="str">
        <f t="shared" si="31"/>
        <v>If the units of activity data and emission factor are inconsistent, the message "Inconsistent!" is displayed. If the inputs are incomplete, the message "Incomplete!" is shown.</v>
      </c>
      <c r="C2003" s="1098" t="s">
        <v>4067</v>
      </c>
      <c r="F2003" s="822"/>
      <c r="G2003" s="822"/>
      <c r="H2003" s="822"/>
    </row>
    <row r="2004" spans="1:8" x14ac:dyDescent="0.35">
      <c r="A2004" s="820">
        <v>1998</v>
      </c>
      <c r="B2004" s="1100" t="str">
        <f t="shared" si="31"/>
        <v>The fossil emissions are the necessary basis for determining the embedded emissions of CBAM goods. The results are automatically transferred into sheet C_Emissions&amp;Energy.</v>
      </c>
      <c r="C2004" s="1100" t="s">
        <v>3986</v>
      </c>
      <c r="F2004" s="822"/>
      <c r="G2004" s="822"/>
      <c r="H2004" s="822"/>
    </row>
    <row r="2005" spans="1:8" x14ac:dyDescent="0.35">
      <c r="A2005" s="820">
        <v>1999</v>
      </c>
      <c r="B2005" s="651" t="str">
        <f t="shared" si="31"/>
        <v xml:space="preserve">This block is used for entering all emissions monitored using the specific approach for PFC emissions (Implementing Act Annex III section B.7). </v>
      </c>
      <c r="C2005" s="651" t="s">
        <v>3961</v>
      </c>
      <c r="F2005" s="822"/>
      <c r="G2005" s="822"/>
      <c r="H2005" s="822"/>
    </row>
    <row r="2006" spans="1:8" x14ac:dyDescent="0.35">
      <c r="A2006" s="820">
        <v>2000</v>
      </c>
      <c r="B2006" s="651" t="str">
        <f t="shared" si="31"/>
        <v>Please provide here the type of anode technology such as Centre Worked Pre-Bake (CWPB), Vertical Stud Søderberg (VSS), etc.</v>
      </c>
      <c r="C2006" s="651" t="s">
        <v>3963</v>
      </c>
      <c r="F2006" s="822"/>
      <c r="G2006" s="822"/>
      <c r="H2006" s="822"/>
    </row>
    <row r="2007" spans="1:8" x14ac:dyDescent="0.35">
      <c r="A2007" s="820">
        <v>2001</v>
      </c>
      <c r="B2007" s="651" t="str">
        <f t="shared" si="31"/>
        <v>The unit of activity data (default: Tonnes)</v>
      </c>
      <c r="C2007" s="651" t="s">
        <v>3966</v>
      </c>
      <c r="F2007" s="822"/>
      <c r="G2007" s="822"/>
      <c r="H2007" s="822"/>
    </row>
    <row r="2008" spans="1:8" x14ac:dyDescent="0.35">
      <c r="A2008" s="820">
        <v>2002</v>
      </c>
      <c r="B2008" s="651" t="str">
        <f t="shared" si="31"/>
        <v>Further columns which are irrelevant for PFC emissions are greyed out in this table. Please scroll to the right until you reach columns relevant for PFCs.</v>
      </c>
      <c r="C2008" s="651" t="s">
        <v>3964</v>
      </c>
      <c r="F2008" s="822"/>
      <c r="G2008" s="822"/>
      <c r="H2008" s="822"/>
    </row>
    <row r="2009" spans="1:8" x14ac:dyDescent="0.35">
      <c r="A2009" s="820">
        <v>2003</v>
      </c>
      <c r="B2009" s="651" t="str">
        <f t="shared" si="31"/>
        <v>Method A: The slope emission factor (kgCF4/tAl)/(min/cell-day)</v>
      </c>
      <c r="C2009" s="651" t="s">
        <v>3912</v>
      </c>
      <c r="F2009" s="822"/>
      <c r="G2009" s="822"/>
      <c r="H2009" s="822"/>
    </row>
    <row r="2010" spans="1:8" x14ac:dyDescent="0.35">
      <c r="A2010" s="820">
        <v>2004</v>
      </c>
      <c r="B2010" s="651" t="str">
        <f t="shared" si="31"/>
        <v>Method B: The anode effect overvoltage per cell (mV)</v>
      </c>
      <c r="C2010" s="651" t="s">
        <v>3913</v>
      </c>
      <c r="F2010" s="822"/>
      <c r="G2010" s="822"/>
      <c r="H2010" s="822"/>
    </row>
    <row r="2011" spans="1:8" x14ac:dyDescent="0.35">
      <c r="A2011" s="820">
        <v>2005</v>
      </c>
      <c r="B2011" s="651" t="str">
        <f t="shared" si="31"/>
        <v>Method B: The average current efficiency (as % or values between 0 and 1)</v>
      </c>
      <c r="C2011" s="651" t="s">
        <v>3914</v>
      </c>
      <c r="F2011" s="822"/>
      <c r="G2011" s="822"/>
      <c r="H2011" s="822"/>
    </row>
    <row r="2012" spans="1:8" x14ac:dyDescent="0.35">
      <c r="A2012" s="820">
        <v>2006</v>
      </c>
      <c r="B2012" s="651" t="str">
        <f t="shared" si="31"/>
        <v>Method B: The overvoltage coefficient (‘emission factor’) (kg CF4)/(t Al mV)</v>
      </c>
      <c r="C2012" s="651" t="s">
        <v>3915</v>
      </c>
      <c r="F2012" s="822"/>
      <c r="G2012" s="822"/>
      <c r="H2012" s="822"/>
    </row>
    <row r="2013" spans="1:8" x14ac:dyDescent="0.35">
      <c r="A2013" s="820">
        <v>2007</v>
      </c>
      <c r="B2013" s="651" t="str">
        <f t="shared" si="31"/>
        <v>The weight fraction of C2F6 (t C2F6/t CF4) (both methods A and B)</v>
      </c>
      <c r="C2013" s="651" t="s">
        <v>3965</v>
      </c>
      <c r="F2013" s="822"/>
      <c r="G2013" s="822"/>
      <c r="H2013" s="822"/>
    </row>
    <row r="2014" spans="1:8" x14ac:dyDescent="0.35">
      <c r="A2014" s="820">
        <v>2008</v>
      </c>
      <c r="B2014" s="651" t="str">
        <f t="shared" si="31"/>
        <v>The emissions of CF4 calculated automatically from the previous inputs as tonnes CF4</v>
      </c>
      <c r="C2014" s="651" t="s">
        <v>3970</v>
      </c>
      <c r="F2014" s="822"/>
      <c r="G2014" s="822"/>
      <c r="H2014" s="822"/>
    </row>
    <row r="2015" spans="1:8" x14ac:dyDescent="0.35">
      <c r="A2015" s="820">
        <v>2009</v>
      </c>
      <c r="B2015" s="651" t="str">
        <f t="shared" si="31"/>
        <v>The emissions of C2F6 calculated automatically from the previous inputs as tonnes C2F6</v>
      </c>
      <c r="C2015" s="651" t="s">
        <v>3971</v>
      </c>
      <c r="F2015" s="822"/>
      <c r="G2015" s="822"/>
      <c r="H2015" s="822"/>
    </row>
    <row r="2016" spans="1:8" x14ac:dyDescent="0.35">
      <c r="A2016" s="820">
        <v>2010</v>
      </c>
      <c r="B2016" s="651" t="str">
        <f t="shared" si="31"/>
        <v>Efficiency of the collection of the fugitive PFC emissions (%)</v>
      </c>
      <c r="C2016" s="651" t="s">
        <v>3916</v>
      </c>
      <c r="F2016" s="822"/>
      <c r="G2016" s="822"/>
      <c r="H2016" s="822"/>
    </row>
    <row r="2017" spans="1:8" x14ac:dyDescent="0.35">
      <c r="A2017" s="820">
        <v>2011</v>
      </c>
      <c r="B2017" s="651" t="str">
        <f t="shared" ref="B2017:B2080" si="32">IFERROR(INDEX(C2017:M2017,$A$3-2),$C2017)</f>
        <v>The PFC emissions converted into t CO2e</v>
      </c>
      <c r="C2017" s="651" t="s">
        <v>3972</v>
      </c>
      <c r="F2017" s="822"/>
      <c r="G2017" s="822"/>
      <c r="H2017" s="822"/>
    </row>
    <row r="2018" spans="1:8" x14ac:dyDescent="0.35">
      <c r="A2018" s="820">
        <v>2012</v>
      </c>
      <c r="B2018" s="651" t="str">
        <f t="shared" si="32"/>
        <v>This block is used for entering all emissions monitored using the measurement-based approach using Continuous Emission Monitoring Systems / CEMS (Implementing Act Annex III section B.6).</v>
      </c>
      <c r="C2018" s="651" t="s">
        <v>3973</v>
      </c>
      <c r="F2018" s="822"/>
      <c r="G2018" s="822"/>
      <c r="H2018" s="822"/>
    </row>
    <row r="2019" spans="1:8" x14ac:dyDescent="0.35">
      <c r="A2019" s="820">
        <v>2013</v>
      </c>
      <c r="B2019" s="651" t="str">
        <f t="shared" si="32"/>
        <v>Further columns which are relevant for calculation-based approaches only are greyed out in this table. Please scroll to the right until you reach columns relevant for CEMS.</v>
      </c>
      <c r="C2019" s="651" t="s">
        <v>3974</v>
      </c>
      <c r="F2019" s="822"/>
      <c r="G2019" s="822"/>
      <c r="H2019" s="822"/>
    </row>
    <row r="2020" spans="1:8" x14ac:dyDescent="0.35">
      <c r="A2020" s="820">
        <v>2014</v>
      </c>
      <c r="B2020" s="656" t="str">
        <f t="shared" si="32"/>
        <v>The biomass fraction is the ratio of carbon stemming from biomass to the total carbon content of a fuel or material, expressed as percentage. In case of CEMS, it is the ratio of carbon stemming from biomass to the total carbon contained in the flue gas.</v>
      </c>
      <c r="C2020" s="656" t="s">
        <v>3975</v>
      </c>
      <c r="F2020" s="822"/>
      <c r="G2020" s="822"/>
      <c r="H2020" s="822"/>
    </row>
    <row r="2021" spans="1:8" x14ac:dyDescent="0.35">
      <c r="A2021" s="820">
        <v>2015</v>
      </c>
      <c r="B2021" s="1098" t="str">
        <f t="shared" si="32"/>
        <v>The entry of a biomass fraction is voluntary. If there is no biomass fraction, or if 0 is entered, the emission calculation gives automatically the result of purely fossil emissions. for N2O emissions, no biomass is irrelevant. Note that the unit is fixed to percent (see next point). Therefore, any value entered here must be between 100 (pure biomass) and 0 (no biomass at all).</v>
      </c>
      <c r="C2021" s="1098" t="s">
        <v>3976</v>
      </c>
      <c r="F2021" s="822"/>
      <c r="G2021" s="822"/>
      <c r="H2021" s="822"/>
    </row>
    <row r="2022" spans="1:8" x14ac:dyDescent="0.35">
      <c r="A2022" s="820">
        <v>2016</v>
      </c>
      <c r="B2022" s="651" t="str">
        <f t="shared" si="32"/>
        <v>The weighted average hourly concentration of the GHG measured.</v>
      </c>
      <c r="C2022" s="651" t="s">
        <v>3978</v>
      </c>
      <c r="F2022" s="822"/>
      <c r="G2022" s="822"/>
      <c r="H2022" s="822"/>
    </row>
    <row r="2023" spans="1:8" x14ac:dyDescent="0.35">
      <c r="A2023" s="820">
        <v>2017</v>
      </c>
      <c r="B2023" s="651" t="str">
        <f t="shared" si="32"/>
        <v>The unit in which the hourly average concentration is to be entered in this table. It is always set to g/Nm³.</v>
      </c>
      <c r="C2023" s="651" t="s">
        <v>3979</v>
      </c>
      <c r="F2023" s="822"/>
      <c r="G2023" s="822"/>
      <c r="H2023" s="822"/>
    </row>
    <row r="2024" spans="1:8" x14ac:dyDescent="0.35">
      <c r="A2024" s="820">
        <v>2018</v>
      </c>
      <c r="B2024" s="651" t="str">
        <f t="shared" si="32"/>
        <v>The total hours of operation of the continuous emission measurement during the reporting period.</v>
      </c>
      <c r="C2024" s="651" t="s">
        <v>3980</v>
      </c>
      <c r="F2024" s="822"/>
      <c r="G2024" s="822"/>
      <c r="H2024" s="822"/>
    </row>
    <row r="2025" spans="1:8" x14ac:dyDescent="0.35">
      <c r="A2025" s="820">
        <v>2019</v>
      </c>
      <c r="B2025" s="651" t="str">
        <f t="shared" si="32"/>
        <v>The unit in which the operating hours are to be entered in this table. It is always set to h/period.</v>
      </c>
      <c r="C2025" s="651" t="s">
        <v>3985</v>
      </c>
      <c r="F2025" s="822"/>
      <c r="G2025" s="822"/>
      <c r="H2025" s="822"/>
    </row>
    <row r="2026" spans="1:8" x14ac:dyDescent="0.35">
      <c r="A2026" s="820">
        <v>2020</v>
      </c>
      <c r="B2026" s="651" t="str">
        <f t="shared" si="32"/>
        <v>The unit in which the flue gas flow is to be entered in this table. It is always set to 1000Nm3/h.</v>
      </c>
      <c r="C2026" s="651" t="s">
        <v>3987</v>
      </c>
      <c r="F2026" s="822"/>
      <c r="G2026" s="822"/>
      <c r="H2026" s="822"/>
    </row>
    <row r="2027" spans="1:8" x14ac:dyDescent="0.35">
      <c r="A2027" s="820">
        <v>2021</v>
      </c>
      <c r="B2027" s="651" t="str">
        <f t="shared" si="32"/>
        <v>The total quantity (mass) of the GHG monitored using CEMS in the reporting period.</v>
      </c>
      <c r="C2027" s="651" t="s">
        <v>3988</v>
      </c>
      <c r="F2027" s="822"/>
      <c r="G2027" s="822"/>
      <c r="H2027" s="822"/>
    </row>
    <row r="2028" spans="1:8" x14ac:dyDescent="0.35">
      <c r="A2028" s="820">
        <v>2022</v>
      </c>
      <c r="B2028" s="651" t="str">
        <f t="shared" si="32"/>
        <v>The unit in which the mass of GHG emitted is calculated in this table. It is always set to tonnes.</v>
      </c>
      <c r="C2028" s="651" t="s">
        <v>3989</v>
      </c>
      <c r="F2028" s="822"/>
      <c r="G2028" s="822"/>
      <c r="H2028" s="822"/>
    </row>
    <row r="2029" spans="1:8" x14ac:dyDescent="0.35">
      <c r="A2029" s="820">
        <v>2023</v>
      </c>
      <c r="B2029" s="651" t="str">
        <f t="shared" si="32"/>
        <v>The GWP (global warming potential) of the GHG monitored.</v>
      </c>
      <c r="C2029" s="651" t="s">
        <v>3990</v>
      </c>
      <c r="F2029" s="822"/>
      <c r="G2029" s="822"/>
      <c r="H2029" s="822"/>
    </row>
    <row r="2030" spans="1:8" x14ac:dyDescent="0.35">
      <c r="A2030" s="820">
        <v>2024</v>
      </c>
      <c r="B2030" s="651" t="str">
        <f t="shared" si="32"/>
        <v>The energy content of the fuels or materials entering the production process during the reporting period. In case of CEMS this cannot be automatically determined but needs to be input by the user.</v>
      </c>
      <c r="C2030" s="651" t="s">
        <v>3991</v>
      </c>
      <c r="F2030" s="822"/>
      <c r="G2030" s="822"/>
      <c r="H2030" s="822"/>
    </row>
    <row r="2031" spans="1:8" x14ac:dyDescent="0.35">
      <c r="A2031" s="820">
        <v>2025</v>
      </c>
      <c r="B2031" s="1100" t="str">
        <f t="shared" si="32"/>
        <v>Emissions (tCO2e)</v>
      </c>
      <c r="C2031" s="1100" t="s">
        <v>3992</v>
      </c>
      <c r="F2031" s="822"/>
      <c r="G2031" s="822"/>
      <c r="H2031" s="822"/>
    </row>
    <row r="2032" spans="1:8" x14ac:dyDescent="0.35">
      <c r="A2032" s="820">
        <v>2026</v>
      </c>
      <c r="B2032" s="1097" t="str">
        <f t="shared" si="32"/>
        <v>In sheet "D_Processes" the required data inputs are necessary to calculate the emissions attributed to each production process, based on which the specific embedded emissions of the goods category are calculated in this template.</v>
      </c>
      <c r="C2032" s="1097" t="s">
        <v>3997</v>
      </c>
      <c r="F2032" s="822"/>
      <c r="G2032" s="822"/>
      <c r="H2032" s="822"/>
    </row>
    <row r="2033" spans="1:8" x14ac:dyDescent="0.25">
      <c r="A2033" s="820">
        <v>2027</v>
      </c>
      <c r="B2033" s="1101" t="str">
        <f t="shared" si="32"/>
        <v>General information on each production process</v>
      </c>
      <c r="C2033" s="1101" t="s">
        <v>4002</v>
      </c>
      <c r="F2033" s="822"/>
      <c r="G2033" s="822"/>
      <c r="H2033" s="822"/>
    </row>
    <row r="2034" spans="1:8" x14ac:dyDescent="0.35">
      <c r="A2034" s="820">
        <v>2028</v>
      </c>
      <c r="B2034" s="657" t="str">
        <f t="shared" si="32"/>
        <v>This block is used to input production amounts ("Activity levels") of each production process, and to provide the material balance in case goods produced in the installation are used as precursors in other production processes within the installation.</v>
      </c>
      <c r="C2034" s="657" t="s">
        <v>4202</v>
      </c>
      <c r="F2034" s="822"/>
      <c r="G2034" s="822"/>
      <c r="H2034" s="822"/>
    </row>
    <row r="2035" spans="1:8" x14ac:dyDescent="0.35">
      <c r="A2035" s="820">
        <v>2029</v>
      </c>
      <c r="B2035" s="1098" t="str">
        <f t="shared" si="32"/>
        <v>Note: According to the current text of Section A.4, point (b) of Annex III of the Implementing act, separate production processes must be defined where separate production routes are used for the same aggregated goods category.</v>
      </c>
      <c r="C2035" s="1098" t="s">
        <v>3998</v>
      </c>
      <c r="F2035" s="822"/>
      <c r="G2035" s="822"/>
      <c r="H2035" s="822"/>
    </row>
    <row r="2036" spans="1:8" x14ac:dyDescent="0.35">
      <c r="A2036" s="820">
        <v>2030</v>
      </c>
      <c r="B2036" s="657" t="str">
        <f t="shared" si="32"/>
        <v>Because production processes can be defined in sheet "A_InstData" in a very flexible way, it is not possible to automatically select the appropriate production route here. Please enter zero for routes that do not apply in your installation's situation.</v>
      </c>
      <c r="C2036" s="657" t="s">
        <v>4081</v>
      </c>
      <c r="F2036" s="822"/>
      <c r="G2036" s="822"/>
      <c r="H2036" s="822"/>
    </row>
    <row r="2037" spans="1:8" x14ac:dyDescent="0.35">
      <c r="A2037" s="820">
        <v>2031</v>
      </c>
      <c r="B2037" s="657" t="str">
        <f t="shared" si="32"/>
        <v>Under point ii. the share put on the market is displayed for control purposes. Furthermore point iii. tells you if this is the complete amount (100%) of product. If it is 100%, the next section (consumed within the installation) is not relevant.</v>
      </c>
      <c r="C2037" s="657" t="s">
        <v>3999</v>
      </c>
      <c r="F2037" s="822"/>
      <c r="G2037" s="822"/>
      <c r="H2037" s="822"/>
    </row>
    <row r="2038" spans="1:8" x14ac:dyDescent="0.35">
      <c r="A2038" s="820">
        <v>2032</v>
      </c>
      <c r="B2038" s="651" t="str">
        <f t="shared" si="32"/>
        <v>Please provide here the total amount of goods that are consumed in each listed production process as input to be further processed into the goods produced in those processes. Please do not leave any yellow cells empty. Enter zero ("0") if the good is not consumed by the specific process. Where all of the goods are reported as placed on the market under point b), this section will be greyed out and no inputs are required here.</v>
      </c>
      <c r="C2038" s="651" t="s">
        <v>4000</v>
      </c>
      <c r="F2038" s="822"/>
      <c r="G2038" s="822"/>
      <c r="H2038" s="822"/>
    </row>
    <row r="2039" spans="1:8" x14ac:dyDescent="0.35">
      <c r="A2039" s="820">
        <v>2033</v>
      </c>
      <c r="B2039" s="656" t="str">
        <f t="shared" si="32"/>
        <v>Please provide here the total amount of goods that are consumed in production processes within the installation which produce goods that are not covered by the scope of the CBAM. Do not leave empty, but enter 0 if applicable.</v>
      </c>
      <c r="C2039" s="656" t="s">
        <v>4001</v>
      </c>
      <c r="F2039" s="822"/>
      <c r="G2039" s="822"/>
      <c r="H2039" s="822"/>
    </row>
    <row r="2040" spans="1:8" x14ac:dyDescent="0.35">
      <c r="A2040" s="820">
        <v>2034</v>
      </c>
      <c r="B2040" s="651" t="str">
        <f t="shared" si="32"/>
        <v>This block is used for entering parameters necessary to calculate attributed emissions of the production process in accordance with the Implementing Act, Annex III section F.1.</v>
      </c>
      <c r="C2040" s="651" t="s">
        <v>4003</v>
      </c>
      <c r="F2040" s="822"/>
      <c r="G2040" s="822"/>
      <c r="H2040" s="822"/>
    </row>
    <row r="2041" spans="1:8" x14ac:dyDescent="0.35">
      <c r="A2041" s="820">
        <v>2035</v>
      </c>
      <c r="B2041" s="657" t="str">
        <f t="shared" si="32"/>
        <v>Waste gases are particularly relevant in integrated iron &amp; steel production. They are flue gases containing high concentrations of incompletely oxidised carbon, for example, any coke oven gas imported into the blast furnace, or blast furnace gas exported from the production process to produce electricity.</v>
      </c>
      <c r="C2041" s="657" t="s">
        <v>4004</v>
      </c>
      <c r="F2041" s="822"/>
      <c r="G2041" s="822"/>
      <c r="H2041" s="822"/>
    </row>
    <row r="2042" spans="1:8" x14ac:dyDescent="0.35">
      <c r="A2042" s="820">
        <v>2036</v>
      </c>
      <c r="B2042" s="651" t="str">
        <f t="shared" si="32"/>
        <v>Please enter here the amount of direct emissions of the production process within the reporting period. Include all emissions directly linked to and therefore attributable to the production process taking into consideration the further provisions below.</v>
      </c>
      <c r="C2042" s="651" t="s">
        <v>4005</v>
      </c>
      <c r="F2042" s="822"/>
      <c r="G2042" s="822"/>
      <c r="H2042" s="822"/>
    </row>
    <row r="2043" spans="1:8" x14ac:dyDescent="0.35">
      <c r="A2043" s="820">
        <v>2037</v>
      </c>
      <c r="B2043" s="651" t="str">
        <f t="shared" si="32"/>
        <v>Emissions shall only be attributed to ONE production process reported for this installation. Values entered here must therefore NOT include any emissions linked to the production of the precursors that defined as another 'production process'. Otherwise the template would double-count the embedded emissions.</v>
      </c>
      <c r="C2043" s="651" t="s">
        <v>4006</v>
      </c>
      <c r="F2043" s="822"/>
      <c r="G2043" s="822"/>
      <c r="H2043" s="822"/>
    </row>
    <row r="2044" spans="1:8" x14ac:dyDescent="0.35">
      <c r="A2044" s="820">
        <v>2038</v>
      </c>
      <c r="B2044" s="651" t="str">
        <f t="shared" si="32"/>
        <v>Measureable heat (e.g. steam): Emissions associated with fuel input into boilers can be either included here as DirEm* or via the 'import of measurable heat' below, but must not be reported twice.</v>
      </c>
      <c r="C2044" s="651" t="s">
        <v>4007</v>
      </c>
      <c r="F2044" s="822"/>
      <c r="G2044" s="822"/>
      <c r="H2044" s="822"/>
    </row>
    <row r="2045" spans="1:8" x14ac:dyDescent="0.35">
      <c r="A2045" s="820">
        <v>2039</v>
      </c>
      <c r="B2045" s="651" t="str">
        <f t="shared" si="32"/>
        <v>If a boiler or CHP supplies heat to several production processes or other installations, the approach to report "imported heat" is preferred. If the heat is produced in a CHP, the emissions have to be split between heat and electricity. The CHP Tool can help in calculating this split.</v>
      </c>
      <c r="C2045" s="651" t="s">
        <v>4008</v>
      </c>
      <c r="F2045" s="822"/>
      <c r="G2045" s="822"/>
      <c r="H2045" s="822"/>
    </row>
    <row r="2046" spans="1:8" x14ac:dyDescent="0.35">
      <c r="A2046" s="820">
        <v>2040</v>
      </c>
      <c r="B2046" s="651" t="str">
        <f t="shared" si="32"/>
        <v>Please enter here the amounts of net measurable heat (e.g. steam) being imported to (e.g. from connected heat supplying installations) or exported from the production process (e.g. heat recovery from the furnace and exported from the production process).</v>
      </c>
      <c r="C2046" s="651" t="s">
        <v>4009</v>
      </c>
      <c r="F2046" s="822"/>
      <c r="G2046" s="822"/>
      <c r="H2046" s="822"/>
    </row>
    <row r="2047" spans="1:8" x14ac:dyDescent="0.35">
      <c r="A2047" s="820">
        <v>2041</v>
      </c>
      <c r="B2047" s="651" t="str">
        <f t="shared" si="32"/>
        <v>For the emission factor (EF) of the heat, please take into account the efficiency of the boiler. For example: The EF of the fuel from which the heat is produced is 96 t CO2/TJ; the boiler efficiency is 90%. Therefore, the EF to be reported here would be 96 divided by 90% = 106.67 t CO2/TJ.</v>
      </c>
      <c r="C2047" s="651" t="s">
        <v>4010</v>
      </c>
      <c r="F2047" s="822"/>
      <c r="G2047" s="822"/>
      <c r="H2047" s="822"/>
    </row>
    <row r="2048" spans="1:8" x14ac:dyDescent="0.35">
      <c r="A2048" s="820">
        <v>2042</v>
      </c>
      <c r="B2048" s="651" t="str">
        <f t="shared" si="32"/>
        <v>Where the EF of exported heat is unknown or not clearly defined (e.g. heat recovery from furnaces or from exothermic chemical processes), the standard emission factor of the fuel most commonly used in the country and industrial sector, assuming a boiler efficiency of 90%, should be used.</v>
      </c>
      <c r="C2048" s="651" t="s">
        <v>4011</v>
      </c>
      <c r="F2048" s="822"/>
      <c r="G2048" s="822"/>
      <c r="H2048" s="822"/>
    </row>
    <row r="2049" spans="1:8" x14ac:dyDescent="0.35">
      <c r="A2049" s="820">
        <v>2043</v>
      </c>
      <c r="B2049" s="651" t="str">
        <f t="shared" si="32"/>
        <v>Further to the waste gas related provisions described above under DirEm*, please provide here the net amounts of waste gases imported from other processes or installations and consumed in this production process, as well as any amounts of waste gases exported from and consumed outside the production process.</v>
      </c>
      <c r="C2049" s="651" t="s">
        <v>4012</v>
      </c>
      <c r="F2049" s="822"/>
      <c r="G2049" s="822"/>
      <c r="H2049" s="822"/>
    </row>
    <row r="2050" spans="1:8" x14ac:dyDescent="0.35">
      <c r="A2050" s="820">
        <v>2044</v>
      </c>
      <c r="B2050" s="651" t="str">
        <f t="shared" si="32"/>
        <v>The emission factor of the waste gases will not impact the emissions attributed to this production process, due to the special rules for waste gases. Their input here is therefore optional.</v>
      </c>
      <c r="C2050" s="651" t="s">
        <v>4013</v>
      </c>
      <c r="F2050" s="822"/>
      <c r="G2050" s="822"/>
      <c r="H2050" s="822"/>
    </row>
    <row r="2051" spans="1:8" x14ac:dyDescent="0.35">
      <c r="A2051" s="820">
        <v>2045</v>
      </c>
      <c r="B2051" s="651" t="str">
        <f t="shared" si="32"/>
        <v>Please enter the weighted average emission factor of the electricity consumed using one of the methods for determination of this factor listed below (referencing the applicable section in Annex III of the Implementing Act).</v>
      </c>
      <c r="C2051" s="651" t="s">
        <v>4014</v>
      </c>
      <c r="F2051" s="822"/>
      <c r="G2051" s="822"/>
      <c r="H2051" s="822"/>
    </row>
    <row r="2052" spans="1:8" x14ac:dyDescent="0.35">
      <c r="A2052" s="820">
        <v>2046</v>
      </c>
      <c r="B2052" s="651" t="str">
        <f t="shared" si="32"/>
        <v>The EF of the electricity can be determined by the following methods:</v>
      </c>
      <c r="C2052" s="651" t="s">
        <v>3931</v>
      </c>
      <c r="F2052" s="822"/>
      <c r="G2052" s="822"/>
      <c r="H2052" s="822"/>
    </row>
    <row r="2053" spans="1:8" x14ac:dyDescent="0.35">
      <c r="A2053" s="820">
        <v>2047</v>
      </c>
      <c r="B2053" s="657" t="str">
        <f t="shared" si="32"/>
        <v>EF based on IEA data, provided by the European Commission</v>
      </c>
      <c r="C2053" s="657" t="s">
        <v>3932</v>
      </c>
      <c r="F2053" s="822"/>
      <c r="G2053" s="822"/>
      <c r="H2053" s="822"/>
    </row>
    <row r="2054" spans="1:8" x14ac:dyDescent="0.35">
      <c r="A2054" s="820">
        <v>2048</v>
      </c>
      <c r="B2054" s="651" t="str">
        <f t="shared" si="32"/>
        <v>EF based on other publicly available data representing either the average EF or the CO2 emission factor as in section 4.3 of Annex IV of the CBAM Regulation.</v>
      </c>
      <c r="C2054" s="651" t="s">
        <v>4015</v>
      </c>
      <c r="F2054" s="822"/>
      <c r="G2054" s="822"/>
      <c r="H2054" s="822"/>
    </row>
    <row r="2055" spans="1:8" x14ac:dyDescent="0.35">
      <c r="A2055" s="820">
        <v>2049</v>
      </c>
      <c r="B2055" s="651" t="str">
        <f t="shared" si="32"/>
        <v>EF of electricity produced in the installation other than by cogeneration</v>
      </c>
      <c r="C2055" s="651" t="s">
        <v>3933</v>
      </c>
      <c r="F2055" s="822"/>
      <c r="G2055" s="822"/>
      <c r="H2055" s="822"/>
    </row>
    <row r="2056" spans="1:8" x14ac:dyDescent="0.35">
      <c r="A2056" s="820">
        <v>2050</v>
      </c>
      <c r="B2056" s="651" t="str">
        <f t="shared" si="32"/>
        <v>EF of electricity produced in the installation by cogeneration</v>
      </c>
      <c r="C2056" s="651" t="s">
        <v>3934</v>
      </c>
      <c r="F2056" s="822"/>
      <c r="G2056" s="822"/>
      <c r="H2056" s="822"/>
    </row>
    <row r="2057" spans="1:8" x14ac:dyDescent="0.35">
      <c r="A2057" s="820">
        <v>2051</v>
      </c>
      <c r="B2057" s="651" t="str">
        <f t="shared" si="32"/>
        <v>EF of electricity produced outside the installation (received from a source with a direct technical link)</v>
      </c>
      <c r="C2057" s="651" t="s">
        <v>3935</v>
      </c>
      <c r="F2057" s="822"/>
      <c r="G2057" s="822"/>
      <c r="H2057" s="822"/>
    </row>
    <row r="2058" spans="1:8" x14ac:dyDescent="0.35">
      <c r="A2058" s="820">
        <v>2052</v>
      </c>
      <c r="B2058" s="651" t="str">
        <f t="shared" si="32"/>
        <v>EF of electricity produced outside the installation (received from a producer under a power purchase agreement)</v>
      </c>
      <c r="C2058" s="651" t="s">
        <v>3936</v>
      </c>
      <c r="F2058" s="822"/>
      <c r="G2058" s="822"/>
      <c r="H2058" s="822"/>
    </row>
    <row r="2059" spans="1:8" x14ac:dyDescent="0.35">
      <c r="A2059" s="820">
        <v>2053</v>
      </c>
      <c r="B2059" s="1097" t="str">
        <f t="shared" si="32"/>
        <v>In sheet "E_PurchPrec" the required data inputs are necessary to calculate the embedded emissions of the goods produced in the installation using purchased precursors. The sheet serves for listing the information required in line with section E of Annex III of the Implementing Act.</v>
      </c>
      <c r="C2059" s="1097" t="s">
        <v>4017</v>
      </c>
      <c r="F2059" s="822"/>
      <c r="G2059" s="822"/>
      <c r="H2059" s="822"/>
    </row>
    <row r="2060" spans="1:8" x14ac:dyDescent="0.35">
      <c r="A2060" s="820">
        <v>2054</v>
      </c>
      <c r="B2060" s="651" t="str">
        <f t="shared" si="32"/>
        <v xml:space="preserve">Please provide here the total amount of purchased precursor consumed in the reporting period, distinguishing amounts by the relevant production route by which the precursor was produced, if known. </v>
      </c>
      <c r="C2060" s="651" t="s">
        <v>4019</v>
      </c>
      <c r="F2060" s="822"/>
      <c r="G2060" s="822"/>
      <c r="H2060" s="822"/>
    </row>
    <row r="2061" spans="1:8" x14ac:dyDescent="0.35">
      <c r="A2061" s="820">
        <v>2055</v>
      </c>
      <c r="B2061" s="651" t="str">
        <f t="shared" si="32"/>
        <v>Under this point, please provide information how much of the precursor has been consumed during the reporting period in each production process within the installation.</v>
      </c>
      <c r="C2061" s="651" t="s">
        <v>4020</v>
      </c>
      <c r="F2061" s="822"/>
      <c r="G2061" s="822"/>
      <c r="H2061" s="822"/>
    </row>
    <row r="2062" spans="1:8" x14ac:dyDescent="0.35">
      <c r="A2062" s="820">
        <v>2056</v>
      </c>
      <c r="B2062" s="651" t="str">
        <f t="shared" si="32"/>
        <v>For completeness of data, please enter here the amount of the precursor not used for the production of CBAM goods within the installation. This includes transfer to other installations or sale of the precursor.</v>
      </c>
      <c r="C2062" s="651" t="s">
        <v>4022</v>
      </c>
      <c r="F2062" s="822"/>
      <c r="G2062" s="822"/>
      <c r="H2062" s="822"/>
    </row>
    <row r="2063" spans="1:8" x14ac:dyDescent="0.35">
      <c r="A2063" s="820">
        <v>2057</v>
      </c>
      <c r="B2063" s="651" t="str">
        <f t="shared" si="32"/>
        <v>This is an automatic calculation "a-(b+c)". Please ensure that this value is zero.</v>
      </c>
      <c r="C2063" s="651" t="s">
        <v>4023</v>
      </c>
      <c r="F2063" s="822"/>
      <c r="G2063" s="822"/>
      <c r="H2063" s="822"/>
    </row>
    <row r="2064" spans="1:8" x14ac:dyDescent="0.35">
      <c r="A2064" s="820">
        <v>2058</v>
      </c>
      <c r="B2064" s="656" t="str">
        <f t="shared" si="32"/>
        <v>Please enter here the values obtained from the supplier of the precursor, and the data source given by the supplier.</v>
      </c>
      <c r="C2064" s="656" t="s">
        <v>4028</v>
      </c>
      <c r="F2064" s="822"/>
      <c r="G2064" s="822"/>
      <c r="H2064" s="822"/>
    </row>
    <row r="2065" spans="1:8" x14ac:dyDescent="0.35">
      <c r="A2065" s="820">
        <v>2059</v>
      </c>
      <c r="B2065" s="1098" t="str">
        <f t="shared" si="32"/>
        <v>As information source you may choose whether the producer has determined (measured) the data, or whether the default value provided by the European Commission was used.</v>
      </c>
      <c r="C2065" s="1098" t="s">
        <v>4029</v>
      </c>
      <c r="F2065" s="822"/>
      <c r="G2065" s="822"/>
      <c r="H2065" s="822"/>
    </row>
    <row r="2066" spans="1:8" x14ac:dyDescent="0.35">
      <c r="A2066" s="820">
        <v>2060</v>
      </c>
      <c r="B2066" s="651" t="str">
        <f t="shared" si="32"/>
        <v>Please enter the specific direct embedded emissions, i.e. the embedded emissions value per tonne of precursor. If obtained from the supplier, use the most recent available data. Values are to be expressed as tCO2e per tonne precursor, i.e. covering all greenhouse gases relevant.</v>
      </c>
      <c r="C2066" s="651" t="s">
        <v>4032</v>
      </c>
      <c r="F2066" s="822"/>
      <c r="G2066" s="822"/>
      <c r="H2066" s="822"/>
    </row>
    <row r="2067" spans="1:8" x14ac:dyDescent="0.35">
      <c r="A2067" s="820">
        <v>2061</v>
      </c>
      <c r="B2067" s="651" t="str">
        <f t="shared" si="32"/>
        <v>Please enter the value for the electricity consumption per tonne of precursor. If obtained from the supplier, use the most recent available data.</v>
      </c>
      <c r="C2067" s="651" t="s">
        <v>4030</v>
      </c>
      <c r="F2067" s="822"/>
      <c r="G2067" s="822"/>
      <c r="H2067" s="822"/>
    </row>
    <row r="2068" spans="1:8" x14ac:dyDescent="0.35">
      <c r="A2068" s="820">
        <v>2062</v>
      </c>
      <c r="B2068" s="651" t="str">
        <f t="shared" si="32"/>
        <v>Please enter the applicable emission factor (EF) for electricity used for the production of the precursor. The following options can be chosen as data source:</v>
      </c>
      <c r="C2068" s="651" t="s">
        <v>4031</v>
      </c>
      <c r="F2068" s="822"/>
      <c r="G2068" s="822"/>
      <c r="H2068" s="822"/>
    </row>
    <row r="2069" spans="1:8" x14ac:dyDescent="0.35">
      <c r="A2069" s="820">
        <v>2063</v>
      </c>
      <c r="B2069" s="651" t="str">
        <f t="shared" si="32"/>
        <v>The specific embedded indirect emissions are calculated by the template as electricity consumed times the emission factor.</v>
      </c>
      <c r="C2069" s="651" t="s">
        <v>4203</v>
      </c>
      <c r="F2069" s="822"/>
      <c r="G2069" s="822"/>
      <c r="H2069" s="822"/>
    </row>
    <row r="2070" spans="1:8" x14ac:dyDescent="0.35">
      <c r="A2070" s="820">
        <v>2064</v>
      </c>
      <c r="B2070" s="652" t="str">
        <f t="shared" si="32"/>
        <v>If you used default values for at least one parameter, you have to provide a justification for the use of the default value. Please select one from the drop-down list.</v>
      </c>
      <c r="C2070" s="652" t="s">
        <v>4033</v>
      </c>
      <c r="F2070" s="822"/>
      <c r="G2070" s="822"/>
      <c r="H2070" s="822"/>
    </row>
    <row r="2071" spans="1:8" x14ac:dyDescent="0.35">
      <c r="A2071" s="820">
        <v>2065</v>
      </c>
      <c r="B2071" s="1097" t="str">
        <f t="shared" si="32"/>
        <v>Information should be provided for each type of good imported into the EU. The type of goods should be listed as disaggregated as possible, i.e. splitting type of goods by their CN codes using as many digits as possible.</v>
      </c>
      <c r="C2071" s="1097" t="s">
        <v>4044</v>
      </c>
      <c r="F2071" s="822"/>
      <c r="G2071" s="822"/>
      <c r="H2071" s="822"/>
    </row>
    <row r="2072" spans="1:8" x14ac:dyDescent="0.35">
      <c r="A2072" s="820">
        <v>2066</v>
      </c>
      <c r="B2072" s="651" t="str">
        <f t="shared" si="32"/>
        <v>The full text name of the selected CN category will be displayed here automatically after selecting the CN code.</v>
      </c>
      <c r="C2072" s="651" t="s">
        <v>4045</v>
      </c>
      <c r="F2072" s="822"/>
      <c r="G2072" s="822"/>
      <c r="H2072" s="822"/>
    </row>
    <row r="2073" spans="1:8" x14ac:dyDescent="0.35">
      <c r="A2073" s="820">
        <v>2067</v>
      </c>
      <c r="B2073" s="656" t="str">
        <f t="shared" si="32"/>
        <v>Data related to the specific embedded emissions (SEE, direct/indirect/total) will be displayed automatically based on entries in previous sheets, including the embedded electricity and the source based on which the emission factor (EF) of the electricity consumption is determined.</v>
      </c>
      <c r="C2073" s="656" t="s">
        <v>4046</v>
      </c>
      <c r="F2073" s="822"/>
      <c r="G2073" s="822"/>
      <c r="H2073" s="822"/>
    </row>
    <row r="2074" spans="1:8" x14ac:dyDescent="0.35">
      <c r="A2074" s="820">
        <v>2068</v>
      </c>
      <c r="B2074" s="657" t="str">
        <f t="shared" si="32"/>
        <v>The unit for all SEE values is t CO2e per tonne of product. For electricity as product SEE is in the unit of t CO2e per MWh.</v>
      </c>
      <c r="C2074" s="657" t="s">
        <v>4047</v>
      </c>
      <c r="F2074" s="822"/>
      <c r="G2074" s="822"/>
      <c r="H2074" s="822"/>
    </row>
    <row r="2075" spans="1:8" x14ac:dyDescent="0.35">
      <c r="A2075" s="820">
        <v>2069</v>
      </c>
      <c r="B2075" s="656" t="str">
        <f t="shared" si="32"/>
        <v>The source of the emission factor for electricity. The following options (based on the related sections of Annex III of the Implementing Act) are available:</v>
      </c>
      <c r="C2075" s="656" t="s">
        <v>4048</v>
      </c>
      <c r="F2075" s="822"/>
      <c r="G2075" s="822"/>
      <c r="H2075" s="822"/>
    </row>
    <row r="2076" spans="1:8" x14ac:dyDescent="0.35">
      <c r="A2076" s="820">
        <v>2070</v>
      </c>
      <c r="B2076" s="656" t="str">
        <f t="shared" si="32"/>
        <v>Specific embedded electricity consumption of the production process, i.e. including any embedded electricity consumption in other production processes within the installation and purchased precursors.</v>
      </c>
      <c r="C2076" s="656" t="s">
        <v>4084</v>
      </c>
      <c r="F2076" s="822"/>
      <c r="G2076" s="822"/>
      <c r="H2076" s="822"/>
    </row>
    <row r="2077" spans="1:8" x14ac:dyDescent="0.35">
      <c r="A2077" s="820">
        <v>2071</v>
      </c>
      <c r="B2077" s="651" t="str">
        <f t="shared" si="32"/>
        <v>For steel goods, the identification number of the specific steel mill (also known as the "heat number") where a particular batch of raw materials was produced, where known. Information provided here may just refer to the parts of this number identifying the steel mill, not the individual batches as well.</v>
      </c>
      <c r="C2077" s="651" t="s">
        <v>3918</v>
      </c>
      <c r="F2077" s="822"/>
      <c r="G2077" s="822"/>
      <c r="H2077" s="822"/>
    </row>
    <row r="2078" spans="1:8" x14ac:dyDescent="0.35">
      <c r="A2078" s="820">
        <v>2072</v>
      </c>
      <c r="B2078" s="651" t="str">
        <f t="shared" si="32"/>
        <v>This parameter is relevant for the production of cement. Please provide here the clinker factor (i.e. clinker to cement ratio), expressed as mass % of clinker content in the cement.</v>
      </c>
      <c r="C2078" s="651" t="s">
        <v>4049</v>
      </c>
      <c r="F2078" s="822"/>
      <c r="G2078" s="822"/>
      <c r="H2078" s="822"/>
    </row>
    <row r="2079" spans="1:8" x14ac:dyDescent="0.35">
      <c r="A2079" s="820">
        <v>2073</v>
      </c>
      <c r="B2079" s="651" t="str">
        <f t="shared" si="32"/>
        <v>This parameter is relevant for the production of ammonia. Please provide here the concentration of ammonia, if in hydrous solution, expressed as %, or enter 100% for pure/anhydrous ammonia.</v>
      </c>
      <c r="C2079" s="651" t="s">
        <v>4050</v>
      </c>
      <c r="F2079" s="822"/>
      <c r="G2079" s="822"/>
      <c r="H2079" s="822"/>
    </row>
    <row r="2080" spans="1:8" ht="12" x14ac:dyDescent="0.35">
      <c r="A2080" s="820">
        <v>2074</v>
      </c>
      <c r="B2080" s="658" t="str">
        <f t="shared" si="32"/>
        <v>General note:</v>
      </c>
      <c r="C2080" s="658" t="s">
        <v>4051</v>
      </c>
      <c r="F2080" s="822"/>
      <c r="G2080" s="822"/>
      <c r="H2080" s="822"/>
    </row>
    <row r="2081" spans="1:8" x14ac:dyDescent="0.35">
      <c r="A2081" s="820">
        <v>2075</v>
      </c>
      <c r="B2081" s="651" t="str">
        <f t="shared" ref="B2081:B2117" si="33">IFERROR(INDEX(C2081:M2081,$A$3-2),$C2081)</f>
        <v>Based on your input on the share of embedded emissions covered by a carbon price, the related part of the specific embedded emissions of the good are displayed here in t CO2e per tonne product (or per MWh electricity).</v>
      </c>
      <c r="C2081" s="651" t="s">
        <v>4053</v>
      </c>
      <c r="F2081" s="822"/>
      <c r="G2081" s="822"/>
      <c r="H2081" s="822"/>
    </row>
    <row r="2082" spans="1:8" x14ac:dyDescent="0.35">
      <c r="A2082" s="820">
        <v>2076</v>
      </c>
      <c r="B2082" s="651" t="str">
        <f t="shared" si="33"/>
        <v>Please select the code for the applicable currency in which the carbon price is being due. The next column displays the full name of the currency.</v>
      </c>
      <c r="C2082" s="651" t="s">
        <v>4052</v>
      </c>
      <c r="F2082" s="822"/>
      <c r="G2082" s="822"/>
      <c r="H2082" s="822"/>
    </row>
    <row r="2083" spans="1:8" x14ac:dyDescent="0.35">
      <c r="A2083" s="820">
        <v>2077</v>
      </c>
      <c r="B2083" s="651" t="str">
        <f t="shared" si="33"/>
        <v>Please enter here the carbon price due per tonne or MWh (as applicable) of product in the relevant currency. This value shall not include any rebate such as free allocation or financial compensation. Where the tool in sheet F was used, values should equal results displayed in column L there.</v>
      </c>
      <c r="C2083" s="651" t="s">
        <v>3909</v>
      </c>
      <c r="F2083" s="822"/>
      <c r="G2083" s="822"/>
      <c r="H2083" s="822"/>
    </row>
    <row r="2084" spans="1:8" x14ac:dyDescent="0.35">
      <c r="A2084" s="820">
        <v>2078</v>
      </c>
      <c r="B2084" s="651" t="str">
        <f t="shared" si="33"/>
        <v>Based on your input on the share of embedded emissions covered by a carbon price rebate, the related part of the specific embedded emissions of the good are displayed here in t CO2e per tonne product (or per MWh electricity).</v>
      </c>
      <c r="C2084" s="651" t="s">
        <v>4054</v>
      </c>
      <c r="F2084" s="822"/>
      <c r="G2084" s="822"/>
      <c r="H2084" s="822"/>
    </row>
    <row r="2085" spans="1:8" x14ac:dyDescent="0.35">
      <c r="A2085" s="820">
        <v>2079</v>
      </c>
      <c r="B2085" s="651" t="str">
        <f t="shared" si="33"/>
        <v>Please enter here the rebate per tonne or MWh (as applicable) of product covered by the rebate in the relevant currency. Where the tool in sheet F was used, values should equal results displayed in column M there.</v>
      </c>
      <c r="C2085" s="651" t="s">
        <v>3910</v>
      </c>
      <c r="F2085" s="822"/>
      <c r="G2085" s="822"/>
      <c r="H2085" s="822"/>
    </row>
    <row r="2086" spans="1:8" x14ac:dyDescent="0.35">
      <c r="A2086" s="820">
        <v>2080</v>
      </c>
      <c r="B2086" s="659" t="str">
        <f t="shared" si="33"/>
        <v>The result is the effective carbon price due per tonne of CO2 equivalent, i.e. the carbon price due less any rebates. Where the tool in sheet F was used, values should equal results displayed in column N there.</v>
      </c>
      <c r="C2086" s="659" t="s">
        <v>3911</v>
      </c>
      <c r="F2086" s="822"/>
      <c r="G2086" s="822"/>
      <c r="H2086" s="822"/>
    </row>
    <row r="2087" spans="1:8" ht="13" x14ac:dyDescent="0.3">
      <c r="A2087" s="820">
        <v>2081</v>
      </c>
      <c r="B2087" s="1102" t="str">
        <f t="shared" si="33"/>
        <v>Activity level</v>
      </c>
      <c r="C2087" s="1102" t="s">
        <v>4082</v>
      </c>
      <c r="F2087" s="822"/>
      <c r="G2087" s="822"/>
      <c r="H2087" s="822"/>
    </row>
    <row r="2088" spans="1:8" ht="13" x14ac:dyDescent="0.3">
      <c r="A2088" s="820">
        <v>2082</v>
      </c>
      <c r="B2088" s="1102" t="str">
        <f t="shared" si="33"/>
        <v>unit</v>
      </c>
      <c r="C2088" s="1102" t="s">
        <v>4083</v>
      </c>
      <c r="F2088" s="822"/>
      <c r="G2088" s="822"/>
      <c r="H2088" s="822"/>
    </row>
    <row r="2089" spans="1:8" ht="12" x14ac:dyDescent="0.35">
      <c r="A2089" s="820">
        <v>2083</v>
      </c>
      <c r="B2089" s="1103" t="str">
        <f t="shared" si="33"/>
        <v>Example: a precursor has specific embedded emissions of 0,8 tonnes of CO2e per tonne. The 'mass share' is 0,3 tonnes of precursor consumed per tonne of production from the relevant 'production process'. Under the block of the relevant 'production process', the value for 'SEE' for this precursor will therefore be displayed as 0,24 tonnes CO2e per tonne.</v>
      </c>
      <c r="C2089" s="1103" t="s">
        <v>4043</v>
      </c>
      <c r="F2089" s="822"/>
      <c r="G2089" s="822"/>
      <c r="H2089" s="822"/>
    </row>
    <row r="2090" spans="1:8" ht="12" x14ac:dyDescent="0.35">
      <c r="A2090" s="820">
        <v>2084</v>
      </c>
      <c r="B2090" s="1103" t="str">
        <f t="shared" si="33"/>
        <v>Specific embedded electricity consumption the production process, including any electricity embedded in any precursors consumed in the process.</v>
      </c>
      <c r="C2090" s="1103" t="s">
        <v>3924</v>
      </c>
      <c r="F2090" s="822"/>
      <c r="G2090" s="822"/>
      <c r="H2090" s="822"/>
    </row>
    <row r="2091" spans="1:8" ht="12.5" x14ac:dyDescent="0.25">
      <c r="A2091" s="820">
        <v>2085</v>
      </c>
      <c r="B2091" s="2" t="str">
        <f t="shared" si="33"/>
        <v>Transitional</v>
      </c>
      <c r="C2091" s="2" t="s">
        <v>131</v>
      </c>
      <c r="F2091" s="822"/>
      <c r="G2091" s="822"/>
      <c r="H2091" s="822"/>
    </row>
    <row r="2092" spans="1:8" ht="12.5" x14ac:dyDescent="0.25">
      <c r="A2092" s="820">
        <v>2086</v>
      </c>
      <c r="B2092" s="1078" t="str">
        <f t="shared" si="33"/>
        <v>Definitive</v>
      </c>
      <c r="C2092" s="1078" t="s">
        <v>132</v>
      </c>
      <c r="F2092" s="822"/>
      <c r="G2092" s="822"/>
      <c r="H2092" s="822"/>
    </row>
    <row r="2093" spans="1:8" ht="12.5" x14ac:dyDescent="0.25">
      <c r="A2093" s="820">
        <v>2087</v>
      </c>
      <c r="B2093" s="1068" t="str">
        <f t="shared" si="33"/>
        <v>h/period</v>
      </c>
      <c r="C2093" s="1068" t="s">
        <v>3981</v>
      </c>
      <c r="F2093" s="822"/>
      <c r="G2093" s="822"/>
      <c r="H2093" s="822"/>
    </row>
    <row r="2094" spans="1:8" ht="12.5" x14ac:dyDescent="0.25">
      <c r="A2094" s="820">
        <v>2088</v>
      </c>
      <c r="B2094" s="1032" t="str">
        <f t="shared" si="33"/>
        <v>Inconsistent!</v>
      </c>
      <c r="C2094" s="1032" t="s">
        <v>4066</v>
      </c>
      <c r="F2094" s="822"/>
      <c r="G2094" s="822"/>
      <c r="H2094" s="822"/>
    </row>
    <row r="2095" spans="1:8" ht="12.5" x14ac:dyDescent="0.25">
      <c r="A2095" s="820">
        <v>2089</v>
      </c>
      <c r="B2095" s="1032" t="str">
        <f t="shared" si="33"/>
        <v>Unknown</v>
      </c>
      <c r="C2095" s="1032" t="s">
        <v>4026</v>
      </c>
      <c r="F2095" s="822"/>
      <c r="G2095" s="822"/>
      <c r="H2095" s="822"/>
    </row>
    <row r="2096" spans="1:8" ht="13" x14ac:dyDescent="0.3">
      <c r="A2096" s="820">
        <v>2090</v>
      </c>
      <c r="B2096" s="1079" t="str">
        <f t="shared" si="33"/>
        <v>Indirect emissions relevant?</v>
      </c>
      <c r="C2096" s="1079" t="s">
        <v>30</v>
      </c>
      <c r="F2096" s="822"/>
      <c r="G2096" s="822"/>
      <c r="H2096" s="822"/>
    </row>
    <row r="2097" spans="1:8" ht="13" x14ac:dyDescent="0.3">
      <c r="A2097" s="820">
        <v>2091</v>
      </c>
      <c r="B2097" s="1079" t="str">
        <f t="shared" si="33"/>
        <v>Relevant precursors</v>
      </c>
      <c r="C2097" s="1079" t="s">
        <v>32</v>
      </c>
      <c r="F2097" s="822"/>
      <c r="G2097" s="822"/>
      <c r="H2097" s="822"/>
    </row>
    <row r="2098" spans="1:8" ht="13" x14ac:dyDescent="0.3">
      <c r="A2098" s="820">
        <v>2092</v>
      </c>
      <c r="B2098" s="375" t="str">
        <f t="shared" si="33"/>
        <v>CBAM good</v>
      </c>
      <c r="C2098" s="375" t="s">
        <v>23</v>
      </c>
      <c r="F2098" s="822"/>
      <c r="G2098" s="822"/>
      <c r="H2098" s="822"/>
    </row>
    <row r="2099" spans="1:8" ht="13" x14ac:dyDescent="0.3">
      <c r="A2099" s="820">
        <v>2093</v>
      </c>
      <c r="B2099" s="375" t="str">
        <f t="shared" si="33"/>
        <v>Indir.em relevant? (definitive)</v>
      </c>
      <c r="C2099" s="375" t="s">
        <v>3995</v>
      </c>
      <c r="F2099" s="822"/>
      <c r="G2099" s="822"/>
      <c r="H2099" s="822"/>
    </row>
    <row r="2100" spans="1:8" ht="13" x14ac:dyDescent="0.3">
      <c r="A2100" s="820">
        <v>2094</v>
      </c>
      <c r="B2100" s="375" t="str">
        <f t="shared" si="33"/>
        <v>Indir.em relevant? (transitional</v>
      </c>
      <c r="C2100" s="375" t="s">
        <v>3996</v>
      </c>
      <c r="F2100" s="822"/>
      <c r="G2100" s="822"/>
      <c r="H2100" s="822"/>
    </row>
    <row r="2101" spans="1:8" ht="13" x14ac:dyDescent="0.3">
      <c r="A2101" s="820">
        <v>2095</v>
      </c>
      <c r="B2101" s="375" t="str">
        <f t="shared" si="33"/>
        <v>Production route relevant?</v>
      </c>
      <c r="C2101" s="375" t="s">
        <v>29</v>
      </c>
      <c r="F2101" s="822"/>
      <c r="G2101" s="822"/>
      <c r="H2101" s="822"/>
    </row>
    <row r="2102" spans="1:8" ht="13" x14ac:dyDescent="0.3">
      <c r="A2102" s="820">
        <v>2096</v>
      </c>
      <c r="B2102" s="375" t="str">
        <f t="shared" si="33"/>
        <v>Address</v>
      </c>
      <c r="C2102" s="375" t="s">
        <v>26</v>
      </c>
      <c r="F2102" s="822"/>
      <c r="G2102" s="822"/>
      <c r="H2102" s="822"/>
    </row>
    <row r="2103" spans="1:8" ht="13" x14ac:dyDescent="0.3">
      <c r="A2103" s="820">
        <v>2097</v>
      </c>
      <c r="B2103" s="1079" t="str">
        <f t="shared" si="33"/>
        <v>Special parameters to be reported</v>
      </c>
      <c r="C2103" s="1079" t="s">
        <v>298</v>
      </c>
      <c r="F2103" s="822"/>
      <c r="G2103" s="822"/>
      <c r="H2103" s="822"/>
    </row>
    <row r="2104" spans="1:8" ht="15" customHeight="1" x14ac:dyDescent="0.35">
      <c r="A2104" s="820">
        <v>2098</v>
      </c>
      <c r="B2104" s="1139" t="str">
        <f t="shared" si="33"/>
        <v>Minor errors corrected:
Sheet a_contents: Broken hyperlinks fixed
Sheet A: Double reference to PP17 (section 5) corrected
Sheet E: Wrong guidance text under item v. corrected</v>
      </c>
      <c r="C2104" s="1139" t="s">
        <v>4213</v>
      </c>
      <c r="F2104" s="822"/>
      <c r="G2104" s="822"/>
      <c r="H2104" s="822"/>
    </row>
    <row r="2105" spans="1:8" x14ac:dyDescent="0.35">
      <c r="A2105" s="820">
        <v>2099</v>
      </c>
      <c r="B2105" s="821" t="str">
        <f t="shared" si="33"/>
        <v>Regional Emissions Trading System</v>
      </c>
      <c r="C2105" s="821" t="s">
        <v>4221</v>
      </c>
      <c r="F2105" s="822"/>
      <c r="G2105" s="822"/>
      <c r="H2105" s="822"/>
    </row>
    <row r="2106" spans="1:8" x14ac:dyDescent="0.35">
      <c r="A2106" s="820">
        <v>2100</v>
      </c>
      <c r="B2106" s="821" t="str">
        <f t="shared" si="33"/>
        <v>Carbon Levy</v>
      </c>
      <c r="C2106" s="821" t="s">
        <v>4223</v>
      </c>
      <c r="F2106" s="822"/>
      <c r="G2106" s="822"/>
      <c r="H2106" s="822"/>
    </row>
    <row r="2107" spans="1:8" x14ac:dyDescent="0.35">
      <c r="A2107" s="820">
        <v>2101</v>
      </c>
      <c r="B2107" s="821" t="str">
        <f t="shared" si="33"/>
        <v>Carbon Fee</v>
      </c>
      <c r="C2107" s="821" t="s">
        <v>4222</v>
      </c>
      <c r="F2107" s="822"/>
      <c r="G2107" s="822"/>
      <c r="H2107" s="822"/>
    </row>
    <row r="2108" spans="1:8" ht="12" x14ac:dyDescent="0.3">
      <c r="A2108" s="820">
        <v>2102</v>
      </c>
      <c r="B2108" s="628" t="str">
        <f t="shared" si="33"/>
        <v>Aluminium slabs, not alloyed, unwrought</v>
      </c>
      <c r="C2108" s="628" t="s">
        <v>4235</v>
      </c>
    </row>
    <row r="2109" spans="1:8" ht="12" x14ac:dyDescent="0.3">
      <c r="A2109" s="820">
        <v>2103</v>
      </c>
      <c r="B2109" s="628" t="str">
        <f t="shared" si="33"/>
        <v>Aluminium, not alloyed, unwrought (excl. slabs)</v>
      </c>
      <c r="C2109" s="628" t="s">
        <v>4238</v>
      </c>
    </row>
    <row r="2110" spans="1:8" ht="12" x14ac:dyDescent="0.3">
      <c r="A2110" s="820">
        <v>2104</v>
      </c>
      <c r="B2110" s="628" t="str">
        <f t="shared" si="33"/>
        <v>Unwrought aluminium alloys in the form of slabs</v>
      </c>
      <c r="C2110" s="628" t="s">
        <v>4241</v>
      </c>
    </row>
    <row r="2111" spans="1:8" ht="12" x14ac:dyDescent="0.3">
      <c r="A2111" s="820">
        <v>2105</v>
      </c>
      <c r="B2111" s="628" t="str">
        <f t="shared" si="33"/>
        <v>Unwrought aluminium alloys in the form of billets</v>
      </c>
      <c r="C2111" s="628" t="s">
        <v>4244</v>
      </c>
    </row>
    <row r="2112" spans="1:8" ht="12.5" x14ac:dyDescent="0.35">
      <c r="A2112" s="820">
        <v>2106</v>
      </c>
      <c r="B2112" s="166" t="str">
        <f t="shared" si="33"/>
        <v>Carbon price instrument:</v>
      </c>
      <c r="C2112" s="166" t="s">
        <v>4245</v>
      </c>
    </row>
    <row r="2113" spans="1:8" x14ac:dyDescent="0.35">
      <c r="A2113" s="820">
        <v>2107</v>
      </c>
      <c r="B2113" s="1141" t="str">
        <f t="shared" si="33"/>
        <v>Description and indication of legal act for the carbon price, and for possible rebate or other form of compensation obtained.</v>
      </c>
      <c r="C2113" s="1141" t="s">
        <v>4246</v>
      </c>
    </row>
    <row r="2114" spans="1:8" ht="12.5" x14ac:dyDescent="0.35">
      <c r="A2114" s="820">
        <v>2108</v>
      </c>
      <c r="B2114" s="1142" t="str">
        <f t="shared" si="33"/>
        <v>Any additional information:</v>
      </c>
      <c r="C2114" s="1142" t="s">
        <v>4247</v>
      </c>
    </row>
    <row r="2115" spans="1:8" x14ac:dyDescent="0.35">
      <c r="A2115" s="820">
        <v>2109</v>
      </c>
      <c r="B2115" s="1141" t="str">
        <f t="shared" si="33"/>
        <v>Any additional information you would like to provide to the reporting declarant.</v>
      </c>
      <c r="C2115" s="1141" t="s">
        <v>4248</v>
      </c>
    </row>
    <row r="2116" spans="1:8" ht="15" customHeight="1" x14ac:dyDescent="0.35">
      <c r="A2116" s="820">
        <v>2110</v>
      </c>
      <c r="B2116" s="1139" t="str">
        <f t="shared" si="33"/>
        <v>Minor revision of the CN code list, field for further information on carbon price instruments added</v>
      </c>
      <c r="C2116" s="1139" t="s">
        <v>4251</v>
      </c>
    </row>
    <row r="2117" spans="1:8" ht="13" x14ac:dyDescent="0.35">
      <c r="A2117" s="820">
        <v>2111</v>
      </c>
      <c r="B2117" s="227" t="str">
        <f t="shared" si="33"/>
        <v>Further information</v>
      </c>
      <c r="C2117" s="227" t="s">
        <v>4252</v>
      </c>
    </row>
    <row r="2118" spans="1:8" ht="14.5" customHeight="1" x14ac:dyDescent="0.35">
      <c r="A2118" s="820">
        <v>2112</v>
      </c>
      <c r="B2118" s="1151" t="str">
        <f t="shared" ref="B2118:B2125" si="34">IFERROR(INDEX(C2118:M2118,$A$3-2),$C2118)</f>
        <v>Conditional format bug in sheet Summary_Products corrected</v>
      </c>
      <c r="C2118" s="1151" t="s">
        <v>4253</v>
      </c>
    </row>
    <row r="2119" spans="1:8" x14ac:dyDescent="0.25">
      <c r="A2119" s="820">
        <v>2113</v>
      </c>
      <c r="B2119" s="1153" t="str">
        <f t="shared" si="34"/>
        <v>Remark on how to enter default values for indirect embedded emissions</v>
      </c>
      <c r="C2119" s="1153" t="s">
        <v>4254</v>
      </c>
      <c r="H2119" s="1152"/>
    </row>
    <row r="2120" spans="1:8" x14ac:dyDescent="0.35">
      <c r="A2120" s="820">
        <v>2114</v>
      </c>
      <c r="B2120" s="1154" t="str">
        <f t="shared" si="34"/>
        <v>With regard to indirect specific embedded emissions, the Commission published default values. If the operator wants to make use of these values, the following approach has to be taken for correctly report also the specific electricity consumption:</v>
      </c>
      <c r="C2120" s="1154" t="s">
        <v>4255</v>
      </c>
      <c r="H2120" s="1152"/>
    </row>
    <row r="2121" spans="1:8" x14ac:dyDescent="0.35">
      <c r="A2121" s="820">
        <v>2115</v>
      </c>
      <c r="B2121" s="1155" t="str">
        <f t="shared" si="34"/>
        <v xml:space="preserve">First determine the applicable emission factor for electricity in the country of origin of the purchased precursor (options in accordance with point iii. above). </v>
      </c>
      <c r="C2121" s="1155" t="s">
        <v>4256</v>
      </c>
      <c r="H2121" s="1152"/>
    </row>
    <row r="2122" spans="1:8" x14ac:dyDescent="0.35">
      <c r="A2122" s="820">
        <v>2116</v>
      </c>
      <c r="B2122" s="1155" t="str">
        <f t="shared" si="34"/>
        <v>Secondly, divide the default value for the indirect specific embedded emissions by that emission factor. The result is the specific electricity consumption that is to be entered in field ii.</v>
      </c>
      <c r="C2122" s="1155" t="s">
        <v>4257</v>
      </c>
      <c r="H2122" s="1152"/>
    </row>
    <row r="2123" spans="1:8" x14ac:dyDescent="0.35">
      <c r="A2123" s="820">
        <v>2117</v>
      </c>
      <c r="B2123" s="1155" t="str">
        <f t="shared" si="34"/>
        <v>Enter the emission factor determined in the first step in field iii.</v>
      </c>
      <c r="C2123" s="1155" t="s">
        <v>4258</v>
      </c>
      <c r="H2123" s="1152"/>
    </row>
    <row r="2124" spans="1:8" x14ac:dyDescent="0.35">
      <c r="A2124" s="820">
        <v>2118</v>
      </c>
      <c r="B2124" s="1156" t="str">
        <f t="shared" si="34"/>
        <v>As a result, the default value for the indirect specific embedded emissions should be displayed under point iv. Please make sure that the units used in your calculation, in particular for the emission factor for electricity is consistent with the units displayed in the template.</v>
      </c>
      <c r="C2124" s="1156" t="s">
        <v>4259</v>
      </c>
      <c r="H2124" s="1152"/>
    </row>
    <row r="2125" spans="1:8" ht="26" x14ac:dyDescent="0.3">
      <c r="A2125" s="820">
        <v>2119</v>
      </c>
      <c r="B2125" s="1158" t="str">
        <f t="shared" si="34"/>
        <v>Electricity EF (tCO2/MWh)</v>
      </c>
      <c r="C2125" s="1158" t="s">
        <v>4263</v>
      </c>
    </row>
  </sheetData>
  <sheetProtection sheet="1" objects="1" scenarios="1" formatCells="0" formatColumns="0" formatRows="0"/>
  <autoFilter ref="A4:K2107" xr:uid="{00000000-0009-0000-0000-000011000000}"/>
  <pageMargins left="0.7" right="0.7" top="0.78740157499999996" bottom="0.78740157499999996"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1">
    <tabColor theme="2"/>
  </sheetPr>
  <dimension ref="A1:E90"/>
  <sheetViews>
    <sheetView zoomScaleNormal="100" workbookViewId="0">
      <pane xSplit="1" ySplit="5" topLeftCell="B6" activePane="bottomRight" state="frozen"/>
      <selection activeCell="B2" sqref="B2:F2"/>
      <selection pane="topRight" activeCell="B2" sqref="B2:F2"/>
      <selection pane="bottomLeft" activeCell="B2" sqref="B2:F2"/>
      <selection pane="bottomRight" activeCell="B2" sqref="B2:F2"/>
    </sheetView>
  </sheetViews>
  <sheetFormatPr defaultColWidth="11.453125" defaultRowHeight="14" x14ac:dyDescent="0.3"/>
  <cols>
    <col min="1" max="1" width="23.453125" style="45" customWidth="1"/>
    <col min="2" max="2" width="34.7265625" style="45" customWidth="1"/>
    <col min="3" max="3" width="15.1796875" style="45" customWidth="1"/>
    <col min="4" max="4" width="15.453125" style="45" customWidth="1"/>
    <col min="5" max="5" width="11.453125" style="45"/>
    <col min="6" max="16384" width="11.453125" style="282"/>
  </cols>
  <sheetData>
    <row r="1" spans="1:5" ht="14.5" thickBot="1" x14ac:dyDescent="0.35">
      <c r="A1" s="35" t="s">
        <v>436</v>
      </c>
    </row>
    <row r="2" spans="1:5" ht="14.5" thickBot="1" x14ac:dyDescent="0.35">
      <c r="A2" s="46" t="s">
        <v>437</v>
      </c>
      <c r="B2" s="47" t="s">
        <v>4070</v>
      </c>
    </row>
    <row r="3" spans="1:5" ht="14.5" thickBot="1" x14ac:dyDescent="0.35">
      <c r="A3" s="48" t="s">
        <v>438</v>
      </c>
      <c r="B3" s="49">
        <v>45639</v>
      </c>
      <c r="C3" s="50" t="str">
        <f>IF(ISNUMBER(MATCH(B3,A14:A28,0)),VLOOKUP(B3,A14:B28,2,FALSE),"---")</f>
        <v>CBAM SEE Communication V2_UBA_en_131224.xls</v>
      </c>
      <c r="D3" s="51"/>
      <c r="E3" s="52"/>
    </row>
    <row r="4" spans="1:5" x14ac:dyDescent="0.3">
      <c r="A4" s="53" t="s">
        <v>439</v>
      </c>
      <c r="B4" s="54" t="s">
        <v>448</v>
      </c>
    </row>
    <row r="5" spans="1:5" ht="14.5" thickBot="1" x14ac:dyDescent="0.35">
      <c r="A5" s="55" t="s">
        <v>441</v>
      </c>
      <c r="B5" s="56" t="s">
        <v>442</v>
      </c>
    </row>
    <row r="7" spans="1:5" x14ac:dyDescent="0.3">
      <c r="A7" s="36" t="s">
        <v>443</v>
      </c>
    </row>
    <row r="8" spans="1:5" x14ac:dyDescent="0.3">
      <c r="A8" s="37" t="s">
        <v>598</v>
      </c>
      <c r="B8" s="57"/>
      <c r="C8" s="38" t="s">
        <v>599</v>
      </c>
    </row>
    <row r="9" spans="1:5" x14ac:dyDescent="0.3">
      <c r="A9" s="37" t="s">
        <v>4070</v>
      </c>
      <c r="B9" s="57"/>
      <c r="C9" s="38" t="s">
        <v>4071</v>
      </c>
    </row>
    <row r="10" spans="1:5" x14ac:dyDescent="0.3">
      <c r="A10" s="37"/>
      <c r="B10" s="57"/>
      <c r="C10" s="38"/>
    </row>
    <row r="11" spans="1:5" x14ac:dyDescent="0.3">
      <c r="A11" s="37"/>
      <c r="B11" s="57"/>
      <c r="C11" s="38"/>
    </row>
    <row r="12" spans="1:5" x14ac:dyDescent="0.3">
      <c r="A12" s="58"/>
    </row>
    <row r="13" spans="1:5" x14ac:dyDescent="0.3">
      <c r="A13" s="39" t="s">
        <v>444</v>
      </c>
      <c r="B13" s="40" t="s">
        <v>445</v>
      </c>
      <c r="C13" s="40" t="s">
        <v>446</v>
      </c>
      <c r="D13" s="59"/>
    </row>
    <row r="14" spans="1:5" x14ac:dyDescent="0.3">
      <c r="A14" s="60">
        <v>45159</v>
      </c>
      <c r="B14" s="61" t="s">
        <v>4072</v>
      </c>
      <c r="C14" s="41" t="s">
        <v>3892</v>
      </c>
      <c r="D14" s="62"/>
    </row>
    <row r="15" spans="1:5" x14ac:dyDescent="0.3">
      <c r="A15" s="63">
        <v>45222</v>
      </c>
      <c r="B15" s="64" t="s">
        <v>4073</v>
      </c>
      <c r="C15" s="42" t="s">
        <v>3894</v>
      </c>
      <c r="D15" s="65"/>
    </row>
    <row r="16" spans="1:5" x14ac:dyDescent="0.3">
      <c r="A16" s="63">
        <v>45237</v>
      </c>
      <c r="B16" s="64" t="s">
        <v>4074</v>
      </c>
      <c r="C16" s="42" t="s">
        <v>4114</v>
      </c>
      <c r="D16" s="65"/>
    </row>
    <row r="17" spans="1:4" x14ac:dyDescent="0.3">
      <c r="A17" s="63">
        <v>45370</v>
      </c>
      <c r="B17" s="64" t="str">
        <f t="shared" ref="B17:B28" si="0">IF(ISBLANK($A17),"---", VLOOKUP($B$2,$A$8:$C$11,3,0) &amp; "_" &amp; VLOOKUP($B$4,$A$31:$B$63,2,0)&amp;"_"&amp;VLOOKUP($B$5,$A$66:$B$90,2,0)&amp;"_"&amp; TEXT(DAY($A17),"0#")&amp; TEXT(MONTH($A17),"0#")&amp; TEXT(YEAR($A17)-2000,"0#")&amp;".xls")</f>
        <v>CBAM SEE Communication V2_UBA_en_190324.xls</v>
      </c>
      <c r="C17" s="42" t="s">
        <v>3937</v>
      </c>
      <c r="D17" s="65"/>
    </row>
    <row r="18" spans="1:4" x14ac:dyDescent="0.3">
      <c r="A18" s="63">
        <v>45390</v>
      </c>
      <c r="B18" s="64" t="str">
        <f t="shared" si="0"/>
        <v>CBAM SEE Communication V2_UBA_en_080424.xls</v>
      </c>
      <c r="C18" s="42" t="s">
        <v>4214</v>
      </c>
      <c r="D18" s="65"/>
    </row>
    <row r="19" spans="1:4" x14ac:dyDescent="0.3">
      <c r="A19" s="63">
        <v>45448</v>
      </c>
      <c r="B19" s="64" t="str">
        <f t="shared" si="0"/>
        <v>CBAM SEE Communication V2_UBA_en_050624.xls</v>
      </c>
      <c r="C19" s="42" t="s">
        <v>4249</v>
      </c>
      <c r="D19" s="65"/>
    </row>
    <row r="20" spans="1:4" x14ac:dyDescent="0.3">
      <c r="A20" s="63">
        <v>45639</v>
      </c>
      <c r="B20" s="64" t="str">
        <f t="shared" si="0"/>
        <v>CBAM SEE Communication V2_UBA_en_131224.xls</v>
      </c>
      <c r="C20" s="42" t="s">
        <v>4262</v>
      </c>
      <c r="D20" s="65"/>
    </row>
    <row r="21" spans="1:4" x14ac:dyDescent="0.3">
      <c r="A21" s="63"/>
      <c r="B21" s="64" t="str">
        <f t="shared" si="0"/>
        <v>---</v>
      </c>
      <c r="C21" s="42"/>
      <c r="D21" s="65"/>
    </row>
    <row r="22" spans="1:4" x14ac:dyDescent="0.3">
      <c r="A22" s="63"/>
      <c r="B22" s="64" t="str">
        <f t="shared" si="0"/>
        <v>---</v>
      </c>
      <c r="C22" s="42"/>
      <c r="D22" s="65"/>
    </row>
    <row r="23" spans="1:4" x14ac:dyDescent="0.3">
      <c r="A23" s="63"/>
      <c r="B23" s="64" t="str">
        <f t="shared" si="0"/>
        <v>---</v>
      </c>
      <c r="C23" s="42"/>
      <c r="D23" s="65"/>
    </row>
    <row r="24" spans="1:4" x14ac:dyDescent="0.3">
      <c r="A24" s="63"/>
      <c r="B24" s="64" t="str">
        <f t="shared" si="0"/>
        <v>---</v>
      </c>
      <c r="C24" s="42"/>
      <c r="D24" s="65"/>
    </row>
    <row r="25" spans="1:4" x14ac:dyDescent="0.3">
      <c r="A25" s="63"/>
      <c r="B25" s="64" t="str">
        <f t="shared" si="0"/>
        <v>---</v>
      </c>
      <c r="C25" s="42"/>
      <c r="D25" s="65"/>
    </row>
    <row r="26" spans="1:4" x14ac:dyDescent="0.3">
      <c r="A26" s="63"/>
      <c r="B26" s="64" t="str">
        <f t="shared" si="0"/>
        <v>---</v>
      </c>
      <c r="C26" s="42"/>
      <c r="D26" s="65"/>
    </row>
    <row r="27" spans="1:4" x14ac:dyDescent="0.3">
      <c r="A27" s="63"/>
      <c r="B27" s="64" t="str">
        <f t="shared" si="0"/>
        <v>---</v>
      </c>
      <c r="C27" s="42"/>
      <c r="D27" s="65"/>
    </row>
    <row r="28" spans="1:4" x14ac:dyDescent="0.3">
      <c r="A28" s="66"/>
      <c r="B28" s="67" t="str">
        <f t="shared" si="0"/>
        <v>---</v>
      </c>
      <c r="C28" s="68"/>
      <c r="D28" s="69"/>
    </row>
    <row r="30" spans="1:4" x14ac:dyDescent="0.3">
      <c r="A30" s="35" t="s">
        <v>439</v>
      </c>
    </row>
    <row r="31" spans="1:4" x14ac:dyDescent="0.3">
      <c r="A31" s="70" t="s">
        <v>440</v>
      </c>
      <c r="B31" s="70" t="s">
        <v>447</v>
      </c>
    </row>
    <row r="32" spans="1:4" x14ac:dyDescent="0.3">
      <c r="A32" s="70" t="s">
        <v>448</v>
      </c>
      <c r="B32" s="70" t="s">
        <v>449</v>
      </c>
    </row>
    <row r="33" spans="1:2" x14ac:dyDescent="0.3">
      <c r="A33" s="70" t="s">
        <v>450</v>
      </c>
      <c r="B33" s="70" t="s">
        <v>451</v>
      </c>
    </row>
    <row r="34" spans="1:2" x14ac:dyDescent="0.3">
      <c r="A34" s="70" t="s">
        <v>452</v>
      </c>
      <c r="B34" s="70" t="s">
        <v>453</v>
      </c>
    </row>
    <row r="35" spans="1:2" x14ac:dyDescent="0.3">
      <c r="A35" s="70" t="s">
        <v>454</v>
      </c>
      <c r="B35" s="70" t="s">
        <v>455</v>
      </c>
    </row>
    <row r="36" spans="1:2" x14ac:dyDescent="0.3">
      <c r="A36" s="70" t="s">
        <v>456</v>
      </c>
      <c r="B36" s="70" t="s">
        <v>457</v>
      </c>
    </row>
    <row r="37" spans="1:2" x14ac:dyDescent="0.3">
      <c r="A37" s="70" t="s">
        <v>458</v>
      </c>
      <c r="B37" s="70" t="s">
        <v>459</v>
      </c>
    </row>
    <row r="38" spans="1:2" x14ac:dyDescent="0.3">
      <c r="A38" s="70" t="s">
        <v>460</v>
      </c>
      <c r="B38" s="70" t="s">
        <v>461</v>
      </c>
    </row>
    <row r="39" spans="1:2" x14ac:dyDescent="0.3">
      <c r="A39" s="70" t="s">
        <v>462</v>
      </c>
      <c r="B39" s="70" t="s">
        <v>463</v>
      </c>
    </row>
    <row r="40" spans="1:2" x14ac:dyDescent="0.3">
      <c r="A40" s="70" t="s">
        <v>464</v>
      </c>
      <c r="B40" s="70" t="s">
        <v>465</v>
      </c>
    </row>
    <row r="41" spans="1:2" x14ac:dyDescent="0.3">
      <c r="A41" s="70" t="s">
        <v>466</v>
      </c>
      <c r="B41" s="70" t="s">
        <v>467</v>
      </c>
    </row>
    <row r="42" spans="1:2" x14ac:dyDescent="0.3">
      <c r="A42" s="70" t="s">
        <v>468</v>
      </c>
      <c r="B42" s="70" t="s">
        <v>469</v>
      </c>
    </row>
    <row r="43" spans="1:2" x14ac:dyDescent="0.3">
      <c r="A43" s="70" t="s">
        <v>470</v>
      </c>
      <c r="B43" s="70" t="s">
        <v>471</v>
      </c>
    </row>
    <row r="44" spans="1:2" x14ac:dyDescent="0.3">
      <c r="A44" s="70" t="s">
        <v>472</v>
      </c>
      <c r="B44" s="70" t="s">
        <v>473</v>
      </c>
    </row>
    <row r="45" spans="1:2" x14ac:dyDescent="0.3">
      <c r="A45" s="70" t="s">
        <v>474</v>
      </c>
      <c r="B45" s="70" t="s">
        <v>475</v>
      </c>
    </row>
    <row r="46" spans="1:2" x14ac:dyDescent="0.3">
      <c r="A46" s="70" t="s">
        <v>476</v>
      </c>
      <c r="B46" s="70" t="s">
        <v>477</v>
      </c>
    </row>
    <row r="47" spans="1:2" x14ac:dyDescent="0.3">
      <c r="A47" s="70" t="s">
        <v>478</v>
      </c>
      <c r="B47" s="70" t="s">
        <v>479</v>
      </c>
    </row>
    <row r="48" spans="1:2" x14ac:dyDescent="0.3">
      <c r="A48" s="70" t="s">
        <v>480</v>
      </c>
      <c r="B48" s="70" t="s">
        <v>481</v>
      </c>
    </row>
    <row r="49" spans="1:2" x14ac:dyDescent="0.3">
      <c r="A49" s="70" t="s">
        <v>482</v>
      </c>
      <c r="B49" s="70" t="s">
        <v>483</v>
      </c>
    </row>
    <row r="50" spans="1:2" x14ac:dyDescent="0.3">
      <c r="A50" s="70" t="s">
        <v>484</v>
      </c>
      <c r="B50" s="70" t="s">
        <v>485</v>
      </c>
    </row>
    <row r="51" spans="1:2" x14ac:dyDescent="0.3">
      <c r="A51" s="70" t="s">
        <v>486</v>
      </c>
      <c r="B51" s="70" t="s">
        <v>487</v>
      </c>
    </row>
    <row r="52" spans="1:2" x14ac:dyDescent="0.3">
      <c r="A52" s="70" t="s">
        <v>488</v>
      </c>
      <c r="B52" s="70" t="s">
        <v>489</v>
      </c>
    </row>
    <row r="53" spans="1:2" x14ac:dyDescent="0.3">
      <c r="A53" s="70" t="s">
        <v>490</v>
      </c>
      <c r="B53" s="70" t="s">
        <v>491</v>
      </c>
    </row>
    <row r="54" spans="1:2" x14ac:dyDescent="0.3">
      <c r="A54" s="70" t="s">
        <v>492</v>
      </c>
      <c r="B54" s="70" t="s">
        <v>493</v>
      </c>
    </row>
    <row r="55" spans="1:2" x14ac:dyDescent="0.3">
      <c r="A55" s="70" t="s">
        <v>494</v>
      </c>
      <c r="B55" s="70" t="s">
        <v>495</v>
      </c>
    </row>
    <row r="56" spans="1:2" x14ac:dyDescent="0.3">
      <c r="A56" s="70" t="s">
        <v>496</v>
      </c>
      <c r="B56" s="70" t="s">
        <v>497</v>
      </c>
    </row>
    <row r="57" spans="1:2" x14ac:dyDescent="0.3">
      <c r="A57" s="70" t="s">
        <v>498</v>
      </c>
      <c r="B57" s="70" t="s">
        <v>499</v>
      </c>
    </row>
    <row r="58" spans="1:2" x14ac:dyDescent="0.3">
      <c r="A58" s="70" t="s">
        <v>500</v>
      </c>
      <c r="B58" s="70" t="s">
        <v>501</v>
      </c>
    </row>
    <row r="59" spans="1:2" x14ac:dyDescent="0.3">
      <c r="A59" s="70" t="s">
        <v>502</v>
      </c>
      <c r="B59" s="70" t="s">
        <v>503</v>
      </c>
    </row>
    <row r="60" spans="1:2" x14ac:dyDescent="0.3">
      <c r="A60" s="70" t="s">
        <v>504</v>
      </c>
      <c r="B60" s="70" t="s">
        <v>505</v>
      </c>
    </row>
    <row r="61" spans="1:2" x14ac:dyDescent="0.3">
      <c r="A61" s="70" t="s">
        <v>506</v>
      </c>
      <c r="B61" s="70" t="s">
        <v>507</v>
      </c>
    </row>
    <row r="62" spans="1:2" x14ac:dyDescent="0.3">
      <c r="A62" s="70" t="s">
        <v>508</v>
      </c>
      <c r="B62" s="70" t="s">
        <v>509</v>
      </c>
    </row>
    <row r="63" spans="1:2" x14ac:dyDescent="0.3">
      <c r="A63" s="70" t="s">
        <v>510</v>
      </c>
      <c r="B63" s="70" t="s">
        <v>511</v>
      </c>
    </row>
    <row r="65" spans="1:2" x14ac:dyDescent="0.3">
      <c r="A65" s="43" t="s">
        <v>512</v>
      </c>
    </row>
    <row r="66" spans="1:2" x14ac:dyDescent="0.3">
      <c r="A66" s="44" t="s">
        <v>513</v>
      </c>
      <c r="B66" s="44" t="s">
        <v>514</v>
      </c>
    </row>
    <row r="67" spans="1:2" x14ac:dyDescent="0.3">
      <c r="A67" s="44" t="s">
        <v>515</v>
      </c>
      <c r="B67" s="44" t="s">
        <v>516</v>
      </c>
    </row>
    <row r="68" spans="1:2" x14ac:dyDescent="0.3">
      <c r="A68" s="44" t="s">
        <v>517</v>
      </c>
      <c r="B68" s="44" t="s">
        <v>518</v>
      </c>
    </row>
    <row r="69" spans="1:2" x14ac:dyDescent="0.3">
      <c r="A69" s="44" t="s">
        <v>519</v>
      </c>
      <c r="B69" s="44" t="s">
        <v>520</v>
      </c>
    </row>
    <row r="70" spans="1:2" x14ac:dyDescent="0.3">
      <c r="A70" s="44" t="s">
        <v>521</v>
      </c>
      <c r="B70" s="44" t="s">
        <v>522</v>
      </c>
    </row>
    <row r="71" spans="1:2" x14ac:dyDescent="0.3">
      <c r="A71" s="44" t="s">
        <v>523</v>
      </c>
      <c r="B71" s="44" t="s">
        <v>524</v>
      </c>
    </row>
    <row r="72" spans="1:2" x14ac:dyDescent="0.3">
      <c r="A72" s="44" t="s">
        <v>525</v>
      </c>
      <c r="B72" s="44" t="s">
        <v>526</v>
      </c>
    </row>
    <row r="73" spans="1:2" x14ac:dyDescent="0.3">
      <c r="A73" s="44" t="s">
        <v>527</v>
      </c>
      <c r="B73" s="44" t="s">
        <v>528</v>
      </c>
    </row>
    <row r="74" spans="1:2" x14ac:dyDescent="0.3">
      <c r="A74" s="44" t="s">
        <v>442</v>
      </c>
      <c r="B74" s="44" t="s">
        <v>529</v>
      </c>
    </row>
    <row r="75" spans="1:2" x14ac:dyDescent="0.3">
      <c r="A75" s="44" t="s">
        <v>530</v>
      </c>
      <c r="B75" s="44" t="s">
        <v>531</v>
      </c>
    </row>
    <row r="76" spans="1:2" x14ac:dyDescent="0.3">
      <c r="A76" s="44" t="s">
        <v>532</v>
      </c>
      <c r="B76" s="44" t="s">
        <v>533</v>
      </c>
    </row>
    <row r="77" spans="1:2" x14ac:dyDescent="0.3">
      <c r="A77" s="44" t="s">
        <v>534</v>
      </c>
      <c r="B77" s="44" t="s">
        <v>535</v>
      </c>
    </row>
    <row r="78" spans="1:2" x14ac:dyDescent="0.3">
      <c r="A78" s="44" t="s">
        <v>536</v>
      </c>
      <c r="B78" s="44" t="s">
        <v>537</v>
      </c>
    </row>
    <row r="79" spans="1:2" x14ac:dyDescent="0.3">
      <c r="A79" s="44" t="s">
        <v>538</v>
      </c>
      <c r="B79" s="44" t="s">
        <v>539</v>
      </c>
    </row>
    <row r="80" spans="1:2" x14ac:dyDescent="0.3">
      <c r="A80" s="44" t="s">
        <v>540</v>
      </c>
      <c r="B80" s="44" t="s">
        <v>541</v>
      </c>
    </row>
    <row r="81" spans="1:2" x14ac:dyDescent="0.3">
      <c r="A81" s="44" t="s">
        <v>542</v>
      </c>
      <c r="B81" s="44" t="s">
        <v>543</v>
      </c>
    </row>
    <row r="82" spans="1:2" x14ac:dyDescent="0.3">
      <c r="A82" s="44" t="s">
        <v>544</v>
      </c>
      <c r="B82" s="44" t="s">
        <v>545</v>
      </c>
    </row>
    <row r="83" spans="1:2" x14ac:dyDescent="0.3">
      <c r="A83" s="44" t="s">
        <v>546</v>
      </c>
      <c r="B83" s="44" t="s">
        <v>547</v>
      </c>
    </row>
    <row r="84" spans="1:2" x14ac:dyDescent="0.3">
      <c r="A84" s="44" t="s">
        <v>548</v>
      </c>
      <c r="B84" s="44" t="s">
        <v>549</v>
      </c>
    </row>
    <row r="85" spans="1:2" x14ac:dyDescent="0.3">
      <c r="A85" s="44" t="s">
        <v>550</v>
      </c>
      <c r="B85" s="44" t="s">
        <v>551</v>
      </c>
    </row>
    <row r="86" spans="1:2" x14ac:dyDescent="0.3">
      <c r="A86" s="44" t="s">
        <v>552</v>
      </c>
      <c r="B86" s="44" t="s">
        <v>553</v>
      </c>
    </row>
    <row r="87" spans="1:2" x14ac:dyDescent="0.3">
      <c r="A87" s="44" t="s">
        <v>554</v>
      </c>
      <c r="B87" s="44" t="s">
        <v>555</v>
      </c>
    </row>
    <row r="88" spans="1:2" x14ac:dyDescent="0.3">
      <c r="A88" s="44" t="s">
        <v>556</v>
      </c>
      <c r="B88" s="44" t="s">
        <v>557</v>
      </c>
    </row>
    <row r="89" spans="1:2" x14ac:dyDescent="0.3">
      <c r="A89" s="44" t="s">
        <v>558</v>
      </c>
      <c r="B89" s="44" t="s">
        <v>559</v>
      </c>
    </row>
    <row r="90" spans="1:2" x14ac:dyDescent="0.3">
      <c r="A90" s="44" t="s">
        <v>560</v>
      </c>
      <c r="B90" s="44" t="s">
        <v>561</v>
      </c>
    </row>
  </sheetData>
  <sheetProtection sheet="1" objects="1" scenarios="1" formatCells="0" formatColumns="0" formatRows="0"/>
  <dataValidations count="4">
    <dataValidation type="list" allowBlank="1" showInputMessage="1" showErrorMessage="1" sqref="B3" xr:uid="{00000000-0002-0000-1200-000000000000}">
      <formula1>$A$14:$A$26</formula1>
    </dataValidation>
    <dataValidation type="list" allowBlank="1" showInputMessage="1" showErrorMessage="1" sqref="B2" xr:uid="{00000000-0002-0000-1200-000001000000}">
      <formula1>$A$8:$A$11</formula1>
    </dataValidation>
    <dataValidation type="list" allowBlank="1" showInputMessage="1" showErrorMessage="1" sqref="B4" xr:uid="{00000000-0002-0000-1200-000002000000}">
      <formula1>$A$31:$A$63</formula1>
    </dataValidation>
    <dataValidation type="list" allowBlank="1" showInputMessage="1" showErrorMessage="1" sqref="B5" xr:uid="{00000000-0002-0000-1200-000003000000}">
      <formula1>$A$66:$A$90</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V69"/>
  <sheetViews>
    <sheetView workbookViewId="0">
      <pane ySplit="4" topLeftCell="A5" activePane="bottomLeft" state="frozen"/>
      <selection pane="bottomLeft" activeCell="B2" sqref="B2:D4"/>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1" width="11.453125" style="91" hidden="1" customWidth="1"/>
    <col min="22" max="16384" width="11.453125" style="93"/>
  </cols>
  <sheetData>
    <row r="1" spans="1:22" s="91" customFormat="1" ht="14.15" hidden="1" customHeight="1" thickBot="1" x14ac:dyDescent="0.4">
      <c r="A1" s="91" t="s">
        <v>3</v>
      </c>
      <c r="P1" s="91" t="s">
        <v>3</v>
      </c>
      <c r="Q1" s="91" t="s">
        <v>3</v>
      </c>
      <c r="R1" s="91" t="s">
        <v>3</v>
      </c>
      <c r="S1" s="91" t="s">
        <v>3</v>
      </c>
      <c r="T1" s="91" t="s">
        <v>3</v>
      </c>
      <c r="U1" s="91" t="s">
        <v>3</v>
      </c>
    </row>
    <row r="2" spans="1:22" ht="14.15" customHeight="1" thickBot="1" x14ac:dyDescent="0.4">
      <c r="B2" s="1178" t="str">
        <f>Translations!$B$10</f>
        <v>Table of contents</v>
      </c>
      <c r="C2" s="1179"/>
      <c r="D2" s="1180"/>
      <c r="E2" s="1187" t="str">
        <f>Translations!$B$11</f>
        <v>Navigation Area:</v>
      </c>
      <c r="F2" s="1188"/>
      <c r="G2" s="1192" t="str">
        <f ca="1">HYPERLINK("#"&amp;ADDRESS(2,3,,,a_Contents!$U$2),a_Contents!$B$2)</f>
        <v>Table of contents</v>
      </c>
      <c r="H2" s="1193"/>
      <c r="I2" s="1192" t="str">
        <f ca="1">HYPERLINK("#"&amp;ADDRESS(2,3,,,G_FurtherGuidance!$U$2),G_FurtherGuidance!$B$2)</f>
        <v>Further Guidance</v>
      </c>
      <c r="J2" s="1193"/>
      <c r="K2" s="1192" t="str">
        <f ca="1">HYPERLINK("#"&amp;ADDRESS(2,3,,,Summary_Processes!$Y$2),Summary_Processes!$Y$2)</f>
        <v>Summary_Processes</v>
      </c>
      <c r="L2" s="1193"/>
      <c r="M2" s="1192" t="str">
        <f ca="1">HYPERLINK("#"&amp;ADDRESS(2,3,,,Summary_Products!$BF$2),Summary_Products!$BF$2)</f>
        <v>Summary_Products</v>
      </c>
      <c r="N2" s="1193"/>
      <c r="O2" s="906"/>
      <c r="P2" s="920"/>
      <c r="Q2" s="921"/>
      <c r="R2" s="922" t="s">
        <v>114</v>
      </c>
      <c r="S2" s="95" t="str">
        <f>ADDRESS(ROW($B$6),COLUMN($B$6)) &amp; ":" &amp; ADDRESS(MATCH("PRINT",$P:$P,0),COLUMN($O$6))</f>
        <v>$B$6:$O$66</v>
      </c>
      <c r="T2" s="922" t="s">
        <v>25</v>
      </c>
      <c r="U2" s="1118" t="str">
        <f ca="1">IF(ISERROR(CELL("filename",V2)),"a_Contents",MID(CELL("filename",V2),FIND("]",CELL("filename",V2))+1,1024))</f>
        <v>a_Contents</v>
      </c>
      <c r="V2" s="144"/>
    </row>
    <row r="3" spans="1:22" ht="14.15" customHeight="1" x14ac:dyDescent="0.35">
      <c r="B3" s="1181"/>
      <c r="C3" s="1182"/>
      <c r="D3" s="1183"/>
      <c r="E3" s="1174"/>
      <c r="F3" s="1174"/>
      <c r="G3" s="1174"/>
      <c r="H3" s="1174"/>
      <c r="I3" s="1174"/>
      <c r="J3" s="1174"/>
      <c r="K3" s="1174"/>
      <c r="L3" s="1174"/>
      <c r="M3" s="1174"/>
      <c r="N3" s="1174"/>
      <c r="O3" s="428"/>
      <c r="Q3" s="144"/>
      <c r="R3" s="171"/>
      <c r="S3" s="171"/>
      <c r="T3" s="171"/>
      <c r="U3" s="1119"/>
      <c r="V3" s="144"/>
    </row>
    <row r="4" spans="1:22" ht="14.15" customHeight="1" thickBot="1" x14ac:dyDescent="0.4">
      <c r="B4" s="1184"/>
      <c r="C4" s="1185"/>
      <c r="D4" s="1186"/>
      <c r="E4" s="1174"/>
      <c r="F4" s="1174"/>
      <c r="G4" s="1174"/>
      <c r="H4" s="1174"/>
      <c r="I4" s="1174"/>
      <c r="J4" s="1174"/>
      <c r="K4" s="1174"/>
      <c r="L4" s="1174"/>
      <c r="M4" s="1174"/>
      <c r="N4" s="1174"/>
      <c r="O4" s="428"/>
      <c r="Q4" s="144"/>
      <c r="R4" s="171"/>
      <c r="S4" s="171"/>
      <c r="T4" s="171"/>
      <c r="U4" s="1119"/>
      <c r="V4" s="144"/>
    </row>
    <row r="5" spans="1:22" ht="5.15" customHeight="1" x14ac:dyDescent="0.35">
      <c r="B5" s="94"/>
      <c r="C5" s="144"/>
      <c r="D5" s="144"/>
      <c r="E5" s="144"/>
      <c r="F5" s="144"/>
      <c r="G5" s="144"/>
      <c r="H5" s="144"/>
      <c r="I5" s="144"/>
      <c r="J5" s="144"/>
      <c r="K5" s="144"/>
      <c r="L5" s="144"/>
      <c r="M5" s="144"/>
      <c r="N5" s="144"/>
      <c r="O5" s="428"/>
      <c r="Q5" s="144"/>
      <c r="R5" s="171"/>
      <c r="S5" s="171"/>
      <c r="T5" s="171"/>
      <c r="U5" s="1119"/>
      <c r="V5" s="144"/>
    </row>
    <row r="6" spans="1:22" s="97" customFormat="1" ht="20.149999999999999" customHeight="1" x14ac:dyDescent="0.35">
      <c r="A6" s="96"/>
      <c r="B6" s="98"/>
      <c r="C6" s="907" t="str">
        <f>Translations!$B$12</f>
        <v>Sheet "Table of contents"</v>
      </c>
      <c r="D6" s="982"/>
      <c r="E6" s="982"/>
      <c r="F6" s="982"/>
      <c r="G6" s="982"/>
      <c r="H6" s="982"/>
      <c r="I6" s="982"/>
      <c r="J6" s="982"/>
      <c r="K6" s="982"/>
      <c r="L6" s="982"/>
      <c r="M6" s="982"/>
      <c r="N6" s="982"/>
      <c r="O6" s="1123"/>
      <c r="P6" s="98"/>
      <c r="Q6" s="982"/>
      <c r="R6" s="1113"/>
      <c r="S6" s="1113"/>
      <c r="T6" s="1113"/>
      <c r="U6" s="1120"/>
      <c r="V6" s="982"/>
    </row>
    <row r="7" spans="1:22" x14ac:dyDescent="0.35">
      <c r="B7" s="94"/>
      <c r="C7" s="144"/>
      <c r="D7" s="144"/>
      <c r="E7" s="144"/>
      <c r="F7" s="144"/>
      <c r="G7" s="144"/>
      <c r="H7" s="144"/>
      <c r="I7" s="144"/>
      <c r="J7" s="144"/>
      <c r="K7" s="144"/>
      <c r="L7" s="144"/>
      <c r="M7" s="144"/>
      <c r="N7" s="144"/>
      <c r="O7" s="428"/>
      <c r="Q7" s="144"/>
      <c r="R7" s="171"/>
      <c r="S7" s="171"/>
      <c r="T7" s="171"/>
      <c r="U7" s="1119"/>
      <c r="V7" s="144"/>
    </row>
    <row r="8" spans="1:22" s="100" customFormat="1" ht="12.75" customHeight="1" x14ac:dyDescent="0.35">
      <c r="A8" s="99"/>
      <c r="B8" s="101"/>
      <c r="C8" s="983" t="s">
        <v>3900</v>
      </c>
      <c r="D8" s="1198" t="str">
        <f ca="1">HYPERLINK("#"&amp;S8,INDIRECT(S8))</f>
        <v>Sheet "Version history"</v>
      </c>
      <c r="E8" s="1195"/>
      <c r="F8" s="1195"/>
      <c r="G8" s="1195"/>
      <c r="H8" s="1195"/>
      <c r="I8" s="1195"/>
      <c r="J8" s="1195"/>
      <c r="K8" s="1195"/>
      <c r="L8" s="167"/>
      <c r="M8" s="167"/>
      <c r="N8" s="167"/>
      <c r="O8" s="1124"/>
      <c r="P8" s="101"/>
      <c r="Q8" s="167"/>
      <c r="R8" s="171"/>
      <c r="S8" s="367" t="str">
        <f ca="1">ADDRESS(6,3,,,T8)</f>
        <v>'0_Versions'!$C$6</v>
      </c>
      <c r="T8" s="928" t="str">
        <f ca="1">'0_Versions'!$U$2</f>
        <v>0_Versions</v>
      </c>
      <c r="U8" s="1121"/>
      <c r="V8" s="167"/>
    </row>
    <row r="9" spans="1:22" ht="5.15" customHeight="1" x14ac:dyDescent="0.35">
      <c r="B9" s="94"/>
      <c r="C9" s="144"/>
      <c r="D9" s="144"/>
      <c r="E9" s="144"/>
      <c r="F9" s="144"/>
      <c r="G9" s="144"/>
      <c r="H9" s="144"/>
      <c r="I9" s="144"/>
      <c r="J9" s="144"/>
      <c r="K9" s="144"/>
      <c r="L9" s="144"/>
      <c r="M9" s="144"/>
      <c r="N9" s="144"/>
      <c r="O9" s="428"/>
      <c r="Q9" s="144"/>
      <c r="R9" s="171"/>
      <c r="S9" s="171"/>
      <c r="T9" s="171"/>
      <c r="U9" s="1119"/>
      <c r="V9" s="144"/>
    </row>
    <row r="10" spans="1:22" s="100" customFormat="1" ht="12.75" customHeight="1" x14ac:dyDescent="0.35">
      <c r="A10" s="99"/>
      <c r="B10" s="101"/>
      <c r="C10" s="983" t="s">
        <v>2820</v>
      </c>
      <c r="D10" s="1198" t="str">
        <f ca="1">HYPERLINK("#"&amp;S10,INDIRECT(S10))</f>
        <v>Sheet "Table of contents"</v>
      </c>
      <c r="E10" s="1195"/>
      <c r="F10" s="1195"/>
      <c r="G10" s="1195"/>
      <c r="H10" s="1195"/>
      <c r="I10" s="1195"/>
      <c r="J10" s="1195"/>
      <c r="K10" s="1195"/>
      <c r="L10" s="167"/>
      <c r="M10" s="167"/>
      <c r="N10" s="167"/>
      <c r="O10" s="1124"/>
      <c r="P10" s="101"/>
      <c r="Q10" s="167"/>
      <c r="R10" s="171"/>
      <c r="S10" s="367" t="str">
        <f ca="1">ADDRESS(6,3,,,T10)</f>
        <v>a_Contents!$C$6</v>
      </c>
      <c r="T10" s="928" t="str">
        <f ca="1">$U$2</f>
        <v>a_Contents</v>
      </c>
      <c r="U10" s="1121"/>
      <c r="V10" s="167"/>
    </row>
    <row r="11" spans="1:22" ht="5.15" customHeight="1" x14ac:dyDescent="0.35">
      <c r="B11" s="94"/>
      <c r="C11" s="144"/>
      <c r="D11" s="144"/>
      <c r="E11" s="144"/>
      <c r="F11" s="144"/>
      <c r="G11" s="144"/>
      <c r="H11" s="144"/>
      <c r="I11" s="144"/>
      <c r="J11" s="144"/>
      <c r="K11" s="144"/>
      <c r="L11" s="144"/>
      <c r="M11" s="144"/>
      <c r="N11" s="144"/>
      <c r="O11" s="428"/>
      <c r="Q11" s="144"/>
      <c r="R11" s="171"/>
      <c r="S11" s="171"/>
      <c r="T11" s="171"/>
      <c r="U11" s="1119"/>
      <c r="V11" s="144"/>
    </row>
    <row r="12" spans="1:22" s="100" customFormat="1" ht="12.75" customHeight="1" x14ac:dyDescent="0.35">
      <c r="A12" s="99"/>
      <c r="B12" s="101"/>
      <c r="C12" s="983" t="s">
        <v>2818</v>
      </c>
      <c r="D12" s="1198" t="str">
        <f ca="1">HYPERLINK("#"&amp;S12,INDIRECT(S12))</f>
        <v>Sheet "Guidelines &amp; conditions"</v>
      </c>
      <c r="E12" s="1195"/>
      <c r="F12" s="1195"/>
      <c r="G12" s="1195"/>
      <c r="H12" s="1195"/>
      <c r="I12" s="1195"/>
      <c r="J12" s="1195"/>
      <c r="K12" s="1195"/>
      <c r="L12" s="167"/>
      <c r="M12" s="167"/>
      <c r="N12" s="167"/>
      <c r="O12" s="1124"/>
      <c r="P12" s="101"/>
      <c r="Q12" s="167"/>
      <c r="R12" s="171"/>
      <c r="S12" s="367" t="str">
        <f ca="1">ADDRESS(6,3,,,T12)</f>
        <v>'b_Guidelines&amp;Conditions'!$C$6</v>
      </c>
      <c r="T12" s="928" t="str">
        <f ca="1">'b_Guidelines&amp;Conditions'!$U$2</f>
        <v>b_Guidelines&amp;Conditions</v>
      </c>
      <c r="U12" s="1121"/>
      <c r="V12" s="167"/>
    </row>
    <row r="13" spans="1:22" ht="5.15" customHeight="1" x14ac:dyDescent="0.35">
      <c r="B13" s="94"/>
      <c r="C13" s="144"/>
      <c r="D13" s="144"/>
      <c r="E13" s="144"/>
      <c r="F13" s="144"/>
      <c r="G13" s="144"/>
      <c r="H13" s="144"/>
      <c r="I13" s="144"/>
      <c r="J13" s="144"/>
      <c r="K13" s="144"/>
      <c r="L13" s="144"/>
      <c r="M13" s="144"/>
      <c r="N13" s="144"/>
      <c r="O13" s="428"/>
      <c r="Q13" s="144"/>
      <c r="R13" s="171"/>
      <c r="S13" s="171"/>
      <c r="T13" s="171"/>
      <c r="U13" s="1119"/>
      <c r="V13" s="144"/>
    </row>
    <row r="14" spans="1:22" s="100" customFormat="1" ht="12.75" customHeight="1" x14ac:dyDescent="0.35">
      <c r="A14" s="99"/>
      <c r="B14" s="101"/>
      <c r="C14" s="983" t="s">
        <v>3884</v>
      </c>
      <c r="D14" s="1198" t="str">
        <f ca="1">HYPERLINK("#"&amp;S14,INDIRECT(S14))</f>
        <v>Sheet "Code Lists"</v>
      </c>
      <c r="E14" s="1195"/>
      <c r="F14" s="1195"/>
      <c r="G14" s="1195"/>
      <c r="H14" s="1195"/>
      <c r="I14" s="1195"/>
      <c r="J14" s="1195"/>
      <c r="K14" s="1195"/>
      <c r="L14" s="167"/>
      <c r="M14" s="167"/>
      <c r="N14" s="167"/>
      <c r="O14" s="1124"/>
      <c r="P14" s="101"/>
      <c r="Q14" s="167"/>
      <c r="R14" s="171"/>
      <c r="S14" s="367" t="str">
        <f ca="1">ADDRESS(6,3,,,T14)</f>
        <v>c_CodeLists!$C$6</v>
      </c>
      <c r="T14" s="928" t="str">
        <f ca="1">c_CodeLists!$U$2</f>
        <v>c_CodeLists</v>
      </c>
      <c r="U14" s="1121"/>
      <c r="V14" s="167"/>
    </row>
    <row r="15" spans="1:22" ht="5.15" customHeight="1" x14ac:dyDescent="0.35">
      <c r="B15" s="94"/>
      <c r="C15" s="144"/>
      <c r="D15" s="144"/>
      <c r="E15" s="144"/>
      <c r="F15" s="144"/>
      <c r="G15" s="144"/>
      <c r="H15" s="144"/>
      <c r="I15" s="144"/>
      <c r="J15" s="144"/>
      <c r="K15" s="144"/>
      <c r="L15" s="144"/>
      <c r="M15" s="144"/>
      <c r="N15" s="144"/>
      <c r="O15" s="428"/>
      <c r="Q15" s="144"/>
      <c r="R15" s="171"/>
      <c r="S15" s="171"/>
      <c r="T15" s="171"/>
      <c r="U15" s="1119"/>
      <c r="V15" s="144"/>
    </row>
    <row r="16" spans="1:22" s="100" customFormat="1" ht="12.75" customHeight="1" x14ac:dyDescent="0.35">
      <c r="A16" s="99"/>
      <c r="B16" s="101"/>
      <c r="C16" s="983" t="s">
        <v>432</v>
      </c>
      <c r="D16" s="1198" t="str">
        <f ca="1">HYPERLINK("#"&amp;S16,INDIRECT(S16))</f>
        <v xml:space="preserve">Sheet "A_InstData" - General information, production processes and purchased precursors </v>
      </c>
      <c r="E16" s="1195"/>
      <c r="F16" s="1195"/>
      <c r="G16" s="1195"/>
      <c r="H16" s="1195"/>
      <c r="I16" s="1195"/>
      <c r="J16" s="1195"/>
      <c r="K16" s="1195"/>
      <c r="L16" s="167"/>
      <c r="M16" s="167"/>
      <c r="N16" s="167"/>
      <c r="O16" s="1124"/>
      <c r="P16" s="101"/>
      <c r="Q16" s="167"/>
      <c r="R16" s="171"/>
      <c r="S16" s="367" t="str">
        <f ca="1">ADDRESS(6,5,,,T16)</f>
        <v>A_InstData!$E$6</v>
      </c>
      <c r="T16" s="928" t="str">
        <f ca="1">A_InstData!$U$2</f>
        <v>A_InstData</v>
      </c>
      <c r="U16" s="1121"/>
      <c r="V16" s="167"/>
    </row>
    <row r="17" spans="1:22" ht="12.75" customHeight="1" x14ac:dyDescent="0.35">
      <c r="B17" s="94"/>
      <c r="C17" s="983"/>
      <c r="D17" s="1115">
        <v>1</v>
      </c>
      <c r="E17" s="1199" t="str">
        <f ca="1">HYPERLINK("#"&amp;S17,INDIRECT(S17))</f>
        <v>Reporting period</v>
      </c>
      <c r="F17" s="1195"/>
      <c r="G17" s="1195"/>
      <c r="H17" s="1195"/>
      <c r="I17" s="1195"/>
      <c r="J17" s="1195"/>
      <c r="K17" s="1195"/>
      <c r="L17" s="144"/>
      <c r="M17" s="144"/>
      <c r="N17" s="144"/>
      <c r="O17" s="428"/>
      <c r="Q17" s="144"/>
      <c r="R17" s="171"/>
      <c r="S17" s="368" t="str">
        <f ca="1">ADDRESS(MATCH(D17,INDIRECT("'"&amp; T17 &amp; "'!A:A")),4,,,T17)</f>
        <v>A_InstData!$D$9</v>
      </c>
      <c r="T17" s="171" t="str">
        <f ca="1">T16</f>
        <v>A_InstData</v>
      </c>
      <c r="U17" s="1119"/>
      <c r="V17" s="144"/>
    </row>
    <row r="18" spans="1:22" ht="12.75" customHeight="1" x14ac:dyDescent="0.35">
      <c r="B18" s="94"/>
      <c r="C18" s="983"/>
      <c r="D18" s="1115">
        <v>2</v>
      </c>
      <c r="E18" s="1199" t="str">
        <f ca="1">HYPERLINK("#"&amp;S18,INDIRECT(S18))</f>
        <v>About the installation</v>
      </c>
      <c r="F18" s="1195"/>
      <c r="G18" s="1195"/>
      <c r="H18" s="1195"/>
      <c r="I18" s="1195"/>
      <c r="J18" s="1195"/>
      <c r="K18" s="1195"/>
      <c r="L18" s="144"/>
      <c r="M18" s="144"/>
      <c r="N18" s="144"/>
      <c r="O18" s="428"/>
      <c r="Q18" s="144"/>
      <c r="R18" s="171"/>
      <c r="S18" s="368" t="str">
        <f ca="1">ADDRESS(MATCH(D18,INDIRECT("'"&amp; T18 &amp; "'!A:A")),4,,,T18)</f>
        <v>A_InstData!$D$17</v>
      </c>
      <c r="T18" s="171" t="str">
        <f ca="1">T17</f>
        <v>A_InstData</v>
      </c>
      <c r="U18" s="1119"/>
      <c r="V18" s="144"/>
    </row>
    <row r="19" spans="1:22" ht="12.75" customHeight="1" x14ac:dyDescent="0.35">
      <c r="B19" s="94"/>
      <c r="C19" s="983"/>
      <c r="D19" s="1115">
        <v>3</v>
      </c>
      <c r="E19" s="1199" t="str">
        <f ca="1">HYPERLINK("#"&amp;S19,INDIRECT(S19))</f>
        <v>Verifier of the report – only if available and not required during transitional period</v>
      </c>
      <c r="F19" s="1195"/>
      <c r="G19" s="1195"/>
      <c r="H19" s="1195"/>
      <c r="I19" s="1195"/>
      <c r="J19" s="1195"/>
      <c r="K19" s="1195"/>
      <c r="L19" s="144"/>
      <c r="M19" s="144"/>
      <c r="N19" s="144"/>
      <c r="O19" s="428"/>
      <c r="Q19" s="144"/>
      <c r="R19" s="171"/>
      <c r="S19" s="368" t="str">
        <f ca="1">ADDRESS(MATCH(D19,INDIRECT("'"&amp; T19 &amp; "'!A:A")),4,,,T19)</f>
        <v>A_InstData!$D$34</v>
      </c>
      <c r="T19" s="171" t="str">
        <f ca="1">T18</f>
        <v>A_InstData</v>
      </c>
      <c r="U19" s="1119"/>
      <c r="V19" s="144"/>
    </row>
    <row r="20" spans="1:22" ht="12.75" customHeight="1" x14ac:dyDescent="0.35">
      <c r="B20" s="94"/>
      <c r="C20" s="983"/>
      <c r="D20" s="1115">
        <v>4</v>
      </c>
      <c r="E20" s="1199" t="str">
        <f ca="1">HYPERLINK("#"&amp;S20,INDIRECT(S20))</f>
        <v>Aggregated goods categories and relevant production processes</v>
      </c>
      <c r="F20" s="1195"/>
      <c r="G20" s="1195"/>
      <c r="H20" s="1195"/>
      <c r="I20" s="1195"/>
      <c r="J20" s="1195"/>
      <c r="K20" s="1195"/>
      <c r="L20" s="144"/>
      <c r="M20" s="144"/>
      <c r="N20" s="144"/>
      <c r="O20" s="428"/>
      <c r="Q20" s="144"/>
      <c r="R20" s="171"/>
      <c r="S20" s="368" t="str">
        <f ca="1">ADDRESS(MATCH(D20,INDIRECT("'"&amp; T20 &amp; "'!A:A")),4,,,T20)</f>
        <v>A_InstData!$D$55</v>
      </c>
      <c r="T20" s="171" t="str">
        <f ca="1">T19</f>
        <v>A_InstData</v>
      </c>
      <c r="U20" s="1119"/>
      <c r="V20" s="144"/>
    </row>
    <row r="21" spans="1:22" ht="12.75" customHeight="1" x14ac:dyDescent="0.35">
      <c r="B21" s="94"/>
      <c r="C21" s="983"/>
      <c r="D21" s="1115">
        <v>5</v>
      </c>
      <c r="E21" s="1199" t="str">
        <f ca="1">HYPERLINK("#"&amp;S21,INDIRECT(S21))</f>
        <v>Purchased precursors</v>
      </c>
      <c r="F21" s="1195"/>
      <c r="G21" s="1195"/>
      <c r="H21" s="1195"/>
      <c r="I21" s="1195"/>
      <c r="J21" s="1195"/>
      <c r="K21" s="1195"/>
      <c r="L21" s="144"/>
      <c r="M21" s="144"/>
      <c r="N21" s="144"/>
      <c r="O21" s="428"/>
      <c r="Q21" s="144"/>
      <c r="R21" s="171"/>
      <c r="S21" s="368" t="str">
        <f ca="1">ADDRESS(MATCH(D21,INDIRECT("'"&amp; T21 &amp; "'!A:A")),4,,,T21)</f>
        <v>A_InstData!$D$96</v>
      </c>
      <c r="T21" s="171" t="str">
        <f ca="1">T20</f>
        <v>A_InstData</v>
      </c>
      <c r="U21" s="1119"/>
      <c r="V21" s="144"/>
    </row>
    <row r="22" spans="1:22" ht="5.15" customHeight="1" x14ac:dyDescent="0.35">
      <c r="B22" s="94"/>
      <c r="C22" s="983"/>
      <c r="D22" s="914"/>
      <c r="E22" s="144"/>
      <c r="F22" s="144"/>
      <c r="G22" s="144"/>
      <c r="H22" s="144"/>
      <c r="I22" s="144"/>
      <c r="J22" s="144"/>
      <c r="K22" s="144"/>
      <c r="L22" s="144"/>
      <c r="M22" s="144"/>
      <c r="N22" s="144"/>
      <c r="O22" s="428"/>
      <c r="Q22" s="144"/>
      <c r="R22" s="171"/>
      <c r="S22" s="171"/>
      <c r="T22" s="171"/>
      <c r="U22" s="1119"/>
      <c r="V22" s="144"/>
    </row>
    <row r="23" spans="1:22" s="100" customFormat="1" ht="12.75" customHeight="1" x14ac:dyDescent="0.35">
      <c r="A23" s="99"/>
      <c r="B23" s="101"/>
      <c r="C23" s="983" t="s">
        <v>2815</v>
      </c>
      <c r="D23" s="1198" t="str">
        <f ca="1">HYPERLINK("#"&amp;S23,INDIRECT(S23))</f>
        <v>Sheet "B_EmInst" - Installation's emission at source stream and emission source level</v>
      </c>
      <c r="E23" s="1195"/>
      <c r="F23" s="1195"/>
      <c r="G23" s="1195"/>
      <c r="H23" s="1195"/>
      <c r="I23" s="1195"/>
      <c r="J23" s="1195"/>
      <c r="K23" s="1195"/>
      <c r="L23" s="167"/>
      <c r="M23" s="167"/>
      <c r="N23" s="167"/>
      <c r="O23" s="1124"/>
      <c r="P23" s="101"/>
      <c r="Q23" s="167"/>
      <c r="R23" s="928"/>
      <c r="S23" s="367" t="str">
        <f ca="1">ADDRESS(6,4,,,T23)</f>
        <v>B_EmInst!$D$6</v>
      </c>
      <c r="T23" s="928" t="str">
        <f ca="1">B_EmInst!$BD$2</f>
        <v>B_EmInst</v>
      </c>
      <c r="U23" s="1121"/>
      <c r="V23" s="167"/>
    </row>
    <row r="24" spans="1:22" ht="12.75" customHeight="1" x14ac:dyDescent="0.35">
      <c r="B24" s="94"/>
      <c r="C24" s="983"/>
      <c r="D24" s="1115">
        <v>1</v>
      </c>
      <c r="E24" s="1194" t="str">
        <f ca="1">HYPERLINK("#"&amp;S24,INDIRECT(S24))</f>
        <v>Calculation based approaches: Source Streams (excluding PFC emissions)</v>
      </c>
      <c r="F24" s="1195"/>
      <c r="G24" s="1195"/>
      <c r="H24" s="1195"/>
      <c r="I24" s="1195"/>
      <c r="J24" s="1195"/>
      <c r="K24" s="1195"/>
      <c r="L24" s="144"/>
      <c r="M24" s="144"/>
      <c r="N24" s="144"/>
      <c r="O24" s="428"/>
      <c r="Q24" s="144"/>
      <c r="R24" s="171"/>
      <c r="S24" s="368" t="str">
        <f ca="1">ADDRESS(MATCH(D24,INDIRECT("'"&amp; T24 &amp; "'!A:A")),4,,,T24)</f>
        <v>B_EmInst!$D$12</v>
      </c>
      <c r="T24" s="171" t="str">
        <f ca="1">T23</f>
        <v>B_EmInst</v>
      </c>
      <c r="U24" s="1119"/>
      <c r="V24" s="144"/>
    </row>
    <row r="25" spans="1:22" ht="12.75" customHeight="1" x14ac:dyDescent="0.35">
      <c r="B25" s="94"/>
      <c r="C25" s="983"/>
      <c r="D25" s="1115">
        <v>2</v>
      </c>
      <c r="E25" s="1194" t="str">
        <f ca="1">HYPERLINK("#"&amp;S25,INDIRECT(S25))</f>
        <v>PFC (perfluorocarbon) emissions</v>
      </c>
      <c r="F25" s="1195"/>
      <c r="G25" s="1195"/>
      <c r="H25" s="1195"/>
      <c r="I25" s="1195"/>
      <c r="J25" s="1195"/>
      <c r="K25" s="1195"/>
      <c r="L25" s="144"/>
      <c r="M25" s="144"/>
      <c r="N25" s="144"/>
      <c r="O25" s="428"/>
      <c r="Q25" s="144"/>
      <c r="R25" s="171"/>
      <c r="S25" s="368" t="str">
        <f ca="1">ADDRESS(MATCH(D25,INDIRECT("'"&amp; T25 &amp; "'!A:A")),4,,,T25)</f>
        <v>B_EmInst!$D$95</v>
      </c>
      <c r="T25" s="171" t="str">
        <f ca="1">T24</f>
        <v>B_EmInst</v>
      </c>
      <c r="U25" s="1119"/>
      <c r="V25" s="144"/>
    </row>
    <row r="26" spans="1:22" ht="12.75" customHeight="1" x14ac:dyDescent="0.35">
      <c r="B26" s="94"/>
      <c r="C26" s="983"/>
      <c r="D26" s="1115">
        <v>3</v>
      </c>
      <c r="E26" s="1194" t="str">
        <f ca="1">HYPERLINK("#"&amp;S26,INDIRECT(S26))</f>
        <v>Measurement-Based Approaches: Emissions Sources</v>
      </c>
      <c r="F26" s="1195"/>
      <c r="G26" s="1195"/>
      <c r="H26" s="1195"/>
      <c r="I26" s="1195"/>
      <c r="J26" s="1195"/>
      <c r="K26" s="1195"/>
      <c r="L26" s="144"/>
      <c r="M26" s="144"/>
      <c r="N26" s="144"/>
      <c r="O26" s="428"/>
      <c r="Q26" s="144"/>
      <c r="R26" s="171"/>
      <c r="S26" s="368" t="str">
        <f ca="1">ADDRESS(MATCH(D26,INDIRECT("'"&amp; T26 &amp; "'!A:A")),4,,,T26)</f>
        <v>B_EmInst!$D$109</v>
      </c>
      <c r="T26" s="171" t="str">
        <f ca="1">T25</f>
        <v>B_EmInst</v>
      </c>
      <c r="U26" s="1119"/>
      <c r="V26" s="144"/>
    </row>
    <row r="27" spans="1:22" ht="5.15" customHeight="1" x14ac:dyDescent="0.35">
      <c r="B27" s="94"/>
      <c r="C27" s="983"/>
      <c r="D27" s="914"/>
      <c r="E27" s="144"/>
      <c r="F27" s="144"/>
      <c r="G27" s="144"/>
      <c r="H27" s="144"/>
      <c r="I27" s="144"/>
      <c r="J27" s="144"/>
      <c r="K27" s="144"/>
      <c r="L27" s="144"/>
      <c r="M27" s="144"/>
      <c r="N27" s="144"/>
      <c r="O27" s="428"/>
      <c r="Q27" s="144"/>
      <c r="R27" s="171"/>
      <c r="S27" s="171"/>
      <c r="T27" s="171"/>
      <c r="U27" s="1119"/>
      <c r="V27" s="144"/>
    </row>
    <row r="28" spans="1:22" s="100" customFormat="1" ht="12.75" customHeight="1" x14ac:dyDescent="0.35">
      <c r="A28" s="99"/>
      <c r="B28" s="101"/>
      <c r="C28" s="983" t="s">
        <v>434</v>
      </c>
      <c r="D28" s="1198" t="str">
        <f ca="1">HYPERLINK("#"&amp;S28,INDIRECT(S28))</f>
        <v>Sheet "C_Emissions&amp;Energy" - Installation-level GHG emissions and energy consumption</v>
      </c>
      <c r="E28" s="1198"/>
      <c r="F28" s="1198"/>
      <c r="G28" s="1198"/>
      <c r="H28" s="1198"/>
      <c r="I28" s="1198"/>
      <c r="J28" s="1198"/>
      <c r="K28" s="1198"/>
      <c r="L28" s="167"/>
      <c r="M28" s="167"/>
      <c r="N28" s="167"/>
      <c r="O28" s="1124"/>
      <c r="P28" s="101"/>
      <c r="Q28" s="167"/>
      <c r="R28" s="928"/>
      <c r="S28" s="367" t="str">
        <f ca="1">ADDRESS(6,5,,,T28)</f>
        <v>'C_Emissions&amp;Energy'!$E$6</v>
      </c>
      <c r="T28" s="928" t="str">
        <f ca="1">'C_Emissions&amp;Energy'!$U$2</f>
        <v>C_Emissions&amp;Energy</v>
      </c>
      <c r="U28" s="1121"/>
      <c r="V28" s="167"/>
    </row>
    <row r="29" spans="1:22" ht="12.75" customHeight="1" x14ac:dyDescent="0.35">
      <c r="B29" s="94"/>
      <c r="C29" s="983"/>
      <c r="D29" s="1115">
        <v>1</v>
      </c>
      <c r="E29" s="1194" t="str">
        <f ca="1">HYPERLINK("#"&amp;S29,INDIRECT(S29))</f>
        <v>Fuel balance</v>
      </c>
      <c r="F29" s="1195"/>
      <c r="G29" s="1195"/>
      <c r="H29" s="1195"/>
      <c r="I29" s="1195"/>
      <c r="J29" s="1195"/>
      <c r="K29" s="1195"/>
      <c r="L29" s="144"/>
      <c r="M29" s="144"/>
      <c r="N29" s="144"/>
      <c r="O29" s="428"/>
      <c r="Q29" s="144"/>
      <c r="R29" s="171"/>
      <c r="S29" s="368" t="str">
        <f ca="1">ADDRESS(MATCH(D29,INDIRECT("'"&amp; T29 &amp; "'!A:A")),4,,,T29)</f>
        <v>'C_Emissions&amp;Energy'!$D$8</v>
      </c>
      <c r="T29" s="171" t="str">
        <f ca="1">T28</f>
        <v>C_Emissions&amp;Energy</v>
      </c>
      <c r="U29" s="1119"/>
      <c r="V29" s="144"/>
    </row>
    <row r="30" spans="1:22" ht="12.75" customHeight="1" x14ac:dyDescent="0.35">
      <c r="B30" s="94"/>
      <c r="C30" s="983"/>
      <c r="D30" s="1115">
        <v>2</v>
      </c>
      <c r="E30" s="1194" t="str">
        <f ca="1">HYPERLINK("#"&amp;S30,INDIRECT(S30))</f>
        <v>Greenhouse gas emissions balance &amp; information on data quality</v>
      </c>
      <c r="F30" s="1195"/>
      <c r="G30" s="1195"/>
      <c r="H30" s="1195"/>
      <c r="I30" s="1195"/>
      <c r="J30" s="1195"/>
      <c r="K30" s="1195"/>
      <c r="L30" s="144"/>
      <c r="M30" s="144"/>
      <c r="N30" s="144"/>
      <c r="O30" s="428"/>
      <c r="Q30" s="144"/>
      <c r="R30" s="171"/>
      <c r="S30" s="368" t="str">
        <f ca="1">ADDRESS(MATCH(D30,INDIRECT("'"&amp; T30 &amp; "'!A:A")),4,,,T30)</f>
        <v>'C_Emissions&amp;Energy'!$D$19</v>
      </c>
      <c r="T30" s="171" t="str">
        <f ca="1">T29</f>
        <v>C_Emissions&amp;Energy</v>
      </c>
      <c r="U30" s="1119"/>
      <c r="V30" s="144"/>
    </row>
    <row r="31" spans="1:22" ht="5.15" customHeight="1" x14ac:dyDescent="0.35">
      <c r="B31" s="94"/>
      <c r="C31" s="983"/>
      <c r="D31" s="914"/>
      <c r="E31" s="144"/>
      <c r="F31" s="144"/>
      <c r="G31" s="144"/>
      <c r="H31" s="144"/>
      <c r="I31" s="144"/>
      <c r="J31" s="144"/>
      <c r="K31" s="144"/>
      <c r="L31" s="144"/>
      <c r="M31" s="144"/>
      <c r="N31" s="144"/>
      <c r="O31" s="428"/>
      <c r="Q31" s="144"/>
      <c r="R31" s="171"/>
      <c r="S31" s="171"/>
      <c r="T31" s="171"/>
      <c r="U31" s="1119"/>
      <c r="V31" s="144"/>
    </row>
    <row r="32" spans="1:22" s="100" customFormat="1" ht="12.75" customHeight="1" x14ac:dyDescent="0.35">
      <c r="A32" s="99"/>
      <c r="B32" s="101"/>
      <c r="C32" s="983" t="s">
        <v>407</v>
      </c>
      <c r="D32" s="1198" t="str">
        <f ca="1">HYPERLINK("#"&amp;S32,INDIRECT(S32))</f>
        <v>Sheet "D_Processes" - Production level and attributed emissions for SEE calculation</v>
      </c>
      <c r="E32" s="1195"/>
      <c r="F32" s="1195"/>
      <c r="G32" s="1195"/>
      <c r="H32" s="1195"/>
      <c r="I32" s="1195"/>
      <c r="J32" s="1195"/>
      <c r="K32" s="1195"/>
      <c r="L32" s="167"/>
      <c r="M32" s="167"/>
      <c r="N32" s="167"/>
      <c r="O32" s="1124"/>
      <c r="P32" s="101"/>
      <c r="Q32" s="167"/>
      <c r="R32" s="928"/>
      <c r="S32" s="367" t="str">
        <f ca="1">ADDRESS(7,5,,,T32)</f>
        <v>D_Processes!$E$7</v>
      </c>
      <c r="T32" s="928" t="str">
        <f ca="1">D_Processes!$U$2</f>
        <v>D_Processes</v>
      </c>
      <c r="U32" s="1121"/>
      <c r="V32" s="167"/>
    </row>
    <row r="33" spans="2:22" ht="12.75" customHeight="1" x14ac:dyDescent="0.35">
      <c r="B33" s="94"/>
      <c r="C33" s="983"/>
      <c r="D33" s="1115">
        <v>1</v>
      </c>
      <c r="E33" s="1194" t="str">
        <f ca="1">HYPERLINK("#"&amp;S33,INDIRECT(S33))</f>
        <v>Data input for the determination of the specific embedded emissions</v>
      </c>
      <c r="F33" s="1195"/>
      <c r="G33" s="1195"/>
      <c r="H33" s="1195"/>
      <c r="I33" s="1195"/>
      <c r="J33" s="1195"/>
      <c r="K33" s="1195"/>
      <c r="L33" s="144"/>
      <c r="M33" s="144"/>
      <c r="N33" s="144"/>
      <c r="O33" s="428"/>
      <c r="Q33" s="144"/>
      <c r="R33" s="171"/>
      <c r="S33" s="368" t="str">
        <f ca="1">ADDRESS(MATCH(D33,INDIRECT("'"&amp; T33 &amp; "'!A:A")),4,,,T33)</f>
        <v>D_Processes!$D$9</v>
      </c>
      <c r="T33" s="171" t="str">
        <f ca="1">T32</f>
        <v>D_Processes</v>
      </c>
      <c r="U33" s="1119"/>
      <c r="V33" s="144"/>
    </row>
    <row r="34" spans="2:22" ht="5.15" customHeight="1" x14ac:dyDescent="0.35">
      <c r="B34" s="94"/>
      <c r="C34" s="144"/>
      <c r="D34" s="144"/>
      <c r="E34" s="971"/>
      <c r="F34" s="144"/>
      <c r="G34" s="144"/>
      <c r="H34" s="144"/>
      <c r="I34" s="144"/>
      <c r="J34" s="144"/>
      <c r="K34" s="144"/>
      <c r="L34" s="144"/>
      <c r="M34" s="144"/>
      <c r="N34" s="144"/>
      <c r="O34" s="428"/>
      <c r="Q34" s="144"/>
      <c r="R34" s="171"/>
      <c r="S34" s="171"/>
      <c r="T34" s="171"/>
      <c r="U34" s="1119"/>
      <c r="V34" s="144"/>
    </row>
    <row r="35" spans="2:22" ht="12.75" customHeight="1" x14ac:dyDescent="0.35">
      <c r="B35" s="94"/>
      <c r="C35" s="983" t="s">
        <v>409</v>
      </c>
      <c r="D35" s="1198" t="str">
        <f ca="1">HYPERLINK("#"&amp;S35,INDIRECT(S35))</f>
        <v>Sheet "E_PurchPrec" - Purchased precursors for SEE calculation</v>
      </c>
      <c r="E35" s="1195"/>
      <c r="F35" s="1195"/>
      <c r="G35" s="1195"/>
      <c r="H35" s="1195"/>
      <c r="I35" s="1195"/>
      <c r="J35" s="1195"/>
      <c r="K35" s="1195"/>
      <c r="L35" s="144"/>
      <c r="M35" s="144"/>
      <c r="N35" s="144"/>
      <c r="O35" s="428"/>
      <c r="Q35" s="144"/>
      <c r="R35" s="171"/>
      <c r="S35" s="367" t="str">
        <f ca="1">ADDRESS(8,5,,,T35)</f>
        <v>E_PurchPrec!$E$8</v>
      </c>
      <c r="T35" s="928" t="str">
        <f ca="1">E_PurchPrec!$U$2</f>
        <v>E_PurchPrec</v>
      </c>
      <c r="U35" s="1119"/>
      <c r="V35" s="144"/>
    </row>
    <row r="36" spans="2:22" ht="12.75" customHeight="1" x14ac:dyDescent="0.35">
      <c r="B36" s="94"/>
      <c r="C36" s="983"/>
      <c r="D36" s="1115">
        <v>1</v>
      </c>
      <c r="E36" s="1194" t="str">
        <f ca="1">HYPERLINK("#"&amp;S36,INDIRECT(S36))</f>
        <v>Data input for the determination of the specific embedded emissions</v>
      </c>
      <c r="F36" s="1195"/>
      <c r="G36" s="1195"/>
      <c r="H36" s="1195"/>
      <c r="I36" s="1195"/>
      <c r="J36" s="1195"/>
      <c r="K36" s="1195"/>
      <c r="L36" s="144"/>
      <c r="M36" s="144"/>
      <c r="N36" s="144"/>
      <c r="O36" s="428"/>
      <c r="Q36" s="144"/>
      <c r="R36" s="171"/>
      <c r="S36" s="368" t="str">
        <f ca="1">ADDRESS(MATCH(D36,INDIRECT("'"&amp; T36 &amp; "'!A:A")),4,,,T36)</f>
        <v>E_PurchPrec!$D$12</v>
      </c>
      <c r="T36" s="171" t="str">
        <f ca="1">T35</f>
        <v>E_PurchPrec</v>
      </c>
      <c r="U36" s="1119"/>
      <c r="V36" s="144"/>
    </row>
    <row r="37" spans="2:22" ht="5.15" customHeight="1" x14ac:dyDescent="0.35">
      <c r="B37" s="94"/>
      <c r="C37" s="144"/>
      <c r="D37" s="914"/>
      <c r="E37" s="144"/>
      <c r="F37" s="144"/>
      <c r="G37" s="144"/>
      <c r="H37" s="144"/>
      <c r="I37" s="144"/>
      <c r="J37" s="144"/>
      <c r="K37" s="144"/>
      <c r="L37" s="144"/>
      <c r="M37" s="144"/>
      <c r="N37" s="144"/>
      <c r="O37" s="428"/>
      <c r="Q37" s="144"/>
      <c r="R37" s="171"/>
      <c r="S37" s="171"/>
      <c r="T37" s="171"/>
      <c r="U37" s="1119"/>
      <c r="V37" s="144"/>
    </row>
    <row r="38" spans="2:22" ht="12.75" customHeight="1" x14ac:dyDescent="0.35">
      <c r="B38" s="94"/>
      <c r="C38" s="983" t="s">
        <v>2822</v>
      </c>
      <c r="D38" s="1198" t="str">
        <f ca="1">HYPERLINK("#"&amp;S38,INDIRECT(S38))</f>
        <v>Sheet "F_Tools" - Tools for facilitating reporting</v>
      </c>
      <c r="E38" s="1195"/>
      <c r="F38" s="1195"/>
      <c r="G38" s="1195"/>
      <c r="H38" s="1195"/>
      <c r="I38" s="1195"/>
      <c r="J38" s="1195"/>
      <c r="K38" s="1195"/>
      <c r="L38" s="144"/>
      <c r="M38" s="144"/>
      <c r="N38" s="144"/>
      <c r="O38" s="428"/>
      <c r="Q38" s="144"/>
      <c r="R38" s="171"/>
      <c r="S38" s="367" t="str">
        <f ca="1">ADDRESS(6,5,,,T38)</f>
        <v>F_Tools!$E$6</v>
      </c>
      <c r="T38" s="928" t="str">
        <f ca="1">F_Tools!$U$2</f>
        <v>F_Tools</v>
      </c>
      <c r="U38" s="1119"/>
      <c r="V38" s="144"/>
    </row>
    <row r="39" spans="2:22" ht="12.75" customHeight="1" x14ac:dyDescent="0.35">
      <c r="B39" s="94"/>
      <c r="C39" s="983"/>
      <c r="D39" s="1115">
        <v>1</v>
      </c>
      <c r="E39" s="1194" t="str">
        <f ca="1">HYPERLINK("#"&amp;S39,INDIRECT(S39))</f>
        <v>Cogeneration Tool</v>
      </c>
      <c r="F39" s="1195"/>
      <c r="G39" s="1195"/>
      <c r="H39" s="1195"/>
      <c r="I39" s="1195"/>
      <c r="J39" s="1195"/>
      <c r="K39" s="1195"/>
      <c r="L39" s="144"/>
      <c r="M39" s="144"/>
      <c r="N39" s="144"/>
      <c r="O39" s="428"/>
      <c r="Q39" s="144"/>
      <c r="R39" s="171"/>
      <c r="S39" s="368" t="str">
        <f ca="1">ADDRESS(MATCH(D39,INDIRECT("'"&amp; T39 &amp; "'!A:A")),4,,,T39)</f>
        <v>F_Tools!$D$8</v>
      </c>
      <c r="T39" s="171" t="str">
        <f ca="1">T38</f>
        <v>F_Tools</v>
      </c>
      <c r="U39" s="1119"/>
      <c r="V39" s="144"/>
    </row>
    <row r="40" spans="2:22" ht="12.75" customHeight="1" x14ac:dyDescent="0.35">
      <c r="B40" s="94"/>
      <c r="C40" s="144"/>
      <c r="D40" s="1115">
        <v>2</v>
      </c>
      <c r="E40" s="1194" t="str">
        <f ca="1">HYPERLINK("#"&amp;S40,INDIRECT(S40))</f>
        <v>Tool to calculate the carbon price due</v>
      </c>
      <c r="F40" s="1195"/>
      <c r="G40" s="1195"/>
      <c r="H40" s="1195"/>
      <c r="I40" s="1195"/>
      <c r="J40" s="1195"/>
      <c r="K40" s="1195"/>
      <c r="L40" s="144"/>
      <c r="M40" s="144"/>
      <c r="N40" s="144"/>
      <c r="O40" s="428"/>
      <c r="Q40" s="144"/>
      <c r="R40" s="171"/>
      <c r="S40" s="368" t="str">
        <f ca="1">ADDRESS(MATCH(D40,INDIRECT("'"&amp; T40 &amp; "'!A:A")),4,,,T40)</f>
        <v>F_Tools!$D$81</v>
      </c>
      <c r="T40" s="171" t="str">
        <f ca="1">T39</f>
        <v>F_Tools</v>
      </c>
      <c r="U40" s="1119"/>
      <c r="V40" s="144"/>
    </row>
    <row r="41" spans="2:22" ht="5.15" customHeight="1" x14ac:dyDescent="0.35">
      <c r="B41" s="94"/>
      <c r="C41" s="144"/>
      <c r="D41" s="914"/>
      <c r="E41" s="144"/>
      <c r="F41" s="144"/>
      <c r="G41" s="144"/>
      <c r="H41" s="144"/>
      <c r="I41" s="144"/>
      <c r="J41" s="144"/>
      <c r="K41" s="144"/>
      <c r="L41" s="144"/>
      <c r="M41" s="144"/>
      <c r="N41" s="144"/>
      <c r="O41" s="428"/>
      <c r="Q41" s="144"/>
      <c r="R41" s="171"/>
      <c r="S41" s="171"/>
      <c r="T41" s="171"/>
      <c r="U41" s="1119"/>
      <c r="V41" s="144"/>
    </row>
    <row r="42" spans="2:22" ht="12.75" customHeight="1" x14ac:dyDescent="0.35">
      <c r="B42" s="94"/>
      <c r="C42" s="983" t="s">
        <v>2821</v>
      </c>
      <c r="D42" s="1198" t="str">
        <f ca="1">HYPERLINK("#"&amp;S42,INDIRECT(S42))</f>
        <v>Sheet "G_FurtherGuidance" - Further guidance on specific sections in this template</v>
      </c>
      <c r="E42" s="1195"/>
      <c r="F42" s="1195"/>
      <c r="G42" s="1195"/>
      <c r="H42" s="1195"/>
      <c r="I42" s="1195"/>
      <c r="J42" s="1195"/>
      <c r="K42" s="1195"/>
      <c r="L42" s="144"/>
      <c r="M42" s="144"/>
      <c r="N42" s="144"/>
      <c r="O42" s="428"/>
      <c r="Q42" s="144"/>
      <c r="R42" s="171"/>
      <c r="S42" s="367" t="str">
        <f ca="1">ADDRESS(6,5,,,T42)</f>
        <v>G_FurtherGuidance!$E$6</v>
      </c>
      <c r="T42" s="928" t="str">
        <f ca="1">G_FurtherGuidance!$U$2</f>
        <v>G_FurtherGuidance</v>
      </c>
      <c r="U42" s="1119"/>
      <c r="V42" s="144"/>
    </row>
    <row r="43" spans="2:22" ht="12.75" customHeight="1" x14ac:dyDescent="0.35">
      <c r="B43" s="94"/>
      <c r="C43" s="983"/>
      <c r="D43" s="1115">
        <v>1</v>
      </c>
      <c r="E43" s="1194" t="str">
        <f ca="1">HYPERLINK("#"&amp;S43,INDIRECT(S43))</f>
        <v>General guidance</v>
      </c>
      <c r="F43" s="1195"/>
      <c r="G43" s="1195"/>
      <c r="H43" s="1195"/>
      <c r="I43" s="1195"/>
      <c r="J43" s="1195"/>
      <c r="K43" s="1195"/>
      <c r="L43" s="144"/>
      <c r="M43" s="144"/>
      <c r="N43" s="144"/>
      <c r="O43" s="428"/>
      <c r="Q43" s="144"/>
      <c r="R43" s="171"/>
      <c r="S43" s="368" t="str">
        <f ca="1">ADDRESS(MATCH(D43,INDIRECT("'"&amp; T43 &amp; "'!A:A")),4,,,T43)</f>
        <v>G_FurtherGuidance!$D$8</v>
      </c>
      <c r="T43" s="171" t="str">
        <f ca="1">T42</f>
        <v>G_FurtherGuidance</v>
      </c>
      <c r="U43" s="1119"/>
      <c r="V43" s="144"/>
    </row>
    <row r="44" spans="2:22" ht="12.75" customHeight="1" x14ac:dyDescent="0.35">
      <c r="B44" s="94"/>
      <c r="C44" s="144"/>
      <c r="D44" s="1115">
        <v>2</v>
      </c>
      <c r="E44" s="1194" t="str">
        <f ca="1">HYPERLINK("#"&amp;S44,INDIRECT(S44))</f>
        <v>Source streams and emission sources</v>
      </c>
      <c r="F44" s="1195"/>
      <c r="G44" s="1195"/>
      <c r="H44" s="1195"/>
      <c r="I44" s="1195"/>
      <c r="J44" s="1195"/>
      <c r="K44" s="1195"/>
      <c r="L44" s="144"/>
      <c r="M44" s="144"/>
      <c r="N44" s="144"/>
      <c r="O44" s="428"/>
      <c r="Q44" s="144"/>
      <c r="R44" s="171"/>
      <c r="S44" s="368" t="str">
        <f ca="1">ADDRESS(MATCH(D44,INDIRECT("'"&amp; T44 &amp; "'!A:A")),4,,,T44)</f>
        <v>G_FurtherGuidance!$D$17</v>
      </c>
      <c r="T44" s="171" t="str">
        <f ca="1">T43</f>
        <v>G_FurtherGuidance</v>
      </c>
      <c r="U44" s="1119"/>
      <c r="V44" s="144"/>
    </row>
    <row r="45" spans="2:22" ht="12.75" customHeight="1" x14ac:dyDescent="0.35">
      <c r="B45" s="94"/>
      <c r="C45" s="144"/>
      <c r="D45" s="1115">
        <v>3</v>
      </c>
      <c r="E45" s="1194" t="str">
        <f ca="1">HYPERLINK("#"&amp;S45,INDIRECT(S45))</f>
        <v>Attribution of emissions to production processes</v>
      </c>
      <c r="F45" s="1195"/>
      <c r="G45" s="1195"/>
      <c r="H45" s="1195"/>
      <c r="I45" s="1195"/>
      <c r="J45" s="1195"/>
      <c r="K45" s="1195"/>
      <c r="L45" s="144"/>
      <c r="M45" s="144"/>
      <c r="N45" s="144"/>
      <c r="O45" s="428"/>
      <c r="Q45" s="144"/>
      <c r="R45" s="171"/>
      <c r="S45" s="368" t="str">
        <f ca="1">ADDRESS(MATCH(D45,INDIRECT("'"&amp; T45 &amp; "'!A:A")),4,,,T45)</f>
        <v>G_FurtherGuidance!$D$102</v>
      </c>
      <c r="T45" s="171" t="str">
        <f ca="1">T44</f>
        <v>G_FurtherGuidance</v>
      </c>
      <c r="U45" s="1119"/>
      <c r="V45" s="144"/>
    </row>
    <row r="46" spans="2:22" ht="12.75" customHeight="1" x14ac:dyDescent="0.35">
      <c r="B46" s="94"/>
      <c r="C46" s="144"/>
      <c r="D46" s="1115">
        <v>4</v>
      </c>
      <c r="E46" s="1194" t="str">
        <f ca="1">HYPERLINK("#"&amp;S46,INDIRECT(S46))</f>
        <v>Data input for the determination of the specific embedded emissions</v>
      </c>
      <c r="F46" s="1195"/>
      <c r="G46" s="1195"/>
      <c r="H46" s="1195"/>
      <c r="I46" s="1195"/>
      <c r="J46" s="1195"/>
      <c r="K46" s="1195"/>
      <c r="L46" s="144"/>
      <c r="M46" s="144"/>
      <c r="N46" s="144"/>
      <c r="O46" s="428"/>
      <c r="Q46" s="144"/>
      <c r="R46" s="171"/>
      <c r="S46" s="368" t="str">
        <f ca="1">ADDRESS(MATCH(D46,INDIRECT("'"&amp; T46 &amp; "'!A:A")),4,,,T46)</f>
        <v>G_FurtherGuidance!$D$152</v>
      </c>
      <c r="T46" s="171" t="str">
        <f ca="1">T45</f>
        <v>G_FurtherGuidance</v>
      </c>
      <c r="U46" s="1119"/>
      <c r="V46" s="144"/>
    </row>
    <row r="47" spans="2:22" ht="12.75" customHeight="1" x14ac:dyDescent="0.35">
      <c r="B47" s="94"/>
      <c r="C47" s="144"/>
      <c r="D47" s="1115">
        <v>5</v>
      </c>
      <c r="E47" s="1194" t="str">
        <f ca="1">HYPERLINK("#"&amp;S47,INDIRECT(S47))</f>
        <v>Summary of products</v>
      </c>
      <c r="F47" s="1195"/>
      <c r="G47" s="1195"/>
      <c r="H47" s="1195"/>
      <c r="I47" s="1195"/>
      <c r="J47" s="1195"/>
      <c r="K47" s="1195"/>
      <c r="L47" s="144"/>
      <c r="M47" s="144"/>
      <c r="N47" s="144"/>
      <c r="O47" s="428"/>
      <c r="Q47" s="144"/>
      <c r="R47" s="171"/>
      <c r="S47" s="368" t="str">
        <f ca="1">ADDRESS(MATCH(D47,INDIRECT("'"&amp; T47 &amp; "'!A:A")),4,,,T47)</f>
        <v>G_FurtherGuidance!$D$189</v>
      </c>
      <c r="T47" s="171" t="str">
        <f ca="1">T46</f>
        <v>G_FurtherGuidance</v>
      </c>
      <c r="U47" s="1119"/>
      <c r="V47" s="144"/>
    </row>
    <row r="48" spans="2:22" ht="5.15" customHeight="1" x14ac:dyDescent="0.35">
      <c r="B48" s="94"/>
      <c r="C48" s="144"/>
      <c r="D48" s="914"/>
      <c r="E48" s="144"/>
      <c r="F48" s="144"/>
      <c r="G48" s="144"/>
      <c r="H48" s="144"/>
      <c r="I48" s="144"/>
      <c r="J48" s="144"/>
      <c r="K48" s="144"/>
      <c r="L48" s="144"/>
      <c r="M48" s="144"/>
      <c r="N48" s="144"/>
      <c r="O48" s="428"/>
      <c r="Q48" s="144"/>
      <c r="R48" s="171"/>
      <c r="S48" s="171"/>
      <c r="T48" s="171"/>
      <c r="U48" s="1119"/>
      <c r="V48" s="144"/>
    </row>
    <row r="49" spans="2:22" ht="5.15" customHeight="1" x14ac:dyDescent="0.35">
      <c r="B49" s="94"/>
      <c r="C49" s="913"/>
      <c r="D49" s="969"/>
      <c r="E49" s="913"/>
      <c r="F49" s="913"/>
      <c r="G49" s="913"/>
      <c r="H49" s="913"/>
      <c r="I49" s="913"/>
      <c r="J49" s="913"/>
      <c r="K49" s="913"/>
      <c r="L49" s="144"/>
      <c r="M49" s="144"/>
      <c r="N49" s="144"/>
      <c r="O49" s="428"/>
      <c r="Q49" s="144"/>
      <c r="R49" s="171"/>
      <c r="S49" s="171"/>
      <c r="T49" s="171"/>
      <c r="U49" s="1119"/>
      <c r="V49" s="144"/>
    </row>
    <row r="50" spans="2:22" ht="12.75" customHeight="1" x14ac:dyDescent="0.35">
      <c r="B50" s="94"/>
      <c r="C50" s="913"/>
      <c r="D50" s="1197" t="str">
        <f>Translations!$B$13</f>
        <v>The following two sheets summarise the results at process and product level, respectively:</v>
      </c>
      <c r="E50" s="1197"/>
      <c r="F50" s="1197"/>
      <c r="G50" s="1197"/>
      <c r="H50" s="1197"/>
      <c r="I50" s="1197"/>
      <c r="J50" s="1197"/>
      <c r="K50" s="1197"/>
      <c r="L50" s="144"/>
      <c r="M50" s="144"/>
      <c r="N50" s="144"/>
      <c r="O50" s="428"/>
      <c r="Q50" s="144"/>
      <c r="R50" s="171"/>
      <c r="S50" s="171"/>
      <c r="T50" s="171"/>
      <c r="U50" s="1119"/>
      <c r="V50" s="144"/>
    </row>
    <row r="51" spans="2:22" ht="13" x14ac:dyDescent="0.35">
      <c r="B51" s="94"/>
      <c r="C51" s="913"/>
      <c r="D51" s="1196" t="str">
        <f ca="1">HYPERLINK("#"&amp;S51,INDIRECT(S51))</f>
        <v>Summary of production processes</v>
      </c>
      <c r="E51" s="1196"/>
      <c r="F51" s="1196"/>
      <c r="G51" s="1196"/>
      <c r="H51" s="1196"/>
      <c r="I51" s="1196"/>
      <c r="J51" s="1196"/>
      <c r="K51" s="1196"/>
      <c r="L51" s="144"/>
      <c r="M51" s="144"/>
      <c r="N51" s="144"/>
      <c r="O51" s="428"/>
      <c r="Q51" s="144"/>
      <c r="R51" s="171"/>
      <c r="S51" s="367" t="str">
        <f ca="1">ADDRESS(2,2,,,T51)</f>
        <v>Summary_Processes!$B$2</v>
      </c>
      <c r="T51" s="928" t="str">
        <f ca="1">Summary_Processes!$Y$2</f>
        <v>Summary_Processes</v>
      </c>
      <c r="U51" s="1119"/>
      <c r="V51" s="144"/>
    </row>
    <row r="52" spans="2:22" ht="13" x14ac:dyDescent="0.35">
      <c r="B52" s="94"/>
      <c r="C52" s="913"/>
      <c r="D52" s="1196" t="str">
        <f ca="1">HYPERLINK("#"&amp;S52,INDIRECT(S52))</f>
        <v>Summary of products</v>
      </c>
      <c r="E52" s="1196"/>
      <c r="F52" s="1196"/>
      <c r="G52" s="1196"/>
      <c r="H52" s="1196"/>
      <c r="I52" s="1196"/>
      <c r="J52" s="1196"/>
      <c r="K52" s="1196"/>
      <c r="L52" s="144"/>
      <c r="M52" s="144"/>
      <c r="N52" s="144"/>
      <c r="O52" s="428"/>
      <c r="Q52" s="144"/>
      <c r="R52" s="171"/>
      <c r="S52" s="367" t="str">
        <f ca="1">ADDRESS(2,2,,,T52)</f>
        <v>Summary_Products!$B$2</v>
      </c>
      <c r="T52" s="928" t="str">
        <f ca="1">Summary_Products!$BF$2</f>
        <v>Summary_Products</v>
      </c>
      <c r="U52" s="1119"/>
      <c r="V52" s="144"/>
    </row>
    <row r="53" spans="2:22" ht="5.15" customHeight="1" x14ac:dyDescent="0.35">
      <c r="B53" s="94"/>
      <c r="C53" s="913"/>
      <c r="D53" s="1116"/>
      <c r="E53" s="1117"/>
      <c r="F53" s="913"/>
      <c r="G53" s="913"/>
      <c r="H53" s="913"/>
      <c r="I53" s="913"/>
      <c r="J53" s="913"/>
      <c r="K53" s="913"/>
      <c r="L53" s="144"/>
      <c r="M53" s="144"/>
      <c r="N53" s="144"/>
      <c r="O53" s="428"/>
      <c r="Q53" s="144"/>
      <c r="R53" s="171"/>
      <c r="S53" s="493"/>
      <c r="T53" s="928"/>
      <c r="U53" s="1119"/>
      <c r="V53" s="144"/>
    </row>
    <row r="54" spans="2:22" ht="12.75" customHeight="1" x14ac:dyDescent="0.35">
      <c r="B54" s="94"/>
      <c r="C54" s="913"/>
      <c r="D54" s="1197" t="str">
        <f>Translations!$B$14</f>
        <v>The following sheet summarises the main information to be communicated to the reporting declarant:</v>
      </c>
      <c r="E54" s="1197"/>
      <c r="F54" s="1197"/>
      <c r="G54" s="1197"/>
      <c r="H54" s="1197"/>
      <c r="I54" s="1197"/>
      <c r="J54" s="1197"/>
      <c r="K54" s="1197"/>
      <c r="L54" s="144"/>
      <c r="M54" s="144"/>
      <c r="N54" s="144"/>
      <c r="O54" s="428"/>
      <c r="Q54" s="144"/>
      <c r="R54" s="171"/>
      <c r="S54" s="493"/>
      <c r="T54" s="928"/>
      <c r="U54" s="1119"/>
      <c r="V54" s="144"/>
    </row>
    <row r="55" spans="2:22" ht="12.75" customHeight="1" x14ac:dyDescent="0.35">
      <c r="B55" s="94"/>
      <c r="C55" s="913"/>
      <c r="D55" s="1196" t="str">
        <f ca="1">HYPERLINK("#"&amp;S55,INDIRECT(S55))</f>
        <v>Communication with reporting declarants</v>
      </c>
      <c r="E55" s="1196"/>
      <c r="F55" s="1196"/>
      <c r="G55" s="1196"/>
      <c r="H55" s="1196"/>
      <c r="I55" s="1196"/>
      <c r="J55" s="1196"/>
      <c r="K55" s="1196"/>
      <c r="L55" s="144"/>
      <c r="M55" s="144"/>
      <c r="N55" s="144"/>
      <c r="O55" s="428"/>
      <c r="Q55" s="144"/>
      <c r="R55" s="171"/>
      <c r="S55" s="367" t="str">
        <f ca="1">ADDRESS(2,2,,,T55)</f>
        <v>Summary_Communication!$B$2</v>
      </c>
      <c r="T55" s="928" t="str">
        <f ca="1">Summary_Communication!$BF$2</f>
        <v>Summary_Communication</v>
      </c>
      <c r="U55" s="1119"/>
      <c r="V55" s="144"/>
    </row>
    <row r="56" spans="2:22" ht="5.15" customHeight="1" x14ac:dyDescent="0.35">
      <c r="B56" s="94"/>
      <c r="C56" s="913"/>
      <c r="D56" s="1116"/>
      <c r="E56" s="1117"/>
      <c r="F56" s="913"/>
      <c r="G56" s="913"/>
      <c r="H56" s="913"/>
      <c r="I56" s="913"/>
      <c r="J56" s="913"/>
      <c r="K56" s="913"/>
      <c r="L56" s="144"/>
      <c r="M56" s="144"/>
      <c r="N56" s="144"/>
      <c r="O56" s="428"/>
      <c r="Q56" s="144"/>
      <c r="R56" s="171"/>
      <c r="S56" s="493"/>
      <c r="T56" s="928"/>
      <c r="U56" s="1119"/>
      <c r="V56" s="144"/>
    </row>
    <row r="57" spans="2:22" ht="5.15" customHeight="1" x14ac:dyDescent="0.35">
      <c r="B57" s="94"/>
      <c r="C57" s="913"/>
      <c r="D57" s="1116"/>
      <c r="E57" s="1117"/>
      <c r="F57" s="913"/>
      <c r="G57" s="913"/>
      <c r="H57" s="913"/>
      <c r="I57" s="913"/>
      <c r="J57" s="913"/>
      <c r="K57" s="913"/>
      <c r="L57" s="144"/>
      <c r="M57" s="144"/>
      <c r="N57" s="144"/>
      <c r="O57" s="428"/>
      <c r="Q57" s="144"/>
      <c r="R57" s="171"/>
      <c r="S57" s="493"/>
      <c r="T57" s="928"/>
      <c r="U57" s="1119"/>
      <c r="V57" s="144"/>
    </row>
    <row r="58" spans="2:22" ht="13" thickBot="1" x14ac:dyDescent="0.4">
      <c r="B58" s="94"/>
      <c r="C58" s="144"/>
      <c r="D58" s="144"/>
      <c r="E58" s="144"/>
      <c r="F58" s="144"/>
      <c r="G58" s="144"/>
      <c r="H58" s="144"/>
      <c r="I58" s="144"/>
      <c r="J58" s="144"/>
      <c r="K58" s="144"/>
      <c r="L58" s="144"/>
      <c r="M58" s="144"/>
      <c r="N58" s="144"/>
      <c r="O58" s="428"/>
      <c r="Q58" s="144"/>
      <c r="R58" s="171"/>
      <c r="S58" s="171"/>
      <c r="T58" s="171"/>
      <c r="U58" s="1119"/>
      <c r="V58" s="144"/>
    </row>
    <row r="59" spans="2:22" x14ac:dyDescent="0.35">
      <c r="B59" s="94"/>
      <c r="C59" s="144"/>
      <c r="D59" s="73" t="str">
        <f>Translations!$B$15</f>
        <v>Language version:</v>
      </c>
      <c r="E59" s="74"/>
      <c r="F59" s="74"/>
      <c r="G59" s="75"/>
      <c r="H59" s="76" t="str">
        <f>INDEX(Translations!$C$4:$M$4,Translations!A3-2)</f>
        <v>English Version (Original)</v>
      </c>
      <c r="I59" s="76"/>
      <c r="J59" s="76"/>
      <c r="K59" s="77"/>
      <c r="L59" s="144"/>
      <c r="M59" s="144"/>
      <c r="N59" s="144"/>
      <c r="O59" s="428"/>
      <c r="Q59" s="144"/>
      <c r="R59" s="171"/>
      <c r="S59" s="171"/>
      <c r="T59" s="171"/>
      <c r="U59" s="1119"/>
      <c r="V59" s="144"/>
    </row>
    <row r="60" spans="2:22" ht="13" thickBot="1" x14ac:dyDescent="0.4">
      <c r="B60" s="94"/>
      <c r="C60" s="144"/>
      <c r="D60" s="78" t="str">
        <f>Translations!$B$16</f>
        <v>Reference filename:</v>
      </c>
      <c r="E60" s="79"/>
      <c r="F60" s="79"/>
      <c r="G60" s="80"/>
      <c r="H60" s="81" t="str">
        <f>VersionDocumentation!C3</f>
        <v>CBAM SEE Communication V2_UBA_en_131224.xls</v>
      </c>
      <c r="I60" s="81"/>
      <c r="J60" s="81"/>
      <c r="K60" s="82"/>
      <c r="L60" s="144"/>
      <c r="M60" s="144"/>
      <c r="N60" s="144"/>
      <c r="O60" s="428"/>
      <c r="Q60" s="144"/>
      <c r="R60" s="171"/>
      <c r="S60" s="171"/>
      <c r="T60" s="171"/>
      <c r="U60" s="1119"/>
      <c r="V60" s="144"/>
    </row>
    <row r="61" spans="2:22" x14ac:dyDescent="0.35">
      <c r="B61" s="94"/>
      <c r="C61" s="144"/>
      <c r="D61" s="83"/>
      <c r="E61" s="83"/>
      <c r="F61" s="83"/>
      <c r="G61" s="83"/>
      <c r="H61" s="83"/>
      <c r="I61" s="83"/>
      <c r="J61" s="83"/>
      <c r="K61" s="83"/>
      <c r="L61" s="144"/>
      <c r="M61" s="144"/>
      <c r="N61" s="144"/>
      <c r="O61" s="428"/>
      <c r="Q61" s="144"/>
      <c r="R61" s="171"/>
      <c r="S61" s="171"/>
      <c r="T61" s="171"/>
      <c r="U61" s="1119"/>
      <c r="V61" s="144"/>
    </row>
    <row r="62" spans="2:22" ht="13.5" thickBot="1" x14ac:dyDescent="0.4">
      <c r="B62" s="94"/>
      <c r="C62" s="144"/>
      <c r="D62" s="71" t="str">
        <f>Translations!$B$17</f>
        <v>Information about this file:</v>
      </c>
      <c r="E62" s="71"/>
      <c r="F62" s="71"/>
      <c r="G62" s="83"/>
      <c r="H62" s="83"/>
      <c r="I62" s="83"/>
      <c r="J62" s="83"/>
      <c r="K62" s="83"/>
      <c r="L62" s="144"/>
      <c r="M62" s="144"/>
      <c r="N62" s="144"/>
      <c r="O62" s="428"/>
      <c r="Q62" s="144"/>
      <c r="R62" s="171"/>
      <c r="S62" s="171"/>
      <c r="T62" s="171"/>
      <c r="U62" s="1119"/>
      <c r="V62" s="144"/>
    </row>
    <row r="63" spans="2:22" x14ac:dyDescent="0.35">
      <c r="B63" s="94"/>
      <c r="C63" s="144"/>
      <c r="D63" s="73" t="str">
        <f>Translations!$B$18</f>
        <v>Installation name:</v>
      </c>
      <c r="E63" s="74"/>
      <c r="F63" s="74"/>
      <c r="G63" s="75"/>
      <c r="H63" s="76" t="str">
        <f>IF(A_InstData!I20="","",A_InstData!I20)</f>
        <v/>
      </c>
      <c r="I63" s="76"/>
      <c r="J63" s="76"/>
      <c r="K63" s="77"/>
      <c r="L63" s="144"/>
      <c r="M63" s="144"/>
      <c r="N63" s="144"/>
      <c r="O63" s="428"/>
      <c r="Q63" s="144"/>
      <c r="R63" s="171"/>
      <c r="S63" s="171"/>
      <c r="T63" s="171"/>
      <c r="U63" s="1119"/>
      <c r="V63" s="144"/>
    </row>
    <row r="64" spans="2:22" ht="13" thickBot="1" x14ac:dyDescent="0.3">
      <c r="B64" s="94"/>
      <c r="C64" s="144"/>
      <c r="D64" s="72" t="str">
        <f>Translations!$B$19</f>
        <v>Reporting period:</v>
      </c>
      <c r="E64" s="84"/>
      <c r="F64" s="84"/>
      <c r="G64" s="85"/>
      <c r="H64" s="87" t="str">
        <f>Translations!$B$20</f>
        <v>from:</v>
      </c>
      <c r="I64" s="88" t="str">
        <f>IF(A_InstData!I9="","",A_InstData!I9)</f>
        <v/>
      </c>
      <c r="J64" s="86" t="str">
        <f>Translations!$B$21</f>
        <v>to:</v>
      </c>
      <c r="K64" s="89" t="str">
        <f>IF(A_InstData!L9="","",A_InstData!L9)</f>
        <v/>
      </c>
      <c r="L64" s="144"/>
      <c r="M64" s="144"/>
      <c r="N64" s="144"/>
      <c r="O64" s="428"/>
      <c r="Q64" s="144"/>
      <c r="R64" s="171"/>
      <c r="S64" s="171"/>
      <c r="T64" s="171"/>
      <c r="U64" s="1119"/>
      <c r="V64" s="144"/>
    </row>
    <row r="65" spans="1:22" ht="12.75" customHeight="1" thickBot="1" x14ac:dyDescent="0.4">
      <c r="B65" s="934"/>
      <c r="C65" s="747"/>
      <c r="D65" s="747"/>
      <c r="E65" s="747"/>
      <c r="F65" s="747"/>
      <c r="G65" s="747"/>
      <c r="H65" s="747"/>
      <c r="I65" s="747"/>
      <c r="J65" s="747"/>
      <c r="K65" s="747"/>
      <c r="L65" s="747"/>
      <c r="M65" s="747"/>
      <c r="N65" s="747"/>
      <c r="O65" s="748"/>
      <c r="P65" s="934"/>
      <c r="Q65" s="747"/>
      <c r="R65" s="935"/>
      <c r="S65" s="935"/>
      <c r="T65" s="935"/>
      <c r="U65" s="1122"/>
      <c r="V65" s="144"/>
    </row>
    <row r="66" spans="1:22" s="91" customFormat="1" ht="12.75" hidden="1" customHeight="1" x14ac:dyDescent="0.35">
      <c r="A66" s="91" t="s">
        <v>3</v>
      </c>
      <c r="O66" s="427"/>
      <c r="P66" s="92" t="s">
        <v>116</v>
      </c>
      <c r="U66" s="92"/>
      <c r="V66" s="171"/>
    </row>
    <row r="67" spans="1:22" s="91" customFormat="1" ht="12.75" hidden="1" customHeight="1" x14ac:dyDescent="0.35">
      <c r="A67" s="91" t="s">
        <v>3</v>
      </c>
      <c r="O67" s="427"/>
      <c r="P67" s="92"/>
      <c r="U67" s="92"/>
      <c r="V67" s="171"/>
    </row>
    <row r="68" spans="1:22" s="91" customFormat="1" ht="12.75" hidden="1" customHeight="1" x14ac:dyDescent="0.35">
      <c r="A68" s="91" t="s">
        <v>3</v>
      </c>
      <c r="O68" s="427"/>
      <c r="P68" s="92"/>
      <c r="U68" s="92"/>
      <c r="V68" s="171"/>
    </row>
    <row r="69" spans="1:22" s="91" customFormat="1" ht="12.75" hidden="1" customHeight="1" x14ac:dyDescent="0.35">
      <c r="A69" s="91" t="s">
        <v>3</v>
      </c>
      <c r="O69" s="427"/>
      <c r="P69" s="92"/>
      <c r="U69" s="92"/>
      <c r="V69" s="171"/>
    </row>
  </sheetData>
  <sheetProtection sheet="1" objects="1" scenarios="1" formatCells="0" formatColumns="0" formatRows="0"/>
  <mergeCells count="51">
    <mergeCell ref="E24:K24"/>
    <mergeCell ref="E17:K17"/>
    <mergeCell ref="E18:K18"/>
    <mergeCell ref="E19:K19"/>
    <mergeCell ref="E20:K20"/>
    <mergeCell ref="E21:K21"/>
    <mergeCell ref="D14:K14"/>
    <mergeCell ref="D8:K8"/>
    <mergeCell ref="E45:K45"/>
    <mergeCell ref="E46:K46"/>
    <mergeCell ref="E33:K33"/>
    <mergeCell ref="E36:K36"/>
    <mergeCell ref="E39:K39"/>
    <mergeCell ref="E40:K40"/>
    <mergeCell ref="E43:K43"/>
    <mergeCell ref="E25:K25"/>
    <mergeCell ref="E26:K26"/>
    <mergeCell ref="D28:K28"/>
    <mergeCell ref="D10:K10"/>
    <mergeCell ref="D12:K12"/>
    <mergeCell ref="D16:K16"/>
    <mergeCell ref="D23:K23"/>
    <mergeCell ref="E29:K29"/>
    <mergeCell ref="E30:K30"/>
    <mergeCell ref="E44:K44"/>
    <mergeCell ref="D55:K55"/>
    <mergeCell ref="D54:K54"/>
    <mergeCell ref="D50:K50"/>
    <mergeCell ref="D51:K51"/>
    <mergeCell ref="E47:K47"/>
    <mergeCell ref="D52:K52"/>
    <mergeCell ref="D32:K32"/>
    <mergeCell ref="D35:K35"/>
    <mergeCell ref="D38:K38"/>
    <mergeCell ref="D42:K42"/>
    <mergeCell ref="M3:N3"/>
    <mergeCell ref="M4:N4"/>
    <mergeCell ref="B2:D4"/>
    <mergeCell ref="E2:F2"/>
    <mergeCell ref="G2:H2"/>
    <mergeCell ref="I2:J2"/>
    <mergeCell ref="K2:L2"/>
    <mergeCell ref="E4:F4"/>
    <mergeCell ref="G4:H4"/>
    <mergeCell ref="I4:J4"/>
    <mergeCell ref="K4:L4"/>
    <mergeCell ref="M2:N2"/>
    <mergeCell ref="E3:F3"/>
    <mergeCell ref="G3:H3"/>
    <mergeCell ref="I3:J3"/>
    <mergeCell ref="K3:L3"/>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U52"/>
  <sheetViews>
    <sheetView workbookViewId="0">
      <pane ySplit="4" topLeftCell="A5" activePane="bottomLeft" state="frozen"/>
      <selection pane="bottomLeft" activeCell="B2" sqref="B2:D4"/>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1" width="11.453125" style="91" hidden="1" customWidth="1"/>
    <col min="22" max="16384" width="11.453125" style="93"/>
  </cols>
  <sheetData>
    <row r="1" spans="1:21" s="91" customFormat="1" ht="14.15" hidden="1" customHeight="1" thickBot="1" x14ac:dyDescent="0.4">
      <c r="A1" s="905" t="s">
        <v>3</v>
      </c>
      <c r="B1" s="922"/>
      <c r="C1" s="922"/>
      <c r="D1" s="922"/>
      <c r="E1" s="922"/>
      <c r="F1" s="922"/>
      <c r="G1" s="922"/>
      <c r="H1" s="922"/>
      <c r="I1" s="922"/>
      <c r="J1" s="922"/>
      <c r="K1" s="922"/>
      <c r="L1" s="922"/>
      <c r="M1" s="922"/>
      <c r="N1" s="922"/>
      <c r="O1" s="924"/>
      <c r="P1" s="91" t="s">
        <v>3</v>
      </c>
      <c r="Q1" s="91" t="s">
        <v>3</v>
      </c>
      <c r="R1" s="91" t="s">
        <v>3</v>
      </c>
      <c r="S1" s="91" t="s">
        <v>3</v>
      </c>
      <c r="T1" s="91" t="s">
        <v>3</v>
      </c>
      <c r="U1" s="91" t="s">
        <v>3</v>
      </c>
    </row>
    <row r="2" spans="1:21" ht="14.15" customHeight="1" thickBot="1" x14ac:dyDescent="0.4">
      <c r="A2" s="92"/>
      <c r="B2" s="1178" t="str">
        <f>Translations!$B$22</f>
        <v>Guidelines &amp; Conditions</v>
      </c>
      <c r="C2" s="1179"/>
      <c r="D2" s="1180"/>
      <c r="E2" s="1187" t="str">
        <f>Translations!$B$11</f>
        <v>Navigation Area:</v>
      </c>
      <c r="F2" s="1188"/>
      <c r="G2" s="1192" t="str">
        <f ca="1">HYPERLINK("#"&amp;ADDRESS(2,3,,,a_Contents!$U$2),a_Contents!$B$2)</f>
        <v>Table of contents</v>
      </c>
      <c r="H2" s="1193"/>
      <c r="I2" s="1192" t="str">
        <f ca="1">HYPERLINK("#"&amp;ADDRESS(2,3,,,G_FurtherGuidance!$U$2),G_FurtherGuidance!$B$2)</f>
        <v>Further Guidance</v>
      </c>
      <c r="J2" s="1193"/>
      <c r="K2" s="1192" t="str">
        <f ca="1">HYPERLINK("#"&amp;ADDRESS(2,3,,,Summary_Processes!$Y$2),Summary_Processes!$Y$2)</f>
        <v>Summary_Processes</v>
      </c>
      <c r="L2" s="1193"/>
      <c r="M2" s="1192" t="str">
        <f ca="1">HYPERLINK("#"&amp;ADDRESS(2,3,,,Summary_Products!$BF$2),Summary_Products!$BF$2)</f>
        <v>Summary_Products</v>
      </c>
      <c r="N2" s="1193"/>
      <c r="O2" s="906"/>
      <c r="P2" s="921"/>
      <c r="Q2" s="921"/>
      <c r="R2" s="922" t="s">
        <v>114</v>
      </c>
      <c r="S2" s="301" t="str">
        <f>ADDRESS(ROW($B$6),COLUMN($B$6)) &amp; ":" &amp; ADDRESS(MATCH("PRINT",$P:$P,0),COLUMN($O$6))</f>
        <v>$B$6:$O$52</v>
      </c>
      <c r="T2" s="922" t="s">
        <v>25</v>
      </c>
      <c r="U2" s="1125" t="str">
        <f ca="1">IF(ISERROR(CELL("filename",V2)),"b_Guidelines&amp;Conditions",MID(CELL("filename",V2),FIND("]",CELL("filename",V2))+1,1024))</f>
        <v>b_Guidelines&amp;Conditions</v>
      </c>
    </row>
    <row r="3" spans="1:21" ht="14.15" customHeight="1" x14ac:dyDescent="0.35">
      <c r="A3" s="92"/>
      <c r="B3" s="1181"/>
      <c r="C3" s="1182"/>
      <c r="D3" s="1183"/>
      <c r="E3" s="1174"/>
      <c r="F3" s="1174"/>
      <c r="G3" s="1215" t="str">
        <f>IFERROR(HYPERLINK("#"&amp;ADDRESS(ROW($A$1)+MATCH(R3,$A:$A,0)-1,COLUMN($A$1)),INDEX($R:$R,MATCH(R3,$A:$A,0))),"")</f>
        <v>General information</v>
      </c>
      <c r="H3" s="1215"/>
      <c r="I3" s="1215" t="str">
        <f>IFERROR(HYPERLINK("#"&amp;ADDRESS(ROW($A$1)+MATCH(T3,$A:$A,0)-1,COLUMN($A$1)),INDEX($R:$R,MATCH(T3,$A:$A,0))),"")</f>
        <v>How to use this file</v>
      </c>
      <c r="J3" s="1215"/>
      <c r="K3" s="1215"/>
      <c r="L3" s="1215"/>
      <c r="M3" s="1215"/>
      <c r="N3" s="1215"/>
      <c r="O3" s="428"/>
      <c r="P3" s="144"/>
      <c r="Q3" s="144"/>
      <c r="R3" s="437">
        <v>1</v>
      </c>
      <c r="S3" s="438"/>
      <c r="T3" s="438">
        <v>2</v>
      </c>
      <c r="U3" s="1126"/>
    </row>
    <row r="4" spans="1:21" ht="14.15" customHeight="1" thickBot="1" x14ac:dyDescent="0.4">
      <c r="A4" s="92"/>
      <c r="B4" s="1184"/>
      <c r="C4" s="1185"/>
      <c r="D4" s="1186"/>
      <c r="E4" s="1174"/>
      <c r="F4" s="1174"/>
      <c r="G4" s="1215"/>
      <c r="H4" s="1215"/>
      <c r="I4" s="1215"/>
      <c r="J4" s="1215"/>
      <c r="K4" s="1215"/>
      <c r="L4" s="1215"/>
      <c r="M4" s="1215"/>
      <c r="N4" s="1215"/>
      <c r="O4" s="428"/>
      <c r="P4" s="144"/>
      <c r="Q4" s="144"/>
      <c r="R4" s="439"/>
      <c r="S4" s="440"/>
      <c r="T4" s="440"/>
      <c r="U4" s="1127"/>
    </row>
    <row r="5" spans="1:21" ht="5.15" customHeight="1" x14ac:dyDescent="0.35">
      <c r="A5" s="92"/>
      <c r="B5" s="94"/>
      <c r="C5" s="144"/>
      <c r="D5" s="144"/>
      <c r="E5" s="144"/>
      <c r="F5" s="144"/>
      <c r="G5" s="144"/>
      <c r="H5" s="144"/>
      <c r="I5" s="144"/>
      <c r="J5" s="144"/>
      <c r="K5" s="144"/>
      <c r="L5" s="144"/>
      <c r="M5" s="144"/>
      <c r="N5" s="144"/>
      <c r="O5" s="428"/>
      <c r="P5" s="144"/>
      <c r="Q5" s="144"/>
      <c r="R5" s="171"/>
      <c r="S5" s="171"/>
      <c r="T5" s="171"/>
      <c r="U5" s="427"/>
    </row>
    <row r="6" spans="1:21" s="97" customFormat="1" ht="20.149999999999999" customHeight="1" x14ac:dyDescent="0.35">
      <c r="A6" s="1138"/>
      <c r="B6" s="98"/>
      <c r="C6" s="907" t="str">
        <f>Translations!$B$23</f>
        <v>Sheet "Guidelines &amp; conditions"</v>
      </c>
      <c r="D6" s="982"/>
      <c r="E6" s="982"/>
      <c r="F6" s="982"/>
      <c r="G6" s="982"/>
      <c r="H6" s="982"/>
      <c r="I6" s="982"/>
      <c r="J6" s="982"/>
      <c r="K6" s="982"/>
      <c r="L6" s="982"/>
      <c r="M6" s="982"/>
      <c r="N6" s="982"/>
      <c r="O6" s="1123"/>
      <c r="P6" s="982"/>
      <c r="Q6" s="982"/>
      <c r="R6" s="1113"/>
      <c r="S6" s="1113"/>
      <c r="T6" s="1113"/>
      <c r="U6" s="1114"/>
    </row>
    <row r="7" spans="1:21" ht="12.75" customHeight="1" x14ac:dyDescent="0.35">
      <c r="A7" s="92"/>
      <c r="B7" s="94"/>
      <c r="C7" s="144"/>
      <c r="D7" s="144"/>
      <c r="E7" s="144"/>
      <c r="F7" s="144"/>
      <c r="G7" s="144"/>
      <c r="H7" s="144"/>
      <c r="I7" s="144"/>
      <c r="J7" s="144"/>
      <c r="K7" s="144"/>
      <c r="L7" s="144"/>
      <c r="M7" s="144"/>
      <c r="N7" s="144"/>
      <c r="O7" s="428"/>
      <c r="P7" s="144"/>
      <c r="Q7" s="144"/>
      <c r="R7" s="171"/>
      <c r="S7" s="171"/>
      <c r="T7" s="171"/>
      <c r="U7" s="427"/>
    </row>
    <row r="8" spans="1:21" ht="18" customHeight="1" x14ac:dyDescent="0.35">
      <c r="A8" s="919">
        <v>1</v>
      </c>
      <c r="B8" s="1128"/>
      <c r="C8" s="319" t="str">
        <f>Translations!$B$24</f>
        <v>General Information on this Template</v>
      </c>
      <c r="D8" s="909"/>
      <c r="E8" s="909"/>
      <c r="F8" s="910"/>
      <c r="G8" s="910"/>
      <c r="H8" s="910"/>
      <c r="I8" s="910"/>
      <c r="J8" s="910"/>
      <c r="K8" s="910"/>
      <c r="L8" s="910"/>
      <c r="M8" s="910"/>
      <c r="N8" s="910"/>
      <c r="O8" s="428"/>
      <c r="P8" s="144"/>
      <c r="Q8" s="144"/>
      <c r="R8" s="102" t="s">
        <v>2817</v>
      </c>
      <c r="S8" s="171"/>
      <c r="T8" s="171"/>
      <c r="U8" s="427"/>
    </row>
    <row r="9" spans="1:21" ht="5.15" customHeight="1" x14ac:dyDescent="0.35">
      <c r="A9" s="92"/>
      <c r="B9" s="1128"/>
      <c r="C9" s="144"/>
      <c r="D9" s="144"/>
      <c r="E9" s="144"/>
      <c r="F9" s="144"/>
      <c r="G9" s="144"/>
      <c r="H9" s="144"/>
      <c r="I9" s="144"/>
      <c r="J9" s="144"/>
      <c r="K9" s="144"/>
      <c r="L9" s="144"/>
      <c r="M9" s="144"/>
      <c r="N9" s="144"/>
      <c r="O9" s="428"/>
      <c r="P9" s="144"/>
      <c r="Q9" s="144"/>
      <c r="R9" s="171"/>
      <c r="S9" s="171"/>
      <c r="T9" s="171"/>
      <c r="U9" s="427"/>
    </row>
    <row r="10" spans="1:21" ht="39.65" customHeight="1" x14ac:dyDescent="0.35">
      <c r="A10" s="92"/>
      <c r="B10" s="1129">
        <v>1</v>
      </c>
      <c r="C10" s="1205" t="str">
        <f>Translations!$B$26</f>
        <v>Regulation (EU) 2023/956 establishes a carbon border adjustment mechanism (the ‘CBAM Regulation’) to address greenhouse gas emissions embedded in certain goods ('CBAM goods': iron and steel, cement, aluminium, fertilisers, hydrogen and electricity) on their importation into the customs territory of the European Union (the EU). The Regulation can be downloaded from:</v>
      </c>
      <c r="D10" s="1205"/>
      <c r="E10" s="1205"/>
      <c r="F10" s="1205"/>
      <c r="G10" s="1205"/>
      <c r="H10" s="1205"/>
      <c r="I10" s="1205"/>
      <c r="J10" s="1205"/>
      <c r="K10" s="1205"/>
      <c r="L10" s="1205"/>
      <c r="M10" s="1205"/>
      <c r="N10" s="1205"/>
      <c r="O10" s="428"/>
      <c r="P10" s="144"/>
      <c r="Q10" s="144"/>
      <c r="R10" s="171"/>
      <c r="S10" s="171"/>
      <c r="T10" s="171"/>
      <c r="U10" s="427"/>
    </row>
    <row r="11" spans="1:21" ht="13.15" customHeight="1" x14ac:dyDescent="0.35">
      <c r="A11" s="92"/>
      <c r="B11" s="1129"/>
      <c r="C11" s="1217" t="str">
        <f>HYPERLINK(Translations!$B$27,Translations!$B$27)</f>
        <v>https://eur-lex.europa.eu/eli/reg/2023/956/oj</v>
      </c>
      <c r="D11" s="1172"/>
      <c r="E11" s="1172"/>
      <c r="F11" s="1172"/>
      <c r="G11" s="1172"/>
      <c r="H11" s="1172"/>
      <c r="I11" s="1172"/>
      <c r="J11" s="1172"/>
      <c r="K11" s="1172"/>
      <c r="L11" s="1172"/>
      <c r="M11" s="1172"/>
      <c r="N11" s="1172"/>
      <c r="O11" s="428"/>
      <c r="P11" s="144"/>
      <c r="Q11" s="144"/>
      <c r="R11" s="171"/>
      <c r="S11" s="171"/>
      <c r="T11" s="171"/>
      <c r="U11" s="427"/>
    </row>
    <row r="12" spans="1:21" ht="39.65" customHeight="1" x14ac:dyDescent="0.35">
      <c r="A12" s="92"/>
      <c r="B12" s="1129">
        <v>2</v>
      </c>
      <c r="C12" s="1205" t="str">
        <f>Translations!$B$1915</f>
        <v>Pursuant to Article 35(7) of the CBAM Regulation, the Commission adopted an implementing act (Commission Implementing Regulation (EU) 2023/1773 of 17 August 2023) which lays down the detailed rules for 'reporting declarants' (as defined in Article 2(1) of this implementing act) for reporting obligations upon import into the European Union during the transitional period from 1 October 2023 to 31 December 2025 (‘transitional period’). The Regulation can be downloaded from:</v>
      </c>
      <c r="D12" s="1205"/>
      <c r="E12" s="1205"/>
      <c r="F12" s="1205"/>
      <c r="G12" s="1205"/>
      <c r="H12" s="1205"/>
      <c r="I12" s="1205"/>
      <c r="J12" s="1205"/>
      <c r="K12" s="1205"/>
      <c r="L12" s="1205"/>
      <c r="M12" s="1205"/>
      <c r="N12" s="1205"/>
      <c r="O12" s="428"/>
      <c r="P12" s="144"/>
      <c r="Q12" s="144"/>
      <c r="R12" s="171"/>
      <c r="S12" s="171"/>
      <c r="T12" s="171"/>
      <c r="U12" s="427"/>
    </row>
    <row r="13" spans="1:21" ht="13.15" customHeight="1" x14ac:dyDescent="0.35">
      <c r="A13" s="92"/>
      <c r="B13" s="1129"/>
      <c r="C13" s="1217" t="str">
        <f>HYPERLINK(Translations!$B$1916,Translations!$B$1916)</f>
        <v>http://data.europa.eu/eli/reg_impl/2023/1773/oj</v>
      </c>
      <c r="D13" s="1172"/>
      <c r="E13" s="1172"/>
      <c r="F13" s="1172"/>
      <c r="G13" s="1172"/>
      <c r="H13" s="1172"/>
      <c r="I13" s="1172"/>
      <c r="J13" s="1172"/>
      <c r="K13" s="1172"/>
      <c r="L13" s="1172"/>
      <c r="M13" s="1172"/>
      <c r="N13" s="1172"/>
      <c r="O13" s="428"/>
      <c r="P13" s="144"/>
      <c r="Q13" s="144"/>
      <c r="R13" s="171"/>
      <c r="S13" s="171"/>
      <c r="T13" s="171"/>
      <c r="U13" s="427"/>
    </row>
    <row r="14" spans="1:21" ht="39.65" customHeight="1" x14ac:dyDescent="0.35">
      <c r="A14" s="92"/>
      <c r="B14" s="1129">
        <v>3</v>
      </c>
      <c r="C14" s="1205" t="str">
        <f>Translations!$B$30</f>
        <v>Article 8 of the implementing act requires reporting declarants to submit a CBAM report for each good listed under 1. imported into the EU. CBAM reports must contain certain data and information on the embedded emissions of the goods, to be obtained from the producer of these goods ('operators of installations located in third countries').</v>
      </c>
      <c r="D14" s="1205"/>
      <c r="E14" s="1205"/>
      <c r="F14" s="1205"/>
      <c r="G14" s="1205"/>
      <c r="H14" s="1205"/>
      <c r="I14" s="1205"/>
      <c r="J14" s="1205"/>
      <c r="K14" s="1205"/>
      <c r="L14" s="1205"/>
      <c r="M14" s="1205"/>
      <c r="N14" s="1205"/>
      <c r="O14" s="428"/>
      <c r="P14" s="144"/>
      <c r="Q14" s="144"/>
      <c r="R14" s="171"/>
      <c r="S14" s="171"/>
      <c r="T14" s="171"/>
      <c r="U14" s="427"/>
    </row>
    <row r="15" spans="1:21" ht="26.5" customHeight="1" x14ac:dyDescent="0.35">
      <c r="A15" s="92"/>
      <c r="B15" s="1129">
        <v>4</v>
      </c>
      <c r="C15" s="1205" t="str">
        <f>Translations!$B$31</f>
        <v>This data collection template has been developed on behalf of the Commission by its consultants (Umweltbundesamt GmbH Austria) and serves the purpose of facilitating the communication between operators of installations located in third countries and the reporting declarants.</v>
      </c>
      <c r="D15" s="1205"/>
      <c r="E15" s="1205"/>
      <c r="F15" s="1205"/>
      <c r="G15" s="1205"/>
      <c r="H15" s="1205"/>
      <c r="I15" s="1205"/>
      <c r="J15" s="1205"/>
      <c r="K15" s="1205"/>
      <c r="L15" s="1205"/>
      <c r="M15" s="1205"/>
      <c r="N15" s="1205"/>
      <c r="O15" s="428"/>
      <c r="P15" s="144"/>
      <c r="Q15" s="144"/>
      <c r="R15" s="171"/>
      <c r="S15" s="171"/>
      <c r="T15" s="171"/>
      <c r="U15" s="427"/>
    </row>
    <row r="16" spans="1:21" ht="13.15" customHeight="1" x14ac:dyDescent="0.35">
      <c r="A16" s="92"/>
      <c r="B16" s="1129"/>
      <c r="C16" s="1205" t="str">
        <f>Translations!$B$32</f>
        <v xml:space="preserve">The views expressed in this file represent the views of the authors and not necessarily those of the European Commission. </v>
      </c>
      <c r="D16" s="1205"/>
      <c r="E16" s="1205"/>
      <c r="F16" s="1205"/>
      <c r="G16" s="1205"/>
      <c r="H16" s="1205"/>
      <c r="I16" s="1205"/>
      <c r="J16" s="1205"/>
      <c r="K16" s="1205"/>
      <c r="L16" s="1205"/>
      <c r="M16" s="1205"/>
      <c r="N16" s="1205"/>
      <c r="O16" s="428"/>
      <c r="P16" s="144"/>
      <c r="Q16" s="144"/>
      <c r="R16" s="171"/>
      <c r="S16" s="171"/>
      <c r="T16" s="171"/>
      <c r="U16" s="427"/>
    </row>
    <row r="17" spans="1:21" ht="26.5" customHeight="1" x14ac:dyDescent="0.35">
      <c r="A17" s="92"/>
      <c r="B17" s="1130">
        <v>5</v>
      </c>
      <c r="C17" s="1216" t="str">
        <f>Translations!$B$1917</f>
        <v>This is the published version 2.1.1 of the CBAM template, version of 13 December 2024.</v>
      </c>
      <c r="D17" s="1216"/>
      <c r="E17" s="1216"/>
      <c r="F17" s="1216"/>
      <c r="G17" s="1216"/>
      <c r="H17" s="1216"/>
      <c r="I17" s="1216"/>
      <c r="J17" s="1216"/>
      <c r="K17" s="1216"/>
      <c r="L17" s="1216"/>
      <c r="M17" s="1216"/>
      <c r="N17" s="1216"/>
      <c r="O17" s="428"/>
      <c r="P17" s="144"/>
      <c r="Q17" s="144"/>
      <c r="R17" s="171"/>
      <c r="S17" s="171"/>
      <c r="T17" s="171"/>
      <c r="U17" s="427"/>
    </row>
    <row r="18" spans="1:21" ht="13.15" customHeight="1" x14ac:dyDescent="0.35">
      <c r="A18" s="92"/>
      <c r="B18" s="1129"/>
      <c r="C18" s="1131"/>
      <c r="D18" s="1131"/>
      <c r="E18" s="1131"/>
      <c r="F18" s="1131"/>
      <c r="G18" s="1131"/>
      <c r="H18" s="1131"/>
      <c r="I18" s="1131"/>
      <c r="J18" s="1131"/>
      <c r="K18" s="1131"/>
      <c r="L18" s="1131"/>
      <c r="M18" s="1131"/>
      <c r="N18" s="1131"/>
      <c r="O18" s="428"/>
      <c r="P18" s="144"/>
      <c r="Q18" s="144"/>
      <c r="R18" s="171"/>
      <c r="S18" s="171"/>
      <c r="T18" s="171"/>
      <c r="U18" s="427"/>
    </row>
    <row r="19" spans="1:21" ht="18" customHeight="1" x14ac:dyDescent="0.35">
      <c r="A19" s="919">
        <v>2</v>
      </c>
      <c r="B19" s="1129"/>
      <c r="C19" s="1132" t="str">
        <f>Translations!$B$34</f>
        <v>How to use this file</v>
      </c>
      <c r="D19" s="1133"/>
      <c r="E19" s="1133"/>
      <c r="F19" s="1134"/>
      <c r="G19" s="1134"/>
      <c r="H19" s="1134"/>
      <c r="I19" s="1134"/>
      <c r="J19" s="1134"/>
      <c r="K19" s="1134"/>
      <c r="L19" s="1134"/>
      <c r="M19" s="1134"/>
      <c r="N19" s="1134"/>
      <c r="O19" s="428"/>
      <c r="P19" s="144"/>
      <c r="Q19" s="144"/>
      <c r="R19" s="102" t="str">
        <f>C19</f>
        <v>How to use this file</v>
      </c>
      <c r="S19" s="171"/>
      <c r="T19" s="171"/>
      <c r="U19" s="427"/>
    </row>
    <row r="20" spans="1:21" ht="4.9000000000000004" customHeight="1" x14ac:dyDescent="0.35">
      <c r="A20" s="92"/>
      <c r="B20" s="1129"/>
      <c r="C20" s="1131"/>
      <c r="D20" s="1131"/>
      <c r="E20" s="1131"/>
      <c r="F20" s="1131"/>
      <c r="G20" s="1131"/>
      <c r="H20" s="1131"/>
      <c r="I20" s="1131"/>
      <c r="J20" s="1131"/>
      <c r="K20" s="1131"/>
      <c r="L20" s="1131"/>
      <c r="M20" s="1131"/>
      <c r="N20" s="1131"/>
      <c r="O20" s="428"/>
      <c r="P20" s="144"/>
      <c r="Q20" s="144"/>
      <c r="R20" s="171"/>
      <c r="S20" s="171"/>
      <c r="T20" s="171"/>
      <c r="U20" s="427"/>
    </row>
    <row r="21" spans="1:21" ht="13.15" customHeight="1" x14ac:dyDescent="0.35">
      <c r="A21" s="92"/>
      <c r="B21" s="1129">
        <v>6</v>
      </c>
      <c r="C21" s="1205" t="str">
        <f>Translations!$B$35</f>
        <v>Automatic calculation (to be found in the menu Formula/Calculation options) must be turned on.</v>
      </c>
      <c r="D21" s="1205"/>
      <c r="E21" s="1205"/>
      <c r="F21" s="1205"/>
      <c r="G21" s="1205"/>
      <c r="H21" s="1205"/>
      <c r="I21" s="1205"/>
      <c r="J21" s="1205"/>
      <c r="K21" s="1205"/>
      <c r="L21" s="1205"/>
      <c r="M21" s="1205"/>
      <c r="N21" s="1205"/>
      <c r="O21" s="428"/>
      <c r="P21" s="144"/>
      <c r="Q21" s="144"/>
      <c r="R21" s="171"/>
      <c r="S21" s="171"/>
      <c r="T21" s="171"/>
      <c r="U21" s="427"/>
    </row>
    <row r="22" spans="1:21" ht="26.5" customHeight="1" x14ac:dyDescent="0.35">
      <c r="A22" s="92"/>
      <c r="B22" s="1129"/>
      <c r="C22" s="1205" t="str">
        <f>Translations!$B$36</f>
        <v>It is recommended that you go through the file from start to end. There are a few functions which will guide you through the form which depend on previous input, such as cells changing colour if an input is not needed (see colour codes below).</v>
      </c>
      <c r="D22" s="1205"/>
      <c r="E22" s="1205"/>
      <c r="F22" s="1205"/>
      <c r="G22" s="1205"/>
      <c r="H22" s="1205"/>
      <c r="I22" s="1205"/>
      <c r="J22" s="1205"/>
      <c r="K22" s="1205"/>
      <c r="L22" s="1205"/>
      <c r="M22" s="1205"/>
      <c r="N22" s="1205"/>
      <c r="O22" s="428"/>
      <c r="P22" s="144"/>
      <c r="Q22" s="144"/>
      <c r="R22" s="171"/>
      <c r="S22" s="171"/>
      <c r="T22" s="171"/>
      <c r="U22" s="427"/>
    </row>
    <row r="23" spans="1:21" ht="39.65" customHeight="1" x14ac:dyDescent="0.35">
      <c r="A23" s="92"/>
      <c r="B23" s="1129">
        <v>7</v>
      </c>
      <c r="C23" s="1205" t="str">
        <f>Translations!$B$1918</f>
        <v>Whenever a value of zero is to be reported, it should be entered rather than keeping the cell empty. Values needed for calculations should always be entered (especially if zero, because some formulas don't give results as long as required cells are empty). If a cell is kept empty, the reporting declarant does not know if the value is zero, is irrelevant or unknown, or if making entries has been overlooked.</v>
      </c>
      <c r="D23" s="1205"/>
      <c r="E23" s="1205"/>
      <c r="F23" s="1205"/>
      <c r="G23" s="1205"/>
      <c r="H23" s="1205"/>
      <c r="I23" s="1205"/>
      <c r="J23" s="1205"/>
      <c r="K23" s="1205"/>
      <c r="L23" s="1205"/>
      <c r="M23" s="1205"/>
      <c r="N23" s="1205"/>
      <c r="O23" s="428"/>
      <c r="P23" s="144"/>
      <c r="Q23" s="144"/>
      <c r="R23" s="171"/>
      <c r="S23" s="171"/>
      <c r="T23" s="171"/>
      <c r="U23" s="427"/>
    </row>
    <row r="24" spans="1:21" ht="39.65" customHeight="1" x14ac:dyDescent="0.35">
      <c r="A24" s="92"/>
      <c r="B24" s="1129">
        <v>8</v>
      </c>
      <c r="C24" s="1205" t="str">
        <f>Translations!$B$38</f>
        <v>In several fields you can choose from predefined inputs using a "drop-down list", by either clicking on the small arrow appearing at the right border of the cell, or pressing "Alt-CursorDown" when you have selected the cell. Also, there are some fields which enable you to draft your reply even if a drop-down list exists. This is the case when drop-down lists contain empty list entries.</v>
      </c>
      <c r="D24" s="1205"/>
      <c r="E24" s="1205"/>
      <c r="F24" s="1205"/>
      <c r="G24" s="1205"/>
      <c r="H24" s="1205"/>
      <c r="I24" s="1205"/>
      <c r="J24" s="1205"/>
      <c r="K24" s="1205"/>
      <c r="L24" s="1205"/>
      <c r="M24" s="1205"/>
      <c r="N24" s="1205"/>
      <c r="O24" s="428"/>
      <c r="P24" s="144"/>
      <c r="Q24" s="144"/>
      <c r="R24" s="171"/>
      <c r="S24" s="171"/>
      <c r="T24" s="171"/>
      <c r="U24" s="427"/>
    </row>
    <row r="25" spans="1:21" ht="26.5" customHeight="1" x14ac:dyDescent="0.35">
      <c r="A25" s="92"/>
      <c r="B25" s="1129">
        <v>9</v>
      </c>
      <c r="C25" s="1205" t="str">
        <f>Translations!$B$39</f>
        <v>Error messages will occur sometimes when data entries are incomplete. However, the non-appearance of error messages is not a guarantee for correct calculations, as a data completeness test is not always possible. If no result appears in a green field, it can be assumed that some data is still missing.</v>
      </c>
      <c r="D25" s="1205"/>
      <c r="E25" s="1205"/>
      <c r="F25" s="1205"/>
      <c r="G25" s="1205"/>
      <c r="H25" s="1205"/>
      <c r="I25" s="1205"/>
      <c r="J25" s="1205"/>
      <c r="K25" s="1205"/>
      <c r="L25" s="1205"/>
      <c r="M25" s="1205"/>
      <c r="N25" s="1205"/>
      <c r="O25" s="428"/>
      <c r="P25" s="144"/>
      <c r="Q25" s="144"/>
      <c r="R25" s="171"/>
      <c r="S25" s="171"/>
      <c r="T25" s="171"/>
      <c r="U25" s="427"/>
    </row>
    <row r="26" spans="1:21" ht="13.15" customHeight="1" x14ac:dyDescent="0.35">
      <c r="A26" s="92"/>
      <c r="B26" s="1129"/>
      <c r="C26" s="1205" t="str">
        <f>Translations!$B$1919</f>
        <v>Special care must be taken to ensure consistency of data with the units displayed.</v>
      </c>
      <c r="D26" s="1205"/>
      <c r="E26" s="1205"/>
      <c r="F26" s="1205"/>
      <c r="G26" s="1205"/>
      <c r="H26" s="1205"/>
      <c r="I26" s="1205"/>
      <c r="J26" s="1205"/>
      <c r="K26" s="1205"/>
      <c r="L26" s="1205"/>
      <c r="M26" s="1205"/>
      <c r="N26" s="1205"/>
      <c r="O26" s="428"/>
      <c r="P26" s="144"/>
      <c r="Q26" s="144"/>
      <c r="R26" s="171"/>
      <c r="S26" s="171"/>
      <c r="T26" s="171"/>
      <c r="U26" s="427"/>
    </row>
    <row r="27" spans="1:21" ht="4.9000000000000004" customHeight="1" x14ac:dyDescent="0.35">
      <c r="A27" s="92"/>
      <c r="B27" s="1129"/>
      <c r="C27" s="1131"/>
      <c r="D27" s="1131"/>
      <c r="E27" s="1131"/>
      <c r="F27" s="1131"/>
      <c r="G27" s="1131"/>
      <c r="H27" s="1131"/>
      <c r="I27" s="1131"/>
      <c r="J27" s="1131"/>
      <c r="K27" s="1131"/>
      <c r="L27" s="1131"/>
      <c r="M27" s="1131"/>
      <c r="N27" s="1131"/>
      <c r="O27" s="428"/>
      <c r="P27" s="144"/>
      <c r="Q27" s="144"/>
      <c r="R27" s="171"/>
      <c r="S27" s="171"/>
      <c r="T27" s="171"/>
      <c r="U27" s="427"/>
    </row>
    <row r="28" spans="1:21" ht="13.15" customHeight="1" x14ac:dyDescent="0.35">
      <c r="A28" s="92"/>
      <c r="B28" s="1129">
        <v>10</v>
      </c>
      <c r="C28" s="1135" t="str">
        <f>Translations!$B$41</f>
        <v>Colour codes and fonts:</v>
      </c>
      <c r="D28" s="1131"/>
      <c r="E28" s="1131"/>
      <c r="F28" s="1131"/>
      <c r="G28" s="1131"/>
      <c r="H28" s="1131"/>
      <c r="I28" s="1131"/>
      <c r="J28" s="1131"/>
      <c r="K28" s="1131"/>
      <c r="L28" s="1131"/>
      <c r="M28" s="1131"/>
      <c r="N28" s="1131"/>
      <c r="O28" s="428"/>
      <c r="P28" s="144"/>
      <c r="Q28" s="144"/>
      <c r="R28" s="171"/>
      <c r="S28" s="171"/>
      <c r="T28" s="171"/>
      <c r="U28" s="427"/>
    </row>
    <row r="29" spans="1:21" ht="13.15" customHeight="1" x14ac:dyDescent="0.35">
      <c r="A29" s="92"/>
      <c r="B29" s="1129"/>
      <c r="C29" s="1131"/>
      <c r="D29" s="1218" t="str">
        <f>Translations!$B$42</f>
        <v>Black bold text:</v>
      </c>
      <c r="E29" s="1172"/>
      <c r="F29" s="1135" t="str">
        <f>Translations!$B$43</f>
        <v>This is text describing the input required.</v>
      </c>
      <c r="G29" s="1131"/>
      <c r="H29" s="1131"/>
      <c r="I29" s="1131"/>
      <c r="J29" s="1131"/>
      <c r="K29" s="1131"/>
      <c r="L29" s="1131"/>
      <c r="M29" s="1131"/>
      <c r="N29" s="1131"/>
      <c r="O29" s="428"/>
      <c r="P29" s="144"/>
      <c r="Q29" s="144"/>
      <c r="R29" s="171"/>
      <c r="S29" s="171"/>
      <c r="T29" s="171"/>
      <c r="U29" s="427"/>
    </row>
    <row r="30" spans="1:21" ht="13.15" customHeight="1" x14ac:dyDescent="0.35">
      <c r="A30" s="92"/>
      <c r="B30" s="1129"/>
      <c r="C30" s="1131"/>
      <c r="D30" s="1219" t="str">
        <f>Translations!$B$44</f>
        <v>Smaller italic text:</v>
      </c>
      <c r="E30" s="1220"/>
      <c r="F30" s="1135" t="str">
        <f>Translations!$B$45</f>
        <v xml:space="preserve">This text gives further explanations. </v>
      </c>
      <c r="G30" s="1131"/>
      <c r="H30" s="1131"/>
      <c r="I30" s="1131"/>
      <c r="J30" s="1131"/>
      <c r="K30" s="1131"/>
      <c r="L30" s="1131"/>
      <c r="M30" s="1131"/>
      <c r="N30" s="1131"/>
      <c r="O30" s="428"/>
      <c r="P30" s="144"/>
      <c r="Q30" s="144"/>
      <c r="R30" s="171"/>
      <c r="S30" s="171"/>
      <c r="T30" s="171"/>
      <c r="U30" s="427"/>
    </row>
    <row r="31" spans="1:21" ht="13.15" customHeight="1" x14ac:dyDescent="0.35">
      <c r="A31" s="92"/>
      <c r="B31" s="1129"/>
      <c r="C31" s="1131"/>
      <c r="D31" s="1207"/>
      <c r="E31" s="1208"/>
      <c r="F31" s="1135" t="str">
        <f>Translations!$B$46</f>
        <v>Yellow fields indicate mandatory inputs for the calculation of embedded emissions and for other information required.</v>
      </c>
      <c r="G31" s="1131"/>
      <c r="H31" s="1131"/>
      <c r="I31" s="1131"/>
      <c r="J31" s="1131"/>
      <c r="K31" s="1131"/>
      <c r="L31" s="1131"/>
      <c r="M31" s="1131"/>
      <c r="N31" s="1131"/>
      <c r="O31" s="428"/>
      <c r="P31" s="144"/>
      <c r="Q31" s="144"/>
      <c r="R31" s="171"/>
      <c r="S31" s="171"/>
      <c r="T31" s="171"/>
      <c r="U31" s="427"/>
    </row>
    <row r="32" spans="1:21" ht="13.15" customHeight="1" x14ac:dyDescent="0.35">
      <c r="A32" s="92"/>
      <c r="B32" s="1129"/>
      <c r="C32" s="1131"/>
      <c r="D32" s="1209"/>
      <c r="E32" s="1210"/>
      <c r="F32" s="1135" t="str">
        <f>Translations!$B$47</f>
        <v>Light yellow fields indicate that an input is optional.</v>
      </c>
      <c r="G32" s="1131"/>
      <c r="H32" s="1131"/>
      <c r="I32" s="1131"/>
      <c r="J32" s="1131"/>
      <c r="K32" s="1131"/>
      <c r="L32" s="1131"/>
      <c r="M32" s="1131"/>
      <c r="N32" s="1131"/>
      <c r="O32" s="428"/>
      <c r="P32" s="144"/>
      <c r="Q32" s="144"/>
      <c r="R32" s="171"/>
      <c r="S32" s="171"/>
      <c r="T32" s="171"/>
      <c r="U32" s="427"/>
    </row>
    <row r="33" spans="1:21" ht="13.15" customHeight="1" x14ac:dyDescent="0.35">
      <c r="A33" s="92"/>
      <c r="B33" s="1129"/>
      <c r="C33" s="1131"/>
      <c r="D33" s="1211"/>
      <c r="E33" s="1212"/>
      <c r="F33" s="1135" t="str">
        <f>Translations!$B$48</f>
        <v>Green fields show automatically calculated results. Red text indicates error messages (missing data etc).</v>
      </c>
      <c r="G33" s="1131"/>
      <c r="H33" s="1131"/>
      <c r="I33" s="1131"/>
      <c r="J33" s="1131"/>
      <c r="K33" s="1131"/>
      <c r="L33" s="1131"/>
      <c r="M33" s="1131"/>
      <c r="N33" s="1131"/>
      <c r="O33" s="428"/>
      <c r="P33" s="144"/>
      <c r="Q33" s="144"/>
      <c r="R33" s="171"/>
      <c r="S33" s="171"/>
      <c r="T33" s="171"/>
      <c r="U33" s="427"/>
    </row>
    <row r="34" spans="1:21" ht="13.15" customHeight="1" x14ac:dyDescent="0.35">
      <c r="A34" s="92"/>
      <c r="B34" s="1129"/>
      <c r="C34" s="1131"/>
      <c r="D34" s="1213" t="str">
        <f>CONST_NA</f>
        <v>n.a.</v>
      </c>
      <c r="E34" s="1214"/>
      <c r="F34" s="1135" t="str">
        <f>Translations!$B$1920</f>
        <v>White fields with grey text indicate that an input in another field makes the input here irrelevant.</v>
      </c>
      <c r="G34" s="1131"/>
      <c r="H34" s="1131"/>
      <c r="I34" s="1131"/>
      <c r="J34" s="1131"/>
      <c r="K34" s="1131"/>
      <c r="L34" s="1131"/>
      <c r="M34" s="1131"/>
      <c r="N34" s="1131"/>
      <c r="O34" s="428"/>
      <c r="P34" s="144"/>
      <c r="Q34" s="144"/>
      <c r="R34" s="171"/>
      <c r="S34" s="171"/>
      <c r="T34" s="171"/>
      <c r="U34" s="427"/>
    </row>
    <row r="35" spans="1:21" ht="13.15" customHeight="1" x14ac:dyDescent="0.35">
      <c r="A35" s="92"/>
      <c r="B35" s="1129"/>
      <c r="C35" s="1131"/>
      <c r="D35" s="1204"/>
      <c r="E35" s="1204"/>
      <c r="F35" s="1135" t="str">
        <f>Translations!$B$50</f>
        <v>Light grey areas are dedicated for navigation and hyperlinks.</v>
      </c>
      <c r="G35" s="1131"/>
      <c r="H35" s="1131"/>
      <c r="I35" s="1131"/>
      <c r="J35" s="1131"/>
      <c r="K35" s="1131"/>
      <c r="L35" s="1131"/>
      <c r="M35" s="1131"/>
      <c r="N35" s="1131"/>
      <c r="O35" s="428"/>
      <c r="P35" s="144"/>
      <c r="Q35" s="144"/>
      <c r="R35" s="171"/>
      <c r="S35" s="171"/>
      <c r="T35" s="171"/>
      <c r="U35" s="427"/>
    </row>
    <row r="36" spans="1:21" ht="13.15" customHeight="1" x14ac:dyDescent="0.35">
      <c r="A36" s="92"/>
      <c r="B36" s="1129"/>
      <c r="C36" s="1131"/>
      <c r="D36" s="1131"/>
      <c r="E36" s="1131"/>
      <c r="F36" s="1131"/>
      <c r="G36" s="1131"/>
      <c r="H36" s="1131"/>
      <c r="I36" s="1131"/>
      <c r="J36" s="1131"/>
      <c r="K36" s="1131"/>
      <c r="L36" s="1131"/>
      <c r="M36" s="1131"/>
      <c r="N36" s="1131"/>
      <c r="O36" s="428"/>
      <c r="P36" s="144"/>
      <c r="Q36" s="144"/>
      <c r="R36" s="171"/>
      <c r="S36" s="171"/>
      <c r="T36" s="171"/>
      <c r="U36" s="427"/>
    </row>
    <row r="37" spans="1:21" ht="13.15" customHeight="1" x14ac:dyDescent="0.35">
      <c r="A37" s="92"/>
      <c r="B37" s="1129"/>
      <c r="C37" s="1131"/>
      <c r="D37" s="1135" t="str">
        <f>Translations!$B$1921</f>
        <v>Additionally, there are colour indicators in some sheets (e.g. in column O of sheets D, E; column B in sheet Summary_Products) indicating the following:</v>
      </c>
      <c r="E37" s="1131"/>
      <c r="F37" s="1131"/>
      <c r="G37" s="1131"/>
      <c r="H37" s="1131"/>
      <c r="I37" s="1131"/>
      <c r="J37" s="1131"/>
      <c r="K37" s="1131"/>
      <c r="L37" s="1131"/>
      <c r="M37" s="1131"/>
      <c r="N37" s="1131"/>
      <c r="O37" s="428"/>
      <c r="P37" s="144"/>
      <c r="Q37" s="144"/>
      <c r="R37" s="171"/>
      <c r="S37" s="171"/>
      <c r="T37" s="171"/>
      <c r="U37" s="427"/>
    </row>
    <row r="38" spans="1:21" ht="13.15" customHeight="1" x14ac:dyDescent="0.35">
      <c r="A38" s="92"/>
      <c r="B38" s="1129"/>
      <c r="C38" s="1131"/>
      <c r="D38" s="433"/>
      <c r="E38" s="1202" t="str">
        <f>Translations!$B$52</f>
        <v>White indicates that data entry is not required here, based on entries in another field making inputs here irrelevant (see 'shaded fields' above).</v>
      </c>
      <c r="F38" s="1203"/>
      <c r="G38" s="1203"/>
      <c r="H38" s="1203"/>
      <c r="I38" s="1203"/>
      <c r="J38" s="1203"/>
      <c r="K38" s="1203"/>
      <c r="L38" s="1203"/>
      <c r="M38" s="1203"/>
      <c r="N38" s="1203"/>
      <c r="O38" s="428"/>
      <c r="P38" s="144"/>
      <c r="Q38" s="144"/>
      <c r="R38" s="171"/>
      <c r="S38" s="171"/>
      <c r="T38" s="171"/>
      <c r="U38" s="427"/>
    </row>
    <row r="39" spans="1:21" ht="13.15" customHeight="1" x14ac:dyDescent="0.35">
      <c r="A39" s="92"/>
      <c r="B39" s="1129"/>
      <c r="C39" s="1131"/>
      <c r="D39" s="435"/>
      <c r="E39" s="1202" t="str">
        <f>Translations!$B$53</f>
        <v>Red colour indicates data inputs are required but the relevant cells are empty or filled incorrectly.</v>
      </c>
      <c r="F39" s="1203"/>
      <c r="G39" s="1203"/>
      <c r="H39" s="1203"/>
      <c r="I39" s="1203"/>
      <c r="J39" s="1203"/>
      <c r="K39" s="1203"/>
      <c r="L39" s="1203"/>
      <c r="M39" s="1203"/>
      <c r="N39" s="1203"/>
      <c r="O39" s="428"/>
      <c r="P39" s="144"/>
      <c r="Q39" s="144"/>
      <c r="R39" s="171"/>
      <c r="S39" s="171"/>
      <c r="T39" s="171"/>
      <c r="U39" s="427"/>
    </row>
    <row r="40" spans="1:21" ht="13.15" customHeight="1" x14ac:dyDescent="0.35">
      <c r="A40" s="92"/>
      <c r="B40" s="1129"/>
      <c r="C40" s="1131"/>
      <c r="D40" s="434"/>
      <c r="E40" s="1202" t="str">
        <f>Translations!$B$54</f>
        <v>Green colour indicates data inputs are required and cells have been filled correctly.</v>
      </c>
      <c r="F40" s="1203"/>
      <c r="G40" s="1203"/>
      <c r="H40" s="1203"/>
      <c r="I40" s="1203"/>
      <c r="J40" s="1203"/>
      <c r="K40" s="1203"/>
      <c r="L40" s="1203"/>
      <c r="M40" s="1203"/>
      <c r="N40" s="1203"/>
      <c r="O40" s="428"/>
      <c r="P40" s="144"/>
      <c r="Q40" s="144"/>
      <c r="R40" s="171"/>
      <c r="S40" s="171"/>
      <c r="T40" s="171"/>
      <c r="U40" s="427"/>
    </row>
    <row r="41" spans="1:21" ht="13.15" customHeight="1" x14ac:dyDescent="0.35">
      <c r="A41" s="92"/>
      <c r="B41" s="1129"/>
      <c r="C41" s="1131"/>
      <c r="D41" s="1131"/>
      <c r="E41" s="1131"/>
      <c r="F41" s="1131"/>
      <c r="G41" s="1131"/>
      <c r="H41" s="1131"/>
      <c r="I41" s="1131"/>
      <c r="J41" s="1131"/>
      <c r="K41" s="1131"/>
      <c r="L41" s="1131"/>
      <c r="M41" s="1131"/>
      <c r="N41" s="1131"/>
      <c r="O41" s="428"/>
      <c r="P41" s="144"/>
      <c r="Q41" s="144"/>
      <c r="R41" s="171"/>
      <c r="S41" s="171"/>
      <c r="T41" s="171"/>
      <c r="U41" s="427"/>
    </row>
    <row r="42" spans="1:21" ht="39.65" customHeight="1" x14ac:dyDescent="0.35">
      <c r="A42" s="92"/>
      <c r="B42" s="1129">
        <v>11</v>
      </c>
      <c r="C42" s="1205" t="str">
        <f>Translations!$B$55</f>
        <v>Navigation panels on top of each sheet provide hyperlinks for quick jumps to individual input sections. The first line ("Table of contents", "Further guidance", "Summary_Processes" and "Summary_Products") is the same for all sheets. Depending on the sheet, further menu items are added. If the background colour of one of the hyperlink areas turns red, this indicates that data is missing in the related section (not in all sheets).</v>
      </c>
      <c r="D42" s="1205"/>
      <c r="E42" s="1205"/>
      <c r="F42" s="1205"/>
      <c r="G42" s="1205"/>
      <c r="H42" s="1205"/>
      <c r="I42" s="1205"/>
      <c r="J42" s="1205"/>
      <c r="K42" s="1205"/>
      <c r="L42" s="1205"/>
      <c r="M42" s="1205"/>
      <c r="N42" s="1205"/>
      <c r="O42" s="428"/>
      <c r="P42" s="144"/>
      <c r="Q42" s="144"/>
      <c r="R42" s="171"/>
      <c r="S42" s="171"/>
      <c r="T42" s="171"/>
      <c r="U42" s="427"/>
    </row>
    <row r="43" spans="1:21" ht="39.65" customHeight="1" x14ac:dyDescent="0.35">
      <c r="A43" s="92"/>
      <c r="B43" s="1129">
        <v>12</v>
      </c>
      <c r="C43" s="1205" t="str">
        <f>Translations!$B$56</f>
        <v>This template has been locked against data entry except for (light)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D43" s="1205"/>
      <c r="E43" s="1205"/>
      <c r="F43" s="1205"/>
      <c r="G43" s="1205"/>
      <c r="H43" s="1205"/>
      <c r="I43" s="1205"/>
      <c r="J43" s="1205"/>
      <c r="K43" s="1205"/>
      <c r="L43" s="1205"/>
      <c r="M43" s="1205"/>
      <c r="N43" s="1205"/>
      <c r="O43" s="428"/>
      <c r="P43" s="144"/>
      <c r="Q43" s="144"/>
      <c r="R43" s="171"/>
      <c r="S43" s="171"/>
      <c r="T43" s="171"/>
      <c r="U43" s="427"/>
    </row>
    <row r="44" spans="1:21" ht="26.5" customHeight="1" x14ac:dyDescent="0.35">
      <c r="A44" s="92"/>
      <c r="B44" s="1129">
        <v>13</v>
      </c>
      <c r="C44" s="1205" t="str">
        <f>Translations!$B$57</f>
        <v>In order to protect formulae against unintended modifications, which usually lead to wrong and misleading results, it is of utmost importance NOT TO USE the CUT &amp; PASTE feature. If you want to move data, first COPY and PASTE them, and thereafter delete the unwanted data in the old (wrong) place.</v>
      </c>
      <c r="D44" s="1206"/>
      <c r="E44" s="1206"/>
      <c r="F44" s="1206"/>
      <c r="G44" s="1206"/>
      <c r="H44" s="1206"/>
      <c r="I44" s="1206"/>
      <c r="J44" s="1206"/>
      <c r="K44" s="1206"/>
      <c r="L44" s="1206"/>
      <c r="M44" s="1206"/>
      <c r="N44" s="1206"/>
      <c r="O44" s="428"/>
      <c r="P44" s="144"/>
      <c r="Q44" s="144"/>
      <c r="R44" s="171"/>
      <c r="S44" s="171"/>
      <c r="T44" s="171"/>
      <c r="U44" s="427"/>
    </row>
    <row r="45" spans="1:21" ht="13.15" customHeight="1" x14ac:dyDescent="0.35">
      <c r="A45" s="92"/>
      <c r="B45" s="1129"/>
      <c r="C45" s="1136"/>
      <c r="D45" s="1136"/>
      <c r="E45" s="1136"/>
      <c r="F45" s="1136"/>
      <c r="G45" s="1136"/>
      <c r="H45" s="1136"/>
      <c r="I45" s="1136"/>
      <c r="J45" s="1136"/>
      <c r="K45" s="1136"/>
      <c r="L45" s="1136"/>
      <c r="M45" s="1136"/>
      <c r="N45" s="1136"/>
      <c r="O45" s="428"/>
      <c r="P45" s="144"/>
      <c r="Q45" s="144"/>
      <c r="R45" s="171"/>
      <c r="S45" s="171"/>
      <c r="T45" s="171"/>
      <c r="U45" s="427"/>
    </row>
    <row r="46" spans="1:21" ht="66" customHeight="1" x14ac:dyDescent="0.35">
      <c r="A46" s="92"/>
      <c r="B46" s="1129">
        <v>14</v>
      </c>
      <c r="C46" s="1200" t="str">
        <f>Translations!$B$58</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installation) to ensure that reporting declarants report accurate data.</v>
      </c>
      <c r="D46" s="1201"/>
      <c r="E46" s="1201"/>
      <c r="F46" s="1201"/>
      <c r="G46" s="1201"/>
      <c r="H46" s="1201"/>
      <c r="I46" s="1201"/>
      <c r="J46" s="1201"/>
      <c r="K46" s="1201"/>
      <c r="L46" s="1201"/>
      <c r="M46" s="1201"/>
      <c r="N46" s="1201"/>
      <c r="O46" s="428"/>
      <c r="P46" s="144"/>
      <c r="Q46" s="144"/>
      <c r="R46" s="171"/>
      <c r="S46" s="171"/>
      <c r="T46" s="171"/>
      <c r="U46" s="427"/>
    </row>
    <row r="47" spans="1:21" ht="13.15" customHeight="1" x14ac:dyDescent="0.35">
      <c r="A47" s="92"/>
      <c r="B47" s="94"/>
      <c r="C47" s="144"/>
      <c r="D47" s="144"/>
      <c r="E47" s="144"/>
      <c r="F47" s="144"/>
      <c r="G47" s="144"/>
      <c r="H47" s="144"/>
      <c r="I47" s="144"/>
      <c r="J47" s="144"/>
      <c r="K47" s="144"/>
      <c r="L47" s="144"/>
      <c r="M47" s="144"/>
      <c r="N47" s="144"/>
      <c r="O47" s="428"/>
      <c r="P47" s="144"/>
      <c r="Q47" s="144"/>
      <c r="R47" s="171"/>
      <c r="S47" s="171"/>
      <c r="T47" s="171"/>
      <c r="U47" s="427"/>
    </row>
    <row r="48" spans="1:21" ht="13.15" customHeight="1" x14ac:dyDescent="0.35">
      <c r="A48" s="92"/>
      <c r="B48" s="94"/>
      <c r="C48" s="973" t="str">
        <f>Translations!$B$59</f>
        <v>Information sources:</v>
      </c>
      <c r="D48" s="144"/>
      <c r="E48" s="144"/>
      <c r="F48" s="144"/>
      <c r="G48" s="144"/>
      <c r="H48" s="144"/>
      <c r="I48" s="144"/>
      <c r="J48" s="144"/>
      <c r="K48" s="144"/>
      <c r="L48" s="144"/>
      <c r="M48" s="144"/>
      <c r="N48" s="144"/>
      <c r="O48" s="428"/>
      <c r="P48" s="144"/>
      <c r="Q48" s="144"/>
      <c r="R48" s="171"/>
      <c r="S48" s="171"/>
      <c r="T48" s="171"/>
      <c r="U48" s="427"/>
    </row>
    <row r="49" spans="1:21" ht="13.15" customHeight="1" x14ac:dyDescent="0.35">
      <c r="A49" s="92"/>
      <c r="B49" s="94"/>
      <c r="C49" s="1137" t="str">
        <f>Translations!$B$60</f>
        <v>EU CBAM websites:</v>
      </c>
      <c r="D49" s="144"/>
      <c r="E49" s="144"/>
      <c r="F49" s="1217" t="str">
        <f>HYPERLINK(Translations!$B$61,Translations!$B$61)</f>
        <v>https://taxation-customs.ec.europa.eu/carbon-border-adjustment-mechanism_en</v>
      </c>
      <c r="G49" s="1172"/>
      <c r="H49" s="1172"/>
      <c r="I49" s="1172"/>
      <c r="J49" s="1172"/>
      <c r="K49" s="1172"/>
      <c r="L49" s="1172"/>
      <c r="M49" s="1172"/>
      <c r="N49" s="1172"/>
      <c r="O49" s="428"/>
      <c r="P49" s="144"/>
      <c r="Q49" s="144"/>
      <c r="R49" s="171"/>
      <c r="S49" s="171"/>
      <c r="T49" s="171"/>
      <c r="U49" s="427"/>
    </row>
    <row r="50" spans="1:21" ht="13.15" customHeight="1" x14ac:dyDescent="0.35">
      <c r="A50" s="92"/>
      <c r="B50" s="94"/>
      <c r="C50" s="1137" t="str">
        <f>Translations!$B$62</f>
        <v>EU-Legislation:</v>
      </c>
      <c r="D50" s="144"/>
      <c r="E50" s="144"/>
      <c r="F50" s="1217" t="str">
        <f>HYPERLINK(Translations!$B$63,Translations!$B$63)</f>
        <v>http://eur-lex.europa.eu/en/index.htm</v>
      </c>
      <c r="G50" s="1172"/>
      <c r="H50" s="1172"/>
      <c r="I50" s="1172"/>
      <c r="J50" s="1172"/>
      <c r="K50" s="1172"/>
      <c r="L50" s="1172"/>
      <c r="M50" s="1172"/>
      <c r="N50" s="1172"/>
      <c r="O50" s="428"/>
      <c r="P50" s="144"/>
      <c r="Q50" s="144"/>
      <c r="R50" s="171"/>
      <c r="S50" s="171"/>
      <c r="T50" s="171"/>
      <c r="U50" s="427"/>
    </row>
    <row r="51" spans="1:21" ht="13.15" customHeight="1" thickBot="1" x14ac:dyDescent="0.4">
      <c r="A51" s="918"/>
      <c r="B51" s="934"/>
      <c r="C51" s="747"/>
      <c r="D51" s="747"/>
      <c r="E51" s="747"/>
      <c r="F51" s="747"/>
      <c r="G51" s="747"/>
      <c r="H51" s="747"/>
      <c r="I51" s="747"/>
      <c r="J51" s="747"/>
      <c r="K51" s="747"/>
      <c r="L51" s="747"/>
      <c r="M51" s="747"/>
      <c r="N51" s="747"/>
      <c r="O51" s="748"/>
      <c r="P51" s="144"/>
      <c r="Q51" s="144"/>
      <c r="R51" s="171"/>
      <c r="S51" s="171"/>
      <c r="T51" s="171"/>
      <c r="U51" s="427"/>
    </row>
    <row r="52" spans="1:21" s="91" customFormat="1" ht="12.75" hidden="1" customHeight="1" thickBot="1" x14ac:dyDescent="0.4">
      <c r="A52" s="91" t="s">
        <v>3</v>
      </c>
      <c r="B52" s="918"/>
      <c r="C52" s="935"/>
      <c r="D52" s="935"/>
      <c r="E52" s="935"/>
      <c r="F52" s="935"/>
      <c r="G52" s="935"/>
      <c r="H52" s="935"/>
      <c r="I52" s="935"/>
      <c r="J52" s="935"/>
      <c r="K52" s="935"/>
      <c r="L52" s="935"/>
      <c r="M52" s="935"/>
      <c r="N52" s="935"/>
      <c r="O52" s="935"/>
      <c r="P52" s="918" t="s">
        <v>116</v>
      </c>
      <c r="Q52" s="935"/>
      <c r="R52" s="935"/>
      <c r="S52" s="935"/>
      <c r="T52" s="935"/>
      <c r="U52" s="936"/>
    </row>
  </sheetData>
  <sheetProtection sheet="1" objects="1" scenarios="1" formatCells="0" formatColumns="0" formatRows="0"/>
  <mergeCells count="46">
    <mergeCell ref="F50:N50"/>
    <mergeCell ref="D29:E29"/>
    <mergeCell ref="D30:E30"/>
    <mergeCell ref="C13:N13"/>
    <mergeCell ref="C11:N11"/>
    <mergeCell ref="F49:N49"/>
    <mergeCell ref="C22:N22"/>
    <mergeCell ref="C23:N23"/>
    <mergeCell ref="C24:N24"/>
    <mergeCell ref="C25:N25"/>
    <mergeCell ref="C26:N26"/>
    <mergeCell ref="C12:N12"/>
    <mergeCell ref="C14:N14"/>
    <mergeCell ref="C15:N15"/>
    <mergeCell ref="C16:N16"/>
    <mergeCell ref="C21:N21"/>
    <mergeCell ref="C17:N17"/>
    <mergeCell ref="E3:F3"/>
    <mergeCell ref="G3:H3"/>
    <mergeCell ref="I3:J3"/>
    <mergeCell ref="K3:L3"/>
    <mergeCell ref="C10:N10"/>
    <mergeCell ref="D31:E31"/>
    <mergeCell ref="D32:E32"/>
    <mergeCell ref="D33:E33"/>
    <mergeCell ref="D34:E34"/>
    <mergeCell ref="M3:N3"/>
    <mergeCell ref="E4:F4"/>
    <mergeCell ref="G4:H4"/>
    <mergeCell ref="I4:J4"/>
    <mergeCell ref="K4:L4"/>
    <mergeCell ref="M4:N4"/>
    <mergeCell ref="B2:D4"/>
    <mergeCell ref="E2:F2"/>
    <mergeCell ref="G2:H2"/>
    <mergeCell ref="I2:J2"/>
    <mergeCell ref="K2:L2"/>
    <mergeCell ref="M2:N2"/>
    <mergeCell ref="C46:N46"/>
    <mergeCell ref="E38:N38"/>
    <mergeCell ref="E39:N39"/>
    <mergeCell ref="E40:N40"/>
    <mergeCell ref="D35:E35"/>
    <mergeCell ref="C42:N42"/>
    <mergeCell ref="C43:N43"/>
    <mergeCell ref="C44:N44"/>
  </mergeCells>
  <conditionalFormatting sqref="G3:J3">
    <cfRule type="expression" dxfId="552" priority="1">
      <formula>COUNTIF($AG:$AG,CONST_ErrorOrMissing&amp;R3)&gt;0</formula>
    </cfRule>
  </conditionalFormatting>
  <hyperlinks>
    <hyperlink ref="C11" r:id="rId1" display="https://eur-lex.europa.eu/eli/reg/2023/956/oj" xr:uid="{00000000-0004-0000-0200-000000000000}"/>
    <hyperlink ref="F50" r:id="rId2" display="http://eur-lex.europa.eu/en/index.htm" xr:uid="{00000000-0004-0000-0200-000001000000}"/>
  </hyperlinks>
  <pageMargins left="0.7" right="0.7" top="0.78740157499999996" bottom="0.78740157499999996"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8"/>
  <dimension ref="A1:X1043"/>
  <sheetViews>
    <sheetView workbookViewId="0">
      <pane ySplit="4" topLeftCell="A5" activePane="bottomLeft" state="frozen"/>
      <selection pane="bottomLeft" activeCell="B5" sqref="B5"/>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4" width="11.453125" style="91" hidden="1" customWidth="1"/>
    <col min="25" max="16384" width="11.453125" style="93"/>
  </cols>
  <sheetData>
    <row r="1" spans="1:24" s="91" customFormat="1" ht="14.15" hidden="1" customHeight="1" thickBot="1" x14ac:dyDescent="0.4">
      <c r="A1" s="91" t="s">
        <v>3</v>
      </c>
      <c r="P1" s="91" t="s">
        <v>3</v>
      </c>
      <c r="Q1" s="91" t="s">
        <v>3</v>
      </c>
      <c r="R1" s="91" t="s">
        <v>3</v>
      </c>
      <c r="S1" s="91" t="s">
        <v>3</v>
      </c>
      <c r="T1" s="91" t="s">
        <v>3</v>
      </c>
      <c r="U1" s="91" t="s">
        <v>3</v>
      </c>
      <c r="V1" s="91" t="s">
        <v>3</v>
      </c>
      <c r="W1" s="91" t="s">
        <v>3</v>
      </c>
      <c r="X1" s="91" t="s">
        <v>3</v>
      </c>
    </row>
    <row r="2" spans="1:24" ht="14.15" customHeight="1" thickBot="1" x14ac:dyDescent="0.4">
      <c r="A2" s="905"/>
      <c r="B2" s="1178" t="str">
        <f>Translations!$B$1438</f>
        <v>Code Lists</v>
      </c>
      <c r="C2" s="1179"/>
      <c r="D2" s="1180"/>
      <c r="E2" s="1187" t="str">
        <f>Translations!$B$11</f>
        <v>Navigation Area:</v>
      </c>
      <c r="F2" s="1188"/>
      <c r="G2" s="1192" t="str">
        <f ca="1">HYPERLINK("#"&amp;ADDRESS(2,3,,,a_Contents!$U$2),a_Contents!$B$2)</f>
        <v>Table of contents</v>
      </c>
      <c r="H2" s="1193"/>
      <c r="I2" s="1192" t="str">
        <f ca="1">HYPERLINK("#"&amp;ADDRESS(2,3,,,G_FurtherGuidance!$U$2),G_FurtherGuidance!$B$2)</f>
        <v>Further Guidance</v>
      </c>
      <c r="J2" s="1193"/>
      <c r="K2" s="1192" t="str">
        <f ca="1">HYPERLINK("#"&amp;ADDRESS(2,3,,,Summary_Processes!$Y$2),Summary_Processes!$Y$2)</f>
        <v>Summary_Processes</v>
      </c>
      <c r="L2" s="1193"/>
      <c r="M2" s="1192" t="str">
        <f ca="1">HYPERLINK("#"&amp;ADDRESS(2,3,,,Summary_Products!$BF$2),Summary_Products!$BF$2)</f>
        <v>Summary_Products</v>
      </c>
      <c r="N2" s="1193"/>
      <c r="O2" s="906"/>
      <c r="R2" s="91" t="s">
        <v>114</v>
      </c>
      <c r="S2" s="301" t="str">
        <f>ADDRESS(ROW($B$2),COLUMN(B2)) &amp; ":" &amp; ADDRESS(MATCH("PRINT",$P:$P,0),COLUMN(O4))</f>
        <v>$B$2:$O$1041</v>
      </c>
      <c r="T2" s="91" t="s">
        <v>25</v>
      </c>
      <c r="U2" s="887" t="str">
        <f ca="1">IF(ISERROR(CELL("filename",V2)),"c_CodeLists",MID(CELL("filename",V2),FIND("]",CELL("filename",V2))+1,1024))</f>
        <v>c_CodeLists</v>
      </c>
    </row>
    <row r="3" spans="1:24" ht="14.15" customHeight="1" x14ac:dyDescent="0.35">
      <c r="A3" s="92"/>
      <c r="B3" s="1181"/>
      <c r="C3" s="1182"/>
      <c r="D3" s="1183"/>
      <c r="E3" s="1174"/>
      <c r="F3" s="1174"/>
      <c r="G3" s="1215" t="str">
        <f>IFERROR(HYPERLINK("#"&amp;ADDRESS(ROW($A$1)+MATCH(R3,$A:$A,0)-1,3),INDEX($R:$R,MATCH(R3,$A:$A,0))),"")</f>
        <v>Countries &amp; Currencies</v>
      </c>
      <c r="H3" s="1215"/>
      <c r="I3" s="1215" t="str">
        <f>IFERROR(HYPERLINK("#"&amp;ADDRESS(ROW($A$1)+MATCH(T3,$A:$A,0)-1,3),INDEX($R:$R,MATCH(T3,$A:$A,0))),"")</f>
        <v>CN Codes</v>
      </c>
      <c r="J3" s="1215"/>
      <c r="K3" s="1215"/>
      <c r="L3" s="1215"/>
      <c r="M3" s="1215"/>
      <c r="N3" s="1215"/>
      <c r="O3" s="428"/>
      <c r="R3" s="302">
        <v>1</v>
      </c>
      <c r="S3" s="303"/>
      <c r="T3" s="303">
        <v>2</v>
      </c>
      <c r="U3" s="303"/>
      <c r="V3" s="303"/>
      <c r="W3" s="303"/>
      <c r="X3" s="304"/>
    </row>
    <row r="4" spans="1:24" ht="14.15" customHeight="1" thickBot="1" x14ac:dyDescent="0.4">
      <c r="A4" s="92"/>
      <c r="B4" s="1184"/>
      <c r="C4" s="1185"/>
      <c r="D4" s="1186"/>
      <c r="E4" s="1174"/>
      <c r="F4" s="1174"/>
      <c r="G4" s="1215"/>
      <c r="H4" s="1215"/>
      <c r="I4" s="1215"/>
      <c r="J4" s="1215"/>
      <c r="K4" s="1215"/>
      <c r="L4" s="1215"/>
      <c r="M4" s="1215"/>
      <c r="N4" s="1215"/>
      <c r="O4" s="428"/>
      <c r="R4" s="307"/>
      <c r="S4" s="308"/>
      <c r="T4" s="308"/>
      <c r="U4" s="308"/>
      <c r="V4" s="308"/>
      <c r="W4" s="308"/>
      <c r="X4" s="309"/>
    </row>
    <row r="5" spans="1:24" ht="5.15" customHeight="1" x14ac:dyDescent="0.35">
      <c r="A5" s="92"/>
      <c r="B5" s="144"/>
      <c r="C5" s="144"/>
      <c r="D5" s="144"/>
      <c r="E5" s="144"/>
      <c r="F5" s="144"/>
      <c r="G5" s="144"/>
      <c r="H5" s="144"/>
      <c r="I5" s="144"/>
      <c r="J5" s="144"/>
      <c r="K5" s="144"/>
      <c r="L5" s="144"/>
      <c r="M5" s="144"/>
      <c r="N5" s="144"/>
      <c r="O5" s="428"/>
      <c r="W5" s="104"/>
    </row>
    <row r="6" spans="1:24" ht="25.5" customHeight="1" x14ac:dyDescent="0.35">
      <c r="A6" s="92"/>
      <c r="B6" s="144"/>
      <c r="C6" s="907" t="str">
        <f>Translations!$B$1439</f>
        <v>Sheet "Code Lists"</v>
      </c>
      <c r="D6" s="144"/>
      <c r="E6" s="907"/>
      <c r="F6" s="144"/>
      <c r="G6" s="144"/>
      <c r="H6" s="144"/>
      <c r="I6" s="144"/>
      <c r="J6" s="144"/>
      <c r="K6" s="144"/>
      <c r="L6" s="144"/>
      <c r="M6" s="144"/>
      <c r="N6" s="144"/>
      <c r="O6" s="428"/>
      <c r="R6" s="105" t="s">
        <v>328</v>
      </c>
      <c r="S6" s="105" t="s">
        <v>152</v>
      </c>
      <c r="T6" s="123"/>
      <c r="U6" s="123"/>
      <c r="V6" s="105" t="s">
        <v>154</v>
      </c>
      <c r="W6" s="104"/>
      <c r="X6" s="105" t="s">
        <v>138</v>
      </c>
    </row>
    <row r="7" spans="1:24" ht="5.15" customHeight="1" x14ac:dyDescent="0.35">
      <c r="A7" s="92"/>
      <c r="B7" s="144"/>
      <c r="C7" s="144"/>
      <c r="D7" s="144"/>
      <c r="E7" s="144"/>
      <c r="F7" s="144"/>
      <c r="G7" s="144"/>
      <c r="H7" s="144"/>
      <c r="I7" s="144"/>
      <c r="J7" s="144"/>
      <c r="K7" s="144"/>
      <c r="L7" s="144"/>
      <c r="M7" s="144"/>
      <c r="N7" s="144"/>
      <c r="O7" s="428"/>
      <c r="W7" s="104"/>
    </row>
    <row r="8" spans="1:24" ht="18" customHeight="1" x14ac:dyDescent="0.35">
      <c r="A8" s="912">
        <f>C8</f>
        <v>1</v>
      </c>
      <c r="B8" s="144"/>
      <c r="C8" s="319">
        <v>1</v>
      </c>
      <c r="D8" s="909" t="str">
        <f>Translations!$B$1440</f>
        <v>Countries &amp; Currencies</v>
      </c>
      <c r="E8" s="909"/>
      <c r="F8" s="910"/>
      <c r="G8" s="910"/>
      <c r="H8" s="910"/>
      <c r="I8" s="910"/>
      <c r="J8" s="910"/>
      <c r="K8" s="910"/>
      <c r="L8" s="910"/>
      <c r="M8" s="910"/>
      <c r="N8" s="910"/>
      <c r="O8" s="428"/>
      <c r="R8" s="102" t="str">
        <f>D8</f>
        <v>Countries &amp; Currencies</v>
      </c>
      <c r="S8" s="105">
        <f>C8</f>
        <v>1</v>
      </c>
      <c r="W8" s="104"/>
    </row>
    <row r="9" spans="1:24" ht="5.15" customHeight="1" x14ac:dyDescent="0.35">
      <c r="A9" s="92"/>
      <c r="B9" s="144"/>
      <c r="C9" s="144"/>
      <c r="D9" s="10"/>
      <c r="E9" s="10"/>
      <c r="F9" s="10"/>
      <c r="G9" s="10"/>
      <c r="H9" s="10"/>
      <c r="I9" s="10"/>
      <c r="J9" s="10"/>
      <c r="K9" s="10"/>
      <c r="L9" s="10"/>
      <c r="M9" s="10"/>
      <c r="N9" s="10"/>
      <c r="O9" s="428"/>
    </row>
    <row r="10" spans="1:24" ht="12.75" customHeight="1" x14ac:dyDescent="0.35">
      <c r="A10" s="92"/>
      <c r="B10" s="144"/>
      <c r="C10" s="144"/>
      <c r="D10" s="964"/>
      <c r="E10" s="964"/>
      <c r="F10" s="703" t="str">
        <f>Translations!$B$1441</f>
        <v>Code</v>
      </c>
      <c r="G10" s="689" t="str">
        <f>Translations!$B$1442</f>
        <v>Country Name</v>
      </c>
      <c r="H10" s="689"/>
      <c r="I10" s="689"/>
      <c r="J10" s="964"/>
      <c r="K10" s="703" t="str">
        <f>Translations!$B$1441</f>
        <v>Code</v>
      </c>
      <c r="L10" s="689" t="str">
        <f>Translations!$B$1443</f>
        <v>Currency Name</v>
      </c>
      <c r="M10" s="690"/>
      <c r="N10" s="690"/>
      <c r="O10" s="428"/>
      <c r="S10" s="102" t="s">
        <v>3869</v>
      </c>
      <c r="T10" s="102" t="s">
        <v>3870</v>
      </c>
      <c r="U10" s="102" t="s">
        <v>3871</v>
      </c>
      <c r="V10" s="102" t="s">
        <v>3872</v>
      </c>
      <c r="W10" s="104"/>
    </row>
    <row r="11" spans="1:24" ht="12.75" customHeight="1" x14ac:dyDescent="0.35">
      <c r="A11" s="92"/>
      <c r="B11" s="144"/>
      <c r="C11" s="144"/>
      <c r="D11" s="964"/>
      <c r="E11" s="1000">
        <v>1</v>
      </c>
      <c r="F11" s="704" t="s">
        <v>3302</v>
      </c>
      <c r="G11" s="692" t="str">
        <f>Translations!$B$1444</f>
        <v>Andorra</v>
      </c>
      <c r="H11" s="692"/>
      <c r="I11" s="692"/>
      <c r="J11" s="1000">
        <v>1</v>
      </c>
      <c r="K11" s="704" t="s">
        <v>3535</v>
      </c>
      <c r="L11" s="692" t="str">
        <f>Translations!$B$1445</f>
        <v>UAE Dirham</v>
      </c>
      <c r="M11" s="692"/>
      <c r="N11" s="692"/>
      <c r="O11" s="428"/>
      <c r="W11" s="104"/>
    </row>
    <row r="12" spans="1:24" ht="12.75" customHeight="1" x14ac:dyDescent="0.35">
      <c r="A12" s="92"/>
      <c r="B12" s="144"/>
      <c r="C12" s="144"/>
      <c r="D12" s="964"/>
      <c r="E12" s="1000">
        <v>2</v>
      </c>
      <c r="F12" s="705" t="s">
        <v>3303</v>
      </c>
      <c r="G12" s="694" t="str">
        <f>Translations!$B$1446</f>
        <v>United Arab Emirates</v>
      </c>
      <c r="H12" s="694"/>
      <c r="I12" s="694"/>
      <c r="J12" s="1000">
        <v>2</v>
      </c>
      <c r="K12" s="705" t="s">
        <v>3537</v>
      </c>
      <c r="L12" s="694" t="str">
        <f>Translations!$B$1447</f>
        <v>Afghani</v>
      </c>
      <c r="M12" s="694"/>
      <c r="N12" s="694"/>
      <c r="O12" s="428"/>
      <c r="W12" s="104"/>
    </row>
    <row r="13" spans="1:24" ht="12.75" customHeight="1" x14ac:dyDescent="0.35">
      <c r="A13" s="92"/>
      <c r="B13" s="144"/>
      <c r="C13" s="144"/>
      <c r="D13" s="964"/>
      <c r="E13" s="1000">
        <v>3</v>
      </c>
      <c r="F13" s="705" t="s">
        <v>3304</v>
      </c>
      <c r="G13" s="694" t="str">
        <f>Translations!$B$1448</f>
        <v>Afghanistan</v>
      </c>
      <c r="H13" s="694"/>
      <c r="I13" s="694"/>
      <c r="J13" s="1000">
        <v>3</v>
      </c>
      <c r="K13" s="705" t="s">
        <v>3539</v>
      </c>
      <c r="L13" s="694" t="str">
        <f>Translations!$B$1449</f>
        <v>Lek</v>
      </c>
      <c r="M13" s="694"/>
      <c r="N13" s="694"/>
      <c r="O13" s="428"/>
      <c r="W13" s="104"/>
    </row>
    <row r="14" spans="1:24" ht="12.75" customHeight="1" x14ac:dyDescent="0.35">
      <c r="A14" s="92"/>
      <c r="B14" s="144"/>
      <c r="C14" s="144"/>
      <c r="D14" s="964"/>
      <c r="E14" s="1000">
        <v>4</v>
      </c>
      <c r="F14" s="705" t="s">
        <v>3305</v>
      </c>
      <c r="G14" s="694" t="str">
        <f>Translations!$B$1450</f>
        <v>Antigua and Barbuda</v>
      </c>
      <c r="H14" s="694"/>
      <c r="I14" s="694"/>
      <c r="J14" s="1000">
        <v>4</v>
      </c>
      <c r="K14" s="705" t="s">
        <v>3541</v>
      </c>
      <c r="L14" s="694" t="str">
        <f>Translations!$B$1451</f>
        <v>Armenian Dram</v>
      </c>
      <c r="M14" s="694"/>
      <c r="N14" s="694"/>
      <c r="O14" s="428"/>
      <c r="W14" s="104"/>
    </row>
    <row r="15" spans="1:24" ht="12.75" customHeight="1" x14ac:dyDescent="0.35">
      <c r="A15" s="92"/>
      <c r="B15" s="144"/>
      <c r="C15" s="144"/>
      <c r="D15" s="964"/>
      <c r="E15" s="1000">
        <v>5</v>
      </c>
      <c r="F15" s="705" t="s">
        <v>3306</v>
      </c>
      <c r="G15" s="694" t="str">
        <f>Translations!$B$1452</f>
        <v>Anguilla</v>
      </c>
      <c r="H15" s="694"/>
      <c r="I15" s="694"/>
      <c r="J15" s="1000">
        <v>5</v>
      </c>
      <c r="K15" s="705" t="s">
        <v>3543</v>
      </c>
      <c r="L15" s="694" t="str">
        <f>Translations!$B$1453</f>
        <v>Netherlands Antillean Guilder</v>
      </c>
      <c r="M15" s="694"/>
      <c r="N15" s="694"/>
      <c r="O15" s="428"/>
      <c r="W15" s="104"/>
    </row>
    <row r="16" spans="1:24" ht="12.75" customHeight="1" x14ac:dyDescent="0.35">
      <c r="A16" s="92"/>
      <c r="B16" s="144"/>
      <c r="C16" s="144"/>
      <c r="D16" s="964"/>
      <c r="E16" s="1000">
        <v>6</v>
      </c>
      <c r="F16" s="705" t="s">
        <v>3307</v>
      </c>
      <c r="G16" s="694" t="str">
        <f>Translations!$B$1454</f>
        <v>Albania</v>
      </c>
      <c r="H16" s="694"/>
      <c r="I16" s="694"/>
      <c r="J16" s="1000">
        <v>6</v>
      </c>
      <c r="K16" s="705" t="s">
        <v>3545</v>
      </c>
      <c r="L16" s="694" t="str">
        <f>Translations!$B$1455</f>
        <v>Kwanza</v>
      </c>
      <c r="M16" s="694"/>
      <c r="N16" s="694"/>
      <c r="O16" s="428"/>
      <c r="W16" s="104"/>
    </row>
    <row r="17" spans="1:23" ht="12.75" customHeight="1" x14ac:dyDescent="0.35">
      <c r="A17" s="92"/>
      <c r="B17" s="144"/>
      <c r="C17" s="144"/>
      <c r="D17" s="964"/>
      <c r="E17" s="1000">
        <v>7</v>
      </c>
      <c r="F17" s="705" t="s">
        <v>3308</v>
      </c>
      <c r="G17" s="694" t="str">
        <f>Translations!$B$1456</f>
        <v>Armenia</v>
      </c>
      <c r="H17" s="694"/>
      <c r="I17" s="694"/>
      <c r="J17" s="1000">
        <v>7</v>
      </c>
      <c r="K17" s="705" t="s">
        <v>3547</v>
      </c>
      <c r="L17" s="694" t="str">
        <f>Translations!$B$1457</f>
        <v>Argentine Peso</v>
      </c>
      <c r="M17" s="694"/>
      <c r="N17" s="694"/>
      <c r="O17" s="428"/>
      <c r="W17" s="104"/>
    </row>
    <row r="18" spans="1:23" ht="12.75" customHeight="1" x14ac:dyDescent="0.35">
      <c r="A18" s="92"/>
      <c r="B18" s="144"/>
      <c r="C18" s="144"/>
      <c r="D18" s="964"/>
      <c r="E18" s="1000">
        <v>8</v>
      </c>
      <c r="F18" s="705" t="s">
        <v>3309</v>
      </c>
      <c r="G18" s="694" t="str">
        <f>Translations!$B$1458</f>
        <v>Netherlands Antilles</v>
      </c>
      <c r="H18" s="694"/>
      <c r="I18" s="694"/>
      <c r="J18" s="1000">
        <v>8</v>
      </c>
      <c r="K18" s="705" t="s">
        <v>3549</v>
      </c>
      <c r="L18" s="694" t="str">
        <f>Translations!$B$1459</f>
        <v>Australian Dollar</v>
      </c>
      <c r="M18" s="694"/>
      <c r="N18" s="694"/>
      <c r="O18" s="428"/>
      <c r="W18" s="104"/>
    </row>
    <row r="19" spans="1:23" ht="12.75" customHeight="1" x14ac:dyDescent="0.35">
      <c r="A19" s="92"/>
      <c r="B19" s="144"/>
      <c r="C19" s="144"/>
      <c r="D19" s="964"/>
      <c r="E19" s="1000">
        <v>9</v>
      </c>
      <c r="F19" s="705" t="s">
        <v>3310</v>
      </c>
      <c r="G19" s="694" t="str">
        <f>Translations!$B$1460</f>
        <v>Angola</v>
      </c>
      <c r="H19" s="694"/>
      <c r="I19" s="694"/>
      <c r="J19" s="1000">
        <v>9</v>
      </c>
      <c r="K19" s="705" t="s">
        <v>3551</v>
      </c>
      <c r="L19" s="694" t="str">
        <f>Translations!$B$1461</f>
        <v>Aruban Florin</v>
      </c>
      <c r="M19" s="694"/>
      <c r="N19" s="694"/>
      <c r="O19" s="428"/>
      <c r="W19" s="104"/>
    </row>
    <row r="20" spans="1:23" ht="12.75" customHeight="1" x14ac:dyDescent="0.35">
      <c r="A20" s="92"/>
      <c r="B20" s="144"/>
      <c r="C20" s="144"/>
      <c r="D20" s="964"/>
      <c r="E20" s="1000">
        <v>10</v>
      </c>
      <c r="F20" s="705" t="s">
        <v>3311</v>
      </c>
      <c r="G20" s="694" t="str">
        <f>Translations!$B$1461</f>
        <v>Aruban Florin</v>
      </c>
      <c r="H20" s="694"/>
      <c r="I20" s="694"/>
      <c r="J20" s="1000">
        <v>10</v>
      </c>
      <c r="K20" s="705" t="s">
        <v>3553</v>
      </c>
      <c r="L20" s="694" t="str">
        <f>Translations!$B$1463</f>
        <v>Azerbaijan Manat</v>
      </c>
      <c r="M20" s="694"/>
      <c r="N20" s="694"/>
      <c r="O20" s="428"/>
      <c r="W20" s="104"/>
    </row>
    <row r="21" spans="1:23" ht="12.75" customHeight="1" x14ac:dyDescent="0.35">
      <c r="A21" s="92"/>
      <c r="B21" s="144"/>
      <c r="C21" s="144"/>
      <c r="D21" s="964"/>
      <c r="E21" s="1000">
        <v>11</v>
      </c>
      <c r="F21" s="705" t="s">
        <v>3312</v>
      </c>
      <c r="G21" s="694" t="str">
        <f>Translations!$B$1464</f>
        <v>Argentina</v>
      </c>
      <c r="H21" s="694"/>
      <c r="I21" s="694"/>
      <c r="J21" s="1000">
        <v>11</v>
      </c>
      <c r="K21" s="705" t="s">
        <v>3555</v>
      </c>
      <c r="L21" s="694" t="str">
        <f>Translations!$B$1465</f>
        <v>Convertible Mark</v>
      </c>
      <c r="M21" s="694"/>
      <c r="N21" s="694"/>
      <c r="O21" s="428"/>
      <c r="W21" s="104"/>
    </row>
    <row r="22" spans="1:23" ht="12.75" customHeight="1" x14ac:dyDescent="0.35">
      <c r="A22" s="92"/>
      <c r="B22" s="144"/>
      <c r="C22" s="144"/>
      <c r="D22" s="964"/>
      <c r="E22" s="1000">
        <v>12</v>
      </c>
      <c r="F22" s="705" t="s">
        <v>3313</v>
      </c>
      <c r="G22" s="694" t="str">
        <f>Translations!$B$1466</f>
        <v>American Samoa</v>
      </c>
      <c r="H22" s="694"/>
      <c r="I22" s="694"/>
      <c r="J22" s="1000">
        <v>12</v>
      </c>
      <c r="K22" s="705" t="s">
        <v>3557</v>
      </c>
      <c r="L22" s="694" t="str">
        <f>Translations!$B$1467</f>
        <v>Barbados Dollar</v>
      </c>
      <c r="M22" s="694"/>
      <c r="N22" s="694"/>
      <c r="O22" s="428"/>
      <c r="W22" s="104"/>
    </row>
    <row r="23" spans="1:23" ht="12.75" customHeight="1" x14ac:dyDescent="0.35">
      <c r="A23" s="92"/>
      <c r="B23" s="144"/>
      <c r="C23" s="144"/>
      <c r="D23" s="964"/>
      <c r="E23" s="1000">
        <v>13</v>
      </c>
      <c r="F23" s="705" t="s">
        <v>451</v>
      </c>
      <c r="G23" s="694" t="str">
        <f>Translations!$B$1922</f>
        <v>Austria</v>
      </c>
      <c r="H23" s="694"/>
      <c r="I23" s="694"/>
      <c r="J23" s="1000">
        <v>13</v>
      </c>
      <c r="K23" s="705" t="s">
        <v>3559</v>
      </c>
      <c r="L23" s="694" t="str">
        <f>Translations!$B$1468</f>
        <v>Taka</v>
      </c>
      <c r="M23" s="694"/>
      <c r="N23" s="694"/>
      <c r="O23" s="428"/>
      <c r="W23" s="104"/>
    </row>
    <row r="24" spans="1:23" ht="12.75" customHeight="1" x14ac:dyDescent="0.35">
      <c r="A24" s="92"/>
      <c r="B24" s="144"/>
      <c r="C24" s="144"/>
      <c r="D24" s="964"/>
      <c r="E24" s="1000">
        <v>14</v>
      </c>
      <c r="F24" s="705" t="s">
        <v>3314</v>
      </c>
      <c r="G24" s="694" t="str">
        <f>Translations!$B$1469</f>
        <v>Australia</v>
      </c>
      <c r="H24" s="694"/>
      <c r="I24" s="694"/>
      <c r="J24" s="1000">
        <v>14</v>
      </c>
      <c r="K24" s="705" t="s">
        <v>3561</v>
      </c>
      <c r="L24" s="694" t="str">
        <f>Translations!$B$1470</f>
        <v>Bulgarian Lev</v>
      </c>
      <c r="M24" s="694"/>
      <c r="N24" s="694"/>
      <c r="O24" s="428"/>
      <c r="W24" s="104"/>
    </row>
    <row r="25" spans="1:23" ht="12.75" customHeight="1" x14ac:dyDescent="0.35">
      <c r="A25" s="92"/>
      <c r="B25" s="144"/>
      <c r="C25" s="144"/>
      <c r="D25" s="964"/>
      <c r="E25" s="1000">
        <v>15</v>
      </c>
      <c r="F25" s="705" t="s">
        <v>3315</v>
      </c>
      <c r="G25" s="694" t="str">
        <f>Translations!$B$1471</f>
        <v>Aruba</v>
      </c>
      <c r="H25" s="694"/>
      <c r="I25" s="694"/>
      <c r="J25" s="1000">
        <v>15</v>
      </c>
      <c r="K25" s="705" t="s">
        <v>3563</v>
      </c>
      <c r="L25" s="694" t="str">
        <f>Translations!$B$1472</f>
        <v>Bahraini Dinar</v>
      </c>
      <c r="M25" s="694"/>
      <c r="N25" s="694"/>
      <c r="O25" s="428"/>
      <c r="W25" s="104"/>
    </row>
    <row r="26" spans="1:23" ht="12.75" customHeight="1" x14ac:dyDescent="0.35">
      <c r="A26" s="92"/>
      <c r="B26" s="144"/>
      <c r="C26" s="144"/>
      <c r="D26" s="964"/>
      <c r="E26" s="1000">
        <v>16</v>
      </c>
      <c r="F26" s="705" t="s">
        <v>3316</v>
      </c>
      <c r="G26" s="694" t="str">
        <f>Translations!$B$1473</f>
        <v>ÅLAND ISLANDS</v>
      </c>
      <c r="H26" s="694"/>
      <c r="I26" s="694"/>
      <c r="J26" s="1000">
        <v>16</v>
      </c>
      <c r="K26" s="705" t="s">
        <v>3565</v>
      </c>
      <c r="L26" s="694" t="str">
        <f>Translations!$B$1474</f>
        <v>Burundi Franc</v>
      </c>
      <c r="M26" s="694"/>
      <c r="N26" s="694"/>
      <c r="O26" s="428"/>
      <c r="W26" s="104"/>
    </row>
    <row r="27" spans="1:23" ht="12.75" customHeight="1" x14ac:dyDescent="0.35">
      <c r="A27" s="92"/>
      <c r="B27" s="144"/>
      <c r="C27" s="144"/>
      <c r="D27" s="964"/>
      <c r="E27" s="1000">
        <v>17</v>
      </c>
      <c r="F27" s="705" t="s">
        <v>3317</v>
      </c>
      <c r="G27" s="694" t="str">
        <f>Translations!$B$1475</f>
        <v>Azerbaijan</v>
      </c>
      <c r="H27" s="694"/>
      <c r="I27" s="694"/>
      <c r="J27" s="1000">
        <v>17</v>
      </c>
      <c r="K27" s="705" t="s">
        <v>3567</v>
      </c>
      <c r="L27" s="694" t="str">
        <f>Translations!$B$1476</f>
        <v>Bermudian Dollar</v>
      </c>
      <c r="M27" s="694"/>
      <c r="N27" s="694"/>
      <c r="O27" s="428"/>
      <c r="W27" s="104"/>
    </row>
    <row r="28" spans="1:23" ht="12.75" customHeight="1" x14ac:dyDescent="0.35">
      <c r="A28" s="92"/>
      <c r="B28" s="144"/>
      <c r="C28" s="144"/>
      <c r="D28" s="964"/>
      <c r="E28" s="1000">
        <v>18</v>
      </c>
      <c r="F28" s="705" t="s">
        <v>3318</v>
      </c>
      <c r="G28" s="694" t="str">
        <f>Translations!$B$1477</f>
        <v>Bosnia and Herzegovina</v>
      </c>
      <c r="H28" s="694"/>
      <c r="I28" s="694"/>
      <c r="J28" s="1000">
        <v>18</v>
      </c>
      <c r="K28" s="705" t="s">
        <v>3569</v>
      </c>
      <c r="L28" s="694" t="str">
        <f>Translations!$B$1478</f>
        <v>Brunei Dollar</v>
      </c>
      <c r="M28" s="694"/>
      <c r="N28" s="694"/>
      <c r="O28" s="428"/>
      <c r="W28" s="104"/>
    </row>
    <row r="29" spans="1:23" ht="12.75" customHeight="1" x14ac:dyDescent="0.35">
      <c r="A29" s="92"/>
      <c r="B29" s="144"/>
      <c r="C29" s="144"/>
      <c r="D29" s="964"/>
      <c r="E29" s="1000">
        <v>19</v>
      </c>
      <c r="F29" s="705" t="s">
        <v>3319</v>
      </c>
      <c r="G29" s="694" t="str">
        <f>Translations!$B$1479</f>
        <v>Barbados</v>
      </c>
      <c r="H29" s="694"/>
      <c r="I29" s="694"/>
      <c r="J29" s="1000">
        <v>19</v>
      </c>
      <c r="K29" s="705" t="s">
        <v>3571</v>
      </c>
      <c r="L29" s="694" t="str">
        <f>Translations!$B$1480</f>
        <v>Boliviano</v>
      </c>
      <c r="M29" s="694"/>
      <c r="N29" s="694"/>
      <c r="O29" s="428"/>
      <c r="W29" s="104"/>
    </row>
    <row r="30" spans="1:23" ht="12.75" customHeight="1" x14ac:dyDescent="0.35">
      <c r="A30" s="92"/>
      <c r="B30" s="144"/>
      <c r="C30" s="144"/>
      <c r="D30" s="964"/>
      <c r="E30" s="1000">
        <v>20</v>
      </c>
      <c r="F30" s="705" t="s">
        <v>3320</v>
      </c>
      <c r="G30" s="694" t="str">
        <f>Translations!$B$1481</f>
        <v>Bangladesh</v>
      </c>
      <c r="H30" s="694"/>
      <c r="I30" s="694"/>
      <c r="J30" s="1000">
        <v>20</v>
      </c>
      <c r="K30" s="705" t="s">
        <v>3573</v>
      </c>
      <c r="L30" s="694" t="str">
        <f>Translations!$B$1482</f>
        <v>Mvdol</v>
      </c>
      <c r="M30" s="694"/>
      <c r="N30" s="694"/>
      <c r="O30" s="428"/>
      <c r="W30" s="104"/>
    </row>
    <row r="31" spans="1:23" ht="12.75" customHeight="1" x14ac:dyDescent="0.35">
      <c r="A31" s="92"/>
      <c r="B31" s="144"/>
      <c r="C31" s="144"/>
      <c r="D31" s="964"/>
      <c r="E31" s="1000">
        <v>21</v>
      </c>
      <c r="F31" s="705" t="s">
        <v>453</v>
      </c>
      <c r="G31" s="694" t="str">
        <f>Translations!$B$1923</f>
        <v>Belgium</v>
      </c>
      <c r="H31" s="694"/>
      <c r="I31" s="694"/>
      <c r="J31" s="1000">
        <v>21</v>
      </c>
      <c r="K31" s="705" t="s">
        <v>3575</v>
      </c>
      <c r="L31" s="694" t="str">
        <f>Translations!$B$1483</f>
        <v>Brazilian Real</v>
      </c>
      <c r="M31" s="694"/>
      <c r="N31" s="694"/>
      <c r="O31" s="428"/>
      <c r="W31" s="104"/>
    </row>
    <row r="32" spans="1:23" ht="12.75" customHeight="1" x14ac:dyDescent="0.35">
      <c r="A32" s="92"/>
      <c r="B32" s="144"/>
      <c r="C32" s="144"/>
      <c r="D32" s="964"/>
      <c r="E32" s="1000">
        <v>22</v>
      </c>
      <c r="F32" s="705" t="s">
        <v>3321</v>
      </c>
      <c r="G32" s="694" t="str">
        <f>Translations!$B$1484</f>
        <v>Burkina Faso</v>
      </c>
      <c r="H32" s="694"/>
      <c r="I32" s="694"/>
      <c r="J32" s="1000">
        <v>22</v>
      </c>
      <c r="K32" s="705" t="s">
        <v>3577</v>
      </c>
      <c r="L32" s="694" t="str">
        <f>Translations!$B$1485</f>
        <v>Bahamian Dollar</v>
      </c>
      <c r="M32" s="694"/>
      <c r="N32" s="694"/>
      <c r="O32" s="428"/>
      <c r="W32" s="104"/>
    </row>
    <row r="33" spans="1:23" ht="12.75" customHeight="1" x14ac:dyDescent="0.35">
      <c r="A33" s="92"/>
      <c r="B33" s="144"/>
      <c r="C33" s="144"/>
      <c r="D33" s="964"/>
      <c r="E33" s="1000">
        <v>23</v>
      </c>
      <c r="F33" s="705" t="s">
        <v>455</v>
      </c>
      <c r="G33" s="694" t="str">
        <f>Translations!$B$1924</f>
        <v>Bulgaria</v>
      </c>
      <c r="H33" s="694"/>
      <c r="I33" s="694"/>
      <c r="J33" s="1000">
        <v>23</v>
      </c>
      <c r="K33" s="705" t="s">
        <v>3579</v>
      </c>
      <c r="L33" s="694" t="str">
        <f>Translations!$B$1486</f>
        <v>Ngultrum</v>
      </c>
      <c r="M33" s="694"/>
      <c r="N33" s="694"/>
      <c r="O33" s="428"/>
      <c r="W33" s="104"/>
    </row>
    <row r="34" spans="1:23" ht="12.75" customHeight="1" x14ac:dyDescent="0.35">
      <c r="A34" s="92"/>
      <c r="B34" s="144"/>
      <c r="C34" s="144"/>
      <c r="D34" s="964"/>
      <c r="E34" s="1000">
        <v>24</v>
      </c>
      <c r="F34" s="705" t="s">
        <v>3322</v>
      </c>
      <c r="G34" s="694" t="str">
        <f>Translations!$B$1487</f>
        <v>Bahrain</v>
      </c>
      <c r="H34" s="694"/>
      <c r="I34" s="694"/>
      <c r="J34" s="1000">
        <v>24</v>
      </c>
      <c r="K34" s="705" t="s">
        <v>3581</v>
      </c>
      <c r="L34" s="694" t="str">
        <f>Translations!$B$1488</f>
        <v>Pula</v>
      </c>
      <c r="M34" s="694"/>
      <c r="N34" s="694"/>
      <c r="O34" s="428"/>
      <c r="W34" s="104"/>
    </row>
    <row r="35" spans="1:23" ht="12.75" customHeight="1" x14ac:dyDescent="0.35">
      <c r="A35" s="92"/>
      <c r="B35" s="144"/>
      <c r="C35" s="144"/>
      <c r="D35" s="964"/>
      <c r="E35" s="1000">
        <v>25</v>
      </c>
      <c r="F35" s="705" t="s">
        <v>3323</v>
      </c>
      <c r="G35" s="694" t="str">
        <f>Translations!$B$1489</f>
        <v>Burundi</v>
      </c>
      <c r="H35" s="694"/>
      <c r="I35" s="694"/>
      <c r="J35" s="1000">
        <v>25</v>
      </c>
      <c r="K35" s="705" t="s">
        <v>3583</v>
      </c>
      <c r="L35" s="694" t="str">
        <f>Translations!$B$1490</f>
        <v>Belarusian Ruble</v>
      </c>
      <c r="M35" s="694"/>
      <c r="N35" s="694"/>
      <c r="O35" s="428"/>
      <c r="W35" s="104"/>
    </row>
    <row r="36" spans="1:23" ht="12.75" customHeight="1" x14ac:dyDescent="0.35">
      <c r="A36" s="92"/>
      <c r="B36" s="144"/>
      <c r="C36" s="144"/>
      <c r="D36" s="964"/>
      <c r="E36" s="1000">
        <v>26</v>
      </c>
      <c r="F36" s="705" t="s">
        <v>3324</v>
      </c>
      <c r="G36" s="694" t="str">
        <f>Translations!$B$1491</f>
        <v>Benin</v>
      </c>
      <c r="H36" s="694"/>
      <c r="I36" s="694"/>
      <c r="J36" s="1000">
        <v>26</v>
      </c>
      <c r="K36" s="705" t="s">
        <v>3585</v>
      </c>
      <c r="L36" s="694" t="str">
        <f>Translations!$B$1492</f>
        <v>Belize Dollar</v>
      </c>
      <c r="M36" s="694"/>
      <c r="N36" s="694"/>
      <c r="O36" s="428"/>
      <c r="W36" s="104"/>
    </row>
    <row r="37" spans="1:23" ht="12.75" customHeight="1" x14ac:dyDescent="0.35">
      <c r="A37" s="92"/>
      <c r="B37" s="144"/>
      <c r="C37" s="144"/>
      <c r="D37" s="964"/>
      <c r="E37" s="1000">
        <v>27</v>
      </c>
      <c r="F37" s="705" t="s">
        <v>3325</v>
      </c>
      <c r="G37" s="694" t="str">
        <f>Translations!$B$1493</f>
        <v>Saint Barthélemy</v>
      </c>
      <c r="H37" s="694"/>
      <c r="I37" s="694"/>
      <c r="J37" s="1000">
        <v>27</v>
      </c>
      <c r="K37" s="705" t="s">
        <v>3587</v>
      </c>
      <c r="L37" s="694" t="str">
        <f>Translations!$B$1494</f>
        <v>Canadian Dollar</v>
      </c>
      <c r="M37" s="694"/>
      <c r="N37" s="694"/>
      <c r="O37" s="428"/>
      <c r="W37" s="104"/>
    </row>
    <row r="38" spans="1:23" ht="12.75" customHeight="1" x14ac:dyDescent="0.35">
      <c r="A38" s="92"/>
      <c r="B38" s="144"/>
      <c r="C38" s="144"/>
      <c r="D38" s="964"/>
      <c r="E38" s="1000">
        <v>28</v>
      </c>
      <c r="F38" s="705" t="s">
        <v>3326</v>
      </c>
      <c r="G38" s="694" t="str">
        <f>Translations!$B$1495</f>
        <v>Bermuda</v>
      </c>
      <c r="H38" s="694"/>
      <c r="I38" s="694"/>
      <c r="J38" s="1000">
        <v>28</v>
      </c>
      <c r="K38" s="705" t="s">
        <v>3589</v>
      </c>
      <c r="L38" s="694" t="str">
        <f>Translations!$B$1496</f>
        <v>Congolese Franc</v>
      </c>
      <c r="M38" s="694"/>
      <c r="N38" s="694"/>
      <c r="O38" s="428"/>
      <c r="W38" s="104"/>
    </row>
    <row r="39" spans="1:23" ht="12.75" customHeight="1" x14ac:dyDescent="0.35">
      <c r="A39" s="92"/>
      <c r="B39" s="144"/>
      <c r="C39" s="144"/>
      <c r="D39" s="964"/>
      <c r="E39" s="1000">
        <v>29</v>
      </c>
      <c r="F39" s="705" t="s">
        <v>3327</v>
      </c>
      <c r="G39" s="694" t="str">
        <f>Translations!$B$1497</f>
        <v>Brunei Darussalam</v>
      </c>
      <c r="H39" s="694"/>
      <c r="I39" s="694"/>
      <c r="J39" s="1000">
        <v>29</v>
      </c>
      <c r="K39" s="705" t="s">
        <v>3591</v>
      </c>
      <c r="L39" s="694" t="str">
        <f>Translations!$B$1498</f>
        <v>WIR Euro</v>
      </c>
      <c r="M39" s="694"/>
      <c r="N39" s="694"/>
      <c r="O39" s="428"/>
      <c r="W39" s="104"/>
    </row>
    <row r="40" spans="1:23" ht="12.75" customHeight="1" x14ac:dyDescent="0.35">
      <c r="A40" s="92"/>
      <c r="B40" s="144"/>
      <c r="C40" s="144"/>
      <c r="D40" s="964"/>
      <c r="E40" s="1000">
        <v>30</v>
      </c>
      <c r="F40" s="705" t="s">
        <v>3328</v>
      </c>
      <c r="G40" s="694" t="str">
        <f>Translations!$B$1499</f>
        <v>Bolivia, Plurinational State of</v>
      </c>
      <c r="H40" s="694"/>
      <c r="I40" s="694"/>
      <c r="J40" s="1000">
        <v>30</v>
      </c>
      <c r="K40" s="705" t="s">
        <v>3593</v>
      </c>
      <c r="L40" s="694" t="str">
        <f>Translations!$B$1500</f>
        <v>Swiss Franc</v>
      </c>
      <c r="M40" s="694"/>
      <c r="N40" s="694"/>
      <c r="O40" s="428"/>
      <c r="W40" s="104"/>
    </row>
    <row r="41" spans="1:23" ht="12.75" customHeight="1" x14ac:dyDescent="0.35">
      <c r="A41" s="92"/>
      <c r="B41" s="144"/>
      <c r="C41" s="144"/>
      <c r="D41" s="964"/>
      <c r="E41" s="1000">
        <v>31</v>
      </c>
      <c r="F41" s="705" t="s">
        <v>3329</v>
      </c>
      <c r="G41" s="694" t="str">
        <f>Translations!$B$1501</f>
        <v>Bonaire, Sint Eustatius and Saba</v>
      </c>
      <c r="H41" s="694"/>
      <c r="I41" s="694"/>
      <c r="J41" s="1000">
        <v>31</v>
      </c>
      <c r="K41" s="705" t="s">
        <v>3595</v>
      </c>
      <c r="L41" s="694" t="str">
        <f>Translations!$B$1502</f>
        <v>WIR Franc</v>
      </c>
      <c r="M41" s="694"/>
      <c r="N41" s="694"/>
      <c r="O41" s="428"/>
      <c r="W41" s="104"/>
    </row>
    <row r="42" spans="1:23" ht="12.75" customHeight="1" x14ac:dyDescent="0.35">
      <c r="A42" s="92"/>
      <c r="B42" s="144"/>
      <c r="C42" s="144"/>
      <c r="D42" s="964"/>
      <c r="E42" s="1000">
        <v>32</v>
      </c>
      <c r="F42" s="705" t="s">
        <v>3330</v>
      </c>
      <c r="G42" s="694" t="str">
        <f>Translations!$B$1503</f>
        <v>Brazil</v>
      </c>
      <c r="H42" s="694"/>
      <c r="I42" s="694"/>
      <c r="J42" s="1000">
        <v>32</v>
      </c>
      <c r="K42" s="705" t="s">
        <v>3597</v>
      </c>
      <c r="L42" s="694" t="str">
        <f>Translations!$B$1504</f>
        <v>Unidad de Fomento</v>
      </c>
      <c r="M42" s="694"/>
      <c r="N42" s="694"/>
      <c r="O42" s="428"/>
      <c r="W42" s="104"/>
    </row>
    <row r="43" spans="1:23" ht="12.75" customHeight="1" x14ac:dyDescent="0.35">
      <c r="A43" s="92"/>
      <c r="B43" s="144"/>
      <c r="C43" s="144"/>
      <c r="D43" s="964"/>
      <c r="E43" s="1000">
        <v>33</v>
      </c>
      <c r="F43" s="705" t="s">
        <v>3331</v>
      </c>
      <c r="G43" s="694" t="str">
        <f>Translations!$B$1505</f>
        <v>Bahamas</v>
      </c>
      <c r="H43" s="694"/>
      <c r="I43" s="694"/>
      <c r="J43" s="1000">
        <v>33</v>
      </c>
      <c r="K43" s="705" t="s">
        <v>3599</v>
      </c>
      <c r="L43" s="694" t="str">
        <f>Translations!$B$1506</f>
        <v>Chilean Peso</v>
      </c>
      <c r="M43" s="694"/>
      <c r="N43" s="694"/>
      <c r="O43" s="428"/>
      <c r="W43" s="104"/>
    </row>
    <row r="44" spans="1:23" ht="12.75" customHeight="1" x14ac:dyDescent="0.35">
      <c r="A44" s="92"/>
      <c r="B44" s="144"/>
      <c r="C44" s="144"/>
      <c r="D44" s="964"/>
      <c r="E44" s="1000">
        <v>34</v>
      </c>
      <c r="F44" s="705" t="s">
        <v>3332</v>
      </c>
      <c r="G44" s="694" t="str">
        <f>Translations!$B$1507</f>
        <v>Bhutan</v>
      </c>
      <c r="H44" s="694"/>
      <c r="I44" s="694"/>
      <c r="J44" s="1000">
        <v>34</v>
      </c>
      <c r="K44" s="705" t="s">
        <v>3601</v>
      </c>
      <c r="L44" s="694" t="str">
        <f>Translations!$B$1508</f>
        <v>Yuan Renminbi</v>
      </c>
      <c r="M44" s="694"/>
      <c r="N44" s="694"/>
      <c r="O44" s="428"/>
      <c r="W44" s="104"/>
    </row>
    <row r="45" spans="1:23" ht="12.75" customHeight="1" x14ac:dyDescent="0.35">
      <c r="A45" s="92"/>
      <c r="B45" s="144"/>
      <c r="C45" s="144"/>
      <c r="D45" s="964"/>
      <c r="E45" s="1000">
        <v>35</v>
      </c>
      <c r="F45" s="705" t="s">
        <v>3333</v>
      </c>
      <c r="G45" s="694" t="str">
        <f>Translations!$B$1509</f>
        <v>Bouvet Island</v>
      </c>
      <c r="H45" s="694"/>
      <c r="I45" s="694"/>
      <c r="J45" s="1000">
        <v>35</v>
      </c>
      <c r="K45" s="705" t="s">
        <v>3603</v>
      </c>
      <c r="L45" s="694" t="str">
        <f>Translations!$B$1510</f>
        <v>Colombian Peso</v>
      </c>
      <c r="M45" s="694"/>
      <c r="N45" s="694"/>
      <c r="O45" s="428"/>
      <c r="W45" s="104"/>
    </row>
    <row r="46" spans="1:23" ht="12.75" customHeight="1" x14ac:dyDescent="0.35">
      <c r="A46" s="92"/>
      <c r="B46" s="144"/>
      <c r="C46" s="144"/>
      <c r="D46" s="964"/>
      <c r="E46" s="1000">
        <v>36</v>
      </c>
      <c r="F46" s="705" t="s">
        <v>3334</v>
      </c>
      <c r="G46" s="694" t="str">
        <f>Translations!$B$1511</f>
        <v>Botswana</v>
      </c>
      <c r="H46" s="694"/>
      <c r="I46" s="694"/>
      <c r="J46" s="1000">
        <v>36</v>
      </c>
      <c r="K46" s="705" t="s">
        <v>3605</v>
      </c>
      <c r="L46" s="694" t="str">
        <f>Translations!$B$1512</f>
        <v>Unidad de Valor Real</v>
      </c>
      <c r="M46" s="694"/>
      <c r="N46" s="694"/>
      <c r="O46" s="428"/>
      <c r="W46" s="104"/>
    </row>
    <row r="47" spans="1:23" ht="12.75" customHeight="1" x14ac:dyDescent="0.35">
      <c r="A47" s="92"/>
      <c r="B47" s="144"/>
      <c r="C47" s="144"/>
      <c r="D47" s="964"/>
      <c r="E47" s="1000">
        <v>37</v>
      </c>
      <c r="F47" s="705" t="s">
        <v>3335</v>
      </c>
      <c r="G47" s="694" t="str">
        <f>Translations!$B$1513</f>
        <v>Belarus</v>
      </c>
      <c r="H47" s="694"/>
      <c r="I47" s="694"/>
      <c r="J47" s="1000">
        <v>37</v>
      </c>
      <c r="K47" s="705" t="s">
        <v>3607</v>
      </c>
      <c r="L47" s="694" t="str">
        <f>Translations!$B$1514</f>
        <v>Costa Rican Colon</v>
      </c>
      <c r="M47" s="694"/>
      <c r="N47" s="694"/>
      <c r="O47" s="428"/>
      <c r="W47" s="104"/>
    </row>
    <row r="48" spans="1:23" ht="12.75" customHeight="1" x14ac:dyDescent="0.35">
      <c r="A48" s="92"/>
      <c r="B48" s="144"/>
      <c r="C48" s="144"/>
      <c r="D48" s="964"/>
      <c r="E48" s="1000">
        <v>38</v>
      </c>
      <c r="F48" s="705" t="s">
        <v>3336</v>
      </c>
      <c r="G48" s="694" t="str">
        <f>Translations!$B$1515</f>
        <v>Belize</v>
      </c>
      <c r="H48" s="694"/>
      <c r="I48" s="694"/>
      <c r="J48" s="1000">
        <v>38</v>
      </c>
      <c r="K48" s="705" t="s">
        <v>3609</v>
      </c>
      <c r="L48" s="694" t="str">
        <f>Translations!$B$1516</f>
        <v>Peso Convertible</v>
      </c>
      <c r="M48" s="694"/>
      <c r="N48" s="694"/>
      <c r="O48" s="428"/>
      <c r="W48" s="104"/>
    </row>
    <row r="49" spans="1:23" ht="12.75" customHeight="1" x14ac:dyDescent="0.35">
      <c r="A49" s="92"/>
      <c r="B49" s="144"/>
      <c r="C49" s="144"/>
      <c r="D49" s="964"/>
      <c r="E49" s="1000">
        <v>39</v>
      </c>
      <c r="F49" s="705" t="s">
        <v>3337</v>
      </c>
      <c r="G49" s="694" t="str">
        <f>Translations!$B$1517</f>
        <v>Canada</v>
      </c>
      <c r="H49" s="694"/>
      <c r="I49" s="694"/>
      <c r="J49" s="1000">
        <v>39</v>
      </c>
      <c r="K49" s="705" t="s">
        <v>3611</v>
      </c>
      <c r="L49" s="694" t="str">
        <f>Translations!$B$1518</f>
        <v>Cuban Peso</v>
      </c>
      <c r="M49" s="694"/>
      <c r="N49" s="694"/>
      <c r="O49" s="428"/>
      <c r="W49" s="104"/>
    </row>
    <row r="50" spans="1:23" ht="12.75" customHeight="1" x14ac:dyDescent="0.35">
      <c r="A50" s="92"/>
      <c r="B50" s="144"/>
      <c r="C50" s="144"/>
      <c r="D50" s="964"/>
      <c r="E50" s="1000">
        <v>40</v>
      </c>
      <c r="F50" s="705" t="s">
        <v>343</v>
      </c>
      <c r="G50" s="694" t="str">
        <f>Translations!$B$1519</f>
        <v>Cocos Islands (or Keeling Islands)</v>
      </c>
      <c r="H50" s="694"/>
      <c r="I50" s="694"/>
      <c r="J50" s="1000">
        <v>40</v>
      </c>
      <c r="K50" s="705" t="s">
        <v>3613</v>
      </c>
      <c r="L50" s="694" t="str">
        <f>Translations!$B$1520</f>
        <v>Cabo Verde Escudo</v>
      </c>
      <c r="M50" s="694"/>
      <c r="N50" s="694"/>
      <c r="O50" s="428"/>
      <c r="W50" s="104"/>
    </row>
    <row r="51" spans="1:23" ht="12.75" customHeight="1" x14ac:dyDescent="0.35">
      <c r="A51" s="92"/>
      <c r="B51" s="144"/>
      <c r="C51" s="144"/>
      <c r="D51" s="964"/>
      <c r="E51" s="1000">
        <v>41</v>
      </c>
      <c r="F51" s="705" t="s">
        <v>3338</v>
      </c>
      <c r="G51" s="694" t="str">
        <f>Translations!$B$1521</f>
        <v>Congo, Democratic Republic of</v>
      </c>
      <c r="H51" s="694"/>
      <c r="I51" s="694"/>
      <c r="J51" s="1000">
        <v>41</v>
      </c>
      <c r="K51" s="705" t="s">
        <v>3615</v>
      </c>
      <c r="L51" s="694" t="str">
        <f>Translations!$B$1522</f>
        <v>Czech Koruna</v>
      </c>
      <c r="M51" s="694"/>
      <c r="N51" s="694"/>
      <c r="O51" s="428"/>
      <c r="W51" s="104"/>
    </row>
    <row r="52" spans="1:23" ht="12.75" customHeight="1" x14ac:dyDescent="0.35">
      <c r="A52" s="92"/>
      <c r="B52" s="144"/>
      <c r="C52" s="144"/>
      <c r="D52" s="964"/>
      <c r="E52" s="1000">
        <v>42</v>
      </c>
      <c r="F52" s="705" t="s">
        <v>3339</v>
      </c>
      <c r="G52" s="694" t="str">
        <f>Translations!$B$1523</f>
        <v>Central African Republic</v>
      </c>
      <c r="H52" s="694"/>
      <c r="I52" s="694"/>
      <c r="J52" s="1000">
        <v>42</v>
      </c>
      <c r="K52" s="705" t="s">
        <v>3617</v>
      </c>
      <c r="L52" s="694" t="str">
        <f>Translations!$B$1524</f>
        <v>Djibouti Franc</v>
      </c>
      <c r="M52" s="694"/>
      <c r="N52" s="694"/>
      <c r="O52" s="428"/>
      <c r="W52" s="104"/>
    </row>
    <row r="53" spans="1:23" ht="12.75" customHeight="1" x14ac:dyDescent="0.35">
      <c r="A53" s="92"/>
      <c r="B53" s="144"/>
      <c r="C53" s="144"/>
      <c r="D53" s="964"/>
      <c r="E53" s="1000">
        <v>43</v>
      </c>
      <c r="F53" s="705" t="s">
        <v>3340</v>
      </c>
      <c r="G53" s="694" t="str">
        <f>Translations!$B$1525</f>
        <v>Congo</v>
      </c>
      <c r="H53" s="694"/>
      <c r="I53" s="694"/>
      <c r="J53" s="1000">
        <v>43</v>
      </c>
      <c r="K53" s="705" t="s">
        <v>3619</v>
      </c>
      <c r="L53" s="694" t="str">
        <f>Translations!$B$1526</f>
        <v>Danish Krone</v>
      </c>
      <c r="M53" s="694"/>
      <c r="N53" s="694"/>
      <c r="O53" s="428"/>
      <c r="W53" s="104"/>
    </row>
    <row r="54" spans="1:23" ht="12.75" customHeight="1" x14ac:dyDescent="0.35">
      <c r="A54" s="92"/>
      <c r="B54" s="144"/>
      <c r="C54" s="144"/>
      <c r="D54" s="964"/>
      <c r="E54" s="1000">
        <v>44</v>
      </c>
      <c r="F54" s="705" t="s">
        <v>3341</v>
      </c>
      <c r="G54" s="694" t="str">
        <f>Translations!$B$1527</f>
        <v>Switzerland</v>
      </c>
      <c r="H54" s="694"/>
      <c r="I54" s="694"/>
      <c r="J54" s="1000">
        <v>44</v>
      </c>
      <c r="K54" s="705" t="s">
        <v>3621</v>
      </c>
      <c r="L54" s="694" t="str">
        <f>Translations!$B$1528</f>
        <v>Dominican Peso</v>
      </c>
      <c r="M54" s="694"/>
      <c r="N54" s="694"/>
      <c r="O54" s="428"/>
      <c r="W54" s="104"/>
    </row>
    <row r="55" spans="1:23" ht="12.75" customHeight="1" x14ac:dyDescent="0.35">
      <c r="A55" s="92"/>
      <c r="B55" s="144"/>
      <c r="C55" s="144"/>
      <c r="D55" s="964"/>
      <c r="E55" s="1000">
        <v>45</v>
      </c>
      <c r="F55" s="705" t="s">
        <v>3342</v>
      </c>
      <c r="G55" s="694" t="str">
        <f>Translations!$B$1529</f>
        <v>Côte d'Ivoire</v>
      </c>
      <c r="H55" s="694"/>
      <c r="I55" s="694"/>
      <c r="J55" s="1000">
        <v>45</v>
      </c>
      <c r="K55" s="705" t="s">
        <v>3623</v>
      </c>
      <c r="L55" s="694" t="str">
        <f>Translations!$B$1530</f>
        <v>Algerian Dinar</v>
      </c>
      <c r="M55" s="694"/>
      <c r="N55" s="694"/>
      <c r="O55" s="428"/>
      <c r="W55" s="104"/>
    </row>
    <row r="56" spans="1:23" ht="12.75" customHeight="1" x14ac:dyDescent="0.35">
      <c r="A56" s="92"/>
      <c r="B56" s="144"/>
      <c r="C56" s="144"/>
      <c r="D56" s="964"/>
      <c r="E56" s="1000">
        <v>46</v>
      </c>
      <c r="F56" s="705" t="s">
        <v>3343</v>
      </c>
      <c r="G56" s="694" t="str">
        <f>Translations!$B$1531</f>
        <v>Cook Islands</v>
      </c>
      <c r="H56" s="694"/>
      <c r="I56" s="694"/>
      <c r="J56" s="1000">
        <v>46</v>
      </c>
      <c r="K56" s="705" t="s">
        <v>3625</v>
      </c>
      <c r="L56" s="694" t="str">
        <f>Translations!$B$1532</f>
        <v>Egyptian Pound</v>
      </c>
      <c r="M56" s="694"/>
      <c r="N56" s="694"/>
      <c r="O56" s="428"/>
      <c r="W56" s="104"/>
    </row>
    <row r="57" spans="1:23" ht="12.75" customHeight="1" x14ac:dyDescent="0.35">
      <c r="A57" s="92"/>
      <c r="B57" s="144"/>
      <c r="C57" s="144"/>
      <c r="D57" s="964"/>
      <c r="E57" s="1000">
        <v>47</v>
      </c>
      <c r="F57" s="705" t="s">
        <v>3344</v>
      </c>
      <c r="G57" s="694" t="str">
        <f>Translations!$B$1533</f>
        <v>Chile</v>
      </c>
      <c r="H57" s="694"/>
      <c r="I57" s="694"/>
      <c r="J57" s="1000">
        <v>47</v>
      </c>
      <c r="K57" s="705" t="s">
        <v>3627</v>
      </c>
      <c r="L57" s="694" t="str">
        <f>Translations!$B$1534</f>
        <v>Nakfa</v>
      </c>
      <c r="M57" s="694"/>
      <c r="N57" s="694"/>
      <c r="O57" s="428"/>
      <c r="W57" s="104"/>
    </row>
    <row r="58" spans="1:23" ht="12.75" customHeight="1" x14ac:dyDescent="0.35">
      <c r="A58" s="92"/>
      <c r="B58" s="144"/>
      <c r="C58" s="144"/>
      <c r="D58" s="964"/>
      <c r="E58" s="1000">
        <v>48</v>
      </c>
      <c r="F58" s="705" t="s">
        <v>3345</v>
      </c>
      <c r="G58" s="694" t="str">
        <f>Translations!$B$1535</f>
        <v>Cameroon</v>
      </c>
      <c r="H58" s="694"/>
      <c r="I58" s="694"/>
      <c r="J58" s="1000">
        <v>48</v>
      </c>
      <c r="K58" s="705" t="s">
        <v>3629</v>
      </c>
      <c r="L58" s="694" t="str">
        <f>Translations!$B$1536</f>
        <v>Ethiopian Birr</v>
      </c>
      <c r="M58" s="694"/>
      <c r="N58" s="694"/>
      <c r="O58" s="428"/>
      <c r="W58" s="104"/>
    </row>
    <row r="59" spans="1:23" ht="12.75" customHeight="1" x14ac:dyDescent="0.35">
      <c r="A59" s="92"/>
      <c r="B59" s="144"/>
      <c r="C59" s="144"/>
      <c r="D59" s="964"/>
      <c r="E59" s="1000">
        <v>49</v>
      </c>
      <c r="F59" s="705" t="s">
        <v>3346</v>
      </c>
      <c r="G59" s="694" t="str">
        <f>Translations!$B$1537</f>
        <v>China</v>
      </c>
      <c r="H59" s="694"/>
      <c r="I59" s="694"/>
      <c r="J59" s="1000">
        <v>49</v>
      </c>
      <c r="K59" s="705" t="s">
        <v>3631</v>
      </c>
      <c r="L59" s="694" t="str">
        <f>Translations!$B$1538</f>
        <v>Euro</v>
      </c>
      <c r="M59" s="694"/>
      <c r="N59" s="694"/>
      <c r="O59" s="428"/>
      <c r="W59" s="104"/>
    </row>
    <row r="60" spans="1:23" ht="12.75" customHeight="1" x14ac:dyDescent="0.35">
      <c r="A60" s="92"/>
      <c r="B60" s="144"/>
      <c r="C60" s="144"/>
      <c r="D60" s="964"/>
      <c r="E60" s="1000">
        <v>50</v>
      </c>
      <c r="F60" s="705" t="s">
        <v>3347</v>
      </c>
      <c r="G60" s="694" t="str">
        <f>Translations!$B$1539</f>
        <v>Colombia</v>
      </c>
      <c r="H60" s="694"/>
      <c r="I60" s="694"/>
      <c r="J60" s="1000">
        <v>50</v>
      </c>
      <c r="K60" s="705" t="s">
        <v>3633</v>
      </c>
      <c r="L60" s="694" t="str">
        <f>Translations!$B$1540</f>
        <v>Fiji Dollar</v>
      </c>
      <c r="M60" s="694"/>
      <c r="N60" s="694"/>
      <c r="O60" s="428"/>
      <c r="W60" s="104"/>
    </row>
    <row r="61" spans="1:23" ht="12.75" customHeight="1" x14ac:dyDescent="0.35">
      <c r="A61" s="92"/>
      <c r="B61" s="144"/>
      <c r="C61" s="144"/>
      <c r="D61" s="964"/>
      <c r="E61" s="1000">
        <v>51</v>
      </c>
      <c r="F61" s="705" t="s">
        <v>3348</v>
      </c>
      <c r="G61" s="694" t="str">
        <f>Translations!$B$1541</f>
        <v>Costa Rica</v>
      </c>
      <c r="H61" s="694"/>
      <c r="I61" s="694"/>
      <c r="J61" s="1000">
        <v>51</v>
      </c>
      <c r="K61" s="705" t="s">
        <v>3635</v>
      </c>
      <c r="L61" s="694" t="str">
        <f>Translations!$B$1542</f>
        <v>Falkland Islands Pound</v>
      </c>
      <c r="M61" s="694"/>
      <c r="N61" s="694"/>
      <c r="O61" s="428"/>
      <c r="W61" s="104"/>
    </row>
    <row r="62" spans="1:23" ht="12.75" customHeight="1" x14ac:dyDescent="0.35">
      <c r="A62" s="92"/>
      <c r="B62" s="144"/>
      <c r="C62" s="144"/>
      <c r="D62" s="964"/>
      <c r="E62" s="1000">
        <v>52</v>
      </c>
      <c r="F62" s="705" t="s">
        <v>3349</v>
      </c>
      <c r="G62" s="694" t="str">
        <f>Translations!$B$1545</f>
        <v>Cuba</v>
      </c>
      <c r="H62" s="694"/>
      <c r="I62" s="694"/>
      <c r="J62" s="1000">
        <v>52</v>
      </c>
      <c r="K62" s="705" t="s">
        <v>3637</v>
      </c>
      <c r="L62" s="694" t="str">
        <f>Translations!$B$1544</f>
        <v>Pound Sterling</v>
      </c>
      <c r="M62" s="694"/>
      <c r="N62" s="694"/>
      <c r="O62" s="428"/>
      <c r="W62" s="104"/>
    </row>
    <row r="63" spans="1:23" ht="12.75" customHeight="1" x14ac:dyDescent="0.35">
      <c r="A63" s="92"/>
      <c r="B63" s="144"/>
      <c r="C63" s="144"/>
      <c r="D63" s="964"/>
      <c r="E63" s="1000">
        <v>53</v>
      </c>
      <c r="F63" s="705" t="s">
        <v>3350</v>
      </c>
      <c r="G63" s="694" t="str">
        <f>Translations!$B$1547</f>
        <v>Cape Verde</v>
      </c>
      <c r="H63" s="694"/>
      <c r="I63" s="694"/>
      <c r="J63" s="1000">
        <v>53</v>
      </c>
      <c r="K63" s="705" t="s">
        <v>3639</v>
      </c>
      <c r="L63" s="694" t="str">
        <f>Translations!$B$1546</f>
        <v>Lari</v>
      </c>
      <c r="M63" s="694"/>
      <c r="N63" s="694"/>
      <c r="O63" s="428"/>
      <c r="W63" s="104"/>
    </row>
    <row r="64" spans="1:23" ht="12.75" customHeight="1" x14ac:dyDescent="0.35">
      <c r="A64" s="92"/>
      <c r="B64" s="144"/>
      <c r="C64" s="144"/>
      <c r="D64" s="964"/>
      <c r="E64" s="1000">
        <v>54</v>
      </c>
      <c r="F64" s="705" t="s">
        <v>3351</v>
      </c>
      <c r="G64" s="694" t="str">
        <f>Translations!$B$1549</f>
        <v>Curaçao</v>
      </c>
      <c r="H64" s="694"/>
      <c r="I64" s="694"/>
      <c r="J64" s="1000">
        <v>54</v>
      </c>
      <c r="K64" s="705" t="s">
        <v>3641</v>
      </c>
      <c r="L64" s="694" t="str">
        <f>Translations!$B$1548</f>
        <v>Ghana Cedi</v>
      </c>
      <c r="M64" s="694"/>
      <c r="N64" s="694"/>
      <c r="O64" s="428"/>
      <c r="W64" s="104"/>
    </row>
    <row r="65" spans="1:23" ht="12.75" customHeight="1" x14ac:dyDescent="0.35">
      <c r="A65" s="92"/>
      <c r="B65" s="144"/>
      <c r="C65" s="144"/>
      <c r="D65" s="964"/>
      <c r="E65" s="1000">
        <v>55</v>
      </c>
      <c r="F65" s="705" t="s">
        <v>3352</v>
      </c>
      <c r="G65" s="694" t="str">
        <f>Translations!$B$1551</f>
        <v>Christmas Island</v>
      </c>
      <c r="H65" s="694"/>
      <c r="I65" s="694"/>
      <c r="J65" s="1000">
        <v>55</v>
      </c>
      <c r="K65" s="705" t="s">
        <v>3643</v>
      </c>
      <c r="L65" s="694" t="str">
        <f>Translations!$B$1550</f>
        <v>Gibraltar Pound</v>
      </c>
      <c r="M65" s="694"/>
      <c r="N65" s="694"/>
      <c r="O65" s="428"/>
      <c r="W65" s="104"/>
    </row>
    <row r="66" spans="1:23" ht="12.75" customHeight="1" x14ac:dyDescent="0.35">
      <c r="A66" s="92"/>
      <c r="B66" s="144"/>
      <c r="C66" s="144"/>
      <c r="D66" s="964"/>
      <c r="E66" s="1000">
        <v>56</v>
      </c>
      <c r="F66" s="705" t="s">
        <v>459</v>
      </c>
      <c r="G66" s="694" t="str">
        <f>Translations!$B$1925</f>
        <v>Cyprus</v>
      </c>
      <c r="H66" s="694"/>
      <c r="I66" s="694"/>
      <c r="J66" s="1000">
        <v>56</v>
      </c>
      <c r="K66" s="705" t="s">
        <v>3645</v>
      </c>
      <c r="L66" s="694" t="str">
        <f>Translations!$B$1552</f>
        <v>Dalasi</v>
      </c>
      <c r="M66" s="694"/>
      <c r="N66" s="694"/>
      <c r="O66" s="428"/>
      <c r="W66" s="104"/>
    </row>
    <row r="67" spans="1:23" ht="12.75" customHeight="1" x14ac:dyDescent="0.35">
      <c r="A67" s="92"/>
      <c r="B67" s="144"/>
      <c r="C67" s="144"/>
      <c r="D67" s="964"/>
      <c r="E67" s="1000">
        <v>57</v>
      </c>
      <c r="F67" s="705" t="s">
        <v>461</v>
      </c>
      <c r="G67" s="694" t="str">
        <f>Translations!$B$1554</f>
        <v>Czechia</v>
      </c>
      <c r="H67" s="694"/>
      <c r="I67" s="694"/>
      <c r="J67" s="1000">
        <v>57</v>
      </c>
      <c r="K67" s="705" t="s">
        <v>3647</v>
      </c>
      <c r="L67" s="694" t="str">
        <f>Translations!$B$1553</f>
        <v>Guinean Franc</v>
      </c>
      <c r="M67" s="694"/>
      <c r="N67" s="694"/>
      <c r="O67" s="428"/>
      <c r="W67" s="104"/>
    </row>
    <row r="68" spans="1:23" ht="12.75" customHeight="1" x14ac:dyDescent="0.35">
      <c r="A68" s="92"/>
      <c r="B68" s="144"/>
      <c r="C68" s="144"/>
      <c r="D68" s="964"/>
      <c r="E68" s="1000">
        <v>58</v>
      </c>
      <c r="F68" s="705" t="s">
        <v>471</v>
      </c>
      <c r="G68" s="694" t="str">
        <f>Translations!$B$1926</f>
        <v>Germany</v>
      </c>
      <c r="H68" s="694"/>
      <c r="I68" s="694"/>
      <c r="J68" s="1000">
        <v>58</v>
      </c>
      <c r="K68" s="705" t="s">
        <v>3649</v>
      </c>
      <c r="L68" s="694" t="str">
        <f>Translations!$B$1555</f>
        <v>Quetzal</v>
      </c>
      <c r="M68" s="694"/>
      <c r="N68" s="694"/>
      <c r="O68" s="428"/>
      <c r="W68" s="104"/>
    </row>
    <row r="69" spans="1:23" ht="12.75" customHeight="1" x14ac:dyDescent="0.35">
      <c r="A69" s="92"/>
      <c r="B69" s="144"/>
      <c r="C69" s="144"/>
      <c r="D69" s="964"/>
      <c r="E69" s="1000">
        <v>59</v>
      </c>
      <c r="F69" s="705" t="s">
        <v>3353</v>
      </c>
      <c r="G69" s="694" t="str">
        <f>Translations!$B$1557</f>
        <v>Djibouti</v>
      </c>
      <c r="H69" s="694"/>
      <c r="I69" s="694"/>
      <c r="J69" s="1000">
        <v>59</v>
      </c>
      <c r="K69" s="705" t="s">
        <v>3651</v>
      </c>
      <c r="L69" s="694" t="str">
        <f>Translations!$B$1556</f>
        <v>Guyana Dollar</v>
      </c>
      <c r="M69" s="694"/>
      <c r="N69" s="694"/>
      <c r="O69" s="428"/>
      <c r="W69" s="104"/>
    </row>
    <row r="70" spans="1:23" ht="12.75" customHeight="1" x14ac:dyDescent="0.35">
      <c r="A70" s="92"/>
      <c r="B70" s="144"/>
      <c r="C70" s="144"/>
      <c r="D70" s="964"/>
      <c r="E70" s="1000">
        <v>60</v>
      </c>
      <c r="F70" s="705" t="s">
        <v>463</v>
      </c>
      <c r="G70" s="694" t="str">
        <f>Translations!$B$1927</f>
        <v>Denmark</v>
      </c>
      <c r="H70" s="694"/>
      <c r="I70" s="694"/>
      <c r="J70" s="1000">
        <v>60</v>
      </c>
      <c r="K70" s="705" t="s">
        <v>3653</v>
      </c>
      <c r="L70" s="694" t="str">
        <f>Translations!$B$1558</f>
        <v>Hong Kong Dollar</v>
      </c>
      <c r="M70" s="694"/>
      <c r="N70" s="694"/>
      <c r="O70" s="428"/>
      <c r="W70" s="104"/>
    </row>
    <row r="71" spans="1:23" ht="12.75" customHeight="1" x14ac:dyDescent="0.35">
      <c r="A71" s="92"/>
      <c r="B71" s="144"/>
      <c r="C71" s="144"/>
      <c r="D71" s="964"/>
      <c r="E71" s="1000">
        <v>61</v>
      </c>
      <c r="F71" s="705" t="s">
        <v>3354</v>
      </c>
      <c r="G71" s="694" t="str">
        <f>Translations!$B$1560</f>
        <v>Dominica</v>
      </c>
      <c r="H71" s="694"/>
      <c r="I71" s="694"/>
      <c r="J71" s="1000">
        <v>61</v>
      </c>
      <c r="K71" s="705" t="s">
        <v>3655</v>
      </c>
      <c r="L71" s="694" t="str">
        <f>Translations!$B$1559</f>
        <v>Lempira</v>
      </c>
      <c r="M71" s="694"/>
      <c r="N71" s="694"/>
      <c r="O71" s="428"/>
      <c r="W71" s="104"/>
    </row>
    <row r="72" spans="1:23" ht="12.75" customHeight="1" x14ac:dyDescent="0.35">
      <c r="A72" s="92"/>
      <c r="B72" s="144"/>
      <c r="C72" s="144"/>
      <c r="D72" s="964"/>
      <c r="E72" s="1000">
        <v>62</v>
      </c>
      <c r="F72" s="705" t="s">
        <v>3355</v>
      </c>
      <c r="G72" s="694" t="str">
        <f>Translations!$B$1562</f>
        <v>Dominican Republic</v>
      </c>
      <c r="H72" s="694"/>
      <c r="I72" s="694"/>
      <c r="J72" s="1000">
        <v>62</v>
      </c>
      <c r="K72" s="705" t="s">
        <v>3657</v>
      </c>
      <c r="L72" s="694" t="str">
        <f>Translations!$B$1561</f>
        <v>Gourde</v>
      </c>
      <c r="M72" s="694"/>
      <c r="N72" s="694"/>
      <c r="O72" s="428"/>
      <c r="W72" s="104"/>
    </row>
    <row r="73" spans="1:23" ht="12.75" customHeight="1" x14ac:dyDescent="0.35">
      <c r="A73" s="92"/>
      <c r="B73" s="144"/>
      <c r="C73" s="144"/>
      <c r="D73" s="964"/>
      <c r="E73" s="1000">
        <v>63</v>
      </c>
      <c r="F73" s="705" t="s">
        <v>3356</v>
      </c>
      <c r="G73" s="694" t="str">
        <f>Translations!$B$1564</f>
        <v>Algeria</v>
      </c>
      <c r="H73" s="694"/>
      <c r="I73" s="694"/>
      <c r="J73" s="1000">
        <v>63</v>
      </c>
      <c r="K73" s="705" t="s">
        <v>3659</v>
      </c>
      <c r="L73" s="694" t="str">
        <f>Translations!$B$1563</f>
        <v>Forint</v>
      </c>
      <c r="M73" s="694"/>
      <c r="N73" s="694"/>
      <c r="O73" s="428"/>
      <c r="W73" s="104"/>
    </row>
    <row r="74" spans="1:23" ht="12.75" customHeight="1" x14ac:dyDescent="0.35">
      <c r="A74" s="92"/>
      <c r="B74" s="144"/>
      <c r="C74" s="144"/>
      <c r="D74" s="964"/>
      <c r="E74" s="1000">
        <v>64</v>
      </c>
      <c r="F74" s="705" t="s">
        <v>3357</v>
      </c>
      <c r="G74" s="694" t="str">
        <f>Translations!$B$1566</f>
        <v>Ecuador</v>
      </c>
      <c r="H74" s="694"/>
      <c r="I74" s="694"/>
      <c r="J74" s="1000">
        <v>64</v>
      </c>
      <c r="K74" s="705" t="s">
        <v>3661</v>
      </c>
      <c r="L74" s="694" t="str">
        <f>Translations!$B$1565</f>
        <v>Rupiah</v>
      </c>
      <c r="M74" s="694"/>
      <c r="N74" s="694"/>
      <c r="O74" s="428"/>
      <c r="W74" s="104"/>
    </row>
    <row r="75" spans="1:23" ht="12.75" customHeight="1" x14ac:dyDescent="0.35">
      <c r="A75" s="92"/>
      <c r="B75" s="144"/>
      <c r="C75" s="144"/>
      <c r="D75" s="964"/>
      <c r="E75" s="1000">
        <v>65</v>
      </c>
      <c r="F75" s="705" t="s">
        <v>465</v>
      </c>
      <c r="G75" s="694" t="str">
        <f>Translations!$B$1928</f>
        <v>Estonia</v>
      </c>
      <c r="H75" s="694"/>
      <c r="I75" s="694"/>
      <c r="J75" s="1000">
        <v>65</v>
      </c>
      <c r="K75" s="705" t="s">
        <v>3663</v>
      </c>
      <c r="L75" s="694" t="str">
        <f>Translations!$B$1567</f>
        <v>New Israeli Sheqel</v>
      </c>
      <c r="M75" s="694"/>
      <c r="N75" s="694"/>
      <c r="O75" s="428"/>
      <c r="W75" s="104"/>
    </row>
    <row r="76" spans="1:23" ht="12.75" customHeight="1" x14ac:dyDescent="0.35">
      <c r="A76" s="92"/>
      <c r="B76" s="144"/>
      <c r="C76" s="144"/>
      <c r="D76" s="964"/>
      <c r="E76" s="1000">
        <v>66</v>
      </c>
      <c r="F76" s="705" t="s">
        <v>3358</v>
      </c>
      <c r="G76" s="694" t="str">
        <f>Translations!$B$1569</f>
        <v>Egypt</v>
      </c>
      <c r="H76" s="694"/>
      <c r="I76" s="694"/>
      <c r="J76" s="1000">
        <v>66</v>
      </c>
      <c r="K76" s="705" t="s">
        <v>3665</v>
      </c>
      <c r="L76" s="694" t="str">
        <f>Translations!$B$1568</f>
        <v>Indian Rupee</v>
      </c>
      <c r="M76" s="694"/>
      <c r="N76" s="694"/>
      <c r="O76" s="428"/>
      <c r="W76" s="104"/>
    </row>
    <row r="77" spans="1:23" ht="12.75" customHeight="1" x14ac:dyDescent="0.35">
      <c r="A77" s="92"/>
      <c r="B77" s="144"/>
      <c r="C77" s="144"/>
      <c r="D77" s="964"/>
      <c r="E77" s="1000">
        <v>67</v>
      </c>
      <c r="F77" s="705" t="s">
        <v>3359</v>
      </c>
      <c r="G77" s="694" t="str">
        <f>Translations!$B$1571</f>
        <v>Western Sahara</v>
      </c>
      <c r="H77" s="694"/>
      <c r="I77" s="694"/>
      <c r="J77" s="1000">
        <v>67</v>
      </c>
      <c r="K77" s="705" t="s">
        <v>3667</v>
      </c>
      <c r="L77" s="694" t="str">
        <f>Translations!$B$1570</f>
        <v>Iraqi Dinar</v>
      </c>
      <c r="M77" s="694"/>
      <c r="N77" s="694"/>
      <c r="O77" s="428"/>
      <c r="W77" s="104"/>
    </row>
    <row r="78" spans="1:23" ht="12.75" customHeight="1" x14ac:dyDescent="0.35">
      <c r="A78" s="92"/>
      <c r="B78" s="144"/>
      <c r="C78" s="144"/>
      <c r="D78" s="964"/>
      <c r="E78" s="1000">
        <v>68</v>
      </c>
      <c r="F78" s="705" t="s">
        <v>3360</v>
      </c>
      <c r="G78" s="694" t="str">
        <f>Translations!$B$1573</f>
        <v>Eritrea</v>
      </c>
      <c r="H78" s="694"/>
      <c r="I78" s="694"/>
      <c r="J78" s="1000">
        <v>68</v>
      </c>
      <c r="K78" s="705" t="s">
        <v>3669</v>
      </c>
      <c r="L78" s="694" t="str">
        <f>Translations!$B$1572</f>
        <v>Iranian Rial</v>
      </c>
      <c r="M78" s="694"/>
      <c r="N78" s="694"/>
      <c r="O78" s="428"/>
      <c r="W78" s="104"/>
    </row>
    <row r="79" spans="1:23" ht="12.75" customHeight="1" x14ac:dyDescent="0.35">
      <c r="A79" s="92"/>
      <c r="B79" s="144"/>
      <c r="C79" s="144"/>
      <c r="D79" s="964"/>
      <c r="E79" s="1000">
        <v>69</v>
      </c>
      <c r="F79" s="705" t="s">
        <v>507</v>
      </c>
      <c r="G79" s="694" t="str">
        <f>Translations!$B$1929</f>
        <v>Spain</v>
      </c>
      <c r="H79" s="694"/>
      <c r="I79" s="694"/>
      <c r="J79" s="1000">
        <v>69</v>
      </c>
      <c r="K79" s="705" t="s">
        <v>3671</v>
      </c>
      <c r="L79" s="694" t="str">
        <f>Translations!$B$1574</f>
        <v>Iceland Krona</v>
      </c>
      <c r="M79" s="694"/>
      <c r="N79" s="694"/>
      <c r="O79" s="428"/>
      <c r="W79" s="104"/>
    </row>
    <row r="80" spans="1:23" ht="12.75" customHeight="1" x14ac:dyDescent="0.35">
      <c r="A80" s="92"/>
      <c r="B80" s="144"/>
      <c r="C80" s="144"/>
      <c r="D80" s="964"/>
      <c r="E80" s="1000">
        <v>70</v>
      </c>
      <c r="F80" s="705" t="s">
        <v>3361</v>
      </c>
      <c r="G80" s="694" t="str">
        <f>Translations!$B$1576</f>
        <v>Ethiopia</v>
      </c>
      <c r="H80" s="694"/>
      <c r="I80" s="694"/>
      <c r="J80" s="1000">
        <v>70</v>
      </c>
      <c r="K80" s="705" t="s">
        <v>3673</v>
      </c>
      <c r="L80" s="694" t="str">
        <f>Translations!$B$1575</f>
        <v>Jamaican Dollar</v>
      </c>
      <c r="M80" s="694"/>
      <c r="N80" s="694"/>
      <c r="O80" s="428"/>
      <c r="W80" s="104"/>
    </row>
    <row r="81" spans="1:23" ht="12.75" customHeight="1" x14ac:dyDescent="0.35">
      <c r="A81" s="92"/>
      <c r="B81" s="144"/>
      <c r="C81" s="144"/>
      <c r="D81" s="964"/>
      <c r="E81" s="1000">
        <v>71</v>
      </c>
      <c r="F81" s="705" t="s">
        <v>3362</v>
      </c>
      <c r="G81" s="694" t="str">
        <f>Translations!$B$1578</f>
        <v>European Community</v>
      </c>
      <c r="H81" s="694"/>
      <c r="I81" s="694"/>
      <c r="J81" s="1000">
        <v>71</v>
      </c>
      <c r="K81" s="705" t="s">
        <v>3675</v>
      </c>
      <c r="L81" s="694" t="str">
        <f>Translations!$B$1577</f>
        <v>Jordanian Dinar</v>
      </c>
      <c r="M81" s="694"/>
      <c r="N81" s="694"/>
      <c r="O81" s="428"/>
      <c r="W81" s="104"/>
    </row>
    <row r="82" spans="1:23" ht="12.75" customHeight="1" x14ac:dyDescent="0.35">
      <c r="A82" s="92"/>
      <c r="B82" s="144"/>
      <c r="C82" s="144"/>
      <c r="D82" s="964"/>
      <c r="E82" s="1000">
        <v>72</v>
      </c>
      <c r="F82" s="705" t="s">
        <v>467</v>
      </c>
      <c r="G82" s="694" t="str">
        <f>Translations!$B$1930</f>
        <v>Finland</v>
      </c>
      <c r="H82" s="694"/>
      <c r="I82" s="694"/>
      <c r="J82" s="1000">
        <v>72</v>
      </c>
      <c r="K82" s="705" t="s">
        <v>3677</v>
      </c>
      <c r="L82" s="694" t="str">
        <f>Translations!$B$1579</f>
        <v>Yen</v>
      </c>
      <c r="M82" s="694"/>
      <c r="N82" s="694"/>
      <c r="O82" s="428"/>
      <c r="W82" s="104"/>
    </row>
    <row r="83" spans="1:23" ht="12.75" customHeight="1" x14ac:dyDescent="0.35">
      <c r="A83" s="92"/>
      <c r="B83" s="144"/>
      <c r="C83" s="144"/>
      <c r="D83" s="964"/>
      <c r="E83" s="1000">
        <v>73</v>
      </c>
      <c r="F83" s="705" t="s">
        <v>3363</v>
      </c>
      <c r="G83" s="694" t="str">
        <f>Translations!$B$1581</f>
        <v>Fiji</v>
      </c>
      <c r="H83" s="694"/>
      <c r="I83" s="694"/>
      <c r="J83" s="1000">
        <v>73</v>
      </c>
      <c r="K83" s="705" t="s">
        <v>3679</v>
      </c>
      <c r="L83" s="694" t="str">
        <f>Translations!$B$1580</f>
        <v>Kenyan Shilling</v>
      </c>
      <c r="M83" s="694"/>
      <c r="N83" s="694"/>
      <c r="O83" s="428"/>
      <c r="W83" s="104"/>
    </row>
    <row r="84" spans="1:23" ht="12.75" customHeight="1" x14ac:dyDescent="0.35">
      <c r="A84" s="92"/>
      <c r="B84" s="144"/>
      <c r="C84" s="144"/>
      <c r="D84" s="964"/>
      <c r="E84" s="1000">
        <v>74</v>
      </c>
      <c r="F84" s="705" t="s">
        <v>3364</v>
      </c>
      <c r="G84" s="694" t="str">
        <f>Translations!$B$1583</f>
        <v>Falkland Islands</v>
      </c>
      <c r="H84" s="694"/>
      <c r="I84" s="694"/>
      <c r="J84" s="1000">
        <v>74</v>
      </c>
      <c r="K84" s="705" t="s">
        <v>3681</v>
      </c>
      <c r="L84" s="694" t="str">
        <f>Translations!$B$1582</f>
        <v>Som</v>
      </c>
      <c r="M84" s="694"/>
      <c r="N84" s="694"/>
      <c r="O84" s="428"/>
      <c r="W84" s="104"/>
    </row>
    <row r="85" spans="1:23" ht="12.75" customHeight="1" x14ac:dyDescent="0.35">
      <c r="A85" s="92"/>
      <c r="B85" s="144"/>
      <c r="C85" s="144"/>
      <c r="D85" s="964"/>
      <c r="E85" s="1000">
        <v>75</v>
      </c>
      <c r="F85" s="705" t="s">
        <v>3365</v>
      </c>
      <c r="G85" s="694" t="str">
        <f>Translations!$B$1585</f>
        <v>Micronesia, Federated States of</v>
      </c>
      <c r="H85" s="694"/>
      <c r="I85" s="694"/>
      <c r="J85" s="1000">
        <v>75</v>
      </c>
      <c r="K85" s="705" t="s">
        <v>3683</v>
      </c>
      <c r="L85" s="694" t="str">
        <f>Translations!$B$1584</f>
        <v>Riel</v>
      </c>
      <c r="M85" s="694"/>
      <c r="N85" s="694"/>
      <c r="O85" s="428"/>
      <c r="W85" s="104"/>
    </row>
    <row r="86" spans="1:23" ht="12.75" customHeight="1" x14ac:dyDescent="0.35">
      <c r="A86" s="92"/>
      <c r="B86" s="144"/>
      <c r="C86" s="144"/>
      <c r="D86" s="964"/>
      <c r="E86" s="1000">
        <v>76</v>
      </c>
      <c r="F86" s="705" t="s">
        <v>3366</v>
      </c>
      <c r="G86" s="694" t="str">
        <f>Translations!$B$1587</f>
        <v>Faroe Islands</v>
      </c>
      <c r="H86" s="694"/>
      <c r="I86" s="694"/>
      <c r="J86" s="1000">
        <v>76</v>
      </c>
      <c r="K86" s="705" t="s">
        <v>3685</v>
      </c>
      <c r="L86" s="694" t="str">
        <f>Translations!$B$1586</f>
        <v>Comorian Franc</v>
      </c>
      <c r="M86" s="694"/>
      <c r="N86" s="694"/>
      <c r="O86" s="428"/>
      <c r="W86" s="104"/>
    </row>
    <row r="87" spans="1:23" ht="12.75" customHeight="1" x14ac:dyDescent="0.35">
      <c r="A87" s="92"/>
      <c r="B87" s="144"/>
      <c r="C87" s="144"/>
      <c r="D87" s="964"/>
      <c r="E87" s="1000">
        <v>77</v>
      </c>
      <c r="F87" s="705" t="s">
        <v>469</v>
      </c>
      <c r="G87" s="694" t="str">
        <f>Translations!$B$1931</f>
        <v>France</v>
      </c>
      <c r="H87" s="694"/>
      <c r="I87" s="694"/>
      <c r="J87" s="1000">
        <v>77</v>
      </c>
      <c r="K87" s="705" t="s">
        <v>3687</v>
      </c>
      <c r="L87" s="694" t="str">
        <f>Translations!$B$1588</f>
        <v>North Korean Won</v>
      </c>
      <c r="M87" s="694"/>
      <c r="N87" s="694"/>
      <c r="O87" s="428"/>
      <c r="W87" s="104"/>
    </row>
    <row r="88" spans="1:23" ht="12.75" customHeight="1" x14ac:dyDescent="0.35">
      <c r="A88" s="92"/>
      <c r="B88" s="144"/>
      <c r="C88" s="144"/>
      <c r="D88" s="964"/>
      <c r="E88" s="1000">
        <v>78</v>
      </c>
      <c r="F88" s="705" t="s">
        <v>3367</v>
      </c>
      <c r="G88" s="694" t="str">
        <f>Translations!$B$1590</f>
        <v>Gabon</v>
      </c>
      <c r="H88" s="694"/>
      <c r="I88" s="694"/>
      <c r="J88" s="1000">
        <v>78</v>
      </c>
      <c r="K88" s="705" t="s">
        <v>3689</v>
      </c>
      <c r="L88" s="694" t="str">
        <f>Translations!$B$1589</f>
        <v>Won</v>
      </c>
      <c r="M88" s="694"/>
      <c r="N88" s="694"/>
      <c r="O88" s="428"/>
      <c r="W88" s="104"/>
    </row>
    <row r="89" spans="1:23" ht="12.75" customHeight="1" x14ac:dyDescent="0.35">
      <c r="A89" s="92"/>
      <c r="B89" s="144"/>
      <c r="C89" s="144"/>
      <c r="D89" s="964"/>
      <c r="E89" s="1000">
        <v>79</v>
      </c>
      <c r="F89" s="705" t="s">
        <v>3368</v>
      </c>
      <c r="G89" s="694" t="str">
        <f>Translations!$B$1932</f>
        <v>United Kingdom</v>
      </c>
      <c r="H89" s="694"/>
      <c r="I89" s="694"/>
      <c r="J89" s="1000">
        <v>79</v>
      </c>
      <c r="K89" s="705" t="s">
        <v>3691</v>
      </c>
      <c r="L89" s="694" t="str">
        <f>Translations!$B$1591</f>
        <v>Kuwaiti Dinar</v>
      </c>
      <c r="M89" s="694"/>
      <c r="N89" s="694"/>
      <c r="O89" s="428"/>
      <c r="W89" s="104"/>
    </row>
    <row r="90" spans="1:23" ht="12.75" customHeight="1" x14ac:dyDescent="0.35">
      <c r="A90" s="92"/>
      <c r="B90" s="144"/>
      <c r="C90" s="144"/>
      <c r="D90" s="964"/>
      <c r="E90" s="1000">
        <v>80</v>
      </c>
      <c r="F90" s="705" t="s">
        <v>3369</v>
      </c>
      <c r="G90" s="694" t="str">
        <f>Translations!$B$1593</f>
        <v>Grenada</v>
      </c>
      <c r="H90" s="694"/>
      <c r="I90" s="694"/>
      <c r="J90" s="1000">
        <v>80</v>
      </c>
      <c r="K90" s="705" t="s">
        <v>3693</v>
      </c>
      <c r="L90" s="694" t="str">
        <f>Translations!$B$1592</f>
        <v>Cayman Islands Dollar</v>
      </c>
      <c r="M90" s="694"/>
      <c r="N90" s="694"/>
      <c r="O90" s="428"/>
      <c r="W90" s="104"/>
    </row>
    <row r="91" spans="1:23" ht="12.75" customHeight="1" x14ac:dyDescent="0.35">
      <c r="A91" s="92"/>
      <c r="B91" s="144"/>
      <c r="C91" s="144"/>
      <c r="D91" s="964"/>
      <c r="E91" s="1000">
        <v>81</v>
      </c>
      <c r="F91" s="705" t="s">
        <v>3370</v>
      </c>
      <c r="G91" s="694" t="str">
        <f>Translations!$B$1595</f>
        <v>Georgia</v>
      </c>
      <c r="H91" s="694"/>
      <c r="I91" s="694"/>
      <c r="J91" s="1000">
        <v>81</v>
      </c>
      <c r="K91" s="705" t="s">
        <v>3695</v>
      </c>
      <c r="L91" s="694" t="str">
        <f>Translations!$B$1594</f>
        <v>Tenge</v>
      </c>
      <c r="M91" s="694"/>
      <c r="N91" s="694"/>
      <c r="O91" s="428"/>
      <c r="W91" s="104"/>
    </row>
    <row r="92" spans="1:23" ht="12.75" customHeight="1" x14ac:dyDescent="0.35">
      <c r="A92" s="92"/>
      <c r="B92" s="144"/>
      <c r="C92" s="144"/>
      <c r="D92" s="964"/>
      <c r="E92" s="1000">
        <v>82</v>
      </c>
      <c r="F92" s="705" t="s">
        <v>3371</v>
      </c>
      <c r="G92" s="694" t="str">
        <f>Translations!$B$1597</f>
        <v>French Guyana</v>
      </c>
      <c r="H92" s="694"/>
      <c r="I92" s="694"/>
      <c r="J92" s="1000">
        <v>82</v>
      </c>
      <c r="K92" s="705" t="s">
        <v>3697</v>
      </c>
      <c r="L92" s="694" t="str">
        <f>Translations!$B$1596</f>
        <v>Lao Kip</v>
      </c>
      <c r="M92" s="694"/>
      <c r="N92" s="694"/>
      <c r="O92" s="428"/>
      <c r="W92" s="104"/>
    </row>
    <row r="93" spans="1:23" ht="12.75" customHeight="1" x14ac:dyDescent="0.35">
      <c r="A93" s="92"/>
      <c r="B93" s="144"/>
      <c r="C93" s="144"/>
      <c r="D93" s="964"/>
      <c r="E93" s="1000">
        <v>83</v>
      </c>
      <c r="F93" s="705" t="s">
        <v>3372</v>
      </c>
      <c r="G93" s="694" t="str">
        <f>Translations!$B$1599</f>
        <v>Guernsey</v>
      </c>
      <c r="H93" s="694"/>
      <c r="I93" s="694"/>
      <c r="J93" s="1000">
        <v>83</v>
      </c>
      <c r="K93" s="705" t="s">
        <v>3699</v>
      </c>
      <c r="L93" s="694" t="str">
        <f>Translations!$B$1598</f>
        <v>Lebanese Pound</v>
      </c>
      <c r="M93" s="694"/>
      <c r="N93" s="694"/>
      <c r="O93" s="428"/>
      <c r="W93" s="104"/>
    </row>
    <row r="94" spans="1:23" ht="12.75" customHeight="1" x14ac:dyDescent="0.35">
      <c r="A94" s="92"/>
      <c r="B94" s="144"/>
      <c r="C94" s="144"/>
      <c r="D94" s="964"/>
      <c r="E94" s="1000">
        <v>84</v>
      </c>
      <c r="F94" s="705" t="s">
        <v>3373</v>
      </c>
      <c r="G94" s="694" t="str">
        <f>Translations!$B$1601</f>
        <v>Ghana</v>
      </c>
      <c r="H94" s="694"/>
      <c r="I94" s="694"/>
      <c r="J94" s="1000">
        <v>84</v>
      </c>
      <c r="K94" s="705" t="s">
        <v>3701</v>
      </c>
      <c r="L94" s="694" t="str">
        <f>Translations!$B$1600</f>
        <v>Sri Lanka Rupee</v>
      </c>
      <c r="M94" s="694"/>
      <c r="N94" s="694"/>
      <c r="O94" s="428"/>
      <c r="W94" s="104"/>
    </row>
    <row r="95" spans="1:23" ht="12.75" customHeight="1" x14ac:dyDescent="0.35">
      <c r="A95" s="92"/>
      <c r="B95" s="144"/>
      <c r="C95" s="144"/>
      <c r="D95" s="964"/>
      <c r="E95" s="1000">
        <v>85</v>
      </c>
      <c r="F95" s="705" t="s">
        <v>3374</v>
      </c>
      <c r="G95" s="694" t="str">
        <f>Translations!$B$1603</f>
        <v>Gibraltar</v>
      </c>
      <c r="H95" s="694"/>
      <c r="I95" s="694"/>
      <c r="J95" s="1000">
        <v>85</v>
      </c>
      <c r="K95" s="705" t="s">
        <v>3703</v>
      </c>
      <c r="L95" s="694" t="str">
        <f>Translations!$B$1602</f>
        <v>Liberian Dollar</v>
      </c>
      <c r="M95" s="694"/>
      <c r="N95" s="694"/>
      <c r="O95" s="428"/>
      <c r="W95" s="104"/>
    </row>
    <row r="96" spans="1:23" ht="12.75" customHeight="1" x14ac:dyDescent="0.35">
      <c r="A96" s="92"/>
      <c r="B96" s="144"/>
      <c r="C96" s="144"/>
      <c r="D96" s="964"/>
      <c r="E96" s="1000">
        <v>86</v>
      </c>
      <c r="F96" s="705" t="s">
        <v>3375</v>
      </c>
      <c r="G96" s="694" t="str">
        <f>Translations!$B$1605</f>
        <v>Greenland</v>
      </c>
      <c r="H96" s="694"/>
      <c r="I96" s="694"/>
      <c r="J96" s="1000">
        <v>86</v>
      </c>
      <c r="K96" s="705" t="s">
        <v>3705</v>
      </c>
      <c r="L96" s="694" t="str">
        <f>Translations!$B$1604</f>
        <v>Loti</v>
      </c>
      <c r="M96" s="694"/>
      <c r="N96" s="694"/>
      <c r="O96" s="428"/>
      <c r="W96" s="104"/>
    </row>
    <row r="97" spans="1:23" ht="12.75" customHeight="1" x14ac:dyDescent="0.35">
      <c r="A97" s="92"/>
      <c r="B97" s="144"/>
      <c r="C97" s="144"/>
      <c r="D97" s="964"/>
      <c r="E97" s="1000">
        <v>87</v>
      </c>
      <c r="F97" s="705" t="s">
        <v>3376</v>
      </c>
      <c r="G97" s="694" t="str">
        <f>Translations!$B$1607</f>
        <v>Gambia</v>
      </c>
      <c r="H97" s="694"/>
      <c r="I97" s="694"/>
      <c r="J97" s="1000">
        <v>87</v>
      </c>
      <c r="K97" s="705" t="s">
        <v>3707</v>
      </c>
      <c r="L97" s="694" t="str">
        <f>Translations!$B$1606</f>
        <v>Libyan Dinar</v>
      </c>
      <c r="M97" s="694"/>
      <c r="N97" s="694"/>
      <c r="O97" s="428"/>
      <c r="W97" s="104"/>
    </row>
    <row r="98" spans="1:23" ht="12.75" customHeight="1" x14ac:dyDescent="0.35">
      <c r="A98" s="92"/>
      <c r="B98" s="144"/>
      <c r="C98" s="144"/>
      <c r="D98" s="964"/>
      <c r="E98" s="1000">
        <v>88</v>
      </c>
      <c r="F98" s="705" t="s">
        <v>3377</v>
      </c>
      <c r="G98" s="694" t="str">
        <f>Translations!$B$1609</f>
        <v>Guinea</v>
      </c>
      <c r="H98" s="694"/>
      <c r="I98" s="694"/>
      <c r="J98" s="1000">
        <v>88</v>
      </c>
      <c r="K98" s="705" t="s">
        <v>3709</v>
      </c>
      <c r="L98" s="694" t="str">
        <f>Translations!$B$1608</f>
        <v>Moroccan Dirham</v>
      </c>
      <c r="M98" s="694"/>
      <c r="N98" s="694"/>
      <c r="O98" s="428"/>
      <c r="W98" s="104"/>
    </row>
    <row r="99" spans="1:23" ht="12.75" customHeight="1" x14ac:dyDescent="0.35">
      <c r="A99" s="92"/>
      <c r="B99" s="144"/>
      <c r="C99" s="144"/>
      <c r="D99" s="964"/>
      <c r="E99" s="1000">
        <v>89</v>
      </c>
      <c r="F99" s="705" t="s">
        <v>3378</v>
      </c>
      <c r="G99" s="694" t="str">
        <f>Translations!$B$1611</f>
        <v>Guadeloupe</v>
      </c>
      <c r="H99" s="694"/>
      <c r="I99" s="694"/>
      <c r="J99" s="1000">
        <v>89</v>
      </c>
      <c r="K99" s="705" t="s">
        <v>3711</v>
      </c>
      <c r="L99" s="694" t="str">
        <f>Translations!$B$1610</f>
        <v>Moldovan Leu</v>
      </c>
      <c r="M99" s="694"/>
      <c r="N99" s="694"/>
      <c r="O99" s="428"/>
      <c r="W99" s="104"/>
    </row>
    <row r="100" spans="1:23" ht="12.75" customHeight="1" x14ac:dyDescent="0.35">
      <c r="A100" s="92"/>
      <c r="B100" s="144"/>
      <c r="C100" s="144"/>
      <c r="D100" s="964"/>
      <c r="E100" s="1000">
        <v>90</v>
      </c>
      <c r="F100" s="705" t="s">
        <v>3379</v>
      </c>
      <c r="G100" s="694" t="str">
        <f>Translations!$B$1613</f>
        <v>Equatorial Guinea</v>
      </c>
      <c r="H100" s="694"/>
      <c r="I100" s="694"/>
      <c r="J100" s="1000">
        <v>90</v>
      </c>
      <c r="K100" s="705" t="s">
        <v>3713</v>
      </c>
      <c r="L100" s="694" t="str">
        <f>Translations!$B$1612</f>
        <v>Malagasy Ariary</v>
      </c>
      <c r="M100" s="694"/>
      <c r="N100" s="694"/>
      <c r="O100" s="428"/>
      <c r="W100" s="104"/>
    </row>
    <row r="101" spans="1:23" ht="12.75" customHeight="1" x14ac:dyDescent="0.35">
      <c r="A101" s="92"/>
      <c r="B101" s="144"/>
      <c r="C101" s="144"/>
      <c r="D101" s="964"/>
      <c r="E101" s="1000">
        <v>91</v>
      </c>
      <c r="F101" s="705" t="s">
        <v>3380</v>
      </c>
      <c r="G101" s="694" t="str">
        <f>Translations!$B$1933</f>
        <v>Greece</v>
      </c>
      <c r="H101" s="694"/>
      <c r="I101" s="694"/>
      <c r="J101" s="1000">
        <v>91</v>
      </c>
      <c r="K101" s="705" t="s">
        <v>3715</v>
      </c>
      <c r="L101" s="694" t="str">
        <f>Translations!$B$1614</f>
        <v>Denar</v>
      </c>
      <c r="M101" s="694"/>
      <c r="N101" s="694"/>
      <c r="O101" s="428"/>
      <c r="W101" s="104"/>
    </row>
    <row r="102" spans="1:23" ht="12.75" customHeight="1" x14ac:dyDescent="0.35">
      <c r="A102" s="92"/>
      <c r="B102" s="144"/>
      <c r="C102" s="144"/>
      <c r="D102" s="964"/>
      <c r="E102" s="1000">
        <v>92</v>
      </c>
      <c r="F102" s="705" t="s">
        <v>3381</v>
      </c>
      <c r="G102" s="694" t="str">
        <f>Translations!$B$1616</f>
        <v>South Georgia and South Sandwich</v>
      </c>
      <c r="H102" s="694"/>
      <c r="I102" s="694"/>
      <c r="J102" s="1000">
        <v>92</v>
      </c>
      <c r="K102" s="705" t="s">
        <v>3717</v>
      </c>
      <c r="L102" s="694" t="str">
        <f>Translations!$B$1615</f>
        <v>Kyat</v>
      </c>
      <c r="M102" s="694"/>
      <c r="N102" s="694"/>
      <c r="O102" s="428"/>
      <c r="W102" s="104"/>
    </row>
    <row r="103" spans="1:23" ht="12.75" customHeight="1" x14ac:dyDescent="0.35">
      <c r="A103" s="92"/>
      <c r="B103" s="144"/>
      <c r="C103" s="144"/>
      <c r="D103" s="964"/>
      <c r="E103" s="1000">
        <v>93</v>
      </c>
      <c r="F103" s="705" t="s">
        <v>3382</v>
      </c>
      <c r="G103" s="694" t="str">
        <f>Translations!$B$1618</f>
        <v>Guatemala</v>
      </c>
      <c r="H103" s="694"/>
      <c r="I103" s="694"/>
      <c r="J103" s="1000">
        <v>93</v>
      </c>
      <c r="K103" s="705" t="s">
        <v>3719</v>
      </c>
      <c r="L103" s="694" t="str">
        <f>Translations!$B$1617</f>
        <v>Tugrik</v>
      </c>
      <c r="M103" s="694"/>
      <c r="N103" s="694"/>
      <c r="O103" s="428"/>
      <c r="W103" s="104"/>
    </row>
    <row r="104" spans="1:23" ht="12.75" customHeight="1" x14ac:dyDescent="0.35">
      <c r="A104" s="92"/>
      <c r="B104" s="144"/>
      <c r="C104" s="144"/>
      <c r="D104" s="964"/>
      <c r="E104" s="1000">
        <v>94</v>
      </c>
      <c r="F104" s="705" t="s">
        <v>3383</v>
      </c>
      <c r="G104" s="694" t="str">
        <f>Translations!$B$1620</f>
        <v>Guam</v>
      </c>
      <c r="H104" s="694"/>
      <c r="I104" s="694"/>
      <c r="J104" s="1000">
        <v>94</v>
      </c>
      <c r="K104" s="705" t="s">
        <v>3721</v>
      </c>
      <c r="L104" s="694" t="str">
        <f>Translations!$B$1619</f>
        <v>Pataca</v>
      </c>
      <c r="M104" s="694"/>
      <c r="N104" s="694"/>
      <c r="O104" s="428"/>
      <c r="W104" s="104"/>
    </row>
    <row r="105" spans="1:23" ht="12.75" customHeight="1" x14ac:dyDescent="0.35">
      <c r="A105" s="92"/>
      <c r="B105" s="144"/>
      <c r="C105" s="144"/>
      <c r="D105" s="964"/>
      <c r="E105" s="1000">
        <v>95</v>
      </c>
      <c r="F105" s="705" t="s">
        <v>3384</v>
      </c>
      <c r="G105" s="694" t="str">
        <f>Translations!$B$1622</f>
        <v>Guinea-Bissau</v>
      </c>
      <c r="H105" s="694"/>
      <c r="I105" s="694"/>
      <c r="J105" s="1000">
        <v>95</v>
      </c>
      <c r="K105" s="705" t="s">
        <v>3723</v>
      </c>
      <c r="L105" s="694" t="str">
        <f>Translations!$B$1621</f>
        <v>Ouguiya</v>
      </c>
      <c r="M105" s="694"/>
      <c r="N105" s="694"/>
      <c r="O105" s="428"/>
      <c r="W105" s="104"/>
    </row>
    <row r="106" spans="1:23" ht="12.75" customHeight="1" x14ac:dyDescent="0.35">
      <c r="A106" s="92"/>
      <c r="B106" s="144"/>
      <c r="C106" s="144"/>
      <c r="D106" s="964"/>
      <c r="E106" s="1000">
        <v>96</v>
      </c>
      <c r="F106" s="705" t="s">
        <v>3385</v>
      </c>
      <c r="G106" s="694" t="str">
        <f>Translations!$B$1624</f>
        <v>Guyana</v>
      </c>
      <c r="H106" s="694"/>
      <c r="I106" s="694"/>
      <c r="J106" s="1000">
        <v>96</v>
      </c>
      <c r="K106" s="705" t="s">
        <v>3725</v>
      </c>
      <c r="L106" s="694" t="str">
        <f>Translations!$B$1623</f>
        <v>Mauritius Rupee</v>
      </c>
      <c r="M106" s="694"/>
      <c r="N106" s="694"/>
      <c r="O106" s="428"/>
      <c r="W106" s="104"/>
    </row>
    <row r="107" spans="1:23" ht="12.75" customHeight="1" x14ac:dyDescent="0.35">
      <c r="A107" s="92"/>
      <c r="B107" s="144"/>
      <c r="C107" s="144"/>
      <c r="D107" s="964"/>
      <c r="E107" s="1000">
        <v>97</v>
      </c>
      <c r="F107" s="705" t="s">
        <v>3386</v>
      </c>
      <c r="G107" s="694" t="str">
        <f>Translations!$B$1626</f>
        <v>Hong Kong</v>
      </c>
      <c r="H107" s="694"/>
      <c r="I107" s="694"/>
      <c r="J107" s="1000">
        <v>97</v>
      </c>
      <c r="K107" s="705" t="s">
        <v>3727</v>
      </c>
      <c r="L107" s="694" t="str">
        <f>Translations!$B$1625</f>
        <v>Rufiyaa</v>
      </c>
      <c r="M107" s="694"/>
      <c r="N107" s="694"/>
      <c r="O107" s="428"/>
      <c r="W107" s="104"/>
    </row>
    <row r="108" spans="1:23" ht="12.75" customHeight="1" x14ac:dyDescent="0.35">
      <c r="A108" s="92"/>
      <c r="B108" s="144"/>
      <c r="C108" s="144"/>
      <c r="D108" s="964"/>
      <c r="E108" s="1000">
        <v>98</v>
      </c>
      <c r="F108" s="705" t="s">
        <v>3387</v>
      </c>
      <c r="G108" s="694" t="str">
        <f>Translations!$B$1628</f>
        <v>Heard Island and McDonald Islands</v>
      </c>
      <c r="H108" s="694"/>
      <c r="I108" s="694"/>
      <c r="J108" s="1000">
        <v>98</v>
      </c>
      <c r="K108" s="705" t="s">
        <v>3729</v>
      </c>
      <c r="L108" s="694" t="str">
        <f>Translations!$B$1627</f>
        <v>Malawi Kwacha</v>
      </c>
      <c r="M108" s="694"/>
      <c r="N108" s="694"/>
      <c r="O108" s="428"/>
      <c r="W108" s="104"/>
    </row>
    <row r="109" spans="1:23" ht="12.75" customHeight="1" x14ac:dyDescent="0.35">
      <c r="A109" s="92"/>
      <c r="B109" s="144"/>
      <c r="C109" s="144"/>
      <c r="D109" s="964"/>
      <c r="E109" s="1000">
        <v>99</v>
      </c>
      <c r="F109" s="705" t="s">
        <v>3388</v>
      </c>
      <c r="G109" s="694" t="str">
        <f>Translations!$B$1630</f>
        <v>Honduras</v>
      </c>
      <c r="H109" s="694"/>
      <c r="I109" s="694"/>
      <c r="J109" s="1000">
        <v>99</v>
      </c>
      <c r="K109" s="705" t="s">
        <v>3731</v>
      </c>
      <c r="L109" s="694" t="str">
        <f>Translations!$B$1629</f>
        <v>Mexican Peso</v>
      </c>
      <c r="M109" s="694"/>
      <c r="N109" s="694"/>
      <c r="O109" s="428"/>
      <c r="W109" s="104"/>
    </row>
    <row r="110" spans="1:23" ht="12.75" customHeight="1" x14ac:dyDescent="0.35">
      <c r="A110" s="92"/>
      <c r="B110" s="144"/>
      <c r="C110" s="144"/>
      <c r="D110" s="964"/>
      <c r="E110" s="1000">
        <v>100</v>
      </c>
      <c r="F110" s="705" t="s">
        <v>457</v>
      </c>
      <c r="G110" s="694" t="str">
        <f>Translations!$B$1934</f>
        <v>Croatia</v>
      </c>
      <c r="H110" s="694"/>
      <c r="I110" s="694"/>
      <c r="J110" s="1000">
        <v>100</v>
      </c>
      <c r="K110" s="705" t="s">
        <v>3733</v>
      </c>
      <c r="L110" s="694" t="str">
        <f>Translations!$B$1631</f>
        <v>Mexican Unidad de Inversion (UDI)</v>
      </c>
      <c r="M110" s="694"/>
      <c r="N110" s="694"/>
      <c r="O110" s="428"/>
      <c r="W110" s="104"/>
    </row>
    <row r="111" spans="1:23" ht="12.75" customHeight="1" x14ac:dyDescent="0.35">
      <c r="A111" s="92"/>
      <c r="B111" s="144"/>
      <c r="C111" s="144"/>
      <c r="D111" s="964"/>
      <c r="E111" s="1000">
        <v>101</v>
      </c>
      <c r="F111" s="705" t="s">
        <v>3389</v>
      </c>
      <c r="G111" s="694" t="str">
        <f>Translations!$B$1633</f>
        <v>Haiti</v>
      </c>
      <c r="H111" s="694"/>
      <c r="I111" s="694"/>
      <c r="J111" s="1000">
        <v>101</v>
      </c>
      <c r="K111" s="705" t="s">
        <v>3735</v>
      </c>
      <c r="L111" s="694" t="str">
        <f>Translations!$B$1632</f>
        <v>Malaysian Ringgit</v>
      </c>
      <c r="M111" s="694"/>
      <c r="N111" s="694"/>
      <c r="O111" s="428"/>
      <c r="W111" s="104"/>
    </row>
    <row r="112" spans="1:23" ht="12.75" customHeight="1" x14ac:dyDescent="0.35">
      <c r="A112" s="92"/>
      <c r="B112" s="144"/>
      <c r="C112" s="144"/>
      <c r="D112" s="964"/>
      <c r="E112" s="1000">
        <v>102</v>
      </c>
      <c r="F112" s="705" t="s">
        <v>475</v>
      </c>
      <c r="G112" s="694" t="str">
        <f>Translations!$B$1935</f>
        <v>Hungary</v>
      </c>
      <c r="H112" s="694"/>
      <c r="I112" s="694"/>
      <c r="J112" s="1000">
        <v>102</v>
      </c>
      <c r="K112" s="705" t="s">
        <v>3737</v>
      </c>
      <c r="L112" s="694" t="str">
        <f>Translations!$B$1634</f>
        <v>Mozambique Metical</v>
      </c>
      <c r="M112" s="694"/>
      <c r="N112" s="694"/>
      <c r="O112" s="428"/>
      <c r="W112" s="104"/>
    </row>
    <row r="113" spans="1:23" ht="12.75" customHeight="1" x14ac:dyDescent="0.35">
      <c r="A113" s="92"/>
      <c r="B113" s="144"/>
      <c r="C113" s="144"/>
      <c r="D113" s="964"/>
      <c r="E113" s="1000">
        <v>103</v>
      </c>
      <c r="F113" s="705" t="s">
        <v>126</v>
      </c>
      <c r="G113" s="694" t="str">
        <f>Translations!$B$1636</f>
        <v>Indonesia</v>
      </c>
      <c r="H113" s="694"/>
      <c r="I113" s="694"/>
      <c r="J113" s="1000">
        <v>103</v>
      </c>
      <c r="K113" s="705" t="s">
        <v>3739</v>
      </c>
      <c r="L113" s="694" t="str">
        <f>Translations!$B$1635</f>
        <v>Namibia Dollar</v>
      </c>
      <c r="M113" s="694"/>
      <c r="N113" s="694"/>
      <c r="O113" s="428"/>
      <c r="W113" s="104"/>
    </row>
    <row r="114" spans="1:23" ht="12.75" customHeight="1" x14ac:dyDescent="0.35">
      <c r="A114" s="92"/>
      <c r="B114" s="144"/>
      <c r="C114" s="144"/>
      <c r="D114" s="964"/>
      <c r="E114" s="1000">
        <v>104</v>
      </c>
      <c r="F114" s="705" t="s">
        <v>479</v>
      </c>
      <c r="G114" s="694" t="str">
        <f>Translations!$B$1936</f>
        <v>Ireland</v>
      </c>
      <c r="H114" s="694"/>
      <c r="I114" s="694"/>
      <c r="J114" s="1000">
        <v>104</v>
      </c>
      <c r="K114" s="705" t="s">
        <v>3741</v>
      </c>
      <c r="L114" s="694" t="str">
        <f>Translations!$B$1637</f>
        <v>Naira</v>
      </c>
      <c r="M114" s="694"/>
      <c r="N114" s="694"/>
      <c r="O114" s="428"/>
      <c r="W114" s="104"/>
    </row>
    <row r="115" spans="1:23" ht="12.75" customHeight="1" x14ac:dyDescent="0.35">
      <c r="A115" s="92"/>
      <c r="B115" s="144"/>
      <c r="C115" s="144"/>
      <c r="D115" s="964"/>
      <c r="E115" s="1000">
        <v>105</v>
      </c>
      <c r="F115" s="705" t="s">
        <v>3390</v>
      </c>
      <c r="G115" s="694" t="str">
        <f>Translations!$B$1639</f>
        <v>Israel</v>
      </c>
      <c r="H115" s="694"/>
      <c r="I115" s="694"/>
      <c r="J115" s="1000">
        <v>105</v>
      </c>
      <c r="K115" s="705" t="s">
        <v>3743</v>
      </c>
      <c r="L115" s="694" t="str">
        <f>Translations!$B$1638</f>
        <v>Cordoba Oro</v>
      </c>
      <c r="M115" s="694"/>
      <c r="N115" s="694"/>
      <c r="O115" s="428"/>
      <c r="W115" s="104"/>
    </row>
    <row r="116" spans="1:23" ht="12.75" customHeight="1" x14ac:dyDescent="0.35">
      <c r="A116" s="92"/>
      <c r="B116" s="144"/>
      <c r="C116" s="144"/>
      <c r="D116" s="964"/>
      <c r="E116" s="1000">
        <v>106</v>
      </c>
      <c r="F116" s="705" t="s">
        <v>3391</v>
      </c>
      <c r="G116" s="694" t="str">
        <f>Translations!$B$1641</f>
        <v>Isle of Man</v>
      </c>
      <c r="H116" s="694"/>
      <c r="I116" s="694"/>
      <c r="J116" s="1000">
        <v>106</v>
      </c>
      <c r="K116" s="705" t="s">
        <v>3745</v>
      </c>
      <c r="L116" s="694" t="str">
        <f>Translations!$B$1640</f>
        <v>Norwegian Krone</v>
      </c>
      <c r="M116" s="694"/>
      <c r="N116" s="694"/>
      <c r="O116" s="428"/>
      <c r="W116" s="104"/>
    </row>
    <row r="117" spans="1:23" ht="12.75" customHeight="1" x14ac:dyDescent="0.35">
      <c r="A117" s="92"/>
      <c r="B117" s="144"/>
      <c r="C117" s="144"/>
      <c r="D117" s="964"/>
      <c r="E117" s="1000">
        <v>107</v>
      </c>
      <c r="F117" s="705" t="s">
        <v>3000</v>
      </c>
      <c r="G117" s="694" t="str">
        <f>Translations!$B$1643</f>
        <v>India</v>
      </c>
      <c r="H117" s="694"/>
      <c r="I117" s="694"/>
      <c r="J117" s="1000">
        <v>107</v>
      </c>
      <c r="K117" s="705" t="s">
        <v>3747</v>
      </c>
      <c r="L117" s="694" t="str">
        <f>Translations!$B$1642</f>
        <v>Nepalese Rupee</v>
      </c>
      <c r="M117" s="694"/>
      <c r="N117" s="694"/>
      <c r="O117" s="428"/>
      <c r="W117" s="104"/>
    </row>
    <row r="118" spans="1:23" ht="12.75" customHeight="1" x14ac:dyDescent="0.35">
      <c r="A118" s="92"/>
      <c r="B118" s="144"/>
      <c r="C118" s="144"/>
      <c r="D118" s="964"/>
      <c r="E118" s="1000">
        <v>108</v>
      </c>
      <c r="F118" s="705" t="s">
        <v>3392</v>
      </c>
      <c r="G118" s="694" t="str">
        <f>Translations!$B$1645</f>
        <v>British Indian Ocean Territory</v>
      </c>
      <c r="H118" s="694"/>
      <c r="I118" s="694"/>
      <c r="J118" s="1000">
        <v>108</v>
      </c>
      <c r="K118" s="705" t="s">
        <v>3749</v>
      </c>
      <c r="L118" s="694" t="str">
        <f>Translations!$B$1644</f>
        <v>New Zealand Dollar</v>
      </c>
      <c r="M118" s="694"/>
      <c r="N118" s="694"/>
      <c r="O118" s="428"/>
      <c r="W118" s="104"/>
    </row>
    <row r="119" spans="1:23" ht="12.75" customHeight="1" x14ac:dyDescent="0.35">
      <c r="A119" s="92"/>
      <c r="B119" s="144"/>
      <c r="C119" s="144"/>
      <c r="D119" s="964"/>
      <c r="E119" s="1000">
        <v>109</v>
      </c>
      <c r="F119" s="705" t="s">
        <v>3393</v>
      </c>
      <c r="G119" s="694" t="str">
        <f>Translations!$B$1647</f>
        <v>Iraq</v>
      </c>
      <c r="H119" s="694"/>
      <c r="I119" s="694"/>
      <c r="J119" s="1000">
        <v>109</v>
      </c>
      <c r="K119" s="705" t="s">
        <v>3751</v>
      </c>
      <c r="L119" s="694" t="str">
        <f>Translations!$B$1646</f>
        <v>Rial Omani</v>
      </c>
      <c r="M119" s="694"/>
      <c r="N119" s="694"/>
      <c r="O119" s="428"/>
      <c r="W119" s="104"/>
    </row>
    <row r="120" spans="1:23" ht="12.75" customHeight="1" x14ac:dyDescent="0.35">
      <c r="A120" s="92"/>
      <c r="B120" s="144"/>
      <c r="C120" s="144"/>
      <c r="D120" s="964"/>
      <c r="E120" s="1000">
        <v>110</v>
      </c>
      <c r="F120" s="705" t="s">
        <v>3394</v>
      </c>
      <c r="G120" s="694" t="str">
        <f>Translations!$B$1649</f>
        <v>Iran, Islamic Republic of</v>
      </c>
      <c r="H120" s="694"/>
      <c r="I120" s="694"/>
      <c r="J120" s="1000">
        <v>110</v>
      </c>
      <c r="K120" s="705" t="s">
        <v>3753</v>
      </c>
      <c r="L120" s="694" t="str">
        <f>Translations!$B$1648</f>
        <v>Balboa</v>
      </c>
      <c r="M120" s="694"/>
      <c r="N120" s="694"/>
      <c r="O120" s="428"/>
      <c r="W120" s="104"/>
    </row>
    <row r="121" spans="1:23" ht="12.75" customHeight="1" x14ac:dyDescent="0.35">
      <c r="A121" s="92"/>
      <c r="B121" s="144"/>
      <c r="C121" s="144"/>
      <c r="D121" s="964"/>
      <c r="E121" s="1000">
        <v>111</v>
      </c>
      <c r="F121" s="705" t="s">
        <v>3395</v>
      </c>
      <c r="G121" s="694" t="str">
        <f>Translations!$B$1937</f>
        <v>Iceland</v>
      </c>
      <c r="H121" s="694"/>
      <c r="I121" s="694"/>
      <c r="J121" s="1000">
        <v>111</v>
      </c>
      <c r="K121" s="705" t="s">
        <v>3755</v>
      </c>
      <c r="L121" s="694" t="str">
        <f>Translations!$B$1650</f>
        <v>Sol</v>
      </c>
      <c r="M121" s="694"/>
      <c r="N121" s="694"/>
      <c r="O121" s="428"/>
      <c r="W121" s="104"/>
    </row>
    <row r="122" spans="1:23" ht="12.75" customHeight="1" x14ac:dyDescent="0.35">
      <c r="A122" s="92"/>
      <c r="B122" s="144"/>
      <c r="C122" s="144"/>
      <c r="D122" s="964"/>
      <c r="E122" s="1000">
        <v>112</v>
      </c>
      <c r="F122" s="705" t="s">
        <v>481</v>
      </c>
      <c r="G122" s="694" t="str">
        <f>Translations!$B$1938</f>
        <v>Italy</v>
      </c>
      <c r="H122" s="694"/>
      <c r="I122" s="694"/>
      <c r="J122" s="1000">
        <v>112</v>
      </c>
      <c r="K122" s="705" t="s">
        <v>3757</v>
      </c>
      <c r="L122" s="694" t="str">
        <f>Translations!$B$1651</f>
        <v>Kina</v>
      </c>
      <c r="M122" s="694"/>
      <c r="N122" s="694"/>
      <c r="O122" s="428"/>
      <c r="W122" s="104"/>
    </row>
    <row r="123" spans="1:23" ht="12.75" customHeight="1" x14ac:dyDescent="0.35">
      <c r="A123" s="92"/>
      <c r="B123" s="144"/>
      <c r="C123" s="144"/>
      <c r="D123" s="964"/>
      <c r="E123" s="1000">
        <v>113</v>
      </c>
      <c r="F123" s="705" t="s">
        <v>3396</v>
      </c>
      <c r="G123" s="694" t="str">
        <f>Translations!$B$1653</f>
        <v>Jersey</v>
      </c>
      <c r="H123" s="694"/>
      <c r="I123" s="694"/>
      <c r="J123" s="1000">
        <v>113</v>
      </c>
      <c r="K123" s="705" t="s">
        <v>3758</v>
      </c>
      <c r="L123" s="694" t="str">
        <f>Translations!$B$1652</f>
        <v>Philippine Peso</v>
      </c>
      <c r="M123" s="694"/>
      <c r="N123" s="694"/>
      <c r="O123" s="428"/>
      <c r="W123" s="104"/>
    </row>
    <row r="124" spans="1:23" ht="12.75" customHeight="1" x14ac:dyDescent="0.35">
      <c r="A124" s="92"/>
      <c r="B124" s="144"/>
      <c r="C124" s="144"/>
      <c r="D124" s="964"/>
      <c r="E124" s="1000">
        <v>114</v>
      </c>
      <c r="F124" s="705" t="s">
        <v>3397</v>
      </c>
      <c r="G124" s="694" t="str">
        <f>Translations!$B$1655</f>
        <v>Jamaica</v>
      </c>
      <c r="H124" s="694"/>
      <c r="I124" s="694"/>
      <c r="J124" s="1000">
        <v>114</v>
      </c>
      <c r="K124" s="705" t="s">
        <v>3760</v>
      </c>
      <c r="L124" s="694" t="str">
        <f>Translations!$B$1654</f>
        <v>Pakistan Rupee</v>
      </c>
      <c r="M124" s="694"/>
      <c r="N124" s="694"/>
      <c r="O124" s="428"/>
      <c r="W124" s="104"/>
    </row>
    <row r="125" spans="1:23" ht="12.75" customHeight="1" x14ac:dyDescent="0.35">
      <c r="A125" s="92"/>
      <c r="B125" s="144"/>
      <c r="C125" s="144"/>
      <c r="D125" s="964"/>
      <c r="E125" s="1000">
        <v>115</v>
      </c>
      <c r="F125" s="705" t="s">
        <v>3398</v>
      </c>
      <c r="G125" s="694" t="str">
        <f>Translations!$B$1657</f>
        <v>Jordan</v>
      </c>
      <c r="H125" s="694"/>
      <c r="I125" s="694"/>
      <c r="J125" s="1000">
        <v>115</v>
      </c>
      <c r="K125" s="705" t="s">
        <v>3762</v>
      </c>
      <c r="L125" s="694" t="str">
        <f>Translations!$B$1656</f>
        <v>Zloty</v>
      </c>
      <c r="M125" s="694"/>
      <c r="N125" s="694"/>
      <c r="O125" s="428"/>
      <c r="W125" s="104"/>
    </row>
    <row r="126" spans="1:23" ht="12.75" customHeight="1" x14ac:dyDescent="0.35">
      <c r="A126" s="92"/>
      <c r="B126" s="144"/>
      <c r="C126" s="144"/>
      <c r="D126" s="964"/>
      <c r="E126" s="1000">
        <v>116</v>
      </c>
      <c r="F126" s="705" t="s">
        <v>3399</v>
      </c>
      <c r="G126" s="694" t="str">
        <f>Translations!$B$1659</f>
        <v>Japan</v>
      </c>
      <c r="H126" s="694"/>
      <c r="I126" s="694"/>
      <c r="J126" s="1000">
        <v>116</v>
      </c>
      <c r="K126" s="705" t="s">
        <v>3764</v>
      </c>
      <c r="L126" s="694" t="str">
        <f>Translations!$B$1658</f>
        <v>Guarani</v>
      </c>
      <c r="M126" s="694"/>
      <c r="N126" s="694"/>
      <c r="O126" s="428"/>
      <c r="W126" s="104"/>
    </row>
    <row r="127" spans="1:23" ht="12.75" customHeight="1" x14ac:dyDescent="0.35">
      <c r="A127" s="92"/>
      <c r="B127" s="144"/>
      <c r="C127" s="144"/>
      <c r="D127" s="964"/>
      <c r="E127" s="1000">
        <v>117</v>
      </c>
      <c r="F127" s="705" t="s">
        <v>3400</v>
      </c>
      <c r="G127" s="694" t="str">
        <f>Translations!$B$1661</f>
        <v>Kenya</v>
      </c>
      <c r="H127" s="694"/>
      <c r="I127" s="694"/>
      <c r="J127" s="1000">
        <v>117</v>
      </c>
      <c r="K127" s="705" t="s">
        <v>3766</v>
      </c>
      <c r="L127" s="694" t="str">
        <f>Translations!$B$1660</f>
        <v>Qatari Rial</v>
      </c>
      <c r="M127" s="694"/>
      <c r="N127" s="694"/>
      <c r="O127" s="428"/>
      <c r="W127" s="104"/>
    </row>
    <row r="128" spans="1:23" ht="12.75" customHeight="1" x14ac:dyDescent="0.35">
      <c r="A128" s="92"/>
      <c r="B128" s="144"/>
      <c r="C128" s="144"/>
      <c r="D128" s="964"/>
      <c r="E128" s="1000">
        <v>118</v>
      </c>
      <c r="F128" s="705" t="s">
        <v>3401</v>
      </c>
      <c r="G128" s="694" t="str">
        <f>Translations!$B$1663</f>
        <v>Kyrgyz, Republic</v>
      </c>
      <c r="H128" s="694"/>
      <c r="I128" s="694"/>
      <c r="J128" s="1000">
        <v>118</v>
      </c>
      <c r="K128" s="705" t="s">
        <v>3768</v>
      </c>
      <c r="L128" s="694" t="str">
        <f>Translations!$B$1662</f>
        <v>Romanian Leu</v>
      </c>
      <c r="M128" s="694"/>
      <c r="N128" s="694"/>
      <c r="O128" s="428"/>
      <c r="W128" s="104"/>
    </row>
    <row r="129" spans="1:23" ht="12.75" customHeight="1" x14ac:dyDescent="0.35">
      <c r="A129" s="92"/>
      <c r="B129" s="144"/>
      <c r="C129" s="144"/>
      <c r="D129" s="964"/>
      <c r="E129" s="1000">
        <v>119</v>
      </c>
      <c r="F129" s="705" t="s">
        <v>3402</v>
      </c>
      <c r="G129" s="694" t="str">
        <f>Translations!$B$1665</f>
        <v>Cambodia</v>
      </c>
      <c r="H129" s="694"/>
      <c r="I129" s="694"/>
      <c r="J129" s="1000">
        <v>119</v>
      </c>
      <c r="K129" s="705" t="s">
        <v>3770</v>
      </c>
      <c r="L129" s="694" t="str">
        <f>Translations!$B$1664</f>
        <v>Serbian Dinar</v>
      </c>
      <c r="M129" s="694"/>
      <c r="N129" s="694"/>
      <c r="O129" s="428"/>
      <c r="W129" s="104"/>
    </row>
    <row r="130" spans="1:23" ht="12.75" customHeight="1" x14ac:dyDescent="0.35">
      <c r="A130" s="92"/>
      <c r="B130" s="144"/>
      <c r="C130" s="144"/>
      <c r="D130" s="964"/>
      <c r="E130" s="1000">
        <v>120</v>
      </c>
      <c r="F130" s="705" t="s">
        <v>3403</v>
      </c>
      <c r="G130" s="694" t="str">
        <f>Translations!$B$1667</f>
        <v>Kiribati</v>
      </c>
      <c r="H130" s="694"/>
      <c r="I130" s="694"/>
      <c r="J130" s="1000">
        <v>120</v>
      </c>
      <c r="K130" s="705" t="s">
        <v>3772</v>
      </c>
      <c r="L130" s="694" t="str">
        <f>Translations!$B$1666</f>
        <v>Russian Ruble</v>
      </c>
      <c r="M130" s="694"/>
      <c r="N130" s="694"/>
      <c r="O130" s="428"/>
      <c r="W130" s="104"/>
    </row>
    <row r="131" spans="1:23" ht="12.75" customHeight="1" x14ac:dyDescent="0.35">
      <c r="A131" s="92"/>
      <c r="B131" s="144"/>
      <c r="C131" s="144"/>
      <c r="D131" s="964"/>
      <c r="E131" s="1000">
        <v>121</v>
      </c>
      <c r="F131" s="705" t="s">
        <v>3404</v>
      </c>
      <c r="G131" s="694" t="str">
        <f>Translations!$B$1669</f>
        <v>Comoros</v>
      </c>
      <c r="H131" s="694"/>
      <c r="I131" s="694"/>
      <c r="J131" s="1000">
        <v>121</v>
      </c>
      <c r="K131" s="705" t="s">
        <v>3774</v>
      </c>
      <c r="L131" s="694" t="str">
        <f>Translations!$B$1668</f>
        <v>Rwanda Franc</v>
      </c>
      <c r="M131" s="694"/>
      <c r="N131" s="694"/>
      <c r="O131" s="428"/>
      <c r="W131" s="104"/>
    </row>
    <row r="132" spans="1:23" ht="12.75" customHeight="1" x14ac:dyDescent="0.35">
      <c r="A132" s="92"/>
      <c r="B132" s="144"/>
      <c r="C132" s="144"/>
      <c r="D132" s="964"/>
      <c r="E132" s="1000">
        <v>122</v>
      </c>
      <c r="F132" s="705" t="s">
        <v>3405</v>
      </c>
      <c r="G132" s="694" t="str">
        <f>Translations!$B$1671</f>
        <v>St Kitts and Nevis</v>
      </c>
      <c r="H132" s="694"/>
      <c r="I132" s="694"/>
      <c r="J132" s="1000">
        <v>122</v>
      </c>
      <c r="K132" s="705" t="s">
        <v>3776</v>
      </c>
      <c r="L132" s="694" t="str">
        <f>Translations!$B$1670</f>
        <v>Saudi Riyal</v>
      </c>
      <c r="M132" s="694"/>
      <c r="N132" s="694"/>
      <c r="O132" s="428"/>
      <c r="W132" s="104"/>
    </row>
    <row r="133" spans="1:23" ht="12.75" customHeight="1" x14ac:dyDescent="0.35">
      <c r="A133" s="92"/>
      <c r="B133" s="144"/>
      <c r="C133" s="144"/>
      <c r="D133" s="964"/>
      <c r="E133" s="1000">
        <v>123</v>
      </c>
      <c r="F133" s="705" t="s">
        <v>3406</v>
      </c>
      <c r="G133" s="694" t="str">
        <f>Translations!$B$1673</f>
        <v>Korea, Democratic People’s Republ</v>
      </c>
      <c r="H133" s="694"/>
      <c r="I133" s="694"/>
      <c r="J133" s="1000">
        <v>123</v>
      </c>
      <c r="K133" s="705" t="s">
        <v>3778</v>
      </c>
      <c r="L133" s="694" t="str">
        <f>Translations!$B$1672</f>
        <v>Solomon Islands Dollar</v>
      </c>
      <c r="M133" s="694"/>
      <c r="N133" s="694"/>
      <c r="O133" s="428"/>
      <c r="W133" s="104"/>
    </row>
    <row r="134" spans="1:23" ht="12.75" customHeight="1" x14ac:dyDescent="0.35">
      <c r="A134" s="92"/>
      <c r="B134" s="144"/>
      <c r="C134" s="144"/>
      <c r="D134" s="964"/>
      <c r="E134" s="1000">
        <v>124</v>
      </c>
      <c r="F134" s="705" t="s">
        <v>3407</v>
      </c>
      <c r="G134" s="694" t="str">
        <f>Translations!$B$1675</f>
        <v>Korea, Republic of</v>
      </c>
      <c r="H134" s="694"/>
      <c r="I134" s="694"/>
      <c r="J134" s="1000">
        <v>124</v>
      </c>
      <c r="K134" s="705" t="s">
        <v>3780</v>
      </c>
      <c r="L134" s="694" t="str">
        <f>Translations!$B$1674</f>
        <v>Seychelles Rupee</v>
      </c>
      <c r="M134" s="694"/>
      <c r="N134" s="694"/>
      <c r="O134" s="428"/>
      <c r="W134" s="104"/>
    </row>
    <row r="135" spans="1:23" ht="12.75" customHeight="1" x14ac:dyDescent="0.35">
      <c r="A135" s="92"/>
      <c r="B135" s="144"/>
      <c r="C135" s="144"/>
      <c r="D135" s="964"/>
      <c r="E135" s="1000">
        <v>125</v>
      </c>
      <c r="F135" s="705" t="s">
        <v>3408</v>
      </c>
      <c r="G135" s="694" t="str">
        <f>Translations!$B$1677</f>
        <v>Kuwait</v>
      </c>
      <c r="H135" s="694"/>
      <c r="I135" s="694"/>
      <c r="J135" s="1000">
        <v>125</v>
      </c>
      <c r="K135" s="705" t="s">
        <v>3782</v>
      </c>
      <c r="L135" s="694" t="str">
        <f>Translations!$B$1676</f>
        <v>Sudanese Pound</v>
      </c>
      <c r="M135" s="694"/>
      <c r="N135" s="694"/>
      <c r="O135" s="428"/>
      <c r="W135" s="104"/>
    </row>
    <row r="136" spans="1:23" ht="12.75" customHeight="1" x14ac:dyDescent="0.35">
      <c r="A136" s="92"/>
      <c r="B136" s="144"/>
      <c r="C136" s="144"/>
      <c r="D136" s="964"/>
      <c r="E136" s="1000">
        <v>126</v>
      </c>
      <c r="F136" s="705" t="s">
        <v>3409</v>
      </c>
      <c r="G136" s="694" t="str">
        <f>Translations!$B$1679</f>
        <v>Cayman Islands</v>
      </c>
      <c r="H136" s="694"/>
      <c r="I136" s="694"/>
      <c r="J136" s="1000">
        <v>126</v>
      </c>
      <c r="K136" s="705" t="s">
        <v>3784</v>
      </c>
      <c r="L136" s="694" t="str">
        <f>Translations!$B$1678</f>
        <v>Swedish Krona</v>
      </c>
      <c r="M136" s="694"/>
      <c r="N136" s="694"/>
      <c r="O136" s="428"/>
      <c r="W136" s="104"/>
    </row>
    <row r="137" spans="1:23" ht="12.75" customHeight="1" x14ac:dyDescent="0.35">
      <c r="A137" s="92"/>
      <c r="B137" s="144"/>
      <c r="C137" s="144"/>
      <c r="D137" s="964"/>
      <c r="E137" s="1000">
        <v>127</v>
      </c>
      <c r="F137" s="705" t="s">
        <v>3410</v>
      </c>
      <c r="G137" s="694" t="str">
        <f>Translations!$B$1681</f>
        <v>Kazakhstan</v>
      </c>
      <c r="H137" s="694"/>
      <c r="I137" s="694"/>
      <c r="J137" s="1000">
        <v>127</v>
      </c>
      <c r="K137" s="705" t="s">
        <v>3786</v>
      </c>
      <c r="L137" s="694" t="str">
        <f>Translations!$B$1680</f>
        <v>Singapore Dollar</v>
      </c>
      <c r="M137" s="694"/>
      <c r="N137" s="694"/>
      <c r="O137" s="428"/>
      <c r="W137" s="104"/>
    </row>
    <row r="138" spans="1:23" ht="12.75" customHeight="1" x14ac:dyDescent="0.35">
      <c r="A138" s="92"/>
      <c r="B138" s="144"/>
      <c r="C138" s="144"/>
      <c r="D138" s="964"/>
      <c r="E138" s="1000">
        <v>128</v>
      </c>
      <c r="F138" s="705" t="s">
        <v>3411</v>
      </c>
      <c r="G138" s="694" t="str">
        <f>Translations!$B$1683</f>
        <v>Lao People’s Democratic Republic</v>
      </c>
      <c r="H138" s="694"/>
      <c r="I138" s="694"/>
      <c r="J138" s="1000">
        <v>128</v>
      </c>
      <c r="K138" s="705" t="s">
        <v>3788</v>
      </c>
      <c r="L138" s="694" t="str">
        <f>Translations!$B$1682</f>
        <v>Saint Helena Pound</v>
      </c>
      <c r="M138" s="694"/>
      <c r="N138" s="694"/>
      <c r="O138" s="428"/>
      <c r="W138" s="104"/>
    </row>
    <row r="139" spans="1:23" ht="12.75" customHeight="1" x14ac:dyDescent="0.35">
      <c r="A139" s="92"/>
      <c r="B139" s="144"/>
      <c r="C139" s="144"/>
      <c r="D139" s="964"/>
      <c r="E139" s="1000">
        <v>129</v>
      </c>
      <c r="F139" s="705" t="s">
        <v>3412</v>
      </c>
      <c r="G139" s="694" t="str">
        <f>Translations!$B$1685</f>
        <v>Lebanon</v>
      </c>
      <c r="H139" s="694"/>
      <c r="I139" s="694"/>
      <c r="J139" s="1000">
        <v>129</v>
      </c>
      <c r="K139" s="705" t="s">
        <v>3790</v>
      </c>
      <c r="L139" s="694" t="str">
        <f>Translations!$B$1684</f>
        <v>Leone</v>
      </c>
      <c r="M139" s="694"/>
      <c r="N139" s="694"/>
      <c r="O139" s="428"/>
      <c r="W139" s="104"/>
    </row>
    <row r="140" spans="1:23" ht="12.75" customHeight="1" x14ac:dyDescent="0.35">
      <c r="A140" s="92"/>
      <c r="B140" s="144"/>
      <c r="C140" s="144"/>
      <c r="D140" s="964"/>
      <c r="E140" s="1000">
        <v>130</v>
      </c>
      <c r="F140" s="705" t="s">
        <v>3413</v>
      </c>
      <c r="G140" s="694" t="str">
        <f>Translations!$B$1686</f>
        <v>St Lucia</v>
      </c>
      <c r="H140" s="694"/>
      <c r="I140" s="694"/>
      <c r="J140" s="1000">
        <v>130</v>
      </c>
      <c r="K140" s="705" t="s">
        <v>3792</v>
      </c>
      <c r="L140" s="694" t="str">
        <f>Translations!$B$1684</f>
        <v>Leone</v>
      </c>
      <c r="M140" s="694"/>
      <c r="N140" s="694"/>
      <c r="O140" s="428"/>
      <c r="W140" s="104"/>
    </row>
    <row r="141" spans="1:23" ht="12.75" customHeight="1" x14ac:dyDescent="0.35">
      <c r="A141" s="92"/>
      <c r="B141" s="144"/>
      <c r="C141" s="144"/>
      <c r="D141" s="964"/>
      <c r="E141" s="1000">
        <v>131</v>
      </c>
      <c r="F141" s="705" t="s">
        <v>485</v>
      </c>
      <c r="G141" s="694" t="str">
        <f>Translations!$B$1939</f>
        <v>Liechtenstein</v>
      </c>
      <c r="H141" s="694"/>
      <c r="I141" s="694"/>
      <c r="J141" s="1000">
        <v>131</v>
      </c>
      <c r="K141" s="705" t="s">
        <v>3793</v>
      </c>
      <c r="L141" s="694" t="str">
        <f>Translations!$B$1687</f>
        <v>Somali Shilling</v>
      </c>
      <c r="M141" s="694"/>
      <c r="N141" s="694"/>
      <c r="O141" s="428"/>
      <c r="W141" s="104"/>
    </row>
    <row r="142" spans="1:23" ht="12.75" customHeight="1" x14ac:dyDescent="0.35">
      <c r="A142" s="92"/>
      <c r="B142" s="144"/>
      <c r="C142" s="144"/>
      <c r="D142" s="964"/>
      <c r="E142" s="1000">
        <v>132</v>
      </c>
      <c r="F142" s="705" t="s">
        <v>3414</v>
      </c>
      <c r="G142" s="694" t="str">
        <f>Translations!$B$1689</f>
        <v>Sri Lanka</v>
      </c>
      <c r="H142" s="694"/>
      <c r="I142" s="694"/>
      <c r="J142" s="1000">
        <v>132</v>
      </c>
      <c r="K142" s="705" t="s">
        <v>3795</v>
      </c>
      <c r="L142" s="694" t="str">
        <f>Translations!$B$1688</f>
        <v>Surinam Dollar</v>
      </c>
      <c r="M142" s="694"/>
      <c r="N142" s="694"/>
      <c r="O142" s="428"/>
      <c r="W142" s="104"/>
    </row>
    <row r="143" spans="1:23" ht="12.75" customHeight="1" x14ac:dyDescent="0.35">
      <c r="A143" s="92"/>
      <c r="B143" s="144"/>
      <c r="C143" s="144"/>
      <c r="D143" s="964"/>
      <c r="E143" s="1000">
        <v>133</v>
      </c>
      <c r="F143" s="705" t="s">
        <v>3415</v>
      </c>
      <c r="G143" s="694" t="str">
        <f>Translations!$B$1691</f>
        <v>Liberia</v>
      </c>
      <c r="H143" s="694"/>
      <c r="I143" s="694"/>
      <c r="J143" s="1000">
        <v>133</v>
      </c>
      <c r="K143" s="705" t="s">
        <v>3797</v>
      </c>
      <c r="L143" s="694" t="str">
        <f>Translations!$B$1690</f>
        <v>South Sudanese Pound</v>
      </c>
      <c r="M143" s="694"/>
      <c r="N143" s="694"/>
      <c r="O143" s="428"/>
      <c r="W143" s="104"/>
    </row>
    <row r="144" spans="1:23" ht="12.75" customHeight="1" x14ac:dyDescent="0.35">
      <c r="A144" s="92"/>
      <c r="B144" s="144"/>
      <c r="C144" s="144"/>
      <c r="D144" s="964"/>
      <c r="E144" s="1000">
        <v>134</v>
      </c>
      <c r="F144" s="705" t="s">
        <v>3416</v>
      </c>
      <c r="G144" s="694" t="str">
        <f>Translations!$B$1693</f>
        <v>Lesotho</v>
      </c>
      <c r="H144" s="694"/>
      <c r="I144" s="694"/>
      <c r="J144" s="1000">
        <v>134</v>
      </c>
      <c r="K144" s="705" t="s">
        <v>3799</v>
      </c>
      <c r="L144" s="694" t="str">
        <f>Translations!$B$1692</f>
        <v>Dobra</v>
      </c>
      <c r="M144" s="694"/>
      <c r="N144" s="694"/>
      <c r="O144" s="428"/>
      <c r="W144" s="104"/>
    </row>
    <row r="145" spans="1:23" ht="12.75" customHeight="1" x14ac:dyDescent="0.35">
      <c r="A145" s="92"/>
      <c r="B145" s="144"/>
      <c r="C145" s="144"/>
      <c r="D145" s="964"/>
      <c r="E145" s="1000">
        <v>135</v>
      </c>
      <c r="F145" s="705" t="s">
        <v>487</v>
      </c>
      <c r="G145" s="694" t="str">
        <f>Translations!$B$1940</f>
        <v>Lithuania</v>
      </c>
      <c r="H145" s="694"/>
      <c r="I145" s="694"/>
      <c r="J145" s="1000">
        <v>135</v>
      </c>
      <c r="K145" s="705" t="s">
        <v>3801</v>
      </c>
      <c r="L145" s="694" t="str">
        <f>Translations!$B$1694</f>
        <v>El Salvador Colon</v>
      </c>
      <c r="M145" s="694"/>
      <c r="N145" s="694"/>
      <c r="O145" s="428"/>
      <c r="W145" s="104"/>
    </row>
    <row r="146" spans="1:23" ht="12.75" customHeight="1" x14ac:dyDescent="0.35">
      <c r="A146" s="92"/>
      <c r="B146" s="144"/>
      <c r="C146" s="144"/>
      <c r="D146" s="964"/>
      <c r="E146" s="1000">
        <v>136</v>
      </c>
      <c r="F146" s="705" t="s">
        <v>489</v>
      </c>
      <c r="G146" s="694" t="str">
        <f>Translations!$B$1941</f>
        <v>Luxembourg</v>
      </c>
      <c r="H146" s="694"/>
      <c r="I146" s="694"/>
      <c r="J146" s="1000">
        <v>136</v>
      </c>
      <c r="K146" s="705" t="s">
        <v>3803</v>
      </c>
      <c r="L146" s="694" t="str">
        <f>Translations!$B$1695</f>
        <v>Syrian Pound</v>
      </c>
      <c r="M146" s="694"/>
      <c r="N146" s="694"/>
      <c r="O146" s="428"/>
      <c r="W146" s="104"/>
    </row>
    <row r="147" spans="1:23" ht="12.75" customHeight="1" x14ac:dyDescent="0.35">
      <c r="A147" s="92"/>
      <c r="B147" s="144"/>
      <c r="C147" s="144"/>
      <c r="D147" s="964"/>
      <c r="E147" s="1000">
        <v>137</v>
      </c>
      <c r="F147" s="705" t="s">
        <v>483</v>
      </c>
      <c r="G147" s="694" t="str">
        <f>Translations!$B$1942</f>
        <v>Latvia</v>
      </c>
      <c r="H147" s="694"/>
      <c r="I147" s="694"/>
      <c r="J147" s="1000">
        <v>137</v>
      </c>
      <c r="K147" s="705" t="s">
        <v>3805</v>
      </c>
      <c r="L147" s="694" t="str">
        <f>Translations!$B$1696</f>
        <v>Lilangeni</v>
      </c>
      <c r="M147" s="694"/>
      <c r="N147" s="694"/>
      <c r="O147" s="428"/>
      <c r="W147" s="104"/>
    </row>
    <row r="148" spans="1:23" ht="12.75" customHeight="1" x14ac:dyDescent="0.35">
      <c r="A148" s="92"/>
      <c r="B148" s="144"/>
      <c r="C148" s="144"/>
      <c r="D148" s="964"/>
      <c r="E148" s="1000">
        <v>138</v>
      </c>
      <c r="F148" s="705" t="s">
        <v>3417</v>
      </c>
      <c r="G148" s="694" t="str">
        <f>Translations!$B$1698</f>
        <v>Libya</v>
      </c>
      <c r="H148" s="694"/>
      <c r="I148" s="694"/>
      <c r="J148" s="1000">
        <v>138</v>
      </c>
      <c r="K148" s="705" t="s">
        <v>3807</v>
      </c>
      <c r="L148" s="694" t="str">
        <f>Translations!$B$1697</f>
        <v>Baht</v>
      </c>
      <c r="M148" s="694"/>
      <c r="N148" s="694"/>
      <c r="O148" s="428"/>
      <c r="W148" s="104"/>
    </row>
    <row r="149" spans="1:23" ht="12.75" customHeight="1" x14ac:dyDescent="0.35">
      <c r="A149" s="92"/>
      <c r="B149" s="144"/>
      <c r="C149" s="144"/>
      <c r="D149" s="964"/>
      <c r="E149" s="1000">
        <v>139</v>
      </c>
      <c r="F149" s="705" t="s">
        <v>3418</v>
      </c>
      <c r="G149" s="694" t="str">
        <f>Translations!$B$1700</f>
        <v>Morocco</v>
      </c>
      <c r="H149" s="694"/>
      <c r="I149" s="694"/>
      <c r="J149" s="1000">
        <v>139</v>
      </c>
      <c r="K149" s="705" t="s">
        <v>3809</v>
      </c>
      <c r="L149" s="694" t="str">
        <f>Translations!$B$1699</f>
        <v>Somoni</v>
      </c>
      <c r="M149" s="694"/>
      <c r="N149" s="694"/>
      <c r="O149" s="428"/>
      <c r="W149" s="104"/>
    </row>
    <row r="150" spans="1:23" ht="12.75" customHeight="1" x14ac:dyDescent="0.35">
      <c r="A150" s="92"/>
      <c r="B150" s="144"/>
      <c r="C150" s="144"/>
      <c r="D150" s="964"/>
      <c r="E150" s="1000">
        <v>140</v>
      </c>
      <c r="F150" s="705" t="s">
        <v>3419</v>
      </c>
      <c r="G150" s="694" t="str">
        <f>Translations!$B$1702</f>
        <v>Monaco</v>
      </c>
      <c r="H150" s="694"/>
      <c r="I150" s="694"/>
      <c r="J150" s="1000">
        <v>140</v>
      </c>
      <c r="K150" s="705" t="s">
        <v>3811</v>
      </c>
      <c r="L150" s="694" t="str">
        <f>Translations!$B$1701</f>
        <v>Turkmenistan New Manat</v>
      </c>
      <c r="M150" s="694"/>
      <c r="N150" s="694"/>
      <c r="O150" s="428"/>
      <c r="W150" s="104"/>
    </row>
    <row r="151" spans="1:23" ht="12.75" customHeight="1" x14ac:dyDescent="0.35">
      <c r="A151" s="92"/>
      <c r="B151" s="144"/>
      <c r="C151" s="144"/>
      <c r="D151" s="964"/>
      <c r="E151" s="1000">
        <v>141</v>
      </c>
      <c r="F151" s="705" t="s">
        <v>3420</v>
      </c>
      <c r="G151" s="694" t="str">
        <f>Translations!$B$1704</f>
        <v>Moldova, Republic of</v>
      </c>
      <c r="H151" s="694"/>
      <c r="I151" s="694"/>
      <c r="J151" s="1000">
        <v>141</v>
      </c>
      <c r="K151" s="705" t="s">
        <v>3813</v>
      </c>
      <c r="L151" s="694" t="str">
        <f>Translations!$B$1703</f>
        <v>Tunisian Dinar</v>
      </c>
      <c r="M151" s="694"/>
      <c r="N151" s="694"/>
      <c r="O151" s="428"/>
      <c r="W151" s="104"/>
    </row>
    <row r="152" spans="1:23" ht="12.75" customHeight="1" x14ac:dyDescent="0.35">
      <c r="A152" s="92"/>
      <c r="B152" s="144"/>
      <c r="C152" s="144"/>
      <c r="D152" s="964"/>
      <c r="E152" s="1000">
        <v>142</v>
      </c>
      <c r="F152" s="705" t="s">
        <v>3421</v>
      </c>
      <c r="G152" s="694" t="str">
        <f>Translations!$B$1706</f>
        <v>Montenegro</v>
      </c>
      <c r="H152" s="694"/>
      <c r="I152" s="694"/>
      <c r="J152" s="1000">
        <v>142</v>
      </c>
      <c r="K152" s="705" t="s">
        <v>3815</v>
      </c>
      <c r="L152" s="694" t="str">
        <f>Translations!$B$1705</f>
        <v>Pa’anga</v>
      </c>
      <c r="M152" s="694"/>
      <c r="N152" s="694"/>
      <c r="O152" s="428"/>
      <c r="W152" s="104"/>
    </row>
    <row r="153" spans="1:23" ht="12.75" customHeight="1" x14ac:dyDescent="0.35">
      <c r="A153" s="92"/>
      <c r="B153" s="144"/>
      <c r="C153" s="144"/>
      <c r="D153" s="964"/>
      <c r="E153" s="1000">
        <v>143</v>
      </c>
      <c r="F153" s="705" t="s">
        <v>3422</v>
      </c>
      <c r="G153" s="694" t="str">
        <f>Translations!$B$1708</f>
        <v>Saint Martin (French part)</v>
      </c>
      <c r="H153" s="694"/>
      <c r="I153" s="694"/>
      <c r="J153" s="1000">
        <v>143</v>
      </c>
      <c r="K153" s="705" t="s">
        <v>3817</v>
      </c>
      <c r="L153" s="694" t="str">
        <f>Translations!$B$1707</f>
        <v>Turkish Lira</v>
      </c>
      <c r="M153" s="694"/>
      <c r="N153" s="694"/>
      <c r="O153" s="428"/>
      <c r="W153" s="104"/>
    </row>
    <row r="154" spans="1:23" ht="12.75" customHeight="1" x14ac:dyDescent="0.35">
      <c r="A154" s="92"/>
      <c r="B154" s="144"/>
      <c r="C154" s="144"/>
      <c r="D154" s="964"/>
      <c r="E154" s="1000">
        <v>144</v>
      </c>
      <c r="F154" s="705" t="s">
        <v>3423</v>
      </c>
      <c r="G154" s="694" t="str">
        <f>Translations!$B$1710</f>
        <v>Madagascar</v>
      </c>
      <c r="H154" s="694"/>
      <c r="I154" s="694"/>
      <c r="J154" s="1000">
        <v>144</v>
      </c>
      <c r="K154" s="705" t="s">
        <v>3819</v>
      </c>
      <c r="L154" s="694" t="str">
        <f>Translations!$B$1709</f>
        <v>Trinidad and Tobago Dollar</v>
      </c>
      <c r="M154" s="694"/>
      <c r="N154" s="694"/>
      <c r="O154" s="428"/>
      <c r="W154" s="104"/>
    </row>
    <row r="155" spans="1:23" ht="12.75" customHeight="1" x14ac:dyDescent="0.35">
      <c r="A155" s="92"/>
      <c r="B155" s="144"/>
      <c r="C155" s="144"/>
      <c r="D155" s="964"/>
      <c r="E155" s="1000">
        <v>145</v>
      </c>
      <c r="F155" s="705" t="s">
        <v>3424</v>
      </c>
      <c r="G155" s="694" t="str">
        <f>Translations!$B$1712</f>
        <v>Marshall Islands</v>
      </c>
      <c r="H155" s="694"/>
      <c r="I155" s="694"/>
      <c r="J155" s="1000">
        <v>145</v>
      </c>
      <c r="K155" s="705" t="s">
        <v>3821</v>
      </c>
      <c r="L155" s="694" t="str">
        <f>Translations!$B$1711</f>
        <v>New Taiwan Dollar</v>
      </c>
      <c r="M155" s="694"/>
      <c r="N155" s="694"/>
      <c r="O155" s="428"/>
      <c r="W155" s="104"/>
    </row>
    <row r="156" spans="1:23" ht="12.75" customHeight="1" x14ac:dyDescent="0.35">
      <c r="A156" s="92"/>
      <c r="B156" s="144"/>
      <c r="C156" s="144"/>
      <c r="D156" s="964"/>
      <c r="E156" s="1000">
        <v>146</v>
      </c>
      <c r="F156" s="705" t="s">
        <v>3425</v>
      </c>
      <c r="G156" s="694" t="str">
        <f>Translations!$B$1714</f>
        <v>North Macedonia</v>
      </c>
      <c r="H156" s="694"/>
      <c r="I156" s="694"/>
      <c r="J156" s="1000">
        <v>146</v>
      </c>
      <c r="K156" s="705" t="s">
        <v>3823</v>
      </c>
      <c r="L156" s="694" t="str">
        <f>Translations!$B$1713</f>
        <v>Tanzanian Shilling</v>
      </c>
      <c r="M156" s="694"/>
      <c r="N156" s="694"/>
      <c r="O156" s="428"/>
      <c r="W156" s="104"/>
    </row>
    <row r="157" spans="1:23" ht="12.75" customHeight="1" x14ac:dyDescent="0.35">
      <c r="A157" s="92"/>
      <c r="B157" s="144"/>
      <c r="C157" s="144"/>
      <c r="D157" s="964"/>
      <c r="E157" s="1000">
        <v>147</v>
      </c>
      <c r="F157" s="705" t="s">
        <v>3426</v>
      </c>
      <c r="G157" s="694" t="str">
        <f>Translations!$B$1716</f>
        <v>Mali</v>
      </c>
      <c r="H157" s="694"/>
      <c r="I157" s="694"/>
      <c r="J157" s="1000">
        <v>147</v>
      </c>
      <c r="K157" s="705" t="s">
        <v>3825</v>
      </c>
      <c r="L157" s="694" t="str">
        <f>Translations!$B$1715</f>
        <v>Hryvnia</v>
      </c>
      <c r="M157" s="694"/>
      <c r="N157" s="694"/>
      <c r="O157" s="428"/>
      <c r="W157" s="104"/>
    </row>
    <row r="158" spans="1:23" ht="12.75" customHeight="1" x14ac:dyDescent="0.35">
      <c r="A158" s="92"/>
      <c r="B158" s="144"/>
      <c r="C158" s="144"/>
      <c r="D158" s="964"/>
      <c r="E158" s="1000">
        <v>148</v>
      </c>
      <c r="F158" s="705" t="s">
        <v>3427</v>
      </c>
      <c r="G158" s="694" t="str">
        <f>Translations!$B$1718</f>
        <v>Myanmar</v>
      </c>
      <c r="H158" s="694"/>
      <c r="I158" s="694"/>
      <c r="J158" s="1000">
        <v>148</v>
      </c>
      <c r="K158" s="705" t="s">
        <v>3827</v>
      </c>
      <c r="L158" s="694" t="str">
        <f>Translations!$B$1717</f>
        <v>Uganda Shilling</v>
      </c>
      <c r="M158" s="694"/>
      <c r="N158" s="694"/>
      <c r="O158" s="428"/>
      <c r="W158" s="104"/>
    </row>
    <row r="159" spans="1:23" ht="12.75" customHeight="1" x14ac:dyDescent="0.35">
      <c r="A159" s="92"/>
      <c r="B159" s="144"/>
      <c r="C159" s="144"/>
      <c r="D159" s="964"/>
      <c r="E159" s="1000">
        <v>149</v>
      </c>
      <c r="F159" s="705" t="s">
        <v>3428</v>
      </c>
      <c r="G159" s="694" t="str">
        <f>Translations!$B$1720</f>
        <v>Mongolia</v>
      </c>
      <c r="H159" s="694"/>
      <c r="I159" s="694"/>
      <c r="J159" s="1000">
        <v>149</v>
      </c>
      <c r="K159" s="705" t="s">
        <v>603</v>
      </c>
      <c r="L159" s="694" t="str">
        <f>Translations!$B$1719</f>
        <v>US Dollar</v>
      </c>
      <c r="M159" s="694"/>
      <c r="N159" s="694"/>
      <c r="O159" s="428"/>
      <c r="W159" s="104"/>
    </row>
    <row r="160" spans="1:23" ht="12.75" customHeight="1" x14ac:dyDescent="0.35">
      <c r="A160" s="92"/>
      <c r="B160" s="144"/>
      <c r="C160" s="144"/>
      <c r="D160" s="964"/>
      <c r="E160" s="1000">
        <v>150</v>
      </c>
      <c r="F160" s="705" t="s">
        <v>3429</v>
      </c>
      <c r="G160" s="694" t="str">
        <f>Translations!$B$1722</f>
        <v>Macao</v>
      </c>
      <c r="H160" s="694"/>
      <c r="I160" s="694"/>
      <c r="J160" s="1000">
        <v>150</v>
      </c>
      <c r="K160" s="705" t="s">
        <v>3830</v>
      </c>
      <c r="L160" s="694" t="str">
        <f>Translations!$B$1721</f>
        <v>Uruguay Peso en Unidades Indexadas (UI)</v>
      </c>
      <c r="M160" s="694"/>
      <c r="N160" s="694"/>
      <c r="O160" s="428"/>
      <c r="W160" s="104"/>
    </row>
    <row r="161" spans="1:23" ht="12.75" customHeight="1" x14ac:dyDescent="0.35">
      <c r="A161" s="92"/>
      <c r="B161" s="144"/>
      <c r="C161" s="144"/>
      <c r="D161" s="964"/>
      <c r="E161" s="1000">
        <v>151</v>
      </c>
      <c r="F161" s="705" t="s">
        <v>3430</v>
      </c>
      <c r="G161" s="694" t="str">
        <f>Translations!$B$1724</f>
        <v>Northern Mariana Islands</v>
      </c>
      <c r="H161" s="694"/>
      <c r="I161" s="694"/>
      <c r="J161" s="1000">
        <v>151</v>
      </c>
      <c r="K161" s="705" t="s">
        <v>3832</v>
      </c>
      <c r="L161" s="694" t="str">
        <f>Translations!$B$1723</f>
        <v>Peso Uruguayo</v>
      </c>
      <c r="M161" s="694"/>
      <c r="N161" s="694"/>
      <c r="O161" s="428"/>
      <c r="W161" s="104"/>
    </row>
    <row r="162" spans="1:23" ht="12.75" customHeight="1" x14ac:dyDescent="0.35">
      <c r="A162" s="92"/>
      <c r="B162" s="144"/>
      <c r="C162" s="144"/>
      <c r="D162" s="964"/>
      <c r="E162" s="1000">
        <v>152</v>
      </c>
      <c r="F162" s="705" t="s">
        <v>3431</v>
      </c>
      <c r="G162" s="694" t="str">
        <f>Translations!$B$1726</f>
        <v>Martinique</v>
      </c>
      <c r="H162" s="694"/>
      <c r="I162" s="694"/>
      <c r="J162" s="1000">
        <v>152</v>
      </c>
      <c r="K162" s="705" t="s">
        <v>3834</v>
      </c>
      <c r="L162" s="694" t="str">
        <f>Translations!$B$1725</f>
        <v>Unidad Previsional</v>
      </c>
      <c r="M162" s="694"/>
      <c r="N162" s="694"/>
      <c r="O162" s="428"/>
      <c r="W162" s="104"/>
    </row>
    <row r="163" spans="1:23" ht="12.75" customHeight="1" x14ac:dyDescent="0.35">
      <c r="A163" s="92"/>
      <c r="B163" s="144"/>
      <c r="C163" s="144"/>
      <c r="D163" s="964"/>
      <c r="E163" s="1000">
        <v>153</v>
      </c>
      <c r="F163" s="705" t="s">
        <v>3432</v>
      </c>
      <c r="G163" s="694" t="str">
        <f>Translations!$B$1728</f>
        <v>Mauritania</v>
      </c>
      <c r="H163" s="694"/>
      <c r="I163" s="694"/>
      <c r="J163" s="1000">
        <v>153</v>
      </c>
      <c r="K163" s="705" t="s">
        <v>3836</v>
      </c>
      <c r="L163" s="694" t="str">
        <f>Translations!$B$1727</f>
        <v>Uzbekistan Sum</v>
      </c>
      <c r="M163" s="694"/>
      <c r="N163" s="694"/>
      <c r="O163" s="428"/>
      <c r="W163" s="104"/>
    </row>
    <row r="164" spans="1:23" ht="12.75" customHeight="1" x14ac:dyDescent="0.35">
      <c r="A164" s="92"/>
      <c r="B164" s="144"/>
      <c r="C164" s="144"/>
      <c r="D164" s="964"/>
      <c r="E164" s="1000">
        <v>154</v>
      </c>
      <c r="F164" s="705" t="s">
        <v>3433</v>
      </c>
      <c r="G164" s="694" t="str">
        <f>Translations!$B$1730</f>
        <v>Montserrat</v>
      </c>
      <c r="H164" s="694"/>
      <c r="I164" s="694"/>
      <c r="J164" s="1000">
        <v>154</v>
      </c>
      <c r="K164" s="705" t="s">
        <v>3838</v>
      </c>
      <c r="L164" s="694" t="str">
        <f>Translations!$B$1729</f>
        <v>Bolívar Soberano</v>
      </c>
      <c r="M164" s="694"/>
      <c r="N164" s="694"/>
      <c r="O164" s="428"/>
      <c r="W164" s="104"/>
    </row>
    <row r="165" spans="1:23" ht="12.75" customHeight="1" x14ac:dyDescent="0.35">
      <c r="A165" s="92"/>
      <c r="B165" s="144"/>
      <c r="C165" s="144"/>
      <c r="D165" s="964"/>
      <c r="E165" s="1000">
        <v>155</v>
      </c>
      <c r="F165" s="705" t="s">
        <v>491</v>
      </c>
      <c r="G165" s="694" t="str">
        <f>Translations!$B$1943</f>
        <v>Malta</v>
      </c>
      <c r="H165" s="694"/>
      <c r="I165" s="694"/>
      <c r="J165" s="1000">
        <v>155</v>
      </c>
      <c r="K165" s="705" t="s">
        <v>3840</v>
      </c>
      <c r="L165" s="694" t="str">
        <f>Translations!$B$1731</f>
        <v>Bolivar Soberano</v>
      </c>
      <c r="M165" s="694"/>
      <c r="N165" s="694"/>
      <c r="O165" s="428"/>
      <c r="W165" s="104"/>
    </row>
    <row r="166" spans="1:23" ht="12.75" customHeight="1" x14ac:dyDescent="0.35">
      <c r="A166" s="92"/>
      <c r="B166" s="144"/>
      <c r="C166" s="144"/>
      <c r="D166" s="964"/>
      <c r="E166" s="1000">
        <v>156</v>
      </c>
      <c r="F166" s="705" t="s">
        <v>3434</v>
      </c>
      <c r="G166" s="694" t="str">
        <f>Translations!$B$1733</f>
        <v>Mauritius</v>
      </c>
      <c r="H166" s="694"/>
      <c r="I166" s="694"/>
      <c r="J166" s="1000">
        <v>156</v>
      </c>
      <c r="K166" s="705" t="s">
        <v>3842</v>
      </c>
      <c r="L166" s="694" t="str">
        <f>Translations!$B$1732</f>
        <v>Dong</v>
      </c>
      <c r="M166" s="694"/>
      <c r="N166" s="694"/>
      <c r="O166" s="428"/>
      <c r="W166" s="104"/>
    </row>
    <row r="167" spans="1:23" ht="12.75" customHeight="1" x14ac:dyDescent="0.35">
      <c r="A167" s="92"/>
      <c r="B167" s="144"/>
      <c r="C167" s="144"/>
      <c r="D167" s="964"/>
      <c r="E167" s="1000">
        <v>157</v>
      </c>
      <c r="F167" s="705" t="s">
        <v>3435</v>
      </c>
      <c r="G167" s="694" t="str">
        <f>Translations!$B$1735</f>
        <v>Maldives</v>
      </c>
      <c r="H167" s="694"/>
      <c r="I167" s="694"/>
      <c r="J167" s="1000">
        <v>157</v>
      </c>
      <c r="K167" s="705" t="s">
        <v>3844</v>
      </c>
      <c r="L167" s="694" t="str">
        <f>Translations!$B$1734</f>
        <v>Vatu</v>
      </c>
      <c r="M167" s="694"/>
      <c r="N167" s="694"/>
      <c r="O167" s="428"/>
      <c r="W167" s="104"/>
    </row>
    <row r="168" spans="1:23" ht="12.75" customHeight="1" x14ac:dyDescent="0.35">
      <c r="A168" s="92"/>
      <c r="B168" s="144"/>
      <c r="C168" s="144"/>
      <c r="D168" s="964"/>
      <c r="E168" s="1000">
        <v>158</v>
      </c>
      <c r="F168" s="705" t="s">
        <v>3436</v>
      </c>
      <c r="G168" s="694" t="str">
        <f>Translations!$B$1737</f>
        <v>Malawi</v>
      </c>
      <c r="H168" s="694"/>
      <c r="I168" s="694"/>
      <c r="J168" s="1000">
        <v>158</v>
      </c>
      <c r="K168" s="705" t="s">
        <v>3846</v>
      </c>
      <c r="L168" s="694" t="str">
        <f>Translations!$B$1736</f>
        <v>Tala</v>
      </c>
      <c r="M168" s="694"/>
      <c r="N168" s="694"/>
      <c r="O168" s="428"/>
      <c r="W168" s="104"/>
    </row>
    <row r="169" spans="1:23" ht="12.75" customHeight="1" x14ac:dyDescent="0.35">
      <c r="A169" s="92"/>
      <c r="B169" s="144"/>
      <c r="C169" s="144"/>
      <c r="D169" s="964"/>
      <c r="E169" s="1000">
        <v>159</v>
      </c>
      <c r="F169" s="705" t="s">
        <v>3437</v>
      </c>
      <c r="G169" s="694" t="str">
        <f>Translations!$B$1739</f>
        <v>Mexico</v>
      </c>
      <c r="H169" s="694"/>
      <c r="I169" s="694"/>
      <c r="J169" s="1000">
        <v>159</v>
      </c>
      <c r="K169" s="705" t="s">
        <v>3848</v>
      </c>
      <c r="L169" s="694" t="str">
        <f>Translations!$B$1738</f>
        <v>CFA Franc BEAC</v>
      </c>
      <c r="M169" s="694"/>
      <c r="N169" s="694"/>
      <c r="O169" s="428"/>
      <c r="W169" s="104"/>
    </row>
    <row r="170" spans="1:23" ht="12.75" customHeight="1" x14ac:dyDescent="0.35">
      <c r="A170" s="92"/>
      <c r="B170" s="144"/>
      <c r="C170" s="144"/>
      <c r="D170" s="964"/>
      <c r="E170" s="1000">
        <v>160</v>
      </c>
      <c r="F170" s="705" t="s">
        <v>3438</v>
      </c>
      <c r="G170" s="694" t="str">
        <f>Translations!$B$1741</f>
        <v>Malaysia</v>
      </c>
      <c r="H170" s="694"/>
      <c r="I170" s="694"/>
      <c r="J170" s="1000">
        <v>160</v>
      </c>
      <c r="K170" s="705" t="s">
        <v>3850</v>
      </c>
      <c r="L170" s="694" t="str">
        <f>Translations!$B$1740</f>
        <v>East Caribbean Dollar</v>
      </c>
      <c r="M170" s="694"/>
      <c r="N170" s="694"/>
      <c r="O170" s="428"/>
      <c r="W170" s="104"/>
    </row>
    <row r="171" spans="1:23" ht="12.75" customHeight="1" x14ac:dyDescent="0.35">
      <c r="A171" s="92"/>
      <c r="B171" s="144"/>
      <c r="C171" s="144"/>
      <c r="D171" s="964"/>
      <c r="E171" s="1000">
        <v>161</v>
      </c>
      <c r="F171" s="705" t="s">
        <v>3439</v>
      </c>
      <c r="G171" s="694" t="str">
        <f>Translations!$B$1743</f>
        <v>Mozambique</v>
      </c>
      <c r="H171" s="694"/>
      <c r="I171" s="694"/>
      <c r="J171" s="1000">
        <v>161</v>
      </c>
      <c r="K171" s="705" t="s">
        <v>3852</v>
      </c>
      <c r="L171" s="694" t="str">
        <f>Translations!$B$1742</f>
        <v>SDR (Special Drawing Right)</v>
      </c>
      <c r="M171" s="694"/>
      <c r="N171" s="694"/>
      <c r="O171" s="428"/>
      <c r="W171" s="104"/>
    </row>
    <row r="172" spans="1:23" ht="12.75" customHeight="1" x14ac:dyDescent="0.35">
      <c r="A172" s="92"/>
      <c r="B172" s="144"/>
      <c r="C172" s="144"/>
      <c r="D172" s="964"/>
      <c r="E172" s="1000">
        <v>162</v>
      </c>
      <c r="F172" s="705" t="s">
        <v>3440</v>
      </c>
      <c r="G172" s="694" t="str">
        <f>Translations!$B$1745</f>
        <v>Namibia</v>
      </c>
      <c r="H172" s="694"/>
      <c r="I172" s="694"/>
      <c r="J172" s="1000">
        <v>162</v>
      </c>
      <c r="K172" s="705" t="s">
        <v>3854</v>
      </c>
      <c r="L172" s="694" t="str">
        <f>Translations!$B$1744</f>
        <v>CFA Franc BCEAO</v>
      </c>
      <c r="M172" s="694"/>
      <c r="N172" s="694"/>
      <c r="O172" s="428"/>
      <c r="W172" s="104"/>
    </row>
    <row r="173" spans="1:23" ht="12.75" customHeight="1" x14ac:dyDescent="0.35">
      <c r="A173" s="92"/>
      <c r="B173" s="144"/>
      <c r="C173" s="144"/>
      <c r="D173" s="964"/>
      <c r="E173" s="1000">
        <v>163</v>
      </c>
      <c r="F173" s="705" t="s">
        <v>3441</v>
      </c>
      <c r="G173" s="694" t="str">
        <f>Translations!$B$1747</f>
        <v>New Caledonia</v>
      </c>
      <c r="H173" s="694"/>
      <c r="I173" s="694"/>
      <c r="J173" s="1000">
        <v>163</v>
      </c>
      <c r="K173" s="705" t="s">
        <v>3856</v>
      </c>
      <c r="L173" s="694" t="str">
        <f>Translations!$B$1746</f>
        <v>CFP Franc</v>
      </c>
      <c r="M173" s="694"/>
      <c r="N173" s="694"/>
      <c r="O173" s="428"/>
      <c r="W173" s="104"/>
    </row>
    <row r="174" spans="1:23" ht="12.75" customHeight="1" x14ac:dyDescent="0.35">
      <c r="A174" s="92"/>
      <c r="B174" s="144"/>
      <c r="C174" s="144"/>
      <c r="D174" s="964"/>
      <c r="E174" s="1000">
        <v>164</v>
      </c>
      <c r="F174" s="705" t="s">
        <v>3442</v>
      </c>
      <c r="G174" s="694" t="str">
        <f>Translations!$B$1749</f>
        <v>Niger</v>
      </c>
      <c r="H174" s="694"/>
      <c r="I174" s="694"/>
      <c r="J174" s="1000">
        <v>164</v>
      </c>
      <c r="K174" s="705" t="s">
        <v>3858</v>
      </c>
      <c r="L174" s="694" t="str">
        <f>Translations!$B$1748</f>
        <v>Yemeni Rial</v>
      </c>
      <c r="M174" s="694"/>
      <c r="N174" s="694"/>
      <c r="O174" s="428"/>
      <c r="W174" s="104"/>
    </row>
    <row r="175" spans="1:23" ht="12.75" customHeight="1" x14ac:dyDescent="0.35">
      <c r="A175" s="92"/>
      <c r="B175" s="144"/>
      <c r="C175" s="144"/>
      <c r="D175" s="964"/>
      <c r="E175" s="1000">
        <v>165</v>
      </c>
      <c r="F175" s="705" t="s">
        <v>3443</v>
      </c>
      <c r="G175" s="694" t="str">
        <f>Translations!$B$1751</f>
        <v>Norfolk Island</v>
      </c>
      <c r="H175" s="694"/>
      <c r="I175" s="694"/>
      <c r="J175" s="1000">
        <v>165</v>
      </c>
      <c r="K175" s="705" t="s">
        <v>3860</v>
      </c>
      <c r="L175" s="694" t="str">
        <f>Translations!$B$1750</f>
        <v>Rand</v>
      </c>
      <c r="M175" s="694"/>
      <c r="N175" s="694"/>
      <c r="O175" s="428"/>
      <c r="W175" s="104"/>
    </row>
    <row r="176" spans="1:23" ht="12.75" customHeight="1" x14ac:dyDescent="0.35">
      <c r="A176" s="92"/>
      <c r="B176" s="144"/>
      <c r="C176" s="144"/>
      <c r="D176" s="964"/>
      <c r="E176" s="1000">
        <v>166</v>
      </c>
      <c r="F176" s="705" t="s">
        <v>3444</v>
      </c>
      <c r="G176" s="694" t="str">
        <f>Translations!$B$1753</f>
        <v>Nigeria</v>
      </c>
      <c r="H176" s="694"/>
      <c r="I176" s="694"/>
      <c r="J176" s="1000">
        <v>166</v>
      </c>
      <c r="K176" s="705" t="s">
        <v>3862</v>
      </c>
      <c r="L176" s="694" t="str">
        <f>Translations!$B$1752</f>
        <v>Zambian Kwacha</v>
      </c>
      <c r="M176" s="694"/>
      <c r="N176" s="694"/>
      <c r="O176" s="428"/>
      <c r="W176" s="104"/>
    </row>
    <row r="177" spans="1:23" ht="12.75" customHeight="1" x14ac:dyDescent="0.35">
      <c r="A177" s="92"/>
      <c r="B177" s="144"/>
      <c r="C177" s="144"/>
      <c r="D177" s="964"/>
      <c r="E177" s="1000">
        <v>167</v>
      </c>
      <c r="F177" s="705" t="s">
        <v>3445</v>
      </c>
      <c r="G177" s="694" t="str">
        <f>Translations!$B$1755</f>
        <v>Nicaragua</v>
      </c>
      <c r="H177" s="694"/>
      <c r="I177" s="694"/>
      <c r="J177" s="1000">
        <v>167</v>
      </c>
      <c r="K177" s="706" t="s">
        <v>3864</v>
      </c>
      <c r="L177" s="696" t="str">
        <f>Translations!$B$1754</f>
        <v>Zimbabwe Dollar</v>
      </c>
      <c r="M177" s="696"/>
      <c r="N177" s="696"/>
      <c r="O177" s="428"/>
      <c r="W177" s="104"/>
    </row>
    <row r="178" spans="1:23" ht="12.75" customHeight="1" x14ac:dyDescent="0.35">
      <c r="A178" s="92"/>
      <c r="B178" s="144"/>
      <c r="C178" s="144"/>
      <c r="D178" s="964"/>
      <c r="E178" s="1000">
        <v>168</v>
      </c>
      <c r="F178" s="705" t="s">
        <v>493</v>
      </c>
      <c r="G178" s="694" t="str">
        <f>Translations!$B$1944</f>
        <v>Netherlands</v>
      </c>
      <c r="H178" s="694"/>
      <c r="I178" s="694"/>
      <c r="J178" s="964"/>
      <c r="K178" s="964"/>
      <c r="L178" s="964"/>
      <c r="M178" s="964"/>
      <c r="N178" s="964"/>
      <c r="O178" s="428"/>
      <c r="W178" s="104"/>
    </row>
    <row r="179" spans="1:23" ht="12.75" customHeight="1" x14ac:dyDescent="0.35">
      <c r="A179" s="92"/>
      <c r="B179" s="144"/>
      <c r="C179" s="144"/>
      <c r="D179" s="964"/>
      <c r="E179" s="1000">
        <v>169</v>
      </c>
      <c r="F179" s="705" t="s">
        <v>495</v>
      </c>
      <c r="G179" s="694" t="str">
        <f>Translations!$B$1945</f>
        <v>Norway</v>
      </c>
      <c r="H179" s="694"/>
      <c r="I179" s="694"/>
      <c r="J179" s="964"/>
      <c r="K179" s="964"/>
      <c r="L179" s="964"/>
      <c r="M179" s="964"/>
      <c r="N179" s="964"/>
      <c r="O179" s="428"/>
      <c r="W179" s="104"/>
    </row>
    <row r="180" spans="1:23" ht="12.75" customHeight="1" x14ac:dyDescent="0.35">
      <c r="A180" s="92"/>
      <c r="B180" s="144"/>
      <c r="C180" s="144"/>
      <c r="D180" s="964"/>
      <c r="E180" s="1000">
        <v>170</v>
      </c>
      <c r="F180" s="705" t="s">
        <v>3446</v>
      </c>
      <c r="G180" s="694" t="str">
        <f>Translations!$B$1756</f>
        <v>Nepal</v>
      </c>
      <c r="H180" s="694"/>
      <c r="I180" s="694"/>
      <c r="J180" s="964"/>
      <c r="K180" s="964"/>
      <c r="L180" s="964"/>
      <c r="M180" s="964"/>
      <c r="N180" s="964"/>
      <c r="O180" s="428"/>
      <c r="W180" s="104"/>
    </row>
    <row r="181" spans="1:23" ht="12.75" customHeight="1" x14ac:dyDescent="0.35">
      <c r="A181" s="92"/>
      <c r="B181" s="144"/>
      <c r="C181" s="144"/>
      <c r="D181" s="964"/>
      <c r="E181" s="1000">
        <v>171</v>
      </c>
      <c r="F181" s="705" t="s">
        <v>3447</v>
      </c>
      <c r="G181" s="694" t="str">
        <f>Translations!$B$1757</f>
        <v>Nauru</v>
      </c>
      <c r="H181" s="694"/>
      <c r="I181" s="694"/>
      <c r="J181" s="964"/>
      <c r="K181" s="964"/>
      <c r="L181" s="964"/>
      <c r="M181" s="964"/>
      <c r="N181" s="964"/>
      <c r="O181" s="428"/>
      <c r="W181" s="104"/>
    </row>
    <row r="182" spans="1:23" ht="12.75" customHeight="1" x14ac:dyDescent="0.35">
      <c r="A182" s="92"/>
      <c r="B182" s="144"/>
      <c r="C182" s="144"/>
      <c r="D182" s="964"/>
      <c r="E182" s="1000">
        <v>172</v>
      </c>
      <c r="F182" s="705" t="s">
        <v>3448</v>
      </c>
      <c r="G182" s="694" t="str">
        <f>Translations!$B$1758</f>
        <v>Niue</v>
      </c>
      <c r="H182" s="694"/>
      <c r="I182" s="694"/>
      <c r="J182" s="964"/>
      <c r="K182" s="964"/>
      <c r="L182" s="964"/>
      <c r="M182" s="964"/>
      <c r="N182" s="964"/>
      <c r="O182" s="428"/>
      <c r="W182" s="104"/>
    </row>
    <row r="183" spans="1:23" ht="12.75" customHeight="1" x14ac:dyDescent="0.35">
      <c r="A183" s="92"/>
      <c r="B183" s="144"/>
      <c r="C183" s="144"/>
      <c r="D183" s="964"/>
      <c r="E183" s="1000">
        <v>173</v>
      </c>
      <c r="F183" s="705" t="s">
        <v>3449</v>
      </c>
      <c r="G183" s="694" t="str">
        <f>Translations!$B$1759</f>
        <v>New Zealand</v>
      </c>
      <c r="H183" s="694"/>
      <c r="I183" s="694"/>
      <c r="J183" s="964"/>
      <c r="K183" s="964"/>
      <c r="L183" s="964"/>
      <c r="M183" s="964"/>
      <c r="N183" s="964"/>
      <c r="O183" s="428"/>
      <c r="W183" s="104"/>
    </row>
    <row r="184" spans="1:23" ht="12.75" customHeight="1" x14ac:dyDescent="0.35">
      <c r="A184" s="92"/>
      <c r="B184" s="144"/>
      <c r="C184" s="144"/>
      <c r="D184" s="964"/>
      <c r="E184" s="1000">
        <v>174</v>
      </c>
      <c r="F184" s="705" t="s">
        <v>3450</v>
      </c>
      <c r="G184" s="694" t="str">
        <f>Translations!$B$1760</f>
        <v>Oman</v>
      </c>
      <c r="H184" s="694"/>
      <c r="I184" s="694"/>
      <c r="J184" s="964"/>
      <c r="K184" s="964"/>
      <c r="L184" s="964"/>
      <c r="M184" s="964"/>
      <c r="N184" s="964"/>
      <c r="O184" s="428"/>
      <c r="W184" s="104"/>
    </row>
    <row r="185" spans="1:23" ht="12.75" customHeight="1" x14ac:dyDescent="0.35">
      <c r="A185" s="92"/>
      <c r="B185" s="144"/>
      <c r="C185" s="144"/>
      <c r="D185" s="964"/>
      <c r="E185" s="1000">
        <v>175</v>
      </c>
      <c r="F185" s="705" t="s">
        <v>3451</v>
      </c>
      <c r="G185" s="694" t="str">
        <f>Translations!$B$1761</f>
        <v>Panama</v>
      </c>
      <c r="H185" s="694"/>
      <c r="I185" s="694"/>
      <c r="J185" s="964"/>
      <c r="K185" s="964"/>
      <c r="L185" s="964"/>
      <c r="M185" s="964"/>
      <c r="N185" s="964"/>
      <c r="O185" s="428"/>
      <c r="W185" s="104"/>
    </row>
    <row r="186" spans="1:23" ht="12.75" customHeight="1" x14ac:dyDescent="0.35">
      <c r="A186" s="92"/>
      <c r="B186" s="144"/>
      <c r="C186" s="144"/>
      <c r="D186" s="964"/>
      <c r="E186" s="1000">
        <v>176</v>
      </c>
      <c r="F186" s="705" t="s">
        <v>3452</v>
      </c>
      <c r="G186" s="694" t="str">
        <f>Translations!$B$1762</f>
        <v>Peru</v>
      </c>
      <c r="H186" s="694"/>
      <c r="I186" s="694"/>
      <c r="J186" s="964"/>
      <c r="K186" s="964"/>
      <c r="L186" s="964"/>
      <c r="M186" s="964"/>
      <c r="N186" s="964"/>
      <c r="O186" s="428"/>
      <c r="W186" s="104"/>
    </row>
    <row r="187" spans="1:23" ht="12.75" customHeight="1" x14ac:dyDescent="0.35">
      <c r="A187" s="92"/>
      <c r="B187" s="144"/>
      <c r="C187" s="144"/>
      <c r="D187" s="964"/>
      <c r="E187" s="1000">
        <v>177</v>
      </c>
      <c r="F187" s="705" t="s">
        <v>3453</v>
      </c>
      <c r="G187" s="694" t="str">
        <f>Translations!$B$1763</f>
        <v>French Polynesia</v>
      </c>
      <c r="H187" s="694"/>
      <c r="I187" s="694"/>
      <c r="J187" s="964"/>
      <c r="K187" s="964"/>
      <c r="L187" s="964"/>
      <c r="M187" s="964"/>
      <c r="N187" s="964"/>
      <c r="O187" s="428"/>
      <c r="W187" s="104"/>
    </row>
    <row r="188" spans="1:23" ht="12.75" customHeight="1" x14ac:dyDescent="0.35">
      <c r="A188" s="92"/>
      <c r="B188" s="144"/>
      <c r="C188" s="144"/>
      <c r="D188" s="964"/>
      <c r="E188" s="1000">
        <v>178</v>
      </c>
      <c r="F188" s="705" t="s">
        <v>3454</v>
      </c>
      <c r="G188" s="694" t="str">
        <f>Translations!$B$1764</f>
        <v>Papua New Guinea</v>
      </c>
      <c r="H188" s="694"/>
      <c r="I188" s="694"/>
      <c r="J188" s="964"/>
      <c r="K188" s="964"/>
      <c r="L188" s="964"/>
      <c r="M188" s="964"/>
      <c r="N188" s="964"/>
      <c r="O188" s="428"/>
      <c r="W188" s="104"/>
    </row>
    <row r="189" spans="1:23" ht="12.75" customHeight="1" x14ac:dyDescent="0.35">
      <c r="A189" s="92"/>
      <c r="B189" s="144"/>
      <c r="C189" s="144"/>
      <c r="D189" s="964"/>
      <c r="E189" s="1000">
        <v>179</v>
      </c>
      <c r="F189" s="705" t="s">
        <v>3455</v>
      </c>
      <c r="G189" s="694" t="str">
        <f>Translations!$B$1765</f>
        <v>Philippines</v>
      </c>
      <c r="H189" s="694"/>
      <c r="I189" s="694"/>
      <c r="J189" s="964"/>
      <c r="K189" s="964"/>
      <c r="L189" s="964"/>
      <c r="M189" s="964"/>
      <c r="N189" s="964"/>
      <c r="O189" s="428"/>
      <c r="W189" s="104"/>
    </row>
    <row r="190" spans="1:23" ht="12.75" customHeight="1" x14ac:dyDescent="0.35">
      <c r="A190" s="92"/>
      <c r="B190" s="144"/>
      <c r="C190" s="144"/>
      <c r="D190" s="964"/>
      <c r="E190" s="1000">
        <v>180</v>
      </c>
      <c r="F190" s="705" t="s">
        <v>3456</v>
      </c>
      <c r="G190" s="694" t="str">
        <f>Translations!$B$1766</f>
        <v>Pakistan</v>
      </c>
      <c r="H190" s="694"/>
      <c r="I190" s="694"/>
      <c r="J190" s="964"/>
      <c r="K190" s="964"/>
      <c r="L190" s="964"/>
      <c r="M190" s="964"/>
      <c r="N190" s="964"/>
      <c r="O190" s="428"/>
      <c r="W190" s="104"/>
    </row>
    <row r="191" spans="1:23" ht="12.75" customHeight="1" x14ac:dyDescent="0.35">
      <c r="A191" s="92"/>
      <c r="B191" s="144"/>
      <c r="C191" s="144"/>
      <c r="D191" s="964"/>
      <c r="E191" s="1000">
        <v>181</v>
      </c>
      <c r="F191" s="705" t="s">
        <v>497</v>
      </c>
      <c r="G191" s="694" t="str">
        <f>Translations!$B$1946</f>
        <v>Poland</v>
      </c>
      <c r="H191" s="694"/>
      <c r="I191" s="694"/>
      <c r="J191" s="964"/>
      <c r="K191" s="964"/>
      <c r="L191" s="964"/>
      <c r="M191" s="964"/>
      <c r="N191" s="964"/>
      <c r="O191" s="428"/>
      <c r="W191" s="104"/>
    </row>
    <row r="192" spans="1:23" ht="12.75" customHeight="1" x14ac:dyDescent="0.35">
      <c r="A192" s="92"/>
      <c r="B192" s="144"/>
      <c r="C192" s="144"/>
      <c r="D192" s="964"/>
      <c r="E192" s="1000">
        <v>182</v>
      </c>
      <c r="F192" s="705" t="s">
        <v>3457</v>
      </c>
      <c r="G192" s="694" t="str">
        <f>Translations!$B$1767</f>
        <v>St Pierre and Miquelon</v>
      </c>
      <c r="H192" s="694"/>
      <c r="I192" s="694"/>
      <c r="J192" s="964"/>
      <c r="K192" s="964"/>
      <c r="L192" s="964"/>
      <c r="M192" s="964"/>
      <c r="N192" s="964"/>
      <c r="O192" s="428"/>
      <c r="W192" s="104"/>
    </row>
    <row r="193" spans="1:23" ht="12.75" customHeight="1" x14ac:dyDescent="0.35">
      <c r="A193" s="92"/>
      <c r="B193" s="144"/>
      <c r="C193" s="144"/>
      <c r="D193" s="964"/>
      <c r="E193" s="1000">
        <v>183</v>
      </c>
      <c r="F193" s="705" t="s">
        <v>3458</v>
      </c>
      <c r="G193" s="694" t="str">
        <f>Translations!$B$1768</f>
        <v>Pitcairn</v>
      </c>
      <c r="H193" s="694"/>
      <c r="I193" s="694"/>
      <c r="J193" s="964"/>
      <c r="K193" s="964"/>
      <c r="L193" s="964"/>
      <c r="M193" s="964"/>
      <c r="N193" s="964"/>
      <c r="O193" s="428"/>
      <c r="W193" s="104"/>
    </row>
    <row r="194" spans="1:23" ht="12.75" customHeight="1" x14ac:dyDescent="0.35">
      <c r="A194" s="92"/>
      <c r="B194" s="144"/>
      <c r="C194" s="144"/>
      <c r="D194" s="964"/>
      <c r="E194" s="1000">
        <v>184</v>
      </c>
      <c r="F194" s="705" t="s">
        <v>3459</v>
      </c>
      <c r="G194" s="694" t="str">
        <f>Translations!$B$1769</f>
        <v>Puerto Rico</v>
      </c>
      <c r="H194" s="694"/>
      <c r="I194" s="694"/>
      <c r="J194" s="964"/>
      <c r="K194" s="964"/>
      <c r="L194" s="964"/>
      <c r="M194" s="964"/>
      <c r="N194" s="964"/>
      <c r="O194" s="428"/>
      <c r="W194" s="104"/>
    </row>
    <row r="195" spans="1:23" ht="12.75" customHeight="1" x14ac:dyDescent="0.35">
      <c r="A195" s="92"/>
      <c r="B195" s="144"/>
      <c r="C195" s="144"/>
      <c r="D195" s="964"/>
      <c r="E195" s="1000">
        <v>185</v>
      </c>
      <c r="F195" s="705" t="s">
        <v>3460</v>
      </c>
      <c r="G195" s="694" t="str">
        <f>Translations!$B$1770</f>
        <v>Occupied Palestinian Territory</v>
      </c>
      <c r="H195" s="694"/>
      <c r="I195" s="694"/>
      <c r="J195" s="964"/>
      <c r="K195" s="964"/>
      <c r="L195" s="964"/>
      <c r="M195" s="964"/>
      <c r="N195" s="964"/>
      <c r="O195" s="428"/>
      <c r="W195" s="104"/>
    </row>
    <row r="196" spans="1:23" ht="12.75" customHeight="1" x14ac:dyDescent="0.35">
      <c r="A196" s="92"/>
      <c r="B196" s="144"/>
      <c r="C196" s="144"/>
      <c r="D196" s="964"/>
      <c r="E196" s="1000">
        <v>186</v>
      </c>
      <c r="F196" s="705" t="s">
        <v>499</v>
      </c>
      <c r="G196" s="694" t="str">
        <f>Translations!$B$1947</f>
        <v>Portugal</v>
      </c>
      <c r="H196" s="694"/>
      <c r="I196" s="694"/>
      <c r="J196" s="964"/>
      <c r="K196" s="964"/>
      <c r="L196" s="964"/>
      <c r="M196" s="964"/>
      <c r="N196" s="964"/>
      <c r="O196" s="428"/>
      <c r="W196" s="104"/>
    </row>
    <row r="197" spans="1:23" ht="12.75" customHeight="1" x14ac:dyDescent="0.35">
      <c r="A197" s="92"/>
      <c r="B197" s="144"/>
      <c r="C197" s="144"/>
      <c r="D197" s="964"/>
      <c r="E197" s="1000">
        <v>187</v>
      </c>
      <c r="F197" s="705" t="s">
        <v>3461</v>
      </c>
      <c r="G197" s="694" t="str">
        <f>Translations!$B$1771</f>
        <v>Palau</v>
      </c>
      <c r="H197" s="694"/>
      <c r="I197" s="694"/>
      <c r="J197" s="964"/>
      <c r="K197" s="964"/>
      <c r="L197" s="964"/>
      <c r="M197" s="964"/>
      <c r="N197" s="964"/>
      <c r="O197" s="428"/>
      <c r="W197" s="104"/>
    </row>
    <row r="198" spans="1:23" ht="12.75" customHeight="1" x14ac:dyDescent="0.35">
      <c r="A198" s="92"/>
      <c r="B198" s="144"/>
      <c r="C198" s="144"/>
      <c r="D198" s="964"/>
      <c r="E198" s="1000">
        <v>188</v>
      </c>
      <c r="F198" s="705" t="s">
        <v>3462</v>
      </c>
      <c r="G198" s="694" t="str">
        <f>Translations!$B$1772</f>
        <v>Paraguay</v>
      </c>
      <c r="H198" s="694"/>
      <c r="I198" s="694"/>
      <c r="J198" s="964"/>
      <c r="K198" s="964"/>
      <c r="L198" s="964"/>
      <c r="M198" s="964"/>
      <c r="N198" s="964"/>
      <c r="O198" s="428"/>
      <c r="W198" s="104"/>
    </row>
    <row r="199" spans="1:23" ht="12.75" customHeight="1" x14ac:dyDescent="0.35">
      <c r="A199" s="92"/>
      <c r="B199" s="144"/>
      <c r="C199" s="144"/>
      <c r="D199" s="964"/>
      <c r="E199" s="1000">
        <v>189</v>
      </c>
      <c r="F199" s="705" t="s">
        <v>3463</v>
      </c>
      <c r="G199" s="694" t="str">
        <f>Translations!$B$1773</f>
        <v>Qatar</v>
      </c>
      <c r="H199" s="694"/>
      <c r="I199" s="694"/>
      <c r="J199" s="964"/>
      <c r="K199" s="964"/>
      <c r="L199" s="964"/>
      <c r="M199" s="964"/>
      <c r="N199" s="964"/>
      <c r="O199" s="428"/>
      <c r="W199" s="104"/>
    </row>
    <row r="200" spans="1:23" ht="12.75" customHeight="1" x14ac:dyDescent="0.35">
      <c r="A200" s="92"/>
      <c r="B200" s="144"/>
      <c r="C200" s="144"/>
      <c r="D200" s="964"/>
      <c r="E200" s="1000">
        <v>190</v>
      </c>
      <c r="F200" s="705" t="s">
        <v>3464</v>
      </c>
      <c r="G200" s="694" t="str">
        <f>Translations!$B$1774</f>
        <v>High seas</v>
      </c>
      <c r="H200" s="694"/>
      <c r="I200" s="694"/>
      <c r="J200" s="964"/>
      <c r="K200" s="964"/>
      <c r="L200" s="964"/>
      <c r="M200" s="964"/>
      <c r="N200" s="964"/>
      <c r="O200" s="428"/>
      <c r="W200" s="104"/>
    </row>
    <row r="201" spans="1:23" ht="12.75" customHeight="1" x14ac:dyDescent="0.35">
      <c r="A201" s="92"/>
      <c r="B201" s="144"/>
      <c r="C201" s="144"/>
      <c r="D201" s="964"/>
      <c r="E201" s="1000">
        <v>191</v>
      </c>
      <c r="F201" s="705" t="s">
        <v>3465</v>
      </c>
      <c r="G201" s="694" t="str">
        <f>Translations!$B$1775</f>
        <v>Réunion</v>
      </c>
      <c r="H201" s="694"/>
      <c r="I201" s="694"/>
      <c r="J201" s="964"/>
      <c r="K201" s="964"/>
      <c r="L201" s="964"/>
      <c r="M201" s="964"/>
      <c r="N201" s="964"/>
      <c r="O201" s="428"/>
      <c r="W201" s="104"/>
    </row>
    <row r="202" spans="1:23" ht="12.75" customHeight="1" x14ac:dyDescent="0.35">
      <c r="A202" s="92"/>
      <c r="B202" s="144"/>
      <c r="C202" s="144"/>
      <c r="D202" s="964"/>
      <c r="E202" s="1000">
        <v>192</v>
      </c>
      <c r="F202" s="705" t="s">
        <v>501</v>
      </c>
      <c r="G202" s="694" t="str">
        <f>Translations!$B$1948</f>
        <v>Romania</v>
      </c>
      <c r="H202" s="694"/>
      <c r="I202" s="694"/>
      <c r="J202" s="964"/>
      <c r="K202" s="964"/>
      <c r="L202" s="964"/>
      <c r="M202" s="964"/>
      <c r="N202" s="964"/>
      <c r="O202" s="428"/>
      <c r="W202" s="104"/>
    </row>
    <row r="203" spans="1:23" ht="12.75" customHeight="1" x14ac:dyDescent="0.35">
      <c r="A203" s="92"/>
      <c r="B203" s="144"/>
      <c r="C203" s="144"/>
      <c r="D203" s="964"/>
      <c r="E203" s="1000">
        <v>193</v>
      </c>
      <c r="F203" s="705" t="s">
        <v>3466</v>
      </c>
      <c r="G203" s="694" t="str">
        <f>Translations!$B$1776</f>
        <v>Serbia</v>
      </c>
      <c r="H203" s="694"/>
      <c r="I203" s="694"/>
      <c r="J203" s="964"/>
      <c r="K203" s="964"/>
      <c r="L203" s="964"/>
      <c r="M203" s="964"/>
      <c r="N203" s="964"/>
      <c r="O203" s="428"/>
      <c r="W203" s="104"/>
    </row>
    <row r="204" spans="1:23" ht="12.75" customHeight="1" x14ac:dyDescent="0.35">
      <c r="A204" s="92"/>
      <c r="B204" s="144"/>
      <c r="C204" s="144"/>
      <c r="D204" s="964"/>
      <c r="E204" s="1000">
        <v>194</v>
      </c>
      <c r="F204" s="705" t="s">
        <v>3467</v>
      </c>
      <c r="G204" s="694" t="str">
        <f>Translations!$B$1777</f>
        <v>Russian Federation</v>
      </c>
      <c r="H204" s="694"/>
      <c r="I204" s="694"/>
      <c r="J204" s="964"/>
      <c r="K204" s="964"/>
      <c r="L204" s="964"/>
      <c r="M204" s="964"/>
      <c r="N204" s="964"/>
      <c r="O204" s="428"/>
      <c r="W204" s="104"/>
    </row>
    <row r="205" spans="1:23" ht="12.75" customHeight="1" x14ac:dyDescent="0.35">
      <c r="A205" s="92"/>
      <c r="B205" s="144"/>
      <c r="C205" s="144"/>
      <c r="D205" s="964"/>
      <c r="E205" s="1000">
        <v>195</v>
      </c>
      <c r="F205" s="705" t="s">
        <v>3468</v>
      </c>
      <c r="G205" s="694" t="str">
        <f>Translations!$B$1778</f>
        <v>Rwanda</v>
      </c>
      <c r="H205" s="694"/>
      <c r="I205" s="694"/>
      <c r="J205" s="964"/>
      <c r="K205" s="964"/>
      <c r="L205" s="964"/>
      <c r="M205" s="964"/>
      <c r="N205" s="964"/>
      <c r="O205" s="428"/>
      <c r="W205" s="104"/>
    </row>
    <row r="206" spans="1:23" ht="12.75" customHeight="1" x14ac:dyDescent="0.35">
      <c r="A206" s="92"/>
      <c r="B206" s="144"/>
      <c r="C206" s="144"/>
      <c r="D206" s="964"/>
      <c r="E206" s="1000">
        <v>196</v>
      </c>
      <c r="F206" s="705" t="s">
        <v>3469</v>
      </c>
      <c r="G206" s="694" t="str">
        <f>Translations!$B$1779</f>
        <v>Saudi Arabia</v>
      </c>
      <c r="H206" s="694"/>
      <c r="I206" s="694"/>
      <c r="J206" s="964"/>
      <c r="K206" s="964"/>
      <c r="L206" s="964"/>
      <c r="M206" s="964"/>
      <c r="N206" s="964"/>
      <c r="O206" s="428"/>
      <c r="W206" s="104"/>
    </row>
    <row r="207" spans="1:23" ht="12.75" customHeight="1" x14ac:dyDescent="0.35">
      <c r="A207" s="92"/>
      <c r="B207" s="144"/>
      <c r="C207" s="144"/>
      <c r="D207" s="964"/>
      <c r="E207" s="1000">
        <v>197</v>
      </c>
      <c r="F207" s="705" t="s">
        <v>3470</v>
      </c>
      <c r="G207" s="694" t="str">
        <f>Translations!$B$1780</f>
        <v>Solomon Islands</v>
      </c>
      <c r="H207" s="694"/>
      <c r="I207" s="694"/>
      <c r="J207" s="964"/>
      <c r="K207" s="964"/>
      <c r="L207" s="964"/>
      <c r="M207" s="964"/>
      <c r="N207" s="964"/>
      <c r="O207" s="428"/>
      <c r="W207" s="104"/>
    </row>
    <row r="208" spans="1:23" ht="12.75" customHeight="1" x14ac:dyDescent="0.35">
      <c r="A208" s="92"/>
      <c r="B208" s="144"/>
      <c r="C208" s="144"/>
      <c r="D208" s="964"/>
      <c r="E208" s="1000">
        <v>198</v>
      </c>
      <c r="F208" s="705" t="s">
        <v>3471</v>
      </c>
      <c r="G208" s="694" t="str">
        <f>Translations!$B$1781</f>
        <v>Seychelles</v>
      </c>
      <c r="H208" s="694"/>
      <c r="I208" s="694"/>
      <c r="J208" s="964"/>
      <c r="K208" s="964"/>
      <c r="L208" s="964"/>
      <c r="M208" s="964"/>
      <c r="N208" s="964"/>
      <c r="O208" s="428"/>
      <c r="W208" s="104"/>
    </row>
    <row r="209" spans="1:23" ht="12.75" customHeight="1" x14ac:dyDescent="0.35">
      <c r="A209" s="92"/>
      <c r="B209" s="144"/>
      <c r="C209" s="144"/>
      <c r="D209" s="964"/>
      <c r="E209" s="1000">
        <v>199</v>
      </c>
      <c r="F209" s="705" t="s">
        <v>3472</v>
      </c>
      <c r="G209" s="694" t="str">
        <f>Translations!$B$1782</f>
        <v>Sudan</v>
      </c>
      <c r="H209" s="694"/>
      <c r="I209" s="694"/>
      <c r="J209" s="964"/>
      <c r="K209" s="964"/>
      <c r="L209" s="964"/>
      <c r="M209" s="964"/>
      <c r="N209" s="964"/>
      <c r="O209" s="428"/>
      <c r="W209" s="104"/>
    </row>
    <row r="210" spans="1:23" ht="12.75" customHeight="1" x14ac:dyDescent="0.35">
      <c r="A210" s="92"/>
      <c r="B210" s="144"/>
      <c r="C210" s="144"/>
      <c r="D210" s="964"/>
      <c r="E210" s="1000">
        <v>200</v>
      </c>
      <c r="F210" s="705" t="s">
        <v>509</v>
      </c>
      <c r="G210" s="694" t="str">
        <f>Translations!$B$1949</f>
        <v>Sweden</v>
      </c>
      <c r="H210" s="694"/>
      <c r="I210" s="694"/>
      <c r="J210" s="964"/>
      <c r="K210" s="964"/>
      <c r="L210" s="964"/>
      <c r="M210" s="964"/>
      <c r="N210" s="964"/>
      <c r="O210" s="428"/>
      <c r="W210" s="104"/>
    </row>
    <row r="211" spans="1:23" ht="12.75" customHeight="1" x14ac:dyDescent="0.35">
      <c r="A211" s="92"/>
      <c r="B211" s="144"/>
      <c r="C211" s="144"/>
      <c r="D211" s="964"/>
      <c r="E211" s="1000">
        <v>201</v>
      </c>
      <c r="F211" s="705" t="s">
        <v>3473</v>
      </c>
      <c r="G211" s="694" t="str">
        <f>Translations!$B$1783</f>
        <v>Singapore</v>
      </c>
      <c r="H211" s="694"/>
      <c r="I211" s="694"/>
      <c r="J211" s="964"/>
      <c r="K211" s="964"/>
      <c r="L211" s="964"/>
      <c r="M211" s="964"/>
      <c r="N211" s="964"/>
      <c r="O211" s="428"/>
      <c r="W211" s="104"/>
    </row>
    <row r="212" spans="1:23" ht="12.75" customHeight="1" x14ac:dyDescent="0.35">
      <c r="A212" s="92"/>
      <c r="B212" s="144"/>
      <c r="C212" s="144"/>
      <c r="D212" s="964"/>
      <c r="E212" s="1000">
        <v>202</v>
      </c>
      <c r="F212" s="705" t="s">
        <v>3474</v>
      </c>
      <c r="G212" s="694" t="str">
        <f>Translations!$B$1784</f>
        <v>Saint Helena, Ascension and Tristan</v>
      </c>
      <c r="H212" s="694"/>
      <c r="I212" s="694"/>
      <c r="J212" s="964"/>
      <c r="K212" s="964"/>
      <c r="L212" s="964"/>
      <c r="M212" s="964"/>
      <c r="N212" s="964"/>
      <c r="O212" s="428"/>
      <c r="W212" s="104"/>
    </row>
    <row r="213" spans="1:23" ht="12.75" customHeight="1" x14ac:dyDescent="0.35">
      <c r="A213" s="92"/>
      <c r="B213" s="144"/>
      <c r="C213" s="144"/>
      <c r="D213" s="964"/>
      <c r="E213" s="1000">
        <v>203</v>
      </c>
      <c r="F213" s="705" t="s">
        <v>505</v>
      </c>
      <c r="G213" s="694" t="str">
        <f>Translations!$B$1950</f>
        <v>Slovenia</v>
      </c>
      <c r="H213" s="694"/>
      <c r="I213" s="694"/>
      <c r="J213" s="964"/>
      <c r="K213" s="964"/>
      <c r="L213" s="964"/>
      <c r="M213" s="964"/>
      <c r="N213" s="964"/>
      <c r="O213" s="428"/>
      <c r="W213" s="104"/>
    </row>
    <row r="214" spans="1:23" ht="12.75" customHeight="1" x14ac:dyDescent="0.35">
      <c r="A214" s="92"/>
      <c r="B214" s="144"/>
      <c r="C214" s="144"/>
      <c r="D214" s="964"/>
      <c r="E214" s="1000">
        <v>204</v>
      </c>
      <c r="F214" s="705" t="s">
        <v>3475</v>
      </c>
      <c r="G214" s="694" t="str">
        <f>Translations!$B$1785</f>
        <v>Svalbard and Jan Mayen Islands</v>
      </c>
      <c r="H214" s="694"/>
      <c r="I214" s="694"/>
      <c r="J214" s="964"/>
      <c r="K214" s="964"/>
      <c r="L214" s="964"/>
      <c r="M214" s="964"/>
      <c r="N214" s="964"/>
      <c r="O214" s="428"/>
      <c r="W214" s="104"/>
    </row>
    <row r="215" spans="1:23" ht="12.75" customHeight="1" x14ac:dyDescent="0.35">
      <c r="A215" s="92"/>
      <c r="B215" s="144"/>
      <c r="C215" s="144"/>
      <c r="D215" s="964"/>
      <c r="E215" s="1000">
        <v>205</v>
      </c>
      <c r="F215" s="705" t="s">
        <v>503</v>
      </c>
      <c r="G215" s="694" t="str">
        <f>Translations!$B$1951</f>
        <v>Slovakia</v>
      </c>
      <c r="H215" s="694"/>
      <c r="I215" s="694"/>
      <c r="J215" s="964"/>
      <c r="K215" s="964"/>
      <c r="L215" s="964"/>
      <c r="M215" s="964"/>
      <c r="N215" s="964"/>
      <c r="O215" s="428"/>
      <c r="W215" s="104"/>
    </row>
    <row r="216" spans="1:23" ht="12.75" customHeight="1" x14ac:dyDescent="0.35">
      <c r="A216" s="92"/>
      <c r="B216" s="144"/>
      <c r="C216" s="144"/>
      <c r="D216" s="964"/>
      <c r="E216" s="1000">
        <v>206</v>
      </c>
      <c r="F216" s="705" t="s">
        <v>3476</v>
      </c>
      <c r="G216" s="694" t="str">
        <f>Translations!$B$1786</f>
        <v>Sierra Leone</v>
      </c>
      <c r="H216" s="694"/>
      <c r="I216" s="694"/>
      <c r="J216" s="964"/>
      <c r="K216" s="964"/>
      <c r="L216" s="964"/>
      <c r="M216" s="964"/>
      <c r="N216" s="964"/>
      <c r="O216" s="428"/>
      <c r="W216" s="104"/>
    </row>
    <row r="217" spans="1:23" ht="12.75" customHeight="1" x14ac:dyDescent="0.35">
      <c r="A217" s="92"/>
      <c r="B217" s="144"/>
      <c r="C217" s="144"/>
      <c r="D217" s="964"/>
      <c r="E217" s="1000">
        <v>207</v>
      </c>
      <c r="F217" s="705" t="s">
        <v>3477</v>
      </c>
      <c r="G217" s="694" t="str">
        <f>Translations!$B$1787</f>
        <v>San Marino</v>
      </c>
      <c r="H217" s="694"/>
      <c r="I217" s="694"/>
      <c r="J217" s="964"/>
      <c r="K217" s="964"/>
      <c r="L217" s="964"/>
      <c r="M217" s="964"/>
      <c r="N217" s="964"/>
      <c r="O217" s="428"/>
      <c r="W217" s="104"/>
    </row>
    <row r="218" spans="1:23" ht="12.75" customHeight="1" x14ac:dyDescent="0.35">
      <c r="A218" s="92"/>
      <c r="B218" s="144"/>
      <c r="C218" s="144"/>
      <c r="D218" s="964"/>
      <c r="E218" s="1000">
        <v>208</v>
      </c>
      <c r="F218" s="705" t="s">
        <v>3478</v>
      </c>
      <c r="G218" s="694" t="str">
        <f>Translations!$B$1788</f>
        <v>Senegal</v>
      </c>
      <c r="H218" s="694"/>
      <c r="I218" s="694"/>
      <c r="J218" s="964"/>
      <c r="K218" s="964"/>
      <c r="L218" s="964"/>
      <c r="M218" s="964"/>
      <c r="N218" s="964"/>
      <c r="O218" s="428"/>
      <c r="W218" s="104"/>
    </row>
    <row r="219" spans="1:23" ht="12.75" customHeight="1" x14ac:dyDescent="0.35">
      <c r="A219" s="92"/>
      <c r="B219" s="144"/>
      <c r="C219" s="144"/>
      <c r="D219" s="964"/>
      <c r="E219" s="1000">
        <v>209</v>
      </c>
      <c r="F219" s="705" t="s">
        <v>3479</v>
      </c>
      <c r="G219" s="694" t="str">
        <f>Translations!$B$1789</f>
        <v>Somalia</v>
      </c>
      <c r="H219" s="694"/>
      <c r="I219" s="694"/>
      <c r="J219" s="964"/>
      <c r="K219" s="964"/>
      <c r="L219" s="964"/>
      <c r="M219" s="964"/>
      <c r="N219" s="964"/>
      <c r="O219" s="428"/>
      <c r="W219" s="104"/>
    </row>
    <row r="220" spans="1:23" ht="12.75" customHeight="1" x14ac:dyDescent="0.35">
      <c r="A220" s="92"/>
      <c r="B220" s="144"/>
      <c r="C220" s="144"/>
      <c r="D220" s="964"/>
      <c r="E220" s="1000">
        <v>210</v>
      </c>
      <c r="F220" s="705" t="s">
        <v>3480</v>
      </c>
      <c r="G220" s="694" t="str">
        <f>Translations!$B$1790</f>
        <v>Suriname</v>
      </c>
      <c r="H220" s="694"/>
      <c r="I220" s="694"/>
      <c r="J220" s="964"/>
      <c r="K220" s="964"/>
      <c r="L220" s="964"/>
      <c r="M220" s="964"/>
      <c r="N220" s="964"/>
      <c r="O220" s="428"/>
      <c r="W220" s="104"/>
    </row>
    <row r="221" spans="1:23" ht="12.75" customHeight="1" x14ac:dyDescent="0.35">
      <c r="A221" s="92"/>
      <c r="B221" s="144"/>
      <c r="C221" s="144"/>
      <c r="D221" s="964"/>
      <c r="E221" s="1000">
        <v>211</v>
      </c>
      <c r="F221" s="705" t="s">
        <v>3481</v>
      </c>
      <c r="G221" s="694" t="str">
        <f>Translations!$B$1791</f>
        <v>South Sudan</v>
      </c>
      <c r="H221" s="694"/>
      <c r="I221" s="694"/>
      <c r="J221" s="964"/>
      <c r="K221" s="964"/>
      <c r="L221" s="964"/>
      <c r="M221" s="964"/>
      <c r="N221" s="964"/>
      <c r="O221" s="428"/>
      <c r="W221" s="104"/>
    </row>
    <row r="222" spans="1:23" ht="12.75" customHeight="1" x14ac:dyDescent="0.35">
      <c r="A222" s="92"/>
      <c r="B222" s="144"/>
      <c r="C222" s="144"/>
      <c r="D222" s="964"/>
      <c r="E222" s="1000">
        <v>212</v>
      </c>
      <c r="F222" s="705" t="s">
        <v>3482</v>
      </c>
      <c r="G222" s="694" t="str">
        <f>Translations!$B$1792</f>
        <v>Sao Tome and Principe</v>
      </c>
      <c r="H222" s="694"/>
      <c r="I222" s="694"/>
      <c r="J222" s="964"/>
      <c r="K222" s="964"/>
      <c r="L222" s="964"/>
      <c r="M222" s="964"/>
      <c r="N222" s="964"/>
      <c r="O222" s="428"/>
      <c r="W222" s="104"/>
    </row>
    <row r="223" spans="1:23" ht="12.75" customHeight="1" x14ac:dyDescent="0.35">
      <c r="A223" s="92"/>
      <c r="B223" s="144"/>
      <c r="C223" s="144"/>
      <c r="D223" s="964"/>
      <c r="E223" s="1000">
        <v>213</v>
      </c>
      <c r="F223" s="705" t="s">
        <v>3483</v>
      </c>
      <c r="G223" s="694" t="str">
        <f>Translations!$B$1793</f>
        <v>El Salvador</v>
      </c>
      <c r="H223" s="694"/>
      <c r="I223" s="694"/>
      <c r="J223" s="964"/>
      <c r="K223" s="964"/>
      <c r="L223" s="964"/>
      <c r="M223" s="964"/>
      <c r="N223" s="964"/>
      <c r="O223" s="428"/>
      <c r="W223" s="104"/>
    </row>
    <row r="224" spans="1:23" ht="12.75" customHeight="1" x14ac:dyDescent="0.35">
      <c r="A224" s="92"/>
      <c r="B224" s="144"/>
      <c r="C224" s="144"/>
      <c r="D224" s="964"/>
      <c r="E224" s="1000">
        <v>214</v>
      </c>
      <c r="F224" s="705" t="s">
        <v>3484</v>
      </c>
      <c r="G224" s="694" t="str">
        <f>Translations!$B$1794</f>
        <v>Sint Maarten (Dutch part)</v>
      </c>
      <c r="H224" s="694"/>
      <c r="I224" s="694"/>
      <c r="J224" s="964"/>
      <c r="K224" s="964"/>
      <c r="L224" s="964"/>
      <c r="M224" s="964"/>
      <c r="N224" s="964"/>
      <c r="O224" s="428"/>
      <c r="W224" s="104"/>
    </row>
    <row r="225" spans="1:23" ht="12.75" customHeight="1" x14ac:dyDescent="0.35">
      <c r="A225" s="92"/>
      <c r="B225" s="144"/>
      <c r="C225" s="144"/>
      <c r="D225" s="964"/>
      <c r="E225" s="1000">
        <v>215</v>
      </c>
      <c r="F225" s="705" t="s">
        <v>3485</v>
      </c>
      <c r="G225" s="694" t="str">
        <f>Translations!$B$1795</f>
        <v>Syrian Arab Republic</v>
      </c>
      <c r="H225" s="694"/>
      <c r="I225" s="694"/>
      <c r="J225" s="964"/>
      <c r="K225" s="964"/>
      <c r="L225" s="964"/>
      <c r="M225" s="964"/>
      <c r="N225" s="964"/>
      <c r="O225" s="428"/>
      <c r="W225" s="104"/>
    </row>
    <row r="226" spans="1:23" ht="12.75" customHeight="1" x14ac:dyDescent="0.35">
      <c r="A226" s="92"/>
      <c r="B226" s="144"/>
      <c r="C226" s="144"/>
      <c r="D226" s="964"/>
      <c r="E226" s="1000">
        <v>216</v>
      </c>
      <c r="F226" s="705" t="s">
        <v>3486</v>
      </c>
      <c r="G226" s="694" t="str">
        <f>Translations!$B$1796</f>
        <v>Swaziland</v>
      </c>
      <c r="H226" s="694"/>
      <c r="I226" s="694"/>
      <c r="J226" s="964"/>
      <c r="K226" s="964"/>
      <c r="L226" s="964"/>
      <c r="M226" s="964"/>
      <c r="N226" s="964"/>
      <c r="O226" s="428"/>
      <c r="W226" s="104"/>
    </row>
    <row r="227" spans="1:23" ht="12.75" customHeight="1" x14ac:dyDescent="0.35">
      <c r="A227" s="92"/>
      <c r="B227" s="144"/>
      <c r="C227" s="144"/>
      <c r="D227" s="964"/>
      <c r="E227" s="1000">
        <v>217</v>
      </c>
      <c r="F227" s="705" t="s">
        <v>3487</v>
      </c>
      <c r="G227" s="694" t="str">
        <f>Translations!$B$1797</f>
        <v>Turks and Caicos Islands</v>
      </c>
      <c r="H227" s="694"/>
      <c r="I227" s="694"/>
      <c r="J227" s="964"/>
      <c r="K227" s="964"/>
      <c r="L227" s="964"/>
      <c r="M227" s="964"/>
      <c r="N227" s="964"/>
      <c r="O227" s="428"/>
      <c r="W227" s="104"/>
    </row>
    <row r="228" spans="1:23" ht="12.75" customHeight="1" x14ac:dyDescent="0.35">
      <c r="A228" s="92"/>
      <c r="B228" s="144"/>
      <c r="C228" s="144"/>
      <c r="D228" s="964"/>
      <c r="E228" s="1000">
        <v>218</v>
      </c>
      <c r="F228" s="705" t="s">
        <v>3488</v>
      </c>
      <c r="G228" s="694" t="str">
        <f>Translations!$B$1798</f>
        <v>Chad</v>
      </c>
      <c r="H228" s="694"/>
      <c r="I228" s="694"/>
      <c r="J228" s="964"/>
      <c r="K228" s="964"/>
      <c r="L228" s="964"/>
      <c r="M228" s="964"/>
      <c r="N228" s="964"/>
      <c r="O228" s="428"/>
      <c r="W228" s="104"/>
    </row>
    <row r="229" spans="1:23" ht="12.75" customHeight="1" x14ac:dyDescent="0.35">
      <c r="A229" s="92"/>
      <c r="B229" s="144"/>
      <c r="C229" s="144"/>
      <c r="D229" s="964"/>
      <c r="E229" s="1000">
        <v>219</v>
      </c>
      <c r="F229" s="705" t="s">
        <v>3489</v>
      </c>
      <c r="G229" s="694" t="str">
        <f>Translations!$B$1799</f>
        <v>French Southern Territories</v>
      </c>
      <c r="H229" s="694"/>
      <c r="I229" s="694"/>
      <c r="J229" s="964"/>
      <c r="K229" s="964"/>
      <c r="L229" s="964"/>
      <c r="M229" s="964"/>
      <c r="N229" s="964"/>
      <c r="O229" s="428"/>
      <c r="W229" s="104"/>
    </row>
    <row r="230" spans="1:23" ht="12.75" customHeight="1" x14ac:dyDescent="0.35">
      <c r="A230" s="92"/>
      <c r="B230" s="144"/>
      <c r="C230" s="144"/>
      <c r="D230" s="964"/>
      <c r="E230" s="1000">
        <v>220</v>
      </c>
      <c r="F230" s="705" t="s">
        <v>3490</v>
      </c>
      <c r="G230" s="694" t="str">
        <f>Translations!$B$1800</f>
        <v>Togo</v>
      </c>
      <c r="H230" s="694"/>
      <c r="I230" s="694"/>
      <c r="J230" s="964"/>
      <c r="K230" s="964"/>
      <c r="L230" s="964"/>
      <c r="M230" s="964"/>
      <c r="N230" s="964"/>
      <c r="O230" s="428"/>
      <c r="W230" s="104"/>
    </row>
    <row r="231" spans="1:23" ht="12.75" customHeight="1" x14ac:dyDescent="0.35">
      <c r="A231" s="92"/>
      <c r="B231" s="144"/>
      <c r="C231" s="144"/>
      <c r="D231" s="964"/>
      <c r="E231" s="1000">
        <v>221</v>
      </c>
      <c r="F231" s="705" t="s">
        <v>3491</v>
      </c>
      <c r="G231" s="694" t="str">
        <f>Translations!$B$1801</f>
        <v>Thailand</v>
      </c>
      <c r="H231" s="694"/>
      <c r="I231" s="694"/>
      <c r="J231" s="964"/>
      <c r="K231" s="964"/>
      <c r="L231" s="964"/>
      <c r="M231" s="964"/>
      <c r="N231" s="964"/>
      <c r="O231" s="428"/>
      <c r="W231" s="104"/>
    </row>
    <row r="232" spans="1:23" ht="12.75" customHeight="1" x14ac:dyDescent="0.35">
      <c r="A232" s="92"/>
      <c r="B232" s="144"/>
      <c r="C232" s="144"/>
      <c r="D232" s="964"/>
      <c r="E232" s="1000">
        <v>222</v>
      </c>
      <c r="F232" s="705" t="s">
        <v>118</v>
      </c>
      <c r="G232" s="694" t="str">
        <f>Translations!$B$1802</f>
        <v>Tajikistan</v>
      </c>
      <c r="H232" s="694"/>
      <c r="I232" s="694"/>
      <c r="J232" s="964"/>
      <c r="K232" s="964"/>
      <c r="L232" s="964"/>
      <c r="M232" s="964"/>
      <c r="N232" s="964"/>
      <c r="O232" s="428"/>
      <c r="W232" s="104"/>
    </row>
    <row r="233" spans="1:23" ht="12.75" customHeight="1" x14ac:dyDescent="0.35">
      <c r="A233" s="92"/>
      <c r="B233" s="144"/>
      <c r="C233" s="144"/>
      <c r="D233" s="964"/>
      <c r="E233" s="1000">
        <v>223</v>
      </c>
      <c r="F233" s="705" t="s">
        <v>3492</v>
      </c>
      <c r="G233" s="694" t="str">
        <f>Translations!$B$1803</f>
        <v>Tokelau</v>
      </c>
      <c r="H233" s="694"/>
      <c r="I233" s="694"/>
      <c r="J233" s="964"/>
      <c r="K233" s="964"/>
      <c r="L233" s="964"/>
      <c r="M233" s="964"/>
      <c r="N233" s="964"/>
      <c r="O233" s="428"/>
      <c r="W233" s="104"/>
    </row>
    <row r="234" spans="1:23" ht="12.75" customHeight="1" x14ac:dyDescent="0.35">
      <c r="A234" s="92"/>
      <c r="B234" s="144"/>
      <c r="C234" s="144"/>
      <c r="D234" s="964"/>
      <c r="E234" s="1000">
        <v>224</v>
      </c>
      <c r="F234" s="705" t="s">
        <v>3493</v>
      </c>
      <c r="G234" s="694" t="str">
        <f>Translations!$B$1804</f>
        <v>Timor-Leste</v>
      </c>
      <c r="H234" s="694"/>
      <c r="I234" s="694"/>
      <c r="J234" s="964"/>
      <c r="K234" s="964"/>
      <c r="L234" s="964"/>
      <c r="M234" s="964"/>
      <c r="N234" s="964"/>
      <c r="O234" s="428"/>
      <c r="W234" s="104"/>
    </row>
    <row r="235" spans="1:23" ht="12.75" customHeight="1" x14ac:dyDescent="0.35">
      <c r="A235" s="92"/>
      <c r="B235" s="144"/>
      <c r="C235" s="144"/>
      <c r="D235" s="964"/>
      <c r="E235" s="1000">
        <v>225</v>
      </c>
      <c r="F235" s="705" t="s">
        <v>3494</v>
      </c>
      <c r="G235" s="694" t="str">
        <f>Translations!$B$1805</f>
        <v>Turkmenistan</v>
      </c>
      <c r="H235" s="694"/>
      <c r="I235" s="694"/>
      <c r="J235" s="964"/>
      <c r="K235" s="964"/>
      <c r="L235" s="964"/>
      <c r="M235" s="964"/>
      <c r="N235" s="964"/>
      <c r="O235" s="428"/>
      <c r="W235" s="104"/>
    </row>
    <row r="236" spans="1:23" ht="12.75" customHeight="1" x14ac:dyDescent="0.35">
      <c r="A236" s="92"/>
      <c r="B236" s="144"/>
      <c r="C236" s="144"/>
      <c r="D236" s="964"/>
      <c r="E236" s="1000">
        <v>226</v>
      </c>
      <c r="F236" s="705" t="s">
        <v>3495</v>
      </c>
      <c r="G236" s="694" t="str">
        <f>Translations!$B$1806</f>
        <v>Tunisia</v>
      </c>
      <c r="H236" s="694"/>
      <c r="I236" s="694"/>
      <c r="J236" s="964"/>
      <c r="K236" s="964"/>
      <c r="L236" s="964"/>
      <c r="M236" s="964"/>
      <c r="N236" s="964"/>
      <c r="O236" s="428"/>
      <c r="W236" s="104"/>
    </row>
    <row r="237" spans="1:23" ht="12.75" customHeight="1" x14ac:dyDescent="0.35">
      <c r="A237" s="92"/>
      <c r="B237" s="144"/>
      <c r="C237" s="144"/>
      <c r="D237" s="964"/>
      <c r="E237" s="1000">
        <v>227</v>
      </c>
      <c r="F237" s="705" t="s">
        <v>3496</v>
      </c>
      <c r="G237" s="694" t="str">
        <f>Translations!$B$1807</f>
        <v>Tonga</v>
      </c>
      <c r="H237" s="694"/>
      <c r="I237" s="694"/>
      <c r="J237" s="964"/>
      <c r="K237" s="964"/>
      <c r="L237" s="964"/>
      <c r="M237" s="964"/>
      <c r="N237" s="964"/>
      <c r="O237" s="428"/>
      <c r="W237" s="104"/>
    </row>
    <row r="238" spans="1:23" ht="12.75" customHeight="1" x14ac:dyDescent="0.35">
      <c r="A238" s="92"/>
      <c r="B238" s="144"/>
      <c r="C238" s="144"/>
      <c r="D238" s="964"/>
      <c r="E238" s="1000">
        <v>228</v>
      </c>
      <c r="F238" s="705" t="s">
        <v>3497</v>
      </c>
      <c r="G238" s="694" t="str">
        <f>Translations!$B$1808</f>
        <v>East Timor</v>
      </c>
      <c r="H238" s="694"/>
      <c r="I238" s="694"/>
      <c r="J238" s="964"/>
      <c r="K238" s="964"/>
      <c r="L238" s="964"/>
      <c r="M238" s="964"/>
      <c r="N238" s="964"/>
      <c r="O238" s="428"/>
      <c r="W238" s="104"/>
    </row>
    <row r="239" spans="1:23" ht="12.75" customHeight="1" x14ac:dyDescent="0.35">
      <c r="A239" s="92"/>
      <c r="B239" s="144"/>
      <c r="C239" s="144"/>
      <c r="D239" s="964"/>
      <c r="E239" s="1000">
        <v>229</v>
      </c>
      <c r="F239" s="705" t="s">
        <v>3498</v>
      </c>
      <c r="G239" s="694" t="str">
        <f>Translations!$B$1809</f>
        <v>Türkiye</v>
      </c>
      <c r="H239" s="694"/>
      <c r="I239" s="694"/>
      <c r="J239" s="964"/>
      <c r="K239" s="964"/>
      <c r="L239" s="964"/>
      <c r="M239" s="964"/>
      <c r="N239" s="964"/>
      <c r="O239" s="428"/>
      <c r="W239" s="104"/>
    </row>
    <row r="240" spans="1:23" ht="12.75" customHeight="1" x14ac:dyDescent="0.35">
      <c r="A240" s="92"/>
      <c r="B240" s="144"/>
      <c r="C240" s="144"/>
      <c r="D240" s="964"/>
      <c r="E240" s="1000">
        <v>230</v>
      </c>
      <c r="F240" s="705" t="s">
        <v>3499</v>
      </c>
      <c r="G240" s="694" t="str">
        <f>Translations!$B$1810</f>
        <v>Trinidad and Tobago</v>
      </c>
      <c r="H240" s="694"/>
      <c r="I240" s="694"/>
      <c r="J240" s="964"/>
      <c r="K240" s="964"/>
      <c r="L240" s="964"/>
      <c r="M240" s="964"/>
      <c r="N240" s="964"/>
      <c r="O240" s="428"/>
      <c r="W240" s="104"/>
    </row>
    <row r="241" spans="1:23" ht="12.75" customHeight="1" x14ac:dyDescent="0.35">
      <c r="A241" s="92"/>
      <c r="B241" s="144"/>
      <c r="C241" s="144"/>
      <c r="D241" s="964"/>
      <c r="E241" s="1000">
        <v>231</v>
      </c>
      <c r="F241" s="705" t="s">
        <v>3500</v>
      </c>
      <c r="G241" s="694" t="str">
        <f>Translations!$B$1811</f>
        <v>Tuvalu</v>
      </c>
      <c r="H241" s="694"/>
      <c r="I241" s="694"/>
      <c r="J241" s="964"/>
      <c r="K241" s="964"/>
      <c r="L241" s="964"/>
      <c r="M241" s="964"/>
      <c r="N241" s="964"/>
      <c r="O241" s="428"/>
      <c r="W241" s="104"/>
    </row>
    <row r="242" spans="1:23" ht="12.75" customHeight="1" x14ac:dyDescent="0.35">
      <c r="A242" s="92"/>
      <c r="B242" s="144"/>
      <c r="C242" s="144"/>
      <c r="D242" s="964"/>
      <c r="E242" s="1000">
        <v>232</v>
      </c>
      <c r="F242" s="705" t="s">
        <v>3501</v>
      </c>
      <c r="G242" s="694" t="str">
        <f>Translations!$B$1812</f>
        <v>Taiwan</v>
      </c>
      <c r="H242" s="694"/>
      <c r="I242" s="694"/>
      <c r="J242" s="964"/>
      <c r="K242" s="964"/>
      <c r="L242" s="964"/>
      <c r="M242" s="964"/>
      <c r="N242" s="964"/>
      <c r="O242" s="428"/>
      <c r="W242" s="104"/>
    </row>
    <row r="243" spans="1:23" ht="12.75" customHeight="1" x14ac:dyDescent="0.35">
      <c r="A243" s="92"/>
      <c r="B243" s="144"/>
      <c r="C243" s="144"/>
      <c r="D243" s="964"/>
      <c r="E243" s="1000">
        <v>233</v>
      </c>
      <c r="F243" s="705" t="s">
        <v>3502</v>
      </c>
      <c r="G243" s="694" t="str">
        <f>Translations!$B$1813</f>
        <v>Tanzania, United Republic of</v>
      </c>
      <c r="H243" s="694"/>
      <c r="I243" s="694"/>
      <c r="J243" s="964"/>
      <c r="K243" s="964"/>
      <c r="L243" s="964"/>
      <c r="M243" s="964"/>
      <c r="N243" s="964"/>
      <c r="O243" s="428"/>
      <c r="W243" s="104"/>
    </row>
    <row r="244" spans="1:23" ht="12.75" customHeight="1" x14ac:dyDescent="0.35">
      <c r="A244" s="92"/>
      <c r="B244" s="144"/>
      <c r="C244" s="144"/>
      <c r="D244" s="964"/>
      <c r="E244" s="1000">
        <v>234</v>
      </c>
      <c r="F244" s="705" t="s">
        <v>3503</v>
      </c>
      <c r="G244" s="694" t="str">
        <f>Translations!$B$1814</f>
        <v>Ukraine</v>
      </c>
      <c r="H244" s="694"/>
      <c r="I244" s="694"/>
      <c r="J244" s="964"/>
      <c r="K244" s="964"/>
      <c r="L244" s="964"/>
      <c r="M244" s="964"/>
      <c r="N244" s="964"/>
      <c r="O244" s="428"/>
      <c r="W244" s="104"/>
    </row>
    <row r="245" spans="1:23" ht="12.75" customHeight="1" x14ac:dyDescent="0.35">
      <c r="A245" s="92"/>
      <c r="B245" s="144"/>
      <c r="C245" s="144"/>
      <c r="D245" s="964"/>
      <c r="E245" s="1000">
        <v>235</v>
      </c>
      <c r="F245" s="705" t="s">
        <v>3504</v>
      </c>
      <c r="G245" s="694" t="str">
        <f>Translations!$B$1815</f>
        <v>Uganda</v>
      </c>
      <c r="H245" s="694"/>
      <c r="I245" s="694"/>
      <c r="J245" s="964"/>
      <c r="K245" s="964"/>
      <c r="L245" s="964"/>
      <c r="M245" s="964"/>
      <c r="N245" s="964"/>
      <c r="O245" s="428"/>
      <c r="W245" s="104"/>
    </row>
    <row r="246" spans="1:23" ht="12.75" customHeight="1" x14ac:dyDescent="0.35">
      <c r="A246" s="92"/>
      <c r="B246" s="144"/>
      <c r="C246" s="144"/>
      <c r="D246" s="964"/>
      <c r="E246" s="1000">
        <v>236</v>
      </c>
      <c r="F246" s="705" t="s">
        <v>3505</v>
      </c>
      <c r="G246" s="694" t="str">
        <f>Translations!$B$1816</f>
        <v>United States Minor Outlying Island</v>
      </c>
      <c r="H246" s="694"/>
      <c r="I246" s="694"/>
      <c r="J246" s="964"/>
      <c r="K246" s="964"/>
      <c r="L246" s="964"/>
      <c r="M246" s="964"/>
      <c r="N246" s="964"/>
      <c r="O246" s="428"/>
      <c r="W246" s="104"/>
    </row>
    <row r="247" spans="1:23" ht="12.75" customHeight="1" x14ac:dyDescent="0.35">
      <c r="A247" s="92"/>
      <c r="B247" s="144"/>
      <c r="C247" s="144"/>
      <c r="D247" s="964"/>
      <c r="E247" s="1000">
        <v>237</v>
      </c>
      <c r="F247" s="705" t="s">
        <v>3032</v>
      </c>
      <c r="G247" s="694" t="str">
        <f>Translations!$B$1817</f>
        <v>United States</v>
      </c>
      <c r="H247" s="694"/>
      <c r="I247" s="694"/>
      <c r="J247" s="964"/>
      <c r="K247" s="964"/>
      <c r="L247" s="964"/>
      <c r="M247" s="964"/>
      <c r="N247" s="964"/>
      <c r="O247" s="428"/>
      <c r="W247" s="104"/>
    </row>
    <row r="248" spans="1:23" ht="12.75" customHeight="1" x14ac:dyDescent="0.35">
      <c r="A248" s="92"/>
      <c r="B248" s="144"/>
      <c r="C248" s="144"/>
      <c r="D248" s="964"/>
      <c r="E248" s="1000">
        <v>238</v>
      </c>
      <c r="F248" s="705" t="s">
        <v>3506</v>
      </c>
      <c r="G248" s="694" t="str">
        <f>Translations!$B$1818</f>
        <v>Uruguay</v>
      </c>
      <c r="H248" s="694"/>
      <c r="I248" s="694"/>
      <c r="J248" s="964"/>
      <c r="K248" s="964"/>
      <c r="L248" s="964"/>
      <c r="M248" s="964"/>
      <c r="N248" s="964"/>
      <c r="O248" s="428"/>
      <c r="W248" s="104"/>
    </row>
    <row r="249" spans="1:23" ht="12.75" customHeight="1" x14ac:dyDescent="0.35">
      <c r="A249" s="92"/>
      <c r="B249" s="144"/>
      <c r="C249" s="144"/>
      <c r="D249" s="964"/>
      <c r="E249" s="1000">
        <v>239</v>
      </c>
      <c r="F249" s="705" t="s">
        <v>3507</v>
      </c>
      <c r="G249" s="694" t="str">
        <f>Translations!$B$1819</f>
        <v>Uzbekistan</v>
      </c>
      <c r="H249" s="694"/>
      <c r="I249" s="694"/>
      <c r="J249" s="964"/>
      <c r="K249" s="964"/>
      <c r="L249" s="964"/>
      <c r="M249" s="964"/>
      <c r="N249" s="964"/>
      <c r="O249" s="428"/>
      <c r="W249" s="104"/>
    </row>
    <row r="250" spans="1:23" ht="12.75" customHeight="1" x14ac:dyDescent="0.35">
      <c r="A250" s="92"/>
      <c r="B250" s="144"/>
      <c r="C250" s="144"/>
      <c r="D250" s="964"/>
      <c r="E250" s="1000">
        <v>240</v>
      </c>
      <c r="F250" s="705" t="s">
        <v>3508</v>
      </c>
      <c r="G250" s="694" t="str">
        <f>Translations!$B$1820</f>
        <v>Vatican City</v>
      </c>
      <c r="H250" s="694"/>
      <c r="I250" s="694"/>
      <c r="J250" s="964"/>
      <c r="K250" s="964"/>
      <c r="L250" s="964"/>
      <c r="M250" s="964"/>
      <c r="N250" s="964"/>
      <c r="O250" s="428"/>
      <c r="W250" s="104"/>
    </row>
    <row r="251" spans="1:23" ht="12.75" customHeight="1" x14ac:dyDescent="0.35">
      <c r="A251" s="92"/>
      <c r="B251" s="144"/>
      <c r="C251" s="144"/>
      <c r="D251" s="964"/>
      <c r="E251" s="1000">
        <v>241</v>
      </c>
      <c r="F251" s="705" t="s">
        <v>3509</v>
      </c>
      <c r="G251" s="694" t="str">
        <f>Translations!$B$1821</f>
        <v>St Vincent</v>
      </c>
      <c r="H251" s="694"/>
      <c r="I251" s="694"/>
      <c r="J251" s="964"/>
      <c r="K251" s="964"/>
      <c r="L251" s="964"/>
      <c r="M251" s="964"/>
      <c r="N251" s="964"/>
      <c r="O251" s="428"/>
      <c r="W251" s="104"/>
    </row>
    <row r="252" spans="1:23" ht="12.75" customHeight="1" x14ac:dyDescent="0.35">
      <c r="A252" s="92"/>
      <c r="B252" s="144"/>
      <c r="C252" s="144"/>
      <c r="D252" s="964"/>
      <c r="E252" s="1000">
        <v>242</v>
      </c>
      <c r="F252" s="705" t="s">
        <v>3510</v>
      </c>
      <c r="G252" s="694" t="str">
        <f>Translations!$B$1822</f>
        <v>Venezuela</v>
      </c>
      <c r="H252" s="694"/>
      <c r="I252" s="694"/>
      <c r="J252" s="964"/>
      <c r="K252" s="964"/>
      <c r="L252" s="964"/>
      <c r="M252" s="964"/>
      <c r="N252" s="964"/>
      <c r="O252" s="428"/>
      <c r="W252" s="104"/>
    </row>
    <row r="253" spans="1:23" ht="12.75" customHeight="1" x14ac:dyDescent="0.35">
      <c r="A253" s="92"/>
      <c r="B253" s="144"/>
      <c r="C253" s="144"/>
      <c r="D253" s="964"/>
      <c r="E253" s="1000">
        <v>243</v>
      </c>
      <c r="F253" s="705" t="s">
        <v>3511</v>
      </c>
      <c r="G253" s="694" t="str">
        <f>Translations!$B$1823</f>
        <v>British Virgin Islands</v>
      </c>
      <c r="H253" s="694"/>
      <c r="I253" s="694"/>
      <c r="J253" s="964"/>
      <c r="K253" s="964"/>
      <c r="L253" s="964"/>
      <c r="M253" s="964"/>
      <c r="N253" s="964"/>
      <c r="O253" s="428"/>
      <c r="W253" s="104"/>
    </row>
    <row r="254" spans="1:23" ht="12.75" customHeight="1" x14ac:dyDescent="0.35">
      <c r="A254" s="92"/>
      <c r="B254" s="144"/>
      <c r="C254" s="144"/>
      <c r="D254" s="964"/>
      <c r="E254" s="1000">
        <v>244</v>
      </c>
      <c r="F254" s="705" t="s">
        <v>3512</v>
      </c>
      <c r="G254" s="694" t="str">
        <f>Translations!$B$1824</f>
        <v>US Virgin Islands</v>
      </c>
      <c r="H254" s="694"/>
      <c r="I254" s="694"/>
      <c r="J254" s="964"/>
      <c r="K254" s="964"/>
      <c r="L254" s="964"/>
      <c r="M254" s="964"/>
      <c r="N254" s="964"/>
      <c r="O254" s="428"/>
      <c r="W254" s="104"/>
    </row>
    <row r="255" spans="1:23" ht="12.75" customHeight="1" x14ac:dyDescent="0.35">
      <c r="A255" s="92"/>
      <c r="B255" s="144"/>
      <c r="C255" s="144"/>
      <c r="D255" s="964"/>
      <c r="E255" s="1000">
        <v>245</v>
      </c>
      <c r="F255" s="705" t="s">
        <v>3513</v>
      </c>
      <c r="G255" s="694" t="str">
        <f>Translations!$B$1825</f>
        <v>Vietnam</v>
      </c>
      <c r="H255" s="694"/>
      <c r="I255" s="694"/>
      <c r="J255" s="964"/>
      <c r="K255" s="964"/>
      <c r="L255" s="964"/>
      <c r="M255" s="964"/>
      <c r="N255" s="964"/>
      <c r="O255" s="428"/>
      <c r="W255" s="104"/>
    </row>
    <row r="256" spans="1:23" ht="12.75" customHeight="1" x14ac:dyDescent="0.35">
      <c r="A256" s="92"/>
      <c r="B256" s="144"/>
      <c r="C256" s="144"/>
      <c r="D256" s="964"/>
      <c r="E256" s="1000">
        <v>246</v>
      </c>
      <c r="F256" s="705" t="s">
        <v>3514</v>
      </c>
      <c r="G256" s="694" t="str">
        <f>Translations!$B$1826</f>
        <v>Vanuatu</v>
      </c>
      <c r="H256" s="694"/>
      <c r="I256" s="694"/>
      <c r="J256" s="964"/>
      <c r="K256" s="964"/>
      <c r="L256" s="964"/>
      <c r="M256" s="964"/>
      <c r="N256" s="964"/>
      <c r="O256" s="428"/>
      <c r="W256" s="104"/>
    </row>
    <row r="257" spans="1:23" ht="12.75" customHeight="1" x14ac:dyDescent="0.35">
      <c r="A257" s="92"/>
      <c r="B257" s="144"/>
      <c r="C257" s="144"/>
      <c r="D257" s="964"/>
      <c r="E257" s="1000">
        <v>247</v>
      </c>
      <c r="F257" s="705" t="s">
        <v>3515</v>
      </c>
      <c r="G257" s="694" t="str">
        <f>Translations!$B$1827</f>
        <v>Wallis and Futuna Islands</v>
      </c>
      <c r="H257" s="694"/>
      <c r="I257" s="694"/>
      <c r="J257" s="964"/>
      <c r="K257" s="964"/>
      <c r="L257" s="964"/>
      <c r="M257" s="964"/>
      <c r="N257" s="964"/>
      <c r="O257" s="428"/>
      <c r="W257" s="104"/>
    </row>
    <row r="258" spans="1:23" ht="12.75" customHeight="1" x14ac:dyDescent="0.35">
      <c r="A258" s="92"/>
      <c r="B258" s="144"/>
      <c r="C258" s="144"/>
      <c r="D258" s="964"/>
      <c r="E258" s="1000">
        <v>248</v>
      </c>
      <c r="F258" s="705" t="s">
        <v>3516</v>
      </c>
      <c r="G258" s="694" t="str">
        <f>Translations!$B$1828</f>
        <v>Samoa</v>
      </c>
      <c r="H258" s="694"/>
      <c r="I258" s="694"/>
      <c r="J258" s="964"/>
      <c r="K258" s="964"/>
      <c r="L258" s="964"/>
      <c r="M258" s="964"/>
      <c r="N258" s="964"/>
      <c r="O258" s="428"/>
      <c r="W258" s="104"/>
    </row>
    <row r="259" spans="1:23" ht="12.75" customHeight="1" x14ac:dyDescent="0.35">
      <c r="A259" s="92"/>
      <c r="B259" s="144"/>
      <c r="C259" s="144"/>
      <c r="D259" s="964"/>
      <c r="E259" s="1000">
        <v>249</v>
      </c>
      <c r="F259" s="705" t="s">
        <v>3517</v>
      </c>
      <c r="G259" s="694" t="str">
        <f>Translations!$B$1829</f>
        <v>American Oceania</v>
      </c>
      <c r="H259" s="694"/>
      <c r="I259" s="694"/>
      <c r="J259" s="964"/>
      <c r="K259" s="964"/>
      <c r="L259" s="964"/>
      <c r="M259" s="964"/>
      <c r="N259" s="964"/>
      <c r="O259" s="428"/>
      <c r="W259" s="104"/>
    </row>
    <row r="260" spans="1:23" ht="12.75" customHeight="1" x14ac:dyDescent="0.35">
      <c r="A260" s="92"/>
      <c r="B260" s="144"/>
      <c r="C260" s="144"/>
      <c r="D260" s="964"/>
      <c r="E260" s="1000">
        <v>250</v>
      </c>
      <c r="F260" s="705" t="s">
        <v>3518</v>
      </c>
      <c r="G260" s="694" t="str">
        <f>Translations!$B$1830</f>
        <v>Ceuta</v>
      </c>
      <c r="H260" s="694"/>
      <c r="I260" s="694"/>
      <c r="J260" s="964"/>
      <c r="K260" s="964"/>
      <c r="L260" s="964"/>
      <c r="M260" s="964"/>
      <c r="N260" s="964"/>
      <c r="O260" s="428"/>
      <c r="W260" s="104"/>
    </row>
    <row r="261" spans="1:23" ht="12.75" customHeight="1" x14ac:dyDescent="0.35">
      <c r="A261" s="92"/>
      <c r="B261" s="144"/>
      <c r="C261" s="144"/>
      <c r="D261" s="964"/>
      <c r="E261" s="1000">
        <v>251</v>
      </c>
      <c r="F261" s="705" t="s">
        <v>3519</v>
      </c>
      <c r="G261" s="694" t="str">
        <f>Translations!$B$1831</f>
        <v>United Kingdom (Northern Ireland)</v>
      </c>
      <c r="H261" s="694"/>
      <c r="I261" s="694"/>
      <c r="J261" s="964"/>
      <c r="K261" s="964"/>
      <c r="L261" s="964"/>
      <c r="M261" s="964"/>
      <c r="N261" s="964"/>
      <c r="O261" s="428"/>
      <c r="W261" s="104"/>
    </row>
    <row r="262" spans="1:23" ht="12.75" customHeight="1" x14ac:dyDescent="0.35">
      <c r="A262" s="92"/>
      <c r="B262" s="144"/>
      <c r="C262" s="144"/>
      <c r="D262" s="964"/>
      <c r="E262" s="1000">
        <v>252</v>
      </c>
      <c r="F262" s="705" t="s">
        <v>3520</v>
      </c>
      <c r="G262" s="694" t="str">
        <f>Translations!$B$1832</f>
        <v>Kosovo</v>
      </c>
      <c r="H262" s="694"/>
      <c r="I262" s="694"/>
      <c r="J262" s="964"/>
      <c r="K262" s="964"/>
      <c r="L262" s="964"/>
      <c r="M262" s="964"/>
      <c r="N262" s="964"/>
      <c r="O262" s="428"/>
      <c r="W262" s="104"/>
    </row>
    <row r="263" spans="1:23" ht="12.75" customHeight="1" x14ac:dyDescent="0.35">
      <c r="A263" s="92"/>
      <c r="B263" s="144"/>
      <c r="C263" s="144"/>
      <c r="D263" s="964"/>
      <c r="E263" s="1000">
        <v>253</v>
      </c>
      <c r="F263" s="705" t="s">
        <v>3521</v>
      </c>
      <c r="G263" s="694" t="str">
        <f>Translations!$B$1833</f>
        <v>Melilla</v>
      </c>
      <c r="H263" s="694"/>
      <c r="I263" s="694"/>
      <c r="J263" s="964"/>
      <c r="K263" s="964"/>
      <c r="L263" s="964"/>
      <c r="M263" s="964"/>
      <c r="N263" s="964"/>
      <c r="O263" s="428"/>
      <c r="W263" s="104"/>
    </row>
    <row r="264" spans="1:23" ht="12.75" customHeight="1" x14ac:dyDescent="0.35">
      <c r="A264" s="92"/>
      <c r="B264" s="144"/>
      <c r="C264" s="144"/>
      <c r="D264" s="964"/>
      <c r="E264" s="1000">
        <v>254</v>
      </c>
      <c r="F264" s="705" t="s">
        <v>3522</v>
      </c>
      <c r="G264" s="694" t="str">
        <f>Translations!$B$1706</f>
        <v>Montenegro</v>
      </c>
      <c r="H264" s="694"/>
      <c r="I264" s="694"/>
      <c r="J264" s="964"/>
      <c r="K264" s="964"/>
      <c r="L264" s="964"/>
      <c r="M264" s="964"/>
      <c r="N264" s="964"/>
      <c r="O264" s="428"/>
      <c r="W264" s="104"/>
    </row>
    <row r="265" spans="1:23" ht="12.75" customHeight="1" x14ac:dyDescent="0.35">
      <c r="A265" s="92"/>
      <c r="B265" s="144"/>
      <c r="C265" s="144"/>
      <c r="D265" s="964"/>
      <c r="E265" s="1000">
        <v>255</v>
      </c>
      <c r="F265" s="705" t="s">
        <v>3523</v>
      </c>
      <c r="G265" s="694" t="str">
        <f>Translations!$B$1834</f>
        <v>Australian Oceania</v>
      </c>
      <c r="H265" s="694"/>
      <c r="I265" s="694"/>
      <c r="J265" s="964"/>
      <c r="K265" s="964"/>
      <c r="L265" s="964"/>
      <c r="M265" s="964"/>
      <c r="N265" s="964"/>
      <c r="O265" s="428"/>
      <c r="W265" s="104"/>
    </row>
    <row r="266" spans="1:23" ht="12.75" customHeight="1" x14ac:dyDescent="0.35">
      <c r="A266" s="92"/>
      <c r="B266" s="144"/>
      <c r="C266" s="144"/>
      <c r="D266" s="964"/>
      <c r="E266" s="1000">
        <v>256</v>
      </c>
      <c r="F266" s="705" t="s">
        <v>3524</v>
      </c>
      <c r="G266" s="694" t="str">
        <f>Translations!$B$1835</f>
        <v>West Bank and Gaza Strip</v>
      </c>
      <c r="H266" s="694"/>
      <c r="I266" s="694"/>
      <c r="J266" s="964"/>
      <c r="K266" s="964"/>
      <c r="L266" s="964"/>
      <c r="M266" s="964"/>
      <c r="N266" s="964"/>
      <c r="O266" s="428"/>
      <c r="W266" s="104"/>
    </row>
    <row r="267" spans="1:23" ht="12.75" customHeight="1" x14ac:dyDescent="0.35">
      <c r="A267" s="92"/>
      <c r="B267" s="144"/>
      <c r="C267" s="144"/>
      <c r="D267" s="964"/>
      <c r="E267" s="1000">
        <v>257</v>
      </c>
      <c r="F267" s="705" t="s">
        <v>3525</v>
      </c>
      <c r="G267" s="694" t="str">
        <f>Translations!$B$1836</f>
        <v>Polar regions</v>
      </c>
      <c r="H267" s="694"/>
      <c r="I267" s="694"/>
      <c r="J267" s="964"/>
      <c r="K267" s="964"/>
      <c r="L267" s="964"/>
      <c r="M267" s="964"/>
      <c r="N267" s="964"/>
      <c r="O267" s="428"/>
      <c r="W267" s="104"/>
    </row>
    <row r="268" spans="1:23" ht="12.75" customHeight="1" x14ac:dyDescent="0.35">
      <c r="A268" s="92"/>
      <c r="B268" s="144"/>
      <c r="C268" s="144"/>
      <c r="D268" s="964"/>
      <c r="E268" s="1000">
        <v>258</v>
      </c>
      <c r="F268" s="705" t="s">
        <v>3526</v>
      </c>
      <c r="G268" s="694" t="str">
        <f>Translations!$B$1776</f>
        <v>Serbia</v>
      </c>
      <c r="H268" s="694"/>
      <c r="I268" s="694"/>
      <c r="J268" s="964"/>
      <c r="K268" s="964"/>
      <c r="L268" s="964"/>
      <c r="M268" s="964"/>
      <c r="N268" s="964"/>
      <c r="O268" s="428"/>
      <c r="W268" s="104"/>
    </row>
    <row r="269" spans="1:23" ht="12.75" customHeight="1" x14ac:dyDescent="0.35">
      <c r="A269" s="92"/>
      <c r="B269" s="144"/>
      <c r="C269" s="144"/>
      <c r="D269" s="964"/>
      <c r="E269" s="1000">
        <v>259</v>
      </c>
      <c r="F269" s="705" t="s">
        <v>3527</v>
      </c>
      <c r="G269" s="694" t="str">
        <f>Translations!$B$1837</f>
        <v>New Zealand Oceania</v>
      </c>
      <c r="H269" s="694"/>
      <c r="I269" s="694"/>
      <c r="J269" s="964"/>
      <c r="K269" s="964"/>
      <c r="L269" s="964"/>
      <c r="M269" s="964"/>
      <c r="N269" s="964"/>
      <c r="O269" s="428"/>
      <c r="W269" s="104"/>
    </row>
    <row r="270" spans="1:23" ht="12.75" customHeight="1" x14ac:dyDescent="0.35">
      <c r="A270" s="92"/>
      <c r="B270" s="144"/>
      <c r="C270" s="144"/>
      <c r="D270" s="964"/>
      <c r="E270" s="1000">
        <v>260</v>
      </c>
      <c r="F270" s="705" t="s">
        <v>3528</v>
      </c>
      <c r="G270" s="694" t="str">
        <f>Translations!$B$1838</f>
        <v>Yemen</v>
      </c>
      <c r="H270" s="694"/>
      <c r="I270" s="694"/>
      <c r="J270" s="964"/>
      <c r="K270" s="964"/>
      <c r="L270" s="964"/>
      <c r="M270" s="964"/>
      <c r="N270" s="964"/>
      <c r="O270" s="428"/>
      <c r="W270" s="104"/>
    </row>
    <row r="271" spans="1:23" ht="12.75" customHeight="1" x14ac:dyDescent="0.35">
      <c r="A271" s="92"/>
      <c r="B271" s="144"/>
      <c r="C271" s="144"/>
      <c r="D271" s="964"/>
      <c r="E271" s="1000">
        <v>261</v>
      </c>
      <c r="F271" s="705" t="s">
        <v>3529</v>
      </c>
      <c r="G271" s="694" t="str">
        <f>Translations!$B$1839</f>
        <v>Mayotte</v>
      </c>
      <c r="H271" s="694"/>
      <c r="I271" s="694"/>
      <c r="J271" s="964"/>
      <c r="K271" s="964"/>
      <c r="L271" s="964"/>
      <c r="M271" s="964"/>
      <c r="N271" s="964"/>
      <c r="O271" s="428"/>
      <c r="W271" s="104"/>
    </row>
    <row r="272" spans="1:23" ht="12.75" customHeight="1" x14ac:dyDescent="0.35">
      <c r="A272" s="92"/>
      <c r="B272" s="144"/>
      <c r="C272" s="144"/>
      <c r="D272" s="964"/>
      <c r="E272" s="1000">
        <v>262</v>
      </c>
      <c r="F272" s="705" t="s">
        <v>3530</v>
      </c>
      <c r="G272" s="694" t="str">
        <f>Translations!$B$1840</f>
        <v>Federal Republic of Yugoslavia</v>
      </c>
      <c r="H272" s="694"/>
      <c r="I272" s="694"/>
      <c r="J272" s="964"/>
      <c r="K272" s="964"/>
      <c r="L272" s="964"/>
      <c r="M272" s="964"/>
      <c r="N272" s="964"/>
      <c r="O272" s="428"/>
      <c r="W272" s="104"/>
    </row>
    <row r="273" spans="1:23" ht="12.75" customHeight="1" x14ac:dyDescent="0.35">
      <c r="A273" s="92"/>
      <c r="B273" s="144"/>
      <c r="C273" s="144"/>
      <c r="D273" s="964"/>
      <c r="E273" s="1000">
        <v>263</v>
      </c>
      <c r="F273" s="705" t="s">
        <v>3531</v>
      </c>
      <c r="G273" s="694" t="str">
        <f>Translations!$B$1841</f>
        <v>South Africa</v>
      </c>
      <c r="H273" s="694"/>
      <c r="I273" s="694"/>
      <c r="J273" s="964"/>
      <c r="K273" s="964"/>
      <c r="L273" s="964"/>
      <c r="M273" s="964"/>
      <c r="N273" s="964"/>
      <c r="O273" s="428"/>
      <c r="W273" s="104"/>
    </row>
    <row r="274" spans="1:23" ht="12.75" customHeight="1" x14ac:dyDescent="0.35">
      <c r="A274" s="92"/>
      <c r="B274" s="144"/>
      <c r="C274" s="144"/>
      <c r="D274" s="964"/>
      <c r="E274" s="1000">
        <v>264</v>
      </c>
      <c r="F274" s="705" t="s">
        <v>3532</v>
      </c>
      <c r="G274" s="694" t="str">
        <f>Translations!$B$1842</f>
        <v>Zambia</v>
      </c>
      <c r="H274" s="694"/>
      <c r="I274" s="694"/>
      <c r="J274" s="964"/>
      <c r="K274" s="964"/>
      <c r="L274" s="964"/>
      <c r="M274" s="964"/>
      <c r="N274" s="964"/>
      <c r="O274" s="428"/>
      <c r="W274" s="104"/>
    </row>
    <row r="275" spans="1:23" ht="12.75" customHeight="1" x14ac:dyDescent="0.35">
      <c r="A275" s="92"/>
      <c r="B275" s="144"/>
      <c r="C275" s="144"/>
      <c r="D275" s="964"/>
      <c r="E275" s="1000">
        <v>265</v>
      </c>
      <c r="F275" s="705" t="s">
        <v>3533</v>
      </c>
      <c r="G275" s="694" t="str">
        <f>Translations!$B$1843</f>
        <v>Zaire</v>
      </c>
      <c r="H275" s="694"/>
      <c r="I275" s="694"/>
      <c r="J275" s="964"/>
      <c r="K275" s="964"/>
      <c r="L275" s="964"/>
      <c r="M275" s="964"/>
      <c r="N275" s="964"/>
      <c r="O275" s="428"/>
      <c r="W275" s="104"/>
    </row>
    <row r="276" spans="1:23" ht="12.75" customHeight="1" x14ac:dyDescent="0.35">
      <c r="A276" s="92"/>
      <c r="B276" s="144"/>
      <c r="C276" s="144"/>
      <c r="D276" s="964"/>
      <c r="E276" s="1000">
        <v>266</v>
      </c>
      <c r="F276" s="706" t="s">
        <v>3534</v>
      </c>
      <c r="G276" s="696" t="str">
        <f>Translations!$B$1844</f>
        <v>Zimbabwe</v>
      </c>
      <c r="H276" s="696"/>
      <c r="I276" s="696"/>
      <c r="J276" s="964"/>
      <c r="K276" s="964"/>
      <c r="L276" s="964"/>
      <c r="M276" s="964"/>
      <c r="N276" s="964"/>
      <c r="O276" s="428"/>
      <c r="W276" s="104"/>
    </row>
    <row r="277" spans="1:23" ht="12.75" customHeight="1" x14ac:dyDescent="0.35">
      <c r="A277" s="92"/>
      <c r="B277" s="144"/>
      <c r="C277" s="144"/>
      <c r="D277" s="964"/>
      <c r="E277" s="964"/>
      <c r="F277" s="964"/>
      <c r="G277" s="964"/>
      <c r="H277" s="964"/>
      <c r="I277" s="964"/>
      <c r="J277" s="964"/>
      <c r="K277" s="964"/>
      <c r="L277" s="964"/>
      <c r="M277" s="964"/>
      <c r="N277" s="964"/>
      <c r="O277" s="428"/>
      <c r="W277" s="104"/>
    </row>
    <row r="278" spans="1:23" ht="12.75" customHeight="1" x14ac:dyDescent="0.35">
      <c r="A278" s="92"/>
      <c r="B278" s="144"/>
      <c r="C278" s="144"/>
      <c r="D278" s="144"/>
      <c r="E278" s="144"/>
      <c r="F278" s="144"/>
      <c r="G278" s="144"/>
      <c r="H278" s="144"/>
      <c r="I278" s="144"/>
      <c r="J278" s="144"/>
      <c r="K278" s="144"/>
      <c r="L278" s="144"/>
      <c r="M278" s="144"/>
      <c r="N278" s="144"/>
      <c r="O278" s="428"/>
      <c r="W278" s="104"/>
    </row>
    <row r="279" spans="1:23" ht="18" customHeight="1" x14ac:dyDescent="0.35">
      <c r="A279" s="912">
        <f>C279</f>
        <v>2</v>
      </c>
      <c r="B279" s="144"/>
      <c r="C279" s="1001">
        <v>2</v>
      </c>
      <c r="D279" s="1002" t="str">
        <f>Translations!$B$1845</f>
        <v>Common Nomenclature Codes for CBAM goods</v>
      </c>
      <c r="E279" s="1002"/>
      <c r="F279" s="1003"/>
      <c r="G279" s="1003"/>
      <c r="H279" s="1003"/>
      <c r="I279" s="1003"/>
      <c r="J279" s="1003"/>
      <c r="K279" s="1003"/>
      <c r="L279" s="1003"/>
      <c r="M279" s="1003"/>
      <c r="N279" s="1003"/>
      <c r="O279" s="428"/>
      <c r="R279" s="102" t="s">
        <v>305</v>
      </c>
      <c r="S279" s="105">
        <f>C279</f>
        <v>2</v>
      </c>
      <c r="W279" s="104"/>
    </row>
    <row r="280" spans="1:23" ht="5.15" customHeight="1" x14ac:dyDescent="0.25">
      <c r="A280" s="92"/>
      <c r="B280" s="144"/>
      <c r="C280" s="144"/>
      <c r="D280" s="914"/>
      <c r="E280" s="915"/>
      <c r="F280" s="915"/>
      <c r="G280" s="915"/>
      <c r="H280" s="915"/>
      <c r="I280" s="915"/>
      <c r="J280" s="915"/>
      <c r="K280" s="915"/>
      <c r="L280" s="915"/>
      <c r="M280" s="915"/>
      <c r="N280" s="144"/>
      <c r="O280" s="428"/>
      <c r="S280" s="110"/>
    </row>
    <row r="281" spans="1:23" ht="5.15" customHeight="1" x14ac:dyDescent="0.25">
      <c r="A281" s="92"/>
      <c r="B281" s="144"/>
      <c r="C281" s="144"/>
      <c r="D281" s="969"/>
      <c r="E281" s="970"/>
      <c r="F281" s="970"/>
      <c r="G281" s="970"/>
      <c r="H281" s="970"/>
      <c r="I281" s="970"/>
      <c r="J281" s="970"/>
      <c r="K281" s="970"/>
      <c r="L281" s="970"/>
      <c r="M281" s="970"/>
      <c r="N281" s="913"/>
      <c r="O281" s="428"/>
      <c r="S281" s="110"/>
    </row>
    <row r="282" spans="1:23" ht="13.15" customHeight="1" x14ac:dyDescent="0.3">
      <c r="A282" s="92"/>
      <c r="B282" s="144"/>
      <c r="C282" s="948"/>
      <c r="D282" s="950"/>
      <c r="E282" s="1221" t="str">
        <f>Translations!$B$1846</f>
        <v>The list below shows the CN codes and corresponding names of all CBAM goods and the aggregated goods category to which the CN code pertains.</v>
      </c>
      <c r="F282" s="1221"/>
      <c r="G282" s="1221"/>
      <c r="H282" s="1221"/>
      <c r="I282" s="1221"/>
      <c r="J282" s="1221"/>
      <c r="K282" s="1221"/>
      <c r="L282" s="1221"/>
      <c r="M282" s="1221"/>
      <c r="N282" s="1221"/>
      <c r="O282" s="428"/>
    </row>
    <row r="283" spans="1:23" ht="13.15" customHeight="1" x14ac:dyDescent="0.3">
      <c r="A283" s="92"/>
      <c r="B283" s="144"/>
      <c r="C283" s="948"/>
      <c r="D283" s="950"/>
      <c r="E283" s="1221" t="str">
        <f>Translations!$B$1847</f>
        <v xml:space="preserve">CN codes for products that are not listed here do currently not fall under the CBAM. </v>
      </c>
      <c r="F283" s="1221"/>
      <c r="G283" s="1221"/>
      <c r="H283" s="1221"/>
      <c r="I283" s="1221"/>
      <c r="J283" s="1221"/>
      <c r="K283" s="1221"/>
      <c r="L283" s="1221"/>
      <c r="M283" s="1221"/>
      <c r="N283" s="1221"/>
      <c r="O283" s="428"/>
    </row>
    <row r="284" spans="1:23" ht="5.15" customHeight="1" x14ac:dyDescent="0.25">
      <c r="A284" s="92"/>
      <c r="B284" s="144"/>
      <c r="C284" s="144"/>
      <c r="D284" s="969"/>
      <c r="E284" s="970"/>
      <c r="F284" s="970"/>
      <c r="G284" s="970"/>
      <c r="H284" s="970"/>
      <c r="I284" s="970"/>
      <c r="J284" s="970"/>
      <c r="K284" s="970"/>
      <c r="L284" s="970"/>
      <c r="M284" s="970"/>
      <c r="N284" s="913"/>
      <c r="O284" s="428"/>
      <c r="S284" s="110"/>
    </row>
    <row r="285" spans="1:23" ht="5.15" customHeight="1" x14ac:dyDescent="0.25">
      <c r="A285" s="92"/>
      <c r="B285" s="144"/>
      <c r="C285" s="144"/>
      <c r="D285" s="914"/>
      <c r="E285" s="915"/>
      <c r="F285" s="915"/>
      <c r="G285" s="915"/>
      <c r="H285" s="915"/>
      <c r="I285" s="915"/>
      <c r="J285" s="915"/>
      <c r="K285" s="915"/>
      <c r="L285" s="915"/>
      <c r="M285" s="915"/>
      <c r="N285" s="144"/>
      <c r="O285" s="428"/>
      <c r="S285" s="110"/>
    </row>
    <row r="286" spans="1:23" ht="12.75" customHeight="1" x14ac:dyDescent="0.35">
      <c r="A286" s="92"/>
      <c r="B286" s="144"/>
      <c r="C286" s="144"/>
      <c r="D286" s="144"/>
      <c r="E286" s="689" t="str">
        <f>Translations!$B$1848</f>
        <v>CN Code</v>
      </c>
      <c r="F286" s="689" t="str">
        <f>Translations!$B$604</f>
        <v>CN Name</v>
      </c>
      <c r="G286" s="690"/>
      <c r="H286" s="690"/>
      <c r="I286" s="690"/>
      <c r="J286" s="690"/>
      <c r="K286" s="690"/>
      <c r="L286" s="690"/>
      <c r="M286" s="709" t="str">
        <f>Translations!$B$107</f>
        <v>Aggregated goods category</v>
      </c>
      <c r="N286" s="170"/>
      <c r="O286" s="428"/>
    </row>
    <row r="287" spans="1:23" ht="12.75" customHeight="1" x14ac:dyDescent="0.2">
      <c r="A287" s="92"/>
      <c r="B287" s="144"/>
      <c r="C287" s="144"/>
      <c r="D287" s="144"/>
      <c r="E287" s="691" t="s">
        <v>654</v>
      </c>
      <c r="F287" s="691" t="str">
        <f>Translations!$B$694</f>
        <v>Kaolinic clays (other than kaolin)</v>
      </c>
      <c r="G287" s="692"/>
      <c r="H287" s="692"/>
      <c r="I287" s="692"/>
      <c r="J287" s="692"/>
      <c r="K287" s="692"/>
      <c r="L287" s="692"/>
      <c r="M287" s="707" t="str">
        <f>Translations!$B$666</f>
        <v xml:space="preserve">Calcined clays </v>
      </c>
      <c r="N287" s="708"/>
      <c r="O287" s="428"/>
    </row>
    <row r="288" spans="1:23" ht="12.75" customHeight="1" x14ac:dyDescent="0.2">
      <c r="A288" s="92"/>
      <c r="B288" s="144"/>
      <c r="C288" s="144"/>
      <c r="D288" s="144"/>
      <c r="E288" s="693" t="s">
        <v>657</v>
      </c>
      <c r="F288" s="693" t="str">
        <f>Translations!$B$695</f>
        <v>Cement clinkers</v>
      </c>
      <c r="G288" s="694"/>
      <c r="H288" s="694"/>
      <c r="I288" s="694"/>
      <c r="J288" s="694"/>
      <c r="K288" s="694"/>
      <c r="L288" s="694"/>
      <c r="M288" s="697" t="str">
        <f>Translations!$B$665</f>
        <v>Cement clinker</v>
      </c>
      <c r="N288" s="620"/>
      <c r="O288" s="428"/>
    </row>
    <row r="289" spans="1:15" ht="12.75" customHeight="1" x14ac:dyDescent="0.2">
      <c r="A289" s="92"/>
      <c r="B289" s="144"/>
      <c r="C289" s="144"/>
      <c r="D289" s="144"/>
      <c r="E289" s="693" t="s">
        <v>660</v>
      </c>
      <c r="F289" s="693" t="str">
        <f>Translations!$B$696</f>
        <v>White portland cement, whether or not artificially coloured</v>
      </c>
      <c r="G289" s="694"/>
      <c r="H289" s="694"/>
      <c r="I289" s="694"/>
      <c r="J289" s="694"/>
      <c r="K289" s="694"/>
      <c r="L289" s="694"/>
      <c r="M289" s="697" t="str">
        <f>Translations!$B$664</f>
        <v>Cement</v>
      </c>
      <c r="N289" s="620"/>
      <c r="O289" s="428"/>
    </row>
    <row r="290" spans="1:15" ht="12.75" customHeight="1" x14ac:dyDescent="0.2">
      <c r="A290" s="92"/>
      <c r="B290" s="144"/>
      <c r="C290" s="144"/>
      <c r="D290" s="144"/>
      <c r="E290" s="693" t="s">
        <v>663</v>
      </c>
      <c r="F290" s="693" t="str">
        <f>Translations!$B$697</f>
        <v>Portland cement (excl. white, whether or not artificially coloured)</v>
      </c>
      <c r="G290" s="694"/>
      <c r="H290" s="694"/>
      <c r="I290" s="694"/>
      <c r="J290" s="694"/>
      <c r="K290" s="694"/>
      <c r="L290" s="694"/>
      <c r="M290" s="697" t="str">
        <f>Translations!$B$664</f>
        <v>Cement</v>
      </c>
      <c r="N290" s="620"/>
      <c r="O290" s="428"/>
    </row>
    <row r="291" spans="1:15" ht="12.75" customHeight="1" x14ac:dyDescent="0.2">
      <c r="A291" s="92"/>
      <c r="B291" s="144"/>
      <c r="C291" s="144"/>
      <c r="D291" s="144"/>
      <c r="E291" s="693" t="s">
        <v>666</v>
      </c>
      <c r="F291" s="693" t="str">
        <f>Translations!$B$667</f>
        <v>Aluminous cement</v>
      </c>
      <c r="G291" s="694"/>
      <c r="H291" s="694"/>
      <c r="I291" s="694"/>
      <c r="J291" s="694"/>
      <c r="K291" s="694"/>
      <c r="L291" s="694"/>
      <c r="M291" s="697" t="str">
        <f>Translations!$B$667</f>
        <v>Aluminous cement</v>
      </c>
      <c r="N291" s="620"/>
      <c r="O291" s="428"/>
    </row>
    <row r="292" spans="1:15" ht="12.75" customHeight="1" x14ac:dyDescent="0.2">
      <c r="A292" s="92"/>
      <c r="B292" s="144"/>
      <c r="C292" s="144"/>
      <c r="D292" s="144"/>
      <c r="E292" s="693" t="s">
        <v>668</v>
      </c>
      <c r="F292" s="693" t="str">
        <f>Translations!$B$698</f>
        <v>Cement, whether or not coloured (excl. portland cement and aluminous cement)</v>
      </c>
      <c r="G292" s="694"/>
      <c r="H292" s="694"/>
      <c r="I292" s="694"/>
      <c r="J292" s="694"/>
      <c r="K292" s="694"/>
      <c r="L292" s="694"/>
      <c r="M292" s="697" t="str">
        <f>Translations!$B$664</f>
        <v>Cement</v>
      </c>
      <c r="N292" s="620"/>
      <c r="O292" s="428"/>
    </row>
    <row r="293" spans="1:15" ht="12.75" customHeight="1" x14ac:dyDescent="0.2">
      <c r="A293" s="92"/>
      <c r="B293" s="144"/>
      <c r="C293" s="144"/>
      <c r="D293" s="144"/>
      <c r="E293" s="693" t="s">
        <v>671</v>
      </c>
      <c r="F293" s="693" t="str">
        <f>Translations!$B$699</f>
        <v>Agglomerated iron ores and concentrates (excl. roasted iron pyrites)</v>
      </c>
      <c r="G293" s="694"/>
      <c r="H293" s="694"/>
      <c r="I293" s="694"/>
      <c r="J293" s="694"/>
      <c r="K293" s="694"/>
      <c r="L293" s="694"/>
      <c r="M293" s="697" t="str">
        <f>Translations!$B$678</f>
        <v>Sintered Ore</v>
      </c>
      <c r="N293" s="620"/>
      <c r="O293" s="428"/>
    </row>
    <row r="294" spans="1:15" ht="12.75" customHeight="1" x14ac:dyDescent="0.2">
      <c r="A294" s="92"/>
      <c r="B294" s="144"/>
      <c r="C294" s="144"/>
      <c r="D294" s="144"/>
      <c r="E294" s="693" t="s">
        <v>674</v>
      </c>
      <c r="F294" s="693" t="str">
        <f>Translations!$B$700</f>
        <v>Electrical energy</v>
      </c>
      <c r="G294" s="694"/>
      <c r="H294" s="694"/>
      <c r="I294" s="694"/>
      <c r="J294" s="694"/>
      <c r="K294" s="694"/>
      <c r="L294" s="694"/>
      <c r="M294" s="697" t="str">
        <f>Translations!$B$692</f>
        <v>Electricity (export to EU)</v>
      </c>
      <c r="N294" s="620"/>
      <c r="O294" s="428"/>
    </row>
    <row r="295" spans="1:15" ht="12.75" customHeight="1" x14ac:dyDescent="0.2">
      <c r="A295" s="92"/>
      <c r="B295" s="144"/>
      <c r="C295" s="144"/>
      <c r="D295" s="144"/>
      <c r="E295" s="693" t="s">
        <v>677</v>
      </c>
      <c r="F295" s="693" t="str">
        <f>Translations!$B$650</f>
        <v>Hydrogen</v>
      </c>
      <c r="G295" s="694"/>
      <c r="H295" s="694"/>
      <c r="I295" s="694"/>
      <c r="J295" s="694"/>
      <c r="K295" s="694"/>
      <c r="L295" s="694"/>
      <c r="M295" s="697" t="str">
        <f>Translations!$B$650</f>
        <v>Hydrogen</v>
      </c>
      <c r="N295" s="620"/>
      <c r="O295" s="428"/>
    </row>
    <row r="296" spans="1:15" ht="12.75" customHeight="1" x14ac:dyDescent="0.2">
      <c r="A296" s="92"/>
      <c r="B296" s="144"/>
      <c r="C296" s="144"/>
      <c r="D296" s="144"/>
      <c r="E296" s="693" t="s">
        <v>679</v>
      </c>
      <c r="F296" s="693" t="str">
        <f>Translations!$B$701</f>
        <v>Nitric acid; sulphonitric acids</v>
      </c>
      <c r="G296" s="694"/>
      <c r="H296" s="694"/>
      <c r="I296" s="694"/>
      <c r="J296" s="694"/>
      <c r="K296" s="694"/>
      <c r="L296" s="694"/>
      <c r="M296" s="697" t="str">
        <f>Translations!$B$685</f>
        <v>Nitric acid</v>
      </c>
      <c r="N296" s="620"/>
      <c r="O296" s="428"/>
    </row>
    <row r="297" spans="1:15" ht="12.75" customHeight="1" x14ac:dyDescent="0.2">
      <c r="A297" s="92"/>
      <c r="B297" s="144"/>
      <c r="C297" s="144"/>
      <c r="D297" s="144"/>
      <c r="E297" s="693" t="s">
        <v>681</v>
      </c>
      <c r="F297" s="693" t="str">
        <f>Translations!$B$702</f>
        <v>Ammonia, anhydrous or in aqueous solution</v>
      </c>
      <c r="G297" s="694"/>
      <c r="H297" s="694"/>
      <c r="I297" s="694"/>
      <c r="J297" s="694"/>
      <c r="K297" s="694"/>
      <c r="L297" s="694"/>
      <c r="M297" s="697" t="str">
        <f>Translations!$B$682</f>
        <v>Ammonia</v>
      </c>
      <c r="N297" s="620"/>
      <c r="O297" s="428"/>
    </row>
    <row r="298" spans="1:15" ht="12.75" customHeight="1" x14ac:dyDescent="0.2">
      <c r="A298" s="92"/>
      <c r="B298" s="144"/>
      <c r="C298" s="144"/>
      <c r="D298" s="144"/>
      <c r="E298" s="693" t="s">
        <v>684</v>
      </c>
      <c r="F298" s="693" t="str">
        <f>Translations!$B$703</f>
        <v>Anhydrous ammonia</v>
      </c>
      <c r="G298" s="694"/>
      <c r="H298" s="694"/>
      <c r="I298" s="694"/>
      <c r="J298" s="694"/>
      <c r="K298" s="694"/>
      <c r="L298" s="694"/>
      <c r="M298" s="697" t="str">
        <f>Translations!$B$682</f>
        <v>Ammonia</v>
      </c>
      <c r="N298" s="620"/>
      <c r="O298" s="428"/>
    </row>
    <row r="299" spans="1:15" ht="12.75" customHeight="1" x14ac:dyDescent="0.2">
      <c r="A299" s="92"/>
      <c r="B299" s="144"/>
      <c r="C299" s="144"/>
      <c r="D299" s="144"/>
      <c r="E299" s="693" t="s">
        <v>687</v>
      </c>
      <c r="F299" s="693" t="str">
        <f>Translations!$B$704</f>
        <v>Ammonia in aqueous solution</v>
      </c>
      <c r="G299" s="694"/>
      <c r="H299" s="694"/>
      <c r="I299" s="694"/>
      <c r="J299" s="694"/>
      <c r="K299" s="694"/>
      <c r="L299" s="694"/>
      <c r="M299" s="697" t="str">
        <f>Translations!$B$682</f>
        <v>Ammonia</v>
      </c>
      <c r="N299" s="620"/>
      <c r="O299" s="428"/>
    </row>
    <row r="300" spans="1:15" ht="12.75" customHeight="1" x14ac:dyDescent="0.2">
      <c r="A300" s="92"/>
      <c r="B300" s="144"/>
      <c r="C300" s="144"/>
      <c r="D300" s="144"/>
      <c r="E300" s="693" t="s">
        <v>690</v>
      </c>
      <c r="F300" s="693" t="str">
        <f>Translations!$B$705</f>
        <v>Nitrate of potassium</v>
      </c>
      <c r="G300" s="694"/>
      <c r="H300" s="694"/>
      <c r="I300" s="694"/>
      <c r="J300" s="694"/>
      <c r="K300" s="694"/>
      <c r="L300" s="694"/>
      <c r="M300" s="697" t="str">
        <f>Translations!$B$687</f>
        <v>Mixed fertilisers</v>
      </c>
      <c r="N300" s="620"/>
      <c r="O300" s="428"/>
    </row>
    <row r="301" spans="1:15" ht="12.75" customHeight="1" x14ac:dyDescent="0.2">
      <c r="A301" s="92"/>
      <c r="B301" s="144"/>
      <c r="C301" s="144"/>
      <c r="D301" s="144"/>
      <c r="E301" s="693" t="s">
        <v>692</v>
      </c>
      <c r="F301" s="693" t="str">
        <f>Translations!$B$706</f>
        <v>Mineral or chemical nitrogenous fertilisers (excl. those in tablets or similar forms, or in packages with a gross weight of &lt;= 10 kg)</v>
      </c>
      <c r="G301" s="694"/>
      <c r="H301" s="694"/>
      <c r="I301" s="694"/>
      <c r="J301" s="694"/>
      <c r="K301" s="694"/>
      <c r="L301" s="694"/>
      <c r="M301" s="697" t="str">
        <f>Translations!$B$687</f>
        <v>Mixed fertilisers</v>
      </c>
      <c r="N301" s="620"/>
      <c r="O301" s="428"/>
    </row>
    <row r="302" spans="1:15" ht="12.75" customHeight="1" x14ac:dyDescent="0.2">
      <c r="A302" s="92"/>
      <c r="B302" s="144"/>
      <c r="C302" s="144"/>
      <c r="D302" s="144"/>
      <c r="E302" s="693" t="s">
        <v>694</v>
      </c>
      <c r="F302" s="693" t="str">
        <f>Translations!$B$707</f>
        <v>Urea, whether or not in aqueous solution (excl. that in tablets or similar forms, or in packages with a gross weight of &lt;= 10 kg)</v>
      </c>
      <c r="G302" s="694"/>
      <c r="H302" s="694"/>
      <c r="I302" s="694"/>
      <c r="J302" s="694"/>
      <c r="K302" s="694"/>
      <c r="L302" s="694"/>
      <c r="M302" s="697" t="str">
        <f>Translations!$B$686</f>
        <v>Urea</v>
      </c>
      <c r="N302" s="620"/>
      <c r="O302" s="428"/>
    </row>
    <row r="303" spans="1:15" ht="12.75" customHeight="1" x14ac:dyDescent="0.2">
      <c r="A303" s="92"/>
      <c r="B303" s="144"/>
      <c r="C303" s="144"/>
      <c r="D303" s="144"/>
      <c r="E303" s="693" t="s">
        <v>697</v>
      </c>
      <c r="F303" s="693" t="str">
        <f>Translations!$B$708</f>
        <v>Urea, whether or not in aqueous solution, containing &gt; 45% nitrogen in relation to the weight of the dry product (excl. that in tablets or similar forms, or in packages with a gross weight of &lt;= 10 kg)</v>
      </c>
      <c r="G303" s="694"/>
      <c r="H303" s="694"/>
      <c r="I303" s="694"/>
      <c r="J303" s="694"/>
      <c r="K303" s="694"/>
      <c r="L303" s="694"/>
      <c r="M303" s="697" t="str">
        <f>Translations!$B$686</f>
        <v>Urea</v>
      </c>
      <c r="N303" s="620"/>
      <c r="O303" s="428"/>
    </row>
    <row r="304" spans="1:15" ht="12.75" customHeight="1" x14ac:dyDescent="0.2">
      <c r="A304" s="92"/>
      <c r="B304" s="144"/>
      <c r="C304" s="144"/>
      <c r="D304" s="144"/>
      <c r="E304" s="693" t="s">
        <v>700</v>
      </c>
      <c r="F304" s="693" t="str">
        <f>Translations!$B$709</f>
        <v>Urea, whether or not in aqueous solution, containing &lt;= 45% by weight of nitrogen on the dry anhydrous product (excl. goods of this chapter in tablets or similar forms or in packages of a gross weight of &lt;= 10 kg)</v>
      </c>
      <c r="G304" s="694"/>
      <c r="H304" s="694"/>
      <c r="I304" s="694"/>
      <c r="J304" s="694"/>
      <c r="K304" s="694"/>
      <c r="L304" s="694"/>
      <c r="M304" s="697" t="str">
        <f>Translations!$B$686</f>
        <v>Urea</v>
      </c>
      <c r="N304" s="620"/>
      <c r="O304" s="428"/>
    </row>
    <row r="305" spans="1:15" ht="12.75" customHeight="1" x14ac:dyDescent="0.2">
      <c r="A305" s="92"/>
      <c r="B305" s="144"/>
      <c r="C305" s="144"/>
      <c r="D305" s="144"/>
      <c r="E305" s="693" t="s">
        <v>703</v>
      </c>
      <c r="F305" s="693" t="str">
        <f>Translations!$B$710</f>
        <v>Ammonium sulphate (excl. that in tablets or similar forms, or in packages with a gross weight of &lt;= 10 kg)</v>
      </c>
      <c r="G305" s="694"/>
      <c r="H305" s="694"/>
      <c r="I305" s="694"/>
      <c r="J305" s="694"/>
      <c r="K305" s="694"/>
      <c r="L305" s="694"/>
      <c r="M305" s="697" t="str">
        <f>Translations!$B$687</f>
        <v>Mixed fertilisers</v>
      </c>
      <c r="N305" s="620"/>
      <c r="O305" s="428"/>
    </row>
    <row r="306" spans="1:15" ht="12.75" customHeight="1" x14ac:dyDescent="0.2">
      <c r="A306" s="92"/>
      <c r="B306" s="144"/>
      <c r="C306" s="144"/>
      <c r="D306" s="144"/>
      <c r="E306" s="693" t="s">
        <v>706</v>
      </c>
      <c r="F306" s="693" t="str">
        <f>Translations!$B$711</f>
        <v>Double salts and mixtures of ammonium sulphate and ammonium nitrate (excl. goods of this chapter in tablets or similar forms or in packages of a gross weight of &lt;= 10 kg)</v>
      </c>
      <c r="G306" s="694"/>
      <c r="H306" s="694"/>
      <c r="I306" s="694"/>
      <c r="J306" s="694"/>
      <c r="K306" s="694"/>
      <c r="L306" s="694"/>
      <c r="M306" s="697" t="str">
        <f>Translations!$B$687</f>
        <v>Mixed fertilisers</v>
      </c>
      <c r="N306" s="620"/>
      <c r="O306" s="428"/>
    </row>
    <row r="307" spans="1:15" ht="12.75" customHeight="1" x14ac:dyDescent="0.2">
      <c r="A307" s="92"/>
      <c r="B307" s="144"/>
      <c r="C307" s="144"/>
      <c r="D307" s="144"/>
      <c r="E307" s="693" t="s">
        <v>708</v>
      </c>
      <c r="F307" s="693" t="str">
        <f>Translations!$B$712</f>
        <v>Ammonium nitrate, whether or not in aqueous solution (excl. that in tablets or similar forms, or in packages with a gross weight of &lt;= 10 kg)</v>
      </c>
      <c r="G307" s="694"/>
      <c r="H307" s="694"/>
      <c r="I307" s="694"/>
      <c r="J307" s="694"/>
      <c r="K307" s="694"/>
      <c r="L307" s="694"/>
      <c r="M307" s="697" t="str">
        <f>Translations!$B$687</f>
        <v>Mixed fertilisers</v>
      </c>
      <c r="N307" s="620"/>
      <c r="O307" s="428"/>
    </row>
    <row r="308" spans="1:15" ht="12.75" customHeight="1" x14ac:dyDescent="0.2">
      <c r="A308" s="92"/>
      <c r="B308" s="144"/>
      <c r="C308" s="144"/>
      <c r="D308" s="144"/>
      <c r="E308" s="693" t="s">
        <v>711</v>
      </c>
      <c r="F308" s="693" t="str">
        <f>Translations!$B$713</f>
        <v>Ammonium nitrate in aqueous solution (excl. that in packages with a gross weight of &lt;= 10 kg)</v>
      </c>
      <c r="G308" s="694"/>
      <c r="H308" s="694"/>
      <c r="I308" s="694"/>
      <c r="J308" s="694"/>
      <c r="K308" s="694"/>
      <c r="L308" s="694"/>
      <c r="M308" s="697" t="str">
        <f>Translations!$B$687</f>
        <v>Mixed fertilisers</v>
      </c>
      <c r="N308" s="620"/>
      <c r="O308" s="428"/>
    </row>
    <row r="309" spans="1:15" ht="12.75" customHeight="1" x14ac:dyDescent="0.2">
      <c r="A309" s="92"/>
      <c r="B309" s="144"/>
      <c r="C309" s="144"/>
      <c r="D309" s="144"/>
      <c r="E309" s="693" t="s">
        <v>714</v>
      </c>
      <c r="F309" s="693" t="str">
        <f>Translations!$B$714</f>
        <v>Ammonium nitrate (excl. that in aqueous solution, in tablets or similar forms, or in packages with a gross weight of &lt;= 10 kg)</v>
      </c>
      <c r="G309" s="694"/>
      <c r="H309" s="694"/>
      <c r="I309" s="694"/>
      <c r="J309" s="694"/>
      <c r="K309" s="694"/>
      <c r="L309" s="694"/>
      <c r="M309" s="697" t="str">
        <f>Translations!$B$687</f>
        <v>Mixed fertilisers</v>
      </c>
      <c r="N309" s="620"/>
      <c r="O309" s="428"/>
    </row>
    <row r="310" spans="1:15" ht="12.75" customHeight="1" x14ac:dyDescent="0.2">
      <c r="A310" s="92"/>
      <c r="B310" s="144"/>
      <c r="C310" s="144"/>
      <c r="D310" s="144"/>
      <c r="E310" s="693" t="s">
        <v>716</v>
      </c>
      <c r="F310" s="693" t="str">
        <f>Translations!$B$715</f>
        <v>Mixtures of ammonium nitrate with calcium carbonate or other inorganic non-fertilising substances for use as fertilisers (excl. those in tablets or similar forms, or in packages with a gross weight of &lt;= 10 kg)</v>
      </c>
      <c r="G310" s="694"/>
      <c r="H310" s="694"/>
      <c r="I310" s="694"/>
      <c r="J310" s="694"/>
      <c r="K310" s="694"/>
      <c r="L310" s="694"/>
      <c r="M310" s="697" t="str">
        <f>Translations!$B$687</f>
        <v>Mixed fertilisers</v>
      </c>
      <c r="N310" s="620"/>
      <c r="O310" s="428"/>
    </row>
    <row r="311" spans="1:15" ht="12.75" customHeight="1" x14ac:dyDescent="0.2">
      <c r="A311" s="92"/>
      <c r="B311" s="144"/>
      <c r="C311" s="144"/>
      <c r="D311" s="144"/>
      <c r="E311" s="693" t="s">
        <v>719</v>
      </c>
      <c r="F311" s="693" t="str">
        <f>Translations!$B$716</f>
        <v>Mixtures of ammonium nitrate with calcium carbonate or other inorganic non-fertilising substances, for use as fertilisers, containing &lt;= 28% nitrogen by weight (excl. those in tablets or similar forms, or in packages with a gross weight of &lt;= 10 kg)</v>
      </c>
      <c r="G311" s="694"/>
      <c r="H311" s="694"/>
      <c r="I311" s="694"/>
      <c r="J311" s="694"/>
      <c r="K311" s="694"/>
      <c r="L311" s="694"/>
      <c r="M311" s="697" t="str">
        <f>Translations!$B$687</f>
        <v>Mixed fertilisers</v>
      </c>
      <c r="N311" s="620"/>
      <c r="O311" s="428"/>
    </row>
    <row r="312" spans="1:15" ht="12.75" customHeight="1" x14ac:dyDescent="0.2">
      <c r="A312" s="92"/>
      <c r="B312" s="144"/>
      <c r="C312" s="144"/>
      <c r="D312" s="144"/>
      <c r="E312" s="693" t="s">
        <v>722</v>
      </c>
      <c r="F312" s="693" t="str">
        <f>Translations!$B$717</f>
        <v>Mixtures of ammonium nitrate with calcium carbonate or other inorganic non-fertilising substances, for use as fertilisers, containing &gt; 28% nitrogen by weight (excl. those in tablets or similar forms, or in packages with a gross weight of &lt;= 10 kg)</v>
      </c>
      <c r="G312" s="694"/>
      <c r="H312" s="694"/>
      <c r="I312" s="694"/>
      <c r="J312" s="694"/>
      <c r="K312" s="694"/>
      <c r="L312" s="694"/>
      <c r="M312" s="697" t="str">
        <f>Translations!$B$687</f>
        <v>Mixed fertilisers</v>
      </c>
      <c r="N312" s="620"/>
      <c r="O312" s="428"/>
    </row>
    <row r="313" spans="1:15" ht="12.75" customHeight="1" x14ac:dyDescent="0.2">
      <c r="A313" s="92"/>
      <c r="B313" s="144"/>
      <c r="C313" s="144"/>
      <c r="D313" s="144"/>
      <c r="E313" s="693" t="s">
        <v>725</v>
      </c>
      <c r="F313" s="693" t="str">
        <f>Translations!$B$718</f>
        <v>Sodium nitrate (excl. that in tablets or similar forms, or in packages with a gross weight of &lt;= 10 kg)</v>
      </c>
      <c r="G313" s="694"/>
      <c r="H313" s="694"/>
      <c r="I313" s="694"/>
      <c r="J313" s="694"/>
      <c r="K313" s="694"/>
      <c r="L313" s="694"/>
      <c r="M313" s="697" t="str">
        <f>Translations!$B$687</f>
        <v>Mixed fertilisers</v>
      </c>
      <c r="N313" s="620"/>
      <c r="O313" s="428"/>
    </row>
    <row r="314" spans="1:15" ht="12.75" customHeight="1" x14ac:dyDescent="0.2">
      <c r="A314" s="92"/>
      <c r="B314" s="144"/>
      <c r="C314" s="144"/>
      <c r="D314" s="144"/>
      <c r="E314" s="693" t="s">
        <v>728</v>
      </c>
      <c r="F314" s="693" t="str">
        <f>Translations!$B$719</f>
        <v>Double salts and mixtures of calcium nitrate and ammonium nitrate (excl. those in tablets or similar forms, or in packages with a gross weight of &lt;= 10 kg)</v>
      </c>
      <c r="G314" s="694"/>
      <c r="H314" s="694"/>
      <c r="I314" s="694"/>
      <c r="J314" s="694"/>
      <c r="K314" s="694"/>
      <c r="L314" s="694"/>
      <c r="M314" s="697" t="str">
        <f>Translations!$B$687</f>
        <v>Mixed fertilisers</v>
      </c>
      <c r="N314" s="620"/>
      <c r="O314" s="428"/>
    </row>
    <row r="315" spans="1:15" ht="12.75" customHeight="1" x14ac:dyDescent="0.2">
      <c r="A315" s="92"/>
      <c r="B315" s="144"/>
      <c r="C315" s="144"/>
      <c r="D315" s="144"/>
      <c r="E315" s="693" t="s">
        <v>731</v>
      </c>
      <c r="F315" s="693" t="str">
        <f>Translations!$B$720</f>
        <v>Mixtures of urea and ammonium nitrate in aqueous or ammoniacal solution (excl. those in packages with a gross weight of &lt;= 10 kg)</v>
      </c>
      <c r="G315" s="694"/>
      <c r="H315" s="694"/>
      <c r="I315" s="694"/>
      <c r="J315" s="694"/>
      <c r="K315" s="694"/>
      <c r="L315" s="694"/>
      <c r="M315" s="697" t="str">
        <f>Translations!$B$687</f>
        <v>Mixed fertilisers</v>
      </c>
      <c r="N315" s="620"/>
      <c r="O315" s="428"/>
    </row>
    <row r="316" spans="1:15" ht="12.75" customHeight="1" x14ac:dyDescent="0.2">
      <c r="A316" s="92"/>
      <c r="B316" s="144"/>
      <c r="C316" s="144"/>
      <c r="D316" s="144"/>
      <c r="E316" s="693" t="s">
        <v>734</v>
      </c>
      <c r="F316" s="693" t="str">
        <f>Translations!$B$721</f>
        <v>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v>
      </c>
      <c r="G316" s="694"/>
      <c r="H316" s="694"/>
      <c r="I316" s="694"/>
      <c r="J316" s="694"/>
      <c r="K316" s="694"/>
      <c r="L316" s="694"/>
      <c r="M316" s="697" t="str">
        <f>Translations!$B$687</f>
        <v>Mixed fertilisers</v>
      </c>
      <c r="N316" s="620"/>
      <c r="O316" s="428"/>
    </row>
    <row r="317" spans="1:15" ht="12.75" customHeight="1" x14ac:dyDescent="0.2">
      <c r="A317" s="92"/>
      <c r="B317" s="144"/>
      <c r="C317" s="144"/>
      <c r="D317" s="144"/>
      <c r="E317" s="693" t="s">
        <v>736</v>
      </c>
      <c r="F317" s="693" t="str">
        <f>Translations!$B$722</f>
        <v>Mineral or chemical fertilisers containing two or three of the fertilising elements nitrogen, phosphorus and potassium; other fertilisers (excl. pure animal or vegetable fertilisers or mineral or chemical nitrogenous, phosphatic or potassic fertilisers); animal, vegetable, mineral or chemical fertilisers in tablets or similar forms or in packages of a gross weight of &lt;= 10 kg</v>
      </c>
      <c r="G317" s="694"/>
      <c r="H317" s="694"/>
      <c r="I317" s="694"/>
      <c r="J317" s="694"/>
      <c r="K317" s="694"/>
      <c r="L317" s="694"/>
      <c r="M317" s="697" t="str">
        <f>Translations!$B$687</f>
        <v>Mixed fertilisers</v>
      </c>
      <c r="N317" s="620"/>
      <c r="O317" s="428"/>
    </row>
    <row r="318" spans="1:15" ht="12.75" customHeight="1" x14ac:dyDescent="0.2">
      <c r="A318" s="92"/>
      <c r="B318" s="144"/>
      <c r="C318" s="144"/>
      <c r="D318" s="144"/>
      <c r="E318" s="693" t="s">
        <v>739</v>
      </c>
      <c r="F318" s="693" t="str">
        <f>Translations!$B$723</f>
        <v>Mineral or chemical fertilisers of animal or vegetable origin, in tablets or similar forms, or in packages with a gross weight of &lt;= 10 kg</v>
      </c>
      <c r="G318" s="694"/>
      <c r="H318" s="694"/>
      <c r="I318" s="694"/>
      <c r="J318" s="694"/>
      <c r="K318" s="694"/>
      <c r="L318" s="694"/>
      <c r="M318" s="697" t="str">
        <f>Translations!$B$687</f>
        <v>Mixed fertilisers</v>
      </c>
      <c r="N318" s="620"/>
      <c r="O318" s="428"/>
    </row>
    <row r="319" spans="1:15" ht="12.75" customHeight="1" x14ac:dyDescent="0.2">
      <c r="A319" s="92"/>
      <c r="B319" s="144"/>
      <c r="C319" s="144"/>
      <c r="D319" s="144"/>
      <c r="E319" s="693" t="s">
        <v>741</v>
      </c>
      <c r="F319" s="693" t="str">
        <f>Translations!$B$724</f>
        <v>Mineral or chemical fertilisers containing the three fertilising elements nitrogen, phosphorus and potassium (excl. those in tablets or similar forms, or in packages with a gross weight of &lt;= 10 kg)</v>
      </c>
      <c r="G319" s="694"/>
      <c r="H319" s="694"/>
      <c r="I319" s="694"/>
      <c r="J319" s="694"/>
      <c r="K319" s="694"/>
      <c r="L319" s="694"/>
      <c r="M319" s="697" t="str">
        <f>Translations!$B$687</f>
        <v>Mixed fertilisers</v>
      </c>
      <c r="N319" s="620"/>
      <c r="O319" s="428"/>
    </row>
    <row r="320" spans="1:15" ht="12.75" customHeight="1" x14ac:dyDescent="0.2">
      <c r="A320" s="92"/>
      <c r="B320" s="144"/>
      <c r="C320" s="144"/>
      <c r="D320" s="144"/>
      <c r="E320" s="693" t="s">
        <v>744</v>
      </c>
      <c r="F320" s="693" t="str">
        <f>Translations!$B$725</f>
        <v>Mineral or chemical fertilisers containing phosphorus and potassium, with a nitrogen content &gt; 10 % by weight on the dry anhydrous product (excl. those in tablets or similar forms, or in packages with a gross weight of &lt;= 10 kg)</v>
      </c>
      <c r="G320" s="694"/>
      <c r="H320" s="694"/>
      <c r="I320" s="694"/>
      <c r="J320" s="694"/>
      <c r="K320" s="694"/>
      <c r="L320" s="694"/>
      <c r="M320" s="697" t="str">
        <f>Translations!$B$687</f>
        <v>Mixed fertilisers</v>
      </c>
      <c r="N320" s="620"/>
      <c r="O320" s="428"/>
    </row>
    <row r="321" spans="1:15" ht="12.75" customHeight="1" x14ac:dyDescent="0.2">
      <c r="A321" s="92"/>
      <c r="B321" s="144"/>
      <c r="C321" s="144"/>
      <c r="D321" s="144"/>
      <c r="E321" s="693" t="s">
        <v>747</v>
      </c>
      <c r="F321" s="693" t="str">
        <f>Translations!$B$726</f>
        <v>Mineral or chemical fertilisers containing nitrogen, phosphorus and potassium, with a nitrogen content &lt;= 10 % by weight on the dry anhydrous product (excl. those in tablets or similar forms, or in packages with a gross weight of &lt;= 10 kg)</v>
      </c>
      <c r="G321" s="694"/>
      <c r="H321" s="694"/>
      <c r="I321" s="694"/>
      <c r="J321" s="694"/>
      <c r="K321" s="694"/>
      <c r="L321" s="694"/>
      <c r="M321" s="697" t="str">
        <f>Translations!$B$687</f>
        <v>Mixed fertilisers</v>
      </c>
      <c r="N321" s="620"/>
      <c r="O321" s="428"/>
    </row>
    <row r="322" spans="1:15" ht="12.75" customHeight="1" x14ac:dyDescent="0.2">
      <c r="A322" s="92"/>
      <c r="B322" s="144"/>
      <c r="C322" s="144"/>
      <c r="D322" s="144"/>
      <c r="E322" s="693" t="s">
        <v>750</v>
      </c>
      <c r="F322" s="693" t="str">
        <f>Translations!$B$727</f>
        <v>Diammonium hydrogenorthophosphate "diammonium phosphate" (excl. that in tablets or similar forms, or in packages with a gross weight of &lt;= 10 kg)</v>
      </c>
      <c r="G322" s="694"/>
      <c r="H322" s="694"/>
      <c r="I322" s="694"/>
      <c r="J322" s="694"/>
      <c r="K322" s="694"/>
      <c r="L322" s="694"/>
      <c r="M322" s="697" t="str">
        <f>Translations!$B$687</f>
        <v>Mixed fertilisers</v>
      </c>
      <c r="N322" s="620"/>
      <c r="O322" s="428"/>
    </row>
    <row r="323" spans="1:15" ht="12.75" customHeight="1" x14ac:dyDescent="0.2">
      <c r="A323" s="92"/>
      <c r="B323" s="144"/>
      <c r="C323" s="144"/>
      <c r="D323" s="144"/>
      <c r="E323" s="693" t="s">
        <v>753</v>
      </c>
      <c r="F323" s="693" t="str">
        <f>Translations!$B$728</f>
        <v>Ammonium dihydrogenorthophosphate "monoammonium phosphate", whether or not mixed with diammonium hydrogenorthophosphate "diammonium phosphate" (excl. that in tablets or similar forms, or in packages with a gross weight of &lt;= 10 kg)</v>
      </c>
      <c r="G323" s="694"/>
      <c r="H323" s="694"/>
      <c r="I323" s="694"/>
      <c r="J323" s="694"/>
      <c r="K323" s="694"/>
      <c r="L323" s="694"/>
      <c r="M323" s="697" t="str">
        <f>Translations!$B$687</f>
        <v>Mixed fertilisers</v>
      </c>
      <c r="N323" s="620"/>
      <c r="O323" s="428"/>
    </row>
    <row r="324" spans="1:15" ht="12.75" customHeight="1" x14ac:dyDescent="0.2">
      <c r="A324" s="92"/>
      <c r="B324" s="144"/>
      <c r="C324" s="144"/>
      <c r="D324" s="144"/>
      <c r="E324" s="693" t="s">
        <v>756</v>
      </c>
      <c r="F324" s="693" t="str">
        <f>Translations!$B$729</f>
        <v>Mineral or chemical fertilisers containing nitrates and phosphates (excl. ammonium dihydrogenorthophosphate "Monoammonium phosphate", diammonium hydrogenorthophosphate "Diammonium phosphate", and those in tablets or similar forms, or in packages with a gross weight of &lt;= 10 kg)</v>
      </c>
      <c r="G324" s="694"/>
      <c r="H324" s="694"/>
      <c r="I324" s="694"/>
      <c r="J324" s="694"/>
      <c r="K324" s="694"/>
      <c r="L324" s="694"/>
      <c r="M324" s="697" t="str">
        <f>Translations!$B$687</f>
        <v>Mixed fertilisers</v>
      </c>
      <c r="N324" s="620"/>
      <c r="O324" s="428"/>
    </row>
    <row r="325" spans="1:15" ht="12.75" customHeight="1" x14ac:dyDescent="0.2">
      <c r="A325" s="92"/>
      <c r="B325" s="144"/>
      <c r="C325" s="144"/>
      <c r="D325" s="144"/>
      <c r="E325" s="693" t="s">
        <v>759</v>
      </c>
      <c r="F325" s="693" t="str">
        <f>Translations!$B$730</f>
        <v>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v>
      </c>
      <c r="G325" s="694"/>
      <c r="H325" s="694"/>
      <c r="I325" s="694"/>
      <c r="J325" s="694"/>
      <c r="K325" s="694"/>
      <c r="L325" s="694"/>
      <c r="M325" s="697" t="str">
        <f>Translations!$B$687</f>
        <v>Mixed fertilisers</v>
      </c>
      <c r="N325" s="620"/>
      <c r="O325" s="428"/>
    </row>
    <row r="326" spans="1:15" ht="12.75" customHeight="1" x14ac:dyDescent="0.2">
      <c r="A326" s="92"/>
      <c r="B326" s="144"/>
      <c r="C326" s="144"/>
      <c r="D326" s="144"/>
      <c r="E326" s="693" t="s">
        <v>761</v>
      </c>
      <c r="F326" s="693" t="str">
        <f>Translations!$B$731</f>
        <v>Mineral or chemical fertilisers containing the two fertilising elements nitrogen and potassium or one principal fertilising substance only, incl. mixtures of animal or vegetable fertilisers with chemical or mineral fertilisers (excl. those in tablets or similar forms, or in packages with a gross weight of &lt;= 10 kg)</v>
      </c>
      <c r="G326" s="694"/>
      <c r="H326" s="694"/>
      <c r="I326" s="694"/>
      <c r="J326" s="694"/>
      <c r="K326" s="694"/>
      <c r="L326" s="694"/>
      <c r="M326" s="697" t="str">
        <f>Translations!$B$687</f>
        <v>Mixed fertilisers</v>
      </c>
      <c r="N326" s="620"/>
      <c r="O326" s="428"/>
    </row>
    <row r="327" spans="1:15" ht="12.75" customHeight="1" x14ac:dyDescent="0.2">
      <c r="A327" s="92"/>
      <c r="B327" s="144"/>
      <c r="C327" s="144"/>
      <c r="D327" s="144"/>
      <c r="E327" s="693" t="s">
        <v>764</v>
      </c>
      <c r="F327" s="693" t="str">
        <f>Translations!$B$732</f>
        <v>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v>
      </c>
      <c r="G327" s="694"/>
      <c r="H327" s="694"/>
      <c r="I327" s="694"/>
      <c r="J327" s="694"/>
      <c r="K327" s="694"/>
      <c r="L327" s="694"/>
      <c r="M327" s="697" t="str">
        <f>Translations!$B$687</f>
        <v>Mixed fertilisers</v>
      </c>
      <c r="N327" s="620"/>
      <c r="O327" s="428"/>
    </row>
    <row r="328" spans="1:15" ht="12.75" customHeight="1" x14ac:dyDescent="0.2">
      <c r="A328" s="92"/>
      <c r="B328" s="144"/>
      <c r="C328" s="144"/>
      <c r="D328" s="144"/>
      <c r="E328" s="693" t="s">
        <v>767</v>
      </c>
      <c r="F328" s="693" t="str">
        <f>Translations!$B$733</f>
        <v>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v>
      </c>
      <c r="G328" s="694"/>
      <c r="H328" s="694"/>
      <c r="I328" s="694"/>
      <c r="J328" s="694"/>
      <c r="K328" s="694"/>
      <c r="L328" s="694"/>
      <c r="M328" s="697" t="str">
        <f>Translations!$B$687</f>
        <v>Mixed fertilisers</v>
      </c>
      <c r="N328" s="620"/>
      <c r="O328" s="428"/>
    </row>
    <row r="329" spans="1:15" ht="12.75" customHeight="1" x14ac:dyDescent="0.2">
      <c r="A329" s="92"/>
      <c r="B329" s="144"/>
      <c r="C329" s="144"/>
      <c r="D329" s="144"/>
      <c r="E329" s="693" t="s">
        <v>769</v>
      </c>
      <c r="F329" s="693" t="str">
        <f>Translations!$B$734</f>
        <v>Pig iron and spiegeleisen, in pigs, blocks or other primary forms</v>
      </c>
      <c r="G329" s="694"/>
      <c r="H329" s="694"/>
      <c r="I329" s="694"/>
      <c r="J329" s="694"/>
      <c r="K329" s="694"/>
      <c r="L329" s="694"/>
      <c r="M329" s="697" t="str">
        <f>Translations!$B$674</f>
        <v>Pig iron</v>
      </c>
      <c r="N329" s="620"/>
      <c r="O329" s="428"/>
    </row>
    <row r="330" spans="1:15" ht="12.75" customHeight="1" x14ac:dyDescent="0.2">
      <c r="A330" s="92"/>
      <c r="B330" s="144"/>
      <c r="C330" s="144"/>
      <c r="D330" s="144"/>
      <c r="E330" s="693" t="s">
        <v>771</v>
      </c>
      <c r="F330" s="693" t="str">
        <f>Translations!$B$735</f>
        <v>Non-alloy pig iron in pigs, blocks or other primary forms, containing, by weight, &lt;= 0,5% of phosphorous</v>
      </c>
      <c r="G330" s="694"/>
      <c r="H330" s="694"/>
      <c r="I330" s="694"/>
      <c r="J330" s="694"/>
      <c r="K330" s="694"/>
      <c r="L330" s="694"/>
      <c r="M330" s="697" t="str">
        <f>Translations!$B$674</f>
        <v>Pig iron</v>
      </c>
      <c r="N330" s="620"/>
      <c r="O330" s="428"/>
    </row>
    <row r="331" spans="1:15" ht="12.75" customHeight="1" x14ac:dyDescent="0.2">
      <c r="A331" s="92"/>
      <c r="B331" s="144"/>
      <c r="C331" s="144"/>
      <c r="D331" s="144"/>
      <c r="E331" s="693" t="s">
        <v>774</v>
      </c>
      <c r="F331" s="693" t="str">
        <f>Translations!$B$736</f>
        <v>Non-alloy pig iron in pigs, blocks or other primary forms, containing by weight &lt;= 0,5% phosphorus, &gt;= 0,4% manganese and &lt;= 1% silicon</v>
      </c>
      <c r="G331" s="694"/>
      <c r="H331" s="694"/>
      <c r="I331" s="694"/>
      <c r="J331" s="694"/>
      <c r="K331" s="694"/>
      <c r="L331" s="694"/>
      <c r="M331" s="697" t="str">
        <f>Translations!$B$674</f>
        <v>Pig iron</v>
      </c>
      <c r="N331" s="620"/>
      <c r="O331" s="428"/>
    </row>
    <row r="332" spans="1:15" ht="12.75" customHeight="1" x14ac:dyDescent="0.2">
      <c r="A332" s="92"/>
      <c r="B332" s="144"/>
      <c r="C332" s="144"/>
      <c r="D332" s="144"/>
      <c r="E332" s="693" t="s">
        <v>777</v>
      </c>
      <c r="F332" s="693" t="str">
        <f>Translations!$B$737</f>
        <v>Non-alloy pig iron in pigs, blocks or other primary forms, containing by weight &lt;= 0,5% phosphorus, &gt;= 0,4% manganese and &gt; 1% silicon</v>
      </c>
      <c r="G332" s="694"/>
      <c r="H332" s="694"/>
      <c r="I332" s="694"/>
      <c r="J332" s="694"/>
      <c r="K332" s="694"/>
      <c r="L332" s="694"/>
      <c r="M332" s="697" t="str">
        <f>Translations!$B$674</f>
        <v>Pig iron</v>
      </c>
      <c r="N332" s="620"/>
      <c r="O332" s="428"/>
    </row>
    <row r="333" spans="1:15" ht="12.75" customHeight="1" x14ac:dyDescent="0.2">
      <c r="A333" s="92"/>
      <c r="B333" s="144"/>
      <c r="C333" s="144"/>
      <c r="D333" s="144"/>
      <c r="E333" s="693" t="s">
        <v>780</v>
      </c>
      <c r="F333" s="693" t="str">
        <f>Translations!$B$738</f>
        <v>Non-alloy pig iron in pigs, blocks or other primary forms, containing by weight &lt;= 0,5% phosphorus, and &gt;= 0,1% but &lt; 0,4% manganese</v>
      </c>
      <c r="G333" s="694"/>
      <c r="H333" s="694"/>
      <c r="I333" s="694"/>
      <c r="J333" s="694"/>
      <c r="K333" s="694"/>
      <c r="L333" s="694"/>
      <c r="M333" s="697" t="str">
        <f>Translations!$B$674</f>
        <v>Pig iron</v>
      </c>
      <c r="N333" s="620"/>
      <c r="O333" s="428"/>
    </row>
    <row r="334" spans="1:15" ht="12.75" customHeight="1" x14ac:dyDescent="0.2">
      <c r="A334" s="92"/>
      <c r="B334" s="144"/>
      <c r="C334" s="144"/>
      <c r="D334" s="144"/>
      <c r="E334" s="693" t="s">
        <v>783</v>
      </c>
      <c r="F334" s="693" t="str">
        <f>Translations!$B$739</f>
        <v>Non-alloy pig iron in pigs, blocks or other primary forms, containing by weight &lt;= 0,5% phosphorus, and &lt;= 0,1% manganese</v>
      </c>
      <c r="G334" s="694"/>
      <c r="H334" s="694"/>
      <c r="I334" s="694"/>
      <c r="J334" s="694"/>
      <c r="K334" s="694"/>
      <c r="L334" s="694"/>
      <c r="M334" s="697" t="str">
        <f>Translations!$B$674</f>
        <v>Pig iron</v>
      </c>
      <c r="N334" s="620"/>
      <c r="O334" s="428"/>
    </row>
    <row r="335" spans="1:15" ht="12.75" customHeight="1" x14ac:dyDescent="0.2">
      <c r="A335" s="92"/>
      <c r="B335" s="144"/>
      <c r="C335" s="144"/>
      <c r="D335" s="144"/>
      <c r="E335" s="693" t="s">
        <v>786</v>
      </c>
      <c r="F335" s="693" t="str">
        <f>Translations!$B$740</f>
        <v>Non-alloy pig iron in pigs, blocks or other primary forms, containing by weight &gt;= 0,5% phosphorus</v>
      </c>
      <c r="G335" s="694"/>
      <c r="H335" s="694"/>
      <c r="I335" s="694"/>
      <c r="J335" s="694"/>
      <c r="K335" s="694"/>
      <c r="L335" s="694"/>
      <c r="M335" s="697" t="str">
        <f>Translations!$B$674</f>
        <v>Pig iron</v>
      </c>
      <c r="N335" s="620"/>
      <c r="O335" s="428"/>
    </row>
    <row r="336" spans="1:15" ht="12.75" customHeight="1" x14ac:dyDescent="0.2">
      <c r="A336" s="92"/>
      <c r="B336" s="144"/>
      <c r="C336" s="144"/>
      <c r="D336" s="144"/>
      <c r="E336" s="693" t="s">
        <v>788</v>
      </c>
      <c r="F336" s="693" t="str">
        <f>Translations!$B$741</f>
        <v>Alloy pig iron and spiegeleisen, in pigs, blocks or other primary forms</v>
      </c>
      <c r="G336" s="694"/>
      <c r="H336" s="694"/>
      <c r="I336" s="694"/>
      <c r="J336" s="694"/>
      <c r="K336" s="694"/>
      <c r="L336" s="694"/>
      <c r="M336" s="697" t="str">
        <f>Translations!$B$674</f>
        <v>Pig iron</v>
      </c>
      <c r="N336" s="620"/>
      <c r="O336" s="428"/>
    </row>
    <row r="337" spans="1:15" ht="12.75" customHeight="1" x14ac:dyDescent="0.2">
      <c r="A337" s="92"/>
      <c r="B337" s="144"/>
      <c r="C337" s="144"/>
      <c r="D337" s="144"/>
      <c r="E337" s="693" t="s">
        <v>791</v>
      </c>
      <c r="F337" s="693" t="str">
        <f>Translations!$B$742</f>
        <v>Alloy pig iron in pigs, blocks or other primary forms, containing by weight &gt;= 0,3% but &lt;= 1% titanium and &gt;= 0,5% but &lt;= 1% vanadium</v>
      </c>
      <c r="G337" s="694"/>
      <c r="H337" s="694"/>
      <c r="I337" s="694"/>
      <c r="J337" s="694"/>
      <c r="K337" s="694"/>
      <c r="L337" s="694"/>
      <c r="M337" s="697" t="str">
        <f>Translations!$B$674</f>
        <v>Pig iron</v>
      </c>
      <c r="N337" s="620"/>
      <c r="O337" s="428"/>
    </row>
    <row r="338" spans="1:15" ht="12.75" customHeight="1" x14ac:dyDescent="0.2">
      <c r="A338" s="92"/>
      <c r="B338" s="144"/>
      <c r="C338" s="144"/>
      <c r="D338" s="144"/>
      <c r="E338" s="693" t="s">
        <v>794</v>
      </c>
      <c r="F338" s="693" t="str">
        <f>Translations!$B$743</f>
        <v>Alloy pig iron and spiegeleisen, in pigs, blocks or other primary forms (excl. alloy iron containing, by weight, &gt;= 0,3% but &lt;= 1% titanium and &gt;= 0,5% but &lt;= 1% vanadium)</v>
      </c>
      <c r="G338" s="694"/>
      <c r="H338" s="694"/>
      <c r="I338" s="694"/>
      <c r="J338" s="694"/>
      <c r="K338" s="694"/>
      <c r="L338" s="694"/>
      <c r="M338" s="697" t="str">
        <f>Translations!$B$674</f>
        <v>Pig iron</v>
      </c>
      <c r="N338" s="620"/>
      <c r="O338" s="428"/>
    </row>
    <row r="339" spans="1:15" ht="12.75" customHeight="1" x14ac:dyDescent="0.2">
      <c r="A339" s="92"/>
      <c r="B339" s="144"/>
      <c r="C339" s="144"/>
      <c r="D339" s="144"/>
      <c r="E339" s="693" t="s">
        <v>796</v>
      </c>
      <c r="F339" s="693" t="str">
        <f>Translations!$B$744</f>
        <v>Ferro-manganese, containing by weight &gt; 2% of carbon</v>
      </c>
      <c r="G339" s="694"/>
      <c r="H339" s="694"/>
      <c r="I339" s="694"/>
      <c r="J339" s="694"/>
      <c r="K339" s="694"/>
      <c r="L339" s="694"/>
      <c r="M339" s="697" t="str">
        <f>Translations!$B$677</f>
        <v>Alloys (FeMn, FeCr, FeNi)</v>
      </c>
      <c r="N339" s="620"/>
      <c r="O339" s="428"/>
    </row>
    <row r="340" spans="1:15" ht="12.75" customHeight="1" x14ac:dyDescent="0.2">
      <c r="A340" s="92"/>
      <c r="B340" s="144"/>
      <c r="C340" s="144"/>
      <c r="D340" s="144"/>
      <c r="E340" s="693" t="s">
        <v>799</v>
      </c>
      <c r="F340" s="693" t="str">
        <f>Translations!$B$745</f>
        <v>Ferro-manganese, containing by weight &gt; 2% carbon, with a granulometry &lt;= 5 mm and a manganese content by weight &gt; 65%</v>
      </c>
      <c r="G340" s="694"/>
      <c r="H340" s="694"/>
      <c r="I340" s="694"/>
      <c r="J340" s="694"/>
      <c r="K340" s="694"/>
      <c r="L340" s="694"/>
      <c r="M340" s="697" t="str">
        <f>Translations!$B$677</f>
        <v>Alloys (FeMn, FeCr, FeNi)</v>
      </c>
      <c r="N340" s="620"/>
      <c r="O340" s="428"/>
    </row>
    <row r="341" spans="1:15" ht="12.75" customHeight="1" x14ac:dyDescent="0.2">
      <c r="A341" s="92"/>
      <c r="B341" s="144"/>
      <c r="C341" s="144"/>
      <c r="D341" s="144"/>
      <c r="E341" s="693" t="s">
        <v>802</v>
      </c>
      <c r="F341" s="693" t="str">
        <f>Translations!$B$746</f>
        <v>Ferro-manganese, containing by weight &gt; 2% carbon (excl. ferro-manganese with a granulometry of &lt;= 5 mm and containing by weight &gt; 65% manganese)</v>
      </c>
      <c r="G341" s="694"/>
      <c r="H341" s="694"/>
      <c r="I341" s="694"/>
      <c r="J341" s="694"/>
      <c r="K341" s="694"/>
      <c r="L341" s="694"/>
      <c r="M341" s="697" t="str">
        <f>Translations!$B$677</f>
        <v>Alloys (FeMn, FeCr, FeNi)</v>
      </c>
      <c r="N341" s="620"/>
      <c r="O341" s="428"/>
    </row>
    <row r="342" spans="1:15" ht="12.75" customHeight="1" x14ac:dyDescent="0.2">
      <c r="A342" s="92"/>
      <c r="B342" s="144"/>
      <c r="C342" s="144"/>
      <c r="D342" s="144"/>
      <c r="E342" s="693" t="s">
        <v>805</v>
      </c>
      <c r="F342" s="693" t="str">
        <f>Translations!$B$747</f>
        <v>Ferro-manganese, containing by weight &lt;= 2% carbon</v>
      </c>
      <c r="G342" s="694"/>
      <c r="H342" s="694"/>
      <c r="I342" s="694"/>
      <c r="J342" s="694"/>
      <c r="K342" s="694"/>
      <c r="L342" s="694"/>
      <c r="M342" s="697" t="str">
        <f>Translations!$B$677</f>
        <v>Alloys (FeMn, FeCr, FeNi)</v>
      </c>
      <c r="N342" s="620"/>
      <c r="O342" s="428"/>
    </row>
    <row r="343" spans="1:15" ht="12.75" customHeight="1" x14ac:dyDescent="0.2">
      <c r="A343" s="92"/>
      <c r="B343" s="144"/>
      <c r="C343" s="144"/>
      <c r="D343" s="144"/>
      <c r="E343" s="693" t="s">
        <v>807</v>
      </c>
      <c r="F343" s="693" t="str">
        <f>Translations!$B$748</f>
        <v>Ferro-chromium, containing by weight &gt; 4% of carbon</v>
      </c>
      <c r="G343" s="694"/>
      <c r="H343" s="694"/>
      <c r="I343" s="694"/>
      <c r="J343" s="694"/>
      <c r="K343" s="694"/>
      <c r="L343" s="694"/>
      <c r="M343" s="697" t="str">
        <f>Translations!$B$677</f>
        <v>Alloys (FeMn, FeCr, FeNi)</v>
      </c>
      <c r="N343" s="620"/>
      <c r="O343" s="428"/>
    </row>
    <row r="344" spans="1:15" ht="12.75" customHeight="1" x14ac:dyDescent="0.2">
      <c r="A344" s="92"/>
      <c r="B344" s="144"/>
      <c r="C344" s="144"/>
      <c r="D344" s="144"/>
      <c r="E344" s="693" t="s">
        <v>810</v>
      </c>
      <c r="F344" s="693" t="str">
        <f>Translations!$B$749</f>
        <v>Ferro-chromium, containing by weight &gt; 4% but &lt;= 6% carbon</v>
      </c>
      <c r="G344" s="694"/>
      <c r="H344" s="694"/>
      <c r="I344" s="694"/>
      <c r="J344" s="694"/>
      <c r="K344" s="694"/>
      <c r="L344" s="694"/>
      <c r="M344" s="697" t="str">
        <f>Translations!$B$677</f>
        <v>Alloys (FeMn, FeCr, FeNi)</v>
      </c>
      <c r="N344" s="620"/>
      <c r="O344" s="428"/>
    </row>
    <row r="345" spans="1:15" ht="12.75" customHeight="1" x14ac:dyDescent="0.2">
      <c r="A345" s="92"/>
      <c r="B345" s="144"/>
      <c r="C345" s="144"/>
      <c r="D345" s="144"/>
      <c r="E345" s="693" t="s">
        <v>813</v>
      </c>
      <c r="F345" s="693" t="str">
        <f>Translations!$B$750</f>
        <v>Ferro-chromium, containing by weight &gt; 6% carbon</v>
      </c>
      <c r="G345" s="694"/>
      <c r="H345" s="694"/>
      <c r="I345" s="694"/>
      <c r="J345" s="694"/>
      <c r="K345" s="694"/>
      <c r="L345" s="694"/>
      <c r="M345" s="697" t="str">
        <f>Translations!$B$677</f>
        <v>Alloys (FeMn, FeCr, FeNi)</v>
      </c>
      <c r="N345" s="620"/>
      <c r="O345" s="428"/>
    </row>
    <row r="346" spans="1:15" ht="12.75" customHeight="1" x14ac:dyDescent="0.2">
      <c r="A346" s="92"/>
      <c r="B346" s="144"/>
      <c r="C346" s="144"/>
      <c r="D346" s="144"/>
      <c r="E346" s="693" t="s">
        <v>815</v>
      </c>
      <c r="F346" s="693" t="str">
        <f>Translations!$B$751</f>
        <v>Ferro-chromium, containing by weight &lt;= 4% of carbon</v>
      </c>
      <c r="G346" s="694"/>
      <c r="H346" s="694"/>
      <c r="I346" s="694"/>
      <c r="J346" s="694"/>
      <c r="K346" s="694"/>
      <c r="L346" s="694"/>
      <c r="M346" s="697" t="str">
        <f>Translations!$B$677</f>
        <v>Alloys (FeMn, FeCr, FeNi)</v>
      </c>
      <c r="N346" s="620"/>
      <c r="O346" s="428"/>
    </row>
    <row r="347" spans="1:15" ht="12.75" customHeight="1" x14ac:dyDescent="0.2">
      <c r="A347" s="92"/>
      <c r="B347" s="144"/>
      <c r="C347" s="144"/>
      <c r="D347" s="144"/>
      <c r="E347" s="693" t="s">
        <v>818</v>
      </c>
      <c r="F347" s="693" t="str">
        <f>Translations!$B$752</f>
        <v>Ferro-chromium, containing by weight &lt;= 0,05% carbon</v>
      </c>
      <c r="G347" s="694"/>
      <c r="H347" s="694"/>
      <c r="I347" s="694"/>
      <c r="J347" s="694"/>
      <c r="K347" s="694"/>
      <c r="L347" s="694"/>
      <c r="M347" s="697" t="str">
        <f>Translations!$B$677</f>
        <v>Alloys (FeMn, FeCr, FeNi)</v>
      </c>
      <c r="N347" s="620"/>
      <c r="O347" s="428"/>
    </row>
    <row r="348" spans="1:15" ht="12.75" customHeight="1" x14ac:dyDescent="0.2">
      <c r="A348" s="92"/>
      <c r="B348" s="144"/>
      <c r="C348" s="144"/>
      <c r="D348" s="144"/>
      <c r="E348" s="693" t="s">
        <v>821</v>
      </c>
      <c r="F348" s="693" t="str">
        <f>Translations!$B$753</f>
        <v>Ferro-chromium, containing by weight &gt; 0,05% but &lt;= 0,5% carbon</v>
      </c>
      <c r="G348" s="694"/>
      <c r="H348" s="694"/>
      <c r="I348" s="694"/>
      <c r="J348" s="694"/>
      <c r="K348" s="694"/>
      <c r="L348" s="694"/>
      <c r="M348" s="697" t="str">
        <f>Translations!$B$677</f>
        <v>Alloys (FeMn, FeCr, FeNi)</v>
      </c>
      <c r="N348" s="620"/>
      <c r="O348" s="428"/>
    </row>
    <row r="349" spans="1:15" ht="12.75" customHeight="1" x14ac:dyDescent="0.2">
      <c r="A349" s="92"/>
      <c r="B349" s="144"/>
      <c r="C349" s="144"/>
      <c r="D349" s="144"/>
      <c r="E349" s="693" t="s">
        <v>824</v>
      </c>
      <c r="F349" s="693" t="str">
        <f>Translations!$B$754</f>
        <v>Ferro-chromium, containing by weight &gt; 0,5% but &lt;= 4% carbon</v>
      </c>
      <c r="G349" s="694"/>
      <c r="H349" s="694"/>
      <c r="I349" s="694"/>
      <c r="J349" s="694"/>
      <c r="K349" s="694"/>
      <c r="L349" s="694"/>
      <c r="M349" s="697" t="str">
        <f>Translations!$B$677</f>
        <v>Alloys (FeMn, FeCr, FeNi)</v>
      </c>
      <c r="N349" s="620"/>
      <c r="O349" s="428"/>
    </row>
    <row r="350" spans="1:15" ht="12.75" customHeight="1" x14ac:dyDescent="0.2">
      <c r="A350" s="92"/>
      <c r="B350" s="144"/>
      <c r="C350" s="144"/>
      <c r="D350" s="144"/>
      <c r="E350" s="693" t="s">
        <v>827</v>
      </c>
      <c r="F350" s="693" t="str">
        <f>Translations!$B$755</f>
        <v>Ferro-nickel</v>
      </c>
      <c r="G350" s="694"/>
      <c r="H350" s="694"/>
      <c r="I350" s="694"/>
      <c r="J350" s="694"/>
      <c r="K350" s="694"/>
      <c r="L350" s="694"/>
      <c r="M350" s="697" t="str">
        <f>Translations!$B$677</f>
        <v>Alloys (FeMn, FeCr, FeNi)</v>
      </c>
      <c r="N350" s="620"/>
      <c r="O350" s="428"/>
    </row>
    <row r="351" spans="1:15" ht="12.75" customHeight="1" x14ac:dyDescent="0.2">
      <c r="A351" s="92"/>
      <c r="B351" s="144"/>
      <c r="C351" s="144"/>
      <c r="D351" s="144"/>
      <c r="E351" s="693" t="s">
        <v>829</v>
      </c>
      <c r="F351" s="693" t="str">
        <f>Translations!$B$756</f>
        <v>Ferrous products obtained by direct reduction of iron ore and other spongy ferrous products, in lumps, pellets or similar forms; iron having a minimum purity by weight of 99,94%, in lumps, pellets or similar forms</v>
      </c>
      <c r="G351" s="694"/>
      <c r="H351" s="694"/>
      <c r="I351" s="694"/>
      <c r="J351" s="694"/>
      <c r="K351" s="694"/>
      <c r="L351" s="694"/>
      <c r="M351" s="697" t="str">
        <f>Translations!$B$673</f>
        <v>Direct reduced iron</v>
      </c>
      <c r="N351" s="620"/>
      <c r="O351" s="428"/>
    </row>
    <row r="352" spans="1:15" ht="12.75" customHeight="1" x14ac:dyDescent="0.2">
      <c r="A352" s="92"/>
      <c r="B352" s="144"/>
      <c r="C352" s="144"/>
      <c r="D352" s="144"/>
      <c r="E352" s="693" t="s">
        <v>832</v>
      </c>
      <c r="F352" s="693" t="str">
        <f>Translations!$B$757</f>
        <v>Ferrous products obtained by direct reduction of iron ore, in lumps, pellets or similar forms</v>
      </c>
      <c r="G352" s="694"/>
      <c r="H352" s="694"/>
      <c r="I352" s="694"/>
      <c r="J352" s="694"/>
      <c r="K352" s="694"/>
      <c r="L352" s="694"/>
      <c r="M352" s="697" t="str">
        <f>Translations!$B$673</f>
        <v>Direct reduced iron</v>
      </c>
      <c r="N352" s="620"/>
      <c r="O352" s="428"/>
    </row>
    <row r="353" spans="1:15" ht="12.75" customHeight="1" x14ac:dyDescent="0.2">
      <c r="A353" s="92"/>
      <c r="B353" s="144"/>
      <c r="C353" s="144"/>
      <c r="D353" s="144"/>
      <c r="E353" s="693" t="s">
        <v>835</v>
      </c>
      <c r="F353" s="693" t="str">
        <f>Translations!$B$758</f>
        <v>Spongy ferrous products, obtained from molten pig iron by atomisation, iron of a purity of &gt;= 99,94%, in lumps, pellets or similar forms</v>
      </c>
      <c r="G353" s="694"/>
      <c r="H353" s="694"/>
      <c r="I353" s="694"/>
      <c r="J353" s="694"/>
      <c r="K353" s="694"/>
      <c r="L353" s="694"/>
      <c r="M353" s="697" t="str">
        <f>Translations!$B$673</f>
        <v>Direct reduced iron</v>
      </c>
      <c r="N353" s="620"/>
      <c r="O353" s="428"/>
    </row>
    <row r="354" spans="1:15" ht="12.75" customHeight="1" x14ac:dyDescent="0.2">
      <c r="A354" s="92"/>
      <c r="B354" s="144"/>
      <c r="C354" s="144"/>
      <c r="D354" s="144"/>
      <c r="E354" s="693" t="s">
        <v>837</v>
      </c>
      <c r="F354" s="693" t="str">
        <f>Translations!$B$759</f>
        <v>Granules and powders of pig iron, spiegeleisen, iron or steel (excl. granules and powders of ferro-alloys, turnings and filings of iron or steel, radioactive iron powders "isotopes" and certain low-calibre, substandard balls for ballbearings)</v>
      </c>
      <c r="G354" s="694"/>
      <c r="H354" s="694"/>
      <c r="I354" s="694"/>
      <c r="J354" s="694"/>
      <c r="K354" s="694"/>
      <c r="L354" s="694"/>
      <c r="M354" s="697" t="str">
        <f>Translations!$B$611</f>
        <v>Iron or steel products</v>
      </c>
      <c r="N354" s="620"/>
      <c r="O354" s="428"/>
    </row>
    <row r="355" spans="1:15" ht="12.75" customHeight="1" x14ac:dyDescent="0.2">
      <c r="A355" s="92"/>
      <c r="B355" s="144"/>
      <c r="C355" s="144"/>
      <c r="D355" s="144"/>
      <c r="E355" s="693" t="s">
        <v>840</v>
      </c>
      <c r="F355" s="693" t="str">
        <f>Translations!$B$760</f>
        <v>Granules, of pig iron, spiegeleisen, iron or steel (excl. granules of ferro-alloys, turnings and filings of iron or steel, certain small calibre items, defective balls for ball-bearings)</v>
      </c>
      <c r="G355" s="694"/>
      <c r="H355" s="694"/>
      <c r="I355" s="694"/>
      <c r="J355" s="694"/>
      <c r="K355" s="694"/>
      <c r="L355" s="694"/>
      <c r="M355" s="697" t="str">
        <f>Translations!$B$611</f>
        <v>Iron or steel products</v>
      </c>
      <c r="N355" s="620"/>
      <c r="O355" s="428"/>
    </row>
    <row r="356" spans="1:15" ht="12.75" customHeight="1" x14ac:dyDescent="0.2">
      <c r="A356" s="92"/>
      <c r="B356" s="144"/>
      <c r="C356" s="144"/>
      <c r="D356" s="144"/>
      <c r="E356" s="693" t="s">
        <v>843</v>
      </c>
      <c r="F356" s="693" t="str">
        <f>Translations!$B$761</f>
        <v>Powders, of alloy steel (excl. powders of ferro-alloys and radioactive iron powders "isotopes")</v>
      </c>
      <c r="G356" s="694"/>
      <c r="H356" s="694"/>
      <c r="I356" s="694"/>
      <c r="J356" s="694"/>
      <c r="K356" s="694"/>
      <c r="L356" s="694"/>
      <c r="M356" s="697" t="str">
        <f>Translations!$B$611</f>
        <v>Iron or steel products</v>
      </c>
      <c r="N356" s="620"/>
      <c r="O356" s="428"/>
    </row>
    <row r="357" spans="1:15" ht="12.75" customHeight="1" x14ac:dyDescent="0.2">
      <c r="A357" s="92"/>
      <c r="B357" s="144"/>
      <c r="C357" s="144"/>
      <c r="D357" s="144"/>
      <c r="E357" s="693" t="s">
        <v>846</v>
      </c>
      <c r="F357" s="693" t="str">
        <f>Translations!$B$762</f>
        <v>Powders, of pig iron, spiegeleisen, iron or non-alloy steel (excl. powders of ferro-alloys and radioactive iron powders "isotopes")</v>
      </c>
      <c r="G357" s="694"/>
      <c r="H357" s="694"/>
      <c r="I357" s="694"/>
      <c r="J357" s="694"/>
      <c r="K357" s="694"/>
      <c r="L357" s="694"/>
      <c r="M357" s="697" t="str">
        <f>Translations!$B$611</f>
        <v>Iron or steel products</v>
      </c>
      <c r="N357" s="620"/>
      <c r="O357" s="428"/>
    </row>
    <row r="358" spans="1:15" ht="12.75" customHeight="1" x14ac:dyDescent="0.2">
      <c r="A358" s="92"/>
      <c r="B358" s="144"/>
      <c r="C358" s="144"/>
      <c r="D358" s="144"/>
      <c r="E358" s="693" t="s">
        <v>848</v>
      </c>
      <c r="F358" s="693" t="str">
        <f>Translations!$B$763</f>
        <v>Iron and non-alloy steel in ingots or other primary forms (excl. remelting scrap ingots, products obtained by continuous casting and iron of heading 7203)</v>
      </c>
      <c r="G358" s="694"/>
      <c r="H358" s="694"/>
      <c r="I358" s="694"/>
      <c r="J358" s="694"/>
      <c r="K358" s="694"/>
      <c r="L358" s="694"/>
      <c r="M358" s="697" t="str">
        <f>Translations!$B$668</f>
        <v>Crude steel</v>
      </c>
      <c r="N358" s="620"/>
      <c r="O358" s="428"/>
    </row>
    <row r="359" spans="1:15" ht="12.75" customHeight="1" x14ac:dyDescent="0.2">
      <c r="A359" s="92"/>
      <c r="B359" s="144"/>
      <c r="C359" s="144"/>
      <c r="D359" s="144"/>
      <c r="E359" s="693" t="s">
        <v>851</v>
      </c>
      <c r="F359" s="693" t="str">
        <f>Translations!$B$764</f>
        <v>Ingots, of iron and non-alloy steel (excl. remelted scrap ingots, continuous cast products, iron of heading 7203)</v>
      </c>
      <c r="G359" s="694"/>
      <c r="H359" s="694"/>
      <c r="I359" s="694"/>
      <c r="J359" s="694"/>
      <c r="K359" s="694"/>
      <c r="L359" s="694"/>
      <c r="M359" s="697" t="str">
        <f>Translations!$B$668</f>
        <v>Crude steel</v>
      </c>
      <c r="N359" s="620"/>
      <c r="O359" s="428"/>
    </row>
    <row r="360" spans="1:15" ht="12.75" customHeight="1" x14ac:dyDescent="0.2">
      <c r="A360" s="92"/>
      <c r="B360" s="144"/>
      <c r="C360" s="144"/>
      <c r="D360" s="144"/>
      <c r="E360" s="693" t="s">
        <v>854</v>
      </c>
      <c r="F360" s="693" t="str">
        <f>Translations!$B$765</f>
        <v>Iron and non-alloy steel, in puddled bars or other primary forms (excl. ingots, remelted scrap ingots, continuous cast products, iron of heading 7203)</v>
      </c>
      <c r="G360" s="694"/>
      <c r="H360" s="694"/>
      <c r="I360" s="694"/>
      <c r="J360" s="694"/>
      <c r="K360" s="694"/>
      <c r="L360" s="694"/>
      <c r="M360" s="697" t="str">
        <f>Translations!$B$668</f>
        <v>Crude steel</v>
      </c>
      <c r="N360" s="620"/>
      <c r="O360" s="428"/>
    </row>
    <row r="361" spans="1:15" ht="12.75" customHeight="1" x14ac:dyDescent="0.2">
      <c r="A361" s="92"/>
      <c r="B361" s="144"/>
      <c r="C361" s="144"/>
      <c r="D361" s="144"/>
      <c r="E361" s="693" t="s">
        <v>856</v>
      </c>
      <c r="F361" s="693" t="str">
        <f>Translations!$B$766</f>
        <v>Semi-finished products of iron or non-alloy steel</v>
      </c>
      <c r="G361" s="694"/>
      <c r="H361" s="694"/>
      <c r="I361" s="694"/>
      <c r="J361" s="694"/>
      <c r="K361" s="694"/>
      <c r="L361" s="694"/>
      <c r="M361" s="697" t="str">
        <f>Translations!$B$668</f>
        <v>Crude steel</v>
      </c>
      <c r="N361" s="620"/>
      <c r="O361" s="428"/>
    </row>
    <row r="362" spans="1:15" ht="12.75" customHeight="1" x14ac:dyDescent="0.2">
      <c r="A362" s="92"/>
      <c r="B362" s="144"/>
      <c r="C362" s="144"/>
      <c r="D362" s="144"/>
      <c r="E362" s="693" t="s">
        <v>858</v>
      </c>
      <c r="F362" s="693" t="str">
        <f>Translations!$B$767</f>
        <v>Semi-finished products of iron or non-alloy steel containing, by weight, &lt; 0,25% of carbon, of square or rectangular cross-section, the width measuring &lt; twice the thickness</v>
      </c>
      <c r="G362" s="694"/>
      <c r="H362" s="694"/>
      <c r="I362" s="694"/>
      <c r="J362" s="694"/>
      <c r="K362" s="694"/>
      <c r="L362" s="694"/>
      <c r="M362" s="697" t="str">
        <f>Translations!$B$668</f>
        <v>Crude steel</v>
      </c>
      <c r="N362" s="620"/>
      <c r="O362" s="428"/>
    </row>
    <row r="363" spans="1:15" ht="12.75" customHeight="1" x14ac:dyDescent="0.2">
      <c r="A363" s="92"/>
      <c r="B363" s="144"/>
      <c r="C363" s="144"/>
      <c r="D363" s="144"/>
      <c r="E363" s="693" t="s">
        <v>861</v>
      </c>
      <c r="F363" s="693" t="str">
        <f>Translations!$B$768</f>
        <v>Semi-finished products, of non-alloy free-cutting steel, containing by weight &lt; 0,25% carbon, of square or rectangular cross-section, the width &lt; twice the thickness, rolled or obtained by continuous casting</v>
      </c>
      <c r="G363" s="694"/>
      <c r="H363" s="694"/>
      <c r="I363" s="694"/>
      <c r="J363" s="694"/>
      <c r="K363" s="694"/>
      <c r="L363" s="694"/>
      <c r="M363" s="697" t="str">
        <f>Translations!$B$668</f>
        <v>Crude steel</v>
      </c>
      <c r="N363" s="620"/>
      <c r="O363" s="428"/>
    </row>
    <row r="364" spans="1:15" ht="12.75" customHeight="1" x14ac:dyDescent="0.2">
      <c r="A364" s="92"/>
      <c r="B364" s="144"/>
      <c r="C364" s="144"/>
      <c r="D364" s="144"/>
      <c r="E364" s="693" t="s">
        <v>864</v>
      </c>
      <c r="F364" s="693" t="str">
        <f>Translations!$B$769</f>
        <v>Semi-finished products, of iron or non-alloy steel, containing by weight &lt; 0,25% carbon, of square or rectangular cross-section, the width &lt; twice the thickness of &lt;= 130 mm, rolled or obtained by continuous casting (excl. free-cutting steel)</v>
      </c>
      <c r="G364" s="694"/>
      <c r="H364" s="694"/>
      <c r="I364" s="694"/>
      <c r="J364" s="694"/>
      <c r="K364" s="694"/>
      <c r="L364" s="694"/>
      <c r="M364" s="697" t="str">
        <f>Translations!$B$668</f>
        <v>Crude steel</v>
      </c>
      <c r="N364" s="620"/>
      <c r="O364" s="428"/>
    </row>
    <row r="365" spans="1:15" ht="12.75" customHeight="1" x14ac:dyDescent="0.2">
      <c r="A365" s="92"/>
      <c r="B365" s="144"/>
      <c r="C365" s="144"/>
      <c r="D365" s="144"/>
      <c r="E365" s="693" t="s">
        <v>867</v>
      </c>
      <c r="F365" s="693" t="str">
        <f>Translations!$B$770</f>
        <v>Semi-finished products, of iron or non-alloy steel, containing by weight &lt; 0,25% carbon, of square or rectangular cross-section, the width &lt; twice the thickness of &gt; 130 mm, rolled or obtained by continuous casting (excl. free-cutting steel)</v>
      </c>
      <c r="G365" s="694"/>
      <c r="H365" s="694"/>
      <c r="I365" s="694"/>
      <c r="J365" s="694"/>
      <c r="K365" s="694"/>
      <c r="L365" s="694"/>
      <c r="M365" s="697" t="str">
        <f>Translations!$B$668</f>
        <v>Crude steel</v>
      </c>
      <c r="N365" s="620"/>
      <c r="O365" s="428"/>
    </row>
    <row r="366" spans="1:15" ht="12.75" customHeight="1" x14ac:dyDescent="0.2">
      <c r="A366" s="92"/>
      <c r="B366" s="144"/>
      <c r="C366" s="144"/>
      <c r="D366" s="144"/>
      <c r="E366" s="693" t="s">
        <v>870</v>
      </c>
      <c r="F366" s="693" t="str">
        <f>Translations!$B$771</f>
        <v>Semi-finished products of iron or non-alloy steel, containing by weight &lt; 0,25% carbon, of rectangular cross-section, the width &lt; twice the thickness, forged</v>
      </c>
      <c r="G366" s="694"/>
      <c r="H366" s="694"/>
      <c r="I366" s="694"/>
      <c r="J366" s="694"/>
      <c r="K366" s="694"/>
      <c r="L366" s="694"/>
      <c r="M366" s="697" t="str">
        <f>Translations!$B$668</f>
        <v>Crude steel</v>
      </c>
      <c r="N366" s="620"/>
      <c r="O366" s="428"/>
    </row>
    <row r="367" spans="1:15" ht="12.75" customHeight="1" x14ac:dyDescent="0.2">
      <c r="A367" s="92"/>
      <c r="B367" s="144"/>
      <c r="C367" s="144"/>
      <c r="D367" s="144"/>
      <c r="E367" s="693" t="s">
        <v>872</v>
      </c>
      <c r="F367" s="693" t="str">
        <f>Translations!$B$772</f>
        <v>Semi-finished products of iron or non-alloy steel containing, by weight, &lt; 0,25% of carbon, of rectangular "other than square" cross-section, the width measuring &gt;= twice the thickness</v>
      </c>
      <c r="G367" s="694"/>
      <c r="H367" s="694"/>
      <c r="I367" s="694"/>
      <c r="J367" s="694"/>
      <c r="K367" s="694"/>
      <c r="L367" s="694"/>
      <c r="M367" s="697" t="str">
        <f>Translations!$B$668</f>
        <v>Crude steel</v>
      </c>
      <c r="N367" s="620"/>
      <c r="O367" s="428"/>
    </row>
    <row r="368" spans="1:15" ht="12.75" customHeight="1" x14ac:dyDescent="0.2">
      <c r="A368" s="92"/>
      <c r="B368" s="144"/>
      <c r="C368" s="144"/>
      <c r="D368" s="144"/>
      <c r="E368" s="693" t="s">
        <v>875</v>
      </c>
      <c r="F368" s="693" t="str">
        <f>Translations!$B$773</f>
        <v>Semi-finished products of iron or non-alloy steel, containing by weight &lt; 0,25 of carbon, of rectangular "other than square" cross-section, the width measuring &gt;= twice the thickness, rolled or obtained by continuous casting</v>
      </c>
      <c r="G368" s="694"/>
      <c r="H368" s="694"/>
      <c r="I368" s="694"/>
      <c r="J368" s="694"/>
      <c r="K368" s="694"/>
      <c r="L368" s="694"/>
      <c r="M368" s="697" t="str">
        <f>Translations!$B$668</f>
        <v>Crude steel</v>
      </c>
      <c r="N368" s="620"/>
      <c r="O368" s="428"/>
    </row>
    <row r="369" spans="1:15" ht="12.75" customHeight="1" x14ac:dyDescent="0.2">
      <c r="A369" s="92"/>
      <c r="B369" s="144"/>
      <c r="C369" s="144"/>
      <c r="D369" s="144"/>
      <c r="E369" s="693" t="s">
        <v>878</v>
      </c>
      <c r="F369" s="693" t="str">
        <f>Translations!$B$774</f>
        <v>Semi-finished products of iron or non-alloy steel, containing by weight &lt; 0,25% carbon, of rectangular "other than square" cross-section, the width &gt;= twice the thickness, forged</v>
      </c>
      <c r="G369" s="694"/>
      <c r="H369" s="694"/>
      <c r="I369" s="694"/>
      <c r="J369" s="694"/>
      <c r="K369" s="694"/>
      <c r="L369" s="694"/>
      <c r="M369" s="697" t="str">
        <f>Translations!$B$668</f>
        <v>Crude steel</v>
      </c>
      <c r="N369" s="620"/>
      <c r="O369" s="428"/>
    </row>
    <row r="370" spans="1:15" ht="12.75" customHeight="1" x14ac:dyDescent="0.2">
      <c r="A370" s="92"/>
      <c r="B370" s="144"/>
      <c r="C370" s="144"/>
      <c r="D370" s="144"/>
      <c r="E370" s="693" t="s">
        <v>880</v>
      </c>
      <c r="F370" s="693" t="str">
        <f>Translations!$B$775</f>
        <v>Semi-finished products of iron or non-alloy steel containing, by weight, &lt; 0,25% of carbon, of circular cross-section, or of a cross-section other than square or rectangular</v>
      </c>
      <c r="G370" s="694"/>
      <c r="H370" s="694"/>
      <c r="I370" s="694"/>
      <c r="J370" s="694"/>
      <c r="K370" s="694"/>
      <c r="L370" s="694"/>
      <c r="M370" s="697" t="str">
        <f>Translations!$B$668</f>
        <v>Crude steel</v>
      </c>
      <c r="N370" s="620"/>
      <c r="O370" s="428"/>
    </row>
    <row r="371" spans="1:15" ht="12.75" customHeight="1" x14ac:dyDescent="0.2">
      <c r="A371" s="92"/>
      <c r="B371" s="144"/>
      <c r="C371" s="144"/>
      <c r="D371" s="144"/>
      <c r="E371" s="693" t="s">
        <v>883</v>
      </c>
      <c r="F371" s="693" t="str">
        <f>Translations!$B$776</f>
        <v>Semi-finished products, of iron or non-alloy steel, containing by weight &lt; 0,25% carbon, of circular or polygonal cross-section, rolled or obtained by continuous casting</v>
      </c>
      <c r="G371" s="694"/>
      <c r="H371" s="694"/>
      <c r="I371" s="694"/>
      <c r="J371" s="694"/>
      <c r="K371" s="694"/>
      <c r="L371" s="694"/>
      <c r="M371" s="697" t="str">
        <f>Translations!$B$668</f>
        <v>Crude steel</v>
      </c>
      <c r="N371" s="620"/>
      <c r="O371" s="428"/>
    </row>
    <row r="372" spans="1:15" ht="12.75" customHeight="1" x14ac:dyDescent="0.2">
      <c r="A372" s="92"/>
      <c r="B372" s="144"/>
      <c r="C372" s="144"/>
      <c r="D372" s="144"/>
      <c r="E372" s="693" t="s">
        <v>886</v>
      </c>
      <c r="F372" s="693" t="str">
        <f>Translations!$B$612</f>
        <v>Semi-finished products of iron or non-alloy steel, containing by weight &lt; 0,25% carbon, of circular or polygonal cross-section, forged</v>
      </c>
      <c r="G372" s="694"/>
      <c r="H372" s="694"/>
      <c r="I372" s="694"/>
      <c r="J372" s="694"/>
      <c r="K372" s="694"/>
      <c r="L372" s="694"/>
      <c r="M372" s="697" t="str">
        <f>Translations!$B$668</f>
        <v>Crude steel</v>
      </c>
      <c r="N372" s="620"/>
      <c r="O372" s="428"/>
    </row>
    <row r="373" spans="1:15" ht="12.75" customHeight="1" x14ac:dyDescent="0.2">
      <c r="A373" s="92"/>
      <c r="B373" s="144"/>
      <c r="C373" s="144"/>
      <c r="D373" s="144"/>
      <c r="E373" s="693" t="s">
        <v>889</v>
      </c>
      <c r="F373" s="693" t="str">
        <f>Translations!$B$777</f>
        <v>Semi-finished products of iron or non-alloy steel, containing by weight &lt; 0,25% carbon (excl. semi-products, of square, rectangular, circular or polygonal cross-section)</v>
      </c>
      <c r="G373" s="694"/>
      <c r="H373" s="694"/>
      <c r="I373" s="694"/>
      <c r="J373" s="694"/>
      <c r="K373" s="694"/>
      <c r="L373" s="694"/>
      <c r="M373" s="697" t="str">
        <f>Translations!$B$668</f>
        <v>Crude steel</v>
      </c>
      <c r="N373" s="620"/>
      <c r="O373" s="428"/>
    </row>
    <row r="374" spans="1:15" ht="12.75" customHeight="1" x14ac:dyDescent="0.2">
      <c r="A374" s="92"/>
      <c r="B374" s="144"/>
      <c r="C374" s="144"/>
      <c r="D374" s="144"/>
      <c r="E374" s="693" t="s">
        <v>891</v>
      </c>
      <c r="F374" s="693" t="str">
        <f>Translations!$B$778</f>
        <v>Semi-finished products of iron or non-alloy steel containing, by weight, &gt;= 0,25% of carbon</v>
      </c>
      <c r="G374" s="694"/>
      <c r="H374" s="694"/>
      <c r="I374" s="694"/>
      <c r="J374" s="694"/>
      <c r="K374" s="694"/>
      <c r="L374" s="694"/>
      <c r="M374" s="697" t="str">
        <f>Translations!$B$668</f>
        <v>Crude steel</v>
      </c>
      <c r="N374" s="620"/>
      <c r="O374" s="428"/>
    </row>
    <row r="375" spans="1:15" ht="12.75" customHeight="1" x14ac:dyDescent="0.2">
      <c r="A375" s="92"/>
      <c r="B375" s="144"/>
      <c r="C375" s="144"/>
      <c r="D375" s="144"/>
      <c r="E375" s="693" t="s">
        <v>894</v>
      </c>
      <c r="F375" s="693" t="str">
        <f>Translations!$B$779</f>
        <v>Semi-finished products, of non-alloy free-cutting steel, containing by weight &gt;= 0,25% carbon, of square or rectangular cross-section, the width &lt; twice the thickness, rolled or obtained by continuous casting</v>
      </c>
      <c r="G375" s="694"/>
      <c r="H375" s="694"/>
      <c r="I375" s="694"/>
      <c r="J375" s="694"/>
      <c r="K375" s="694"/>
      <c r="L375" s="694"/>
      <c r="M375" s="697" t="str">
        <f>Translations!$B$668</f>
        <v>Crude steel</v>
      </c>
      <c r="N375" s="620"/>
      <c r="O375" s="428"/>
    </row>
    <row r="376" spans="1:15" ht="12.75" customHeight="1" x14ac:dyDescent="0.2">
      <c r="A376" s="92"/>
      <c r="B376" s="144"/>
      <c r="C376" s="144"/>
      <c r="D376" s="144"/>
      <c r="E376" s="693" t="s">
        <v>897</v>
      </c>
      <c r="F376" s="693" t="str">
        <f>Translations!$B$780</f>
        <v>Semi-finished products of iron or non-alloy steel, containing by weight &gt;= 0,25% but &lt; 0,6% carbon, of square or rectangular cross-section, the width &lt; twice the thickness, rolled or obtained by continuous casting (excl. free-cutting steel)</v>
      </c>
      <c r="G376" s="694"/>
      <c r="H376" s="694"/>
      <c r="I376" s="694"/>
      <c r="J376" s="694"/>
      <c r="K376" s="694"/>
      <c r="L376" s="694"/>
      <c r="M376" s="697" t="str">
        <f>Translations!$B$668</f>
        <v>Crude steel</v>
      </c>
      <c r="N376" s="620"/>
      <c r="O376" s="428"/>
    </row>
    <row r="377" spans="1:15" ht="12.75" customHeight="1" x14ac:dyDescent="0.2">
      <c r="A377" s="92"/>
      <c r="B377" s="144"/>
      <c r="C377" s="144"/>
      <c r="D377" s="144"/>
      <c r="E377" s="693" t="s">
        <v>900</v>
      </c>
      <c r="F377" s="693" t="str">
        <f>Translations!$B$781</f>
        <v>Semi-finished products of iron or non-alloy steel, containing by weight &gt;= 0,6% carbon, of square or rectangular cross-section, the width &lt; twice the thickness, rolled or obtained by continuous casting (excl. free-cutting steel)</v>
      </c>
      <c r="G377" s="694"/>
      <c r="H377" s="694"/>
      <c r="I377" s="694"/>
      <c r="J377" s="694"/>
      <c r="K377" s="694"/>
      <c r="L377" s="694"/>
      <c r="M377" s="697" t="str">
        <f>Translations!$B$668</f>
        <v>Crude steel</v>
      </c>
      <c r="N377" s="620"/>
      <c r="O377" s="428"/>
    </row>
    <row r="378" spans="1:15" ht="12.75" customHeight="1" x14ac:dyDescent="0.2">
      <c r="A378" s="92"/>
      <c r="B378" s="144"/>
      <c r="C378" s="144"/>
      <c r="D378" s="144"/>
      <c r="E378" s="693" t="s">
        <v>903</v>
      </c>
      <c r="F378" s="693" t="str">
        <f>Translations!$B$782</f>
        <v>Semi-finished products of iron or non-alloy steel, containing by weight &gt;= 0,25% carbon, of square or rectangular cross-section, the width &lt; twice the thickness, forged</v>
      </c>
      <c r="G378" s="694"/>
      <c r="H378" s="694"/>
      <c r="I378" s="694"/>
      <c r="J378" s="694"/>
      <c r="K378" s="694"/>
      <c r="L378" s="694"/>
      <c r="M378" s="697" t="str">
        <f>Translations!$B$668</f>
        <v>Crude steel</v>
      </c>
      <c r="N378" s="620"/>
      <c r="O378" s="428"/>
    </row>
    <row r="379" spans="1:15" ht="12.75" customHeight="1" x14ac:dyDescent="0.2">
      <c r="A379" s="92"/>
      <c r="B379" s="144"/>
      <c r="C379" s="144"/>
      <c r="D379" s="144"/>
      <c r="E379" s="693" t="s">
        <v>906</v>
      </c>
      <c r="F379" s="693" t="str">
        <f>Translations!$B$783</f>
        <v>Semi-finished products of iron or non-alloy steel, containing by weight &gt;= 0,25 of carbon, of rectangular "other than square" cross-section, the width measuring &gt;= twice the thickness, rolled or obtained by continuous casting</v>
      </c>
      <c r="G379" s="694"/>
      <c r="H379" s="694"/>
      <c r="I379" s="694"/>
      <c r="J379" s="694"/>
      <c r="K379" s="694"/>
      <c r="L379" s="694"/>
      <c r="M379" s="697" t="str">
        <f>Translations!$B$668</f>
        <v>Crude steel</v>
      </c>
      <c r="N379" s="620"/>
      <c r="O379" s="428"/>
    </row>
    <row r="380" spans="1:15" ht="12.75" customHeight="1" x14ac:dyDescent="0.2">
      <c r="A380" s="92"/>
      <c r="B380" s="144"/>
      <c r="C380" s="144"/>
      <c r="D380" s="144"/>
      <c r="E380" s="693" t="s">
        <v>909</v>
      </c>
      <c r="F380" s="693" t="str">
        <f>Translations!$B$784</f>
        <v>Semi-finished products of iron or non-alloy steel, containing by weight &gt;= 0,25% carbon, of rectangular "other than square" cross-section and the width &gt;= twice the thickness, forged</v>
      </c>
      <c r="G380" s="694"/>
      <c r="H380" s="694"/>
      <c r="I380" s="694"/>
      <c r="J380" s="694"/>
      <c r="K380" s="694"/>
      <c r="L380" s="694"/>
      <c r="M380" s="697" t="str">
        <f>Translations!$B$668</f>
        <v>Crude steel</v>
      </c>
      <c r="N380" s="620"/>
      <c r="O380" s="428"/>
    </row>
    <row r="381" spans="1:15" ht="12.75" customHeight="1" x14ac:dyDescent="0.2">
      <c r="A381" s="92"/>
      <c r="B381" s="144"/>
      <c r="C381" s="144"/>
      <c r="D381" s="144"/>
      <c r="E381" s="693" t="s">
        <v>912</v>
      </c>
      <c r="F381" s="693" t="str">
        <f>Translations!$B$785</f>
        <v>Semi-finished products of iron or non-alloy steel, containing by weight &gt;= 0,25% carbon, of circular or polygonal cross-section, rolled or obtained by continuous casting</v>
      </c>
      <c r="G381" s="694"/>
      <c r="H381" s="694"/>
      <c r="I381" s="694"/>
      <c r="J381" s="694"/>
      <c r="K381" s="694"/>
      <c r="L381" s="694"/>
      <c r="M381" s="697" t="str">
        <f>Translations!$B$668</f>
        <v>Crude steel</v>
      </c>
      <c r="N381" s="620"/>
      <c r="O381" s="428"/>
    </row>
    <row r="382" spans="1:15" ht="12.75" customHeight="1" x14ac:dyDescent="0.2">
      <c r="A382" s="92"/>
      <c r="B382" s="144"/>
      <c r="C382" s="144"/>
      <c r="D382" s="144"/>
      <c r="E382" s="693" t="s">
        <v>915</v>
      </c>
      <c r="F382" s="693" t="str">
        <f>Translations!$B$786</f>
        <v>Semi-finished products of iron or non-alloy steel, containing by weight &gt;= 0,6% carbon, of circular or polygonal cross-section, forged</v>
      </c>
      <c r="G382" s="694"/>
      <c r="H382" s="694"/>
      <c r="I382" s="694"/>
      <c r="J382" s="694"/>
      <c r="K382" s="694"/>
      <c r="L382" s="694"/>
      <c r="M382" s="697" t="str">
        <f>Translations!$B$668</f>
        <v>Crude steel</v>
      </c>
      <c r="N382" s="620"/>
      <c r="O382" s="428"/>
    </row>
    <row r="383" spans="1:15" ht="12.75" customHeight="1" x14ac:dyDescent="0.2">
      <c r="A383" s="92"/>
      <c r="B383" s="144"/>
      <c r="C383" s="144"/>
      <c r="D383" s="144"/>
      <c r="E383" s="693" t="s">
        <v>918</v>
      </c>
      <c r="F383" s="693" t="str">
        <f>Translations!$B$787</f>
        <v>Semi-finished products of iron or non-alloy steel, containing by weight &gt;= 0,25% carbon (excl. those of square, rectangular, circular or polygonal cross-section)</v>
      </c>
      <c r="G383" s="694"/>
      <c r="H383" s="694"/>
      <c r="I383" s="694"/>
      <c r="J383" s="694"/>
      <c r="K383" s="694"/>
      <c r="L383" s="694"/>
      <c r="M383" s="697" t="str">
        <f>Translations!$B$668</f>
        <v>Crude steel</v>
      </c>
      <c r="N383" s="620"/>
      <c r="O383" s="428"/>
    </row>
    <row r="384" spans="1:15" ht="12.75" customHeight="1" x14ac:dyDescent="0.2">
      <c r="A384" s="92"/>
      <c r="B384" s="144"/>
      <c r="C384" s="144"/>
      <c r="D384" s="144"/>
      <c r="E384" s="693" t="s">
        <v>920</v>
      </c>
      <c r="F384" s="693" t="str">
        <f>Translations!$B$788</f>
        <v>Flat-rolled products of iron or non-alloy steel, of a width &gt;= 600 mm, hot-rolled, not clad, plated or coated</v>
      </c>
      <c r="G384" s="694"/>
      <c r="H384" s="694"/>
      <c r="I384" s="694"/>
      <c r="J384" s="694"/>
      <c r="K384" s="694"/>
      <c r="L384" s="694"/>
      <c r="M384" s="697" t="str">
        <f>Translations!$B$611</f>
        <v>Iron or steel products</v>
      </c>
      <c r="N384" s="620"/>
      <c r="O384" s="428"/>
    </row>
    <row r="385" spans="1:15" ht="12.75" customHeight="1" x14ac:dyDescent="0.2">
      <c r="A385" s="92"/>
      <c r="B385" s="144"/>
      <c r="C385" s="144"/>
      <c r="D385" s="144"/>
      <c r="E385" s="693" t="s">
        <v>923</v>
      </c>
      <c r="F385" s="693" t="str">
        <f>Translations!$B$789</f>
        <v>Flat-rolled products of iron or non-alloy steel, of a width of &gt;= 600 mm, in coils, simply hot-rolled, not clad, plated or coated, with patterns in relief directly due to the rolling process</v>
      </c>
      <c r="G385" s="694"/>
      <c r="H385" s="694"/>
      <c r="I385" s="694"/>
      <c r="J385" s="694"/>
      <c r="K385" s="694"/>
      <c r="L385" s="694"/>
      <c r="M385" s="697" t="str">
        <f>Translations!$B$611</f>
        <v>Iron or steel products</v>
      </c>
      <c r="N385" s="620"/>
      <c r="O385" s="428"/>
    </row>
    <row r="386" spans="1:15" ht="12.75" customHeight="1" x14ac:dyDescent="0.2">
      <c r="A386" s="92"/>
      <c r="B386" s="144"/>
      <c r="C386" s="144"/>
      <c r="D386" s="144"/>
      <c r="E386" s="693" t="s">
        <v>926</v>
      </c>
      <c r="F386" s="693" t="str">
        <f>Translations!$B$790</f>
        <v>Flat-rolled products of iron or non-alloy steel, of a width of &gt;= 600 mm, in coils, simply hot-rolled, not clad, plated or coated, of a thickness of &gt;= 4,75 mm, pickled, without patterns in relief</v>
      </c>
      <c r="G386" s="694"/>
      <c r="H386" s="694"/>
      <c r="I386" s="694"/>
      <c r="J386" s="694"/>
      <c r="K386" s="694"/>
      <c r="L386" s="694"/>
      <c r="M386" s="697" t="str">
        <f>Translations!$B$611</f>
        <v>Iron or steel products</v>
      </c>
      <c r="N386" s="620"/>
      <c r="O386" s="428"/>
    </row>
    <row r="387" spans="1:15" ht="12.75" customHeight="1" x14ac:dyDescent="0.2">
      <c r="A387" s="92"/>
      <c r="B387" s="144"/>
      <c r="C387" s="144"/>
      <c r="D387" s="144"/>
      <c r="E387" s="693" t="s">
        <v>929</v>
      </c>
      <c r="F387" s="693" t="str">
        <f>Translations!$B$791</f>
        <v>Flat-rolled products of iron or non-alloy steel, of a width of &gt;= 600 mm, in coils, simply hot-rolled, not clad, plated or coated, of a thickness of &gt;= 3 mm but &lt; 4,75 mm, pickled, without patterns in relief</v>
      </c>
      <c r="G387" s="694"/>
      <c r="H387" s="694"/>
      <c r="I387" s="694"/>
      <c r="J387" s="694"/>
      <c r="K387" s="694"/>
      <c r="L387" s="694"/>
      <c r="M387" s="697" t="str">
        <f>Translations!$B$611</f>
        <v>Iron or steel products</v>
      </c>
      <c r="N387" s="620"/>
      <c r="O387" s="428"/>
    </row>
    <row r="388" spans="1:15" ht="12.75" customHeight="1" x14ac:dyDescent="0.2">
      <c r="A388" s="92"/>
      <c r="B388" s="144"/>
      <c r="C388" s="144"/>
      <c r="D388" s="144"/>
      <c r="E388" s="693" t="s">
        <v>932</v>
      </c>
      <c r="F388" s="693" t="str">
        <f>Translations!$B$792</f>
        <v>Flat-rolled products of iron or non-alloy steel, of a width of &gt;= 600 mm, in coils, simply hot-rolled, not clad, plated or coated, of a thickness of &lt; 3 mm, pickled, without patterns in relief</v>
      </c>
      <c r="G388" s="694"/>
      <c r="H388" s="694"/>
      <c r="I388" s="694"/>
      <c r="J388" s="694"/>
      <c r="K388" s="694"/>
      <c r="L388" s="694"/>
      <c r="M388" s="697" t="str">
        <f>Translations!$B$611</f>
        <v>Iron or steel products</v>
      </c>
      <c r="N388" s="620"/>
      <c r="O388" s="428"/>
    </row>
    <row r="389" spans="1:15" ht="12.75" customHeight="1" x14ac:dyDescent="0.2">
      <c r="A389" s="92"/>
      <c r="B389" s="144"/>
      <c r="C389" s="144"/>
      <c r="D389" s="144"/>
      <c r="E389" s="693" t="s">
        <v>935</v>
      </c>
      <c r="F389" s="693" t="str">
        <f>Translations!$B$793</f>
        <v>Flat-rolled products of iron or non-alloy steel, of a width of &gt;= 600 mm, in coils, simply hot-rolled, not clad, plated or coated, of a thickness of &gt;= 10 mm, not pickled, without patterns in relief</v>
      </c>
      <c r="G389" s="694"/>
      <c r="H389" s="694"/>
      <c r="I389" s="694"/>
      <c r="J389" s="694"/>
      <c r="K389" s="694"/>
      <c r="L389" s="694"/>
      <c r="M389" s="697" t="str">
        <f>Translations!$B$611</f>
        <v>Iron or steel products</v>
      </c>
      <c r="N389" s="620"/>
      <c r="O389" s="428"/>
    </row>
    <row r="390" spans="1:15" ht="12.75" customHeight="1" x14ac:dyDescent="0.2">
      <c r="A390" s="92"/>
      <c r="B390" s="144"/>
      <c r="C390" s="144"/>
      <c r="D390" s="144"/>
      <c r="E390" s="693" t="s">
        <v>938</v>
      </c>
      <c r="F390" s="693" t="str">
        <f>Translations!$B$794</f>
        <v>Flat-rolled products of iron or non-alloy steel, of a width of &gt;= 600 mm, in coils, simply hot-rolled, not clad, plated or coated, of a thickness of &gt;= 4,75 mm but &lt; 10 mm, not pickled, without patterns in relief</v>
      </c>
      <c r="G390" s="694"/>
      <c r="H390" s="694"/>
      <c r="I390" s="694"/>
      <c r="J390" s="694"/>
      <c r="K390" s="694"/>
      <c r="L390" s="694"/>
      <c r="M390" s="697" t="str">
        <f>Translations!$B$611</f>
        <v>Iron or steel products</v>
      </c>
      <c r="N390" s="620"/>
      <c r="O390" s="428"/>
    </row>
    <row r="391" spans="1:15" ht="12.75" customHeight="1" x14ac:dyDescent="0.2">
      <c r="A391" s="92"/>
      <c r="B391" s="144"/>
      <c r="C391" s="144"/>
      <c r="D391" s="144"/>
      <c r="E391" s="693" t="s">
        <v>941</v>
      </c>
      <c r="F391" s="693" t="str">
        <f>Translations!$B$795</f>
        <v>Flat-rolled products of iron or non-alloy steel, of a width of &gt;= 600 mm, in coils, simply hot-rolled, not clad, plated or coated, of a thickness of &gt;= 3 mm but &lt; 4,75 mm, not pickled, without patterns in relief</v>
      </c>
      <c r="G391" s="694"/>
      <c r="H391" s="694"/>
      <c r="I391" s="694"/>
      <c r="J391" s="694"/>
      <c r="K391" s="694"/>
      <c r="L391" s="694"/>
      <c r="M391" s="697" t="str">
        <f>Translations!$B$611</f>
        <v>Iron or steel products</v>
      </c>
      <c r="N391" s="620"/>
      <c r="O391" s="428"/>
    </row>
    <row r="392" spans="1:15" ht="12.75" customHeight="1" x14ac:dyDescent="0.2">
      <c r="A392" s="92"/>
      <c r="B392" s="144"/>
      <c r="C392" s="144"/>
      <c r="D392" s="144"/>
      <c r="E392" s="693" t="s">
        <v>944</v>
      </c>
      <c r="F392" s="693" t="str">
        <f>Translations!$B$796</f>
        <v>Flat-rolled products of iron or non-alloy steel, of a width of &gt;= 600 mm, in coils, simply hot-rolled, not clad, plated or coated, of a thickness of &lt; 3 mm, not pickled, without patterns in relief</v>
      </c>
      <c r="G392" s="694"/>
      <c r="H392" s="694"/>
      <c r="I392" s="694"/>
      <c r="J392" s="694"/>
      <c r="K392" s="694"/>
      <c r="L392" s="694"/>
      <c r="M392" s="697" t="str">
        <f>Translations!$B$611</f>
        <v>Iron or steel products</v>
      </c>
      <c r="N392" s="620"/>
      <c r="O392" s="428"/>
    </row>
    <row r="393" spans="1:15" ht="12.75" customHeight="1" x14ac:dyDescent="0.2">
      <c r="A393" s="92"/>
      <c r="B393" s="144"/>
      <c r="C393" s="144"/>
      <c r="D393" s="144"/>
      <c r="E393" s="693" t="s">
        <v>947</v>
      </c>
      <c r="F393" s="693" t="str">
        <f>Translations!$B$797</f>
        <v>Flat-rolled products of iron or non-alloy steel, of a width of &gt;= 600 mm, not in coils, simply hot-rolled, not clad, plated or coated, with patterns in relief directly due to the rolling process</v>
      </c>
      <c r="G393" s="694"/>
      <c r="H393" s="694"/>
      <c r="I393" s="694"/>
      <c r="J393" s="694"/>
      <c r="K393" s="694"/>
      <c r="L393" s="694"/>
      <c r="M393" s="697" t="str">
        <f>Translations!$B$611</f>
        <v>Iron or steel products</v>
      </c>
      <c r="N393" s="620"/>
      <c r="O393" s="428"/>
    </row>
    <row r="394" spans="1:15" ht="12.75" customHeight="1" x14ac:dyDescent="0.2">
      <c r="A394" s="92"/>
      <c r="B394" s="144"/>
      <c r="C394" s="144"/>
      <c r="D394" s="144"/>
      <c r="E394" s="693" t="s">
        <v>949</v>
      </c>
      <c r="F394" s="693" t="str">
        <f>Translations!$B$798</f>
        <v>Flat-rolled products of iron or non-alloy steel, of a width &gt;= 600 mm, not in coils, simply hot-rolled, not clad, plated or coated, of a thickness of &gt; 10 mm, without patterns in relief</v>
      </c>
      <c r="G394" s="694"/>
      <c r="H394" s="694"/>
      <c r="I394" s="694"/>
      <c r="J394" s="694"/>
      <c r="K394" s="694"/>
      <c r="L394" s="694"/>
      <c r="M394" s="697" t="str">
        <f>Translations!$B$611</f>
        <v>Iron or steel products</v>
      </c>
      <c r="N394" s="620"/>
      <c r="O394" s="428"/>
    </row>
    <row r="395" spans="1:15" ht="12.75" customHeight="1" x14ac:dyDescent="0.2">
      <c r="A395" s="92"/>
      <c r="B395" s="144"/>
      <c r="C395" s="144"/>
      <c r="D395" s="144"/>
      <c r="E395" s="693" t="s">
        <v>952</v>
      </c>
      <c r="F395" s="693" t="str">
        <f>Translations!$B$799</f>
        <v>Flat-rolled products of iron or non-alloy steel, of a width of &gt;= 600 mm, not in coils, simply hot-rolled, not clad, plated or coated, of a thickness of &gt; 15 mm, without patterns in relief</v>
      </c>
      <c r="G395" s="694"/>
      <c r="H395" s="694"/>
      <c r="I395" s="694"/>
      <c r="J395" s="694"/>
      <c r="K395" s="694"/>
      <c r="L395" s="694"/>
      <c r="M395" s="697" t="str">
        <f>Translations!$B$611</f>
        <v>Iron or steel products</v>
      </c>
      <c r="N395" s="620"/>
      <c r="O395" s="428"/>
    </row>
    <row r="396" spans="1:15" ht="12.75" customHeight="1" x14ac:dyDescent="0.2">
      <c r="A396" s="92"/>
      <c r="B396" s="144"/>
      <c r="C396" s="144"/>
      <c r="D396" s="144"/>
      <c r="E396" s="693" t="s">
        <v>955</v>
      </c>
      <c r="F396" s="693" t="str">
        <f>Translations!$B$800</f>
        <v>Flat-rolled products of iron or non-alloy steel, of a width of &gt;= 2.050 mm, not in coils, simply hot-rolled, not clad, plated or coated, of a thickness of &gt; 10 mm but &lt;= 15 mm, without patterns in relief (excl. "wide flats")</v>
      </c>
      <c r="G396" s="694"/>
      <c r="H396" s="694"/>
      <c r="I396" s="694"/>
      <c r="J396" s="694"/>
      <c r="K396" s="694"/>
      <c r="L396" s="694"/>
      <c r="M396" s="697" t="str">
        <f>Translations!$B$611</f>
        <v>Iron or steel products</v>
      </c>
      <c r="N396" s="620"/>
      <c r="O396" s="428"/>
    </row>
    <row r="397" spans="1:15" ht="12.75" customHeight="1" x14ac:dyDescent="0.2">
      <c r="A397" s="92"/>
      <c r="B397" s="144"/>
      <c r="C397" s="144"/>
      <c r="D397" s="144"/>
      <c r="E397" s="693" t="s">
        <v>958</v>
      </c>
      <c r="F397" s="693" t="str">
        <f>Translations!$B$801</f>
        <v>Flat-rolled products of iron or non-alloy steel, of a width of &lt; 2.050 mm but &gt;= 600 mm, not in coils, simply hot-rolled, not clad, plated or coated, of a thickness of &gt; 10 mm but &lt;= 15 mm, without patterns in relief</v>
      </c>
      <c r="G397" s="694"/>
      <c r="H397" s="694"/>
      <c r="I397" s="694"/>
      <c r="J397" s="694"/>
      <c r="K397" s="694"/>
      <c r="L397" s="694"/>
      <c r="M397" s="697" t="str">
        <f>Translations!$B$611</f>
        <v>Iron or steel products</v>
      </c>
      <c r="N397" s="620"/>
      <c r="O397" s="428"/>
    </row>
    <row r="398" spans="1:15" ht="12.75" customHeight="1" x14ac:dyDescent="0.2">
      <c r="A398" s="92"/>
      <c r="B398" s="144"/>
      <c r="C398" s="144"/>
      <c r="D398" s="144"/>
      <c r="E398" s="693" t="s">
        <v>960</v>
      </c>
      <c r="F398" s="693" t="str">
        <f>Translations!$B$802</f>
        <v>Flat-rolled products of iron or non-alloy steel, of a width of &gt;= 600 mm, not in coils, simply hot-rolled, not clad, plated or coated, of a thickness of &gt;= 4,75 mm but &lt;= 10 mm, without patterns in relief</v>
      </c>
      <c r="G398" s="694"/>
      <c r="H398" s="694"/>
      <c r="I398" s="694"/>
      <c r="J398" s="694"/>
      <c r="K398" s="694"/>
      <c r="L398" s="694"/>
      <c r="M398" s="697" t="str">
        <f>Translations!$B$611</f>
        <v>Iron or steel products</v>
      </c>
      <c r="N398" s="620"/>
      <c r="O398" s="428"/>
    </row>
    <row r="399" spans="1:15" ht="12.75" customHeight="1" x14ac:dyDescent="0.2">
      <c r="A399" s="92"/>
      <c r="B399" s="144"/>
      <c r="C399" s="144"/>
      <c r="D399" s="144"/>
      <c r="E399" s="693" t="s">
        <v>963</v>
      </c>
      <c r="F399" s="693" t="str">
        <f>Translations!$B$803</f>
        <v>Flat-rolled products of iron or non-alloy steel, of a width of &lt;= 1.250 mm, not in coils, simply hot-rolled on four faces or in a closed box pass, not clad, plated or coated, of a thickness of &gt;= 4,75 mm but &lt;= 10 mm, without patterns in relief</v>
      </c>
      <c r="G399" s="694"/>
      <c r="H399" s="694"/>
      <c r="I399" s="694"/>
      <c r="J399" s="694"/>
      <c r="K399" s="694"/>
      <c r="L399" s="694"/>
      <c r="M399" s="697" t="str">
        <f>Translations!$B$611</f>
        <v>Iron or steel products</v>
      </c>
      <c r="N399" s="620"/>
      <c r="O399" s="428"/>
    </row>
    <row r="400" spans="1:15" ht="12.75" customHeight="1" x14ac:dyDescent="0.2">
      <c r="A400" s="92"/>
      <c r="B400" s="144"/>
      <c r="C400" s="144"/>
      <c r="D400" s="144"/>
      <c r="E400" s="693" t="s">
        <v>966</v>
      </c>
      <c r="F400" s="693" t="str">
        <f>Translations!$B$804</f>
        <v>Flat-rolled products of iron or non-alloy steel, of a width of &gt;= 2.050 mm, not in coils, simply hot-rolled, not clad, plated or coated, of a thickness of &gt;= 4,75 mm but &lt;= 10 mm, without patterns in relief</v>
      </c>
      <c r="G400" s="694"/>
      <c r="H400" s="694"/>
      <c r="I400" s="694"/>
      <c r="J400" s="694"/>
      <c r="K400" s="694"/>
      <c r="L400" s="694"/>
      <c r="M400" s="697" t="str">
        <f>Translations!$B$611</f>
        <v>Iron or steel products</v>
      </c>
      <c r="N400" s="620"/>
      <c r="O400" s="428"/>
    </row>
    <row r="401" spans="1:15" ht="12.75" customHeight="1" x14ac:dyDescent="0.2">
      <c r="A401" s="92"/>
      <c r="B401" s="144"/>
      <c r="C401" s="144"/>
      <c r="D401" s="144"/>
      <c r="E401" s="693" t="s">
        <v>969</v>
      </c>
      <c r="F401" s="693" t="str">
        <f>Translations!$B$805</f>
        <v>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v>
      </c>
      <c r="G401" s="694"/>
      <c r="H401" s="694"/>
      <c r="I401" s="694"/>
      <c r="J401" s="694"/>
      <c r="K401" s="694"/>
      <c r="L401" s="694"/>
      <c r="M401" s="697" t="str">
        <f>Translations!$B$611</f>
        <v>Iron or steel products</v>
      </c>
      <c r="N401" s="620"/>
      <c r="O401" s="428"/>
    </row>
    <row r="402" spans="1:15" ht="12.75" customHeight="1" x14ac:dyDescent="0.2">
      <c r="A402" s="92"/>
      <c r="B402" s="144"/>
      <c r="C402" s="144"/>
      <c r="D402" s="144"/>
      <c r="E402" s="693" t="s">
        <v>971</v>
      </c>
      <c r="F402" s="693" t="str">
        <f>Translations!$B$806</f>
        <v>Flat-rolled products of iron or non-alloy steel, of a width of &gt;= 600 mm, not in coils, simply hot-rolled, not clad, plated or coated, of a thickness of &gt;= 3 mm but &lt; 4,75 mm, without patterns in relief</v>
      </c>
      <c r="G402" s="694"/>
      <c r="H402" s="694"/>
      <c r="I402" s="694"/>
      <c r="J402" s="694"/>
      <c r="K402" s="694"/>
      <c r="L402" s="694"/>
      <c r="M402" s="697" t="str">
        <f>Translations!$B$611</f>
        <v>Iron or steel products</v>
      </c>
      <c r="N402" s="620"/>
      <c r="O402" s="428"/>
    </row>
    <row r="403" spans="1:15" ht="12.75" customHeight="1" x14ac:dyDescent="0.2">
      <c r="A403" s="92"/>
      <c r="B403" s="144"/>
      <c r="C403" s="144"/>
      <c r="D403" s="144"/>
      <c r="E403" s="693" t="s">
        <v>974</v>
      </c>
      <c r="F403" s="693" t="str">
        <f>Translations!$B$807</f>
        <v>Flat-rolled products of iron or non-alloy steel, of a width of &lt;= 1.250 mm, not in coils, simply hot-rolled on four faces or in a closed box pass, not clad, plated or coated, of a thickness of &gt;= 4 mm but &lt; 4,75 mm, without patterns in relief</v>
      </c>
      <c r="G403" s="694"/>
      <c r="H403" s="694"/>
      <c r="I403" s="694"/>
      <c r="J403" s="694"/>
      <c r="K403" s="694"/>
      <c r="L403" s="694"/>
      <c r="M403" s="697" t="str">
        <f>Translations!$B$611</f>
        <v>Iron or steel products</v>
      </c>
      <c r="N403" s="620"/>
      <c r="O403" s="428"/>
    </row>
    <row r="404" spans="1:15" ht="12.75" customHeight="1" x14ac:dyDescent="0.2">
      <c r="A404" s="92"/>
      <c r="B404" s="144"/>
      <c r="C404" s="144"/>
      <c r="D404" s="144"/>
      <c r="E404" s="693" t="s">
        <v>977</v>
      </c>
      <c r="F404" s="693" t="str">
        <f>Translations!$B$808</f>
        <v>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v>
      </c>
      <c r="G404" s="694"/>
      <c r="H404" s="694"/>
      <c r="I404" s="694"/>
      <c r="J404" s="694"/>
      <c r="K404" s="694"/>
      <c r="L404" s="694"/>
      <c r="M404" s="697" t="str">
        <f>Translations!$B$611</f>
        <v>Iron or steel products</v>
      </c>
      <c r="N404" s="620"/>
      <c r="O404" s="428"/>
    </row>
    <row r="405" spans="1:15" ht="12.75" customHeight="1" x14ac:dyDescent="0.2">
      <c r="A405" s="92"/>
      <c r="B405" s="144"/>
      <c r="C405" s="144"/>
      <c r="D405" s="144"/>
      <c r="E405" s="693" t="s">
        <v>980</v>
      </c>
      <c r="F405" s="693" t="str">
        <f>Translations!$B$809</f>
        <v>Flat-rolled products of iron or non-alloy steel, of a width of &gt;= 600 mm, not in coils, simply hot-rolled, not clad, plated or coated, of a thickness of &lt; 3 mm, without patterns in relief</v>
      </c>
      <c r="G405" s="694"/>
      <c r="H405" s="694"/>
      <c r="I405" s="694"/>
      <c r="J405" s="694"/>
      <c r="K405" s="694"/>
      <c r="L405" s="694"/>
      <c r="M405" s="697" t="str">
        <f>Translations!$B$611</f>
        <v>Iron or steel products</v>
      </c>
      <c r="N405" s="620"/>
      <c r="O405" s="428"/>
    </row>
    <row r="406" spans="1:15" ht="12.75" customHeight="1" x14ac:dyDescent="0.2">
      <c r="A406" s="92"/>
      <c r="B406" s="144"/>
      <c r="C406" s="144"/>
      <c r="D406" s="144"/>
      <c r="E406" s="693" t="s">
        <v>982</v>
      </c>
      <c r="F406" s="693" t="str">
        <f>Translations!$B$810</f>
        <v>Flat-rolled products of iron or steel, of a width &gt;= 600 mm, hot-rolled and further worked, but not clad, plated or coated</v>
      </c>
      <c r="G406" s="694"/>
      <c r="H406" s="694"/>
      <c r="I406" s="694"/>
      <c r="J406" s="694"/>
      <c r="K406" s="694"/>
      <c r="L406" s="694"/>
      <c r="M406" s="697" t="str">
        <f>Translations!$B$611</f>
        <v>Iron or steel products</v>
      </c>
      <c r="N406" s="620"/>
      <c r="O406" s="428"/>
    </row>
    <row r="407" spans="1:15" ht="12.75" customHeight="1" x14ac:dyDescent="0.2">
      <c r="A407" s="92"/>
      <c r="B407" s="144"/>
      <c r="C407" s="144"/>
      <c r="D407" s="144"/>
      <c r="E407" s="693" t="s">
        <v>985</v>
      </c>
      <c r="F407" s="693" t="str">
        <f>Translations!$B$811</f>
        <v>Flat-rolled products of iron or steel, of a width &gt;= 600 mm, hot-rolled and further worked, but not clad, plated or coated, perforated</v>
      </c>
      <c r="G407" s="694"/>
      <c r="H407" s="694"/>
      <c r="I407" s="694"/>
      <c r="J407" s="694"/>
      <c r="K407" s="694"/>
      <c r="L407" s="694"/>
      <c r="M407" s="697" t="str">
        <f>Translations!$B$611</f>
        <v>Iron or steel products</v>
      </c>
      <c r="N407" s="620"/>
      <c r="O407" s="428"/>
    </row>
    <row r="408" spans="1:15" ht="12.75" customHeight="1" x14ac:dyDescent="0.2">
      <c r="A408" s="92"/>
      <c r="B408" s="144"/>
      <c r="C408" s="144"/>
      <c r="D408" s="144"/>
      <c r="E408" s="693" t="s">
        <v>988</v>
      </c>
      <c r="F408" s="693" t="str">
        <f>Translations!$B$812</f>
        <v>Flat-rolled products of iron or steel, of a width &gt;= 600 mm, hot-rolled and further worked, but not clad, plated or coated, non-perforated</v>
      </c>
      <c r="G408" s="694"/>
      <c r="H408" s="694"/>
      <c r="I408" s="694"/>
      <c r="J408" s="694"/>
      <c r="K408" s="694"/>
      <c r="L408" s="694"/>
      <c r="M408" s="697" t="str">
        <f>Translations!$B$611</f>
        <v>Iron or steel products</v>
      </c>
      <c r="N408" s="620"/>
      <c r="O408" s="428"/>
    </row>
    <row r="409" spans="1:15" ht="12.75" customHeight="1" x14ac:dyDescent="0.2">
      <c r="A409" s="92"/>
      <c r="B409" s="144"/>
      <c r="C409" s="144"/>
      <c r="D409" s="144"/>
      <c r="E409" s="693" t="s">
        <v>990</v>
      </c>
      <c r="F409" s="693" t="str">
        <f>Translations!$B$813</f>
        <v>Flat-rolled products of iron or non-alloy steel, of a width of &gt;= 600 mm, cold-rolled "cold-reduced", not clad, plated or coated</v>
      </c>
      <c r="G409" s="694"/>
      <c r="H409" s="694"/>
      <c r="I409" s="694"/>
      <c r="J409" s="694"/>
      <c r="K409" s="694"/>
      <c r="L409" s="694"/>
      <c r="M409" s="697" t="str">
        <f>Translations!$B$611</f>
        <v>Iron or steel products</v>
      </c>
      <c r="N409" s="620"/>
      <c r="O409" s="428"/>
    </row>
    <row r="410" spans="1:15" ht="12.75" customHeight="1" x14ac:dyDescent="0.2">
      <c r="A410" s="92"/>
      <c r="B410" s="144"/>
      <c r="C410" s="144"/>
      <c r="D410" s="144"/>
      <c r="E410" s="693" t="s">
        <v>993</v>
      </c>
      <c r="F410" s="693" t="str">
        <f>Translations!$B$814</f>
        <v>Flat-rolled products of iron or non-alloy steel, of a width of &gt;= 600 mm, in coils, simply cold-rolled "cold-reduced", not clad, plated or coated, of a thickness of &gt;= 3 mm</v>
      </c>
      <c r="G410" s="694"/>
      <c r="H410" s="694"/>
      <c r="I410" s="694"/>
      <c r="J410" s="694"/>
      <c r="K410" s="694"/>
      <c r="L410" s="694"/>
      <c r="M410" s="697" t="str">
        <f>Translations!$B$611</f>
        <v>Iron or steel products</v>
      </c>
      <c r="N410" s="620"/>
      <c r="O410" s="428"/>
    </row>
    <row r="411" spans="1:15" ht="12.75" customHeight="1" x14ac:dyDescent="0.2">
      <c r="A411" s="92"/>
      <c r="B411" s="144"/>
      <c r="C411" s="144"/>
      <c r="D411" s="144"/>
      <c r="E411" s="693" t="s">
        <v>995</v>
      </c>
      <c r="F411" s="693" t="str">
        <f>Translations!$B$815</f>
        <v>Flat-rolled products of iron or non-alloy steel, of a width of &gt;= 600 mm, in coils, simply cold-rolled "cold-reduced", not clad, plated or coated, of a thickness of &gt; 1 mm but &lt; 3 mm</v>
      </c>
      <c r="G411" s="694"/>
      <c r="H411" s="694"/>
      <c r="I411" s="694"/>
      <c r="J411" s="694"/>
      <c r="K411" s="694"/>
      <c r="L411" s="694"/>
      <c r="M411" s="697" t="str">
        <f>Translations!$B$611</f>
        <v>Iron or steel products</v>
      </c>
      <c r="N411" s="620"/>
      <c r="O411" s="428"/>
    </row>
    <row r="412" spans="1:15" ht="12.75" customHeight="1" x14ac:dyDescent="0.2">
      <c r="A412" s="92"/>
      <c r="B412" s="144"/>
      <c r="C412" s="144"/>
      <c r="D412" s="144"/>
      <c r="E412" s="693" t="s">
        <v>998</v>
      </c>
      <c r="F412" s="693" t="str">
        <f>Translations!$B$816</f>
        <v>Flat-rolled products of iron or non-alloy steel, of a width of &gt;= 600 mm, in coils, simply cold-rolled "cold-reduced", of a thickness of &gt; 1 mm but &lt; 3 mm "electrical"</v>
      </c>
      <c r="G412" s="694"/>
      <c r="H412" s="694"/>
      <c r="I412" s="694"/>
      <c r="J412" s="694"/>
      <c r="K412" s="694"/>
      <c r="L412" s="694"/>
      <c r="M412" s="697" t="str">
        <f>Translations!$B$611</f>
        <v>Iron or steel products</v>
      </c>
      <c r="N412" s="620"/>
      <c r="O412" s="428"/>
    </row>
    <row r="413" spans="1:15" ht="12.75" customHeight="1" x14ac:dyDescent="0.2">
      <c r="A413" s="92"/>
      <c r="B413" s="144"/>
      <c r="C413" s="144"/>
      <c r="D413" s="144"/>
      <c r="E413" s="693" t="s">
        <v>1001</v>
      </c>
      <c r="F413" s="693" t="str">
        <f>Translations!$B$817</f>
        <v>Flat-rolled products of iron or non-alloy steel, of a width of &gt;= 600 mm, in coils, simply cold-rolled "cold-reduced", not clad, plated or coated, of a thickness of &gt; 1 mm but &lt; 3 mm (excl. electrical)</v>
      </c>
      <c r="G413" s="694"/>
      <c r="H413" s="694"/>
      <c r="I413" s="694"/>
      <c r="J413" s="694"/>
      <c r="K413" s="694"/>
      <c r="L413" s="694"/>
      <c r="M413" s="697" t="str">
        <f>Translations!$B$611</f>
        <v>Iron or steel products</v>
      </c>
      <c r="N413" s="620"/>
      <c r="O413" s="428"/>
    </row>
    <row r="414" spans="1:15" ht="12.75" customHeight="1" x14ac:dyDescent="0.2">
      <c r="A414" s="92"/>
      <c r="B414" s="144"/>
      <c r="C414" s="144"/>
      <c r="D414" s="144"/>
      <c r="E414" s="693" t="s">
        <v>1003</v>
      </c>
      <c r="F414" s="693" t="str">
        <f>Translations!$B$818</f>
        <v>Flat-rolled products of iron or non-alloy steel, of a width of &gt;= 600 mm, in coils, simply cold-rolled "cold-reduced", not clad, plated or coated, of a thickness of &gt;= 0,5 mm but &lt;= 1 mm</v>
      </c>
      <c r="G414" s="694"/>
      <c r="H414" s="694"/>
      <c r="I414" s="694"/>
      <c r="J414" s="694"/>
      <c r="K414" s="694"/>
      <c r="L414" s="694"/>
      <c r="M414" s="697" t="str">
        <f>Translations!$B$611</f>
        <v>Iron or steel products</v>
      </c>
      <c r="N414" s="620"/>
      <c r="O414" s="428"/>
    </row>
    <row r="415" spans="1:15" ht="12.75" customHeight="1" x14ac:dyDescent="0.2">
      <c r="A415" s="92"/>
      <c r="B415" s="144"/>
      <c r="C415" s="144"/>
      <c r="D415" s="144"/>
      <c r="E415" s="693" t="s">
        <v>1006</v>
      </c>
      <c r="F415" s="693" t="str">
        <f>Translations!$B$819</f>
        <v>Flat-rolled products of iron or non-alloy steel, of a width of &gt;= 600 mm, in coils, simply cold-rolled "cold-reduced", of a thickness of &gt;= 0,5 mm but &lt;= 1 mm "electrical"</v>
      </c>
      <c r="G415" s="694"/>
      <c r="H415" s="694"/>
      <c r="I415" s="694"/>
      <c r="J415" s="694"/>
      <c r="K415" s="694"/>
      <c r="L415" s="694"/>
      <c r="M415" s="697" t="str">
        <f>Translations!$B$611</f>
        <v>Iron or steel products</v>
      </c>
      <c r="N415" s="620"/>
      <c r="O415" s="428"/>
    </row>
    <row r="416" spans="1:15" ht="12.75" customHeight="1" x14ac:dyDescent="0.2">
      <c r="A416" s="92"/>
      <c r="B416" s="144"/>
      <c r="C416" s="144"/>
      <c r="D416" s="144"/>
      <c r="E416" s="693" t="s">
        <v>1009</v>
      </c>
      <c r="F416" s="693" t="str">
        <f>Translations!$B$820</f>
        <v>Flat-rolled products of iron or non-alloy steel, of a width of &gt;= 600 mm, in coils, simply cold-rolled "cold-reduced", not clad, plated or coated, of a thickness of &gt;= 0,5 mm but &lt;= 1 mm (excl. electrical)</v>
      </c>
      <c r="G416" s="694"/>
      <c r="H416" s="694"/>
      <c r="I416" s="694"/>
      <c r="J416" s="694"/>
      <c r="K416" s="694"/>
      <c r="L416" s="694"/>
      <c r="M416" s="697" t="str">
        <f>Translations!$B$611</f>
        <v>Iron or steel products</v>
      </c>
      <c r="N416" s="620"/>
      <c r="O416" s="428"/>
    </row>
    <row r="417" spans="1:15" ht="12.75" customHeight="1" x14ac:dyDescent="0.2">
      <c r="A417" s="92"/>
      <c r="B417" s="144"/>
      <c r="C417" s="144"/>
      <c r="D417" s="144"/>
      <c r="E417" s="693" t="s">
        <v>1011</v>
      </c>
      <c r="F417" s="693" t="str">
        <f>Translations!$B$821</f>
        <v>Flat-rolled products of iron or non-alloy steel, of a width of &gt;= 600 mm, in coils, simply cold-rolled "cold-reduced", not clad, plated or coated, of a thickness of &lt; 0,5 mm</v>
      </c>
      <c r="G417" s="694"/>
      <c r="H417" s="694"/>
      <c r="I417" s="694"/>
      <c r="J417" s="694"/>
      <c r="K417" s="694"/>
      <c r="L417" s="694"/>
      <c r="M417" s="697" t="str">
        <f>Translations!$B$611</f>
        <v>Iron or steel products</v>
      </c>
      <c r="N417" s="620"/>
      <c r="O417" s="428"/>
    </row>
    <row r="418" spans="1:15" ht="12.75" customHeight="1" x14ac:dyDescent="0.2">
      <c r="A418" s="92"/>
      <c r="B418" s="144"/>
      <c r="C418" s="144"/>
      <c r="D418" s="144"/>
      <c r="E418" s="693" t="s">
        <v>1014</v>
      </c>
      <c r="F418" s="693" t="str">
        <f>Translations!$B$822</f>
        <v>Flat-rolled products of iron or non-alloy steel, of a width of &gt;= 600 mm, in coils, simply cold-rolled "cold-reduced", of a thickness of &lt; 0,5 mm "electrical"</v>
      </c>
      <c r="G418" s="694"/>
      <c r="H418" s="694"/>
      <c r="I418" s="694"/>
      <c r="J418" s="694"/>
      <c r="K418" s="694"/>
      <c r="L418" s="694"/>
      <c r="M418" s="697" t="str">
        <f>Translations!$B$611</f>
        <v>Iron or steel products</v>
      </c>
      <c r="N418" s="620"/>
      <c r="O418" s="428"/>
    </row>
    <row r="419" spans="1:15" ht="12.75" customHeight="1" x14ac:dyDescent="0.2">
      <c r="A419" s="92"/>
      <c r="B419" s="144"/>
      <c r="C419" s="144"/>
      <c r="D419" s="144"/>
      <c r="E419" s="693" t="s">
        <v>1017</v>
      </c>
      <c r="F419" s="693" t="str">
        <f>Translations!$B$823</f>
        <v>Flat-rolled products of iron or non-alloy steel, of a width of &gt;= 600 mm, in coils, simply cold-rolled "cold-reduced", not clad, plated or coated, of a thickness of &gt;= 0,35 mm but &lt; 0,5 mm (excl. electrical)</v>
      </c>
      <c r="G419" s="694"/>
      <c r="H419" s="694"/>
      <c r="I419" s="694"/>
      <c r="J419" s="694"/>
      <c r="K419" s="694"/>
      <c r="L419" s="694"/>
      <c r="M419" s="697" t="str">
        <f>Translations!$B$611</f>
        <v>Iron or steel products</v>
      </c>
      <c r="N419" s="620"/>
      <c r="O419" s="428"/>
    </row>
    <row r="420" spans="1:15" ht="12.75" customHeight="1" x14ac:dyDescent="0.2">
      <c r="A420" s="92"/>
      <c r="B420" s="144"/>
      <c r="C420" s="144"/>
      <c r="D420" s="144"/>
      <c r="E420" s="693" t="s">
        <v>1020</v>
      </c>
      <c r="F420" s="693" t="str">
        <f>Translations!$B$824</f>
        <v>Flat-rolled products of iron or non-alloy steel, of a width of &gt;= 600 mm, in coils, simply cold-rolled "cold-reduced", not clad, plated or coated, of a thickness of &lt; 0,35 mm (excl. electrical)</v>
      </c>
      <c r="G420" s="694"/>
      <c r="H420" s="694"/>
      <c r="I420" s="694"/>
      <c r="J420" s="694"/>
      <c r="K420" s="694"/>
      <c r="L420" s="694"/>
      <c r="M420" s="697" t="str">
        <f>Translations!$B$611</f>
        <v>Iron or steel products</v>
      </c>
      <c r="N420" s="620"/>
      <c r="O420" s="428"/>
    </row>
    <row r="421" spans="1:15" ht="12.75" customHeight="1" x14ac:dyDescent="0.2">
      <c r="A421" s="92"/>
      <c r="B421" s="144"/>
      <c r="C421" s="144"/>
      <c r="D421" s="144"/>
      <c r="E421" s="693" t="s">
        <v>1023</v>
      </c>
      <c r="F421" s="693" t="str">
        <f>Translations!$B$825</f>
        <v>Flat-rolled products of iron or non-alloy steel, of a width of &gt;= 600 mm, not in coils, simply cold-rolled "cold-reduced", not clad, plated or coated, of a thickness of &gt;= 3 mm</v>
      </c>
      <c r="G421" s="694"/>
      <c r="H421" s="694"/>
      <c r="I421" s="694"/>
      <c r="J421" s="694"/>
      <c r="K421" s="694"/>
      <c r="L421" s="694"/>
      <c r="M421" s="697" t="str">
        <f>Translations!$B$611</f>
        <v>Iron or steel products</v>
      </c>
      <c r="N421" s="620"/>
      <c r="O421" s="428"/>
    </row>
    <row r="422" spans="1:15" ht="12.75" customHeight="1" x14ac:dyDescent="0.2">
      <c r="A422" s="92"/>
      <c r="B422" s="144"/>
      <c r="C422" s="144"/>
      <c r="D422" s="144"/>
      <c r="E422" s="693" t="s">
        <v>1025</v>
      </c>
      <c r="F422" s="693" t="str">
        <f>Translations!$B$826</f>
        <v>Flat-rolled products of iron or non-alloy steel, of a width of &gt;= 600 mm, not in coils, simply cold-rolled "cold-reduced", not clad, plated or coated, of a thickness of &gt; 1 mm but &lt; 3 mm</v>
      </c>
      <c r="G422" s="694"/>
      <c r="H422" s="694"/>
      <c r="I422" s="694"/>
      <c r="J422" s="694"/>
      <c r="K422" s="694"/>
      <c r="L422" s="694"/>
      <c r="M422" s="697" t="str">
        <f>Translations!$B$611</f>
        <v>Iron or steel products</v>
      </c>
      <c r="N422" s="620"/>
      <c r="O422" s="428"/>
    </row>
    <row r="423" spans="1:15" ht="12.75" customHeight="1" x14ac:dyDescent="0.2">
      <c r="A423" s="92"/>
      <c r="B423" s="144"/>
      <c r="C423" s="144"/>
      <c r="D423" s="144"/>
      <c r="E423" s="693" t="s">
        <v>1028</v>
      </c>
      <c r="F423" s="693" t="str">
        <f>Translations!$B$827</f>
        <v>Flat-rolled products of iron or non-alloy steel, of a width of &gt;= 600 mm, not in coils, simply cold-rolled "cold-reduced", of a thickness of &gt; 1 mm but &lt; 3 mm "electrical"</v>
      </c>
      <c r="G423" s="694"/>
      <c r="H423" s="694"/>
      <c r="I423" s="694"/>
      <c r="J423" s="694"/>
      <c r="K423" s="694"/>
      <c r="L423" s="694"/>
      <c r="M423" s="697" t="str">
        <f>Translations!$B$611</f>
        <v>Iron or steel products</v>
      </c>
      <c r="N423" s="620"/>
      <c r="O423" s="428"/>
    </row>
    <row r="424" spans="1:15" ht="12.75" customHeight="1" x14ac:dyDescent="0.2">
      <c r="A424" s="92"/>
      <c r="B424" s="144"/>
      <c r="C424" s="144"/>
      <c r="D424" s="144"/>
      <c r="E424" s="693" t="s">
        <v>1031</v>
      </c>
      <c r="F424" s="693" t="str">
        <f>Translations!$B$828</f>
        <v>Flat-rolled products of iron or non-alloy steel, of a width of &gt;= 600 mm, not in coils, simply cold-rolled "cold-reduced", not clad, plated or coated, of a thickness of &gt; 1 mm but &lt; 3 mm (excl. electrical)</v>
      </c>
      <c r="G424" s="694"/>
      <c r="H424" s="694"/>
      <c r="I424" s="694"/>
      <c r="J424" s="694"/>
      <c r="K424" s="694"/>
      <c r="L424" s="694"/>
      <c r="M424" s="697" t="str">
        <f>Translations!$B$611</f>
        <v>Iron or steel products</v>
      </c>
      <c r="N424" s="620"/>
      <c r="O424" s="428"/>
    </row>
    <row r="425" spans="1:15" ht="12.75" customHeight="1" x14ac:dyDescent="0.2">
      <c r="A425" s="92"/>
      <c r="B425" s="144"/>
      <c r="C425" s="144"/>
      <c r="D425" s="144"/>
      <c r="E425" s="693" t="s">
        <v>1033</v>
      </c>
      <c r="F425" s="693" t="str">
        <f>Translations!$B$829</f>
        <v>Flat-rolled products of iron or non-alloy steel, of a width of &gt;= 600 mm, not in coils, simply cold-rolled "cold-reduced", not clad, plated or coated, of a thickness of &gt;= 0,5 mm but &lt;= 1 mm</v>
      </c>
      <c r="G425" s="694"/>
      <c r="H425" s="694"/>
      <c r="I425" s="694"/>
      <c r="J425" s="694"/>
      <c r="K425" s="694"/>
      <c r="L425" s="694"/>
      <c r="M425" s="697" t="str">
        <f>Translations!$B$611</f>
        <v>Iron or steel products</v>
      </c>
      <c r="N425" s="620"/>
      <c r="O425" s="428"/>
    </row>
    <row r="426" spans="1:15" ht="12.75" customHeight="1" x14ac:dyDescent="0.2">
      <c r="A426" s="92"/>
      <c r="B426" s="144"/>
      <c r="C426" s="144"/>
      <c r="D426" s="144"/>
      <c r="E426" s="693" t="s">
        <v>1036</v>
      </c>
      <c r="F426" s="693" t="str">
        <f>Translations!$B$830</f>
        <v>Flat-rolled products of iron or non-alloy steel, of a width of &gt;= 600 mm, not in coils, simply cold-rolled "cold-reduced", of a thickness of &gt;= 0,5 mm but &lt;= 1 mm "electrical"</v>
      </c>
      <c r="G426" s="694"/>
      <c r="H426" s="694"/>
      <c r="I426" s="694"/>
      <c r="J426" s="694"/>
      <c r="K426" s="694"/>
      <c r="L426" s="694"/>
      <c r="M426" s="697" t="str">
        <f>Translations!$B$611</f>
        <v>Iron or steel products</v>
      </c>
      <c r="N426" s="620"/>
      <c r="O426" s="428"/>
    </row>
    <row r="427" spans="1:15" ht="12.75" customHeight="1" x14ac:dyDescent="0.2">
      <c r="A427" s="92"/>
      <c r="B427" s="144"/>
      <c r="C427" s="144"/>
      <c r="D427" s="144"/>
      <c r="E427" s="693" t="s">
        <v>1039</v>
      </c>
      <c r="F427" s="693" t="str">
        <f>Translations!$B$831</f>
        <v>Flat-rolled products of iron or non-alloy steel, of a width of &gt;= 600 mm, not in coils, simply cold-rolled "cold-reduced", not clad, plated or coated, of a thickness of &gt;= 0,5 mm but &lt;= 1 mm (excl. electrical)</v>
      </c>
      <c r="G427" s="694"/>
      <c r="H427" s="694"/>
      <c r="I427" s="694"/>
      <c r="J427" s="694"/>
      <c r="K427" s="694"/>
      <c r="L427" s="694"/>
      <c r="M427" s="697" t="str">
        <f>Translations!$B$611</f>
        <v>Iron or steel products</v>
      </c>
      <c r="N427" s="620"/>
      <c r="O427" s="428"/>
    </row>
    <row r="428" spans="1:15" ht="12.75" customHeight="1" x14ac:dyDescent="0.2">
      <c r="A428" s="92"/>
      <c r="B428" s="144"/>
      <c r="C428" s="144"/>
      <c r="D428" s="144"/>
      <c r="E428" s="693" t="s">
        <v>1041</v>
      </c>
      <c r="F428" s="693" t="str">
        <f>Translations!$B$832</f>
        <v>Flat-rolled products of iron or non-alloy steel, of a width of &gt;= 600 mm, not in coils, simply cold-rolled "cold-reduced", not clad, plated or coated, of a thickness of &lt; 0,5 mm</v>
      </c>
      <c r="G428" s="694"/>
      <c r="H428" s="694"/>
      <c r="I428" s="694"/>
      <c r="J428" s="694"/>
      <c r="K428" s="694"/>
      <c r="L428" s="694"/>
      <c r="M428" s="697" t="str">
        <f>Translations!$B$611</f>
        <v>Iron or steel products</v>
      </c>
      <c r="N428" s="620"/>
      <c r="O428" s="428"/>
    </row>
    <row r="429" spans="1:15" ht="12.75" customHeight="1" x14ac:dyDescent="0.2">
      <c r="A429" s="92"/>
      <c r="B429" s="144"/>
      <c r="C429" s="144"/>
      <c r="D429" s="144"/>
      <c r="E429" s="693" t="s">
        <v>1044</v>
      </c>
      <c r="F429" s="693" t="str">
        <f>Translations!$B$833</f>
        <v>Flat-rolled products of iron or non-alloy steel, of a width of &gt;= 600 mm, not in coils, simply cold-rolled "cold-reduced", of a thickness of &lt; 0,5 mm "electrical"</v>
      </c>
      <c r="G429" s="694"/>
      <c r="H429" s="694"/>
      <c r="I429" s="694"/>
      <c r="J429" s="694"/>
      <c r="K429" s="694"/>
      <c r="L429" s="694"/>
      <c r="M429" s="697" t="str">
        <f>Translations!$B$611</f>
        <v>Iron or steel products</v>
      </c>
      <c r="N429" s="620"/>
      <c r="O429" s="428"/>
    </row>
    <row r="430" spans="1:15" ht="12.75" customHeight="1" x14ac:dyDescent="0.2">
      <c r="A430" s="92"/>
      <c r="B430" s="144"/>
      <c r="C430" s="144"/>
      <c r="D430" s="144"/>
      <c r="E430" s="693" t="s">
        <v>1047</v>
      </c>
      <c r="F430" s="693" t="str">
        <f>Translations!$B$834</f>
        <v>Flat-rolled products of iron or non-alloy steel, of a width of &gt;= 600 mm, not in coils, simply cold-rolled "cold-reduced", not clad, plated or coated, of a thickness of &lt; 0,5 mm (excl. electrical)</v>
      </c>
      <c r="G430" s="694"/>
      <c r="H430" s="694"/>
      <c r="I430" s="694"/>
      <c r="J430" s="694"/>
      <c r="K430" s="694"/>
      <c r="L430" s="694"/>
      <c r="M430" s="697" t="str">
        <f>Translations!$B$611</f>
        <v>Iron or steel products</v>
      </c>
      <c r="N430" s="620"/>
      <c r="O430" s="428"/>
    </row>
    <row r="431" spans="1:15" ht="12.75" customHeight="1" x14ac:dyDescent="0.2">
      <c r="A431" s="92"/>
      <c r="B431" s="144"/>
      <c r="C431" s="144"/>
      <c r="D431" s="144"/>
      <c r="E431" s="693" t="s">
        <v>1049</v>
      </c>
      <c r="F431" s="693" t="str">
        <f>Translations!$B$835</f>
        <v>Flat-rolled products of iron or steel, of a width of &gt;= 600 mm, cold-rolled "cold-reduced", and further worked, but not clad, plated or coated</v>
      </c>
      <c r="G431" s="694"/>
      <c r="H431" s="694"/>
      <c r="I431" s="694"/>
      <c r="J431" s="694"/>
      <c r="K431" s="694"/>
      <c r="L431" s="694"/>
      <c r="M431" s="697" t="str">
        <f>Translations!$B$611</f>
        <v>Iron or steel products</v>
      </c>
      <c r="N431" s="620"/>
      <c r="O431" s="428"/>
    </row>
    <row r="432" spans="1:15" ht="12.75" customHeight="1" x14ac:dyDescent="0.2">
      <c r="A432" s="92"/>
      <c r="B432" s="144"/>
      <c r="C432" s="144"/>
      <c r="D432" s="144"/>
      <c r="E432" s="693" t="s">
        <v>1052</v>
      </c>
      <c r="F432" s="693" t="str">
        <f>Translations!$B$836</f>
        <v>Flat-rolled products of iron or steel, of a width of &gt;= 600 mm, cold-rolled "cold-reduced" and further worked, but not clad, plated or coated, perforated</v>
      </c>
      <c r="G432" s="694"/>
      <c r="H432" s="694"/>
      <c r="I432" s="694"/>
      <c r="J432" s="694"/>
      <c r="K432" s="694"/>
      <c r="L432" s="694"/>
      <c r="M432" s="697" t="str">
        <f>Translations!$B$611</f>
        <v>Iron or steel products</v>
      </c>
      <c r="N432" s="620"/>
      <c r="O432" s="428"/>
    </row>
    <row r="433" spans="1:15" ht="12.75" customHeight="1" x14ac:dyDescent="0.2">
      <c r="A433" s="92"/>
      <c r="B433" s="144"/>
      <c r="C433" s="144"/>
      <c r="D433" s="144"/>
      <c r="E433" s="693" t="s">
        <v>1055</v>
      </c>
      <c r="F433" s="693" t="str">
        <f>Translations!$B$837</f>
        <v>Flat-rolled products of iron or steel, of a width of &gt;= 600 mm, cold-rolled "cold-reduced" and further worked, but not clad, plated or coated, non-perforated</v>
      </c>
      <c r="G433" s="694"/>
      <c r="H433" s="694"/>
      <c r="I433" s="694"/>
      <c r="J433" s="694"/>
      <c r="K433" s="694"/>
      <c r="L433" s="694"/>
      <c r="M433" s="697" t="str">
        <f>Translations!$B$611</f>
        <v>Iron or steel products</v>
      </c>
      <c r="N433" s="620"/>
      <c r="O433" s="428"/>
    </row>
    <row r="434" spans="1:15" ht="12.75" customHeight="1" x14ac:dyDescent="0.2">
      <c r="A434" s="92"/>
      <c r="B434" s="144"/>
      <c r="C434" s="144"/>
      <c r="D434" s="144"/>
      <c r="E434" s="693" t="s">
        <v>579</v>
      </c>
      <c r="F434" s="693" t="str">
        <f>Translations!$B$838</f>
        <v>Flat-rolled products of iron or non-alloy steel, of a width &gt;= 600 mm, hot-rolled or cold-rolled "cold-reduced", clad, plated or coated</v>
      </c>
      <c r="G434" s="694"/>
      <c r="H434" s="694"/>
      <c r="I434" s="694"/>
      <c r="J434" s="694"/>
      <c r="K434" s="694"/>
      <c r="L434" s="694"/>
      <c r="M434" s="697" t="str">
        <f>Translations!$B$611</f>
        <v>Iron or steel products</v>
      </c>
      <c r="N434" s="620"/>
      <c r="O434" s="428"/>
    </row>
    <row r="435" spans="1:15" ht="12.75" customHeight="1" x14ac:dyDescent="0.2">
      <c r="A435" s="92"/>
      <c r="B435" s="144"/>
      <c r="C435" s="144"/>
      <c r="D435" s="144"/>
      <c r="E435" s="693" t="s">
        <v>1059</v>
      </c>
      <c r="F435" s="693" t="str">
        <f>Translations!$B$839</f>
        <v>Flat-rolled products of iron or non-alloy steel, of a width of &gt;= 600 mm, hot-rolled or cold-rolled "cold-reduced", tinned, of a thickness of &gt;= 0,5 mm</v>
      </c>
      <c r="G435" s="694"/>
      <c r="H435" s="694"/>
      <c r="I435" s="694"/>
      <c r="J435" s="694"/>
      <c r="K435" s="694"/>
      <c r="L435" s="694"/>
      <c r="M435" s="697" t="str">
        <f>Translations!$B$611</f>
        <v>Iron or steel products</v>
      </c>
      <c r="N435" s="620"/>
      <c r="O435" s="428"/>
    </row>
    <row r="436" spans="1:15" ht="12.75" customHeight="1" x14ac:dyDescent="0.2">
      <c r="A436" s="92"/>
      <c r="B436" s="144"/>
      <c r="C436" s="144"/>
      <c r="D436" s="144"/>
      <c r="E436" s="693" t="s">
        <v>1061</v>
      </c>
      <c r="F436" s="693" t="str">
        <f>Translations!$B$840</f>
        <v>Flat-rolled products of iron or non-alloy steel, of a width of &gt;= 600 mm, hot-rolled or cold-rolled "cold-reduced", tinned, of a thickness of &lt; 0,5 mm</v>
      </c>
      <c r="G436" s="694"/>
      <c r="H436" s="694"/>
      <c r="I436" s="694"/>
      <c r="J436" s="694"/>
      <c r="K436" s="694"/>
      <c r="L436" s="694"/>
      <c r="M436" s="697" t="str">
        <f>Translations!$B$611</f>
        <v>Iron or steel products</v>
      </c>
      <c r="N436" s="620"/>
      <c r="O436" s="428"/>
    </row>
    <row r="437" spans="1:15" ht="12.75" customHeight="1" x14ac:dyDescent="0.2">
      <c r="A437" s="92"/>
      <c r="B437" s="144"/>
      <c r="C437" s="144"/>
      <c r="D437" s="144"/>
      <c r="E437" s="693" t="s">
        <v>1064</v>
      </c>
      <c r="F437" s="693" t="str">
        <f>Translations!$B$841</f>
        <v>Tinplate of iron or non-alloy steel, of a width of &gt;= 600 mm and of a thickness of &lt; 0,5 mm, tinned [coated with a layer of metal containing, by weight,  &gt;= 97% of tin], not further worked than surface-treated</v>
      </c>
      <c r="G437" s="694"/>
      <c r="H437" s="694"/>
      <c r="I437" s="694"/>
      <c r="J437" s="694"/>
      <c r="K437" s="694"/>
      <c r="L437" s="694"/>
      <c r="M437" s="697" t="str">
        <f>Translations!$B$611</f>
        <v>Iron or steel products</v>
      </c>
      <c r="N437" s="620"/>
      <c r="O437" s="428"/>
    </row>
    <row r="438" spans="1:15" ht="12.75" customHeight="1" x14ac:dyDescent="0.2">
      <c r="A438" s="92"/>
      <c r="B438" s="144"/>
      <c r="C438" s="144"/>
      <c r="D438" s="144"/>
      <c r="E438" s="693" t="s">
        <v>1067</v>
      </c>
      <c r="F438" s="693" t="str">
        <f>Translations!$B$842</f>
        <v>Flat-rolled products of iron or non-alloy steel, of a width of &gt;= 600 mm, hot-rolled or cold-rolled "cold-reduced", plated or coated with tin, of a thickness of &lt; 0,5 mm (excl. tinplate)</v>
      </c>
      <c r="G438" s="694"/>
      <c r="H438" s="694"/>
      <c r="I438" s="694"/>
      <c r="J438" s="694"/>
      <c r="K438" s="694"/>
      <c r="L438" s="694"/>
      <c r="M438" s="697" t="str">
        <f>Translations!$B$611</f>
        <v>Iron or steel products</v>
      </c>
      <c r="N438" s="620"/>
      <c r="O438" s="428"/>
    </row>
    <row r="439" spans="1:15" ht="12.75" customHeight="1" x14ac:dyDescent="0.2">
      <c r="A439" s="92"/>
      <c r="B439" s="144"/>
      <c r="C439" s="144"/>
      <c r="D439" s="144"/>
      <c r="E439" s="693" t="s">
        <v>1070</v>
      </c>
      <c r="F439" s="693" t="str">
        <f>Translations!$B$843</f>
        <v>Flat-rolled products of iron or non-alloy steel, of a width of &gt;= 600 mm, hot-rolled or cold-rolled "cold-reduced", plated or coated with lead, incl. terne-plate</v>
      </c>
      <c r="G439" s="694"/>
      <c r="H439" s="694"/>
      <c r="I439" s="694"/>
      <c r="J439" s="694"/>
      <c r="K439" s="694"/>
      <c r="L439" s="694"/>
      <c r="M439" s="697" t="str">
        <f>Translations!$B$611</f>
        <v>Iron or steel products</v>
      </c>
      <c r="N439" s="620"/>
      <c r="O439" s="428"/>
    </row>
    <row r="440" spans="1:15" ht="12.75" customHeight="1" x14ac:dyDescent="0.2">
      <c r="A440" s="92"/>
      <c r="B440" s="144"/>
      <c r="C440" s="144"/>
      <c r="D440" s="144"/>
      <c r="E440" s="693" t="s">
        <v>1073</v>
      </c>
      <c r="F440" s="693" t="str">
        <f>Translations!$B$844</f>
        <v>Flat-rolled products of iron or non-alloy steel, of a width of &gt;= 600 mm, hot-rolled or cold-rolled "cold-reduced", electrolytically plated or coated with zinc</v>
      </c>
      <c r="G440" s="694"/>
      <c r="H440" s="694"/>
      <c r="I440" s="694"/>
      <c r="J440" s="694"/>
      <c r="K440" s="694"/>
      <c r="L440" s="694"/>
      <c r="M440" s="697" t="str">
        <f>Translations!$B$611</f>
        <v>Iron or steel products</v>
      </c>
      <c r="N440" s="620"/>
      <c r="O440" s="428"/>
    </row>
    <row r="441" spans="1:15" ht="12.75" customHeight="1" x14ac:dyDescent="0.2">
      <c r="A441" s="92"/>
      <c r="B441" s="144"/>
      <c r="C441" s="144"/>
      <c r="D441" s="144"/>
      <c r="E441" s="693" t="s">
        <v>1076</v>
      </c>
      <c r="F441" s="693" t="str">
        <f>Translations!$B$845</f>
        <v>Flat-rolled products of iron or non-alloy steel, of a width of &gt;= 600 mm, hot-rolled or cold-rolled "cold-reduced", corrugated, plated or coated with zinc (excl. electrolytically plated or coated with zinc)</v>
      </c>
      <c r="G441" s="694"/>
      <c r="H441" s="694"/>
      <c r="I441" s="694"/>
      <c r="J441" s="694"/>
      <c r="K441" s="694"/>
      <c r="L441" s="694"/>
      <c r="M441" s="697" t="str">
        <f>Translations!$B$611</f>
        <v>Iron or steel products</v>
      </c>
      <c r="N441" s="620"/>
      <c r="O441" s="428"/>
    </row>
    <row r="442" spans="1:15" ht="12.75" customHeight="1" x14ac:dyDescent="0.2">
      <c r="A442" s="92"/>
      <c r="B442" s="144"/>
      <c r="C442" s="144"/>
      <c r="D442" s="144"/>
      <c r="E442" s="693" t="s">
        <v>1079</v>
      </c>
      <c r="F442" s="693" t="str">
        <f>Translations!$B$846</f>
        <v>Flat-rolled products of iron or non-alloy steel, of a width of &gt;= 600 mm, hot-rolled or cold-rolled "cold-reduced", not corrugated, plated or coated with zinc (excl. electrolytically plated or coated with zinc)</v>
      </c>
      <c r="G442" s="694"/>
      <c r="H442" s="694"/>
      <c r="I442" s="694"/>
      <c r="J442" s="694"/>
      <c r="K442" s="694"/>
      <c r="L442" s="694"/>
      <c r="M442" s="697" t="str">
        <f>Translations!$B$611</f>
        <v>Iron or steel products</v>
      </c>
      <c r="N442" s="620"/>
      <c r="O442" s="428"/>
    </row>
    <row r="443" spans="1:15" ht="12.75" customHeight="1" x14ac:dyDescent="0.2">
      <c r="A443" s="92"/>
      <c r="B443" s="144"/>
      <c r="C443" s="144"/>
      <c r="D443" s="144"/>
      <c r="E443" s="693" t="s">
        <v>1082</v>
      </c>
      <c r="F443" s="693" t="str">
        <f>Translations!$B$847</f>
        <v>Flat-rolled products of iron or non-alloy steel, of a width of &gt;= 600 mm, hot-rolled or cold-rolled "cold-reduced", plated or coated with chromium oxides or with chromium and chromium oxides</v>
      </c>
      <c r="G443" s="694"/>
      <c r="H443" s="694"/>
      <c r="I443" s="694"/>
      <c r="J443" s="694"/>
      <c r="K443" s="694"/>
      <c r="L443" s="694"/>
      <c r="M443" s="697" t="str">
        <f>Translations!$B$611</f>
        <v>Iron or steel products</v>
      </c>
      <c r="N443" s="620"/>
      <c r="O443" s="428"/>
    </row>
    <row r="444" spans="1:15" ht="12.75" customHeight="1" x14ac:dyDescent="0.2">
      <c r="A444" s="92"/>
      <c r="B444" s="144"/>
      <c r="C444" s="144"/>
      <c r="D444" s="144"/>
      <c r="E444" s="693" t="s">
        <v>1085</v>
      </c>
      <c r="F444" s="693" t="str">
        <f>Translations!$B$848</f>
        <v>Flat-rolled products of iron or non-alloy steel, of a width of &gt;= 600 mm, hot-rolled or cold-rolled "cold-reduced", plated or coated with aluminium-zinc alloys</v>
      </c>
      <c r="G444" s="694"/>
      <c r="H444" s="694"/>
      <c r="I444" s="694"/>
      <c r="J444" s="694"/>
      <c r="K444" s="694"/>
      <c r="L444" s="694"/>
      <c r="M444" s="697" t="str">
        <f>Translations!$B$611</f>
        <v>Iron or steel products</v>
      </c>
      <c r="N444" s="620"/>
      <c r="O444" s="428"/>
    </row>
    <row r="445" spans="1:15" ht="12.75" customHeight="1" x14ac:dyDescent="0.2">
      <c r="A445" s="92"/>
      <c r="B445" s="144"/>
      <c r="C445" s="144"/>
      <c r="D445" s="144"/>
      <c r="E445" s="693" t="s">
        <v>1088</v>
      </c>
      <c r="F445" s="693" t="str">
        <f>Translations!$B$849</f>
        <v>Flat-rolled products of iron or non-alloy steel, of a width of &gt;= 600 mm, hot-rolled or cold-rolled "cold-reduced", plated or coated with aluminium (excl. products plated or coated with aluminium-zinc alloys)</v>
      </c>
      <c r="G445" s="694"/>
      <c r="H445" s="694"/>
      <c r="I445" s="694"/>
      <c r="J445" s="694"/>
      <c r="K445" s="694"/>
      <c r="L445" s="694"/>
      <c r="M445" s="697" t="str">
        <f>Translations!$B$611</f>
        <v>Iron or steel products</v>
      </c>
      <c r="N445" s="620"/>
      <c r="O445" s="428"/>
    </row>
    <row r="446" spans="1:15" ht="12.75" customHeight="1" x14ac:dyDescent="0.2">
      <c r="A446" s="92"/>
      <c r="B446" s="144"/>
      <c r="C446" s="144"/>
      <c r="D446" s="144"/>
      <c r="E446" s="693" t="s">
        <v>1090</v>
      </c>
      <c r="F446" s="693" t="str">
        <f>Translations!$B$850</f>
        <v>Flat products of iron or non-alloy steel, of a width of &gt;= 600 mm, hot-rolled or cold-rolled "cold-reduced", painted, varnished or coated with plastics</v>
      </c>
      <c r="G446" s="694"/>
      <c r="H446" s="694"/>
      <c r="I446" s="694"/>
      <c r="J446" s="694"/>
      <c r="K446" s="694"/>
      <c r="L446" s="694"/>
      <c r="M446" s="697" t="str">
        <f>Translations!$B$611</f>
        <v>Iron or steel products</v>
      </c>
      <c r="N446" s="620"/>
      <c r="O446" s="428"/>
    </row>
    <row r="447" spans="1:15" ht="12.75" customHeight="1" x14ac:dyDescent="0.2">
      <c r="A447" s="92"/>
      <c r="B447" s="144"/>
      <c r="C447" s="144"/>
      <c r="D447" s="144"/>
      <c r="E447" s="693" t="s">
        <v>1093</v>
      </c>
      <c r="F447" s="693" t="str">
        <f>Translations!$B$851</f>
        <v>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v>
      </c>
      <c r="G447" s="694"/>
      <c r="H447" s="694"/>
      <c r="I447" s="694"/>
      <c r="J447" s="694"/>
      <c r="K447" s="694"/>
      <c r="L447" s="694"/>
      <c r="M447" s="697" t="str">
        <f>Translations!$B$611</f>
        <v>Iron or steel products</v>
      </c>
      <c r="N447" s="620"/>
      <c r="O447" s="428"/>
    </row>
    <row r="448" spans="1:15" ht="12.75" customHeight="1" x14ac:dyDescent="0.2">
      <c r="A448" s="92"/>
      <c r="B448" s="144"/>
      <c r="C448" s="144"/>
      <c r="D448" s="144"/>
      <c r="E448" s="693" t="s">
        <v>1096</v>
      </c>
      <c r="F448" s="693" t="str">
        <f>Translations!$B$852</f>
        <v>Flat-rolled products of iron or non-alloy steel, of a width of &gt;= 600 mm, hot-rolled or cold-rolled "cold-reduced", painted, varnished or plastic coated (excl. tinplate and products electrolytically plated or coated with chrome, varnished)</v>
      </c>
      <c r="G448" s="694"/>
      <c r="H448" s="694"/>
      <c r="I448" s="694"/>
      <c r="J448" s="694"/>
      <c r="K448" s="694"/>
      <c r="L448" s="694"/>
      <c r="M448" s="697" t="str">
        <f>Translations!$B$611</f>
        <v>Iron or steel products</v>
      </c>
      <c r="N448" s="620"/>
      <c r="O448" s="428"/>
    </row>
    <row r="449" spans="1:15" ht="12.75" customHeight="1" x14ac:dyDescent="0.2">
      <c r="A449" s="92"/>
      <c r="B449" s="144"/>
      <c r="C449" s="144"/>
      <c r="D449" s="144"/>
      <c r="E449" s="693" t="s">
        <v>1098</v>
      </c>
      <c r="F449" s="693" t="str">
        <f>Translations!$B$853</f>
        <v>Flat-rolled products of iron or non-alloy steel, of a width of &gt;= 600 mm, hot-rolled or cold-rolled "cold-reduced", clad, plated or coated (excl. tinned, plated or coated with lead, zinc, chromium oxides, chromium and chromium oxides, or aluminium, painted, varnished or coated with plastics)</v>
      </c>
      <c r="G449" s="694"/>
      <c r="H449" s="694"/>
      <c r="I449" s="694"/>
      <c r="J449" s="694"/>
      <c r="K449" s="694"/>
      <c r="L449" s="694"/>
      <c r="M449" s="697" t="str">
        <f>Translations!$B$611</f>
        <v>Iron or steel products</v>
      </c>
      <c r="N449" s="620"/>
      <c r="O449" s="428"/>
    </row>
    <row r="450" spans="1:15" ht="12.75" customHeight="1" x14ac:dyDescent="0.2">
      <c r="A450" s="92"/>
      <c r="B450" s="144"/>
      <c r="C450" s="144"/>
      <c r="D450" s="144"/>
      <c r="E450" s="693" t="s">
        <v>1101</v>
      </c>
      <c r="F450" s="693" t="str">
        <f>Translations!$B$854</f>
        <v>Flat-rolled products of iron or non-alloy steel, of a width of &gt;= 600 mm, hot-rolled or cold-rolled "cold-reduced", clad</v>
      </c>
      <c r="G450" s="694"/>
      <c r="H450" s="694"/>
      <c r="I450" s="694"/>
      <c r="J450" s="694"/>
      <c r="K450" s="694"/>
      <c r="L450" s="694"/>
      <c r="M450" s="697" t="str">
        <f>Translations!$B$611</f>
        <v>Iron or steel products</v>
      </c>
      <c r="N450" s="620"/>
      <c r="O450" s="428"/>
    </row>
    <row r="451" spans="1:15" ht="12.75" customHeight="1" x14ac:dyDescent="0.2">
      <c r="A451" s="92"/>
      <c r="B451" s="144"/>
      <c r="C451" s="144"/>
      <c r="D451" s="144"/>
      <c r="E451" s="693" t="s">
        <v>1104</v>
      </c>
      <c r="F451" s="693" t="str">
        <f>Translations!$B$855</f>
        <v>Flat-rolled products of iron or non-alloy steel, tinned and printed, of a width of &gt;= 600 mm, hot-rolled or cold-rolled "cold-reduced"</v>
      </c>
      <c r="G451" s="694"/>
      <c r="H451" s="694"/>
      <c r="I451" s="694"/>
      <c r="J451" s="694"/>
      <c r="K451" s="694"/>
      <c r="L451" s="694"/>
      <c r="M451" s="697" t="str">
        <f>Translations!$B$611</f>
        <v>Iron or steel products</v>
      </c>
      <c r="N451" s="620"/>
      <c r="O451" s="428"/>
    </row>
    <row r="452" spans="1:15" ht="12.75" customHeight="1" x14ac:dyDescent="0.2">
      <c r="A452" s="92"/>
      <c r="B452" s="144"/>
      <c r="C452" s="144"/>
      <c r="D452" s="144"/>
      <c r="E452" s="693" t="s">
        <v>1107</v>
      </c>
      <c r="F452" s="693" t="str">
        <f>Translations!$B$856</f>
        <v>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v>
      </c>
      <c r="G452" s="694"/>
      <c r="H452" s="694"/>
      <c r="I452" s="694"/>
      <c r="J452" s="694"/>
      <c r="K452" s="694"/>
      <c r="L452" s="694"/>
      <c r="M452" s="697" t="str">
        <f>Translations!$B$611</f>
        <v>Iron or steel products</v>
      </c>
      <c r="N452" s="620"/>
      <c r="O452" s="428"/>
    </row>
    <row r="453" spans="1:15" ht="12.75" customHeight="1" x14ac:dyDescent="0.2">
      <c r="A453" s="92"/>
      <c r="B453" s="144"/>
      <c r="C453" s="144"/>
      <c r="D453" s="144"/>
      <c r="E453" s="693" t="s">
        <v>1109</v>
      </c>
      <c r="F453" s="693" t="str">
        <f>Translations!$B$857</f>
        <v>Flat-rolled products of iron or non-alloy steel, of a width of &lt; 600 mm, hot-rolled or cold-rolled "cold-reduced", not clad, plated or coated</v>
      </c>
      <c r="G453" s="694"/>
      <c r="H453" s="694"/>
      <c r="I453" s="694"/>
      <c r="J453" s="694"/>
      <c r="K453" s="694"/>
      <c r="L453" s="694"/>
      <c r="M453" s="697" t="str">
        <f>Translations!$B$611</f>
        <v>Iron or steel products</v>
      </c>
      <c r="N453" s="620"/>
      <c r="O453" s="428"/>
    </row>
    <row r="454" spans="1:15" ht="12.75" customHeight="1" x14ac:dyDescent="0.2">
      <c r="A454" s="92"/>
      <c r="B454" s="144"/>
      <c r="C454" s="144"/>
      <c r="D454" s="144"/>
      <c r="E454" s="693" t="s">
        <v>1112</v>
      </c>
      <c r="F454" s="693" t="str">
        <f>Translations!$B$858</f>
        <v>Flat-rolled products of iron or non-alloy steel, simply hot-rolled on four faces or in a closed box pass, not clad, plated or coated, of a width of &gt; 150 mm but &lt; 600 mm and a thickness of &gt;= 4 mm, not in coils, without patterns in relief, commonly known as "wide flats"</v>
      </c>
      <c r="G454" s="694"/>
      <c r="H454" s="694"/>
      <c r="I454" s="694"/>
      <c r="J454" s="694"/>
      <c r="K454" s="694"/>
      <c r="L454" s="694"/>
      <c r="M454" s="697" t="str">
        <f>Translations!$B$611</f>
        <v>Iron or steel products</v>
      </c>
      <c r="N454" s="620"/>
      <c r="O454" s="428"/>
    </row>
    <row r="455" spans="1:15" ht="12.75" customHeight="1" x14ac:dyDescent="0.2">
      <c r="A455" s="92"/>
      <c r="B455" s="144"/>
      <c r="C455" s="144"/>
      <c r="D455" s="144"/>
      <c r="E455" s="693" t="s">
        <v>1115</v>
      </c>
      <c r="F455" s="693" t="str">
        <f>Translations!$B$859</f>
        <v>Flat-rolled products of iron or non-alloy steel, of a width &lt; 600 mm, not further worked than hot-rolled, not clad, plated or coated, of a thickness of &gt;= 4,75 mm (excl. "wide flats")</v>
      </c>
      <c r="G455" s="694"/>
      <c r="H455" s="694"/>
      <c r="I455" s="694"/>
      <c r="J455" s="694"/>
      <c r="K455" s="694"/>
      <c r="L455" s="694"/>
      <c r="M455" s="697" t="str">
        <f>Translations!$B$611</f>
        <v>Iron or steel products</v>
      </c>
      <c r="N455" s="620"/>
      <c r="O455" s="428"/>
    </row>
    <row r="456" spans="1:15" ht="12.75" customHeight="1" x14ac:dyDescent="0.2">
      <c r="A456" s="92"/>
      <c r="B456" s="144"/>
      <c r="C456" s="144"/>
      <c r="D456" s="144"/>
      <c r="E456" s="693" t="s">
        <v>1118</v>
      </c>
      <c r="F456" s="693" t="str">
        <f>Translations!$B$860</f>
        <v>Flat-rolled products of iron or non-alloy steel, of a width &lt; 600 mm, simply hot-rolled, not clad, plated or coated, of a thickness &lt; 4,75 mm (excl. "wide flats")</v>
      </c>
      <c r="G456" s="694"/>
      <c r="H456" s="694"/>
      <c r="I456" s="694"/>
      <c r="J456" s="694"/>
      <c r="K456" s="694"/>
      <c r="L456" s="694"/>
      <c r="M456" s="697" t="str">
        <f>Translations!$B$611</f>
        <v>Iron or steel products</v>
      </c>
      <c r="N456" s="620"/>
      <c r="O456" s="428"/>
    </row>
    <row r="457" spans="1:15" ht="12.75" customHeight="1" x14ac:dyDescent="0.2">
      <c r="A457" s="92"/>
      <c r="B457" s="144"/>
      <c r="C457" s="144"/>
      <c r="D457" s="144"/>
      <c r="E457" s="693" t="s">
        <v>1120</v>
      </c>
      <c r="F457" s="693" t="str">
        <f>Translations!$B$861</f>
        <v>Flat-rolled products of iron or non-alloy steel, of a width of &lt; 600 mm, simply cold-rolled "cold-reduced", not clad, plated or coated, containing by weight &lt; 0,25% of carbon</v>
      </c>
      <c r="G457" s="694"/>
      <c r="H457" s="694"/>
      <c r="I457" s="694"/>
      <c r="J457" s="694"/>
      <c r="K457" s="694"/>
      <c r="L457" s="694"/>
      <c r="M457" s="697" t="str">
        <f>Translations!$B$611</f>
        <v>Iron or steel products</v>
      </c>
      <c r="N457" s="620"/>
      <c r="O457" s="428"/>
    </row>
    <row r="458" spans="1:15" ht="12.75" customHeight="1" x14ac:dyDescent="0.2">
      <c r="A458" s="92"/>
      <c r="B458" s="144"/>
      <c r="C458" s="144"/>
      <c r="D458" s="144"/>
      <c r="E458" s="693" t="s">
        <v>1123</v>
      </c>
      <c r="F458" s="693" t="str">
        <f>Translations!$B$862</f>
        <v>Flat-rolled products of iron or non-alloy steel, of a width of &lt; 600 mm, simply cold-rolled "cold-reduced", not clad, plated or coated, containing by weight &lt; 0,25% of carbon "electrical"</v>
      </c>
      <c r="G458" s="694"/>
      <c r="H458" s="694"/>
      <c r="I458" s="694"/>
      <c r="J458" s="694"/>
      <c r="K458" s="694"/>
      <c r="L458" s="694"/>
      <c r="M458" s="697" t="str">
        <f>Translations!$B$611</f>
        <v>Iron or steel products</v>
      </c>
      <c r="N458" s="620"/>
      <c r="O458" s="428"/>
    </row>
    <row r="459" spans="1:15" ht="12.75" customHeight="1" x14ac:dyDescent="0.2">
      <c r="A459" s="92"/>
      <c r="B459" s="144"/>
      <c r="C459" s="144"/>
      <c r="D459" s="144"/>
      <c r="E459" s="693" t="s">
        <v>1126</v>
      </c>
      <c r="F459" s="693" t="str">
        <f>Translations!$B$863</f>
        <v>Flat-rolled products of iron or non-alloy steel, of a width of &lt; 600 mm and of a thickness of &gt;= 0,35 mm, simply cold-rolled "cold-reduced", not clad, plated or coated, containing by weight &lt; 0,25% of carbon (excl. electrical plate)</v>
      </c>
      <c r="G459" s="694"/>
      <c r="H459" s="694"/>
      <c r="I459" s="694"/>
      <c r="J459" s="694"/>
      <c r="K459" s="694"/>
      <c r="L459" s="694"/>
      <c r="M459" s="697" t="str">
        <f>Translations!$B$611</f>
        <v>Iron or steel products</v>
      </c>
      <c r="N459" s="620"/>
      <c r="O459" s="428"/>
    </row>
    <row r="460" spans="1:15" ht="12.75" customHeight="1" x14ac:dyDescent="0.2">
      <c r="A460" s="92"/>
      <c r="B460" s="144"/>
      <c r="C460" s="144"/>
      <c r="D460" s="144"/>
      <c r="E460" s="693" t="s">
        <v>1129</v>
      </c>
      <c r="F460" s="693" t="str">
        <f>Translations!$B$864</f>
        <v>Flat-rolled products of iron or non-alloy steel, of a width of &lt; 600 mm and of a thickness of &lt; 0,35 mm, simply cold-rolled "cold-reduced", not clad, plated or coated, containing by weight &lt; 0,25% of carbon (excl. electrical plate)</v>
      </c>
      <c r="G460" s="694"/>
      <c r="H460" s="694"/>
      <c r="I460" s="694"/>
      <c r="J460" s="694"/>
      <c r="K460" s="694"/>
      <c r="L460" s="694"/>
      <c r="M460" s="697" t="str">
        <f>Translations!$B$611</f>
        <v>Iron or steel products</v>
      </c>
      <c r="N460" s="620"/>
      <c r="O460" s="428"/>
    </row>
    <row r="461" spans="1:15" ht="12.75" customHeight="1" x14ac:dyDescent="0.2">
      <c r="A461" s="92"/>
      <c r="B461" s="144"/>
      <c r="C461" s="144"/>
      <c r="D461" s="144"/>
      <c r="E461" s="693" t="s">
        <v>1132</v>
      </c>
      <c r="F461" s="693" t="str">
        <f>Translations!$B$865</f>
        <v>Flat-rolled products of iron or non-alloy steel, of a width of &lt; 600 mm, simply cold-rolled "cold-reduced", not clad, plated or coated, containing by weight &gt;= 0,25% of carbon</v>
      </c>
      <c r="G461" s="694"/>
      <c r="H461" s="694"/>
      <c r="I461" s="694"/>
      <c r="J461" s="694"/>
      <c r="K461" s="694"/>
      <c r="L461" s="694"/>
      <c r="M461" s="697" t="str">
        <f>Translations!$B$611</f>
        <v>Iron or steel products</v>
      </c>
      <c r="N461" s="620"/>
      <c r="O461" s="428"/>
    </row>
    <row r="462" spans="1:15" ht="12.75" customHeight="1" x14ac:dyDescent="0.2">
      <c r="A462" s="92"/>
      <c r="B462" s="144"/>
      <c r="C462" s="144"/>
      <c r="D462" s="144"/>
      <c r="E462" s="693" t="s">
        <v>1134</v>
      </c>
      <c r="F462" s="693" t="str">
        <f>Translations!$B$866</f>
        <v>Flat-rolled products of iron or non-alloy steel, of a width of &lt; 600 mm, hot-rolled or cold-rolled "cold-reduced" and further worked, but not clad, plated or coated</v>
      </c>
      <c r="G462" s="694"/>
      <c r="H462" s="694"/>
      <c r="I462" s="694"/>
      <c r="J462" s="694"/>
      <c r="K462" s="694"/>
      <c r="L462" s="694"/>
      <c r="M462" s="697" t="str">
        <f>Translations!$B$611</f>
        <v>Iron or steel products</v>
      </c>
      <c r="N462" s="620"/>
      <c r="O462" s="428"/>
    </row>
    <row r="463" spans="1:15" ht="12.75" customHeight="1" x14ac:dyDescent="0.2">
      <c r="A463" s="92"/>
      <c r="B463" s="144"/>
      <c r="C463" s="144"/>
      <c r="D463" s="144"/>
      <c r="E463" s="693" t="s">
        <v>1137</v>
      </c>
      <c r="F463" s="693" t="str">
        <f>Translations!$B$867</f>
        <v>Flat-rolled products of iron or non-alloy steel, of a width of &lt; 600 mm, hot-rolled or cold-rolled "cold-reduced" and further worked, but not clad, plated or coated, perforated</v>
      </c>
      <c r="G463" s="694"/>
      <c r="H463" s="694"/>
      <c r="I463" s="694"/>
      <c r="J463" s="694"/>
      <c r="K463" s="694"/>
      <c r="L463" s="694"/>
      <c r="M463" s="697" t="str">
        <f>Translations!$B$611</f>
        <v>Iron or steel products</v>
      </c>
      <c r="N463" s="620"/>
      <c r="O463" s="428"/>
    </row>
    <row r="464" spans="1:15" ht="12.75" customHeight="1" x14ac:dyDescent="0.2">
      <c r="A464" s="92"/>
      <c r="B464" s="144"/>
      <c r="C464" s="144"/>
      <c r="D464" s="144"/>
      <c r="E464" s="693" t="s">
        <v>1140</v>
      </c>
      <c r="F464" s="693" t="str">
        <f>Translations!$B$868</f>
        <v>Flat-rolled products of iron or non-alloy steel, of a width of &lt; 600 mm, hot-rolled or cold-rolled "cold-reduced" and further worked, but not clad, plated or coatednon-perforated</v>
      </c>
      <c r="G464" s="694"/>
      <c r="H464" s="694"/>
      <c r="I464" s="694"/>
      <c r="J464" s="694"/>
      <c r="K464" s="694"/>
      <c r="L464" s="694"/>
      <c r="M464" s="697" t="str">
        <f>Translations!$B$611</f>
        <v>Iron or steel products</v>
      </c>
      <c r="N464" s="620"/>
      <c r="O464" s="428"/>
    </row>
    <row r="465" spans="1:15" ht="12.75" customHeight="1" x14ac:dyDescent="0.2">
      <c r="A465" s="92"/>
      <c r="B465" s="144"/>
      <c r="C465" s="144"/>
      <c r="D465" s="144"/>
      <c r="E465" s="693" t="s">
        <v>1142</v>
      </c>
      <c r="F465" s="693" t="str">
        <f>Translations!$B$869</f>
        <v>Flat-rolled products of iron or non-alloy steel, of a width of &lt; 600 mm, hot-rolled or cold-rolled "cold-reduced", clad, plated or coated</v>
      </c>
      <c r="G465" s="694"/>
      <c r="H465" s="694"/>
      <c r="I465" s="694"/>
      <c r="J465" s="694"/>
      <c r="K465" s="694"/>
      <c r="L465" s="694"/>
      <c r="M465" s="697" t="str">
        <f>Translations!$B$611</f>
        <v>Iron or steel products</v>
      </c>
      <c r="N465" s="620"/>
      <c r="O465" s="428"/>
    </row>
    <row r="466" spans="1:15" ht="12.75" customHeight="1" x14ac:dyDescent="0.2">
      <c r="A466" s="92"/>
      <c r="B466" s="144"/>
      <c r="C466" s="144"/>
      <c r="D466" s="144"/>
      <c r="E466" s="693" t="s">
        <v>1144</v>
      </c>
      <c r="F466" s="693" t="str">
        <f>Translations!$B$870</f>
        <v>Flat-rolled products of iron or non-alloy steel, of a width of &lt; 600 mm, hot-rolled or cold-rolled "cold-reduced", tinned</v>
      </c>
      <c r="G466" s="694"/>
      <c r="H466" s="694"/>
      <c r="I466" s="694"/>
      <c r="J466" s="694"/>
      <c r="K466" s="694"/>
      <c r="L466" s="694"/>
      <c r="M466" s="697" t="str">
        <f>Translations!$B$611</f>
        <v>Iron or steel products</v>
      </c>
      <c r="N466" s="620"/>
      <c r="O466" s="428"/>
    </row>
    <row r="467" spans="1:15" ht="12.75" customHeight="1" x14ac:dyDescent="0.2">
      <c r="A467" s="92"/>
      <c r="B467" s="144"/>
      <c r="C467" s="144"/>
      <c r="D467" s="144"/>
      <c r="E467" s="693" t="s">
        <v>1147</v>
      </c>
      <c r="F467" s="693" t="str">
        <f>Translations!$B$871</f>
        <v>Tinplate of iron or non-alloy steel, of a width of &lt; 600 mm and of a thickness of &lt; 0,5 mm, tinned [coated with a layer of metal containing, by weight,  &gt;= 97% of tin], not further worked than surface-treated</v>
      </c>
      <c r="G467" s="694"/>
      <c r="H467" s="694"/>
      <c r="I467" s="694"/>
      <c r="J467" s="694"/>
      <c r="K467" s="694"/>
      <c r="L467" s="694"/>
      <c r="M467" s="697" t="str">
        <f>Translations!$B$611</f>
        <v>Iron or steel products</v>
      </c>
      <c r="N467" s="620"/>
      <c r="O467" s="428"/>
    </row>
    <row r="468" spans="1:15" ht="12.75" customHeight="1" x14ac:dyDescent="0.2">
      <c r="A468" s="92"/>
      <c r="B468" s="144"/>
      <c r="C468" s="144"/>
      <c r="D468" s="144"/>
      <c r="E468" s="693" t="s">
        <v>1150</v>
      </c>
      <c r="F468" s="693" t="str">
        <f>Translations!$B$872</f>
        <v>Flat-rolled products of iron or non-alloy steel, hot-rolled or cold-rolled "cold-reduced", of a width of &lt; 600 mm, tinned (excl. tinplate, not further worked than surface-treated)</v>
      </c>
      <c r="G468" s="694"/>
      <c r="H468" s="694"/>
      <c r="I468" s="694"/>
      <c r="J468" s="694"/>
      <c r="K468" s="694"/>
      <c r="L468" s="694"/>
      <c r="M468" s="697" t="str">
        <f>Translations!$B$611</f>
        <v>Iron or steel products</v>
      </c>
      <c r="N468" s="620"/>
      <c r="O468" s="428"/>
    </row>
    <row r="469" spans="1:15" ht="12.75" customHeight="1" x14ac:dyDescent="0.2">
      <c r="A469" s="92"/>
      <c r="B469" s="144"/>
      <c r="C469" s="144"/>
      <c r="D469" s="144"/>
      <c r="E469" s="693" t="s">
        <v>1153</v>
      </c>
      <c r="F469" s="693" t="str">
        <f>Translations!$B$873</f>
        <v>Flat-rolled products of iron or non-alloy steel, of a width of &lt; 600 mm, hot-rolled or cold-rolled "cold-reduced", electrolytically plated or coated with zinc</v>
      </c>
      <c r="G469" s="694"/>
      <c r="H469" s="694"/>
      <c r="I469" s="694"/>
      <c r="J469" s="694"/>
      <c r="K469" s="694"/>
      <c r="L469" s="694"/>
      <c r="M469" s="697" t="str">
        <f>Translations!$B$611</f>
        <v>Iron or steel products</v>
      </c>
      <c r="N469" s="620"/>
      <c r="O469" s="428"/>
    </row>
    <row r="470" spans="1:15" ht="12.75" customHeight="1" x14ac:dyDescent="0.2">
      <c r="A470" s="92"/>
      <c r="B470" s="144"/>
      <c r="C470" s="144"/>
      <c r="D470" s="144"/>
      <c r="E470" s="693" t="s">
        <v>1156</v>
      </c>
      <c r="F470" s="693" t="str">
        <f>Translations!$B$874</f>
        <v>Flat-rolled products of iron or non-alloy steel, of a width of &lt; 600 mm, hot-rolled or cold-rolled "cold-reduced", tinned (excl. electrolytically plated or coated with zinc)</v>
      </c>
      <c r="G470" s="694"/>
      <c r="H470" s="694"/>
      <c r="I470" s="694"/>
      <c r="J470" s="694"/>
      <c r="K470" s="694"/>
      <c r="L470" s="694"/>
      <c r="M470" s="697" t="str">
        <f>Translations!$B$611</f>
        <v>Iron or steel products</v>
      </c>
      <c r="N470" s="620"/>
      <c r="O470" s="428"/>
    </row>
    <row r="471" spans="1:15" ht="12.75" customHeight="1" x14ac:dyDescent="0.2">
      <c r="A471" s="92"/>
      <c r="B471" s="144"/>
      <c r="C471" s="144"/>
      <c r="D471" s="144"/>
      <c r="E471" s="693" t="s">
        <v>1158</v>
      </c>
      <c r="F471" s="693" t="str">
        <f>Translations!$B$875</f>
        <v>Flat-rolled products of iron or non-alloy steel, of a width of &lt; 600 mm, hot-rolled or cold-rolled "cold-reduced", painted, varnished or coated with plastics</v>
      </c>
      <c r="G471" s="694"/>
      <c r="H471" s="694"/>
      <c r="I471" s="694"/>
      <c r="J471" s="694"/>
      <c r="K471" s="694"/>
      <c r="L471" s="694"/>
      <c r="M471" s="697" t="str">
        <f>Translations!$B$611</f>
        <v>Iron or steel products</v>
      </c>
      <c r="N471" s="620"/>
      <c r="O471" s="428"/>
    </row>
    <row r="472" spans="1:15" ht="12.75" customHeight="1" x14ac:dyDescent="0.2">
      <c r="A472" s="92"/>
      <c r="B472" s="144"/>
      <c r="C472" s="144"/>
      <c r="D472" s="144"/>
      <c r="E472" s="693" t="s">
        <v>1161</v>
      </c>
      <c r="F472" s="693" t="str">
        <f>Translations!$B$876</f>
        <v>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v>
      </c>
      <c r="G472" s="694"/>
      <c r="H472" s="694"/>
      <c r="I472" s="694"/>
      <c r="J472" s="694"/>
      <c r="K472" s="694"/>
      <c r="L472" s="694"/>
      <c r="M472" s="697" t="str">
        <f>Translations!$B$611</f>
        <v>Iron or steel products</v>
      </c>
      <c r="N472" s="620"/>
      <c r="O472" s="428"/>
    </row>
    <row r="473" spans="1:15" ht="12.75" customHeight="1" x14ac:dyDescent="0.2">
      <c r="A473" s="92"/>
      <c r="B473" s="144"/>
      <c r="C473" s="144"/>
      <c r="D473" s="144"/>
      <c r="E473" s="693" t="s">
        <v>1164</v>
      </c>
      <c r="F473" s="693" t="str">
        <f>Translations!$B$877</f>
        <v>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v>
      </c>
      <c r="G473" s="694"/>
      <c r="H473" s="694"/>
      <c r="I473" s="694"/>
      <c r="J473" s="694"/>
      <c r="K473" s="694"/>
      <c r="L473" s="694"/>
      <c r="M473" s="697" t="str">
        <f>Translations!$B$611</f>
        <v>Iron or steel products</v>
      </c>
      <c r="N473" s="620"/>
      <c r="O473" s="428"/>
    </row>
    <row r="474" spans="1:15" ht="12.75" customHeight="1" x14ac:dyDescent="0.2">
      <c r="A474" s="92"/>
      <c r="B474" s="144"/>
      <c r="C474" s="144"/>
      <c r="D474" s="144"/>
      <c r="E474" s="693" t="s">
        <v>1166</v>
      </c>
      <c r="F474" s="693" t="str">
        <f>Translations!$B$878</f>
        <v>Flat-rolled products of iron or non-alloy steel, of a width of &lt; 600 mm, hot-rolled or cold-rolled "cold-reduced", plated or coated (excl. tinned, plated or coated with zinc, painted, varnished or coated with plastics)</v>
      </c>
      <c r="G474" s="694"/>
      <c r="H474" s="694"/>
      <c r="I474" s="694"/>
      <c r="J474" s="694"/>
      <c r="K474" s="694"/>
      <c r="L474" s="694"/>
      <c r="M474" s="697" t="str">
        <f>Translations!$B$611</f>
        <v>Iron or steel products</v>
      </c>
      <c r="N474" s="620"/>
      <c r="O474" s="428"/>
    </row>
    <row r="475" spans="1:15" ht="12.75" customHeight="1" x14ac:dyDescent="0.2">
      <c r="A475" s="92"/>
      <c r="B475" s="144"/>
      <c r="C475" s="144"/>
      <c r="D475" s="144"/>
      <c r="E475" s="693" t="s">
        <v>1169</v>
      </c>
      <c r="F475" s="693" t="str">
        <f>Translations!$B$879</f>
        <v>Flat-rolled products of iron or non-alloy steel, of a width of &lt; 600 mm, hot-rolled or cold-rolled "cold-reduced", plated or coated with chromium oxides or with chromium and chromium oxides (excl. varnished)</v>
      </c>
      <c r="G475" s="694"/>
      <c r="H475" s="694"/>
      <c r="I475" s="694"/>
      <c r="J475" s="694"/>
      <c r="K475" s="694"/>
      <c r="L475" s="694"/>
      <c r="M475" s="697" t="str">
        <f>Translations!$B$611</f>
        <v>Iron or steel products</v>
      </c>
      <c r="N475" s="620"/>
      <c r="O475" s="428"/>
    </row>
    <row r="476" spans="1:15" ht="12.75" customHeight="1" x14ac:dyDescent="0.2">
      <c r="A476" s="92"/>
      <c r="B476" s="144"/>
      <c r="C476" s="144"/>
      <c r="D476" s="144"/>
      <c r="E476" s="693" t="s">
        <v>1172</v>
      </c>
      <c r="F476" s="693" t="str">
        <f>Translations!$B$880</f>
        <v>Flat-rolled products of iron or non-alloy steel, of a width of &lt; 600 mm, hot-rolled or cold-rolled "cold-reduced", plated or coated with chromium or nickel</v>
      </c>
      <c r="G476" s="694"/>
      <c r="H476" s="694"/>
      <c r="I476" s="694"/>
      <c r="J476" s="694"/>
      <c r="K476" s="694"/>
      <c r="L476" s="694"/>
      <c r="M476" s="697" t="str">
        <f>Translations!$B$611</f>
        <v>Iron or steel products</v>
      </c>
      <c r="N476" s="620"/>
      <c r="O476" s="428"/>
    </row>
    <row r="477" spans="1:15" ht="12.75" customHeight="1" x14ac:dyDescent="0.2">
      <c r="A477" s="92"/>
      <c r="B477" s="144"/>
      <c r="C477" s="144"/>
      <c r="D477" s="144"/>
      <c r="E477" s="693" t="s">
        <v>1175</v>
      </c>
      <c r="F477" s="693" t="str">
        <f>Translations!$B$881</f>
        <v>Flat-rolled products of iron or non-alloy steel, of a width of &lt; 600 mm, hot-rolled or cold-rolled "cold-reduced", plated or coated with copper</v>
      </c>
      <c r="G477" s="694"/>
      <c r="H477" s="694"/>
      <c r="I477" s="694"/>
      <c r="J477" s="694"/>
      <c r="K477" s="694"/>
      <c r="L477" s="694"/>
      <c r="M477" s="697" t="str">
        <f>Translations!$B$611</f>
        <v>Iron or steel products</v>
      </c>
      <c r="N477" s="620"/>
      <c r="O477" s="428"/>
    </row>
    <row r="478" spans="1:15" ht="12.75" customHeight="1" x14ac:dyDescent="0.2">
      <c r="A478" s="92"/>
      <c r="B478" s="144"/>
      <c r="C478" s="144"/>
      <c r="D478" s="144"/>
      <c r="E478" s="693" t="s">
        <v>1178</v>
      </c>
      <c r="F478" s="693" t="str">
        <f>Translations!$B$882</f>
        <v>Flat-rolled products of iron or non-alloy steel, of a width of &lt; 600 mm, hot-rolled or cold-rolled "cold-reduced", plated or coated with aluminium-zinc alloys</v>
      </c>
      <c r="G478" s="694"/>
      <c r="H478" s="694"/>
      <c r="I478" s="694"/>
      <c r="J478" s="694"/>
      <c r="K478" s="694"/>
      <c r="L478" s="694"/>
      <c r="M478" s="697" t="str">
        <f>Translations!$B$611</f>
        <v>Iron or steel products</v>
      </c>
      <c r="N478" s="620"/>
      <c r="O478" s="428"/>
    </row>
    <row r="479" spans="1:15" ht="12.75" customHeight="1" x14ac:dyDescent="0.2">
      <c r="A479" s="92"/>
      <c r="B479" s="144"/>
      <c r="C479" s="144"/>
      <c r="D479" s="144"/>
      <c r="E479" s="693" t="s">
        <v>1181</v>
      </c>
      <c r="F479" s="693" t="str">
        <f>Translations!$B$883</f>
        <v>Flat-rolled products of iron or non-alloy steel, of a width of &lt; 600 mm, hot-rolled or cold-rolled "cold-reduced", plated or coated with aluminium (excl. products plated or coated with aluminium-zinc alloys)</v>
      </c>
      <c r="G479" s="694"/>
      <c r="H479" s="694"/>
      <c r="I479" s="694"/>
      <c r="J479" s="694"/>
      <c r="K479" s="694"/>
      <c r="L479" s="694"/>
      <c r="M479" s="697" t="str">
        <f>Translations!$B$611</f>
        <v>Iron or steel products</v>
      </c>
      <c r="N479" s="620"/>
      <c r="O479" s="428"/>
    </row>
    <row r="480" spans="1:15" ht="12.75" customHeight="1" x14ac:dyDescent="0.2">
      <c r="A480" s="92"/>
      <c r="B480" s="144"/>
      <c r="C480" s="144"/>
      <c r="D480" s="144"/>
      <c r="E480" s="693" t="s">
        <v>1184</v>
      </c>
      <c r="F480" s="693" t="str">
        <f>Translations!$B$884</f>
        <v>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v>
      </c>
      <c r="G480" s="694"/>
      <c r="H480" s="694"/>
      <c r="I480" s="694"/>
      <c r="J480" s="694"/>
      <c r="K480" s="694"/>
      <c r="L480" s="694"/>
      <c r="M480" s="697" t="str">
        <f>Translations!$B$611</f>
        <v>Iron or steel products</v>
      </c>
      <c r="N480" s="620"/>
      <c r="O480" s="428"/>
    </row>
    <row r="481" spans="1:15" ht="12.75" customHeight="1" x14ac:dyDescent="0.2">
      <c r="A481" s="92"/>
      <c r="B481" s="144"/>
      <c r="C481" s="144"/>
      <c r="D481" s="144"/>
      <c r="E481" s="693" t="s">
        <v>1187</v>
      </c>
      <c r="F481" s="693" t="str">
        <f>Translations!$B$885</f>
        <v>Flat-rolled products of iron or non-alloy steel, of a width of &lt; 600 mm, hot-rolled or cold-rolled "cold-reduced", clad</v>
      </c>
      <c r="G481" s="694"/>
      <c r="H481" s="694"/>
      <c r="I481" s="694"/>
      <c r="J481" s="694"/>
      <c r="K481" s="694"/>
      <c r="L481" s="694"/>
      <c r="M481" s="697" t="str">
        <f>Translations!$B$611</f>
        <v>Iron or steel products</v>
      </c>
      <c r="N481" s="620"/>
      <c r="O481" s="428"/>
    </row>
    <row r="482" spans="1:15" ht="12.75" customHeight="1" x14ac:dyDescent="0.2">
      <c r="A482" s="92"/>
      <c r="B482" s="144"/>
      <c r="C482" s="144"/>
      <c r="D482" s="144"/>
      <c r="E482" s="693" t="s">
        <v>1189</v>
      </c>
      <c r="F482" s="693" t="str">
        <f>Translations!$B$886</f>
        <v>Bars and rods of iron or non-alloy steel, hot-rolled, in irregularly wound coils</v>
      </c>
      <c r="G482" s="694"/>
      <c r="H482" s="694"/>
      <c r="I482" s="694"/>
      <c r="J482" s="694"/>
      <c r="K482" s="694"/>
      <c r="L482" s="694"/>
      <c r="M482" s="697" t="str">
        <f>Translations!$B$611</f>
        <v>Iron or steel products</v>
      </c>
      <c r="N482" s="620"/>
      <c r="O482" s="428"/>
    </row>
    <row r="483" spans="1:15" ht="12.75" customHeight="1" x14ac:dyDescent="0.2">
      <c r="A483" s="92"/>
      <c r="B483" s="144"/>
      <c r="C483" s="144"/>
      <c r="D483" s="144"/>
      <c r="E483" s="693" t="s">
        <v>1192</v>
      </c>
      <c r="F483" s="693" t="str">
        <f>Translations!$B$887</f>
        <v>Bars and rods, hot-rolled, in irregularly wound coils of iron or non-alloy steel, with indentations, ribs, grooves or other deformations produced during the rolling process</v>
      </c>
      <c r="G483" s="694"/>
      <c r="H483" s="694"/>
      <c r="I483" s="694"/>
      <c r="J483" s="694"/>
      <c r="K483" s="694"/>
      <c r="L483" s="694"/>
      <c r="M483" s="697" t="str">
        <f>Translations!$B$611</f>
        <v>Iron or steel products</v>
      </c>
      <c r="N483" s="620"/>
      <c r="O483" s="428"/>
    </row>
    <row r="484" spans="1:15" ht="12.75" customHeight="1" x14ac:dyDescent="0.2">
      <c r="A484" s="92"/>
      <c r="B484" s="144"/>
      <c r="C484" s="144"/>
      <c r="D484" s="144"/>
      <c r="E484" s="693" t="s">
        <v>1195</v>
      </c>
      <c r="F484" s="693" t="str">
        <f>Translations!$B$888</f>
        <v>Bars and rods, hot-rolled, in irregularly wound coils, of non-alloy free-cutting steel (excl. bars and rods containing indentations, ribs, grooves or other deformations produced during the rolling process)</v>
      </c>
      <c r="G484" s="694"/>
      <c r="H484" s="694"/>
      <c r="I484" s="694"/>
      <c r="J484" s="694"/>
      <c r="K484" s="694"/>
      <c r="L484" s="694"/>
      <c r="M484" s="697" t="str">
        <f>Translations!$B$611</f>
        <v>Iron or steel products</v>
      </c>
      <c r="N484" s="620"/>
      <c r="O484" s="428"/>
    </row>
    <row r="485" spans="1:15" ht="12.75" customHeight="1" x14ac:dyDescent="0.2">
      <c r="A485" s="92"/>
      <c r="B485" s="144"/>
      <c r="C485" s="144"/>
      <c r="D485" s="144"/>
      <c r="E485" s="693" t="s">
        <v>1197</v>
      </c>
      <c r="F485" s="693" t="str">
        <f>Translations!$B$889</f>
        <v>Bars and rods, hot-rolled, in irregularly wound coils, of iron or non-alloy steel, of circular cross-section measuring &lt; 14 mm in diameter (excl. bars and rods of free-cutting steel, and bars and rods with indentations, ribs, grooves or other deformations produced during the rolling process)</v>
      </c>
      <c r="G485" s="694"/>
      <c r="H485" s="694"/>
      <c r="I485" s="694"/>
      <c r="J485" s="694"/>
      <c r="K485" s="694"/>
      <c r="L485" s="694"/>
      <c r="M485" s="697" t="str">
        <f>Translations!$B$611</f>
        <v>Iron or steel products</v>
      </c>
      <c r="N485" s="620"/>
      <c r="O485" s="428"/>
    </row>
    <row r="486" spans="1:15" ht="12.75" customHeight="1" x14ac:dyDescent="0.2">
      <c r="A486" s="92"/>
      <c r="B486" s="144"/>
      <c r="C486" s="144"/>
      <c r="D486" s="144"/>
      <c r="E486" s="693" t="s">
        <v>1200</v>
      </c>
      <c r="F486" s="693" t="str">
        <f>Translations!$B$890</f>
        <v>Bars and rods, hot-rolled, of the type used for concrete reinforcement, smooth, of iron or non-alloy steel, in irregularly wound coils, of circular cross-section measuring &lt; 14 mm in diameter</v>
      </c>
      <c r="G486" s="694"/>
      <c r="H486" s="694"/>
      <c r="I486" s="694"/>
      <c r="J486" s="694"/>
      <c r="K486" s="694"/>
      <c r="L486" s="694"/>
      <c r="M486" s="697" t="str">
        <f>Translations!$B$611</f>
        <v>Iron or steel products</v>
      </c>
      <c r="N486" s="620"/>
      <c r="O486" s="428"/>
    </row>
    <row r="487" spans="1:15" ht="12.75" customHeight="1" x14ac:dyDescent="0.2">
      <c r="A487" s="92"/>
      <c r="B487" s="144"/>
      <c r="C487" s="144"/>
      <c r="D487" s="144"/>
      <c r="E487" s="693" t="s">
        <v>1203</v>
      </c>
      <c r="F487" s="693" t="str">
        <f>Translations!$B$891</f>
        <v>Bars and rods, hot-rolled, of the type used for tyre cord, smooth, of iron or non-alloy steel, in irregularly wound coils</v>
      </c>
      <c r="G487" s="694"/>
      <c r="H487" s="694"/>
      <c r="I487" s="694"/>
      <c r="J487" s="694"/>
      <c r="K487" s="694"/>
      <c r="L487" s="694"/>
      <c r="M487" s="697" t="str">
        <f>Translations!$B$611</f>
        <v>Iron or steel products</v>
      </c>
      <c r="N487" s="620"/>
      <c r="O487" s="428"/>
    </row>
    <row r="488" spans="1:15" ht="12.75" customHeight="1" x14ac:dyDescent="0.2">
      <c r="A488" s="92"/>
      <c r="B488" s="144"/>
      <c r="C488" s="144"/>
      <c r="D488" s="144"/>
      <c r="E488" s="693" t="s">
        <v>1206</v>
      </c>
      <c r="F488" s="693" t="str">
        <f>Translations!$B$892</f>
        <v>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v>
      </c>
      <c r="G488" s="694"/>
      <c r="H488" s="694"/>
      <c r="I488" s="694"/>
      <c r="J488" s="694"/>
      <c r="K488" s="694"/>
      <c r="L488" s="694"/>
      <c r="M488" s="697" t="str">
        <f>Translations!$B$611</f>
        <v>Iron or steel products</v>
      </c>
      <c r="N488" s="620"/>
      <c r="O488" s="428"/>
    </row>
    <row r="489" spans="1:15" ht="12.75" customHeight="1" x14ac:dyDescent="0.2">
      <c r="A489" s="92"/>
      <c r="B489" s="144"/>
      <c r="C489" s="144"/>
      <c r="D489" s="144"/>
      <c r="E489" s="693" t="s">
        <v>1209</v>
      </c>
      <c r="F489" s="693" t="str">
        <f>Translations!$B$893</f>
        <v>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v>
      </c>
      <c r="G489" s="694"/>
      <c r="H489" s="694"/>
      <c r="I489" s="694"/>
      <c r="J489" s="694"/>
      <c r="K489" s="694"/>
      <c r="L489" s="694"/>
      <c r="M489" s="697" t="str">
        <f>Translations!$B$611</f>
        <v>Iron or steel products</v>
      </c>
      <c r="N489" s="620"/>
      <c r="O489" s="428"/>
    </row>
    <row r="490" spans="1:15" ht="12.75" customHeight="1" x14ac:dyDescent="0.2">
      <c r="A490" s="92"/>
      <c r="B490" s="144"/>
      <c r="C490" s="144"/>
      <c r="D490" s="144"/>
      <c r="E490" s="693" t="s">
        <v>1212</v>
      </c>
      <c r="F490" s="693" t="str">
        <f>Translations!$B$894</f>
        <v>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v>
      </c>
      <c r="G490" s="694"/>
      <c r="H490" s="694"/>
      <c r="I490" s="694"/>
      <c r="J490" s="694"/>
      <c r="K490" s="694"/>
      <c r="L490" s="694"/>
      <c r="M490" s="697" t="str">
        <f>Translations!$B$611</f>
        <v>Iron or steel products</v>
      </c>
      <c r="N490" s="620"/>
      <c r="O490" s="428"/>
    </row>
    <row r="491" spans="1:15" ht="12.75" customHeight="1" x14ac:dyDescent="0.2">
      <c r="A491" s="92"/>
      <c r="B491" s="144"/>
      <c r="C491" s="144"/>
      <c r="D491" s="144"/>
      <c r="E491" s="693" t="s">
        <v>1215</v>
      </c>
      <c r="F491" s="693" t="str">
        <f>Translations!$B$895</f>
        <v>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v>
      </c>
      <c r="G491" s="694"/>
      <c r="H491" s="694"/>
      <c r="I491" s="694"/>
      <c r="J491" s="694"/>
      <c r="K491" s="694"/>
      <c r="L491" s="694"/>
      <c r="M491" s="697" t="str">
        <f>Translations!$B$611</f>
        <v>Iron or steel products</v>
      </c>
      <c r="N491" s="620"/>
      <c r="O491" s="428"/>
    </row>
    <row r="492" spans="1:15" ht="12.75" customHeight="1" x14ac:dyDescent="0.2">
      <c r="A492" s="92"/>
      <c r="B492" s="144"/>
      <c r="C492" s="144"/>
      <c r="D492" s="144"/>
      <c r="E492" s="693" t="s">
        <v>1217</v>
      </c>
      <c r="F492" s="693" t="str">
        <f>Translations!$B$896</f>
        <v>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v>
      </c>
      <c r="G492" s="694"/>
      <c r="H492" s="694"/>
      <c r="I492" s="694"/>
      <c r="J492" s="694"/>
      <c r="K492" s="694"/>
      <c r="L492" s="694"/>
      <c r="M492" s="697" t="str">
        <f>Translations!$B$611</f>
        <v>Iron or steel products</v>
      </c>
      <c r="N492" s="620"/>
      <c r="O492" s="428"/>
    </row>
    <row r="493" spans="1:15" ht="12.75" customHeight="1" x14ac:dyDescent="0.2">
      <c r="A493" s="92"/>
      <c r="B493" s="144"/>
      <c r="C493" s="144"/>
      <c r="D493" s="144"/>
      <c r="E493" s="693" t="s">
        <v>1220</v>
      </c>
      <c r="F493" s="693" t="str">
        <f>Translations!$B$897</f>
        <v>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v>
      </c>
      <c r="G493" s="694"/>
      <c r="H493" s="694"/>
      <c r="I493" s="694"/>
      <c r="J493" s="694"/>
      <c r="K493" s="694"/>
      <c r="L493" s="694"/>
      <c r="M493" s="697" t="str">
        <f>Translations!$B$611</f>
        <v>Iron or steel products</v>
      </c>
      <c r="N493" s="620"/>
      <c r="O493" s="428"/>
    </row>
    <row r="494" spans="1:15" ht="12.75" customHeight="1" x14ac:dyDescent="0.2">
      <c r="A494" s="92"/>
      <c r="B494" s="144"/>
      <c r="C494" s="144"/>
      <c r="D494" s="144"/>
      <c r="E494" s="693" t="s">
        <v>1223</v>
      </c>
      <c r="F494" s="693" t="str">
        <f>Translations!$B$898</f>
        <v>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v>
      </c>
      <c r="G494" s="694"/>
      <c r="H494" s="694"/>
      <c r="I494" s="694"/>
      <c r="J494" s="694"/>
      <c r="K494" s="694"/>
      <c r="L494" s="694"/>
      <c r="M494" s="697" t="str">
        <f>Translations!$B$611</f>
        <v>Iron or steel products</v>
      </c>
      <c r="N494" s="620"/>
      <c r="O494" s="428"/>
    </row>
    <row r="495" spans="1:15" ht="12.75" customHeight="1" x14ac:dyDescent="0.2">
      <c r="A495" s="92"/>
      <c r="B495" s="144"/>
      <c r="C495" s="144"/>
      <c r="D495" s="144"/>
      <c r="E495" s="693" t="s">
        <v>1225</v>
      </c>
      <c r="F495" s="693" t="str">
        <f>Translations!$B$899</f>
        <v>Bars and rods, of iron or non-alloy steel, not further worked than forged, hot-rolled, hot-drawn or hot-extruded, but incl. those twisted after rolling (excl. in irregularly wound coils)</v>
      </c>
      <c r="G495" s="694"/>
      <c r="H495" s="694"/>
      <c r="I495" s="694"/>
      <c r="J495" s="694"/>
      <c r="K495" s="694"/>
      <c r="L495" s="694"/>
      <c r="M495" s="697" t="str">
        <f>Translations!$B$611</f>
        <v>Iron or steel products</v>
      </c>
      <c r="N495" s="620"/>
      <c r="O495" s="428"/>
    </row>
    <row r="496" spans="1:15" ht="12.75" customHeight="1" x14ac:dyDescent="0.2">
      <c r="A496" s="92"/>
      <c r="B496" s="144"/>
      <c r="C496" s="144"/>
      <c r="D496" s="144"/>
      <c r="E496" s="693" t="s">
        <v>1228</v>
      </c>
      <c r="F496" s="693" t="str">
        <f>Translations!$B$900</f>
        <v>Bars and rods, of iron or non-alloy steel, not further worked than forged (excl. in irregularly wound coils)</v>
      </c>
      <c r="G496" s="694"/>
      <c r="H496" s="694"/>
      <c r="I496" s="694"/>
      <c r="J496" s="694"/>
      <c r="K496" s="694"/>
      <c r="L496" s="694"/>
      <c r="M496" s="697" t="str">
        <f>Translations!$B$611</f>
        <v>Iron or steel products</v>
      </c>
      <c r="N496" s="620"/>
      <c r="O496" s="428"/>
    </row>
    <row r="497" spans="1:15" ht="12.75" customHeight="1" x14ac:dyDescent="0.2">
      <c r="A497" s="92"/>
      <c r="B497" s="144"/>
      <c r="C497" s="144"/>
      <c r="D497" s="144"/>
      <c r="E497" s="693" t="s">
        <v>1231</v>
      </c>
      <c r="F497" s="693" t="str">
        <f>Translations!$B$901</f>
        <v>Bars and rods, of iron or non-alloy steel, with indentations, ribs, groves or other deformations produced during the rolling process</v>
      </c>
      <c r="G497" s="694"/>
      <c r="H497" s="694"/>
      <c r="I497" s="694"/>
      <c r="J497" s="694"/>
      <c r="K497" s="694"/>
      <c r="L497" s="694"/>
      <c r="M497" s="697" t="str">
        <f>Translations!$B$611</f>
        <v>Iron or steel products</v>
      </c>
      <c r="N497" s="620"/>
      <c r="O497" s="428"/>
    </row>
    <row r="498" spans="1:15" ht="12.75" customHeight="1" x14ac:dyDescent="0.2">
      <c r="A498" s="92"/>
      <c r="B498" s="144"/>
      <c r="C498" s="144"/>
      <c r="D498" s="144"/>
      <c r="E498" s="693" t="s">
        <v>1234</v>
      </c>
      <c r="F498" s="693" t="str">
        <f>Translations!$B$902</f>
        <v>Bars and rods, of non-alloy free-cutting steel, not further worked than hot-rolled, hot-drawn or hot-extruded (excl. containing indentations, ribs, grooves or other deformations produced during the rolling process or twisted after rolling)</v>
      </c>
      <c r="G498" s="694"/>
      <c r="H498" s="694"/>
      <c r="I498" s="694"/>
      <c r="J498" s="694"/>
      <c r="K498" s="694"/>
      <c r="L498" s="694"/>
      <c r="M498" s="697" t="str">
        <f>Translations!$B$611</f>
        <v>Iron or steel products</v>
      </c>
      <c r="N498" s="620"/>
      <c r="O498" s="428"/>
    </row>
    <row r="499" spans="1:15" ht="12.75" customHeight="1" x14ac:dyDescent="0.2">
      <c r="A499" s="92"/>
      <c r="B499" s="144"/>
      <c r="C499" s="144"/>
      <c r="D499" s="144"/>
      <c r="E499" s="693" t="s">
        <v>1236</v>
      </c>
      <c r="F499" s="693" t="str">
        <f>Translations!$B$903</f>
        <v>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v>
      </c>
      <c r="G499" s="694"/>
      <c r="H499" s="694"/>
      <c r="I499" s="694"/>
      <c r="J499" s="694"/>
      <c r="K499" s="694"/>
      <c r="L499" s="694"/>
      <c r="M499" s="697" t="str">
        <f>Translations!$B$611</f>
        <v>Iron or steel products</v>
      </c>
      <c r="N499" s="620"/>
      <c r="O499" s="428"/>
    </row>
    <row r="500" spans="1:15" ht="12.75" customHeight="1" x14ac:dyDescent="0.2">
      <c r="A500" s="92"/>
      <c r="B500" s="144"/>
      <c r="C500" s="144"/>
      <c r="D500" s="144"/>
      <c r="E500" s="693" t="s">
        <v>1239</v>
      </c>
      <c r="F500" s="693" t="str">
        <f>Translations!$B$904</f>
        <v>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v>
      </c>
      <c r="G500" s="694"/>
      <c r="H500" s="694"/>
      <c r="I500" s="694"/>
      <c r="J500" s="694"/>
      <c r="K500" s="694"/>
      <c r="L500" s="694"/>
      <c r="M500" s="697" t="str">
        <f>Translations!$B$611</f>
        <v>Iron or steel products</v>
      </c>
      <c r="N500" s="620"/>
      <c r="O500" s="428"/>
    </row>
    <row r="501" spans="1:15" ht="12.75" customHeight="1" x14ac:dyDescent="0.2">
      <c r="A501" s="92"/>
      <c r="B501" s="144"/>
      <c r="C501" s="144"/>
      <c r="D501" s="144"/>
      <c r="E501" s="693" t="s">
        <v>1242</v>
      </c>
      <c r="F501" s="693" t="str">
        <f>Translations!$B$905</f>
        <v>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v>
      </c>
      <c r="G501" s="694"/>
      <c r="H501" s="694"/>
      <c r="I501" s="694"/>
      <c r="J501" s="694"/>
      <c r="K501" s="694"/>
      <c r="L501" s="694"/>
      <c r="M501" s="697" t="str">
        <f>Translations!$B$611</f>
        <v>Iron or steel products</v>
      </c>
      <c r="N501" s="620"/>
      <c r="O501" s="428"/>
    </row>
    <row r="502" spans="1:15" ht="12.75" customHeight="1" x14ac:dyDescent="0.2">
      <c r="A502" s="92"/>
      <c r="B502" s="144"/>
      <c r="C502" s="144"/>
      <c r="D502" s="144"/>
      <c r="E502" s="693" t="s">
        <v>1244</v>
      </c>
      <c r="F502" s="693" t="str">
        <f>Translations!$B$906</f>
        <v>Bars and rods, of iron or non-alloy steel, only hot-rolled, only hot-drawn or only hot-extruded (excl. of rectangular [other than square] cross-section and those containing indentations, ribs, grooves or other deformations produced during the rolling process, and of non-alloy free-cutting steel)</v>
      </c>
      <c r="G502" s="694"/>
      <c r="H502" s="694"/>
      <c r="I502" s="694"/>
      <c r="J502" s="694"/>
      <c r="K502" s="694"/>
      <c r="L502" s="694"/>
      <c r="M502" s="697" t="str">
        <f>Translations!$B$611</f>
        <v>Iron or steel products</v>
      </c>
      <c r="N502" s="620"/>
      <c r="O502" s="428"/>
    </row>
    <row r="503" spans="1:15" ht="12.75" customHeight="1" x14ac:dyDescent="0.2">
      <c r="A503" s="92"/>
      <c r="B503" s="144"/>
      <c r="C503" s="144"/>
      <c r="D503" s="144"/>
      <c r="E503" s="693" t="s">
        <v>1247</v>
      </c>
      <c r="F503" s="693" t="str">
        <f>Translations!$B$907</f>
        <v>Bars and rods of the type used for concrete reinforcement, smooth, of iron or non-alloy steel, only hot-rolled, only hot-drawn or only hot-extruded, containing &lt; 0,25% of carbon, of square cross-section or of a cross-section other than rectangular</v>
      </c>
      <c r="G503" s="694"/>
      <c r="H503" s="694"/>
      <c r="I503" s="694"/>
      <c r="J503" s="694"/>
      <c r="K503" s="694"/>
      <c r="L503" s="694"/>
      <c r="M503" s="697" t="str">
        <f>Translations!$B$611</f>
        <v>Iron or steel products</v>
      </c>
      <c r="N503" s="620"/>
      <c r="O503" s="428"/>
    </row>
    <row r="504" spans="1:15" ht="12.75" customHeight="1" x14ac:dyDescent="0.2">
      <c r="A504" s="92"/>
      <c r="B504" s="144"/>
      <c r="C504" s="144"/>
      <c r="D504" s="144"/>
      <c r="E504" s="693" t="s">
        <v>1250</v>
      </c>
      <c r="F504" s="693" t="str">
        <f>Translations!$B$908</f>
        <v>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v>
      </c>
      <c r="G504" s="694"/>
      <c r="H504" s="694"/>
      <c r="I504" s="694"/>
      <c r="J504" s="694"/>
      <c r="K504" s="694"/>
      <c r="L504" s="694"/>
      <c r="M504" s="697" t="str">
        <f>Translations!$B$611</f>
        <v>Iron or steel products</v>
      </c>
      <c r="N504" s="620"/>
      <c r="O504" s="428"/>
    </row>
    <row r="505" spans="1:15" ht="12.75" customHeight="1" x14ac:dyDescent="0.2">
      <c r="A505" s="92"/>
      <c r="B505" s="144"/>
      <c r="C505" s="144"/>
      <c r="D505" s="144"/>
      <c r="E505" s="693" t="s">
        <v>1253</v>
      </c>
      <c r="F505" s="693" t="str">
        <f>Translations!$B$909</f>
        <v>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v>
      </c>
      <c r="G505" s="694"/>
      <c r="H505" s="694"/>
      <c r="I505" s="694"/>
      <c r="J505" s="694"/>
      <c r="K505" s="694"/>
      <c r="L505" s="694"/>
      <c r="M505" s="697" t="str">
        <f>Translations!$B$611</f>
        <v>Iron or steel products</v>
      </c>
      <c r="N505" s="620"/>
      <c r="O505" s="428"/>
    </row>
    <row r="506" spans="1:15" ht="12.75" customHeight="1" x14ac:dyDescent="0.2">
      <c r="A506" s="92"/>
      <c r="B506" s="144"/>
      <c r="C506" s="144"/>
      <c r="D506" s="144"/>
      <c r="E506" s="693" t="s">
        <v>1256</v>
      </c>
      <c r="F506" s="693" t="str">
        <f>Translations!$B$910</f>
        <v>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v>
      </c>
      <c r="G506" s="694"/>
      <c r="H506" s="694"/>
      <c r="I506" s="694"/>
      <c r="J506" s="694"/>
      <c r="K506" s="694"/>
      <c r="L506" s="694"/>
      <c r="M506" s="697" t="str">
        <f>Translations!$B$611</f>
        <v>Iron or steel products</v>
      </c>
      <c r="N506" s="620"/>
      <c r="O506" s="428"/>
    </row>
    <row r="507" spans="1:15" ht="12.75" customHeight="1" x14ac:dyDescent="0.2">
      <c r="A507" s="92"/>
      <c r="B507" s="144"/>
      <c r="C507" s="144"/>
      <c r="D507" s="144"/>
      <c r="E507" s="693" t="s">
        <v>1259</v>
      </c>
      <c r="F507" s="693" t="str">
        <f>Translations!$B$911</f>
        <v>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v>
      </c>
      <c r="G507" s="694"/>
      <c r="H507" s="694"/>
      <c r="I507" s="694"/>
      <c r="J507" s="694"/>
      <c r="K507" s="694"/>
      <c r="L507" s="694"/>
      <c r="M507" s="697" t="str">
        <f>Translations!$B$611</f>
        <v>Iron or steel products</v>
      </c>
      <c r="N507" s="620"/>
      <c r="O507" s="428"/>
    </row>
    <row r="508" spans="1:15" ht="12.75" customHeight="1" x14ac:dyDescent="0.2">
      <c r="A508" s="92"/>
      <c r="B508" s="144"/>
      <c r="C508" s="144"/>
      <c r="D508" s="144"/>
      <c r="E508" s="693" t="s">
        <v>1262</v>
      </c>
      <c r="F508" s="693" t="str">
        <f>Translations!$B$912</f>
        <v>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v>
      </c>
      <c r="G508" s="694"/>
      <c r="H508" s="694"/>
      <c r="I508" s="694"/>
      <c r="J508" s="694"/>
      <c r="K508" s="694"/>
      <c r="L508" s="694"/>
      <c r="M508" s="697" t="str">
        <f>Translations!$B$611</f>
        <v>Iron or steel products</v>
      </c>
      <c r="N508" s="620"/>
      <c r="O508" s="428"/>
    </row>
    <row r="509" spans="1:15" ht="12.75" customHeight="1" x14ac:dyDescent="0.2">
      <c r="A509" s="92"/>
      <c r="B509" s="144"/>
      <c r="C509" s="144"/>
      <c r="D509" s="144"/>
      <c r="E509" s="693" t="s">
        <v>1265</v>
      </c>
      <c r="F509" s="693" t="str">
        <f>Translations!$B$913</f>
        <v>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v>
      </c>
      <c r="G509" s="694"/>
      <c r="H509" s="694"/>
      <c r="I509" s="694"/>
      <c r="J509" s="694"/>
      <c r="K509" s="694"/>
      <c r="L509" s="694"/>
      <c r="M509" s="697" t="str">
        <f>Translations!$B$611</f>
        <v>Iron or steel products</v>
      </c>
      <c r="N509" s="620"/>
      <c r="O509" s="428"/>
    </row>
    <row r="510" spans="1:15" ht="12.75" customHeight="1" x14ac:dyDescent="0.2">
      <c r="A510" s="92"/>
      <c r="B510" s="144"/>
      <c r="C510" s="144"/>
      <c r="D510" s="144"/>
      <c r="E510" s="693" t="s">
        <v>1267</v>
      </c>
      <c r="F510" s="693" t="str">
        <f>Translations!$B$914</f>
        <v>Bars and rods, of iron or non-alloy steel, cold-formed or cold-finished, whether or not further worked, or hot-formed and further worked, n.e.s.</v>
      </c>
      <c r="G510" s="694"/>
      <c r="H510" s="694"/>
      <c r="I510" s="694"/>
      <c r="J510" s="694"/>
      <c r="K510" s="694"/>
      <c r="L510" s="694"/>
      <c r="M510" s="697" t="str">
        <f>Translations!$B$611</f>
        <v>Iron or steel products</v>
      </c>
      <c r="N510" s="620"/>
      <c r="O510" s="428"/>
    </row>
    <row r="511" spans="1:15" ht="12.75" customHeight="1" x14ac:dyDescent="0.2">
      <c r="A511" s="92"/>
      <c r="B511" s="144"/>
      <c r="C511" s="144"/>
      <c r="D511" s="144"/>
      <c r="E511" s="693" t="s">
        <v>1270</v>
      </c>
      <c r="F511" s="693" t="str">
        <f>Translations!$B$915</f>
        <v>Bars and rods, of non-alloy free-cutting steel, not further worked than cold-formed or cold-finished</v>
      </c>
      <c r="G511" s="694"/>
      <c r="H511" s="694"/>
      <c r="I511" s="694"/>
      <c r="J511" s="694"/>
      <c r="K511" s="694"/>
      <c r="L511" s="694"/>
      <c r="M511" s="697" t="str">
        <f>Translations!$B$611</f>
        <v>Iron or steel products</v>
      </c>
      <c r="N511" s="620"/>
      <c r="O511" s="428"/>
    </row>
    <row r="512" spans="1:15" ht="12.75" customHeight="1" x14ac:dyDescent="0.2">
      <c r="A512" s="92"/>
      <c r="B512" s="144"/>
      <c r="C512" s="144"/>
      <c r="D512" s="144"/>
      <c r="E512" s="693" t="s">
        <v>1272</v>
      </c>
      <c r="F512" s="693" t="str">
        <f>Translations!$B$916</f>
        <v>Bars and rods, of iron or non-alloy steel, not further worked than cold-formed or cold-finished (excl. of free-cutting steel)</v>
      </c>
      <c r="G512" s="694"/>
      <c r="H512" s="694"/>
      <c r="I512" s="694"/>
      <c r="J512" s="694"/>
      <c r="K512" s="694"/>
      <c r="L512" s="694"/>
      <c r="M512" s="697" t="str">
        <f>Translations!$B$611</f>
        <v>Iron or steel products</v>
      </c>
      <c r="N512" s="620"/>
      <c r="O512" s="428"/>
    </row>
    <row r="513" spans="1:15" ht="12.75" customHeight="1" x14ac:dyDescent="0.2">
      <c r="A513" s="92"/>
      <c r="B513" s="144"/>
      <c r="C513" s="144"/>
      <c r="D513" s="144"/>
      <c r="E513" s="693" t="s">
        <v>1275</v>
      </c>
      <c r="F513" s="693" t="str">
        <f>Translations!$B$917</f>
        <v>Other bars and rods of iron or non-alloy steel, not further worked than cold-formed or cold-finished, containing by weight &lt; 0,25% of carbon of rectangular "other than square" cross-section (excl. those of free-cutting steel)</v>
      </c>
      <c r="G513" s="694"/>
      <c r="H513" s="694"/>
      <c r="I513" s="694"/>
      <c r="J513" s="694"/>
      <c r="K513" s="694"/>
      <c r="L513" s="694"/>
      <c r="M513" s="697" t="str">
        <f>Translations!$B$611</f>
        <v>Iron or steel products</v>
      </c>
      <c r="N513" s="620"/>
      <c r="O513" s="428"/>
    </row>
    <row r="514" spans="1:15" ht="12.75" customHeight="1" x14ac:dyDescent="0.2">
      <c r="A514" s="92"/>
      <c r="B514" s="144"/>
      <c r="C514" s="144"/>
      <c r="D514" s="144"/>
      <c r="E514" s="693" t="s">
        <v>1278</v>
      </c>
      <c r="F514" s="693" t="str">
        <f>Translations!$B$918</f>
        <v>Other bars and rods of iron or non-alloy steel, not further worked than cold-formed or cold-finished, containing by weight &lt; 0,25% of carbon, of square or other than rectangular cross-section (excl. those of free-cutting steel)</v>
      </c>
      <c r="G514" s="694"/>
      <c r="H514" s="694"/>
      <c r="I514" s="694"/>
      <c r="J514" s="694"/>
      <c r="K514" s="694"/>
      <c r="L514" s="694"/>
      <c r="M514" s="697" t="str">
        <f>Translations!$B$611</f>
        <v>Iron or steel products</v>
      </c>
      <c r="N514" s="620"/>
      <c r="O514" s="428"/>
    </row>
    <row r="515" spans="1:15" ht="12.75" customHeight="1" x14ac:dyDescent="0.2">
      <c r="A515" s="92"/>
      <c r="B515" s="144"/>
      <c r="C515" s="144"/>
      <c r="D515" s="144"/>
      <c r="E515" s="693" t="s">
        <v>1281</v>
      </c>
      <c r="F515" s="693" t="str">
        <f>Translations!$B$919</f>
        <v>Other bars and rods of iron or non-alloy steel, not further worked than cold-formed or cold-finished, containing by weight &gt;= 0,25% of carbon (excl. those of free-cutting steel)</v>
      </c>
      <c r="G515" s="694"/>
      <c r="H515" s="694"/>
      <c r="I515" s="694"/>
      <c r="J515" s="694"/>
      <c r="K515" s="694"/>
      <c r="L515" s="694"/>
      <c r="M515" s="697" t="str">
        <f>Translations!$B$611</f>
        <v>Iron or steel products</v>
      </c>
      <c r="N515" s="620"/>
      <c r="O515" s="428"/>
    </row>
    <row r="516" spans="1:15" ht="12.75" customHeight="1" x14ac:dyDescent="0.2">
      <c r="A516" s="92"/>
      <c r="B516" s="144"/>
      <c r="C516" s="144"/>
      <c r="D516" s="144"/>
      <c r="E516" s="693" t="s">
        <v>1284</v>
      </c>
      <c r="F516" s="693" t="str">
        <f>Translations!$B$920</f>
        <v>Bars or rods, of iron or non-alloy steel, cold-formed or cold-finished and further worked or hot-formed and further worked, n.e.s.</v>
      </c>
      <c r="G516" s="694"/>
      <c r="H516" s="694"/>
      <c r="I516" s="694"/>
      <c r="J516" s="694"/>
      <c r="K516" s="694"/>
      <c r="L516" s="694"/>
      <c r="M516" s="697" t="str">
        <f>Translations!$B$611</f>
        <v>Iron or steel products</v>
      </c>
      <c r="N516" s="620"/>
      <c r="O516" s="428"/>
    </row>
    <row r="517" spans="1:15" ht="12.75" customHeight="1" x14ac:dyDescent="0.2">
      <c r="A517" s="92"/>
      <c r="B517" s="144"/>
      <c r="C517" s="144"/>
      <c r="D517" s="144"/>
      <c r="E517" s="693" t="s">
        <v>1286</v>
      </c>
      <c r="F517" s="693" t="str">
        <f>Translations!$B$921</f>
        <v>Angles, shapes and sections of iron or non-alloy steel, n.e.s.</v>
      </c>
      <c r="G517" s="694"/>
      <c r="H517" s="694"/>
      <c r="I517" s="694"/>
      <c r="J517" s="694"/>
      <c r="K517" s="694"/>
      <c r="L517" s="694"/>
      <c r="M517" s="697" t="str">
        <f>Translations!$B$611</f>
        <v>Iron or steel products</v>
      </c>
      <c r="N517" s="620"/>
      <c r="O517" s="428"/>
    </row>
    <row r="518" spans="1:15" ht="12.75" customHeight="1" x14ac:dyDescent="0.2">
      <c r="A518" s="92"/>
      <c r="B518" s="144"/>
      <c r="C518" s="144"/>
      <c r="D518" s="144"/>
      <c r="E518" s="693" t="s">
        <v>1289</v>
      </c>
      <c r="F518" s="693" t="str">
        <f>Translations!$B$922</f>
        <v>U, I or H sections of iron or non-alloy steel, not further worked than hot-rolled, hot-drawn or extruded, of a height of &lt; 80 mm</v>
      </c>
      <c r="G518" s="694"/>
      <c r="H518" s="694"/>
      <c r="I518" s="694"/>
      <c r="J518" s="694"/>
      <c r="K518" s="694"/>
      <c r="L518" s="694"/>
      <c r="M518" s="697" t="str">
        <f>Translations!$B$611</f>
        <v>Iron or steel products</v>
      </c>
      <c r="N518" s="620"/>
      <c r="O518" s="428"/>
    </row>
    <row r="519" spans="1:15" ht="12.75" customHeight="1" x14ac:dyDescent="0.2">
      <c r="A519" s="92"/>
      <c r="B519" s="144"/>
      <c r="C519" s="144"/>
      <c r="D519" s="144"/>
      <c r="E519" s="693" t="s">
        <v>1292</v>
      </c>
      <c r="F519" s="693" t="str">
        <f>Translations!$B$923</f>
        <v>L sections of iron or non-alloy steel, not further worked than hot-rolled, hot-drawn or extruded, of a height of &lt; 80 mm</v>
      </c>
      <c r="G519" s="694"/>
      <c r="H519" s="694"/>
      <c r="I519" s="694"/>
      <c r="J519" s="694"/>
      <c r="K519" s="694"/>
      <c r="L519" s="694"/>
      <c r="M519" s="697" t="str">
        <f>Translations!$B$611</f>
        <v>Iron or steel products</v>
      </c>
      <c r="N519" s="620"/>
      <c r="O519" s="428"/>
    </row>
    <row r="520" spans="1:15" ht="12.75" customHeight="1" x14ac:dyDescent="0.2">
      <c r="A520" s="92"/>
      <c r="B520" s="144"/>
      <c r="C520" s="144"/>
      <c r="D520" s="144"/>
      <c r="E520" s="693" t="s">
        <v>1295</v>
      </c>
      <c r="F520" s="693" t="str">
        <f>Translations!$B$924</f>
        <v>T sections of iron or non-alloy steel, not further worked than hot-rolled, hot-drawn or extruded, of a height of &lt; 80 mm</v>
      </c>
      <c r="G520" s="694"/>
      <c r="H520" s="694"/>
      <c r="I520" s="694"/>
      <c r="J520" s="694"/>
      <c r="K520" s="694"/>
      <c r="L520" s="694"/>
      <c r="M520" s="697" t="str">
        <f>Translations!$B$611</f>
        <v>Iron or steel products</v>
      </c>
      <c r="N520" s="620"/>
      <c r="O520" s="428"/>
    </row>
    <row r="521" spans="1:15" ht="12.75" customHeight="1" x14ac:dyDescent="0.2">
      <c r="A521" s="92"/>
      <c r="B521" s="144"/>
      <c r="C521" s="144"/>
      <c r="D521" s="144"/>
      <c r="E521" s="693" t="s">
        <v>1297</v>
      </c>
      <c r="F521" s="693" t="str">
        <f>Translations!$B$925</f>
        <v>U sections of iron or non-alloy steel, not further worked than hot-rolled, hot-drawn or hot-extruded, of a height &gt;= 80 mm</v>
      </c>
      <c r="G521" s="694"/>
      <c r="H521" s="694"/>
      <c r="I521" s="694"/>
      <c r="J521" s="694"/>
      <c r="K521" s="694"/>
      <c r="L521" s="694"/>
      <c r="M521" s="697" t="str">
        <f>Translations!$B$611</f>
        <v>Iron or steel products</v>
      </c>
      <c r="N521" s="620"/>
      <c r="O521" s="428"/>
    </row>
    <row r="522" spans="1:15" ht="12.75" customHeight="1" x14ac:dyDescent="0.2">
      <c r="A522" s="92"/>
      <c r="B522" s="144"/>
      <c r="C522" s="144"/>
      <c r="D522" s="144"/>
      <c r="E522" s="693" t="s">
        <v>1300</v>
      </c>
      <c r="F522" s="693" t="str">
        <f>Translations!$B$926</f>
        <v>U sections of iron or non-alloy steel, simply hot-rolled, hot-drawn or extruded, of a height &gt;= 80 mm but &lt;= 220 mm</v>
      </c>
      <c r="G522" s="694"/>
      <c r="H522" s="694"/>
      <c r="I522" s="694"/>
      <c r="J522" s="694"/>
      <c r="K522" s="694"/>
      <c r="L522" s="694"/>
      <c r="M522" s="697" t="str">
        <f>Translations!$B$611</f>
        <v>Iron or steel products</v>
      </c>
      <c r="N522" s="620"/>
      <c r="O522" s="428"/>
    </row>
    <row r="523" spans="1:15" ht="12.75" customHeight="1" x14ac:dyDescent="0.2">
      <c r="A523" s="92"/>
      <c r="B523" s="144"/>
      <c r="C523" s="144"/>
      <c r="D523" s="144"/>
      <c r="E523" s="693" t="s">
        <v>1303</v>
      </c>
      <c r="F523" s="693" t="str">
        <f>Translations!$B$927</f>
        <v>U sections of iron or non-alloy steel, simply hot-rolled, hot-drawn or extruded, of a height &gt; 220 mm</v>
      </c>
      <c r="G523" s="694"/>
      <c r="H523" s="694"/>
      <c r="I523" s="694"/>
      <c r="J523" s="694"/>
      <c r="K523" s="694"/>
      <c r="L523" s="694"/>
      <c r="M523" s="697" t="str">
        <f>Translations!$B$611</f>
        <v>Iron or steel products</v>
      </c>
      <c r="N523" s="620"/>
      <c r="O523" s="428"/>
    </row>
    <row r="524" spans="1:15" ht="12.75" customHeight="1" x14ac:dyDescent="0.2">
      <c r="A524" s="92"/>
      <c r="B524" s="144"/>
      <c r="C524" s="144"/>
      <c r="D524" s="144"/>
      <c r="E524" s="693" t="s">
        <v>1305</v>
      </c>
      <c r="F524" s="693" t="str">
        <f>Translations!$B$928</f>
        <v>I sections of iron or non-alloy steel, not further worked than hot-rolled, hot-drawn or hot-extruded, of a height &gt;= 80 mm</v>
      </c>
      <c r="G524" s="694"/>
      <c r="H524" s="694"/>
      <c r="I524" s="694"/>
      <c r="J524" s="694"/>
      <c r="K524" s="694"/>
      <c r="L524" s="694"/>
      <c r="M524" s="697" t="str">
        <f>Translations!$B$611</f>
        <v>Iron or steel products</v>
      </c>
      <c r="N524" s="620"/>
      <c r="O524" s="428"/>
    </row>
    <row r="525" spans="1:15" ht="12.75" customHeight="1" x14ac:dyDescent="0.2">
      <c r="A525" s="92"/>
      <c r="B525" s="144"/>
      <c r="C525" s="144"/>
      <c r="D525" s="144"/>
      <c r="E525" s="693" t="s">
        <v>1308</v>
      </c>
      <c r="F525" s="693" t="str">
        <f>Translations!$B$929</f>
        <v>I sections with parallel flange faces, of iron or non-alloy steel, simply hot-rolled, hot-drawn or extruded, of a height &gt;= 80 mm but &lt;= 220 mm</v>
      </c>
      <c r="G525" s="694"/>
      <c r="H525" s="694"/>
      <c r="I525" s="694"/>
      <c r="J525" s="694"/>
      <c r="K525" s="694"/>
      <c r="L525" s="694"/>
      <c r="M525" s="697" t="str">
        <f>Translations!$B$611</f>
        <v>Iron or steel products</v>
      </c>
      <c r="N525" s="620"/>
      <c r="O525" s="428"/>
    </row>
    <row r="526" spans="1:15" ht="12.75" customHeight="1" x14ac:dyDescent="0.2">
      <c r="A526" s="92"/>
      <c r="B526" s="144"/>
      <c r="C526" s="144"/>
      <c r="D526" s="144"/>
      <c r="E526" s="693" t="s">
        <v>1311</v>
      </c>
      <c r="F526" s="693" t="str">
        <f>Translations!$B$930</f>
        <v>I sections of iron or non-alloy steel, simply hot-rolled, hot-drawn or extruded, of a height &gt;= 80 mm but &lt;= 220 mm (excl. 7216.32.11)</v>
      </c>
      <c r="G526" s="694"/>
      <c r="H526" s="694"/>
      <c r="I526" s="694"/>
      <c r="J526" s="694"/>
      <c r="K526" s="694"/>
      <c r="L526" s="694"/>
      <c r="M526" s="697" t="str">
        <f>Translations!$B$611</f>
        <v>Iron or steel products</v>
      </c>
      <c r="N526" s="620"/>
      <c r="O526" s="428"/>
    </row>
    <row r="527" spans="1:15" ht="12.75" customHeight="1" x14ac:dyDescent="0.2">
      <c r="A527" s="92"/>
      <c r="B527" s="144"/>
      <c r="C527" s="144"/>
      <c r="D527" s="144"/>
      <c r="E527" s="693" t="s">
        <v>1314</v>
      </c>
      <c r="F527" s="693" t="str">
        <f>Translations!$B$931</f>
        <v>I sections with parallel flange faces, of iron or non-alloy steel, simply hot-rolled, hot-drawn or extruded, of a height &gt; 220 mm</v>
      </c>
      <c r="G527" s="694"/>
      <c r="H527" s="694"/>
      <c r="I527" s="694"/>
      <c r="J527" s="694"/>
      <c r="K527" s="694"/>
      <c r="L527" s="694"/>
      <c r="M527" s="697" t="str">
        <f>Translations!$B$611</f>
        <v>Iron or steel products</v>
      </c>
      <c r="N527" s="620"/>
      <c r="O527" s="428"/>
    </row>
    <row r="528" spans="1:15" ht="12.75" customHeight="1" x14ac:dyDescent="0.2">
      <c r="A528" s="92"/>
      <c r="B528" s="144"/>
      <c r="C528" s="144"/>
      <c r="D528" s="144"/>
      <c r="E528" s="693" t="s">
        <v>1317</v>
      </c>
      <c r="F528" s="693" t="str">
        <f>Translations!$B$932</f>
        <v>I sections of iron or non-alloy steel, simply hot-rolled, hot-drawn or extruded, of a height &gt; 220 mm (excl. 7216.32.91)</v>
      </c>
      <c r="G528" s="694"/>
      <c r="H528" s="694"/>
      <c r="I528" s="694"/>
      <c r="J528" s="694"/>
      <c r="K528" s="694"/>
      <c r="L528" s="694"/>
      <c r="M528" s="697" t="str">
        <f>Translations!$B$611</f>
        <v>Iron or steel products</v>
      </c>
      <c r="N528" s="620"/>
      <c r="O528" s="428"/>
    </row>
    <row r="529" spans="1:15" ht="12.75" customHeight="1" x14ac:dyDescent="0.2">
      <c r="A529" s="92"/>
      <c r="B529" s="144"/>
      <c r="C529" s="144"/>
      <c r="D529" s="144"/>
      <c r="E529" s="693" t="s">
        <v>1319</v>
      </c>
      <c r="F529" s="693" t="str">
        <f>Translations!$B$933</f>
        <v>H sections of iron or non-alloy steel, not further worked than hot-rolled, hot-drawn or hot-extruded, of a height &gt;= 80 mm</v>
      </c>
      <c r="G529" s="694"/>
      <c r="H529" s="694"/>
      <c r="I529" s="694"/>
      <c r="J529" s="694"/>
      <c r="K529" s="694"/>
      <c r="L529" s="694"/>
      <c r="M529" s="697" t="str">
        <f>Translations!$B$611</f>
        <v>Iron or steel products</v>
      </c>
      <c r="N529" s="620"/>
      <c r="O529" s="428"/>
    </row>
    <row r="530" spans="1:15" ht="12.75" customHeight="1" x14ac:dyDescent="0.2">
      <c r="A530" s="92"/>
      <c r="B530" s="144"/>
      <c r="C530" s="144"/>
      <c r="D530" s="144"/>
      <c r="E530" s="693" t="s">
        <v>1322</v>
      </c>
      <c r="F530" s="693" t="str">
        <f>Translations!$B$934</f>
        <v>H sections of iron or non-alloy steel, simply hot-rolled, hot-drawn or extruded, of a height &gt;= 80 mm but &lt;= 180 mm</v>
      </c>
      <c r="G530" s="694"/>
      <c r="H530" s="694"/>
      <c r="I530" s="694"/>
      <c r="J530" s="694"/>
      <c r="K530" s="694"/>
      <c r="L530" s="694"/>
      <c r="M530" s="697" t="str">
        <f>Translations!$B$611</f>
        <v>Iron or steel products</v>
      </c>
      <c r="N530" s="620"/>
      <c r="O530" s="428"/>
    </row>
    <row r="531" spans="1:15" ht="12.75" customHeight="1" x14ac:dyDescent="0.2">
      <c r="A531" s="92"/>
      <c r="B531" s="144"/>
      <c r="C531" s="144"/>
      <c r="D531" s="144"/>
      <c r="E531" s="693" t="s">
        <v>1325</v>
      </c>
      <c r="F531" s="693" t="str">
        <f>Translations!$B$935</f>
        <v>H sections of iron or non-alloy steel, simply hot-rolled, hot-drawn or extruded, of a height &gt; 180 mm</v>
      </c>
      <c r="G531" s="694"/>
      <c r="H531" s="694"/>
      <c r="I531" s="694"/>
      <c r="J531" s="694"/>
      <c r="K531" s="694"/>
      <c r="L531" s="694"/>
      <c r="M531" s="697" t="str">
        <f>Translations!$B$611</f>
        <v>Iron or steel products</v>
      </c>
      <c r="N531" s="620"/>
      <c r="O531" s="428"/>
    </row>
    <row r="532" spans="1:15" ht="12.75" customHeight="1" x14ac:dyDescent="0.2">
      <c r="A532" s="92"/>
      <c r="B532" s="144"/>
      <c r="C532" s="144"/>
      <c r="D532" s="144"/>
      <c r="E532" s="693" t="s">
        <v>1327</v>
      </c>
      <c r="F532" s="693" t="str">
        <f>Translations!$B$936</f>
        <v>L sections of iron or non-alloy steel, not further worked than hot-rolled, hot-drawn or hot-extruded, of a height &gt;= 80 mm</v>
      </c>
      <c r="G532" s="694"/>
      <c r="H532" s="694"/>
      <c r="I532" s="694"/>
      <c r="J532" s="694"/>
      <c r="K532" s="694"/>
      <c r="L532" s="694"/>
      <c r="M532" s="697" t="str">
        <f>Translations!$B$611</f>
        <v>Iron or steel products</v>
      </c>
      <c r="N532" s="620"/>
      <c r="O532" s="428"/>
    </row>
    <row r="533" spans="1:15" ht="12.75" customHeight="1" x14ac:dyDescent="0.2">
      <c r="A533" s="92"/>
      <c r="B533" s="144"/>
      <c r="C533" s="144"/>
      <c r="D533" s="144"/>
      <c r="E533" s="693" t="s">
        <v>1330</v>
      </c>
      <c r="F533" s="693" t="str">
        <f>Translations!$B$937</f>
        <v>L sections of iron or non-alloy steel, not further worked than hot-rolled, hot-drawn or extruded, of a height of &gt;= 80 mm</v>
      </c>
      <c r="G533" s="694"/>
      <c r="H533" s="694"/>
      <c r="I533" s="694"/>
      <c r="J533" s="694"/>
      <c r="K533" s="694"/>
      <c r="L533" s="694"/>
      <c r="M533" s="697" t="str">
        <f>Translations!$B$611</f>
        <v>Iron or steel products</v>
      </c>
      <c r="N533" s="620"/>
      <c r="O533" s="428"/>
    </row>
    <row r="534" spans="1:15" ht="12.75" customHeight="1" x14ac:dyDescent="0.2">
      <c r="A534" s="92"/>
      <c r="B534" s="144"/>
      <c r="C534" s="144"/>
      <c r="D534" s="144"/>
      <c r="E534" s="693" t="s">
        <v>1333</v>
      </c>
      <c r="F534" s="693" t="str">
        <f>Translations!$B$938</f>
        <v>T sections of iron or non-alloy steel, not further worked than hot-rolled, hot-drawn or extruded, of a height of &gt;= 80 mm</v>
      </c>
      <c r="G534" s="694"/>
      <c r="H534" s="694"/>
      <c r="I534" s="694"/>
      <c r="J534" s="694"/>
      <c r="K534" s="694"/>
      <c r="L534" s="694"/>
      <c r="M534" s="697" t="str">
        <f>Translations!$B$611</f>
        <v>Iron or steel products</v>
      </c>
      <c r="N534" s="620"/>
      <c r="O534" s="428"/>
    </row>
    <row r="535" spans="1:15" ht="12.75" customHeight="1" x14ac:dyDescent="0.2">
      <c r="A535" s="92"/>
      <c r="B535" s="144"/>
      <c r="C535" s="144"/>
      <c r="D535" s="144"/>
      <c r="E535" s="693" t="s">
        <v>1335</v>
      </c>
      <c r="F535" s="693" t="str">
        <f>Translations!$B$939</f>
        <v>Sections of iron or non-alloy steel, not further worked than hot-rolled, hot-drawn or hot-extruded (excl. U, I, H, L or T sections)</v>
      </c>
      <c r="G535" s="694"/>
      <c r="H535" s="694"/>
      <c r="I535" s="694"/>
      <c r="J535" s="694"/>
      <c r="K535" s="694"/>
      <c r="L535" s="694"/>
      <c r="M535" s="697" t="str">
        <f>Translations!$B$611</f>
        <v>Iron or steel products</v>
      </c>
      <c r="N535" s="620"/>
      <c r="O535" s="428"/>
    </row>
    <row r="536" spans="1:15" ht="12.75" customHeight="1" x14ac:dyDescent="0.2">
      <c r="A536" s="92"/>
      <c r="B536" s="144"/>
      <c r="C536" s="144"/>
      <c r="D536" s="144"/>
      <c r="E536" s="693" t="s">
        <v>1338</v>
      </c>
      <c r="F536" s="693" t="str">
        <f>Translations!$B$940</f>
        <v>Sections of iron or non-alloy steel, not further worked than hot-rolled, hot-drawn or hot-extruded, with a cross-section which is capable of being enclosed in a square the side of which is &lt;= 80 mm (excl. U, I, H, L or T sections)</v>
      </c>
      <c r="G536" s="694"/>
      <c r="H536" s="694"/>
      <c r="I536" s="694"/>
      <c r="J536" s="694"/>
      <c r="K536" s="694"/>
      <c r="L536" s="694"/>
      <c r="M536" s="697" t="str">
        <f>Translations!$B$611</f>
        <v>Iron or steel products</v>
      </c>
      <c r="N536" s="620"/>
      <c r="O536" s="428"/>
    </row>
    <row r="537" spans="1:15" ht="12.75" customHeight="1" x14ac:dyDescent="0.2">
      <c r="A537" s="92"/>
      <c r="B537" s="144"/>
      <c r="C537" s="144"/>
      <c r="D537" s="144"/>
      <c r="E537" s="693" t="s">
        <v>1341</v>
      </c>
      <c r="F537" s="693" t="str">
        <f>Translations!$B$941</f>
        <v>Bulb sections "bulb flat", only hot-rolled, hot-drawn or hot-extruded</v>
      </c>
      <c r="G537" s="694"/>
      <c r="H537" s="694"/>
      <c r="I537" s="694"/>
      <c r="J537" s="694"/>
      <c r="K537" s="694"/>
      <c r="L537" s="694"/>
      <c r="M537" s="697" t="str">
        <f>Translations!$B$611</f>
        <v>Iron or steel products</v>
      </c>
      <c r="N537" s="620"/>
      <c r="O537" s="428"/>
    </row>
    <row r="538" spans="1:15" ht="12.75" customHeight="1" x14ac:dyDescent="0.2">
      <c r="A538" s="92"/>
      <c r="B538" s="144"/>
      <c r="C538" s="144"/>
      <c r="D538" s="144"/>
      <c r="E538" s="693" t="s">
        <v>1344</v>
      </c>
      <c r="F538" s="693" t="str">
        <f>Translations!$B$942</f>
        <v>Profile of iron or non-alloy steel, only hot-rolled, hot-drawn or hot-extruded (other than with a cross-section which is capable of being enclosed in a square the side of which is &lt;= 80 mm, and U-, I-, H-, L- or T-sections and ribbed sections [ribbed steel])</v>
      </c>
      <c r="G538" s="694"/>
      <c r="H538" s="694"/>
      <c r="I538" s="694"/>
      <c r="J538" s="694"/>
      <c r="K538" s="694"/>
      <c r="L538" s="694"/>
      <c r="M538" s="697" t="str">
        <f>Translations!$B$611</f>
        <v>Iron or steel products</v>
      </c>
      <c r="N538" s="620"/>
      <c r="O538" s="428"/>
    </row>
    <row r="539" spans="1:15" ht="12.75" customHeight="1" x14ac:dyDescent="0.2">
      <c r="A539" s="92"/>
      <c r="B539" s="144"/>
      <c r="C539" s="144"/>
      <c r="D539" s="144"/>
      <c r="E539" s="693" t="s">
        <v>1346</v>
      </c>
      <c r="F539" s="693" t="str">
        <f>Translations!$B$943</f>
        <v>Angles, shapes and sections, of iron or non-alloy steel, from flat-rolled products simply cold-formed or cold-finished (excl. profiled sheet)</v>
      </c>
      <c r="G539" s="694"/>
      <c r="H539" s="694"/>
      <c r="I539" s="694"/>
      <c r="J539" s="694"/>
      <c r="K539" s="694"/>
      <c r="L539" s="694"/>
      <c r="M539" s="697" t="str">
        <f>Translations!$B$611</f>
        <v>Iron or steel products</v>
      </c>
      <c r="N539" s="620"/>
      <c r="O539" s="428"/>
    </row>
    <row r="540" spans="1:15" ht="12.75" customHeight="1" x14ac:dyDescent="0.2">
      <c r="A540" s="92"/>
      <c r="B540" s="144"/>
      <c r="C540" s="144"/>
      <c r="D540" s="144"/>
      <c r="E540" s="693" t="s">
        <v>1349</v>
      </c>
      <c r="F540" s="693" t="str">
        <f>Translations!$B$944</f>
        <v>c, l, u, z, omega or open-ended sections of iron or non-alloy steel, simply cold-formed or cold-finished, obtained from flat-rolled products</v>
      </c>
      <c r="G540" s="694"/>
      <c r="H540" s="694"/>
      <c r="I540" s="694"/>
      <c r="J540" s="694"/>
      <c r="K540" s="694"/>
      <c r="L540" s="694"/>
      <c r="M540" s="697" t="str">
        <f>Translations!$B$611</f>
        <v>Iron or steel products</v>
      </c>
      <c r="N540" s="620"/>
      <c r="O540" s="428"/>
    </row>
    <row r="541" spans="1:15" ht="12.75" customHeight="1" x14ac:dyDescent="0.2">
      <c r="A541" s="92"/>
      <c r="B541" s="144"/>
      <c r="C541" s="144"/>
      <c r="D541" s="144"/>
      <c r="E541" s="693" t="s">
        <v>1352</v>
      </c>
      <c r="F541" s="693" t="str">
        <f>Translations!$B$945</f>
        <v>Angles, shapes and sections (other than c, l, u, z, omega or open-ended sections) of iron or non-alloy steel, simply cold-formed or cold-finished, obtained from flat-rolled products</v>
      </c>
      <c r="G541" s="694"/>
      <c r="H541" s="694"/>
      <c r="I541" s="694"/>
      <c r="J541" s="694"/>
      <c r="K541" s="694"/>
      <c r="L541" s="694"/>
      <c r="M541" s="697" t="str">
        <f>Translations!$B$611</f>
        <v>Iron or steel products</v>
      </c>
      <c r="N541" s="620"/>
      <c r="O541" s="428"/>
    </row>
    <row r="542" spans="1:15" ht="12.75" customHeight="1" x14ac:dyDescent="0.2">
      <c r="A542" s="92"/>
      <c r="B542" s="144"/>
      <c r="C542" s="144"/>
      <c r="D542" s="144"/>
      <c r="E542" s="693" t="s">
        <v>1355</v>
      </c>
      <c r="F542" s="693" t="str">
        <f>Translations!$B$946</f>
        <v>Angles, shapes and sections, of iron or non-alloy steel, not further worked than cold-formed or cold-finished (excl. profiled sheet)</v>
      </c>
      <c r="G542" s="694"/>
      <c r="H542" s="694"/>
      <c r="I542" s="694"/>
      <c r="J542" s="694"/>
      <c r="K542" s="694"/>
      <c r="L542" s="694"/>
      <c r="M542" s="697" t="str">
        <f>Translations!$B$611</f>
        <v>Iron or steel products</v>
      </c>
      <c r="N542" s="620"/>
      <c r="O542" s="428"/>
    </row>
    <row r="543" spans="1:15" ht="12.75" customHeight="1" x14ac:dyDescent="0.2">
      <c r="A543" s="92"/>
      <c r="B543" s="144"/>
      <c r="C543" s="144"/>
      <c r="D543" s="144"/>
      <c r="E543" s="693" t="s">
        <v>1357</v>
      </c>
      <c r="F543" s="693" t="str">
        <f>Translations!$B$947</f>
        <v>Angles, shapes and sections, of iron or non-alloy steel, cold-formed or cold-finished from flat-rolled products and further worked</v>
      </c>
      <c r="G543" s="694"/>
      <c r="H543" s="694"/>
      <c r="I543" s="694"/>
      <c r="J543" s="694"/>
      <c r="K543" s="694"/>
      <c r="L543" s="694"/>
      <c r="M543" s="697" t="str">
        <f>Translations!$B$611</f>
        <v>Iron or steel products</v>
      </c>
      <c r="N543" s="620"/>
      <c r="O543" s="428"/>
    </row>
    <row r="544" spans="1:15" ht="12.75" customHeight="1" x14ac:dyDescent="0.2">
      <c r="A544" s="92"/>
      <c r="B544" s="144"/>
      <c r="C544" s="144"/>
      <c r="D544" s="144"/>
      <c r="E544" s="693" t="s">
        <v>1360</v>
      </c>
      <c r="F544" s="693" t="str">
        <f>Translations!$B$948</f>
        <v>Sheets sheets of iron or non-alloy steel, cold-formed or cold finished, profiled "ribbed"</v>
      </c>
      <c r="G544" s="694"/>
      <c r="H544" s="694"/>
      <c r="I544" s="694"/>
      <c r="J544" s="694"/>
      <c r="K544" s="694"/>
      <c r="L544" s="694"/>
      <c r="M544" s="697" t="str">
        <f>Translations!$B$611</f>
        <v>Iron or steel products</v>
      </c>
      <c r="N544" s="620"/>
      <c r="O544" s="428"/>
    </row>
    <row r="545" spans="1:15" ht="12.75" customHeight="1" x14ac:dyDescent="0.2">
      <c r="A545" s="92"/>
      <c r="B545" s="144"/>
      <c r="C545" s="144"/>
      <c r="D545" s="144"/>
      <c r="E545" s="693" t="s">
        <v>1363</v>
      </c>
      <c r="F545" s="693" t="str">
        <f>Translations!$B$949</f>
        <v>Angles, shapes and sections, of iron or non-alloy steel, cold-formed or cold-finished from flat-rolled products and further worked (excl. profiled sheet)</v>
      </c>
      <c r="G545" s="694"/>
      <c r="H545" s="694"/>
      <c r="I545" s="694"/>
      <c r="J545" s="694"/>
      <c r="K545" s="694"/>
      <c r="L545" s="694"/>
      <c r="M545" s="697" t="str">
        <f>Translations!$B$611</f>
        <v>Iron or steel products</v>
      </c>
      <c r="N545" s="620"/>
      <c r="O545" s="428"/>
    </row>
    <row r="546" spans="1:15" ht="12.75" customHeight="1" x14ac:dyDescent="0.2">
      <c r="A546" s="92"/>
      <c r="B546" s="144"/>
      <c r="C546" s="144"/>
      <c r="D546" s="144"/>
      <c r="E546" s="693" t="s">
        <v>1366</v>
      </c>
      <c r="F546" s="693" t="str">
        <f>Translations!$B$950</f>
        <v>Angles, shapes and sections, of iron or non-alloy steel, cold-formed or cold-finished and further worked, or hot-forged, or hot-formed by other means and further worked, n.e.s. (excl. from flat-rolled products)</v>
      </c>
      <c r="G546" s="694"/>
      <c r="H546" s="694"/>
      <c r="I546" s="694"/>
      <c r="J546" s="694"/>
      <c r="K546" s="694"/>
      <c r="L546" s="694"/>
      <c r="M546" s="697" t="str">
        <f>Translations!$B$611</f>
        <v>Iron or steel products</v>
      </c>
      <c r="N546" s="620"/>
      <c r="O546" s="428"/>
    </row>
    <row r="547" spans="1:15" ht="12.75" customHeight="1" x14ac:dyDescent="0.2">
      <c r="A547" s="92"/>
      <c r="B547" s="144"/>
      <c r="C547" s="144"/>
      <c r="D547" s="144"/>
      <c r="E547" s="693" t="s">
        <v>1368</v>
      </c>
      <c r="F547" s="693" t="str">
        <f>Translations!$B$951</f>
        <v>Wire of iron or non-alloy steel, in coils (excl. bars and rods)</v>
      </c>
      <c r="G547" s="694"/>
      <c r="H547" s="694"/>
      <c r="I547" s="694"/>
      <c r="J547" s="694"/>
      <c r="K547" s="694"/>
      <c r="L547" s="694"/>
      <c r="M547" s="697" t="str">
        <f>Translations!$B$611</f>
        <v>Iron or steel products</v>
      </c>
      <c r="N547" s="620"/>
      <c r="O547" s="428"/>
    </row>
    <row r="548" spans="1:15" ht="12.75" customHeight="1" x14ac:dyDescent="0.2">
      <c r="A548" s="92"/>
      <c r="B548" s="144"/>
      <c r="C548" s="144"/>
      <c r="D548" s="144"/>
      <c r="E548" s="693" t="s">
        <v>1370</v>
      </c>
      <c r="F548" s="693" t="str">
        <f>Translations!$B$952</f>
        <v>Wire of iron or non-alloy steel, in coils, not plated or coated, whether or not polished (excl. bars and rods)</v>
      </c>
      <c r="G548" s="694"/>
      <c r="H548" s="694"/>
      <c r="I548" s="694"/>
      <c r="J548" s="694"/>
      <c r="K548" s="694"/>
      <c r="L548" s="694"/>
      <c r="M548" s="697" t="str">
        <f>Translations!$B$611</f>
        <v>Iron or steel products</v>
      </c>
      <c r="N548" s="620"/>
      <c r="O548" s="428"/>
    </row>
    <row r="549" spans="1:15" ht="12.75" customHeight="1" x14ac:dyDescent="0.2">
      <c r="A549" s="92"/>
      <c r="B549" s="144"/>
      <c r="C549" s="144"/>
      <c r="D549" s="144"/>
      <c r="E549" s="693" t="s">
        <v>1373</v>
      </c>
      <c r="F549" s="693" t="str">
        <f>Translations!$B$953</f>
        <v>Wire of iron or non-alloy steel, in coils, containing by weight &lt; 0,25% carbon, not plated or coated, whether or not polished, with a maximum cross-sectional dimension of &lt; 0,8 mm</v>
      </c>
      <c r="G549" s="694"/>
      <c r="H549" s="694"/>
      <c r="I549" s="694"/>
      <c r="J549" s="694"/>
      <c r="K549" s="694"/>
      <c r="L549" s="694"/>
      <c r="M549" s="697" t="str">
        <f>Translations!$B$611</f>
        <v>Iron or steel products</v>
      </c>
      <c r="N549" s="620"/>
      <c r="O549" s="428"/>
    </row>
    <row r="550" spans="1:15" ht="12.75" customHeight="1" x14ac:dyDescent="0.2">
      <c r="A550" s="92"/>
      <c r="B550" s="144"/>
      <c r="C550" s="144"/>
      <c r="D550" s="144"/>
      <c r="E550" s="693" t="s">
        <v>1376</v>
      </c>
      <c r="F550" s="693" t="str">
        <f>Translations!$B$954</f>
        <v>Wire of iron or non-alloy steel, in coils, containing by weight &lt; 0,25% carbon, with indentations, ribs, grooves or other deformations produced during the rolling process, not plated or coated, with a maximum cross-sectional dimension of &gt;= 0,8 mm</v>
      </c>
      <c r="G550" s="694"/>
      <c r="H550" s="694"/>
      <c r="I550" s="694"/>
      <c r="J550" s="694"/>
      <c r="K550" s="694"/>
      <c r="L550" s="694"/>
      <c r="M550" s="697" t="str">
        <f>Translations!$B$611</f>
        <v>Iron or steel products</v>
      </c>
      <c r="N550" s="620"/>
      <c r="O550" s="428"/>
    </row>
    <row r="551" spans="1:15" ht="12.75" customHeight="1" x14ac:dyDescent="0.2">
      <c r="A551" s="92"/>
      <c r="B551" s="144"/>
      <c r="C551" s="144"/>
      <c r="D551" s="144"/>
      <c r="E551" s="693" t="s">
        <v>1379</v>
      </c>
      <c r="F551" s="693" t="str">
        <f>Translations!$B$955</f>
        <v>Wire of iron or non-alloy steel, in coils, containing by weight &lt; 0,25% carbon, not plated or coated, with a maximum cross-sectional dimension of &gt;= 0,8 mm (without indentations, ribs, grooves or other deformations produced during the rolling process)</v>
      </c>
      <c r="G551" s="694"/>
      <c r="H551" s="694"/>
      <c r="I551" s="694"/>
      <c r="J551" s="694"/>
      <c r="K551" s="694"/>
      <c r="L551" s="694"/>
      <c r="M551" s="697" t="str">
        <f>Translations!$B$611</f>
        <v>Iron or steel products</v>
      </c>
      <c r="N551" s="620"/>
      <c r="O551" s="428"/>
    </row>
    <row r="552" spans="1:15" ht="12.75" customHeight="1" x14ac:dyDescent="0.2">
      <c r="A552" s="92"/>
      <c r="B552" s="144"/>
      <c r="C552" s="144"/>
      <c r="D552" s="144"/>
      <c r="E552" s="693" t="s">
        <v>1382</v>
      </c>
      <c r="F552" s="693" t="str">
        <f>Translations!$B$956</f>
        <v>Wire of iron or non-alloy steel, in coils, containing by weight &gt;= 0,25% but &lt; 0,6% carbon, not plated or coated, whether or not polished (excl. hot-rolled bars and rods)</v>
      </c>
      <c r="G552" s="694"/>
      <c r="H552" s="694"/>
      <c r="I552" s="694"/>
      <c r="J552" s="694"/>
      <c r="K552" s="694"/>
      <c r="L552" s="694"/>
      <c r="M552" s="697" t="str">
        <f>Translations!$B$611</f>
        <v>Iron or steel products</v>
      </c>
      <c r="N552" s="620"/>
      <c r="O552" s="428"/>
    </row>
    <row r="553" spans="1:15" ht="12.75" customHeight="1" x14ac:dyDescent="0.2">
      <c r="A553" s="92"/>
      <c r="B553" s="144"/>
      <c r="C553" s="144"/>
      <c r="D553" s="144"/>
      <c r="E553" s="693" t="s">
        <v>1385</v>
      </c>
      <c r="F553" s="693" t="str">
        <f>Translations!$B$957</f>
        <v>Wire of iron or non-alloy steel, in coils, containing by weight &gt;= 0,6% carbon, not plated or coated, whether or not polished (excl. hot-rolled bars and rods)</v>
      </c>
      <c r="G553" s="694"/>
      <c r="H553" s="694"/>
      <c r="I553" s="694"/>
      <c r="J553" s="694"/>
      <c r="K553" s="694"/>
      <c r="L553" s="694"/>
      <c r="M553" s="697" t="str">
        <f>Translations!$B$611</f>
        <v>Iron or steel products</v>
      </c>
      <c r="N553" s="620"/>
      <c r="O553" s="428"/>
    </row>
    <row r="554" spans="1:15" ht="12.75" customHeight="1" x14ac:dyDescent="0.2">
      <c r="A554" s="92"/>
      <c r="B554" s="144"/>
      <c r="C554" s="144"/>
      <c r="D554" s="144"/>
      <c r="E554" s="693" t="s">
        <v>1387</v>
      </c>
      <c r="F554" s="693" t="str">
        <f>Translations!$B$958</f>
        <v>Wire of iron or non-alloy steel, in coils, plated or coated with zinc (excl. bars and rods)</v>
      </c>
      <c r="G554" s="694"/>
      <c r="H554" s="694"/>
      <c r="I554" s="694"/>
      <c r="J554" s="694"/>
      <c r="K554" s="694"/>
      <c r="L554" s="694"/>
      <c r="M554" s="697" t="str">
        <f>Translations!$B$611</f>
        <v>Iron or steel products</v>
      </c>
      <c r="N554" s="620"/>
      <c r="O554" s="428"/>
    </row>
    <row r="555" spans="1:15" ht="12.75" customHeight="1" x14ac:dyDescent="0.2">
      <c r="A555" s="92"/>
      <c r="B555" s="144"/>
      <c r="C555" s="144"/>
      <c r="D555" s="144"/>
      <c r="E555" s="693" t="s">
        <v>1390</v>
      </c>
      <c r="F555" s="693" t="str">
        <f>Translations!$B$959</f>
        <v>Wire of iron or non-alloy steel, in coils, containing by weight &lt; 0,25% carbon, plated or coated with zinc, with a maximum cross-sectional dimension of &lt; 0,8 mm</v>
      </c>
      <c r="G555" s="694"/>
      <c r="H555" s="694"/>
      <c r="I555" s="694"/>
      <c r="J555" s="694"/>
      <c r="K555" s="694"/>
      <c r="L555" s="694"/>
      <c r="M555" s="697" t="str">
        <f>Translations!$B$611</f>
        <v>Iron or steel products</v>
      </c>
      <c r="N555" s="620"/>
      <c r="O555" s="428"/>
    </row>
    <row r="556" spans="1:15" ht="12.75" customHeight="1" x14ac:dyDescent="0.2">
      <c r="A556" s="92"/>
      <c r="B556" s="144"/>
      <c r="C556" s="144"/>
      <c r="D556" s="144"/>
      <c r="E556" s="693" t="s">
        <v>1393</v>
      </c>
      <c r="F556" s="693" t="str">
        <f>Translations!$B$960</f>
        <v>Wire of iron or non-alloy steel, in coils, containing by weight &lt; 0,25% carbon, plated or coated with zinc, with a maximum cross-sectional dimension of &lt; 0,8 mm (excl. bars and rods)</v>
      </c>
      <c r="G556" s="694"/>
      <c r="H556" s="694"/>
      <c r="I556" s="694"/>
      <c r="J556" s="694"/>
      <c r="K556" s="694"/>
      <c r="L556" s="694"/>
      <c r="M556" s="697" t="str">
        <f>Translations!$B$611</f>
        <v>Iron or steel products</v>
      </c>
      <c r="N556" s="620"/>
      <c r="O556" s="428"/>
    </row>
    <row r="557" spans="1:15" ht="12.75" customHeight="1" x14ac:dyDescent="0.2">
      <c r="A557" s="92"/>
      <c r="B557" s="144"/>
      <c r="C557" s="144"/>
      <c r="D557" s="144"/>
      <c r="E557" s="693" t="s">
        <v>1396</v>
      </c>
      <c r="F557" s="693" t="str">
        <f>Translations!$B$961</f>
        <v>Wire of iron or non-alloy steel, in coils, containing by weight &gt;= 0,25% but &lt; 0,6% carbon, plated or coated with zinc (excl. bars and rods)</v>
      </c>
      <c r="G557" s="694"/>
      <c r="H557" s="694"/>
      <c r="I557" s="694"/>
      <c r="J557" s="694"/>
      <c r="K557" s="694"/>
      <c r="L557" s="694"/>
      <c r="M557" s="697" t="str">
        <f>Translations!$B$611</f>
        <v>Iron or steel products</v>
      </c>
      <c r="N557" s="620"/>
      <c r="O557" s="428"/>
    </row>
    <row r="558" spans="1:15" ht="12.75" customHeight="1" x14ac:dyDescent="0.2">
      <c r="A558" s="92"/>
      <c r="B558" s="144"/>
      <c r="C558" s="144"/>
      <c r="D558" s="144"/>
      <c r="E558" s="693" t="s">
        <v>1399</v>
      </c>
      <c r="F558" s="693" t="str">
        <f>Translations!$B$962</f>
        <v>Wire of iron or non-alloy steel, in coils, containing by weight &gt;= 0,6% carbon, plated or coated with zinc (excl. bars and rods)</v>
      </c>
      <c r="G558" s="694"/>
      <c r="H558" s="694"/>
      <c r="I558" s="694"/>
      <c r="J558" s="694"/>
      <c r="K558" s="694"/>
      <c r="L558" s="694"/>
      <c r="M558" s="697" t="str">
        <f>Translations!$B$611</f>
        <v>Iron or steel products</v>
      </c>
      <c r="N558" s="620"/>
      <c r="O558" s="428"/>
    </row>
    <row r="559" spans="1:15" ht="12.75" customHeight="1" x14ac:dyDescent="0.2">
      <c r="A559" s="92"/>
      <c r="B559" s="144"/>
      <c r="C559" s="144"/>
      <c r="D559" s="144"/>
      <c r="E559" s="693" t="s">
        <v>1401</v>
      </c>
      <c r="F559" s="693" t="str">
        <f>Translations!$B$963</f>
        <v>Wire of iron or non-alloy steel, in coils, plated or coated with base metals (excl. plated or coated with zinc, and bars and rods)</v>
      </c>
      <c r="G559" s="694"/>
      <c r="H559" s="694"/>
      <c r="I559" s="694"/>
      <c r="J559" s="694"/>
      <c r="K559" s="694"/>
      <c r="L559" s="694"/>
      <c r="M559" s="697" t="str">
        <f>Translations!$B$611</f>
        <v>Iron or steel products</v>
      </c>
      <c r="N559" s="620"/>
      <c r="O559" s="428"/>
    </row>
    <row r="560" spans="1:15" ht="12.75" customHeight="1" x14ac:dyDescent="0.2">
      <c r="A560" s="92"/>
      <c r="B560" s="144"/>
      <c r="C560" s="144"/>
      <c r="D560" s="144"/>
      <c r="E560" s="693" t="s">
        <v>1404</v>
      </c>
      <c r="F560" s="693" t="str">
        <f>Translations!$B$964</f>
        <v>Wire of iron or non-alloy steel, in coils, containing by weight &lt; 0,25% carbon, copper-coated (excl. bars and rods)</v>
      </c>
      <c r="G560" s="694"/>
      <c r="H560" s="694"/>
      <c r="I560" s="694"/>
      <c r="J560" s="694"/>
      <c r="K560" s="694"/>
      <c r="L560" s="694"/>
      <c r="M560" s="697" t="str">
        <f>Translations!$B$611</f>
        <v>Iron or steel products</v>
      </c>
      <c r="N560" s="620"/>
      <c r="O560" s="428"/>
    </row>
    <row r="561" spans="1:15" ht="12.75" customHeight="1" x14ac:dyDescent="0.2">
      <c r="A561" s="92"/>
      <c r="B561" s="144"/>
      <c r="C561" s="144"/>
      <c r="D561" s="144"/>
      <c r="E561" s="693" t="s">
        <v>1407</v>
      </c>
      <c r="F561" s="693" t="str">
        <f>Translations!$B$965</f>
        <v>Wire of iron or non-alloy steel, in coils, containing by weight &lt; 0,25% carbon, plated or coated with base metals (excl. products plated or coated with zinc or copper and bars and rods)</v>
      </c>
      <c r="G561" s="694"/>
      <c r="H561" s="694"/>
      <c r="I561" s="694"/>
      <c r="J561" s="694"/>
      <c r="K561" s="694"/>
      <c r="L561" s="694"/>
      <c r="M561" s="697" t="str">
        <f>Translations!$B$611</f>
        <v>Iron or steel products</v>
      </c>
      <c r="N561" s="620"/>
      <c r="O561" s="428"/>
    </row>
    <row r="562" spans="1:15" ht="12.75" customHeight="1" x14ac:dyDescent="0.2">
      <c r="A562" s="92"/>
      <c r="B562" s="144"/>
      <c r="C562" s="144"/>
      <c r="D562" s="144"/>
      <c r="E562" s="693" t="s">
        <v>1410</v>
      </c>
      <c r="F562" s="693" t="str">
        <f>Translations!$B$966</f>
        <v>Wire of iron or non-alloy steel, in coils, containing by weight &gt;= 0,25% but &lt; 0,6% carbon, plated or coated with base metals (excl. products plated or coated with zinc, and bars and rods)</v>
      </c>
      <c r="G562" s="694"/>
      <c r="H562" s="694"/>
      <c r="I562" s="694"/>
      <c r="J562" s="694"/>
      <c r="K562" s="694"/>
      <c r="L562" s="694"/>
      <c r="M562" s="697" t="str">
        <f>Translations!$B$611</f>
        <v>Iron or steel products</v>
      </c>
      <c r="N562" s="620"/>
      <c r="O562" s="428"/>
    </row>
    <row r="563" spans="1:15" ht="12.75" customHeight="1" x14ac:dyDescent="0.2">
      <c r="A563" s="92"/>
      <c r="B563" s="144"/>
      <c r="C563" s="144"/>
      <c r="D563" s="144"/>
      <c r="E563" s="693" t="s">
        <v>1413</v>
      </c>
      <c r="F563" s="693" t="str">
        <f>Translations!$B$967</f>
        <v>Wire of iron or non-alloy steel, in coils, containing by weight &gt;= 0,6% carbon, plated or coated with base metals (excl. products plated or coated with zinc, and bars and rods)</v>
      </c>
      <c r="G563" s="694"/>
      <c r="H563" s="694"/>
      <c r="I563" s="694"/>
      <c r="J563" s="694"/>
      <c r="K563" s="694"/>
      <c r="L563" s="694"/>
      <c r="M563" s="697" t="str">
        <f>Translations!$B$611</f>
        <v>Iron or steel products</v>
      </c>
      <c r="N563" s="620"/>
      <c r="O563" s="428"/>
    </row>
    <row r="564" spans="1:15" ht="12.75" customHeight="1" x14ac:dyDescent="0.2">
      <c r="A564" s="92"/>
      <c r="B564" s="144"/>
      <c r="C564" s="144"/>
      <c r="D564" s="144"/>
      <c r="E564" s="693" t="s">
        <v>1415</v>
      </c>
      <c r="F564" s="693" t="str">
        <f>Translations!$B$968</f>
        <v>Wire of iron or non-alloy steel, in coils, plated or coated (excl. plated or coated with base metals, and bars and rods)</v>
      </c>
      <c r="G564" s="694"/>
      <c r="H564" s="694"/>
      <c r="I564" s="694"/>
      <c r="J564" s="694"/>
      <c r="K564" s="694"/>
      <c r="L564" s="694"/>
      <c r="M564" s="697" t="str">
        <f>Translations!$B$611</f>
        <v>Iron or steel products</v>
      </c>
      <c r="N564" s="620"/>
      <c r="O564" s="428"/>
    </row>
    <row r="565" spans="1:15" ht="12.75" customHeight="1" x14ac:dyDescent="0.2">
      <c r="A565" s="92"/>
      <c r="B565" s="144"/>
      <c r="C565" s="144"/>
      <c r="D565" s="144"/>
      <c r="E565" s="693" t="s">
        <v>1418</v>
      </c>
      <c r="F565" s="693" t="str">
        <f>Translations!$B$969</f>
        <v>Wire of iron or non-alloy steel, in coils, containing by weight &lt; 0,25% carbon, plated or coated (excl. products plated or coated with base metals and bars and rods)</v>
      </c>
      <c r="G565" s="694"/>
      <c r="H565" s="694"/>
      <c r="I565" s="694"/>
      <c r="J565" s="694"/>
      <c r="K565" s="694"/>
      <c r="L565" s="694"/>
      <c r="M565" s="697" t="str">
        <f>Translations!$B$611</f>
        <v>Iron or steel products</v>
      </c>
      <c r="N565" s="620"/>
      <c r="O565" s="428"/>
    </row>
    <row r="566" spans="1:15" ht="12.75" customHeight="1" x14ac:dyDescent="0.2">
      <c r="A566" s="92"/>
      <c r="B566" s="144"/>
      <c r="C566" s="144"/>
      <c r="D566" s="144"/>
      <c r="E566" s="693" t="s">
        <v>1421</v>
      </c>
      <c r="F566" s="693" t="str">
        <f>Translations!$B$970</f>
        <v>Wire of iron or non-alloy steel, in coils, containing by weight &gt;= 0,25% but &lt; 0,6% carbon, plated or coated (excl. products plated or coated with with base metals, and bars and rods)</v>
      </c>
      <c r="G566" s="694"/>
      <c r="H566" s="694"/>
      <c r="I566" s="694"/>
      <c r="J566" s="694"/>
      <c r="K566" s="694"/>
      <c r="L566" s="694"/>
      <c r="M566" s="697" t="str">
        <f>Translations!$B$611</f>
        <v>Iron or steel products</v>
      </c>
      <c r="N566" s="620"/>
      <c r="O566" s="428"/>
    </row>
    <row r="567" spans="1:15" ht="12.75" customHeight="1" x14ac:dyDescent="0.2">
      <c r="A567" s="92"/>
      <c r="B567" s="144"/>
      <c r="C567" s="144"/>
      <c r="D567" s="144"/>
      <c r="E567" s="693" t="s">
        <v>1424</v>
      </c>
      <c r="F567" s="693" t="str">
        <f>Translations!$B$971</f>
        <v>Wire of iron or non-alloy steel, in coils, containing by weight &gt;= 0,6% carbon, plated or coated (excl. products plated or coated with base metals, and bars and rods)</v>
      </c>
      <c r="G567" s="694"/>
      <c r="H567" s="694"/>
      <c r="I567" s="694"/>
      <c r="J567" s="694"/>
      <c r="K567" s="694"/>
      <c r="L567" s="694"/>
      <c r="M567" s="697" t="str">
        <f>Translations!$B$611</f>
        <v>Iron or steel products</v>
      </c>
      <c r="N567" s="620"/>
      <c r="O567" s="428"/>
    </row>
    <row r="568" spans="1:15" ht="12.75" customHeight="1" x14ac:dyDescent="0.2">
      <c r="A568" s="92"/>
      <c r="B568" s="144"/>
      <c r="C568" s="144"/>
      <c r="D568" s="144"/>
      <c r="E568" s="693" t="s">
        <v>1426</v>
      </c>
      <c r="F568" s="693" t="str">
        <f>Translations!$B$972</f>
        <v>Stainless steel in ingots or other primary forms (excl. remelting scrap ingots and products obtained by continuous casting); semi-finished products of stainless steel</v>
      </c>
      <c r="G568" s="694"/>
      <c r="H568" s="694"/>
      <c r="I568" s="694"/>
      <c r="J568" s="694"/>
      <c r="K568" s="694"/>
      <c r="L568" s="694"/>
      <c r="M568" s="697" t="str">
        <f>Translations!$B$668</f>
        <v>Crude steel</v>
      </c>
      <c r="N568" s="620"/>
      <c r="O568" s="428"/>
    </row>
    <row r="569" spans="1:15" ht="12.75" customHeight="1" x14ac:dyDescent="0.2">
      <c r="A569" s="92"/>
      <c r="B569" s="144"/>
      <c r="C569" s="144"/>
      <c r="D569" s="144"/>
      <c r="E569" s="693" t="s">
        <v>1429</v>
      </c>
      <c r="F569" s="693" t="str">
        <f>Translations!$B$973</f>
        <v>Steel, stainless, in ingots and other primary forms (excl. waste and scrap in ingot form, and products obtained by continuous casting)</v>
      </c>
      <c r="G569" s="694"/>
      <c r="H569" s="694"/>
      <c r="I569" s="694"/>
      <c r="J569" s="694"/>
      <c r="K569" s="694"/>
      <c r="L569" s="694"/>
      <c r="M569" s="697" t="str">
        <f>Translations!$B$668</f>
        <v>Crude steel</v>
      </c>
      <c r="N569" s="620"/>
      <c r="O569" s="428"/>
    </row>
    <row r="570" spans="1:15" ht="12.75" customHeight="1" x14ac:dyDescent="0.2">
      <c r="A570" s="92"/>
      <c r="B570" s="144"/>
      <c r="C570" s="144"/>
      <c r="D570" s="144"/>
      <c r="E570" s="693" t="s">
        <v>1431</v>
      </c>
      <c r="F570" s="693" t="str">
        <f>Translations!$B$974</f>
        <v>Semi-finished products of stainless steel, of rectangular "other than square" cross-section</v>
      </c>
      <c r="G570" s="694"/>
      <c r="H570" s="694"/>
      <c r="I570" s="694"/>
      <c r="J570" s="694"/>
      <c r="K570" s="694"/>
      <c r="L570" s="694"/>
      <c r="M570" s="697" t="str">
        <f>Translations!$B$668</f>
        <v>Crude steel</v>
      </c>
      <c r="N570" s="620"/>
      <c r="O570" s="428"/>
    </row>
    <row r="571" spans="1:15" ht="12.75" customHeight="1" x14ac:dyDescent="0.2">
      <c r="A571" s="92"/>
      <c r="B571" s="144"/>
      <c r="C571" s="144"/>
      <c r="D571" s="144"/>
      <c r="E571" s="693" t="s">
        <v>1434</v>
      </c>
      <c r="F571" s="693" t="str">
        <f>Translations!$B$975</f>
        <v>Semi-finished products of stainless steel, of rectangular "other than square" cross-section, containing by weight &gt;= 2,5% nickel</v>
      </c>
      <c r="G571" s="694"/>
      <c r="H571" s="694"/>
      <c r="I571" s="694"/>
      <c r="J571" s="694"/>
      <c r="K571" s="694"/>
      <c r="L571" s="694"/>
      <c r="M571" s="697" t="str">
        <f>Translations!$B$668</f>
        <v>Crude steel</v>
      </c>
      <c r="N571" s="620"/>
      <c r="O571" s="428"/>
    </row>
    <row r="572" spans="1:15" ht="12.75" customHeight="1" x14ac:dyDescent="0.2">
      <c r="A572" s="92"/>
      <c r="B572" s="144"/>
      <c r="C572" s="144"/>
      <c r="D572" s="144"/>
      <c r="E572" s="693" t="s">
        <v>1437</v>
      </c>
      <c r="F572" s="693" t="str">
        <f>Translations!$B$976</f>
        <v>Semi-finished products of stainless steel, of rectangular "other than square" cross-section, containing by weight &lt; 2,5 nickel</v>
      </c>
      <c r="G572" s="694"/>
      <c r="H572" s="694"/>
      <c r="I572" s="694"/>
      <c r="J572" s="694"/>
      <c r="K572" s="694"/>
      <c r="L572" s="694"/>
      <c r="M572" s="697" t="str">
        <f>Translations!$B$668</f>
        <v>Crude steel</v>
      </c>
      <c r="N572" s="620"/>
      <c r="O572" s="428"/>
    </row>
    <row r="573" spans="1:15" ht="12.75" customHeight="1" x14ac:dyDescent="0.2">
      <c r="A573" s="92"/>
      <c r="B573" s="144"/>
      <c r="C573" s="144"/>
      <c r="D573" s="144"/>
      <c r="E573" s="693" t="s">
        <v>1439</v>
      </c>
      <c r="F573" s="693" t="str">
        <f>Translations!$B$977</f>
        <v>Semi-finished products of stainless steel (excl. of rectangular [other than square] cross-section)</v>
      </c>
      <c r="G573" s="694"/>
      <c r="H573" s="694"/>
      <c r="I573" s="694"/>
      <c r="J573" s="694"/>
      <c r="K573" s="694"/>
      <c r="L573" s="694"/>
      <c r="M573" s="697" t="str">
        <f>Translations!$B$668</f>
        <v>Crude steel</v>
      </c>
      <c r="N573" s="620"/>
      <c r="O573" s="428"/>
    </row>
    <row r="574" spans="1:15" ht="12.75" customHeight="1" x14ac:dyDescent="0.2">
      <c r="A574" s="92"/>
      <c r="B574" s="144"/>
      <c r="C574" s="144"/>
      <c r="D574" s="144"/>
      <c r="E574" s="693" t="s">
        <v>1442</v>
      </c>
      <c r="F574" s="693" t="str">
        <f>Translations!$B$978</f>
        <v>Semi-finished products of stainless steel, of square cross-section, rolled or obtained by continuous casting</v>
      </c>
      <c r="G574" s="694"/>
      <c r="H574" s="694"/>
      <c r="I574" s="694"/>
      <c r="J574" s="694"/>
      <c r="K574" s="694"/>
      <c r="L574" s="694"/>
      <c r="M574" s="697" t="str">
        <f>Translations!$B$668</f>
        <v>Crude steel</v>
      </c>
      <c r="N574" s="620"/>
      <c r="O574" s="428"/>
    </row>
    <row r="575" spans="1:15" ht="12.75" customHeight="1" x14ac:dyDescent="0.2">
      <c r="A575" s="92"/>
      <c r="B575" s="144"/>
      <c r="C575" s="144"/>
      <c r="D575" s="144"/>
      <c r="E575" s="693" t="s">
        <v>1445</v>
      </c>
      <c r="F575" s="693" t="str">
        <f>Translations!$B$979</f>
        <v>Semi-finished products of stainless steel, of square cross-section, forged</v>
      </c>
      <c r="G575" s="694"/>
      <c r="H575" s="694"/>
      <c r="I575" s="694"/>
      <c r="J575" s="694"/>
      <c r="K575" s="694"/>
      <c r="L575" s="694"/>
      <c r="M575" s="697" t="str">
        <f>Translations!$B$668</f>
        <v>Crude steel</v>
      </c>
      <c r="N575" s="620"/>
      <c r="O575" s="428"/>
    </row>
    <row r="576" spans="1:15" ht="12.75" customHeight="1" x14ac:dyDescent="0.2">
      <c r="A576" s="92"/>
      <c r="B576" s="144"/>
      <c r="C576" s="144"/>
      <c r="D576" s="144"/>
      <c r="E576" s="693" t="s">
        <v>1448</v>
      </c>
      <c r="F576" s="693" t="str">
        <f>Translations!$B$980</f>
        <v>Semi-finished products of stainless steel, of circular cross-section or of cross-section other than square or rectangular, rolled or obtained by continuous casting</v>
      </c>
      <c r="G576" s="694"/>
      <c r="H576" s="694"/>
      <c r="I576" s="694"/>
      <c r="J576" s="694"/>
      <c r="K576" s="694"/>
      <c r="L576" s="694"/>
      <c r="M576" s="697" t="str">
        <f>Translations!$B$668</f>
        <v>Crude steel</v>
      </c>
      <c r="N576" s="620"/>
      <c r="O576" s="428"/>
    </row>
    <row r="577" spans="1:15" ht="12.75" customHeight="1" x14ac:dyDescent="0.2">
      <c r="A577" s="92"/>
      <c r="B577" s="144"/>
      <c r="C577" s="144"/>
      <c r="D577" s="144"/>
      <c r="E577" s="693" t="s">
        <v>1451</v>
      </c>
      <c r="F577" s="693" t="str">
        <f>Translations!$B$981</f>
        <v>Semi-finished products of stainless steel, forged (excl. products of square or rectangular cross-section)</v>
      </c>
      <c r="G577" s="694"/>
      <c r="H577" s="694"/>
      <c r="I577" s="694"/>
      <c r="J577" s="694"/>
      <c r="K577" s="694"/>
      <c r="L577" s="694"/>
      <c r="M577" s="697" t="str">
        <f>Translations!$B$668</f>
        <v>Crude steel</v>
      </c>
      <c r="N577" s="620"/>
      <c r="O577" s="428"/>
    </row>
    <row r="578" spans="1:15" ht="12.75" customHeight="1" x14ac:dyDescent="0.2">
      <c r="A578" s="92"/>
      <c r="B578" s="144"/>
      <c r="C578" s="144"/>
      <c r="D578" s="144"/>
      <c r="E578" s="693" t="s">
        <v>1453</v>
      </c>
      <c r="F578" s="693" t="str">
        <f>Translations!$B$982</f>
        <v>Flat-rolled products of stainless steel, of a width of &gt;= 600 mm, hot-rolled or cold-rolled "cold-reduced"</v>
      </c>
      <c r="G578" s="694"/>
      <c r="H578" s="694"/>
      <c r="I578" s="694"/>
      <c r="J578" s="694"/>
      <c r="K578" s="694"/>
      <c r="L578" s="694"/>
      <c r="M578" s="697" t="str">
        <f>Translations!$B$611</f>
        <v>Iron or steel products</v>
      </c>
      <c r="N578" s="620"/>
      <c r="O578" s="428"/>
    </row>
    <row r="579" spans="1:15" ht="12.75" customHeight="1" x14ac:dyDescent="0.2">
      <c r="A579" s="92"/>
      <c r="B579" s="144"/>
      <c r="C579" s="144"/>
      <c r="D579" s="144"/>
      <c r="E579" s="693" t="s">
        <v>1456</v>
      </c>
      <c r="F579" s="693" t="str">
        <f>Translations!$B$983</f>
        <v>Flat-rolled products of stainless steel, of a width of &gt;= 600 mm, not further worked than hot-rolled, in coils, of a thickness of &gt; 10 mm</v>
      </c>
      <c r="G579" s="694"/>
      <c r="H579" s="694"/>
      <c r="I579" s="694"/>
      <c r="J579" s="694"/>
      <c r="K579" s="694"/>
      <c r="L579" s="694"/>
      <c r="M579" s="697" t="str">
        <f>Translations!$B$611</f>
        <v>Iron or steel products</v>
      </c>
      <c r="N579" s="620"/>
      <c r="O579" s="428"/>
    </row>
    <row r="580" spans="1:15" ht="12.75" customHeight="1" x14ac:dyDescent="0.2">
      <c r="A580" s="92"/>
      <c r="B580" s="144"/>
      <c r="C580" s="144"/>
      <c r="D580" s="144"/>
      <c r="E580" s="693" t="s">
        <v>1458</v>
      </c>
      <c r="F580" s="693" t="str">
        <f>Translations!$B$984</f>
        <v>Flat-rolled products of stainless steel, of a width of&gt;= 600 mm, not further worked than hot-rolled, in coils, of a thickness of &gt;= 4,7 mm and &lt;= 10 mm</v>
      </c>
      <c r="G580" s="694"/>
      <c r="H580" s="694"/>
      <c r="I580" s="694"/>
      <c r="J580" s="694"/>
      <c r="K580" s="694"/>
      <c r="L580" s="694"/>
      <c r="M580" s="697" t="str">
        <f>Translations!$B$611</f>
        <v>Iron or steel products</v>
      </c>
      <c r="N580" s="620"/>
      <c r="O580" s="428"/>
    </row>
    <row r="581" spans="1:15" ht="12.75" customHeight="1" x14ac:dyDescent="0.2">
      <c r="A581" s="92"/>
      <c r="B581" s="144"/>
      <c r="C581" s="144"/>
      <c r="D581" s="144"/>
      <c r="E581" s="693" t="s">
        <v>1461</v>
      </c>
      <c r="F581" s="693" t="str">
        <f>Translations!$B$985</f>
        <v>Flat-rolled products of stainless steel, of a width of &gt;= 600 mm, not further worked than hot-rolled, in coils, of a thickness of &gt;= 4,75 mm but &lt;= 10 mm, containing by weight &gt;= 2,5 nickel</v>
      </c>
      <c r="G581" s="694"/>
      <c r="H581" s="694"/>
      <c r="I581" s="694"/>
      <c r="J581" s="694"/>
      <c r="K581" s="694"/>
      <c r="L581" s="694"/>
      <c r="M581" s="697" t="str">
        <f>Translations!$B$611</f>
        <v>Iron or steel products</v>
      </c>
      <c r="N581" s="620"/>
      <c r="O581" s="428"/>
    </row>
    <row r="582" spans="1:15" ht="12.75" customHeight="1" x14ac:dyDescent="0.2">
      <c r="A582" s="92"/>
      <c r="B582" s="144"/>
      <c r="C582" s="144"/>
      <c r="D582" s="144"/>
      <c r="E582" s="693" t="s">
        <v>1464</v>
      </c>
      <c r="F582" s="693" t="str">
        <f>Translations!$B$986</f>
        <v>Flat-rolled products of stainless steel, of a width of &gt;= 600 mm, not further worked than hot-rolled, in coils, of a thickness of &gt;= 4,75 mm but &lt;= 10 mm, containing by weight &lt; 2,5 nickel</v>
      </c>
      <c r="G582" s="694"/>
      <c r="H582" s="694"/>
      <c r="I582" s="694"/>
      <c r="J582" s="694"/>
      <c r="K582" s="694"/>
      <c r="L582" s="694"/>
      <c r="M582" s="697" t="str">
        <f>Translations!$B$611</f>
        <v>Iron or steel products</v>
      </c>
      <c r="N582" s="620"/>
      <c r="O582" s="428"/>
    </row>
    <row r="583" spans="1:15" ht="12.75" customHeight="1" x14ac:dyDescent="0.2">
      <c r="A583" s="92"/>
      <c r="B583" s="144"/>
      <c r="C583" s="144"/>
      <c r="D583" s="144"/>
      <c r="E583" s="693" t="s">
        <v>1466</v>
      </c>
      <c r="F583" s="693" t="str">
        <f>Translations!$B$987</f>
        <v>Flat-rolled products of stainless steel, of a width of &gt;= 600 mm, not further worked than hot-rolled, in coils, of a thickness of &gt;= 3 mm and &lt; 4,75 mm</v>
      </c>
      <c r="G583" s="694"/>
      <c r="H583" s="694"/>
      <c r="I583" s="694"/>
      <c r="J583" s="694"/>
      <c r="K583" s="694"/>
      <c r="L583" s="694"/>
      <c r="M583" s="697" t="str">
        <f>Translations!$B$611</f>
        <v>Iron or steel products</v>
      </c>
      <c r="N583" s="620"/>
      <c r="O583" s="428"/>
    </row>
    <row r="584" spans="1:15" ht="12.75" customHeight="1" x14ac:dyDescent="0.2">
      <c r="A584" s="92"/>
      <c r="B584" s="144"/>
      <c r="C584" s="144"/>
      <c r="D584" s="144"/>
      <c r="E584" s="693" t="s">
        <v>1469</v>
      </c>
      <c r="F584" s="693" t="str">
        <f>Translations!$B$988</f>
        <v>Flat-rolled products of stainless steel, of a width of &gt;= 600 mm, not further worked than hot-rolled, in coils, of a thickness of &gt;= 3 mm but &lt;= 4,75 mm, containing by weight &gt;= 2,5 nickel</v>
      </c>
      <c r="G584" s="694"/>
      <c r="H584" s="694"/>
      <c r="I584" s="694"/>
      <c r="J584" s="694"/>
      <c r="K584" s="694"/>
      <c r="L584" s="694"/>
      <c r="M584" s="697" t="str">
        <f>Translations!$B$611</f>
        <v>Iron or steel products</v>
      </c>
      <c r="N584" s="620"/>
      <c r="O584" s="428"/>
    </row>
    <row r="585" spans="1:15" ht="12.75" customHeight="1" x14ac:dyDescent="0.2">
      <c r="A585" s="92"/>
      <c r="B585" s="144"/>
      <c r="C585" s="144"/>
      <c r="D585" s="144"/>
      <c r="E585" s="693" t="s">
        <v>1472</v>
      </c>
      <c r="F585" s="693" t="str">
        <f>Translations!$B$989</f>
        <v>Flat-rolled products of stainless steel, of a width of &gt;= 600 mm, not further worked than hot-rolled, in coils, of a thickness of &gt;= 3 mm but &lt;= 4,75 mm, containing by weight &lt; 2,5 nickel</v>
      </c>
      <c r="G585" s="694"/>
      <c r="H585" s="694"/>
      <c r="I585" s="694"/>
      <c r="J585" s="694"/>
      <c r="K585" s="694"/>
      <c r="L585" s="694"/>
      <c r="M585" s="697" t="str">
        <f>Translations!$B$611</f>
        <v>Iron or steel products</v>
      </c>
      <c r="N585" s="620"/>
      <c r="O585" s="428"/>
    </row>
    <row r="586" spans="1:15" ht="12.75" customHeight="1" x14ac:dyDescent="0.2">
      <c r="A586" s="92"/>
      <c r="B586" s="144"/>
      <c r="C586" s="144"/>
      <c r="D586" s="144"/>
      <c r="E586" s="693" t="s">
        <v>1474</v>
      </c>
      <c r="F586" s="693" t="str">
        <f>Translations!$B$990</f>
        <v>Flat-rolled products of stainless steel, of a width of &gt;= 600 mm, not further worked than hot-rolled, in coils, of a thickness of &lt; 3 mm</v>
      </c>
      <c r="G586" s="694"/>
      <c r="H586" s="694"/>
      <c r="I586" s="694"/>
      <c r="J586" s="694"/>
      <c r="K586" s="694"/>
      <c r="L586" s="694"/>
      <c r="M586" s="697" t="str">
        <f>Translations!$B$611</f>
        <v>Iron or steel products</v>
      </c>
      <c r="N586" s="620"/>
      <c r="O586" s="428"/>
    </row>
    <row r="587" spans="1:15" ht="12.75" customHeight="1" x14ac:dyDescent="0.2">
      <c r="A587" s="92"/>
      <c r="B587" s="144"/>
      <c r="C587" s="144"/>
      <c r="D587" s="144"/>
      <c r="E587" s="693" t="s">
        <v>1477</v>
      </c>
      <c r="F587" s="693" t="str">
        <f>Translations!$B$991</f>
        <v>Flat-rolled products of stainless steel, of a width of &gt;= 600 mm, not further worked than hot-rolled, in coils, of a thickness of &lt; 3 mm, containing by weight &gt;= 2,5 nickel</v>
      </c>
      <c r="G587" s="694"/>
      <c r="H587" s="694"/>
      <c r="I587" s="694"/>
      <c r="J587" s="694"/>
      <c r="K587" s="694"/>
      <c r="L587" s="694"/>
      <c r="M587" s="697" t="str">
        <f>Translations!$B$611</f>
        <v>Iron or steel products</v>
      </c>
      <c r="N587" s="620"/>
      <c r="O587" s="428"/>
    </row>
    <row r="588" spans="1:15" ht="12.75" customHeight="1" x14ac:dyDescent="0.2">
      <c r="A588" s="92"/>
      <c r="B588" s="144"/>
      <c r="C588" s="144"/>
      <c r="D588" s="144"/>
      <c r="E588" s="693" t="s">
        <v>1480</v>
      </c>
      <c r="F588" s="693" t="str">
        <f>Translations!$B$992</f>
        <v>Flat-rolled products of stainless steel, of a width of &gt;= 600 mm, not further worked than hot-rolled, in coils, of a thickness of &lt; 3 mm, containing by weight &lt; 2,5 nickel</v>
      </c>
      <c r="G588" s="694"/>
      <c r="H588" s="694"/>
      <c r="I588" s="694"/>
      <c r="J588" s="694"/>
      <c r="K588" s="694"/>
      <c r="L588" s="694"/>
      <c r="M588" s="697" t="str">
        <f>Translations!$B$611</f>
        <v>Iron or steel products</v>
      </c>
      <c r="N588" s="620"/>
      <c r="O588" s="428"/>
    </row>
    <row r="589" spans="1:15" ht="12.75" customHeight="1" x14ac:dyDescent="0.2">
      <c r="A589" s="92"/>
      <c r="B589" s="144"/>
      <c r="C589" s="144"/>
      <c r="D589" s="144"/>
      <c r="E589" s="693" t="s">
        <v>1482</v>
      </c>
      <c r="F589" s="693" t="str">
        <f>Translations!$B$993</f>
        <v>Flat-rolled products of stainless steel, of a width of &gt;= 600 mm, not further worked than hot-rolled, not in coils, of a thickness of &gt; 10 mm</v>
      </c>
      <c r="G589" s="694"/>
      <c r="H589" s="694"/>
      <c r="I589" s="694"/>
      <c r="J589" s="694"/>
      <c r="K589" s="694"/>
      <c r="L589" s="694"/>
      <c r="M589" s="697" t="str">
        <f>Translations!$B$611</f>
        <v>Iron or steel products</v>
      </c>
      <c r="N589" s="620"/>
      <c r="O589" s="428"/>
    </row>
    <row r="590" spans="1:15" ht="12.75" customHeight="1" x14ac:dyDescent="0.2">
      <c r="A590" s="92"/>
      <c r="B590" s="144"/>
      <c r="C590" s="144"/>
      <c r="D590" s="144"/>
      <c r="E590" s="693" t="s">
        <v>1485</v>
      </c>
      <c r="F590" s="693" t="str">
        <f>Translations!$B$994</f>
        <v>Flat-rolled products of stainless steel, of a width of &gt;= 600 mm, not further worked than hot-rolled, not in coils, of a thickness of &gt; 10 mm, containing by weight &gt;= 2,5 nickel</v>
      </c>
      <c r="G590" s="694"/>
      <c r="H590" s="694"/>
      <c r="I590" s="694"/>
      <c r="J590" s="694"/>
      <c r="K590" s="694"/>
      <c r="L590" s="694"/>
      <c r="M590" s="697" t="str">
        <f>Translations!$B$611</f>
        <v>Iron or steel products</v>
      </c>
      <c r="N590" s="620"/>
      <c r="O590" s="428"/>
    </row>
    <row r="591" spans="1:15" ht="12.75" customHeight="1" x14ac:dyDescent="0.2">
      <c r="A591" s="92"/>
      <c r="B591" s="144"/>
      <c r="C591" s="144"/>
      <c r="D591" s="144"/>
      <c r="E591" s="693" t="s">
        <v>1488</v>
      </c>
      <c r="F591" s="693" t="str">
        <f>Translations!$B$995</f>
        <v>Flat-rolled products of stainless steel, of a width of &gt;= 600 mm, not further worked than hot-rolled, not in coils, of a thickness of &gt; 10 mm, containing by weight &lt; 2,5 nickel</v>
      </c>
      <c r="G591" s="694"/>
      <c r="H591" s="694"/>
      <c r="I591" s="694"/>
      <c r="J591" s="694"/>
      <c r="K591" s="694"/>
      <c r="L591" s="694"/>
      <c r="M591" s="697" t="str">
        <f>Translations!$B$611</f>
        <v>Iron or steel products</v>
      </c>
      <c r="N591" s="620"/>
      <c r="O591" s="428"/>
    </row>
    <row r="592" spans="1:15" ht="12.75" customHeight="1" x14ac:dyDescent="0.2">
      <c r="A592" s="92"/>
      <c r="B592" s="144"/>
      <c r="C592" s="144"/>
      <c r="D592" s="144"/>
      <c r="E592" s="693" t="s">
        <v>1490</v>
      </c>
      <c r="F592" s="693" t="str">
        <f>Translations!$B$996</f>
        <v>Flat-rolled products of stainless steel, of a width of &gt;= 600 mm, not further worked than hot-rolled, not in coils, of a thickness of &gt;= 4,75 mm and &lt;= 10 mm</v>
      </c>
      <c r="G592" s="694"/>
      <c r="H592" s="694"/>
      <c r="I592" s="694"/>
      <c r="J592" s="694"/>
      <c r="K592" s="694"/>
      <c r="L592" s="694"/>
      <c r="M592" s="697" t="str">
        <f>Translations!$B$611</f>
        <v>Iron or steel products</v>
      </c>
      <c r="N592" s="620"/>
      <c r="O592" s="428"/>
    </row>
    <row r="593" spans="1:15" ht="12.75" customHeight="1" x14ac:dyDescent="0.2">
      <c r="A593" s="92"/>
      <c r="B593" s="144"/>
      <c r="C593" s="144"/>
      <c r="D593" s="144"/>
      <c r="E593" s="693" t="s">
        <v>1493</v>
      </c>
      <c r="F593" s="693" t="str">
        <f>Translations!$B$997</f>
        <v>Flat-rolled products of stainless steel, of a width of &gt;= 600 mm, not further worked than hot-rolled, not in coils, of a thickness of &gt;= 4,75 mm but &lt;= 10 mm, containing by weight &gt;= 2,5% nickel</v>
      </c>
      <c r="G593" s="694"/>
      <c r="H593" s="694"/>
      <c r="I593" s="694"/>
      <c r="J593" s="694"/>
      <c r="K593" s="694"/>
      <c r="L593" s="694"/>
      <c r="M593" s="697" t="str">
        <f>Translations!$B$611</f>
        <v>Iron or steel products</v>
      </c>
      <c r="N593" s="620"/>
      <c r="O593" s="428"/>
    </row>
    <row r="594" spans="1:15" ht="12.75" customHeight="1" x14ac:dyDescent="0.2">
      <c r="A594" s="92"/>
      <c r="B594" s="144"/>
      <c r="C594" s="144"/>
      <c r="D594" s="144"/>
      <c r="E594" s="693" t="s">
        <v>1496</v>
      </c>
      <c r="F594" s="693" t="str">
        <f>Translations!$B$998</f>
        <v>Flat-rolled products of stainless steel, of a width of &gt;= 600 mm, not further worked than hot-rolled, not in coils, of a thickness of &gt;= 4,75 mm but &lt;= 10 mm, containing by weight &lt; 2,5% nickel</v>
      </c>
      <c r="G594" s="694"/>
      <c r="H594" s="694"/>
      <c r="I594" s="694"/>
      <c r="J594" s="694"/>
      <c r="K594" s="694"/>
      <c r="L594" s="694"/>
      <c r="M594" s="697" t="str">
        <f>Translations!$B$611</f>
        <v>Iron or steel products</v>
      </c>
      <c r="N594" s="620"/>
      <c r="O594" s="428"/>
    </row>
    <row r="595" spans="1:15" ht="12.75" customHeight="1" x14ac:dyDescent="0.2">
      <c r="A595" s="92"/>
      <c r="B595" s="144"/>
      <c r="C595" s="144"/>
      <c r="D595" s="144"/>
      <c r="E595" s="693" t="s">
        <v>1499</v>
      </c>
      <c r="F595" s="693" t="str">
        <f>Translations!$B$999</f>
        <v>Flat-rolled products of stainless steel, of a width of &gt;= 600 mm, not further worked than hot-rolled, not in coils, of a thickness of &gt;= 3 mm and &lt; 4,75 mm</v>
      </c>
      <c r="G595" s="694"/>
      <c r="H595" s="694"/>
      <c r="I595" s="694"/>
      <c r="J595" s="694"/>
      <c r="K595" s="694"/>
      <c r="L595" s="694"/>
      <c r="M595" s="697" t="str">
        <f>Translations!$B$611</f>
        <v>Iron or steel products</v>
      </c>
      <c r="N595" s="620"/>
      <c r="O595" s="428"/>
    </row>
    <row r="596" spans="1:15" ht="12.75" customHeight="1" x14ac:dyDescent="0.2">
      <c r="A596" s="92"/>
      <c r="B596" s="144"/>
      <c r="C596" s="144"/>
      <c r="D596" s="144"/>
      <c r="E596" s="693" t="s">
        <v>1502</v>
      </c>
      <c r="F596" s="693" t="str">
        <f>Translations!$B$1000</f>
        <v>Flat-rolled products of stainless steel, of a width of &gt;= 600 mm, not further worked than hot-rolled, not in coils, of a thickness of &lt; 3 mm</v>
      </c>
      <c r="G596" s="694"/>
      <c r="H596" s="694"/>
      <c r="I596" s="694"/>
      <c r="J596" s="694"/>
      <c r="K596" s="694"/>
      <c r="L596" s="694"/>
      <c r="M596" s="697" t="str">
        <f>Translations!$B$611</f>
        <v>Iron or steel products</v>
      </c>
      <c r="N596" s="620"/>
      <c r="O596" s="428"/>
    </row>
    <row r="597" spans="1:15" ht="12.75" customHeight="1" x14ac:dyDescent="0.2">
      <c r="A597" s="92"/>
      <c r="B597" s="144"/>
      <c r="C597" s="144"/>
      <c r="D597" s="144"/>
      <c r="E597" s="693" t="s">
        <v>1505</v>
      </c>
      <c r="F597" s="693" t="str">
        <f>Translations!$B$1001</f>
        <v>Flat-rolled products of stainless steel, of a width of &gt;= 600 mm, not further worked than cold-rolled "cold-reduced", of a thickness of &gt;= 4,75 mm</v>
      </c>
      <c r="G597" s="694"/>
      <c r="H597" s="694"/>
      <c r="I597" s="694"/>
      <c r="J597" s="694"/>
      <c r="K597" s="694"/>
      <c r="L597" s="694"/>
      <c r="M597" s="697" t="str">
        <f>Translations!$B$611</f>
        <v>Iron or steel products</v>
      </c>
      <c r="N597" s="620"/>
      <c r="O597" s="428"/>
    </row>
    <row r="598" spans="1:15" ht="12.75" customHeight="1" x14ac:dyDescent="0.2">
      <c r="A598" s="92"/>
      <c r="B598" s="144"/>
      <c r="C598" s="144"/>
      <c r="D598" s="144"/>
      <c r="E598" s="693" t="s">
        <v>1507</v>
      </c>
      <c r="F598" s="693" t="str">
        <f>Translations!$B$1002</f>
        <v>Flat-rolled products of stainless steel, of a width of &gt;= 600 mm, not further worked than cold-rolled "cold-reduced", of a thickness of &gt;= 3 mm but &lt; 4,75 mm</v>
      </c>
      <c r="G598" s="694"/>
      <c r="H598" s="694"/>
      <c r="I598" s="694"/>
      <c r="J598" s="694"/>
      <c r="K598" s="694"/>
      <c r="L598" s="694"/>
      <c r="M598" s="697" t="str">
        <f>Translations!$B$611</f>
        <v>Iron or steel products</v>
      </c>
      <c r="N598" s="620"/>
      <c r="O598" s="428"/>
    </row>
    <row r="599" spans="1:15" ht="12.75" customHeight="1" x14ac:dyDescent="0.2">
      <c r="A599" s="92"/>
      <c r="B599" s="144"/>
      <c r="C599" s="144"/>
      <c r="D599" s="144"/>
      <c r="E599" s="693" t="s">
        <v>1510</v>
      </c>
      <c r="F599" s="693" t="str">
        <f>Translations!$B$1003</f>
        <v>Flat-rolled products of stainless steel, of a width of &gt;= 600 mm, not further worked than cold-rolled "cold-reduced", of a thickness of &gt;= 3 mm but &lt;= 4,75 mm, containing by weight &gt;= 2,5% nickel</v>
      </c>
      <c r="G599" s="694"/>
      <c r="H599" s="694"/>
      <c r="I599" s="694"/>
      <c r="J599" s="694"/>
      <c r="K599" s="694"/>
      <c r="L599" s="694"/>
      <c r="M599" s="697" t="str">
        <f>Translations!$B$611</f>
        <v>Iron or steel products</v>
      </c>
      <c r="N599" s="620"/>
      <c r="O599" s="428"/>
    </row>
    <row r="600" spans="1:15" ht="12.75" customHeight="1" x14ac:dyDescent="0.2">
      <c r="A600" s="92"/>
      <c r="B600" s="144"/>
      <c r="C600" s="144"/>
      <c r="D600" s="144"/>
      <c r="E600" s="693" t="s">
        <v>1513</v>
      </c>
      <c r="F600" s="693" t="str">
        <f>Translations!$B$1004</f>
        <v>Flat-rolled products of stainless steel, of a width of &gt;= 600 mm, not further worked than cold-rolled "cold-reduced", of a thickness of &gt;= 3 mm but &lt;= 4,75 mm, containing by weight &lt; 2,5% nickel</v>
      </c>
      <c r="G600" s="694"/>
      <c r="H600" s="694"/>
      <c r="I600" s="694"/>
      <c r="J600" s="694"/>
      <c r="K600" s="694"/>
      <c r="L600" s="694"/>
      <c r="M600" s="697" t="str">
        <f>Translations!$B$611</f>
        <v>Iron or steel products</v>
      </c>
      <c r="N600" s="620"/>
      <c r="O600" s="428"/>
    </row>
    <row r="601" spans="1:15" ht="12.75" customHeight="1" x14ac:dyDescent="0.2">
      <c r="A601" s="92"/>
      <c r="B601" s="144"/>
      <c r="C601" s="144"/>
      <c r="D601" s="144"/>
      <c r="E601" s="693" t="s">
        <v>1515</v>
      </c>
      <c r="F601" s="693" t="str">
        <f>Translations!$B$1005</f>
        <v>Flat-rolled products of stainless steel, of a width of &gt;= 600 mm, not further worked than cold-rolled "cold-reduced", of a thickness of &gt; 1 mm but &lt; 3 mm</v>
      </c>
      <c r="G601" s="694"/>
      <c r="H601" s="694"/>
      <c r="I601" s="694"/>
      <c r="J601" s="694"/>
      <c r="K601" s="694"/>
      <c r="L601" s="694"/>
      <c r="M601" s="697" t="str">
        <f>Translations!$B$611</f>
        <v>Iron or steel products</v>
      </c>
      <c r="N601" s="620"/>
      <c r="O601" s="428"/>
    </row>
    <row r="602" spans="1:15" ht="12.75" customHeight="1" x14ac:dyDescent="0.2">
      <c r="A602" s="92"/>
      <c r="B602" s="144"/>
      <c r="C602" s="144"/>
      <c r="D602" s="144"/>
      <c r="E602" s="693" t="s">
        <v>1518</v>
      </c>
      <c r="F602" s="693" t="str">
        <f>Translations!$B$1006</f>
        <v>Flat-rolled products of stainless steel, of a width of &gt;= 600 mm, not further worked than cold-rolled "cold-reduced", of a thickness of &gt; 1 mm but &lt; 3 mm, containing by weight &gt;= 2,5% nickel</v>
      </c>
      <c r="G602" s="694"/>
      <c r="H602" s="694"/>
      <c r="I602" s="694"/>
      <c r="J602" s="694"/>
      <c r="K602" s="694"/>
      <c r="L602" s="694"/>
      <c r="M602" s="697" t="str">
        <f>Translations!$B$611</f>
        <v>Iron or steel products</v>
      </c>
      <c r="N602" s="620"/>
      <c r="O602" s="428"/>
    </row>
    <row r="603" spans="1:15" ht="12.75" customHeight="1" x14ac:dyDescent="0.2">
      <c r="A603" s="92"/>
      <c r="B603" s="144"/>
      <c r="C603" s="144"/>
      <c r="D603" s="144"/>
      <c r="E603" s="693" t="s">
        <v>1521</v>
      </c>
      <c r="F603" s="693" t="str">
        <f>Translations!$B$1007</f>
        <v>Flat-rolled products of stainless steel, of a width of &gt;= 600 mm, not further worked than cold-rolled "cold-reduced", of a thickness of &gt; 1 mm but &lt; 3 mm, containing by weight &lt; 2,5% nickel</v>
      </c>
      <c r="G603" s="694"/>
      <c r="H603" s="694"/>
      <c r="I603" s="694"/>
      <c r="J603" s="694"/>
      <c r="K603" s="694"/>
      <c r="L603" s="694"/>
      <c r="M603" s="697" t="str">
        <f>Translations!$B$611</f>
        <v>Iron or steel products</v>
      </c>
      <c r="N603" s="620"/>
      <c r="O603" s="428"/>
    </row>
    <row r="604" spans="1:15" ht="12.75" customHeight="1" x14ac:dyDescent="0.2">
      <c r="A604" s="92"/>
      <c r="B604" s="144"/>
      <c r="C604" s="144"/>
      <c r="D604" s="144"/>
      <c r="E604" s="693" t="s">
        <v>1523</v>
      </c>
      <c r="F604" s="693" t="str">
        <f>Translations!$B$1008</f>
        <v>Flat-rolled products of stainless steel, of a width of &gt;= 600 mm, not further worked than cold-rolled "cold-reduced", of a thickness of &gt;= 0,5 mm but &lt;= 1 mm</v>
      </c>
      <c r="G604" s="694"/>
      <c r="H604" s="694"/>
      <c r="I604" s="694"/>
      <c r="J604" s="694"/>
      <c r="K604" s="694"/>
      <c r="L604" s="694"/>
      <c r="M604" s="697" t="str">
        <f>Translations!$B$611</f>
        <v>Iron or steel products</v>
      </c>
      <c r="N604" s="620"/>
      <c r="O604" s="428"/>
    </row>
    <row r="605" spans="1:15" ht="12.75" customHeight="1" x14ac:dyDescent="0.2">
      <c r="A605" s="92"/>
      <c r="B605" s="144"/>
      <c r="C605" s="144"/>
      <c r="D605" s="144"/>
      <c r="E605" s="693" t="s">
        <v>1526</v>
      </c>
      <c r="F605" s="693" t="str">
        <f>Translations!$B$1009</f>
        <v>Flat-rolled products of stainless steel, of a width of &gt;= 600 mm, not further worked than cold-rolled "cold-reduced", of a thickness of &gt;= 0,5 mm but &lt;= 1 mm, containing by weight &gt;= 2,5% nickel</v>
      </c>
      <c r="G605" s="694"/>
      <c r="H605" s="694"/>
      <c r="I605" s="694"/>
      <c r="J605" s="694"/>
      <c r="K605" s="694"/>
      <c r="L605" s="694"/>
      <c r="M605" s="697" t="str">
        <f>Translations!$B$611</f>
        <v>Iron or steel products</v>
      </c>
      <c r="N605" s="620"/>
      <c r="O605" s="428"/>
    </row>
    <row r="606" spans="1:15" ht="12.75" customHeight="1" x14ac:dyDescent="0.2">
      <c r="A606" s="92"/>
      <c r="B606" s="144"/>
      <c r="C606" s="144"/>
      <c r="D606" s="144"/>
      <c r="E606" s="693" t="s">
        <v>1529</v>
      </c>
      <c r="F606" s="693" t="str">
        <f>Translations!$B$1010</f>
        <v>Flat-rolled products of stainless steel, of a width of &gt;= 600 mm, not further worked than cold-rolled "cold-reduced", of a thickness of &gt;= 0,5 mm but &lt;= 1 mm, containing by weight &lt; 2,5% nickel</v>
      </c>
      <c r="G606" s="694"/>
      <c r="H606" s="694"/>
      <c r="I606" s="694"/>
      <c r="J606" s="694"/>
      <c r="K606" s="694"/>
      <c r="L606" s="694"/>
      <c r="M606" s="697" t="str">
        <f>Translations!$B$611</f>
        <v>Iron or steel products</v>
      </c>
      <c r="N606" s="620"/>
      <c r="O606" s="428"/>
    </row>
    <row r="607" spans="1:15" ht="12.75" customHeight="1" x14ac:dyDescent="0.2">
      <c r="A607" s="92"/>
      <c r="B607" s="144"/>
      <c r="C607" s="144"/>
      <c r="D607" s="144"/>
      <c r="E607" s="693" t="s">
        <v>1531</v>
      </c>
      <c r="F607" s="693" t="str">
        <f>Translations!$B$1011</f>
        <v>Flat-rolled products of stainless steel, of a width of &gt;= 600 mm, not further worked than cold-rolled "cold-reduced", of a thickness of &lt; 0,5 mm</v>
      </c>
      <c r="G607" s="694"/>
      <c r="H607" s="694"/>
      <c r="I607" s="694"/>
      <c r="J607" s="694"/>
      <c r="K607" s="694"/>
      <c r="L607" s="694"/>
      <c r="M607" s="697" t="str">
        <f>Translations!$B$611</f>
        <v>Iron or steel products</v>
      </c>
      <c r="N607" s="620"/>
      <c r="O607" s="428"/>
    </row>
    <row r="608" spans="1:15" ht="12.75" customHeight="1" x14ac:dyDescent="0.2">
      <c r="A608" s="92"/>
      <c r="B608" s="144"/>
      <c r="C608" s="144"/>
      <c r="D608" s="144"/>
      <c r="E608" s="693" t="s">
        <v>1534</v>
      </c>
      <c r="F608" s="693" t="str">
        <f>Translations!$B$1012</f>
        <v>Flat-rolled products of stainless steel, of a width of &gt;= 600 mm, not further worked than cold-rolled "cold-reduced", of a thickness of &lt; 0,5 mm, containing by weight &gt;= 2,5% nickel</v>
      </c>
      <c r="G608" s="694"/>
      <c r="H608" s="694"/>
      <c r="I608" s="694"/>
      <c r="J608" s="694"/>
      <c r="K608" s="694"/>
      <c r="L608" s="694"/>
      <c r="M608" s="697" t="str">
        <f>Translations!$B$611</f>
        <v>Iron or steel products</v>
      </c>
      <c r="N608" s="620"/>
      <c r="O608" s="428"/>
    </row>
    <row r="609" spans="1:15" ht="12.75" customHeight="1" x14ac:dyDescent="0.2">
      <c r="A609" s="92"/>
      <c r="B609" s="144"/>
      <c r="C609" s="144"/>
      <c r="D609" s="144"/>
      <c r="E609" s="693" t="s">
        <v>1537</v>
      </c>
      <c r="F609" s="693" t="str">
        <f>Translations!$B$1013</f>
        <v>Flat-rolled products of stainless steel, of a width of &gt;= 600 mm, not further worked than cold-rolled "cold-reduced", of a thickness of &lt; 0,5 mm, containing by weight &lt; 2,5% nickel</v>
      </c>
      <c r="G609" s="694"/>
      <c r="H609" s="694"/>
      <c r="I609" s="694"/>
      <c r="J609" s="694"/>
      <c r="K609" s="694"/>
      <c r="L609" s="694"/>
      <c r="M609" s="697" t="str">
        <f>Translations!$B$611</f>
        <v>Iron or steel products</v>
      </c>
      <c r="N609" s="620"/>
      <c r="O609" s="428"/>
    </row>
    <row r="610" spans="1:15" ht="12.75" customHeight="1" x14ac:dyDescent="0.2">
      <c r="A610" s="92"/>
      <c r="B610" s="144"/>
      <c r="C610" s="144"/>
      <c r="D610" s="144"/>
      <c r="E610" s="693" t="s">
        <v>1539</v>
      </c>
      <c r="F610" s="693" t="str">
        <f>Translations!$B$1014</f>
        <v>Flat-rolled products of stainless steel, of a width of &gt;= 600 mm, hot-rolled or cold-rolled "cold-reduced" and further worked</v>
      </c>
      <c r="G610" s="694"/>
      <c r="H610" s="694"/>
      <c r="I610" s="694"/>
      <c r="J610" s="694"/>
      <c r="K610" s="694"/>
      <c r="L610" s="694"/>
      <c r="M610" s="697" t="str">
        <f>Translations!$B$611</f>
        <v>Iron or steel products</v>
      </c>
      <c r="N610" s="620"/>
      <c r="O610" s="428"/>
    </row>
    <row r="611" spans="1:15" ht="12.75" customHeight="1" x14ac:dyDescent="0.2">
      <c r="A611" s="92"/>
      <c r="B611" s="144"/>
      <c r="C611" s="144"/>
      <c r="D611" s="144"/>
      <c r="E611" s="693" t="s">
        <v>1542</v>
      </c>
      <c r="F611" s="693" t="str">
        <f>Translations!$B$1015</f>
        <v>Flat-rolled products of stainless steel, of a width of &gt;= 600 mm, hot-rolled or cold-rolled "cold-reduced" and further worked, perforated</v>
      </c>
      <c r="G611" s="694"/>
      <c r="H611" s="694"/>
      <c r="I611" s="694"/>
      <c r="J611" s="694"/>
      <c r="K611" s="694"/>
      <c r="L611" s="694"/>
      <c r="M611" s="697" t="str">
        <f>Translations!$B$611</f>
        <v>Iron or steel products</v>
      </c>
      <c r="N611" s="620"/>
      <c r="O611" s="428"/>
    </row>
    <row r="612" spans="1:15" ht="12.75" customHeight="1" x14ac:dyDescent="0.2">
      <c r="A612" s="92"/>
      <c r="B612" s="144"/>
      <c r="C612" s="144"/>
      <c r="D612" s="144"/>
      <c r="E612" s="693" t="s">
        <v>1545</v>
      </c>
      <c r="F612" s="693" t="str">
        <f>Translations!$B$1016</f>
        <v>Flat-rolled products of stainless steel, of a width of &gt;= 600 mm, hot-rolled or cold-rolled "cold-reduced" and further worked, non-perforated</v>
      </c>
      <c r="G612" s="694"/>
      <c r="H612" s="694"/>
      <c r="I612" s="694"/>
      <c r="J612" s="694"/>
      <c r="K612" s="694"/>
      <c r="L612" s="694"/>
      <c r="M612" s="697" t="str">
        <f>Translations!$B$611</f>
        <v>Iron or steel products</v>
      </c>
      <c r="N612" s="620"/>
      <c r="O612" s="428"/>
    </row>
    <row r="613" spans="1:15" ht="12.75" customHeight="1" x14ac:dyDescent="0.2">
      <c r="A613" s="92"/>
      <c r="B613" s="144"/>
      <c r="C613" s="144"/>
      <c r="D613" s="144"/>
      <c r="E613" s="693" t="s">
        <v>337</v>
      </c>
      <c r="F613" s="693" t="str">
        <f>Translations!$B$1017</f>
        <v>Flat-rolled products of stainless steel, of a width of &lt; 600 mm, hot-rolled or cold-rolled "cold-reduced"</v>
      </c>
      <c r="G613" s="694"/>
      <c r="H613" s="694"/>
      <c r="I613" s="694"/>
      <c r="J613" s="694"/>
      <c r="K613" s="694"/>
      <c r="L613" s="694"/>
      <c r="M613" s="697" t="str">
        <f>Translations!$B$611</f>
        <v>Iron or steel products</v>
      </c>
      <c r="N613" s="620"/>
      <c r="O613" s="428"/>
    </row>
    <row r="614" spans="1:15" ht="12.75" customHeight="1" x14ac:dyDescent="0.2">
      <c r="A614" s="92"/>
      <c r="B614" s="144"/>
      <c r="C614" s="144"/>
      <c r="D614" s="144"/>
      <c r="E614" s="693" t="s">
        <v>1549</v>
      </c>
      <c r="F614" s="693" t="str">
        <f>Translations!$B$1018</f>
        <v>Flat-rolled products of stainless steel, of a width of &lt; 600 mm, not further worked than hot-rolled, of a thickness of &gt;= 4,75 mm</v>
      </c>
      <c r="G614" s="694"/>
      <c r="H614" s="694"/>
      <c r="I614" s="694"/>
      <c r="J614" s="694"/>
      <c r="K614" s="694"/>
      <c r="L614" s="694"/>
      <c r="M614" s="697" t="str">
        <f>Translations!$B$611</f>
        <v>Iron or steel products</v>
      </c>
      <c r="N614" s="620"/>
      <c r="O614" s="428"/>
    </row>
    <row r="615" spans="1:15" ht="12.75" customHeight="1" x14ac:dyDescent="0.2">
      <c r="A615" s="92"/>
      <c r="B615" s="144"/>
      <c r="C615" s="144"/>
      <c r="D615" s="144"/>
      <c r="E615" s="693" t="s">
        <v>1552</v>
      </c>
      <c r="F615" s="693" t="str">
        <f>Translations!$B$1019</f>
        <v>Flat-rolled products of stainless steel, of a width of &lt; 600 mm, not further worked than hot-rolled, of a thickness of &lt; 4,75 mm</v>
      </c>
      <c r="G615" s="694"/>
      <c r="H615" s="694"/>
      <c r="I615" s="694"/>
      <c r="J615" s="694"/>
      <c r="K615" s="694"/>
      <c r="L615" s="694"/>
      <c r="M615" s="697" t="str">
        <f>Translations!$B$611</f>
        <v>Iron or steel products</v>
      </c>
      <c r="N615" s="620"/>
      <c r="O615" s="428"/>
    </row>
    <row r="616" spans="1:15" ht="12.75" customHeight="1" x14ac:dyDescent="0.2">
      <c r="A616" s="92"/>
      <c r="B616" s="144"/>
      <c r="C616" s="144"/>
      <c r="D616" s="144"/>
      <c r="E616" s="693" t="s">
        <v>1554</v>
      </c>
      <c r="F616" s="693" t="str">
        <f>Translations!$B$1020</f>
        <v>Flat-rolled products of stainless steel, of a width of &lt; 600 mm, not further worked than cold-rolled "cold-reduced"</v>
      </c>
      <c r="G616" s="694"/>
      <c r="H616" s="694"/>
      <c r="I616" s="694"/>
      <c r="J616" s="694"/>
      <c r="K616" s="694"/>
      <c r="L616" s="694"/>
      <c r="M616" s="697" t="str">
        <f>Translations!$B$611</f>
        <v>Iron or steel products</v>
      </c>
      <c r="N616" s="620"/>
      <c r="O616" s="428"/>
    </row>
    <row r="617" spans="1:15" ht="12.75" customHeight="1" x14ac:dyDescent="0.2">
      <c r="A617" s="92"/>
      <c r="B617" s="144"/>
      <c r="C617" s="144"/>
      <c r="D617" s="144"/>
      <c r="E617" s="693" t="s">
        <v>1557</v>
      </c>
      <c r="F617" s="693" t="str">
        <f>Translations!$B$1021</f>
        <v>Flat-rolled products of stainless steel, of a width of &lt; 600 mm, not further worked than cold-rolled "cold-reduced", of a thickness of &gt;= 3 mm and containing by weight &gt;= 2,5% nickel</v>
      </c>
      <c r="G617" s="694"/>
      <c r="H617" s="694"/>
      <c r="I617" s="694"/>
      <c r="J617" s="694"/>
      <c r="K617" s="694"/>
      <c r="L617" s="694"/>
      <c r="M617" s="697" t="str">
        <f>Translations!$B$611</f>
        <v>Iron or steel products</v>
      </c>
      <c r="N617" s="620"/>
      <c r="O617" s="428"/>
    </row>
    <row r="618" spans="1:15" ht="12.75" customHeight="1" x14ac:dyDescent="0.2">
      <c r="A618" s="92"/>
      <c r="B618" s="144"/>
      <c r="C618" s="144"/>
      <c r="D618" s="144"/>
      <c r="E618" s="693" t="s">
        <v>1560</v>
      </c>
      <c r="F618" s="693" t="str">
        <f>Translations!$B$1022</f>
        <v>Flat-rolled products of stainless steel, of a width of &lt; 600 mm, not further worked than cold-rolled "cold-reduced", of a thickness of &gt;= 3 mm and containing by weight &lt; 2,5% nickel</v>
      </c>
      <c r="G618" s="694"/>
      <c r="H618" s="694"/>
      <c r="I618" s="694"/>
      <c r="J618" s="694"/>
      <c r="K618" s="694"/>
      <c r="L618" s="694"/>
      <c r="M618" s="697" t="str">
        <f>Translations!$B$611</f>
        <v>Iron or steel products</v>
      </c>
      <c r="N618" s="620"/>
      <c r="O618" s="428"/>
    </row>
    <row r="619" spans="1:15" ht="12.75" customHeight="1" x14ac:dyDescent="0.2">
      <c r="A619" s="92"/>
      <c r="B619" s="144"/>
      <c r="C619" s="144"/>
      <c r="D619" s="144"/>
      <c r="E619" s="693" t="s">
        <v>1563</v>
      </c>
      <c r="F619" s="693" t="str">
        <f>Translations!$B$1023</f>
        <v>Flat-rolled products of stainless steel, of a width of &lt; 600 mm, not further worked than cold-rolled "cold-reduced", of a thickness of &gt; 0,35 mm but &lt; 3 mm, and containing by weight &gt;= 2,5% nickel</v>
      </c>
      <c r="G619" s="694"/>
      <c r="H619" s="694"/>
      <c r="I619" s="694"/>
      <c r="J619" s="694"/>
      <c r="K619" s="694"/>
      <c r="L619" s="694"/>
      <c r="M619" s="697" t="str">
        <f>Translations!$B$611</f>
        <v>Iron or steel products</v>
      </c>
      <c r="N619" s="620"/>
      <c r="O619" s="428"/>
    </row>
    <row r="620" spans="1:15" ht="12.75" customHeight="1" x14ac:dyDescent="0.2">
      <c r="A620" s="92"/>
      <c r="B620" s="144"/>
      <c r="C620" s="144"/>
      <c r="D620" s="144"/>
      <c r="E620" s="693" t="s">
        <v>1566</v>
      </c>
      <c r="F620" s="693" t="str">
        <f>Translations!$B$1024</f>
        <v>Flat-rolled products of stainless steel, of a width of &lt; 600 mm, not further worked than cold-rolled "cold-reduced", of a thickness of &gt; 0,35 mm but &lt; 3 mm, and containing by weight &lt; 2,5% nickel</v>
      </c>
      <c r="G620" s="694"/>
      <c r="H620" s="694"/>
      <c r="I620" s="694"/>
      <c r="J620" s="694"/>
      <c r="K620" s="694"/>
      <c r="L620" s="694"/>
      <c r="M620" s="697" t="str">
        <f>Translations!$B$611</f>
        <v>Iron or steel products</v>
      </c>
      <c r="N620" s="620"/>
      <c r="O620" s="428"/>
    </row>
    <row r="621" spans="1:15" ht="12.75" customHeight="1" x14ac:dyDescent="0.2">
      <c r="A621" s="92"/>
      <c r="B621" s="144"/>
      <c r="C621" s="144"/>
      <c r="D621" s="144"/>
      <c r="E621" s="693" t="s">
        <v>1569</v>
      </c>
      <c r="F621" s="693" t="str">
        <f>Translations!$B$1025</f>
        <v>Flat-rolled products of stainless steel, of a width of &lt; 600 mm, not further worked than cold-rolled "cold-reduced", of a thickness of &lt;= 0,35 mm and containing by weight &gt;= 2,5% nickel</v>
      </c>
      <c r="G621" s="694"/>
      <c r="H621" s="694"/>
      <c r="I621" s="694"/>
      <c r="J621" s="694"/>
      <c r="K621" s="694"/>
      <c r="L621" s="694"/>
      <c r="M621" s="697" t="str">
        <f>Translations!$B$611</f>
        <v>Iron or steel products</v>
      </c>
      <c r="N621" s="620"/>
      <c r="O621" s="428"/>
    </row>
    <row r="622" spans="1:15" ht="12.75" customHeight="1" x14ac:dyDescent="0.2">
      <c r="A622" s="92"/>
      <c r="B622" s="144"/>
      <c r="C622" s="144"/>
      <c r="D622" s="144"/>
      <c r="E622" s="693" t="s">
        <v>1572</v>
      </c>
      <c r="F622" s="693" t="str">
        <f>Translations!$B$1026</f>
        <v>Flat-rolled products of stainless steel, of a width of &lt; 600 mm, not further worked than cold-rolled "cold-reduced", of a thickness of &lt;= 0,35 mm and containing by weight &lt; 2,5% nickel</v>
      </c>
      <c r="G622" s="694"/>
      <c r="H622" s="694"/>
      <c r="I622" s="694"/>
      <c r="J622" s="694"/>
      <c r="K622" s="694"/>
      <c r="L622" s="694"/>
      <c r="M622" s="697" t="str">
        <f>Translations!$B$611</f>
        <v>Iron or steel products</v>
      </c>
      <c r="N622" s="620"/>
      <c r="O622" s="428"/>
    </row>
    <row r="623" spans="1:15" ht="12.75" customHeight="1" x14ac:dyDescent="0.2">
      <c r="A623" s="92"/>
      <c r="B623" s="144"/>
      <c r="C623" s="144"/>
      <c r="D623" s="144"/>
      <c r="E623" s="693" t="s">
        <v>1574</v>
      </c>
      <c r="F623" s="693" t="str">
        <f>Translations!$B$1027</f>
        <v>Flat-rolled products of stainless steel, of a width of &lt; 600 mm, hot-rolled or cold-rolled "cold-reduced" and further worked</v>
      </c>
      <c r="G623" s="694"/>
      <c r="H623" s="694"/>
      <c r="I623" s="694"/>
      <c r="J623" s="694"/>
      <c r="K623" s="694"/>
      <c r="L623" s="694"/>
      <c r="M623" s="697" t="str">
        <f>Translations!$B$611</f>
        <v>Iron or steel products</v>
      </c>
      <c r="N623" s="620"/>
      <c r="O623" s="428"/>
    </row>
    <row r="624" spans="1:15" ht="12.75" customHeight="1" x14ac:dyDescent="0.2">
      <c r="A624" s="92"/>
      <c r="B624" s="144"/>
      <c r="C624" s="144"/>
      <c r="D624" s="144"/>
      <c r="E624" s="693" t="s">
        <v>1577</v>
      </c>
      <c r="F624" s="693" t="str">
        <f>Translations!$B$1028</f>
        <v>Flat-rolled products of stainless steel, of a width of &lt; 600 mm, hot-rolled or cold-rolled "cold-reduced" and further worked, perforated</v>
      </c>
      <c r="G624" s="694"/>
      <c r="H624" s="694"/>
      <c r="I624" s="694"/>
      <c r="J624" s="694"/>
      <c r="K624" s="694"/>
      <c r="L624" s="694"/>
      <c r="M624" s="697" t="str">
        <f>Translations!$B$611</f>
        <v>Iron or steel products</v>
      </c>
      <c r="N624" s="620"/>
      <c r="O624" s="428"/>
    </row>
    <row r="625" spans="1:15" ht="12.75" customHeight="1" x14ac:dyDescent="0.2">
      <c r="A625" s="92"/>
      <c r="B625" s="144"/>
      <c r="C625" s="144"/>
      <c r="D625" s="144"/>
      <c r="E625" s="693" t="s">
        <v>1580</v>
      </c>
      <c r="F625" s="693" t="str">
        <f>Translations!$B$1029</f>
        <v>Flat-rolled products of stainless steel, of a width of &lt; 600 mm, hot-rolled or cold-rolled "cold-reduced" and further worked, non-perforated</v>
      </c>
      <c r="G625" s="694"/>
      <c r="H625" s="694"/>
      <c r="I625" s="694"/>
      <c r="J625" s="694"/>
      <c r="K625" s="694"/>
      <c r="L625" s="694"/>
      <c r="M625" s="697" t="str">
        <f>Translations!$B$611</f>
        <v>Iron or steel products</v>
      </c>
      <c r="N625" s="620"/>
      <c r="O625" s="428"/>
    </row>
    <row r="626" spans="1:15" ht="12.75" customHeight="1" x14ac:dyDescent="0.2">
      <c r="A626" s="92"/>
      <c r="B626" s="144"/>
      <c r="C626" s="144"/>
      <c r="D626" s="144"/>
      <c r="E626" s="693" t="s">
        <v>1582</v>
      </c>
      <c r="F626" s="693" t="str">
        <f>Translations!$B$1030</f>
        <v>Bars and rods of stainless steel, hot-rolled, in irregularly wound coils</v>
      </c>
      <c r="G626" s="694"/>
      <c r="H626" s="694"/>
      <c r="I626" s="694"/>
      <c r="J626" s="694"/>
      <c r="K626" s="694"/>
      <c r="L626" s="694"/>
      <c r="M626" s="697" t="str">
        <f>Translations!$B$611</f>
        <v>Iron or steel products</v>
      </c>
      <c r="N626" s="620"/>
      <c r="O626" s="428"/>
    </row>
    <row r="627" spans="1:15" ht="12.75" customHeight="1" x14ac:dyDescent="0.2">
      <c r="A627" s="92"/>
      <c r="B627" s="144"/>
      <c r="C627" s="144"/>
      <c r="D627" s="144"/>
      <c r="E627" s="693" t="s">
        <v>1585</v>
      </c>
      <c r="F627" s="693" t="str">
        <f>Translations!$B$1031</f>
        <v>Bars and rods of stainless steel, hot-rolled, in irregularly wound coils, containing by weight &gt;= 2,5% nickel</v>
      </c>
      <c r="G627" s="694"/>
      <c r="H627" s="694"/>
      <c r="I627" s="694"/>
      <c r="J627" s="694"/>
      <c r="K627" s="694"/>
      <c r="L627" s="694"/>
      <c r="M627" s="697" t="str">
        <f>Translations!$B$611</f>
        <v>Iron or steel products</v>
      </c>
      <c r="N627" s="620"/>
      <c r="O627" s="428"/>
    </row>
    <row r="628" spans="1:15" ht="12.75" customHeight="1" x14ac:dyDescent="0.2">
      <c r="A628" s="92"/>
      <c r="B628" s="144"/>
      <c r="C628" s="144"/>
      <c r="D628" s="144"/>
      <c r="E628" s="693" t="s">
        <v>1588</v>
      </c>
      <c r="F628" s="693" t="str">
        <f>Translations!$B$1032</f>
        <v>Bars and rods of stainless steel, hot-rolled, in irregularly wound coils, containing by weight &lt; 2,5% nickel</v>
      </c>
      <c r="G628" s="694"/>
      <c r="H628" s="694"/>
      <c r="I628" s="694"/>
      <c r="J628" s="694"/>
      <c r="K628" s="694"/>
      <c r="L628" s="694"/>
      <c r="M628" s="697" t="str">
        <f>Translations!$B$611</f>
        <v>Iron or steel products</v>
      </c>
      <c r="N628" s="620"/>
      <c r="O628" s="428"/>
    </row>
    <row r="629" spans="1:15" ht="12.75" customHeight="1" x14ac:dyDescent="0.2">
      <c r="A629" s="92"/>
      <c r="B629" s="144"/>
      <c r="C629" s="144"/>
      <c r="D629" s="144"/>
      <c r="E629" s="693" t="s">
        <v>1590</v>
      </c>
      <c r="F629" s="693" t="str">
        <f>Translations!$B$1033</f>
        <v>Other bars and rods of stainless steel; angles, shapes and sections of stainless steel, n.e.s.</v>
      </c>
      <c r="G629" s="694"/>
      <c r="H629" s="694"/>
      <c r="I629" s="694"/>
      <c r="J629" s="694"/>
      <c r="K629" s="694"/>
      <c r="L629" s="694"/>
      <c r="M629" s="697" t="str">
        <f>Translations!$B$611</f>
        <v>Iron or steel products</v>
      </c>
      <c r="N629" s="620"/>
      <c r="O629" s="428"/>
    </row>
    <row r="630" spans="1:15" ht="12.75" customHeight="1" x14ac:dyDescent="0.2">
      <c r="A630" s="92"/>
      <c r="B630" s="144"/>
      <c r="C630" s="144"/>
      <c r="D630" s="144"/>
      <c r="E630" s="693" t="s">
        <v>1592</v>
      </c>
      <c r="F630" s="693" t="str">
        <f>Translations!$B$1034</f>
        <v>Bars and rods of stainless steel, only hot-rolled, only hot-drawn or only hot-extruded, of circular cross-section</v>
      </c>
      <c r="G630" s="694"/>
      <c r="H630" s="694"/>
      <c r="I630" s="694"/>
      <c r="J630" s="694"/>
      <c r="K630" s="694"/>
      <c r="L630" s="694"/>
      <c r="M630" s="697" t="str">
        <f>Translations!$B$611</f>
        <v>Iron or steel products</v>
      </c>
      <c r="N630" s="620"/>
      <c r="O630" s="428"/>
    </row>
    <row r="631" spans="1:15" ht="12.75" customHeight="1" x14ac:dyDescent="0.2">
      <c r="A631" s="92"/>
      <c r="B631" s="144"/>
      <c r="C631" s="144"/>
      <c r="D631" s="144"/>
      <c r="E631" s="693" t="s">
        <v>1595</v>
      </c>
      <c r="F631" s="693" t="str">
        <f>Translations!$B$1035</f>
        <v>Bars and rods of stainless steel, not further worked than hot-rolled, hot-drawn or extruded, of circular cross-section of a diameter of &gt;= 800 mm, containing by weight &gt;= 2,5% nickel</v>
      </c>
      <c r="G631" s="694"/>
      <c r="H631" s="694"/>
      <c r="I631" s="694"/>
      <c r="J631" s="694"/>
      <c r="K631" s="694"/>
      <c r="L631" s="694"/>
      <c r="M631" s="697" t="str">
        <f>Translations!$B$611</f>
        <v>Iron or steel products</v>
      </c>
      <c r="N631" s="620"/>
      <c r="O631" s="428"/>
    </row>
    <row r="632" spans="1:15" ht="12.75" customHeight="1" x14ac:dyDescent="0.2">
      <c r="A632" s="92"/>
      <c r="B632" s="144"/>
      <c r="C632" s="144"/>
      <c r="D632" s="144"/>
      <c r="E632" s="693" t="s">
        <v>1598</v>
      </c>
      <c r="F632" s="693" t="str">
        <f>Translations!$B$1036</f>
        <v>Bars and rods of stainless steel, not further worked than hot-rolled, hot-drawn or extruded, of circular cross-section of a diameter of &gt;= 800 mm, containing by weight &lt; 2,5% nickel</v>
      </c>
      <c r="G632" s="694"/>
      <c r="H632" s="694"/>
      <c r="I632" s="694"/>
      <c r="J632" s="694"/>
      <c r="K632" s="694"/>
      <c r="L632" s="694"/>
      <c r="M632" s="697" t="str">
        <f>Translations!$B$611</f>
        <v>Iron or steel products</v>
      </c>
      <c r="N632" s="620"/>
      <c r="O632" s="428"/>
    </row>
    <row r="633" spans="1:15" ht="12.75" customHeight="1" x14ac:dyDescent="0.2">
      <c r="A633" s="92"/>
      <c r="B633" s="144"/>
      <c r="C633" s="144"/>
      <c r="D633" s="144"/>
      <c r="E633" s="693" t="s">
        <v>1601</v>
      </c>
      <c r="F633" s="693" t="str">
        <f>Translations!$B$1037</f>
        <v>Bars and rods of stainless steel, not further worked than hot-rolled, hot-drawn or extruded, of circular cross-section measuring &lt; 80 mm and containing by weight &gt;= 2,5% nickel</v>
      </c>
      <c r="G633" s="694"/>
      <c r="H633" s="694"/>
      <c r="I633" s="694"/>
      <c r="J633" s="694"/>
      <c r="K633" s="694"/>
      <c r="L633" s="694"/>
      <c r="M633" s="697" t="str">
        <f>Translations!$B$611</f>
        <v>Iron or steel products</v>
      </c>
      <c r="N633" s="620"/>
      <c r="O633" s="428"/>
    </row>
    <row r="634" spans="1:15" ht="12.75" customHeight="1" x14ac:dyDescent="0.2">
      <c r="A634" s="92"/>
      <c r="B634" s="144"/>
      <c r="C634" s="144"/>
      <c r="D634" s="144"/>
      <c r="E634" s="693" t="s">
        <v>1604</v>
      </c>
      <c r="F634" s="693" t="str">
        <f>Translations!$B$1038</f>
        <v>Bars and rods of stainless steel, not further worked than hot-rolled, hot-drawn or extruded, of circular cross-section measuring &lt; 80 mm and containing by weight &lt; 2,5% nickel</v>
      </c>
      <c r="G634" s="694"/>
      <c r="H634" s="694"/>
      <c r="I634" s="694"/>
      <c r="J634" s="694"/>
      <c r="K634" s="694"/>
      <c r="L634" s="694"/>
      <c r="M634" s="697" t="str">
        <f>Translations!$B$611</f>
        <v>Iron or steel products</v>
      </c>
      <c r="N634" s="620"/>
      <c r="O634" s="428"/>
    </row>
    <row r="635" spans="1:15" ht="12.75" customHeight="1" x14ac:dyDescent="0.2">
      <c r="A635" s="92"/>
      <c r="B635" s="144"/>
      <c r="C635" s="144"/>
      <c r="D635" s="144"/>
      <c r="E635" s="693" t="s">
        <v>1606</v>
      </c>
      <c r="F635" s="693" t="str">
        <f>Translations!$B$1039</f>
        <v>Bars and rods of stainless steel, only hot-rolled, only hot-drawn or only extruded (excl. of circular cross-section)</v>
      </c>
      <c r="G635" s="694"/>
      <c r="H635" s="694"/>
      <c r="I635" s="694"/>
      <c r="J635" s="694"/>
      <c r="K635" s="694"/>
      <c r="L635" s="694"/>
      <c r="M635" s="697" t="str">
        <f>Translations!$B$611</f>
        <v>Iron or steel products</v>
      </c>
      <c r="N635" s="620"/>
      <c r="O635" s="428"/>
    </row>
    <row r="636" spans="1:15" ht="12.75" customHeight="1" x14ac:dyDescent="0.2">
      <c r="A636" s="92"/>
      <c r="B636" s="144"/>
      <c r="C636" s="144"/>
      <c r="D636" s="144"/>
      <c r="E636" s="693" t="s">
        <v>1609</v>
      </c>
      <c r="F636" s="693" t="str">
        <f>Translations!$B$1040</f>
        <v>Bars and rods of stainless steel, not further worked than hot-rolled, hot-drawn or extruded, containing by weight &gt;= 2,5% nickel (excl. such products of circular cross-section)</v>
      </c>
      <c r="G636" s="694"/>
      <c r="H636" s="694"/>
      <c r="I636" s="694"/>
      <c r="J636" s="694"/>
      <c r="K636" s="694"/>
      <c r="L636" s="694"/>
      <c r="M636" s="697" t="str">
        <f>Translations!$B$611</f>
        <v>Iron or steel products</v>
      </c>
      <c r="N636" s="620"/>
      <c r="O636" s="428"/>
    </row>
    <row r="637" spans="1:15" ht="12.75" customHeight="1" x14ac:dyDescent="0.2">
      <c r="A637" s="92"/>
      <c r="B637" s="144"/>
      <c r="C637" s="144"/>
      <c r="D637" s="144"/>
      <c r="E637" s="693" t="s">
        <v>1612</v>
      </c>
      <c r="F637" s="693" t="str">
        <f>Translations!$B$1041</f>
        <v>Bars and rods of stainless steel, not further worked than hot-rolled, hot-drawn or extruded, containing by weight &lt; 2,5% nickel (excl. such products of circular cross-section)</v>
      </c>
      <c r="G637" s="694"/>
      <c r="H637" s="694"/>
      <c r="I637" s="694"/>
      <c r="J637" s="694"/>
      <c r="K637" s="694"/>
      <c r="L637" s="694"/>
      <c r="M637" s="697" t="str">
        <f>Translations!$B$611</f>
        <v>Iron or steel products</v>
      </c>
      <c r="N637" s="620"/>
      <c r="O637" s="428"/>
    </row>
    <row r="638" spans="1:15" ht="12.75" customHeight="1" x14ac:dyDescent="0.2">
      <c r="A638" s="92"/>
      <c r="B638" s="144"/>
      <c r="C638" s="144"/>
      <c r="D638" s="144"/>
      <c r="E638" s="693" t="s">
        <v>1614</v>
      </c>
      <c r="F638" s="693" t="str">
        <f>Translations!$B$1042</f>
        <v>Other bars and rods of stainless steel, not further worked than cold-formed or cold-finished</v>
      </c>
      <c r="G638" s="694"/>
      <c r="H638" s="694"/>
      <c r="I638" s="694"/>
      <c r="J638" s="694"/>
      <c r="K638" s="694"/>
      <c r="L638" s="694"/>
      <c r="M638" s="697" t="str">
        <f>Translations!$B$611</f>
        <v>Iron or steel products</v>
      </c>
      <c r="N638" s="620"/>
      <c r="O638" s="428"/>
    </row>
    <row r="639" spans="1:15" ht="12.75" customHeight="1" x14ac:dyDescent="0.2">
      <c r="A639" s="92"/>
      <c r="B639" s="144"/>
      <c r="C639" s="144"/>
      <c r="D639" s="144"/>
      <c r="E639" s="693" t="s">
        <v>1617</v>
      </c>
      <c r="F639" s="693" t="str">
        <f>Translations!$B$1043</f>
        <v>Bars and rods of stainless steel, of circular cross-section of a diameter &gt;= 80 mm, simply cold-formed or cold-finished, containing by weight &gt;= 2,5% nickel</v>
      </c>
      <c r="G639" s="694"/>
      <c r="H639" s="694"/>
      <c r="I639" s="694"/>
      <c r="J639" s="694"/>
      <c r="K639" s="694"/>
      <c r="L639" s="694"/>
      <c r="M639" s="697" t="str">
        <f>Translations!$B$611</f>
        <v>Iron or steel products</v>
      </c>
      <c r="N639" s="620"/>
      <c r="O639" s="428"/>
    </row>
    <row r="640" spans="1:15" ht="12.75" customHeight="1" x14ac:dyDescent="0.2">
      <c r="A640" s="92"/>
      <c r="B640" s="144"/>
      <c r="C640" s="144"/>
      <c r="D640" s="144"/>
      <c r="E640" s="693" t="s">
        <v>1620</v>
      </c>
      <c r="F640" s="693" t="str">
        <f>Translations!$B$1044</f>
        <v>Bars and rods of stainless steel, of circular cross-section of a diameter &gt;= 80 mm, simply cold-formed or cold-finished, containing by weight &lt; 2,5% nickel</v>
      </c>
      <c r="G640" s="694"/>
      <c r="H640" s="694"/>
      <c r="I640" s="694"/>
      <c r="J640" s="694"/>
      <c r="K640" s="694"/>
      <c r="L640" s="694"/>
      <c r="M640" s="697" t="str">
        <f>Translations!$B$611</f>
        <v>Iron or steel products</v>
      </c>
      <c r="N640" s="620"/>
      <c r="O640" s="428"/>
    </row>
    <row r="641" spans="1:15" ht="12.75" customHeight="1" x14ac:dyDescent="0.2">
      <c r="A641" s="92"/>
      <c r="B641" s="144"/>
      <c r="C641" s="144"/>
      <c r="D641" s="144"/>
      <c r="E641" s="693" t="s">
        <v>1623</v>
      </c>
      <c r="F641" s="693" t="str">
        <f>Translations!$B$1045</f>
        <v>Bars and rods of stainless steel, not further worked than cold-formed or cold-finished, of circular cross-section measuring &gt;= 25 mm but &lt; 80 mm and containing by weight &gt;= 2,5% nickel</v>
      </c>
      <c r="G641" s="694"/>
      <c r="H641" s="694"/>
      <c r="I641" s="694"/>
      <c r="J641" s="694"/>
      <c r="K641" s="694"/>
      <c r="L641" s="694"/>
      <c r="M641" s="697" t="str">
        <f>Translations!$B$611</f>
        <v>Iron or steel products</v>
      </c>
      <c r="N641" s="620"/>
      <c r="O641" s="428"/>
    </row>
    <row r="642" spans="1:15" ht="12.75" customHeight="1" x14ac:dyDescent="0.2">
      <c r="A642" s="92"/>
      <c r="B642" s="144"/>
      <c r="C642" s="144"/>
      <c r="D642" s="144"/>
      <c r="E642" s="693" t="s">
        <v>1626</v>
      </c>
      <c r="F642" s="693" t="str">
        <f>Translations!$B$1046</f>
        <v>Bars and rods of stainless steel, not further worked than cold-formed or cold-finished, of circular cross-section measuring &gt;= 25 mm but &lt; 80 mm and containing by weight &lt; 2,5% nickel</v>
      </c>
      <c r="G642" s="694"/>
      <c r="H642" s="694"/>
      <c r="I642" s="694"/>
      <c r="J642" s="694"/>
      <c r="K642" s="694"/>
      <c r="L642" s="694"/>
      <c r="M642" s="697" t="str">
        <f>Translations!$B$611</f>
        <v>Iron or steel products</v>
      </c>
      <c r="N642" s="620"/>
      <c r="O642" s="428"/>
    </row>
    <row r="643" spans="1:15" ht="12.75" customHeight="1" x14ac:dyDescent="0.2">
      <c r="A643" s="92"/>
      <c r="B643" s="144"/>
      <c r="C643" s="144"/>
      <c r="D643" s="144"/>
      <c r="E643" s="693" t="s">
        <v>1629</v>
      </c>
      <c r="F643" s="693" t="str">
        <f>Translations!$B$1047</f>
        <v>Bars and rods of stainless steel, not further worked than cold-formed or cold-finished, of circular cross-section measuring &lt; 25 mm and containing by weight &gt;= 2,5% nickel</v>
      </c>
      <c r="G643" s="694"/>
      <c r="H643" s="694"/>
      <c r="I643" s="694"/>
      <c r="J643" s="694"/>
      <c r="K643" s="694"/>
      <c r="L643" s="694"/>
      <c r="M643" s="697" t="str">
        <f>Translations!$B$611</f>
        <v>Iron or steel products</v>
      </c>
      <c r="N643" s="620"/>
      <c r="O643" s="428"/>
    </row>
    <row r="644" spans="1:15" ht="12.75" customHeight="1" x14ac:dyDescent="0.2">
      <c r="A644" s="92"/>
      <c r="B644" s="144"/>
      <c r="C644" s="144"/>
      <c r="D644" s="144"/>
      <c r="E644" s="693" t="s">
        <v>1632</v>
      </c>
      <c r="F644" s="693" t="str">
        <f>Translations!$B$1048</f>
        <v>Bars and rods of stainless steel, not further worked than cold-formed or cold-finished, of circular cross-section measuring &lt; 25 mm and containing by weight &lt; 2,5% nickel</v>
      </c>
      <c r="G644" s="694"/>
      <c r="H644" s="694"/>
      <c r="I644" s="694"/>
      <c r="J644" s="694"/>
      <c r="K644" s="694"/>
      <c r="L644" s="694"/>
      <c r="M644" s="697" t="str">
        <f>Translations!$B$611</f>
        <v>Iron or steel products</v>
      </c>
      <c r="N644" s="620"/>
      <c r="O644" s="428"/>
    </row>
    <row r="645" spans="1:15" ht="12.75" customHeight="1" x14ac:dyDescent="0.2">
      <c r="A645" s="92"/>
      <c r="B645" s="144"/>
      <c r="C645" s="144"/>
      <c r="D645" s="144"/>
      <c r="E645" s="693" t="s">
        <v>1635</v>
      </c>
      <c r="F645" s="693" t="str">
        <f>Translations!$B$1049</f>
        <v>Bars and rods of stainless steel, not further worked than cold-formed or cold-finished, containing by weight &gt;= 2,5% nickel (excl. such products of circular cross-section)</v>
      </c>
      <c r="G645" s="694"/>
      <c r="H645" s="694"/>
      <c r="I645" s="694"/>
      <c r="J645" s="694"/>
      <c r="K645" s="694"/>
      <c r="L645" s="694"/>
      <c r="M645" s="697" t="str">
        <f>Translations!$B$611</f>
        <v>Iron or steel products</v>
      </c>
      <c r="N645" s="620"/>
      <c r="O645" s="428"/>
    </row>
    <row r="646" spans="1:15" ht="12.75" customHeight="1" x14ac:dyDescent="0.2">
      <c r="A646" s="92"/>
      <c r="B646" s="144"/>
      <c r="C646" s="144"/>
      <c r="D646" s="144"/>
      <c r="E646" s="693" t="s">
        <v>1638</v>
      </c>
      <c r="F646" s="693" t="str">
        <f>Translations!$B$1050</f>
        <v>Bars and rods of stainless steel, not further worked than cold-formed or cold-finished, containing by weight &lt; 2,5% nickel (excl. such products of circular cross-section)</v>
      </c>
      <c r="G646" s="694"/>
      <c r="H646" s="694"/>
      <c r="I646" s="694"/>
      <c r="J646" s="694"/>
      <c r="K646" s="694"/>
      <c r="L646" s="694"/>
      <c r="M646" s="697" t="str">
        <f>Translations!$B$611</f>
        <v>Iron or steel products</v>
      </c>
      <c r="N646" s="620"/>
      <c r="O646" s="428"/>
    </row>
    <row r="647" spans="1:15" ht="12.75" customHeight="1" x14ac:dyDescent="0.2">
      <c r="A647" s="92"/>
      <c r="B647" s="144"/>
      <c r="C647" s="144"/>
      <c r="D647" s="144"/>
      <c r="E647" s="693" t="s">
        <v>1640</v>
      </c>
      <c r="F647" s="693" t="str">
        <f>Translations!$B$1051</f>
        <v>Other bars and rods of stainless steel, cold-formed or cold-finished and further worked, or not further worked than forged, or forged, or hot-formed by other means and further worked, n.e.s.</v>
      </c>
      <c r="G647" s="694"/>
      <c r="H647" s="694"/>
      <c r="I647" s="694"/>
      <c r="J647" s="694"/>
      <c r="K647" s="694"/>
      <c r="L647" s="694"/>
      <c r="M647" s="697" t="str">
        <f>Translations!$B$611</f>
        <v>Iron or steel products</v>
      </c>
      <c r="N647" s="620"/>
      <c r="O647" s="428"/>
    </row>
    <row r="648" spans="1:15" ht="12.75" customHeight="1" x14ac:dyDescent="0.2">
      <c r="A648" s="92"/>
      <c r="B648" s="144"/>
      <c r="C648" s="144"/>
      <c r="D648" s="144"/>
      <c r="E648" s="693" t="s">
        <v>1643</v>
      </c>
      <c r="F648" s="693" t="str">
        <f>Translations!$B$1052</f>
        <v>Other bars and rods of stainless steel, containing by weight &gt;= 2,5% of nickel, forged</v>
      </c>
      <c r="G648" s="694"/>
      <c r="H648" s="694"/>
      <c r="I648" s="694"/>
      <c r="J648" s="694"/>
      <c r="K648" s="694"/>
      <c r="L648" s="694"/>
      <c r="M648" s="697" t="str">
        <f>Translations!$B$611</f>
        <v>Iron or steel products</v>
      </c>
      <c r="N648" s="620"/>
      <c r="O648" s="428"/>
    </row>
    <row r="649" spans="1:15" ht="12.75" customHeight="1" x14ac:dyDescent="0.2">
      <c r="A649" s="92"/>
      <c r="B649" s="144"/>
      <c r="C649" s="144"/>
      <c r="D649" s="144"/>
      <c r="E649" s="693" t="s">
        <v>1646</v>
      </c>
      <c r="F649" s="693" t="str">
        <f>Translations!$B$1053</f>
        <v>Other bars and rods of stainless steel, containing by weight &lt; 2,5% of nickel, forged</v>
      </c>
      <c r="G649" s="694"/>
      <c r="H649" s="694"/>
      <c r="I649" s="694"/>
      <c r="J649" s="694"/>
      <c r="K649" s="694"/>
      <c r="L649" s="694"/>
      <c r="M649" s="697" t="str">
        <f>Translations!$B$611</f>
        <v>Iron or steel products</v>
      </c>
      <c r="N649" s="620"/>
      <c r="O649" s="428"/>
    </row>
    <row r="650" spans="1:15" ht="12.75" customHeight="1" x14ac:dyDescent="0.2">
      <c r="A650" s="92"/>
      <c r="B650" s="144"/>
      <c r="C650" s="144"/>
      <c r="D650" s="144"/>
      <c r="E650" s="693" t="s">
        <v>1649</v>
      </c>
      <c r="F650" s="693" t="str">
        <f>Translations!$B$1054</f>
        <v>Bars and rods of stainless steel, cold-formed or cold-finished and further worked, or hot-formed and further worked, n.e.s. (excl. forged products)</v>
      </c>
      <c r="G650" s="694"/>
      <c r="H650" s="694"/>
      <c r="I650" s="694"/>
      <c r="J650" s="694"/>
      <c r="K650" s="694"/>
      <c r="L650" s="694"/>
      <c r="M650" s="697" t="str">
        <f>Translations!$B$611</f>
        <v>Iron or steel products</v>
      </c>
      <c r="N650" s="620"/>
      <c r="O650" s="428"/>
    </row>
    <row r="651" spans="1:15" ht="12.75" customHeight="1" x14ac:dyDescent="0.2">
      <c r="A651" s="92"/>
      <c r="B651" s="144"/>
      <c r="C651" s="144"/>
      <c r="D651" s="144"/>
      <c r="E651" s="693" t="s">
        <v>1651</v>
      </c>
      <c r="F651" s="693" t="str">
        <f>Translations!$B$1055</f>
        <v>Angles, shapes and sections of stainless steel, n.e.s.</v>
      </c>
      <c r="G651" s="694"/>
      <c r="H651" s="694"/>
      <c r="I651" s="694"/>
      <c r="J651" s="694"/>
      <c r="K651" s="694"/>
      <c r="L651" s="694"/>
      <c r="M651" s="697" t="str">
        <f>Translations!$B$611</f>
        <v>Iron or steel products</v>
      </c>
      <c r="N651" s="620"/>
      <c r="O651" s="428"/>
    </row>
    <row r="652" spans="1:15" ht="12.75" customHeight="1" x14ac:dyDescent="0.2">
      <c r="A652" s="92"/>
      <c r="B652" s="144"/>
      <c r="C652" s="144"/>
      <c r="D652" s="144"/>
      <c r="E652" s="693" t="s">
        <v>1654</v>
      </c>
      <c r="F652" s="693" t="str">
        <f>Translations!$B$1056</f>
        <v>Angles, shapes and sections of stainless steel, only hot-rolled, only hot-drawn or only extruded</v>
      </c>
      <c r="G652" s="694"/>
      <c r="H652" s="694"/>
      <c r="I652" s="694"/>
      <c r="J652" s="694"/>
      <c r="K652" s="694"/>
      <c r="L652" s="694"/>
      <c r="M652" s="697" t="str">
        <f>Translations!$B$611</f>
        <v>Iron or steel products</v>
      </c>
      <c r="N652" s="620"/>
      <c r="O652" s="428"/>
    </row>
    <row r="653" spans="1:15" ht="12.75" customHeight="1" x14ac:dyDescent="0.2">
      <c r="A653" s="92"/>
      <c r="B653" s="144"/>
      <c r="C653" s="144"/>
      <c r="D653" s="144"/>
      <c r="E653" s="693" t="s">
        <v>1657</v>
      </c>
      <c r="F653" s="693" t="str">
        <f>Translations!$B$1057</f>
        <v>Angles, shapes and sections of stainless steel, not further worked than cold-formed or cold-finished</v>
      </c>
      <c r="G653" s="694"/>
      <c r="H653" s="694"/>
      <c r="I653" s="694"/>
      <c r="J653" s="694"/>
      <c r="K653" s="694"/>
      <c r="L653" s="694"/>
      <c r="M653" s="697" t="str">
        <f>Translations!$B$611</f>
        <v>Iron or steel products</v>
      </c>
      <c r="N653" s="620"/>
      <c r="O653" s="428"/>
    </row>
    <row r="654" spans="1:15" ht="12.75" customHeight="1" x14ac:dyDescent="0.2">
      <c r="A654" s="92"/>
      <c r="B654" s="144"/>
      <c r="C654" s="144"/>
      <c r="D654" s="144"/>
      <c r="E654" s="693" t="s">
        <v>1660</v>
      </c>
      <c r="F654" s="693" t="str">
        <f>Translations!$B$1058</f>
        <v>Angles, shapes and sections of stainless steel, cold-formed or cold-finished and further worked, or not further worked than forged, or forged, or hot-formed by other means and further worked, n.e.s.</v>
      </c>
      <c r="G654" s="694"/>
      <c r="H654" s="694"/>
      <c r="I654" s="694"/>
      <c r="J654" s="694"/>
      <c r="K654" s="694"/>
      <c r="L654" s="694"/>
      <c r="M654" s="697" t="str">
        <f>Translations!$B$611</f>
        <v>Iron or steel products</v>
      </c>
      <c r="N654" s="620"/>
      <c r="O654" s="428"/>
    </row>
    <row r="655" spans="1:15" ht="12.75" customHeight="1" x14ac:dyDescent="0.2">
      <c r="A655" s="92"/>
      <c r="B655" s="144"/>
      <c r="C655" s="144"/>
      <c r="D655" s="144"/>
      <c r="E655" s="693" t="s">
        <v>1662</v>
      </c>
      <c r="F655" s="693" t="str">
        <f>Translations!$B$1059</f>
        <v>Wire of stainless steel, in coils (excl. bars and rods)</v>
      </c>
      <c r="G655" s="694"/>
      <c r="H655" s="694"/>
      <c r="I655" s="694"/>
      <c r="J655" s="694"/>
      <c r="K655" s="694"/>
      <c r="L655" s="694"/>
      <c r="M655" s="697" t="str">
        <f>Translations!$B$611</f>
        <v>Iron or steel products</v>
      </c>
      <c r="N655" s="620"/>
      <c r="O655" s="428"/>
    </row>
    <row r="656" spans="1:15" ht="12.75" customHeight="1" x14ac:dyDescent="0.2">
      <c r="A656" s="92"/>
      <c r="B656" s="144"/>
      <c r="C656" s="144"/>
      <c r="D656" s="144"/>
      <c r="E656" s="693" t="s">
        <v>1665</v>
      </c>
      <c r="F656" s="693" t="str">
        <f>Translations!$B$1060</f>
        <v>Wire of stainless steel, in coils, containing by weight 28% to 31% nickel and 20% to 22% chromium (excl. bars and rods)</v>
      </c>
      <c r="G656" s="694"/>
      <c r="H656" s="694"/>
      <c r="I656" s="694"/>
      <c r="J656" s="694"/>
      <c r="K656" s="694"/>
      <c r="L656" s="694"/>
      <c r="M656" s="697" t="str">
        <f>Translations!$B$611</f>
        <v>Iron or steel products</v>
      </c>
      <c r="N656" s="620"/>
      <c r="O656" s="428"/>
    </row>
    <row r="657" spans="1:15" ht="12.75" customHeight="1" x14ac:dyDescent="0.2">
      <c r="A657" s="92"/>
      <c r="B657" s="144"/>
      <c r="C657" s="144"/>
      <c r="D657" s="144"/>
      <c r="E657" s="693" t="s">
        <v>1668</v>
      </c>
      <c r="F657" s="693" t="str">
        <f>Translations!$B$1061</f>
        <v>Wire of stainless steel, in coils, containing by weight &gt;= 2,5% nickel (excl. such products containing 28% to 31% nickel and 20% to 22% chromium, and bars and rods)</v>
      </c>
      <c r="G657" s="694"/>
      <c r="H657" s="694"/>
      <c r="I657" s="694"/>
      <c r="J657" s="694"/>
      <c r="K657" s="694"/>
      <c r="L657" s="694"/>
      <c r="M657" s="697" t="str">
        <f>Translations!$B$611</f>
        <v>Iron or steel products</v>
      </c>
      <c r="N657" s="620"/>
      <c r="O657" s="428"/>
    </row>
    <row r="658" spans="1:15" ht="12.75" customHeight="1" x14ac:dyDescent="0.2">
      <c r="A658" s="92"/>
      <c r="B658" s="144"/>
      <c r="C658" s="144"/>
      <c r="D658" s="144"/>
      <c r="E658" s="693" t="s">
        <v>1671</v>
      </c>
      <c r="F658" s="693" t="str">
        <f>Translations!$B$1062</f>
        <v>Wire of stainless steel, in coils, containing by weight &lt; 2,5% nickel, 13% to 25% chromium and 3,5% to 6% aluminium (excl. bars and rods)</v>
      </c>
      <c r="G658" s="694"/>
      <c r="H658" s="694"/>
      <c r="I658" s="694"/>
      <c r="J658" s="694"/>
      <c r="K658" s="694"/>
      <c r="L658" s="694"/>
      <c r="M658" s="697" t="str">
        <f>Translations!$B$611</f>
        <v>Iron or steel products</v>
      </c>
      <c r="N658" s="620"/>
      <c r="O658" s="428"/>
    </row>
    <row r="659" spans="1:15" ht="12.75" customHeight="1" x14ac:dyDescent="0.2">
      <c r="A659" s="92"/>
      <c r="B659" s="144"/>
      <c r="C659" s="144"/>
      <c r="D659" s="144"/>
      <c r="E659" s="693" t="s">
        <v>1674</v>
      </c>
      <c r="F659" s="693" t="str">
        <f>Translations!$B$1063</f>
        <v>Wire of stainless steel, in coils, containing by weight &lt; 2,5% nickel (excl. such products containing 13% to 25% chromium and 3,5% to 6% aluminium, and bars and rods)</v>
      </c>
      <c r="G659" s="694"/>
      <c r="H659" s="694"/>
      <c r="I659" s="694"/>
      <c r="J659" s="694"/>
      <c r="K659" s="694"/>
      <c r="L659" s="694"/>
      <c r="M659" s="697" t="str">
        <f>Translations!$B$611</f>
        <v>Iron or steel products</v>
      </c>
      <c r="N659" s="620"/>
      <c r="O659" s="428"/>
    </row>
    <row r="660" spans="1:15" ht="12.75" customHeight="1" x14ac:dyDescent="0.2">
      <c r="A660" s="92"/>
      <c r="B660" s="144"/>
      <c r="C660" s="144"/>
      <c r="D660" s="144"/>
      <c r="E660" s="693" t="s">
        <v>1676</v>
      </c>
      <c r="F660" s="693" t="str">
        <f>Translations!$B$1064</f>
        <v>Steel, alloy, other than stainless, in ingots or other primary forms, semi-finished products of alloy steel other than stainless (excl. waste and scrap in ingot form, and products obtained by continuous casting)</v>
      </c>
      <c r="G660" s="694"/>
      <c r="H660" s="694"/>
      <c r="I660" s="694"/>
      <c r="J660" s="694"/>
      <c r="K660" s="694"/>
      <c r="L660" s="694"/>
      <c r="M660" s="697" t="str">
        <f>Translations!$B$668</f>
        <v>Crude steel</v>
      </c>
      <c r="N660" s="620"/>
      <c r="O660" s="428"/>
    </row>
    <row r="661" spans="1:15" ht="12.75" customHeight="1" x14ac:dyDescent="0.2">
      <c r="A661" s="92"/>
      <c r="B661" s="144"/>
      <c r="C661" s="144"/>
      <c r="D661" s="144"/>
      <c r="E661" s="693" t="s">
        <v>1678</v>
      </c>
      <c r="F661" s="693" t="str">
        <f>Translations!$B$1065</f>
        <v>Steel, alloy, other than stainless, in ingots or other primary forms (excl. waste and scrap in ingot form, and products obtained by continuous casting)</v>
      </c>
      <c r="G661" s="694"/>
      <c r="H661" s="694"/>
      <c r="I661" s="694"/>
      <c r="J661" s="694"/>
      <c r="K661" s="694"/>
      <c r="L661" s="694"/>
      <c r="M661" s="697" t="str">
        <f>Translations!$B$668</f>
        <v>Crude steel</v>
      </c>
      <c r="N661" s="620"/>
      <c r="O661" s="428"/>
    </row>
    <row r="662" spans="1:15" ht="12.75" customHeight="1" x14ac:dyDescent="0.2">
      <c r="A662" s="92"/>
      <c r="B662" s="144"/>
      <c r="C662" s="144"/>
      <c r="D662" s="144"/>
      <c r="E662" s="693" t="s">
        <v>1681</v>
      </c>
      <c r="F662" s="693" t="str">
        <f>Translations!$B$1066</f>
        <v>Ingots and other primary forms, of tool steel</v>
      </c>
      <c r="G662" s="694"/>
      <c r="H662" s="694"/>
      <c r="I662" s="694"/>
      <c r="J662" s="694"/>
      <c r="K662" s="694"/>
      <c r="L662" s="694"/>
      <c r="M662" s="697" t="str">
        <f>Translations!$B$668</f>
        <v>Crude steel</v>
      </c>
      <c r="N662" s="620"/>
      <c r="O662" s="428"/>
    </row>
    <row r="663" spans="1:15" ht="12.75" customHeight="1" x14ac:dyDescent="0.2">
      <c r="A663" s="92"/>
      <c r="B663" s="144"/>
      <c r="C663" s="144"/>
      <c r="D663" s="144"/>
      <c r="E663" s="693" t="s">
        <v>1684</v>
      </c>
      <c r="F663" s="693" t="str">
        <f>Translations!$B$1067</f>
        <v>Steel, alloy, other than stainless, in ingots or other primary forms (excl. of tool steel, waste and scrap in ingot form and products obtained by continuous casting)</v>
      </c>
      <c r="G663" s="694"/>
      <c r="H663" s="694"/>
      <c r="I663" s="694"/>
      <c r="J663" s="694"/>
      <c r="K663" s="694"/>
      <c r="L663" s="694"/>
      <c r="M663" s="697" t="str">
        <f>Translations!$B$668</f>
        <v>Crude steel</v>
      </c>
      <c r="N663" s="620"/>
      <c r="O663" s="428"/>
    </row>
    <row r="664" spans="1:15" ht="12.75" customHeight="1" x14ac:dyDescent="0.2">
      <c r="A664" s="92"/>
      <c r="B664" s="144"/>
      <c r="C664" s="144"/>
      <c r="D664" s="144"/>
      <c r="E664" s="693" t="s">
        <v>1686</v>
      </c>
      <c r="F664" s="693" t="str">
        <f>Translations!$B$1068</f>
        <v>Semi-finished products of alloy steel other than stainless</v>
      </c>
      <c r="G664" s="694"/>
      <c r="H664" s="694"/>
      <c r="I664" s="694"/>
      <c r="J664" s="694"/>
      <c r="K664" s="694"/>
      <c r="L664" s="694"/>
      <c r="M664" s="697" t="str">
        <f>Translations!$B$668</f>
        <v>Crude steel</v>
      </c>
      <c r="N664" s="620"/>
      <c r="O664" s="428"/>
    </row>
    <row r="665" spans="1:15" ht="12.75" customHeight="1" x14ac:dyDescent="0.2">
      <c r="A665" s="92"/>
      <c r="B665" s="144"/>
      <c r="C665" s="144"/>
      <c r="D665" s="144"/>
      <c r="E665" s="693" t="s">
        <v>1689</v>
      </c>
      <c r="F665" s="693" t="str">
        <f>Translations!$B$1069</f>
        <v>Semi-finished products of tool steel</v>
      </c>
      <c r="G665" s="694"/>
      <c r="H665" s="694"/>
      <c r="I665" s="694"/>
      <c r="J665" s="694"/>
      <c r="K665" s="694"/>
      <c r="L665" s="694"/>
      <c r="M665" s="697" t="str">
        <f>Translations!$B$668</f>
        <v>Crude steel</v>
      </c>
      <c r="N665" s="620"/>
      <c r="O665" s="428"/>
    </row>
    <row r="666" spans="1:15" ht="12.75" customHeight="1" x14ac:dyDescent="0.2">
      <c r="A666" s="92"/>
      <c r="B666" s="144"/>
      <c r="C666" s="144"/>
      <c r="D666" s="144"/>
      <c r="E666" s="693" t="s">
        <v>1692</v>
      </c>
      <c r="F666" s="693" t="str">
        <f>Translations!$B$1070</f>
        <v>Semi-finished products of high-speed steel, of square or rectangular cross-section, hot-rolled or obtained by continuous casting the width measuring &lt; twice the thickness</v>
      </c>
      <c r="G666" s="694"/>
      <c r="H666" s="694"/>
      <c r="I666" s="694"/>
      <c r="J666" s="694"/>
      <c r="K666" s="694"/>
      <c r="L666" s="694"/>
      <c r="M666" s="697" t="str">
        <f>Translations!$B$668</f>
        <v>Crude steel</v>
      </c>
      <c r="N666" s="620"/>
      <c r="O666" s="428"/>
    </row>
    <row r="667" spans="1:15" ht="12.75" customHeight="1" x14ac:dyDescent="0.2">
      <c r="A667" s="92"/>
      <c r="B667" s="144"/>
      <c r="C667" s="144"/>
      <c r="D667" s="144"/>
      <c r="E667" s="693" t="s">
        <v>1695</v>
      </c>
      <c r="F667" s="693" t="str">
        <f>Translations!$B$1071</f>
        <v>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v>
      </c>
      <c r="G667" s="694"/>
      <c r="H667" s="694"/>
      <c r="I667" s="694"/>
      <c r="J667" s="694"/>
      <c r="K667" s="694"/>
      <c r="L667" s="694"/>
      <c r="M667" s="697" t="str">
        <f>Translations!$B$668</f>
        <v>Crude steel</v>
      </c>
      <c r="N667" s="620"/>
      <c r="O667" s="428"/>
    </row>
    <row r="668" spans="1:15" ht="12.75" customHeight="1" x14ac:dyDescent="0.2">
      <c r="A668" s="92"/>
      <c r="B668" s="144"/>
      <c r="C668" s="144"/>
      <c r="D668" s="144"/>
      <c r="E668" s="693" t="s">
        <v>1698</v>
      </c>
      <c r="F668" s="693" t="str">
        <f>Translations!$B$1072</f>
        <v>Semi-finished products of alloy steel other than stainless steel, of square or rectangular cross-section, hot-rolled or obtained by continuous casting, the width measuring &lt; twice the thickness (excl. of tool steel, high-speed steel and articles of subheading 7224.90.05)</v>
      </c>
      <c r="G668" s="694"/>
      <c r="H668" s="694"/>
      <c r="I668" s="694"/>
      <c r="J668" s="694"/>
      <c r="K668" s="694"/>
      <c r="L668" s="694"/>
      <c r="M668" s="697" t="str">
        <f>Translations!$B$668</f>
        <v>Crude steel</v>
      </c>
      <c r="N668" s="620"/>
      <c r="O668" s="428"/>
    </row>
    <row r="669" spans="1:15" ht="12.75" customHeight="1" x14ac:dyDescent="0.2">
      <c r="A669" s="92"/>
      <c r="B669" s="144"/>
      <c r="C669" s="144"/>
      <c r="D669" s="144"/>
      <c r="E669" s="693" t="s">
        <v>1701</v>
      </c>
      <c r="F669" s="693" t="str">
        <f>Translations!$B$1073</f>
        <v>Semi-finished products of alloy steel other than stainless steel, of square or rectangular cross-section, hot-rolled or obtained by continuous casting, the width measuring &gt;= twice the thickness (excl. of tool steel)</v>
      </c>
      <c r="G669" s="694"/>
      <c r="H669" s="694"/>
      <c r="I669" s="694"/>
      <c r="J669" s="694"/>
      <c r="K669" s="694"/>
      <c r="L669" s="694"/>
      <c r="M669" s="697" t="str">
        <f>Translations!$B$668</f>
        <v>Crude steel</v>
      </c>
      <c r="N669" s="620"/>
      <c r="O669" s="428"/>
    </row>
    <row r="670" spans="1:15" ht="12.75" customHeight="1" x14ac:dyDescent="0.2">
      <c r="A670" s="92"/>
      <c r="B670" s="144"/>
      <c r="C670" s="144"/>
      <c r="D670" s="144"/>
      <c r="E670" s="693" t="s">
        <v>1704</v>
      </c>
      <c r="F670" s="693" t="str">
        <f>Translations!$B$1074</f>
        <v>Semi-finished products of alloy steel other than stainless steel, of square or rectangular cross-section, forged (excl. of tool steel)</v>
      </c>
      <c r="G670" s="694"/>
      <c r="H670" s="694"/>
      <c r="I670" s="694"/>
      <c r="J670" s="694"/>
      <c r="K670" s="694"/>
      <c r="L670" s="694"/>
      <c r="M670" s="697" t="str">
        <f>Translations!$B$668</f>
        <v>Crude steel</v>
      </c>
      <c r="N670" s="620"/>
      <c r="O670" s="428"/>
    </row>
    <row r="671" spans="1:15" ht="12.75" customHeight="1" x14ac:dyDescent="0.2">
      <c r="A671" s="92"/>
      <c r="B671" s="144"/>
      <c r="C671" s="144"/>
      <c r="D671" s="144"/>
      <c r="E671" s="693" t="s">
        <v>1707</v>
      </c>
      <c r="F671" s="693" t="str">
        <f>Translations!$B$1075</f>
        <v>Semi-finished products of steel containing by weight 0,9% to 1,15% carbon, 0,5% to 2% of chromium and, if present, &lt;= 0,5% of molybdenum, cut into shapes other than square or rectangular, hot-rolled or obtained by continuous casting</v>
      </c>
      <c r="G671" s="694"/>
      <c r="H671" s="694"/>
      <c r="I671" s="694"/>
      <c r="J671" s="694"/>
      <c r="K671" s="694"/>
      <c r="L671" s="694"/>
      <c r="M671" s="697" t="str">
        <f>Translations!$B$668</f>
        <v>Crude steel</v>
      </c>
      <c r="N671" s="620"/>
      <c r="O671" s="428"/>
    </row>
    <row r="672" spans="1:15" ht="12.75" customHeight="1" x14ac:dyDescent="0.2">
      <c r="A672" s="92"/>
      <c r="B672" s="144"/>
      <c r="C672" s="144"/>
      <c r="D672" s="144"/>
      <c r="E672" s="693" t="s">
        <v>1710</v>
      </c>
      <c r="F672" s="693" t="str">
        <f>Translations!$B$1076</f>
        <v>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v>
      </c>
      <c r="G672" s="694"/>
      <c r="H672" s="694"/>
      <c r="I672" s="694"/>
      <c r="J672" s="694"/>
      <c r="K672" s="694"/>
      <c r="L672" s="694"/>
      <c r="M672" s="697" t="str">
        <f>Translations!$B$668</f>
        <v>Crude steel</v>
      </c>
      <c r="N672" s="620"/>
      <c r="O672" s="428"/>
    </row>
    <row r="673" spans="1:15" ht="12.75" customHeight="1" x14ac:dyDescent="0.2">
      <c r="A673" s="92"/>
      <c r="B673" s="144"/>
      <c r="C673" s="144"/>
      <c r="D673" s="144"/>
      <c r="E673" s="693" t="s">
        <v>1713</v>
      </c>
      <c r="F673" s="693" t="str">
        <f>Translations!$B$1077</f>
        <v>Semi-finished products of alloy steel, other than stainless steel, forged (excl. of tool steel and products of square or rectangular, circular or polygamol cross-section)</v>
      </c>
      <c r="G673" s="694"/>
      <c r="H673" s="694"/>
      <c r="I673" s="694"/>
      <c r="J673" s="694"/>
      <c r="K673" s="694"/>
      <c r="L673" s="694"/>
      <c r="M673" s="697" t="str">
        <f>Translations!$B$668</f>
        <v>Crude steel</v>
      </c>
      <c r="N673" s="620"/>
      <c r="O673" s="428"/>
    </row>
    <row r="674" spans="1:15" ht="12.75" customHeight="1" x14ac:dyDescent="0.2">
      <c r="A674" s="92"/>
      <c r="B674" s="144"/>
      <c r="C674" s="144"/>
      <c r="D674" s="144"/>
      <c r="E674" s="693" t="s">
        <v>1715</v>
      </c>
      <c r="F674" s="693" t="str">
        <f>Translations!$B$1078</f>
        <v>Flat-rolled products of alloy steel other than stainless, of a width of &gt;= 600 mm, hot-rolled or cold-rolled "cold-reduced"</v>
      </c>
      <c r="G674" s="694"/>
      <c r="H674" s="694"/>
      <c r="I674" s="694"/>
      <c r="J674" s="694"/>
      <c r="K674" s="694"/>
      <c r="L674" s="694"/>
      <c r="M674" s="697" t="str">
        <f>Translations!$B$611</f>
        <v>Iron or steel products</v>
      </c>
      <c r="N674" s="620"/>
      <c r="O674" s="428"/>
    </row>
    <row r="675" spans="1:15" ht="12.75" customHeight="1" x14ac:dyDescent="0.2">
      <c r="A675" s="92"/>
      <c r="B675" s="144"/>
      <c r="C675" s="144"/>
      <c r="D675" s="144"/>
      <c r="E675" s="693" t="s">
        <v>1718</v>
      </c>
      <c r="F675" s="693" t="str">
        <f>Translations!$B$1079</f>
        <v>Flat-rolled products of silicon-electrical steel, of a width of &gt;= 600 mm, grain-oriented</v>
      </c>
      <c r="G675" s="694"/>
      <c r="H675" s="694"/>
      <c r="I675" s="694"/>
      <c r="J675" s="694"/>
      <c r="K675" s="694"/>
      <c r="L675" s="694"/>
      <c r="M675" s="697" t="str">
        <f>Translations!$B$611</f>
        <v>Iron or steel products</v>
      </c>
      <c r="N675" s="620"/>
      <c r="O675" s="428"/>
    </row>
    <row r="676" spans="1:15" ht="12.75" customHeight="1" x14ac:dyDescent="0.2">
      <c r="A676" s="92"/>
      <c r="B676" s="144"/>
      <c r="C676" s="144"/>
      <c r="D676" s="144"/>
      <c r="E676" s="693" t="s">
        <v>1720</v>
      </c>
      <c r="F676" s="693" t="str">
        <f>Translations!$B$1080</f>
        <v>Flat-rolled products of silicon-electrical steel, of a width of &gt;= 600 mm, non-grain-oriented</v>
      </c>
      <c r="G676" s="694"/>
      <c r="H676" s="694"/>
      <c r="I676" s="694"/>
      <c r="J676" s="694"/>
      <c r="K676" s="694"/>
      <c r="L676" s="694"/>
      <c r="M676" s="697" t="str">
        <f>Translations!$B$611</f>
        <v>Iron or steel products</v>
      </c>
      <c r="N676" s="620"/>
      <c r="O676" s="428"/>
    </row>
    <row r="677" spans="1:15" ht="12.75" customHeight="1" x14ac:dyDescent="0.2">
      <c r="A677" s="92"/>
      <c r="B677" s="144"/>
      <c r="C677" s="144"/>
      <c r="D677" s="144"/>
      <c r="E677" s="693" t="s">
        <v>1723</v>
      </c>
      <c r="F677" s="693" t="str">
        <f>Translations!$B$1081</f>
        <v>Flat-rolled products of silicon-electrical steel, of a width of &gt;= 600 mm, hot-rolled</v>
      </c>
      <c r="G677" s="694"/>
      <c r="H677" s="694"/>
      <c r="I677" s="694"/>
      <c r="J677" s="694"/>
      <c r="K677" s="694"/>
      <c r="L677" s="694"/>
      <c r="M677" s="697" t="str">
        <f>Translations!$B$611</f>
        <v>Iron or steel products</v>
      </c>
      <c r="N677" s="620"/>
      <c r="O677" s="428"/>
    </row>
    <row r="678" spans="1:15" ht="12.75" customHeight="1" x14ac:dyDescent="0.2">
      <c r="A678" s="92"/>
      <c r="B678" s="144"/>
      <c r="C678" s="144"/>
      <c r="D678" s="144"/>
      <c r="E678" s="693" t="s">
        <v>1726</v>
      </c>
      <c r="F678" s="693" t="str">
        <f>Translations!$B$1082</f>
        <v>Flat-rolled products of silicon-electrical steel, of a width of &gt;= 600 mm, cold-rolled "cold-reduced", non-grain-oriented</v>
      </c>
      <c r="G678" s="694"/>
      <c r="H678" s="694"/>
      <c r="I678" s="694"/>
      <c r="J678" s="694"/>
      <c r="K678" s="694"/>
      <c r="L678" s="694"/>
      <c r="M678" s="697" t="str">
        <f>Translations!$B$611</f>
        <v>Iron or steel products</v>
      </c>
      <c r="N678" s="620"/>
      <c r="O678" s="428"/>
    </row>
    <row r="679" spans="1:15" ht="12.75" customHeight="1" x14ac:dyDescent="0.2">
      <c r="A679" s="92"/>
      <c r="B679" s="144"/>
      <c r="C679" s="144"/>
      <c r="D679" s="144"/>
      <c r="E679" s="693" t="s">
        <v>1728</v>
      </c>
      <c r="F679" s="693" t="str">
        <f>Translations!$B$1083</f>
        <v>Flat-rolled products of alloy steel other than stainless, of a width of &gt;= 600 mm, not further worked than hot-rolled, in coils (excl. products of silicon-electrical steel)</v>
      </c>
      <c r="G679" s="694"/>
      <c r="H679" s="694"/>
      <c r="I679" s="694"/>
      <c r="J679" s="694"/>
      <c r="K679" s="694"/>
      <c r="L679" s="694"/>
      <c r="M679" s="697" t="str">
        <f>Translations!$B$611</f>
        <v>Iron or steel products</v>
      </c>
      <c r="N679" s="620"/>
      <c r="O679" s="428"/>
    </row>
    <row r="680" spans="1:15" ht="12.75" customHeight="1" x14ac:dyDescent="0.2">
      <c r="A680" s="92"/>
      <c r="B680" s="144"/>
      <c r="C680" s="144"/>
      <c r="D680" s="144"/>
      <c r="E680" s="693" t="s">
        <v>1731</v>
      </c>
      <c r="F680" s="693" t="str">
        <f>Translations!$B$1084</f>
        <v>Flat-rolled products of tool steel, of a width of &gt;= 600 mm, not further worked than hot-rolled, in coils</v>
      </c>
      <c r="G680" s="694"/>
      <c r="H680" s="694"/>
      <c r="I680" s="694"/>
      <c r="J680" s="694"/>
      <c r="K680" s="694"/>
      <c r="L680" s="694"/>
      <c r="M680" s="697" t="str">
        <f>Translations!$B$611</f>
        <v>Iron or steel products</v>
      </c>
      <c r="N680" s="620"/>
      <c r="O680" s="428"/>
    </row>
    <row r="681" spans="1:15" ht="12.75" customHeight="1" x14ac:dyDescent="0.2">
      <c r="A681" s="92"/>
      <c r="B681" s="144"/>
      <c r="C681" s="144"/>
      <c r="D681" s="144"/>
      <c r="E681" s="693" t="s">
        <v>1734</v>
      </c>
      <c r="F681" s="693" t="str">
        <f>Translations!$B$1085</f>
        <v>Flat-rolled products of high-speed steel, of a width of &gt;= 600 mm, not further worked than hot-rolled, in coils</v>
      </c>
      <c r="G681" s="694"/>
      <c r="H681" s="694"/>
      <c r="I681" s="694"/>
      <c r="J681" s="694"/>
      <c r="K681" s="694"/>
      <c r="L681" s="694"/>
      <c r="M681" s="697" t="str">
        <f>Translations!$B$611</f>
        <v>Iron or steel products</v>
      </c>
      <c r="N681" s="620"/>
      <c r="O681" s="428"/>
    </row>
    <row r="682" spans="1:15" ht="12.75" customHeight="1" x14ac:dyDescent="0.2">
      <c r="A682" s="92"/>
      <c r="B682" s="144"/>
      <c r="C682" s="144"/>
      <c r="D682" s="144"/>
      <c r="E682" s="693" t="s">
        <v>1737</v>
      </c>
      <c r="F682" s="693" t="str">
        <f>Translations!$B$1086</f>
        <v>Flat-rolled products of alloy steel other than stainless, of a width of &gt;= 600 mm, not further worked than hot-rolled, in coils (excl. products of tool steel, high-speed steel or silicon-electrical steel)</v>
      </c>
      <c r="G682" s="694"/>
      <c r="H682" s="694"/>
      <c r="I682" s="694"/>
      <c r="J682" s="694"/>
      <c r="K682" s="694"/>
      <c r="L682" s="694"/>
      <c r="M682" s="697" t="str">
        <f>Translations!$B$611</f>
        <v>Iron or steel products</v>
      </c>
      <c r="N682" s="620"/>
      <c r="O682" s="428"/>
    </row>
    <row r="683" spans="1:15" ht="12.75" customHeight="1" x14ac:dyDescent="0.2">
      <c r="A683" s="92"/>
      <c r="B683" s="144"/>
      <c r="C683" s="144"/>
      <c r="D683" s="144"/>
      <c r="E683" s="693" t="s">
        <v>1739</v>
      </c>
      <c r="F683" s="693" t="str">
        <f>Translations!$B$1087</f>
        <v>Flat-rolled products of alloy steel other than stainless, of a width of &gt;= 600 mm, not further worked than hot-rolled, not in coils (excl. products of silicon-electrical steel)</v>
      </c>
      <c r="G683" s="694"/>
      <c r="H683" s="694"/>
      <c r="I683" s="694"/>
      <c r="J683" s="694"/>
      <c r="K683" s="694"/>
      <c r="L683" s="694"/>
      <c r="M683" s="697" t="str">
        <f>Translations!$B$611</f>
        <v>Iron or steel products</v>
      </c>
      <c r="N683" s="620"/>
      <c r="O683" s="428"/>
    </row>
    <row r="684" spans="1:15" ht="12.75" customHeight="1" x14ac:dyDescent="0.2">
      <c r="A684" s="92"/>
      <c r="B684" s="144"/>
      <c r="C684" s="144"/>
      <c r="D684" s="144"/>
      <c r="E684" s="693" t="s">
        <v>1742</v>
      </c>
      <c r="F684" s="693" t="str">
        <f>Translations!$B$1088</f>
        <v>Flat-rolled products of tool steel, of a width of &gt;= 600 mm, not further worked than hot-rolled, not in coils</v>
      </c>
      <c r="G684" s="694"/>
      <c r="H684" s="694"/>
      <c r="I684" s="694"/>
      <c r="J684" s="694"/>
      <c r="K684" s="694"/>
      <c r="L684" s="694"/>
      <c r="M684" s="697" t="str">
        <f>Translations!$B$611</f>
        <v>Iron or steel products</v>
      </c>
      <c r="N684" s="620"/>
      <c r="O684" s="428"/>
    </row>
    <row r="685" spans="1:15" ht="12.75" customHeight="1" x14ac:dyDescent="0.2">
      <c r="A685" s="92"/>
      <c r="B685" s="144"/>
      <c r="C685" s="144"/>
      <c r="D685" s="144"/>
      <c r="E685" s="693" t="s">
        <v>1745</v>
      </c>
      <c r="F685" s="693" t="str">
        <f>Translations!$B$1089</f>
        <v>Flat-rolled products of high-speed steel, of a width of &gt;= 600 mm, not further worked than hot-rolled, not in coils</v>
      </c>
      <c r="G685" s="694"/>
      <c r="H685" s="694"/>
      <c r="I685" s="694"/>
      <c r="J685" s="694"/>
      <c r="K685" s="694"/>
      <c r="L685" s="694"/>
      <c r="M685" s="697" t="str">
        <f>Translations!$B$611</f>
        <v>Iron or steel products</v>
      </c>
      <c r="N685" s="620"/>
      <c r="O685" s="428"/>
    </row>
    <row r="686" spans="1:15" ht="12.75" customHeight="1" x14ac:dyDescent="0.2">
      <c r="A686" s="92"/>
      <c r="B686" s="144"/>
      <c r="C686" s="144"/>
      <c r="D686" s="144"/>
      <c r="E686" s="693" t="s">
        <v>1748</v>
      </c>
      <c r="F686" s="693" t="str">
        <f>Translations!$B$1090</f>
        <v>Flat-rolled products of alloy steel other than stainless, of a width of &gt;= 600 mm, not further worked than hot-rolled, not in coils, of a thickness of &gt; 10 mm (excl. products of tool steel, high-speed steel or silicon-electrical steel)</v>
      </c>
      <c r="G686" s="694"/>
      <c r="H686" s="694"/>
      <c r="I686" s="694"/>
      <c r="J686" s="694"/>
      <c r="K686" s="694"/>
      <c r="L686" s="694"/>
      <c r="M686" s="697" t="str">
        <f>Translations!$B$611</f>
        <v>Iron or steel products</v>
      </c>
      <c r="N686" s="620"/>
      <c r="O686" s="428"/>
    </row>
    <row r="687" spans="1:15" ht="12.75" customHeight="1" x14ac:dyDescent="0.2">
      <c r="A687" s="92"/>
      <c r="B687" s="144"/>
      <c r="C687" s="144"/>
      <c r="D687" s="144"/>
      <c r="E687" s="693" t="s">
        <v>1751</v>
      </c>
      <c r="F687" s="693" t="str">
        <f>Translations!$B$1091</f>
        <v>Flat-rolled products of alloy steel other than stainless, of a width of &gt;= 600 mm, not further worked than hot-rolled, not in coils, of a thickness of &gt;= 4,75 mm but &lt;= 10 mm (excl. products of tool steel, high-speed steel or silicon-electrical steel)</v>
      </c>
      <c r="G687" s="694"/>
      <c r="H687" s="694"/>
      <c r="I687" s="694"/>
      <c r="J687" s="694"/>
      <c r="K687" s="694"/>
      <c r="L687" s="694"/>
      <c r="M687" s="697" t="str">
        <f>Translations!$B$611</f>
        <v>Iron or steel products</v>
      </c>
      <c r="N687" s="620"/>
      <c r="O687" s="428"/>
    </row>
    <row r="688" spans="1:15" ht="12.75" customHeight="1" x14ac:dyDescent="0.2">
      <c r="A688" s="92"/>
      <c r="B688" s="144"/>
      <c r="C688" s="144"/>
      <c r="D688" s="144"/>
      <c r="E688" s="693" t="s">
        <v>1754</v>
      </c>
      <c r="F688" s="693" t="str">
        <f>Translations!$B$1092</f>
        <v>Flat-rolled products of alloy steel other than stainless, of a width of &gt;= 600 mm, not further worked than hot-rolled, not in coils, of a thickness of &lt; 4,75 mm (excl. products of tool steel, high-speed steel or silicon-electrical steel)</v>
      </c>
      <c r="G688" s="694"/>
      <c r="H688" s="694"/>
      <c r="I688" s="694"/>
      <c r="J688" s="694"/>
      <c r="K688" s="694"/>
      <c r="L688" s="694"/>
      <c r="M688" s="697" t="str">
        <f>Translations!$B$611</f>
        <v>Iron or steel products</v>
      </c>
      <c r="N688" s="620"/>
      <c r="O688" s="428"/>
    </row>
    <row r="689" spans="1:15" ht="12.75" customHeight="1" x14ac:dyDescent="0.2">
      <c r="A689" s="92"/>
      <c r="B689" s="144"/>
      <c r="C689" s="144"/>
      <c r="D689" s="144"/>
      <c r="E689" s="693" t="s">
        <v>1756</v>
      </c>
      <c r="F689" s="693" t="str">
        <f>Translations!$B$1093</f>
        <v>Flat-rolled products of alloy steel other than stainless, of a width of &gt;= 600 mm, not further worked than cold-rolled "cold-reduced" (excl. products of silicon-electrical steel)</v>
      </c>
      <c r="G689" s="694"/>
      <c r="H689" s="694"/>
      <c r="I689" s="694"/>
      <c r="J689" s="694"/>
      <c r="K689" s="694"/>
      <c r="L689" s="694"/>
      <c r="M689" s="697" t="str">
        <f>Translations!$B$611</f>
        <v>Iron or steel products</v>
      </c>
      <c r="N689" s="620"/>
      <c r="O689" s="428"/>
    </row>
    <row r="690" spans="1:15" ht="12.75" customHeight="1" x14ac:dyDescent="0.2">
      <c r="A690" s="92"/>
      <c r="B690" s="144"/>
      <c r="C690" s="144"/>
      <c r="D690" s="144"/>
      <c r="E690" s="693" t="s">
        <v>1759</v>
      </c>
      <c r="F690" s="693" t="str">
        <f>Translations!$B$1094</f>
        <v>Flat-rolled products of high-speed steel, of a width of &gt;= 600 mm, not further worked than cold-rolled "cold-reduced"</v>
      </c>
      <c r="G690" s="694"/>
      <c r="H690" s="694"/>
      <c r="I690" s="694"/>
      <c r="J690" s="694"/>
      <c r="K690" s="694"/>
      <c r="L690" s="694"/>
      <c r="M690" s="697" t="str">
        <f>Translations!$B$611</f>
        <v>Iron or steel products</v>
      </c>
      <c r="N690" s="620"/>
      <c r="O690" s="428"/>
    </row>
    <row r="691" spans="1:15" ht="12.75" customHeight="1" x14ac:dyDescent="0.2">
      <c r="A691" s="92"/>
      <c r="B691" s="144"/>
      <c r="C691" s="144"/>
      <c r="D691" s="144"/>
      <c r="E691" s="693" t="s">
        <v>1762</v>
      </c>
      <c r="F691" s="693" t="str">
        <f>Translations!$B$1095</f>
        <v>Flat-rolled products of alloy steel other than stainless, of a width of &gt;= 600 mm, not further worked than cold-rolled "cold-reduced" (excl. products of high-speed steel or silicon-electrical steel)</v>
      </c>
      <c r="G691" s="694"/>
      <c r="H691" s="694"/>
      <c r="I691" s="694"/>
      <c r="J691" s="694"/>
      <c r="K691" s="694"/>
      <c r="L691" s="694"/>
      <c r="M691" s="697" t="str">
        <f>Translations!$B$611</f>
        <v>Iron or steel products</v>
      </c>
      <c r="N691" s="620"/>
      <c r="O691" s="428"/>
    </row>
    <row r="692" spans="1:15" ht="12.75" customHeight="1" x14ac:dyDescent="0.2">
      <c r="A692" s="92"/>
      <c r="B692" s="144"/>
      <c r="C692" s="144"/>
      <c r="D692" s="144"/>
      <c r="E692" s="693" t="s">
        <v>1765</v>
      </c>
      <c r="F692" s="693" t="str">
        <f>Translations!$B$1096</f>
        <v>Flat-rolled products of alloy steel other than stainless, of a width of &gt;= 600 mm, hot-rolled or cold-rolled "cold-reduced" and electrolytically plated or coated with zinc (excl. products of silicon-electrical steel)</v>
      </c>
      <c r="G692" s="694"/>
      <c r="H692" s="694"/>
      <c r="I692" s="694"/>
      <c r="J692" s="694"/>
      <c r="K692" s="694"/>
      <c r="L692" s="694"/>
      <c r="M692" s="697" t="str">
        <f>Translations!$B$611</f>
        <v>Iron or steel products</v>
      </c>
      <c r="N692" s="620"/>
      <c r="O692" s="428"/>
    </row>
    <row r="693" spans="1:15" ht="12.75" customHeight="1" x14ac:dyDescent="0.2">
      <c r="A693" s="92"/>
      <c r="B693" s="144"/>
      <c r="C693" s="144"/>
      <c r="D693" s="144"/>
      <c r="E693" s="693" t="s">
        <v>1768</v>
      </c>
      <c r="F693" s="693" t="str">
        <f>Translations!$B$1097</f>
        <v>Flat-rolled products of alloy steel other than stainless, of a width of &gt;= 600 mm, hot-rolled or cold-rolled "cold-reduced" and plated or coated with zinc (excl. electrolytically plated or coated and products of silicon-electrical steel)</v>
      </c>
      <c r="G693" s="694"/>
      <c r="H693" s="694"/>
      <c r="I693" s="694"/>
      <c r="J693" s="694"/>
      <c r="K693" s="694"/>
      <c r="L693" s="694"/>
      <c r="M693" s="697" t="str">
        <f>Translations!$B$611</f>
        <v>Iron or steel products</v>
      </c>
      <c r="N693" s="620"/>
      <c r="O693" s="428"/>
    </row>
    <row r="694" spans="1:15" ht="12.75" customHeight="1" x14ac:dyDescent="0.2">
      <c r="A694" s="92"/>
      <c r="B694" s="144"/>
      <c r="C694" s="144"/>
      <c r="D694" s="144"/>
      <c r="E694" s="693" t="s">
        <v>1771</v>
      </c>
      <c r="F694" s="693" t="str">
        <f>Translations!$B$1098</f>
        <v>Flat-rolled products of alloy steel other than stainless, of a width of &gt;= 600 mm, hot-rolled or cold-rolled "cold-reduced" and further worked (excl. plated or coated with zinc and products of silicon-electrical steel)</v>
      </c>
      <c r="G694" s="694"/>
      <c r="H694" s="694"/>
      <c r="I694" s="694"/>
      <c r="J694" s="694"/>
      <c r="K694" s="694"/>
      <c r="L694" s="694"/>
      <c r="M694" s="697" t="str">
        <f>Translations!$B$611</f>
        <v>Iron or steel products</v>
      </c>
      <c r="N694" s="620"/>
      <c r="O694" s="428"/>
    </row>
    <row r="695" spans="1:15" ht="12.75" customHeight="1" x14ac:dyDescent="0.2">
      <c r="A695" s="92"/>
      <c r="B695" s="144"/>
      <c r="C695" s="144"/>
      <c r="D695" s="144"/>
      <c r="E695" s="693" t="s">
        <v>1773</v>
      </c>
      <c r="F695" s="693" t="str">
        <f>Translations!$B$1099</f>
        <v>Flat-rolled products of alloy steel other than stainless, of a width of &lt; 600 mm, hot-rolled or cold-rolled "cold-reduced"</v>
      </c>
      <c r="G695" s="694"/>
      <c r="H695" s="694"/>
      <c r="I695" s="694"/>
      <c r="J695" s="694"/>
      <c r="K695" s="694"/>
      <c r="L695" s="694"/>
      <c r="M695" s="697" t="str">
        <f>Translations!$B$611</f>
        <v>Iron or steel products</v>
      </c>
      <c r="N695" s="620"/>
      <c r="O695" s="428"/>
    </row>
    <row r="696" spans="1:15" ht="12.75" customHeight="1" x14ac:dyDescent="0.2">
      <c r="A696" s="92"/>
      <c r="B696" s="144"/>
      <c r="C696" s="144"/>
      <c r="D696" s="144"/>
      <c r="E696" s="693" t="s">
        <v>1776</v>
      </c>
      <c r="F696" s="693" t="str">
        <f>Translations!$B$1100</f>
        <v>Flat-rolled products of silicon-electrical steel, of a width of &lt; 600 mm, hot-rolled or cold-rolled "cold-reduced", grain-oriented</v>
      </c>
      <c r="G696" s="694"/>
      <c r="H696" s="694"/>
      <c r="I696" s="694"/>
      <c r="J696" s="694"/>
      <c r="K696" s="694"/>
      <c r="L696" s="694"/>
      <c r="M696" s="697" t="str">
        <f>Translations!$B$611</f>
        <v>Iron or steel products</v>
      </c>
      <c r="N696" s="620"/>
      <c r="O696" s="428"/>
    </row>
    <row r="697" spans="1:15" ht="12.75" customHeight="1" x14ac:dyDescent="0.2">
      <c r="A697" s="92"/>
      <c r="B697" s="144"/>
      <c r="C697" s="144"/>
      <c r="D697" s="144"/>
      <c r="E697" s="693" t="s">
        <v>1778</v>
      </c>
      <c r="F697" s="693" t="str">
        <f>Translations!$B$1101</f>
        <v>Flat-rolled products of silicon-electrical steel, of a width of &lt; 600 mm, hot-rolled or cold-rolled "cold-reduced", not grain-oriented</v>
      </c>
      <c r="G697" s="694"/>
      <c r="H697" s="694"/>
      <c r="I697" s="694"/>
      <c r="J697" s="694"/>
      <c r="K697" s="694"/>
      <c r="L697" s="694"/>
      <c r="M697" s="697" t="str">
        <f>Translations!$B$611</f>
        <v>Iron or steel products</v>
      </c>
      <c r="N697" s="620"/>
      <c r="O697" s="428"/>
    </row>
    <row r="698" spans="1:15" ht="12.75" customHeight="1" x14ac:dyDescent="0.2">
      <c r="A698" s="92"/>
      <c r="B698" s="144"/>
      <c r="C698" s="144"/>
      <c r="D698" s="144"/>
      <c r="E698" s="693" t="s">
        <v>1781</v>
      </c>
      <c r="F698" s="693" t="str">
        <f>Translations!$B$1102</f>
        <v>Flat-rolled products of silicon-electrical steel, of a width of &lt; 600 mm, not further worked than hot-rolled</v>
      </c>
      <c r="G698" s="694"/>
      <c r="H698" s="694"/>
      <c r="I698" s="694"/>
      <c r="J698" s="694"/>
      <c r="K698" s="694"/>
      <c r="L698" s="694"/>
      <c r="M698" s="697" t="str">
        <f>Translations!$B$611</f>
        <v>Iron or steel products</v>
      </c>
      <c r="N698" s="620"/>
      <c r="O698" s="428"/>
    </row>
    <row r="699" spans="1:15" ht="12.75" customHeight="1" x14ac:dyDescent="0.2">
      <c r="A699" s="92"/>
      <c r="B699" s="144"/>
      <c r="C699" s="144"/>
      <c r="D699" s="144"/>
      <c r="E699" s="693" t="s">
        <v>1784</v>
      </c>
      <c r="F699" s="693" t="str">
        <f>Translations!$B$1103</f>
        <v>Flat-rolled products of silicon-electrical steel, of a width of &lt; 600 mm, cold-rolled "cold-reduced", whether or not further worked, or hot-rolled and further worked, non-grain-oriented</v>
      </c>
      <c r="G699" s="694"/>
      <c r="H699" s="694"/>
      <c r="I699" s="694"/>
      <c r="J699" s="694"/>
      <c r="K699" s="694"/>
      <c r="L699" s="694"/>
      <c r="M699" s="697" t="str">
        <f>Translations!$B$611</f>
        <v>Iron or steel products</v>
      </c>
      <c r="N699" s="620"/>
      <c r="O699" s="428"/>
    </row>
    <row r="700" spans="1:15" ht="12.75" customHeight="1" x14ac:dyDescent="0.2">
      <c r="A700" s="92"/>
      <c r="B700" s="144"/>
      <c r="C700" s="144"/>
      <c r="D700" s="144"/>
      <c r="E700" s="693" t="s">
        <v>1787</v>
      </c>
      <c r="F700" s="693" t="str">
        <f>Translations!$B$1104</f>
        <v>Flat-rolled products of high-speed steel, of a width of &lt;= 600 mm, hot-rolled or cold-rolled "cold-reduced"</v>
      </c>
      <c r="G700" s="694"/>
      <c r="H700" s="694"/>
      <c r="I700" s="694"/>
      <c r="J700" s="694"/>
      <c r="K700" s="694"/>
      <c r="L700" s="694"/>
      <c r="M700" s="697" t="str">
        <f>Translations!$B$611</f>
        <v>Iron or steel products</v>
      </c>
      <c r="N700" s="620"/>
      <c r="O700" s="428"/>
    </row>
    <row r="701" spans="1:15" ht="12.75" customHeight="1" x14ac:dyDescent="0.2">
      <c r="A701" s="92"/>
      <c r="B701" s="144"/>
      <c r="C701" s="144"/>
      <c r="D701" s="144"/>
      <c r="E701" s="693" t="s">
        <v>1789</v>
      </c>
      <c r="F701" s="693" t="str">
        <f>Translations!$B$1105</f>
        <v>Flat-rolled products of alloy steel other than stainless, of a width of &lt; 600 mm, not further worked than hot-rolled (excl. products of high-speed steel or silicon-electrical steel)</v>
      </c>
      <c r="G701" s="694"/>
      <c r="H701" s="694"/>
      <c r="I701" s="694"/>
      <c r="J701" s="694"/>
      <c r="K701" s="694"/>
      <c r="L701" s="694"/>
      <c r="M701" s="697" t="str">
        <f>Translations!$B$611</f>
        <v>Iron or steel products</v>
      </c>
      <c r="N701" s="620"/>
      <c r="O701" s="428"/>
    </row>
    <row r="702" spans="1:15" ht="12.75" customHeight="1" x14ac:dyDescent="0.2">
      <c r="A702" s="92"/>
      <c r="B702" s="144"/>
      <c r="C702" s="144"/>
      <c r="D702" s="144"/>
      <c r="E702" s="693" t="s">
        <v>1792</v>
      </c>
      <c r="F702" s="693" t="str">
        <f>Translations!$B$1106</f>
        <v>Flat-rolled products of tool steel, of a width of &lt; 600 mm, simply hot-rolled</v>
      </c>
      <c r="G702" s="694"/>
      <c r="H702" s="694"/>
      <c r="I702" s="694"/>
      <c r="J702" s="694"/>
      <c r="K702" s="694"/>
      <c r="L702" s="694"/>
      <c r="M702" s="697" t="str">
        <f>Translations!$B$611</f>
        <v>Iron or steel products</v>
      </c>
      <c r="N702" s="620"/>
      <c r="O702" s="428"/>
    </row>
    <row r="703" spans="1:15" ht="12.75" customHeight="1" x14ac:dyDescent="0.2">
      <c r="A703" s="92"/>
      <c r="B703" s="144"/>
      <c r="C703" s="144"/>
      <c r="D703" s="144"/>
      <c r="E703" s="693" t="s">
        <v>1795</v>
      </c>
      <c r="F703" s="693" t="str">
        <f>Translations!$B$1107</f>
        <v>Flat-rolled products of alloy steel other than stainless steel, simply hot-rolled, of a thickness of &gt;= 4,75 mm, of a width of &lt; 600 mm (excl. of tool steel, silicon-electrical steel or high speed steel)</v>
      </c>
      <c r="G703" s="694"/>
      <c r="H703" s="694"/>
      <c r="I703" s="694"/>
      <c r="J703" s="694"/>
      <c r="K703" s="694"/>
      <c r="L703" s="694"/>
      <c r="M703" s="697" t="str">
        <f>Translations!$B$611</f>
        <v>Iron or steel products</v>
      </c>
      <c r="N703" s="620"/>
      <c r="O703" s="428"/>
    </row>
    <row r="704" spans="1:15" ht="12.75" customHeight="1" x14ac:dyDescent="0.2">
      <c r="A704" s="92"/>
      <c r="B704" s="144"/>
      <c r="C704" s="144"/>
      <c r="D704" s="144"/>
      <c r="E704" s="693" t="s">
        <v>1798</v>
      </c>
      <c r="F704" s="693" t="str">
        <f>Translations!$B$1108</f>
        <v>Flat-rolled products of alloy steel other than stainless steel, simply hot-rolled, of a thickness of &lt; 4,75 mm, of a width of &lt; 600 mm (excl. of tool steel, silicon-electrical steel or high speed steel)</v>
      </c>
      <c r="G704" s="694"/>
      <c r="H704" s="694"/>
      <c r="I704" s="694"/>
      <c r="J704" s="694"/>
      <c r="K704" s="694"/>
      <c r="L704" s="694"/>
      <c r="M704" s="697" t="str">
        <f>Translations!$B$611</f>
        <v>Iron or steel products</v>
      </c>
      <c r="N704" s="620"/>
      <c r="O704" s="428"/>
    </row>
    <row r="705" spans="1:15" ht="12.75" customHeight="1" x14ac:dyDescent="0.2">
      <c r="A705" s="92"/>
      <c r="B705" s="144"/>
      <c r="C705" s="144"/>
      <c r="D705" s="144"/>
      <c r="E705" s="693" t="s">
        <v>1801</v>
      </c>
      <c r="F705" s="693" t="str">
        <f>Translations!$B$1109</f>
        <v>Flat-rolled products of alloy steel other than stainless, of a width of &lt; 600 mm, not further worked than cold-rolled "cold-reduced" (excl. products of high-speed steel or silicon-electrical steel)</v>
      </c>
      <c r="G705" s="694"/>
      <c r="H705" s="694"/>
      <c r="I705" s="694"/>
      <c r="J705" s="694"/>
      <c r="K705" s="694"/>
      <c r="L705" s="694"/>
      <c r="M705" s="697" t="str">
        <f>Translations!$B$611</f>
        <v>Iron or steel products</v>
      </c>
      <c r="N705" s="620"/>
      <c r="O705" s="428"/>
    </row>
    <row r="706" spans="1:15" ht="12.75" customHeight="1" x14ac:dyDescent="0.2">
      <c r="A706" s="92"/>
      <c r="B706" s="144"/>
      <c r="C706" s="144"/>
      <c r="D706" s="144"/>
      <c r="E706" s="693" t="s">
        <v>1803</v>
      </c>
      <c r="F706" s="693" t="str">
        <f>Translations!$B$1110</f>
        <v>Flat-rolled products of alloy steel other than stainless, of a width of &lt; 600 mm, hot-rolled or cold-rolled "cold-reduced" and further worked (excl. products of high-speed steel or silicon-electrical steel)</v>
      </c>
      <c r="G706" s="694"/>
      <c r="H706" s="694"/>
      <c r="I706" s="694"/>
      <c r="J706" s="694"/>
      <c r="K706" s="694"/>
      <c r="L706" s="694"/>
      <c r="M706" s="697" t="str">
        <f>Translations!$B$611</f>
        <v>Iron or steel products</v>
      </c>
      <c r="N706" s="620"/>
      <c r="O706" s="428"/>
    </row>
    <row r="707" spans="1:15" ht="12.75" customHeight="1" x14ac:dyDescent="0.2">
      <c r="A707" s="92"/>
      <c r="B707" s="144"/>
      <c r="C707" s="144"/>
      <c r="D707" s="144"/>
      <c r="E707" s="693" t="s">
        <v>1806</v>
      </c>
      <c r="F707" s="693" t="str">
        <f>Translations!$B$1111</f>
        <v>Flat-rolled products of alloy steel other than stainless, of a width of &lt; 600 mm, hot-rolled or cold-rolled "cold-reduced" and electrolytically plated or coated with zinc (excl. products of high-speed steel or silicon-electrical steel)</v>
      </c>
      <c r="G707" s="694"/>
      <c r="H707" s="694"/>
      <c r="I707" s="694"/>
      <c r="J707" s="694"/>
      <c r="K707" s="694"/>
      <c r="L707" s="694"/>
      <c r="M707" s="697" t="str">
        <f>Translations!$B$611</f>
        <v>Iron or steel products</v>
      </c>
      <c r="N707" s="620"/>
      <c r="O707" s="428"/>
    </row>
    <row r="708" spans="1:15" ht="12.75" customHeight="1" x14ac:dyDescent="0.2">
      <c r="A708" s="92"/>
      <c r="B708" s="144"/>
      <c r="C708" s="144"/>
      <c r="D708" s="144"/>
      <c r="E708" s="693" t="s">
        <v>1809</v>
      </c>
      <c r="F708" s="693" t="str">
        <f>Translations!$B$1112</f>
        <v>Flat-rolled products of alloy steel other than stainless, of a width of &lt; 600 mm, hot-rolled or cold-rolled "cold-reduced" and plated or coated with zinc (excl. electrolytically plated or coated, and products of high-speed steel or silicon-electrical steel)</v>
      </c>
      <c r="G708" s="694"/>
      <c r="H708" s="694"/>
      <c r="I708" s="694"/>
      <c r="J708" s="694"/>
      <c r="K708" s="694"/>
      <c r="L708" s="694"/>
      <c r="M708" s="697" t="str">
        <f>Translations!$B$611</f>
        <v>Iron or steel products</v>
      </c>
      <c r="N708" s="620"/>
      <c r="O708" s="428"/>
    </row>
    <row r="709" spans="1:15" ht="12.75" customHeight="1" x14ac:dyDescent="0.2">
      <c r="A709" s="92"/>
      <c r="B709" s="144"/>
      <c r="C709" s="144"/>
      <c r="D709" s="144"/>
      <c r="E709" s="693" t="s">
        <v>1812</v>
      </c>
      <c r="F709" s="693" t="str">
        <f>Translations!$B$1113</f>
        <v>Flat-rolled products of alloy steel other than stainless, of a width of &lt; 600 mm, hot-rolled or cold-rolled "cold-reduced" and further worked (excl. plated or coated with zinc, and products of high-speed steel or silicon-electrical steel)</v>
      </c>
      <c r="G709" s="694"/>
      <c r="H709" s="694"/>
      <c r="I709" s="694"/>
      <c r="J709" s="694"/>
      <c r="K709" s="694"/>
      <c r="L709" s="694"/>
      <c r="M709" s="697" t="str">
        <f>Translations!$B$611</f>
        <v>Iron or steel products</v>
      </c>
      <c r="N709" s="620"/>
      <c r="O709" s="428"/>
    </row>
    <row r="710" spans="1:15" ht="12.75" customHeight="1" x14ac:dyDescent="0.2">
      <c r="A710" s="92"/>
      <c r="B710" s="144"/>
      <c r="C710" s="144"/>
      <c r="D710" s="144"/>
      <c r="E710" s="693" t="s">
        <v>1814</v>
      </c>
      <c r="F710" s="693" t="str">
        <f>Translations!$B$1114</f>
        <v>Bars and rods of alloy steel other than stainless, hot-rolled, in irregularly wound coils</v>
      </c>
      <c r="G710" s="694"/>
      <c r="H710" s="694"/>
      <c r="I710" s="694"/>
      <c r="J710" s="694"/>
      <c r="K710" s="694"/>
      <c r="L710" s="694"/>
      <c r="M710" s="697" t="str">
        <f>Translations!$B$611</f>
        <v>Iron or steel products</v>
      </c>
      <c r="N710" s="620"/>
      <c r="O710" s="428"/>
    </row>
    <row r="711" spans="1:15" ht="12.75" customHeight="1" x14ac:dyDescent="0.2">
      <c r="A711" s="92"/>
      <c r="B711" s="144"/>
      <c r="C711" s="144"/>
      <c r="D711" s="144"/>
      <c r="E711" s="693" t="s">
        <v>1817</v>
      </c>
      <c r="F711" s="693" t="str">
        <f>Translations!$B$1115</f>
        <v>Bars and rods of high-speed steel, hot-rolled, in irregularly wound coils</v>
      </c>
      <c r="G711" s="694"/>
      <c r="H711" s="694"/>
      <c r="I711" s="694"/>
      <c r="J711" s="694"/>
      <c r="K711" s="694"/>
      <c r="L711" s="694"/>
      <c r="M711" s="697" t="str">
        <f>Translations!$B$611</f>
        <v>Iron or steel products</v>
      </c>
      <c r="N711" s="620"/>
      <c r="O711" s="428"/>
    </row>
    <row r="712" spans="1:15" ht="12.75" customHeight="1" x14ac:dyDescent="0.2">
      <c r="A712" s="92"/>
      <c r="B712" s="144"/>
      <c r="C712" s="144"/>
      <c r="D712" s="144"/>
      <c r="E712" s="693" t="s">
        <v>1820</v>
      </c>
      <c r="F712" s="693" t="str">
        <f>Translations!$B$1116</f>
        <v>Bars and rods of silico-manganese steel, hot-rolled, in irregularly wound coils</v>
      </c>
      <c r="G712" s="694"/>
      <c r="H712" s="694"/>
      <c r="I712" s="694"/>
      <c r="J712" s="694"/>
      <c r="K712" s="694"/>
      <c r="L712" s="694"/>
      <c r="M712" s="697" t="str">
        <f>Translations!$B$611</f>
        <v>Iron or steel products</v>
      </c>
      <c r="N712" s="620"/>
      <c r="O712" s="428"/>
    </row>
    <row r="713" spans="1:15" ht="12.75" customHeight="1" x14ac:dyDescent="0.2">
      <c r="A713" s="92"/>
      <c r="B713" s="144"/>
      <c r="C713" s="144"/>
      <c r="D713" s="144"/>
      <c r="E713" s="693" t="s">
        <v>1822</v>
      </c>
      <c r="F713" s="693" t="str">
        <f>Translations!$B$1117</f>
        <v>Bars and rods of alloy steel other than stainless, hot-rolled, in irregularly wound coils (excl. products of high-speed steel or silicon-electrical steel)</v>
      </c>
      <c r="G713" s="694"/>
      <c r="H713" s="694"/>
      <c r="I713" s="694"/>
      <c r="J713" s="694"/>
      <c r="K713" s="694"/>
      <c r="L713" s="694"/>
      <c r="M713" s="697" t="str">
        <f>Translations!$B$611</f>
        <v>Iron or steel products</v>
      </c>
      <c r="N713" s="620"/>
      <c r="O713" s="428"/>
    </row>
    <row r="714" spans="1:15" ht="12.75" customHeight="1" x14ac:dyDescent="0.2">
      <c r="A714" s="92"/>
      <c r="B714" s="144"/>
      <c r="C714" s="144"/>
      <c r="D714" s="144"/>
      <c r="E714" s="693" t="s">
        <v>1825</v>
      </c>
      <c r="F714" s="693" t="str">
        <f>Translations!$B$1118</f>
        <v>Bars and rods, hot-rolled, of steel containing by weight &gt;= 0,0008% of boron with any other element &lt; the minimum content referred to in Note 1 f to this chapter, in irregularly wound coils</v>
      </c>
      <c r="G714" s="694"/>
      <c r="H714" s="694"/>
      <c r="I714" s="694"/>
      <c r="J714" s="694"/>
      <c r="K714" s="694"/>
      <c r="L714" s="694"/>
      <c r="M714" s="697" t="str">
        <f>Translations!$B$611</f>
        <v>Iron or steel products</v>
      </c>
      <c r="N714" s="620"/>
      <c r="O714" s="428"/>
    </row>
    <row r="715" spans="1:15" ht="12.75" customHeight="1" x14ac:dyDescent="0.2">
      <c r="A715" s="92"/>
      <c r="B715" s="144"/>
      <c r="C715" s="144"/>
      <c r="D715" s="144"/>
      <c r="E715" s="693" t="s">
        <v>1828</v>
      </c>
      <c r="F715" s="693" t="str">
        <f>Translations!$B$1119</f>
        <v>Bars and rods, hot-rolled, of steel containing by weight 0,9% to 1,15% carbon, 0,5% to 2% of chromium and, if present, &lt;= 0,5 of molybdenum, in irregularly wound coils</v>
      </c>
      <c r="G715" s="694"/>
      <c r="H715" s="694"/>
      <c r="I715" s="694"/>
      <c r="J715" s="694"/>
      <c r="K715" s="694"/>
      <c r="L715" s="694"/>
      <c r="M715" s="697" t="str">
        <f>Translations!$B$611</f>
        <v>Iron or steel products</v>
      </c>
      <c r="N715" s="620"/>
      <c r="O715" s="428"/>
    </row>
    <row r="716" spans="1:15" ht="12.75" customHeight="1" x14ac:dyDescent="0.2">
      <c r="A716" s="92"/>
      <c r="B716" s="144"/>
      <c r="C716" s="144"/>
      <c r="D716" s="144"/>
      <c r="E716" s="693" t="s">
        <v>1831</v>
      </c>
      <c r="F716" s="693" t="str">
        <f>Translations!$B$1120</f>
        <v>Bars and rods, hot-rolled, in irregularly wound coils of alloy steel other than stainless (excl. of high-speed steel or silico-manganese steel and bars and rods of subheadings 7227.90.10 and 7227.90.50)</v>
      </c>
      <c r="G716" s="694"/>
      <c r="H716" s="694"/>
      <c r="I716" s="694"/>
      <c r="J716" s="694"/>
      <c r="K716" s="694"/>
      <c r="L716" s="694"/>
      <c r="M716" s="697" t="str">
        <f>Translations!$B$611</f>
        <v>Iron or steel products</v>
      </c>
      <c r="N716" s="620"/>
      <c r="O716" s="428"/>
    </row>
    <row r="717" spans="1:15" ht="12.75" customHeight="1" x14ac:dyDescent="0.2">
      <c r="A717" s="92"/>
      <c r="B717" s="144"/>
      <c r="C717" s="144"/>
      <c r="D717" s="144"/>
      <c r="E717" s="693" t="s">
        <v>1833</v>
      </c>
      <c r="F717" s="693" t="str">
        <f>Translations!$B$1121</f>
        <v>Other bars and rods of alloy steel other than stainless, angles, shapes and sections of alloy steel other than stainless, n.e.s.; hollow drill bars and rods, of alloy or non-alloy steel</v>
      </c>
      <c r="G717" s="694"/>
      <c r="H717" s="694"/>
      <c r="I717" s="694"/>
      <c r="J717" s="694"/>
      <c r="K717" s="694"/>
      <c r="L717" s="694"/>
      <c r="M717" s="697" t="str">
        <f>Translations!$B$611</f>
        <v>Iron or steel products</v>
      </c>
      <c r="N717" s="620"/>
      <c r="O717" s="428"/>
    </row>
    <row r="718" spans="1:15" ht="12.75" customHeight="1" x14ac:dyDescent="0.2">
      <c r="A718" s="92"/>
      <c r="B718" s="144"/>
      <c r="C718" s="144"/>
      <c r="D718" s="144"/>
      <c r="E718" s="693" t="s">
        <v>1835</v>
      </c>
      <c r="F718" s="693" t="str">
        <f>Translations!$B$1122</f>
        <v>Bars and rods of high-speed steel (excl. semi-finished products, flat-rolled products and hot-rolled bars and rods in irregularly wound coils)</v>
      </c>
      <c r="G718" s="694"/>
      <c r="H718" s="694"/>
      <c r="I718" s="694"/>
      <c r="J718" s="694"/>
      <c r="K718" s="694"/>
      <c r="L718" s="694"/>
      <c r="M718" s="697" t="str">
        <f>Translations!$B$611</f>
        <v>Iron or steel products</v>
      </c>
      <c r="N718" s="620"/>
      <c r="O718" s="428"/>
    </row>
    <row r="719" spans="1:15" ht="12.75" customHeight="1" x14ac:dyDescent="0.2">
      <c r="A719" s="92"/>
      <c r="B719" s="144"/>
      <c r="C719" s="144"/>
      <c r="D719" s="144"/>
      <c r="E719" s="693" t="s">
        <v>1838</v>
      </c>
      <c r="F719" s="693" t="str">
        <f>Translations!$B$1123</f>
        <v>Bars and rods of high-speed steel, not further worked than hot-rolled, hot-drawn or extruded, and hot-rolled, hot-drawn or extruded, not further worked than clad (excl. semi-finished products, flat-rolled products and hot-rolled bars and rods in irregularly wound coils)</v>
      </c>
      <c r="G719" s="694"/>
      <c r="H719" s="694"/>
      <c r="I719" s="694"/>
      <c r="J719" s="694"/>
      <c r="K719" s="694"/>
      <c r="L719" s="694"/>
      <c r="M719" s="697" t="str">
        <f>Translations!$B$611</f>
        <v>Iron or steel products</v>
      </c>
      <c r="N719" s="620"/>
      <c r="O719" s="428"/>
    </row>
    <row r="720" spans="1:15" ht="12.75" customHeight="1" x14ac:dyDescent="0.2">
      <c r="A720" s="92"/>
      <c r="B720" s="144"/>
      <c r="C720" s="144"/>
      <c r="D720" s="144"/>
      <c r="E720" s="693" t="s">
        <v>1841</v>
      </c>
      <c r="F720" s="693" t="str">
        <f>Translations!$B$1124</f>
        <v>Bars and rods of high-speed steel, forged (excl. semi-finished products, flat-rolled products and hot-rolled bars and rods in irregularly wound coils)</v>
      </c>
      <c r="G720" s="694"/>
      <c r="H720" s="694"/>
      <c r="I720" s="694"/>
      <c r="J720" s="694"/>
      <c r="K720" s="694"/>
      <c r="L720" s="694"/>
      <c r="M720" s="697" t="str">
        <f>Translations!$B$611</f>
        <v>Iron or steel products</v>
      </c>
      <c r="N720" s="620"/>
      <c r="O720" s="428"/>
    </row>
    <row r="721" spans="1:15" ht="12.75" customHeight="1" x14ac:dyDescent="0.2">
      <c r="A721" s="92"/>
      <c r="B721" s="144"/>
      <c r="C721" s="144"/>
      <c r="D721" s="144"/>
      <c r="E721" s="693" t="s">
        <v>1844</v>
      </c>
      <c r="F721" s="693" t="str">
        <f>Translations!$B$1125</f>
        <v>Bars and rods of high-speed steel, not further worked than cold-formed or cold-finished, whether or not further worked, or hot-formed and further worked (excl. forged products, semi-finished products, flat-rolled products and hot-rolled bars and rods in irregularly wound coils)</v>
      </c>
      <c r="G721" s="694"/>
      <c r="H721" s="694"/>
      <c r="I721" s="694"/>
      <c r="J721" s="694"/>
      <c r="K721" s="694"/>
      <c r="L721" s="694"/>
      <c r="M721" s="697" t="str">
        <f>Translations!$B$611</f>
        <v>Iron or steel products</v>
      </c>
      <c r="N721" s="620"/>
      <c r="O721" s="428"/>
    </row>
    <row r="722" spans="1:15" ht="12.75" customHeight="1" x14ac:dyDescent="0.2">
      <c r="A722" s="92"/>
      <c r="B722" s="144"/>
      <c r="C722" s="144"/>
      <c r="D722" s="144"/>
      <c r="E722" s="693" t="s">
        <v>1846</v>
      </c>
      <c r="F722" s="693" t="str">
        <f>Translations!$B$1126</f>
        <v>Bars and rods of silico-manganese steel (excl. semi-finished products, flat-rolled products and hot-rolled bars and rods in irregularly wound coils)</v>
      </c>
      <c r="G722" s="694"/>
      <c r="H722" s="694"/>
      <c r="I722" s="694"/>
      <c r="J722" s="694"/>
      <c r="K722" s="694"/>
      <c r="L722" s="694"/>
      <c r="M722" s="697" t="str">
        <f>Translations!$B$611</f>
        <v>Iron or steel products</v>
      </c>
      <c r="N722" s="620"/>
      <c r="O722" s="428"/>
    </row>
    <row r="723" spans="1:15" ht="12.75" customHeight="1" x14ac:dyDescent="0.2">
      <c r="A723" s="92"/>
      <c r="B723" s="144"/>
      <c r="C723" s="144"/>
      <c r="D723" s="144"/>
      <c r="E723" s="693" t="s">
        <v>1849</v>
      </c>
      <c r="F723" s="693" t="str">
        <f>Translations!$B$1127</f>
        <v>Bars and rods of silico-manganese steel, of rectangular "other than square" cross-section, hot-rolled on four faces (excl. semi-finished products, flat-rolled products and hot-rolled bars and rods in irregularly wound coils)</v>
      </c>
      <c r="G723" s="694"/>
      <c r="H723" s="694"/>
      <c r="I723" s="694"/>
      <c r="J723" s="694"/>
      <c r="K723" s="694"/>
      <c r="L723" s="694"/>
      <c r="M723" s="697" t="str">
        <f>Translations!$B$611</f>
        <v>Iron or steel products</v>
      </c>
      <c r="N723" s="620"/>
      <c r="O723" s="428"/>
    </row>
    <row r="724" spans="1:15" ht="12.75" customHeight="1" x14ac:dyDescent="0.2">
      <c r="A724" s="92"/>
      <c r="B724" s="144"/>
      <c r="C724" s="144"/>
      <c r="D724" s="144"/>
      <c r="E724" s="693" t="s">
        <v>1852</v>
      </c>
      <c r="F724" s="693" t="str">
        <f>Translations!$B$1128</f>
        <v>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v>
      </c>
      <c r="G724" s="694"/>
      <c r="H724" s="694"/>
      <c r="I724" s="694"/>
      <c r="J724" s="694"/>
      <c r="K724" s="694"/>
      <c r="L724" s="694"/>
      <c r="M724" s="697" t="str">
        <f>Translations!$B$611</f>
        <v>Iron or steel products</v>
      </c>
      <c r="N724" s="620"/>
      <c r="O724" s="428"/>
    </row>
    <row r="725" spans="1:15" ht="12.75" customHeight="1" x14ac:dyDescent="0.2">
      <c r="A725" s="92"/>
      <c r="B725" s="144"/>
      <c r="C725" s="144"/>
      <c r="D725" s="144"/>
      <c r="E725" s="693" t="s">
        <v>1855</v>
      </c>
      <c r="F725" s="693" t="str">
        <f>Translations!$B$1129</f>
        <v>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v>
      </c>
      <c r="G725" s="694"/>
      <c r="H725" s="694"/>
      <c r="I725" s="694"/>
      <c r="J725" s="694"/>
      <c r="K725" s="694"/>
      <c r="L725" s="694"/>
      <c r="M725" s="697" t="str">
        <f>Translations!$B$611</f>
        <v>Iron or steel products</v>
      </c>
      <c r="N725" s="620"/>
      <c r="O725" s="428"/>
    </row>
    <row r="726" spans="1:15" ht="12.75" customHeight="1" x14ac:dyDescent="0.2">
      <c r="A726" s="92"/>
      <c r="B726" s="144"/>
      <c r="C726" s="144"/>
      <c r="D726" s="144"/>
      <c r="E726" s="693" t="s">
        <v>1857</v>
      </c>
      <c r="F726" s="693" t="str">
        <f>Translations!$B$1130</f>
        <v>Bars and rods of alloy steel other than stainless, not further worked than hot-rolled, hot-drawn or extruded (excl. products of high-speed steel or silico-manganese steel, semi-finished products, flat-rolled products and hot-rolled bars and rods in irregularly wound coils)</v>
      </c>
      <c r="G726" s="694"/>
      <c r="H726" s="694"/>
      <c r="I726" s="694"/>
      <c r="J726" s="694"/>
      <c r="K726" s="694"/>
      <c r="L726" s="694"/>
      <c r="M726" s="697" t="str">
        <f>Translations!$B$611</f>
        <v>Iron or steel products</v>
      </c>
      <c r="N726" s="620"/>
      <c r="O726" s="428"/>
    </row>
    <row r="727" spans="1:15" ht="12.75" customHeight="1" x14ac:dyDescent="0.2">
      <c r="A727" s="92"/>
      <c r="B727" s="144"/>
      <c r="C727" s="144"/>
      <c r="D727" s="144"/>
      <c r="E727" s="693" t="s">
        <v>1860</v>
      </c>
      <c r="F727" s="693" t="str">
        <f>Translations!$B$1131</f>
        <v>Bars and rods of tool steel, only hot-rolled, only hot-drawn or only extruded (excl. semi-finished products, flat-rolled products and hot-rolled bars and rods in irregularly wound coils)</v>
      </c>
      <c r="G727" s="694"/>
      <c r="H727" s="694"/>
      <c r="I727" s="694"/>
      <c r="J727" s="694"/>
      <c r="K727" s="694"/>
      <c r="L727" s="694"/>
      <c r="M727" s="697" t="str">
        <f>Translations!$B$611</f>
        <v>Iron or steel products</v>
      </c>
      <c r="N727" s="620"/>
      <c r="O727" s="428"/>
    </row>
    <row r="728" spans="1:15" ht="12.75" customHeight="1" x14ac:dyDescent="0.2">
      <c r="A728" s="92"/>
      <c r="B728" s="144"/>
      <c r="C728" s="144"/>
      <c r="D728" s="144"/>
      <c r="E728" s="693" t="s">
        <v>1863</v>
      </c>
      <c r="F728" s="693" t="str">
        <f>Translations!$B$1132</f>
        <v>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v>
      </c>
      <c r="G728" s="694"/>
      <c r="H728" s="694"/>
      <c r="I728" s="694"/>
      <c r="J728" s="694"/>
      <c r="K728" s="694"/>
      <c r="L728" s="694"/>
      <c r="M728" s="697" t="str">
        <f>Translations!$B$611</f>
        <v>Iron or steel products</v>
      </c>
      <c r="N728" s="620"/>
      <c r="O728" s="428"/>
    </row>
    <row r="729" spans="1:15" ht="12.75" customHeight="1" x14ac:dyDescent="0.2">
      <c r="A729" s="92"/>
      <c r="B729" s="144"/>
      <c r="C729" s="144"/>
      <c r="D729" s="144"/>
      <c r="E729" s="693" t="s">
        <v>1866</v>
      </c>
      <c r="F729" s="693" t="str">
        <f>Translations!$B$1133</f>
        <v>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v>
      </c>
      <c r="G729" s="694"/>
      <c r="H729" s="694"/>
      <c r="I729" s="694"/>
      <c r="J729" s="694"/>
      <c r="K729" s="694"/>
      <c r="L729" s="694"/>
      <c r="M729" s="697" t="str">
        <f>Translations!$B$611</f>
        <v>Iron or steel products</v>
      </c>
      <c r="N729" s="620"/>
      <c r="O729" s="428"/>
    </row>
    <row r="730" spans="1:15" ht="12.75" customHeight="1" x14ac:dyDescent="0.2">
      <c r="A730" s="92"/>
      <c r="B730" s="144"/>
      <c r="C730" s="144"/>
      <c r="D730" s="144"/>
      <c r="E730" s="693" t="s">
        <v>1869</v>
      </c>
      <c r="F730" s="693" t="str">
        <f>Translations!$B$1134</f>
        <v>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v>
      </c>
      <c r="G730" s="694"/>
      <c r="H730" s="694"/>
      <c r="I730" s="694"/>
      <c r="J730" s="694"/>
      <c r="K730" s="694"/>
      <c r="L730" s="694"/>
      <c r="M730" s="697" t="str">
        <f>Translations!$B$611</f>
        <v>Iron or steel products</v>
      </c>
      <c r="N730" s="620"/>
      <c r="O730" s="428"/>
    </row>
    <row r="731" spans="1:15" ht="12.75" customHeight="1" x14ac:dyDescent="0.2">
      <c r="A731" s="92"/>
      <c r="B731" s="144"/>
      <c r="C731" s="144"/>
      <c r="D731" s="144"/>
      <c r="E731" s="693" t="s">
        <v>1872</v>
      </c>
      <c r="F731" s="693" t="str">
        <f>Translations!$B$1135</f>
        <v>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v>
      </c>
      <c r="G731" s="694"/>
      <c r="H731" s="694"/>
      <c r="I731" s="694"/>
      <c r="J731" s="694"/>
      <c r="K731" s="694"/>
      <c r="L731" s="694"/>
      <c r="M731" s="697" t="str">
        <f>Translations!$B$611</f>
        <v>Iron or steel products</v>
      </c>
      <c r="N731" s="620"/>
      <c r="O731" s="428"/>
    </row>
    <row r="732" spans="1:15" ht="12.75" customHeight="1" x14ac:dyDescent="0.2">
      <c r="A732" s="92"/>
      <c r="B732" s="144"/>
      <c r="C732" s="144"/>
      <c r="D732" s="144"/>
      <c r="E732" s="693" t="s">
        <v>1875</v>
      </c>
      <c r="F732" s="693" t="str">
        <f>Translations!$B$1136</f>
        <v>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v>
      </c>
      <c r="G732" s="694"/>
      <c r="H732" s="694"/>
      <c r="I732" s="694"/>
      <c r="J732" s="694"/>
      <c r="K732" s="694"/>
      <c r="L732" s="694"/>
      <c r="M732" s="697" t="str">
        <f>Translations!$B$611</f>
        <v>Iron or steel products</v>
      </c>
      <c r="N732" s="620"/>
      <c r="O732" s="428"/>
    </row>
    <row r="733" spans="1:15" ht="12.75" customHeight="1" x14ac:dyDescent="0.2">
      <c r="A733" s="92"/>
      <c r="B733" s="144"/>
      <c r="C733" s="144"/>
      <c r="D733" s="144"/>
      <c r="E733" s="693" t="s">
        <v>1878</v>
      </c>
      <c r="F733" s="693" t="str">
        <f>Translations!$B$1137</f>
        <v>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v>
      </c>
      <c r="G733" s="694"/>
      <c r="H733" s="694"/>
      <c r="I733" s="694"/>
      <c r="J733" s="694"/>
      <c r="K733" s="694"/>
      <c r="L733" s="694"/>
      <c r="M733" s="697" t="str">
        <f>Translations!$B$611</f>
        <v>Iron or steel products</v>
      </c>
      <c r="N733" s="620"/>
      <c r="O733" s="428"/>
    </row>
    <row r="734" spans="1:15" ht="12.75" customHeight="1" x14ac:dyDescent="0.2">
      <c r="A734" s="92"/>
      <c r="B734" s="144"/>
      <c r="C734" s="144"/>
      <c r="D734" s="144"/>
      <c r="E734" s="693" t="s">
        <v>1880</v>
      </c>
      <c r="F734" s="693" t="str">
        <f>Translations!$B$1138</f>
        <v>Bars and rods of alloy steel other than stainless, not further worked than forged (excl. products of high-speed steel or silico-manganese steel, semi-finished products, flat-rolled products and hot-rolled bars and rods in irregularly wound coils)</v>
      </c>
      <c r="G734" s="694"/>
      <c r="H734" s="694"/>
      <c r="I734" s="694"/>
      <c r="J734" s="694"/>
      <c r="K734" s="694"/>
      <c r="L734" s="694"/>
      <c r="M734" s="697" t="str">
        <f>Translations!$B$611</f>
        <v>Iron or steel products</v>
      </c>
      <c r="N734" s="620"/>
      <c r="O734" s="428"/>
    </row>
    <row r="735" spans="1:15" ht="12.75" customHeight="1" x14ac:dyDescent="0.2">
      <c r="A735" s="92"/>
      <c r="B735" s="144"/>
      <c r="C735" s="144"/>
      <c r="D735" s="144"/>
      <c r="E735" s="693" t="s">
        <v>1883</v>
      </c>
      <c r="F735" s="693" t="str">
        <f>Translations!$B$1139</f>
        <v>Bars and rods of tool steel, only forged (excl. semi-finished products, flat-rolled products and hot-rolled bars and rods in irregularly wound coils)</v>
      </c>
      <c r="G735" s="694"/>
      <c r="H735" s="694"/>
      <c r="I735" s="694"/>
      <c r="J735" s="694"/>
      <c r="K735" s="694"/>
      <c r="L735" s="694"/>
      <c r="M735" s="697" t="str">
        <f>Translations!$B$611</f>
        <v>Iron or steel products</v>
      </c>
      <c r="N735" s="620"/>
      <c r="O735" s="428"/>
    </row>
    <row r="736" spans="1:15" ht="12.75" customHeight="1" x14ac:dyDescent="0.2">
      <c r="A736" s="92"/>
      <c r="B736" s="144"/>
      <c r="C736" s="144"/>
      <c r="D736" s="144"/>
      <c r="E736" s="693" t="s">
        <v>1886</v>
      </c>
      <c r="F736" s="693" t="str">
        <f>Translations!$B$1140</f>
        <v>Bars and rods of alloy steel, other than stainless steel, only forged (excl. of high-speed steel, silico-manganese steel, tool steel, semi-finished products, flat-rolled products and hot-rolled bars and rods in irregularly wound coils)</v>
      </c>
      <c r="G736" s="694"/>
      <c r="H736" s="694"/>
      <c r="I736" s="694"/>
      <c r="J736" s="694"/>
      <c r="K736" s="694"/>
      <c r="L736" s="694"/>
      <c r="M736" s="697" t="str">
        <f>Translations!$B$611</f>
        <v>Iron or steel products</v>
      </c>
      <c r="N736" s="620"/>
      <c r="O736" s="428"/>
    </row>
    <row r="737" spans="1:15" ht="12.75" customHeight="1" x14ac:dyDescent="0.2">
      <c r="A737" s="92"/>
      <c r="B737" s="144"/>
      <c r="C737" s="144"/>
      <c r="D737" s="144"/>
      <c r="E737" s="693" t="s">
        <v>1888</v>
      </c>
      <c r="F737" s="693" t="str">
        <f>Translations!$B$1141</f>
        <v>Bars and rods of alloy steel other than stainless, not further worked than cold-formed or cold-finished (excl. products of high-speed steel or silico-manganese steel, semi-finished products, flat-rolled products and hot-rolled bars and rods in irregularly wound coils)</v>
      </c>
      <c r="G737" s="694"/>
      <c r="H737" s="694"/>
      <c r="I737" s="694"/>
      <c r="J737" s="694"/>
      <c r="K737" s="694"/>
      <c r="L737" s="694"/>
      <c r="M737" s="697" t="str">
        <f>Translations!$B$611</f>
        <v>Iron or steel products</v>
      </c>
      <c r="N737" s="620"/>
      <c r="O737" s="428"/>
    </row>
    <row r="738" spans="1:15" ht="12.75" customHeight="1" x14ac:dyDescent="0.2">
      <c r="A738" s="92"/>
      <c r="B738" s="144"/>
      <c r="C738" s="144"/>
      <c r="D738" s="144"/>
      <c r="E738" s="693" t="s">
        <v>1891</v>
      </c>
      <c r="F738" s="693" t="str">
        <f>Translations!$B$1142</f>
        <v>Bars and rods of tool steel, only cold-formed or cold-finished (excl. semi-finished products, flat-rolled products and hot-rolled bars and rods in irregularly wound coils)</v>
      </c>
      <c r="G738" s="694"/>
      <c r="H738" s="694"/>
      <c r="I738" s="694"/>
      <c r="J738" s="694"/>
      <c r="K738" s="694"/>
      <c r="L738" s="694"/>
      <c r="M738" s="697" t="str">
        <f>Translations!$B$611</f>
        <v>Iron or steel products</v>
      </c>
      <c r="N738" s="620"/>
      <c r="O738" s="428"/>
    </row>
    <row r="739" spans="1:15" ht="12.75" customHeight="1" x14ac:dyDescent="0.2">
      <c r="A739" s="92"/>
      <c r="B739" s="144"/>
      <c r="C739" s="144"/>
      <c r="D739" s="144"/>
      <c r="E739" s="693" t="s">
        <v>1894</v>
      </c>
      <c r="F739" s="693" t="str">
        <f>Translations!$B$1143</f>
        <v>Bars and rods of steel containing 0,9% to 1,15% of carbon, 0,5% to 2% of chromium and, if present &lt;= 0,5% of molybdenum, only cold-formed or cold-finished (excl. semi-finished products, flat-rolled products and hot-rolled bars and rods in irregularly wound coils)</v>
      </c>
      <c r="G739" s="694"/>
      <c r="H739" s="694"/>
      <c r="I739" s="694"/>
      <c r="J739" s="694"/>
      <c r="K739" s="694"/>
      <c r="L739" s="694"/>
      <c r="M739" s="697" t="str">
        <f>Translations!$B$611</f>
        <v>Iron or steel products</v>
      </c>
      <c r="N739" s="620"/>
      <c r="O739" s="428"/>
    </row>
    <row r="740" spans="1:15" ht="12.75" customHeight="1" x14ac:dyDescent="0.2">
      <c r="A740" s="92"/>
      <c r="B740" s="144"/>
      <c r="C740" s="144"/>
      <c r="D740" s="144"/>
      <c r="E740" s="693" t="s">
        <v>1897</v>
      </c>
      <c r="F740" s="693" t="str">
        <f>Translations!$B$1144</f>
        <v>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v>
      </c>
      <c r="G740" s="694"/>
      <c r="H740" s="694"/>
      <c r="I740" s="694"/>
      <c r="J740" s="694"/>
      <c r="K740" s="694"/>
      <c r="L740" s="694"/>
      <c r="M740" s="697" t="str">
        <f>Translations!$B$611</f>
        <v>Iron or steel products</v>
      </c>
      <c r="N740" s="620"/>
      <c r="O740" s="428"/>
    </row>
    <row r="741" spans="1:15" ht="12.75" customHeight="1" x14ac:dyDescent="0.2">
      <c r="A741" s="92"/>
      <c r="B741" s="144"/>
      <c r="C741" s="144"/>
      <c r="D741" s="144"/>
      <c r="E741" s="693" t="s">
        <v>1900</v>
      </c>
      <c r="F741" s="693" t="str">
        <f>Translations!$B$1145</f>
        <v>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v>
      </c>
      <c r="G741" s="694"/>
      <c r="H741" s="694"/>
      <c r="I741" s="694"/>
      <c r="J741" s="694"/>
      <c r="K741" s="694"/>
      <c r="L741" s="694"/>
      <c r="M741" s="697" t="str">
        <f>Translations!$B$611</f>
        <v>Iron or steel products</v>
      </c>
      <c r="N741" s="620"/>
      <c r="O741" s="428"/>
    </row>
    <row r="742" spans="1:15" ht="12.75" customHeight="1" x14ac:dyDescent="0.2">
      <c r="A742" s="92"/>
      <c r="B742" s="144"/>
      <c r="C742" s="144"/>
      <c r="D742" s="144"/>
      <c r="E742" s="693" t="s">
        <v>1903</v>
      </c>
      <c r="F742" s="693" t="str">
        <f>Translations!$B$1146</f>
        <v>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v>
      </c>
      <c r="G742" s="694"/>
      <c r="H742" s="694"/>
      <c r="I742" s="694"/>
      <c r="J742" s="694"/>
      <c r="K742" s="694"/>
      <c r="L742" s="694"/>
      <c r="M742" s="697" t="str">
        <f>Translations!$B$611</f>
        <v>Iron or steel products</v>
      </c>
      <c r="N742" s="620"/>
      <c r="O742" s="428"/>
    </row>
    <row r="743" spans="1:15" ht="12.75" customHeight="1" x14ac:dyDescent="0.2">
      <c r="A743" s="92"/>
      <c r="B743" s="144"/>
      <c r="C743" s="144"/>
      <c r="D743" s="144"/>
      <c r="E743" s="693" t="s">
        <v>1905</v>
      </c>
      <c r="F743" s="693" t="str">
        <f>Translations!$B$1147</f>
        <v>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v>
      </c>
      <c r="G743" s="694"/>
      <c r="H743" s="694"/>
      <c r="I743" s="694"/>
      <c r="J743" s="694"/>
      <c r="K743" s="694"/>
      <c r="L743" s="694"/>
      <c r="M743" s="697" t="str">
        <f>Translations!$B$611</f>
        <v>Iron or steel products</v>
      </c>
      <c r="N743" s="620"/>
      <c r="O743" s="428"/>
    </row>
    <row r="744" spans="1:15" ht="12.75" customHeight="1" x14ac:dyDescent="0.2">
      <c r="A744" s="92"/>
      <c r="B744" s="144"/>
      <c r="C744" s="144"/>
      <c r="D744" s="144"/>
      <c r="E744" s="693" t="s">
        <v>1908</v>
      </c>
      <c r="F744" s="693" t="str">
        <f>Translations!$B$1148</f>
        <v>Bars and rods of tool steel, cold-formed or cold-finished and further worked or hot-formed and further worked (excl. semi-finished products, flat-rolled products and hot-rolled bars and rods in irregularly wound coils)</v>
      </c>
      <c r="G744" s="694"/>
      <c r="H744" s="694"/>
      <c r="I744" s="694"/>
      <c r="J744" s="694"/>
      <c r="K744" s="694"/>
      <c r="L744" s="694"/>
      <c r="M744" s="697" t="str">
        <f>Translations!$B$611</f>
        <v>Iron or steel products</v>
      </c>
      <c r="N744" s="620"/>
      <c r="O744" s="428"/>
    </row>
    <row r="745" spans="1:15" ht="12.75" customHeight="1" x14ac:dyDescent="0.2">
      <c r="A745" s="92"/>
      <c r="B745" s="144"/>
      <c r="C745" s="144"/>
      <c r="D745" s="144"/>
      <c r="E745" s="693" t="s">
        <v>1911</v>
      </c>
      <c r="F745" s="693" t="str">
        <f>Translations!$B$1149</f>
        <v>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v>
      </c>
      <c r="G745" s="694"/>
      <c r="H745" s="694"/>
      <c r="I745" s="694"/>
      <c r="J745" s="694"/>
      <c r="K745" s="694"/>
      <c r="L745" s="694"/>
      <c r="M745" s="697" t="str">
        <f>Translations!$B$611</f>
        <v>Iron or steel products</v>
      </c>
      <c r="N745" s="620"/>
      <c r="O745" s="428"/>
    </row>
    <row r="746" spans="1:15" ht="12.75" customHeight="1" x14ac:dyDescent="0.2">
      <c r="A746" s="92"/>
      <c r="B746" s="144"/>
      <c r="C746" s="144"/>
      <c r="D746" s="144"/>
      <c r="E746" s="693" t="s">
        <v>1913</v>
      </c>
      <c r="F746" s="693" t="str">
        <f>Translations!$B$1150</f>
        <v>Angles, shapes and sections of alloy steel other than stainless, n.e.s.</v>
      </c>
      <c r="G746" s="694"/>
      <c r="H746" s="694"/>
      <c r="I746" s="694"/>
      <c r="J746" s="694"/>
      <c r="K746" s="694"/>
      <c r="L746" s="694"/>
      <c r="M746" s="697" t="str">
        <f>Translations!$B$611</f>
        <v>Iron or steel products</v>
      </c>
      <c r="N746" s="620"/>
      <c r="O746" s="428"/>
    </row>
    <row r="747" spans="1:15" ht="12.75" customHeight="1" x14ac:dyDescent="0.2">
      <c r="A747" s="92"/>
      <c r="B747" s="144"/>
      <c r="C747" s="144"/>
      <c r="D747" s="144"/>
      <c r="E747" s="693" t="s">
        <v>1916</v>
      </c>
      <c r="F747" s="693" t="str">
        <f>Translations!$B$1151</f>
        <v>Angles, shapes and sections of alloy steel other than stainless, not further worked than hot-rolled, hot-drawn or extruded</v>
      </c>
      <c r="G747" s="694"/>
      <c r="H747" s="694"/>
      <c r="I747" s="694"/>
      <c r="J747" s="694"/>
      <c r="K747" s="694"/>
      <c r="L747" s="694"/>
      <c r="M747" s="697" t="str">
        <f>Translations!$B$611</f>
        <v>Iron or steel products</v>
      </c>
      <c r="N747" s="620"/>
      <c r="O747" s="428"/>
    </row>
    <row r="748" spans="1:15" ht="12.75" customHeight="1" x14ac:dyDescent="0.2">
      <c r="A748" s="92"/>
      <c r="B748" s="144"/>
      <c r="C748" s="144"/>
      <c r="D748" s="144"/>
      <c r="E748" s="693" t="s">
        <v>1919</v>
      </c>
      <c r="F748" s="693" t="str">
        <f>Translations!$B$1152</f>
        <v>Angles, shapes and sections of alloy steel other than stainless, n.e.s. (excl. products not further worked than hot-rolled, hot-drawn or extruded)</v>
      </c>
      <c r="G748" s="694"/>
      <c r="H748" s="694"/>
      <c r="I748" s="694"/>
      <c r="J748" s="694"/>
      <c r="K748" s="694"/>
      <c r="L748" s="694"/>
      <c r="M748" s="697" t="str">
        <f>Translations!$B$611</f>
        <v>Iron or steel products</v>
      </c>
      <c r="N748" s="620"/>
      <c r="O748" s="428"/>
    </row>
    <row r="749" spans="1:15" ht="12.75" customHeight="1" x14ac:dyDescent="0.2">
      <c r="A749" s="92"/>
      <c r="B749" s="144"/>
      <c r="C749" s="144"/>
      <c r="D749" s="144"/>
      <c r="E749" s="693" t="s">
        <v>1922</v>
      </c>
      <c r="F749" s="693" t="str">
        <f>Translations!$B$1153</f>
        <v>Hollow drill bars and rods, of alloy or non-alloy steel</v>
      </c>
      <c r="G749" s="694"/>
      <c r="H749" s="694"/>
      <c r="I749" s="694"/>
      <c r="J749" s="694"/>
      <c r="K749" s="694"/>
      <c r="L749" s="694"/>
      <c r="M749" s="697" t="str">
        <f>Translations!$B$611</f>
        <v>Iron or steel products</v>
      </c>
      <c r="N749" s="620"/>
      <c r="O749" s="428"/>
    </row>
    <row r="750" spans="1:15" ht="12.75" customHeight="1" x14ac:dyDescent="0.2">
      <c r="A750" s="92"/>
      <c r="B750" s="144"/>
      <c r="C750" s="144"/>
      <c r="D750" s="144"/>
      <c r="E750" s="693" t="s">
        <v>1924</v>
      </c>
      <c r="F750" s="693" t="str">
        <f>Translations!$B$1154</f>
        <v>Wire of alloy steel other than stainless, in coils (excl. bars and rods)</v>
      </c>
      <c r="G750" s="694"/>
      <c r="H750" s="694"/>
      <c r="I750" s="694"/>
      <c r="J750" s="694"/>
      <c r="K750" s="694"/>
      <c r="L750" s="694"/>
      <c r="M750" s="697" t="str">
        <f>Translations!$B$611</f>
        <v>Iron or steel products</v>
      </c>
      <c r="N750" s="620"/>
      <c r="O750" s="428"/>
    </row>
    <row r="751" spans="1:15" ht="12.75" customHeight="1" x14ac:dyDescent="0.2">
      <c r="A751" s="92"/>
      <c r="B751" s="144"/>
      <c r="C751" s="144"/>
      <c r="D751" s="144"/>
      <c r="E751" s="693" t="s">
        <v>1927</v>
      </c>
      <c r="F751" s="693" t="str">
        <f>Translations!$B$1155</f>
        <v>Wire of silico-manganese steel, in coils (excl. bars and rods)</v>
      </c>
      <c r="G751" s="694"/>
      <c r="H751" s="694"/>
      <c r="I751" s="694"/>
      <c r="J751" s="694"/>
      <c r="K751" s="694"/>
      <c r="L751" s="694"/>
      <c r="M751" s="697" t="str">
        <f>Translations!$B$611</f>
        <v>Iron or steel products</v>
      </c>
      <c r="N751" s="620"/>
      <c r="O751" s="428"/>
    </row>
    <row r="752" spans="1:15" ht="12.75" customHeight="1" x14ac:dyDescent="0.2">
      <c r="A752" s="92"/>
      <c r="B752" s="144"/>
      <c r="C752" s="144"/>
      <c r="D752" s="144"/>
      <c r="E752" s="693" t="s">
        <v>1929</v>
      </c>
      <c r="F752" s="693" t="str">
        <f>Translations!$B$1156</f>
        <v>Wire of alloy steel other than stainless, in coils (excl. bars and rods and wire of silico-manganese steel)</v>
      </c>
      <c r="G752" s="694"/>
      <c r="H752" s="694"/>
      <c r="I752" s="694"/>
      <c r="J752" s="694"/>
      <c r="K752" s="694"/>
      <c r="L752" s="694"/>
      <c r="M752" s="697" t="str">
        <f>Translations!$B$611</f>
        <v>Iron or steel products</v>
      </c>
      <c r="N752" s="620"/>
      <c r="O752" s="428"/>
    </row>
    <row r="753" spans="1:15" ht="12.75" customHeight="1" x14ac:dyDescent="0.2">
      <c r="A753" s="92"/>
      <c r="B753" s="144"/>
      <c r="C753" s="144"/>
      <c r="D753" s="144"/>
      <c r="E753" s="693" t="s">
        <v>1932</v>
      </c>
      <c r="F753" s="693" t="str">
        <f>Translations!$B$1157</f>
        <v>Wire of high-speed steel, in coils (excl. bars and rods)</v>
      </c>
      <c r="G753" s="694"/>
      <c r="H753" s="694"/>
      <c r="I753" s="694"/>
      <c r="J753" s="694"/>
      <c r="K753" s="694"/>
      <c r="L753" s="694"/>
      <c r="M753" s="697" t="str">
        <f>Translations!$B$611</f>
        <v>Iron or steel products</v>
      </c>
      <c r="N753" s="620"/>
      <c r="O753" s="428"/>
    </row>
    <row r="754" spans="1:15" ht="12.75" customHeight="1" x14ac:dyDescent="0.2">
      <c r="A754" s="92"/>
      <c r="B754" s="144"/>
      <c r="C754" s="144"/>
      <c r="D754" s="144"/>
      <c r="E754" s="693" t="s">
        <v>1935</v>
      </c>
      <c r="F754" s="693" t="str">
        <f>Translations!$B$1158</f>
        <v>Wire of steel containing by weight 0,9% to 1,1% of carbon, 0,5% to 2% of chromium and, if present, &lt;= 0,5% of molybdenum, in coils (excl. rolled bars and rods)</v>
      </c>
      <c r="G754" s="694"/>
      <c r="H754" s="694"/>
      <c r="I754" s="694"/>
      <c r="J754" s="694"/>
      <c r="K754" s="694"/>
      <c r="L754" s="694"/>
      <c r="M754" s="697" t="str">
        <f>Translations!$B$611</f>
        <v>Iron or steel products</v>
      </c>
      <c r="N754" s="620"/>
      <c r="O754" s="428"/>
    </row>
    <row r="755" spans="1:15" ht="12.75" customHeight="1" x14ac:dyDescent="0.2">
      <c r="A755" s="92"/>
      <c r="B755" s="144"/>
      <c r="C755" s="144"/>
      <c r="D755" s="144"/>
      <c r="E755" s="693" t="s">
        <v>1938</v>
      </c>
      <c r="F755" s="693" t="str">
        <f>Translations!$B$1159</f>
        <v>Wire of alloy steel other than stainless, in coils (excl. rolled bars and rods, wire of high-speed steel or silico-manganese steel and articles of subheading 7229.90.50)</v>
      </c>
      <c r="G755" s="694"/>
      <c r="H755" s="694"/>
      <c r="I755" s="694"/>
      <c r="J755" s="694"/>
      <c r="K755" s="694"/>
      <c r="L755" s="694"/>
      <c r="M755" s="697" t="str">
        <f>Translations!$B$611</f>
        <v>Iron or steel products</v>
      </c>
      <c r="N755" s="620"/>
      <c r="O755" s="428"/>
    </row>
    <row r="756" spans="1:15" ht="12.75" customHeight="1" x14ac:dyDescent="0.2">
      <c r="A756" s="92"/>
      <c r="B756" s="144"/>
      <c r="C756" s="144"/>
      <c r="D756" s="144"/>
      <c r="E756" s="693" t="s">
        <v>1940</v>
      </c>
      <c r="F756" s="693" t="str">
        <f>Translations!$B$1160</f>
        <v>Sheet piling of iron or steel, whether or not drilled, punched or made from assembled elements; welded angles, shapes and sections, of iron or steel</v>
      </c>
      <c r="G756" s="694"/>
      <c r="H756" s="694"/>
      <c r="I756" s="694"/>
      <c r="J756" s="694"/>
      <c r="K756" s="694"/>
      <c r="L756" s="694"/>
      <c r="M756" s="697" t="str">
        <f>Translations!$B$611</f>
        <v>Iron or steel products</v>
      </c>
      <c r="N756" s="620"/>
      <c r="O756" s="428"/>
    </row>
    <row r="757" spans="1:15" ht="12.75" customHeight="1" x14ac:dyDescent="0.2">
      <c r="A757" s="92"/>
      <c r="B757" s="144"/>
      <c r="C757" s="144"/>
      <c r="D757" s="144"/>
      <c r="E757" s="693" t="s">
        <v>1943</v>
      </c>
      <c r="F757" s="693" t="str">
        <f>Translations!$B$1161</f>
        <v>Sheet piling of iron or steel, whether or not drilled, punched or made from assembled elements</v>
      </c>
      <c r="G757" s="694"/>
      <c r="H757" s="694"/>
      <c r="I757" s="694"/>
      <c r="J757" s="694"/>
      <c r="K757" s="694"/>
      <c r="L757" s="694"/>
      <c r="M757" s="697" t="str">
        <f>Translations!$B$611</f>
        <v>Iron or steel products</v>
      </c>
      <c r="N757" s="620"/>
      <c r="O757" s="428"/>
    </row>
    <row r="758" spans="1:15" ht="12.75" customHeight="1" x14ac:dyDescent="0.2">
      <c r="A758" s="92"/>
      <c r="B758" s="144"/>
      <c r="C758" s="144"/>
      <c r="D758" s="144"/>
      <c r="E758" s="693" t="s">
        <v>1946</v>
      </c>
      <c r="F758" s="693" t="str">
        <f>Translations!$B$1162</f>
        <v>Angles, shapes and sections, of iron or steel, welded</v>
      </c>
      <c r="G758" s="694"/>
      <c r="H758" s="694"/>
      <c r="I758" s="694"/>
      <c r="J758" s="694"/>
      <c r="K758" s="694"/>
      <c r="L758" s="694"/>
      <c r="M758" s="697" t="str">
        <f>Translations!$B$611</f>
        <v>Iron or steel products</v>
      </c>
      <c r="N758" s="620"/>
      <c r="O758" s="428"/>
    </row>
    <row r="759" spans="1:15" ht="12.75" customHeight="1" x14ac:dyDescent="0.2">
      <c r="A759" s="92"/>
      <c r="B759" s="144"/>
      <c r="C759" s="144"/>
      <c r="D759" s="144"/>
      <c r="E759" s="693" t="s">
        <v>1948</v>
      </c>
      <c r="F759" s="693" t="str">
        <f>Translations!$B$1163</f>
        <v>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specialised for jointing or fixing rails</v>
      </c>
      <c r="G759" s="694"/>
      <c r="H759" s="694"/>
      <c r="I759" s="694"/>
      <c r="J759" s="694"/>
      <c r="K759" s="694"/>
      <c r="L759" s="694"/>
      <c r="M759" s="697" t="str">
        <f>Translations!$B$611</f>
        <v>Iron or steel products</v>
      </c>
      <c r="N759" s="620"/>
      <c r="O759" s="428"/>
    </row>
    <row r="760" spans="1:15" ht="12.75" customHeight="1" x14ac:dyDescent="0.2">
      <c r="A760" s="92"/>
      <c r="B760" s="144"/>
      <c r="C760" s="144"/>
      <c r="D760" s="144"/>
      <c r="E760" s="693" t="s">
        <v>1950</v>
      </c>
      <c r="F760" s="693" t="str">
        <f>Translations!$B$1164</f>
        <v>Rails of iron or steel, for railway or tramway track (excl. check-rails)</v>
      </c>
      <c r="G760" s="694"/>
      <c r="H760" s="694"/>
      <c r="I760" s="694"/>
      <c r="J760" s="694"/>
      <c r="K760" s="694"/>
      <c r="L760" s="694"/>
      <c r="M760" s="697" t="str">
        <f>Translations!$B$611</f>
        <v>Iron or steel products</v>
      </c>
      <c r="N760" s="620"/>
      <c r="O760" s="428"/>
    </row>
    <row r="761" spans="1:15" ht="12.75" customHeight="1" x14ac:dyDescent="0.2">
      <c r="A761" s="92"/>
      <c r="B761" s="144"/>
      <c r="C761" s="144"/>
      <c r="D761" s="144"/>
      <c r="E761" s="693" t="s">
        <v>1953</v>
      </c>
      <c r="F761" s="693" t="str">
        <f>Translations!$B$1165</f>
        <v>Current-conducting rails of iron or steel, with parts of non-ferrous metal, for railway or tramway track (excl. check-rails)</v>
      </c>
      <c r="G761" s="694"/>
      <c r="H761" s="694"/>
      <c r="I761" s="694"/>
      <c r="J761" s="694"/>
      <c r="K761" s="694"/>
      <c r="L761" s="694"/>
      <c r="M761" s="697" t="str">
        <f>Translations!$B$611</f>
        <v>Iron or steel products</v>
      </c>
      <c r="N761" s="620"/>
      <c r="O761" s="428"/>
    </row>
    <row r="762" spans="1:15" ht="12.75" customHeight="1" x14ac:dyDescent="0.2">
      <c r="A762" s="92"/>
      <c r="B762" s="144"/>
      <c r="C762" s="144"/>
      <c r="D762" s="144"/>
      <c r="E762" s="693" t="s">
        <v>1956</v>
      </c>
      <c r="F762" s="693" t="str">
        <f>Translations!$B$1166</f>
        <v>Vignole rails of iron or steel, for railway or tramway track, new, of a weight of &gt;= 36 kg/m</v>
      </c>
      <c r="G762" s="694"/>
      <c r="H762" s="694"/>
      <c r="I762" s="694"/>
      <c r="J762" s="694"/>
      <c r="K762" s="694"/>
      <c r="L762" s="694"/>
      <c r="M762" s="697" t="str">
        <f>Translations!$B$611</f>
        <v>Iron or steel products</v>
      </c>
      <c r="N762" s="620"/>
      <c r="O762" s="428"/>
    </row>
    <row r="763" spans="1:15" ht="12.75" customHeight="1" x14ac:dyDescent="0.2">
      <c r="A763" s="92"/>
      <c r="B763" s="144"/>
      <c r="C763" s="144"/>
      <c r="D763" s="144"/>
      <c r="E763" s="693" t="s">
        <v>1959</v>
      </c>
      <c r="F763" s="693" t="str">
        <f>Translations!$B$1167</f>
        <v>Vignole rails of iron or steel, for railway or tramway track, new, of a weight of &lt; 36 kg/m</v>
      </c>
      <c r="G763" s="694"/>
      <c r="H763" s="694"/>
      <c r="I763" s="694"/>
      <c r="J763" s="694"/>
      <c r="K763" s="694"/>
      <c r="L763" s="694"/>
      <c r="M763" s="697" t="str">
        <f>Translations!$B$611</f>
        <v>Iron or steel products</v>
      </c>
      <c r="N763" s="620"/>
      <c r="O763" s="428"/>
    </row>
    <row r="764" spans="1:15" ht="12.75" customHeight="1" x14ac:dyDescent="0.2">
      <c r="A764" s="92"/>
      <c r="B764" s="144"/>
      <c r="C764" s="144"/>
      <c r="D764" s="144"/>
      <c r="E764" s="693" t="s">
        <v>1962</v>
      </c>
      <c r="F764" s="693" t="str">
        <f>Translations!$B$1168</f>
        <v>Grooved rails of iron or steel, for railway or tramway track, new</v>
      </c>
      <c r="G764" s="694"/>
      <c r="H764" s="694"/>
      <c r="I764" s="694"/>
      <c r="J764" s="694"/>
      <c r="K764" s="694"/>
      <c r="L764" s="694"/>
      <c r="M764" s="697" t="str">
        <f>Translations!$B$611</f>
        <v>Iron or steel products</v>
      </c>
      <c r="N764" s="620"/>
      <c r="O764" s="428"/>
    </row>
    <row r="765" spans="1:15" ht="12.75" customHeight="1" x14ac:dyDescent="0.2">
      <c r="A765" s="92"/>
      <c r="B765" s="144"/>
      <c r="C765" s="144"/>
      <c r="D765" s="144"/>
      <c r="E765" s="693" t="s">
        <v>1965</v>
      </c>
      <c r="F765" s="693" t="str">
        <f>Translations!$B$1169</f>
        <v>Rails of iron or steel, for railway or tramway track, new (excl. vignole rails, grooved rails, and current-conducting rails with parts of non-ferrous metal)</v>
      </c>
      <c r="G765" s="694"/>
      <c r="H765" s="694"/>
      <c r="I765" s="694"/>
      <c r="J765" s="694"/>
      <c r="K765" s="694"/>
      <c r="L765" s="694"/>
      <c r="M765" s="697" t="str">
        <f>Translations!$B$611</f>
        <v>Iron or steel products</v>
      </c>
      <c r="N765" s="620"/>
      <c r="O765" s="428"/>
    </row>
    <row r="766" spans="1:15" ht="12.75" customHeight="1" x14ac:dyDescent="0.2">
      <c r="A766" s="92"/>
      <c r="B766" s="144"/>
      <c r="C766" s="144"/>
      <c r="D766" s="144"/>
      <c r="E766" s="693" t="s">
        <v>1968</v>
      </c>
      <c r="F766" s="693" t="str">
        <f>Translations!$B$1170</f>
        <v>Rails of iron or steel, for railway or tramway track, used (excl. current-conducting rails with parts of non-ferrous metal)</v>
      </c>
      <c r="G766" s="694"/>
      <c r="H766" s="694"/>
      <c r="I766" s="694"/>
      <c r="J766" s="694"/>
      <c r="K766" s="694"/>
      <c r="L766" s="694"/>
      <c r="M766" s="697" t="str">
        <f>Translations!$B$611</f>
        <v>Iron or steel products</v>
      </c>
      <c r="N766" s="620"/>
      <c r="O766" s="428"/>
    </row>
    <row r="767" spans="1:15" ht="12.75" customHeight="1" x14ac:dyDescent="0.2">
      <c r="A767" s="92"/>
      <c r="B767" s="144"/>
      <c r="C767" s="144"/>
      <c r="D767" s="144"/>
      <c r="E767" s="693" t="s">
        <v>1971</v>
      </c>
      <c r="F767" s="693" t="str">
        <f>Translations!$B$1171</f>
        <v>Switch blades, crossing frogs, point rods and other crossing pieces, for railway or tramway track, of iron or steel</v>
      </c>
      <c r="G767" s="694"/>
      <c r="H767" s="694"/>
      <c r="I767" s="694"/>
      <c r="J767" s="694"/>
      <c r="K767" s="694"/>
      <c r="L767" s="694"/>
      <c r="M767" s="697" t="str">
        <f>Translations!$B$611</f>
        <v>Iron or steel products</v>
      </c>
      <c r="N767" s="620"/>
      <c r="O767" s="428"/>
    </row>
    <row r="768" spans="1:15" ht="12.75" customHeight="1" x14ac:dyDescent="0.2">
      <c r="A768" s="92"/>
      <c r="B768" s="144"/>
      <c r="C768" s="144"/>
      <c r="D768" s="144"/>
      <c r="E768" s="693" t="s">
        <v>1974</v>
      </c>
      <c r="F768" s="693" t="str">
        <f>Translations!$B$1172</f>
        <v>Fish-plates and sole plates of iron or steel, for railways or tramways</v>
      </c>
      <c r="G768" s="694"/>
      <c r="H768" s="694"/>
      <c r="I768" s="694"/>
      <c r="J768" s="694"/>
      <c r="K768" s="694"/>
      <c r="L768" s="694"/>
      <c r="M768" s="697" t="str">
        <f>Translations!$B$611</f>
        <v>Iron or steel products</v>
      </c>
      <c r="N768" s="620"/>
      <c r="O768" s="428"/>
    </row>
    <row r="769" spans="1:15" ht="12.75" customHeight="1" x14ac:dyDescent="0.2">
      <c r="A769" s="92"/>
      <c r="B769" s="144"/>
      <c r="C769" s="144"/>
      <c r="D769" s="144"/>
      <c r="E769" s="693" t="s">
        <v>1977</v>
      </c>
      <c r="F769" s="693" t="str">
        <f>Translations!$B$1173</f>
        <v>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v>
      </c>
      <c r="G769" s="694"/>
      <c r="H769" s="694"/>
      <c r="I769" s="694"/>
      <c r="J769" s="694"/>
      <c r="K769" s="694"/>
      <c r="L769" s="694"/>
      <c r="M769" s="697" t="str">
        <f>Translations!$B$611</f>
        <v>Iron or steel products</v>
      </c>
      <c r="N769" s="620"/>
      <c r="O769" s="428"/>
    </row>
    <row r="770" spans="1:15" ht="12.75" customHeight="1" x14ac:dyDescent="0.2">
      <c r="A770" s="92"/>
      <c r="B770" s="144"/>
      <c r="C770" s="144"/>
      <c r="D770" s="144"/>
      <c r="E770" s="693" t="s">
        <v>1979</v>
      </c>
      <c r="F770" s="693" t="str">
        <f>Translations!$B$1174</f>
        <v>Tubes, pipes and hollow profiles, of cast iron</v>
      </c>
      <c r="G770" s="694"/>
      <c r="H770" s="694"/>
      <c r="I770" s="694"/>
      <c r="J770" s="694"/>
      <c r="K770" s="694"/>
      <c r="L770" s="694"/>
      <c r="M770" s="697" t="str">
        <f>Translations!$B$611</f>
        <v>Iron or steel products</v>
      </c>
      <c r="N770" s="620"/>
      <c r="O770" s="428"/>
    </row>
    <row r="771" spans="1:15" ht="12.75" customHeight="1" x14ac:dyDescent="0.2">
      <c r="A771" s="92"/>
      <c r="B771" s="144"/>
      <c r="C771" s="144"/>
      <c r="D771" s="144"/>
      <c r="E771" s="693" t="s">
        <v>1982</v>
      </c>
      <c r="F771" s="693" t="str">
        <f>Translations!$B$1175</f>
        <v>Tubes and pipes of a kind used in pressure systems, of cast iron</v>
      </c>
      <c r="G771" s="694"/>
      <c r="H771" s="694"/>
      <c r="I771" s="694"/>
      <c r="J771" s="694"/>
      <c r="K771" s="694"/>
      <c r="L771" s="694"/>
      <c r="M771" s="697" t="str">
        <f>Translations!$B$611</f>
        <v>Iron or steel products</v>
      </c>
      <c r="N771" s="620"/>
      <c r="O771" s="428"/>
    </row>
    <row r="772" spans="1:15" ht="12.75" customHeight="1" x14ac:dyDescent="0.2">
      <c r="A772" s="92"/>
      <c r="B772" s="144"/>
      <c r="C772" s="144"/>
      <c r="D772" s="144"/>
      <c r="E772" s="693" t="s">
        <v>1985</v>
      </c>
      <c r="F772" s="693" t="str">
        <f>Translations!$B$1176</f>
        <v>Tubes, pipes and hollow profiles, of cast iron (excl. products of a kind used in pressure systems)</v>
      </c>
      <c r="G772" s="694"/>
      <c r="H772" s="694"/>
      <c r="I772" s="694"/>
      <c r="J772" s="694"/>
      <c r="K772" s="694"/>
      <c r="L772" s="694"/>
      <c r="M772" s="697" t="str">
        <f>Translations!$B$611</f>
        <v>Iron or steel products</v>
      </c>
      <c r="N772" s="620"/>
      <c r="O772" s="428"/>
    </row>
    <row r="773" spans="1:15" ht="12.75" customHeight="1" x14ac:dyDescent="0.2">
      <c r="A773" s="92"/>
      <c r="B773" s="144"/>
      <c r="C773" s="144"/>
      <c r="D773" s="144"/>
      <c r="E773" s="693" t="s">
        <v>1987</v>
      </c>
      <c r="F773" s="693" t="str">
        <f>Translations!$B$1177</f>
        <v>Tubes, pipes and hollow profiles, seamless, of iron or steel (excl. products of cast iron)</v>
      </c>
      <c r="G773" s="694"/>
      <c r="H773" s="694"/>
      <c r="I773" s="694"/>
      <c r="J773" s="694"/>
      <c r="K773" s="694"/>
      <c r="L773" s="694"/>
      <c r="M773" s="697" t="str">
        <f>Translations!$B$611</f>
        <v>Iron or steel products</v>
      </c>
      <c r="N773" s="620"/>
      <c r="O773" s="428"/>
    </row>
    <row r="774" spans="1:15" ht="12.75" customHeight="1" x14ac:dyDescent="0.2">
      <c r="A774" s="92"/>
      <c r="B774" s="144"/>
      <c r="C774" s="144"/>
      <c r="D774" s="144"/>
      <c r="E774" s="693" t="s">
        <v>1990</v>
      </c>
      <c r="F774" s="693" t="str">
        <f>Translations!$B$1178</f>
        <v>Line pipe of a kind used for oil or gas pipelines, seamless, of stainless steel</v>
      </c>
      <c r="G774" s="694"/>
      <c r="H774" s="694"/>
      <c r="I774" s="694"/>
      <c r="J774" s="694"/>
      <c r="K774" s="694"/>
      <c r="L774" s="694"/>
      <c r="M774" s="697" t="str">
        <f>Translations!$B$611</f>
        <v>Iron or steel products</v>
      </c>
      <c r="N774" s="620"/>
      <c r="O774" s="428"/>
    </row>
    <row r="775" spans="1:15" ht="12.75" customHeight="1" x14ac:dyDescent="0.2">
      <c r="A775" s="92"/>
      <c r="B775" s="144"/>
      <c r="C775" s="144"/>
      <c r="D775" s="144"/>
      <c r="E775" s="693" t="s">
        <v>1992</v>
      </c>
      <c r="F775" s="693" t="str">
        <f>Translations!$B$1179</f>
        <v>Line pipe of a kind used for oil or gas pipelines, seamless, of iron or steel (excl. products of stainless steel or of cast iron)</v>
      </c>
      <c r="G775" s="694"/>
      <c r="H775" s="694"/>
      <c r="I775" s="694"/>
      <c r="J775" s="694"/>
      <c r="K775" s="694"/>
      <c r="L775" s="694"/>
      <c r="M775" s="697" t="str">
        <f>Translations!$B$611</f>
        <v>Iron or steel products</v>
      </c>
      <c r="N775" s="620"/>
      <c r="O775" s="428"/>
    </row>
    <row r="776" spans="1:15" ht="12.75" customHeight="1" x14ac:dyDescent="0.2">
      <c r="A776" s="92"/>
      <c r="B776" s="144"/>
      <c r="C776" s="144"/>
      <c r="D776" s="144"/>
      <c r="E776" s="693" t="s">
        <v>1995</v>
      </c>
      <c r="F776" s="693" t="str">
        <f>Translations!$B$1180</f>
        <v>Line pipe of a kind used for oil or gas pipelines, seamless, of iron or steel, of an external diameter of &lt;= 168,3 mm (excl. products of stainless steel or of cast iron)</v>
      </c>
      <c r="G776" s="694"/>
      <c r="H776" s="694"/>
      <c r="I776" s="694"/>
      <c r="J776" s="694"/>
      <c r="K776" s="694"/>
      <c r="L776" s="694"/>
      <c r="M776" s="697" t="str">
        <f>Translations!$B$611</f>
        <v>Iron or steel products</v>
      </c>
      <c r="N776" s="620"/>
      <c r="O776" s="428"/>
    </row>
    <row r="777" spans="1:15" ht="12.75" customHeight="1" x14ac:dyDescent="0.2">
      <c r="A777" s="92"/>
      <c r="B777" s="144"/>
      <c r="C777" s="144"/>
      <c r="D777" s="144"/>
      <c r="E777" s="693" t="s">
        <v>1998</v>
      </c>
      <c r="F777" s="693" t="str">
        <f>Translations!$B$1181</f>
        <v>Line pipe of a kind used for oil or gas pipelines, seamless, of iron or steel, of an external diameter of &gt; 168,3 mm but &lt;= 406,4 mm (excl. products of stainless steel or of cast iron)</v>
      </c>
      <c r="G777" s="694"/>
      <c r="H777" s="694"/>
      <c r="I777" s="694"/>
      <c r="J777" s="694"/>
      <c r="K777" s="694"/>
      <c r="L777" s="694"/>
      <c r="M777" s="697" t="str">
        <f>Translations!$B$611</f>
        <v>Iron or steel products</v>
      </c>
      <c r="N777" s="620"/>
      <c r="O777" s="428"/>
    </row>
    <row r="778" spans="1:15" ht="12.75" customHeight="1" x14ac:dyDescent="0.2">
      <c r="A778" s="92"/>
      <c r="B778" s="144"/>
      <c r="C778" s="144"/>
      <c r="D778" s="144"/>
      <c r="E778" s="693" t="s">
        <v>2001</v>
      </c>
      <c r="F778" s="693" t="str">
        <f>Translations!$B$1182</f>
        <v>Line pipe of a kind used for oil or gas pipelines, seamless, of iron or steel, of an external diameter of &gt; 406,4 mm (excl. products of stainless steel or of cast iron)</v>
      </c>
      <c r="G778" s="694"/>
      <c r="H778" s="694"/>
      <c r="I778" s="694"/>
      <c r="J778" s="694"/>
      <c r="K778" s="694"/>
      <c r="L778" s="694"/>
      <c r="M778" s="697" t="str">
        <f>Translations!$B$611</f>
        <v>Iron or steel products</v>
      </c>
      <c r="N778" s="620"/>
      <c r="O778" s="428"/>
    </row>
    <row r="779" spans="1:15" ht="12.75" customHeight="1" x14ac:dyDescent="0.2">
      <c r="A779" s="92"/>
      <c r="B779" s="144"/>
      <c r="C779" s="144"/>
      <c r="D779" s="144"/>
      <c r="E779" s="693" t="s">
        <v>2004</v>
      </c>
      <c r="F779" s="693" t="str">
        <f>Translations!$B$1183</f>
        <v>Drill pipe, seamless, of stainless steel, of a kind used in drilling for oil or gas</v>
      </c>
      <c r="G779" s="694"/>
      <c r="H779" s="694"/>
      <c r="I779" s="694"/>
      <c r="J779" s="694"/>
      <c r="K779" s="694"/>
      <c r="L779" s="694"/>
      <c r="M779" s="697" t="str">
        <f>Translations!$B$611</f>
        <v>Iron or steel products</v>
      </c>
      <c r="N779" s="620"/>
      <c r="O779" s="428"/>
    </row>
    <row r="780" spans="1:15" ht="12.75" customHeight="1" x14ac:dyDescent="0.2">
      <c r="A780" s="92"/>
      <c r="B780" s="144"/>
      <c r="C780" s="144"/>
      <c r="D780" s="144"/>
      <c r="E780" s="693" t="s">
        <v>2007</v>
      </c>
      <c r="F780" s="693" t="str">
        <f>Translations!$B$1184</f>
        <v>Drill pipe, seamless, of a kind used in drilling for oil or gas, of iron or steel (excl. products of stainless steel or of cast iron)</v>
      </c>
      <c r="G780" s="694"/>
      <c r="H780" s="694"/>
      <c r="I780" s="694"/>
      <c r="J780" s="694"/>
      <c r="K780" s="694"/>
      <c r="L780" s="694"/>
      <c r="M780" s="697" t="str">
        <f>Translations!$B$611</f>
        <v>Iron or steel products</v>
      </c>
      <c r="N780" s="620"/>
      <c r="O780" s="428"/>
    </row>
    <row r="781" spans="1:15" ht="12.75" customHeight="1" x14ac:dyDescent="0.2">
      <c r="A781" s="92"/>
      <c r="B781" s="144"/>
      <c r="C781" s="144"/>
      <c r="D781" s="144"/>
      <c r="E781" s="693" t="s">
        <v>2010</v>
      </c>
      <c r="F781" s="693" t="str">
        <f>Translations!$B$1185</f>
        <v>Casing and tubing, seamless, of a kind used for drilling for oil or gas, of stainless steel</v>
      </c>
      <c r="G781" s="694"/>
      <c r="H781" s="694"/>
      <c r="I781" s="694"/>
      <c r="J781" s="694"/>
      <c r="K781" s="694"/>
      <c r="L781" s="694"/>
      <c r="M781" s="697" t="str">
        <f>Translations!$B$611</f>
        <v>Iron or steel products</v>
      </c>
      <c r="N781" s="620"/>
      <c r="O781" s="428"/>
    </row>
    <row r="782" spans="1:15" ht="12.75" customHeight="1" x14ac:dyDescent="0.2">
      <c r="A782" s="92"/>
      <c r="B782" s="144"/>
      <c r="C782" s="144"/>
      <c r="D782" s="144"/>
      <c r="E782" s="693" t="s">
        <v>2012</v>
      </c>
      <c r="F782" s="693" t="str">
        <f>Translations!$B$1186</f>
        <v>Casing and tubing, seamless, of iron or steel, of a kind used in drilling for oil or gas (excl. products of cast iron)</v>
      </c>
      <c r="G782" s="694"/>
      <c r="H782" s="694"/>
      <c r="I782" s="694"/>
      <c r="J782" s="694"/>
      <c r="K782" s="694"/>
      <c r="L782" s="694"/>
      <c r="M782" s="697" t="str">
        <f>Translations!$B$611</f>
        <v>Iron or steel products</v>
      </c>
      <c r="N782" s="620"/>
      <c r="O782" s="428"/>
    </row>
    <row r="783" spans="1:15" ht="12.75" customHeight="1" x14ac:dyDescent="0.2">
      <c r="A783" s="92"/>
      <c r="B783" s="144"/>
      <c r="C783" s="144"/>
      <c r="D783" s="144"/>
      <c r="E783" s="693" t="s">
        <v>2015</v>
      </c>
      <c r="F783" s="693" t="str">
        <f>Translations!$B$1187</f>
        <v>Casing and tubing of a kind used for drilling for oil or gas, seamless, of iron or steel, of an external diameter &lt;= 168,3 mm (excl. products of cast iron)</v>
      </c>
      <c r="G783" s="694"/>
      <c r="H783" s="694"/>
      <c r="I783" s="694"/>
      <c r="J783" s="694"/>
      <c r="K783" s="694"/>
      <c r="L783" s="694"/>
      <c r="M783" s="697" t="str">
        <f>Translations!$B$611</f>
        <v>Iron or steel products</v>
      </c>
      <c r="N783" s="620"/>
      <c r="O783" s="428"/>
    </row>
    <row r="784" spans="1:15" ht="12.75" customHeight="1" x14ac:dyDescent="0.2">
      <c r="A784" s="92"/>
      <c r="B784" s="144"/>
      <c r="C784" s="144"/>
      <c r="D784" s="144"/>
      <c r="E784" s="693" t="s">
        <v>2018</v>
      </c>
      <c r="F784" s="693" t="str">
        <f>Translations!$B$1188</f>
        <v>Casing and tubing of a kind used for drilling for oil or gas, seamless, of iron or steel, of an external diameter &gt; 168,3 mm, but &lt;= 406,4 mm (excl. products of cast iron)</v>
      </c>
      <c r="G784" s="694"/>
      <c r="H784" s="694"/>
      <c r="I784" s="694"/>
      <c r="J784" s="694"/>
      <c r="K784" s="694"/>
      <c r="L784" s="694"/>
      <c r="M784" s="697" t="str">
        <f>Translations!$B$611</f>
        <v>Iron or steel products</v>
      </c>
      <c r="N784" s="620"/>
      <c r="O784" s="428"/>
    </row>
    <row r="785" spans="1:15" ht="12.75" customHeight="1" x14ac:dyDescent="0.2">
      <c r="A785" s="92"/>
      <c r="B785" s="144"/>
      <c r="C785" s="144"/>
      <c r="D785" s="144"/>
      <c r="E785" s="693" t="s">
        <v>2021</v>
      </c>
      <c r="F785" s="693" t="str">
        <f>Translations!$B$1189</f>
        <v>Casing and tubing of a kind used for drilling for oil or gas, seamless, of iron or steel, of an external diameter &gt; 406,4 mm (excl. products of cast iron)</v>
      </c>
      <c r="G785" s="694"/>
      <c r="H785" s="694"/>
      <c r="I785" s="694"/>
      <c r="J785" s="694"/>
      <c r="K785" s="694"/>
      <c r="L785" s="694"/>
      <c r="M785" s="697" t="str">
        <f>Translations!$B$611</f>
        <v>Iron or steel products</v>
      </c>
      <c r="N785" s="620"/>
      <c r="O785" s="428"/>
    </row>
    <row r="786" spans="1:15" ht="12.75" customHeight="1" x14ac:dyDescent="0.2">
      <c r="A786" s="92"/>
      <c r="B786" s="144"/>
      <c r="C786" s="144"/>
      <c r="D786" s="144"/>
      <c r="E786" s="693" t="s">
        <v>2023</v>
      </c>
      <c r="F786" s="693" t="str">
        <f>Translations!$B$1190</f>
        <v>Tubes, pipes and hollow profiles, seamless, of circular cross-section, of iron or non-alloy steel, cold-drawn or cold-rolled "cold-reduced" (excl. cast iron products and line pipe of a kind used for oil or gas pipelines or casing and tubing of a kind used for drilling for oil or gas)</v>
      </c>
      <c r="G786" s="694"/>
      <c r="H786" s="694"/>
      <c r="I786" s="694"/>
      <c r="J786" s="694"/>
      <c r="K786" s="694"/>
      <c r="L786" s="694"/>
      <c r="M786" s="697" t="str">
        <f>Translations!$B$611</f>
        <v>Iron or steel products</v>
      </c>
      <c r="N786" s="620"/>
      <c r="O786" s="428"/>
    </row>
    <row r="787" spans="1:15" ht="12.75" customHeight="1" x14ac:dyDescent="0.2">
      <c r="A787" s="92"/>
      <c r="B787" s="144"/>
      <c r="C787" s="144"/>
      <c r="D787" s="144"/>
      <c r="E787" s="693" t="s">
        <v>2026</v>
      </c>
      <c r="F787" s="693" t="str">
        <f>Translations!$B$1191</f>
        <v>Precision tubes, seamless, of circular cross-section, of iron or non-alloy steel, cold-drawn or cold-rolled "cold-reduced" (excl. line pipe of a kind used for oil or gas pipelines or casing and tubing of a kind used for drilling for oil or gas)</v>
      </c>
      <c r="G787" s="694"/>
      <c r="H787" s="694"/>
      <c r="I787" s="694"/>
      <c r="J787" s="694"/>
      <c r="K787" s="694"/>
      <c r="L787" s="694"/>
      <c r="M787" s="697" t="str">
        <f>Translations!$B$611</f>
        <v>Iron or steel products</v>
      </c>
      <c r="N787" s="620"/>
      <c r="O787" s="428"/>
    </row>
    <row r="788" spans="1:15" ht="12.75" customHeight="1" x14ac:dyDescent="0.2">
      <c r="A788" s="92"/>
      <c r="B788" s="144"/>
      <c r="C788" s="144"/>
      <c r="D788" s="144"/>
      <c r="E788" s="693" t="s">
        <v>2029</v>
      </c>
      <c r="F788" s="693" t="str">
        <f>Translations!$B$1192</f>
        <v>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v>
      </c>
      <c r="G788" s="694"/>
      <c r="H788" s="694"/>
      <c r="I788" s="694"/>
      <c r="J788" s="694"/>
      <c r="K788" s="694"/>
      <c r="L788" s="694"/>
      <c r="M788" s="697" t="str">
        <f>Translations!$B$611</f>
        <v>Iron or steel products</v>
      </c>
      <c r="N788" s="620"/>
      <c r="O788" s="428"/>
    </row>
    <row r="789" spans="1:15" ht="12.75" customHeight="1" x14ac:dyDescent="0.2">
      <c r="A789" s="92"/>
      <c r="B789" s="144"/>
      <c r="C789" s="144"/>
      <c r="D789" s="144"/>
      <c r="E789" s="693" t="s">
        <v>2031</v>
      </c>
      <c r="F789" s="693" t="str">
        <f>Translations!$B$1193</f>
        <v>Tubes, pipes and hollow profiles, seamless, of circular cross-section, of iron or non-alloy steel, not cold-drawn or cold-rolled "cold-reduced" (excl. cast iron products, line pipe of a kind used for oil or gas pipelines, casing and tubing of a kind used for drilling for oil or gas)</v>
      </c>
      <c r="G789" s="694"/>
      <c r="H789" s="694"/>
      <c r="I789" s="694"/>
      <c r="J789" s="694"/>
      <c r="K789" s="694"/>
      <c r="L789" s="694"/>
      <c r="M789" s="697" t="str">
        <f>Translations!$B$611</f>
        <v>Iron or steel products</v>
      </c>
      <c r="N789" s="620"/>
      <c r="O789" s="428"/>
    </row>
    <row r="790" spans="1:15" ht="12.75" customHeight="1" x14ac:dyDescent="0.2">
      <c r="A790" s="92"/>
      <c r="B790" s="144"/>
      <c r="C790" s="144"/>
      <c r="D790" s="144"/>
      <c r="E790" s="693" t="s">
        <v>2034</v>
      </c>
      <c r="F790" s="693" t="str">
        <f>Translations!$B$1194</f>
        <v>Threaded or threadable tubes "gas pipe", seamless, of iron or non-alloy steel (excl. of cast iron)</v>
      </c>
      <c r="G790" s="694"/>
      <c r="H790" s="694"/>
      <c r="I790" s="694"/>
      <c r="J790" s="694"/>
      <c r="K790" s="694"/>
      <c r="L790" s="694"/>
      <c r="M790" s="697" t="str">
        <f>Translations!$B$611</f>
        <v>Iron or steel products</v>
      </c>
      <c r="N790" s="620"/>
      <c r="O790" s="428"/>
    </row>
    <row r="791" spans="1:15" ht="12.75" customHeight="1" x14ac:dyDescent="0.2">
      <c r="A791" s="92"/>
      <c r="B791" s="144"/>
      <c r="C791" s="144"/>
      <c r="D791" s="144"/>
      <c r="E791" s="693" t="s">
        <v>2037</v>
      </c>
      <c r="F791" s="693" t="str">
        <f>Translations!$B$1195</f>
        <v>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v>
      </c>
      <c r="G791" s="694"/>
      <c r="H791" s="694"/>
      <c r="I791" s="694"/>
      <c r="J791" s="694"/>
      <c r="K791" s="694"/>
      <c r="L791" s="694"/>
      <c r="M791" s="697" t="str">
        <f>Translations!$B$611</f>
        <v>Iron or steel products</v>
      </c>
      <c r="N791" s="620"/>
      <c r="O791" s="428"/>
    </row>
    <row r="792" spans="1:15" ht="12.75" customHeight="1" x14ac:dyDescent="0.2">
      <c r="A792" s="92"/>
      <c r="B792" s="144"/>
      <c r="C792" s="144"/>
      <c r="D792" s="144"/>
      <c r="E792" s="693" t="s">
        <v>2040</v>
      </c>
      <c r="F792" s="693" t="str">
        <f>Translations!$B$1196</f>
        <v>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v>
      </c>
      <c r="G792" s="694"/>
      <c r="H792" s="694"/>
      <c r="I792" s="694"/>
      <c r="J792" s="694"/>
      <c r="K792" s="694"/>
      <c r="L792" s="694"/>
      <c r="M792" s="697" t="str">
        <f>Translations!$B$611</f>
        <v>Iron or steel products</v>
      </c>
      <c r="N792" s="620"/>
      <c r="O792" s="428"/>
    </row>
    <row r="793" spans="1:15" ht="12.75" customHeight="1" x14ac:dyDescent="0.2">
      <c r="A793" s="92"/>
      <c r="B793" s="144"/>
      <c r="C793" s="144"/>
      <c r="D793" s="144"/>
      <c r="E793" s="693" t="s">
        <v>2043</v>
      </c>
      <c r="F793" s="693" t="str">
        <f>Translations!$B$1197</f>
        <v>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v>
      </c>
      <c r="G793" s="694"/>
      <c r="H793" s="694"/>
      <c r="I793" s="694"/>
      <c r="J793" s="694"/>
      <c r="K793" s="694"/>
      <c r="L793" s="694"/>
      <c r="M793" s="697" t="str">
        <f>Translations!$B$611</f>
        <v>Iron or steel products</v>
      </c>
      <c r="N793" s="620"/>
      <c r="O793" s="428"/>
    </row>
    <row r="794" spans="1:15" ht="12.75" customHeight="1" x14ac:dyDescent="0.2">
      <c r="A794" s="92"/>
      <c r="B794" s="144"/>
      <c r="C794" s="144"/>
      <c r="D794" s="144"/>
      <c r="E794" s="693" t="s">
        <v>2046</v>
      </c>
      <c r="F794" s="693" t="str">
        <f>Translations!$B$1198</f>
        <v>Tubes, pipes and hollow profiles, seamless, of circular cross-section, of stainless steel, cold-drawn or cold-rolled "cold-reduced" (excl. line pipe of a kind used for oil or gas pipelines, casing and tubing of a kind used for drilling for oil or gas)</v>
      </c>
      <c r="G794" s="694"/>
      <c r="H794" s="694"/>
      <c r="I794" s="694"/>
      <c r="J794" s="694"/>
      <c r="K794" s="694"/>
      <c r="L794" s="694"/>
      <c r="M794" s="697" t="str">
        <f>Translations!$B$611</f>
        <v>Iron or steel products</v>
      </c>
      <c r="N794" s="620"/>
      <c r="O794" s="428"/>
    </row>
    <row r="795" spans="1:15" ht="12.75" customHeight="1" x14ac:dyDescent="0.2">
      <c r="A795" s="92"/>
      <c r="B795" s="144"/>
      <c r="C795" s="144"/>
      <c r="D795" s="144"/>
      <c r="E795" s="693" t="s">
        <v>2048</v>
      </c>
      <c r="F795" s="693" t="str">
        <f>Translations!$B$1199</f>
        <v>Tubes, pipes and hollow profiles, seamless, of circular cross-section, of stainless steel, not cold-drawn or cold-rolled "cold-reduced" (excl. line pipe of a kind used for oil or gas pipelines or of a kind used for drilling for oil or gas)</v>
      </c>
      <c r="G795" s="694"/>
      <c r="H795" s="694"/>
      <c r="I795" s="694"/>
      <c r="J795" s="694"/>
      <c r="K795" s="694"/>
      <c r="L795" s="694"/>
      <c r="M795" s="697" t="str">
        <f>Translations!$B$611</f>
        <v>Iron or steel products</v>
      </c>
      <c r="N795" s="620"/>
      <c r="O795" s="428"/>
    </row>
    <row r="796" spans="1:15" ht="12.75" customHeight="1" x14ac:dyDescent="0.2">
      <c r="A796" s="92"/>
      <c r="B796" s="144"/>
      <c r="C796" s="144"/>
      <c r="D796" s="144"/>
      <c r="E796" s="693" t="s">
        <v>2051</v>
      </c>
      <c r="F796" s="693" t="str">
        <f>Translations!$B$1200</f>
        <v>Tubes, pipes and hollow profiles, seamless, of circular cross-section, of stainless steel, of an external diameter of &lt;= 168,3 mm (excl. cold-drawn or cold-rolled, line pipe of a kind used for oil or gas pipelines, and casing and tubing of a kind used for drilling for oil or gas and tubes)</v>
      </c>
      <c r="G796" s="694"/>
      <c r="H796" s="694"/>
      <c r="I796" s="694"/>
      <c r="J796" s="694"/>
      <c r="K796" s="694"/>
      <c r="L796" s="694"/>
      <c r="M796" s="697" t="str">
        <f>Translations!$B$611</f>
        <v>Iron or steel products</v>
      </c>
      <c r="N796" s="620"/>
      <c r="O796" s="428"/>
    </row>
    <row r="797" spans="1:15" ht="12.75" customHeight="1" x14ac:dyDescent="0.2">
      <c r="A797" s="92"/>
      <c r="B797" s="144"/>
      <c r="C797" s="144"/>
      <c r="D797" s="144"/>
      <c r="E797" s="693" t="s">
        <v>2054</v>
      </c>
      <c r="F797" s="693" t="str">
        <f>Translations!$B$1201</f>
        <v>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v>
      </c>
      <c r="G797" s="694"/>
      <c r="H797" s="694"/>
      <c r="I797" s="694"/>
      <c r="J797" s="694"/>
      <c r="K797" s="694"/>
      <c r="L797" s="694"/>
      <c r="M797" s="697" t="str">
        <f>Translations!$B$611</f>
        <v>Iron or steel products</v>
      </c>
      <c r="N797" s="620"/>
      <c r="O797" s="428"/>
    </row>
    <row r="798" spans="1:15" ht="12.75" customHeight="1" x14ac:dyDescent="0.2">
      <c r="A798" s="92"/>
      <c r="B798" s="144"/>
      <c r="C798" s="144"/>
      <c r="D798" s="144"/>
      <c r="E798" s="693" t="s">
        <v>2057</v>
      </c>
      <c r="F798" s="693" t="str">
        <f>Translations!$B$1202</f>
        <v>Tubes, pipes and hollow profiles, seamless, of circular cross-section, of stainless steel, of an external diameter of &gt; 406,4 mm (excl. cold-drawn or cold-rolled, line pipe of a kind used for oil or gas pipelines, and casing and tubing of a kind used for drilling for oil or gas and tubes)</v>
      </c>
      <c r="G798" s="694"/>
      <c r="H798" s="694"/>
      <c r="I798" s="694"/>
      <c r="J798" s="694"/>
      <c r="K798" s="694"/>
      <c r="L798" s="694"/>
      <c r="M798" s="697" t="str">
        <f>Translations!$B$611</f>
        <v>Iron or steel products</v>
      </c>
      <c r="N798" s="620"/>
      <c r="O798" s="428"/>
    </row>
    <row r="799" spans="1:15" ht="12.75" customHeight="1" x14ac:dyDescent="0.2">
      <c r="A799" s="92"/>
      <c r="B799" s="144"/>
      <c r="C799" s="144"/>
      <c r="D799" s="144"/>
      <c r="E799" s="693" t="s">
        <v>2059</v>
      </c>
      <c r="F799" s="693" t="str">
        <f>Translations!$B$1203</f>
        <v>Tubes, pipes and hollow profiles, seamless, of circular cross-section, of alloy steel other than stainless, cold-drawn or cold-rolled "cold-reduced" (excl. line pipe of a kind used for oil or gas pipelines, casing and tubing of a kind used for drilling for oil)</v>
      </c>
      <c r="G799" s="694"/>
      <c r="H799" s="694"/>
      <c r="I799" s="694"/>
      <c r="J799" s="694"/>
      <c r="K799" s="694"/>
      <c r="L799" s="694"/>
      <c r="M799" s="697" t="str">
        <f>Translations!$B$611</f>
        <v>Iron or steel products</v>
      </c>
      <c r="N799" s="620"/>
      <c r="O799" s="428"/>
    </row>
    <row r="800" spans="1:15" ht="12.75" customHeight="1" x14ac:dyDescent="0.2">
      <c r="A800" s="92"/>
      <c r="B800" s="144"/>
      <c r="C800" s="144"/>
      <c r="D800" s="144"/>
      <c r="E800" s="693" t="s">
        <v>2062</v>
      </c>
      <c r="F800" s="693" t="str">
        <f>Translations!$B$1204</f>
        <v>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v>
      </c>
      <c r="G800" s="694"/>
      <c r="H800" s="694"/>
      <c r="I800" s="694"/>
      <c r="J800" s="694"/>
      <c r="K800" s="694"/>
      <c r="L800" s="694"/>
      <c r="M800" s="697" t="str">
        <f>Translations!$B$611</f>
        <v>Iron or steel products</v>
      </c>
      <c r="N800" s="620"/>
      <c r="O800" s="428"/>
    </row>
    <row r="801" spans="1:15" ht="12.75" customHeight="1" x14ac:dyDescent="0.2">
      <c r="A801" s="92"/>
      <c r="B801" s="144"/>
      <c r="C801" s="144"/>
      <c r="D801" s="144"/>
      <c r="E801" s="693" t="s">
        <v>2065</v>
      </c>
      <c r="F801" s="693" t="str">
        <f>Translations!$B$1205</f>
        <v>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v>
      </c>
      <c r="G801" s="694"/>
      <c r="H801" s="694"/>
      <c r="I801" s="694"/>
      <c r="J801" s="694"/>
      <c r="K801" s="694"/>
      <c r="L801" s="694"/>
      <c r="M801" s="697" t="str">
        <f>Translations!$B$611</f>
        <v>Iron or steel products</v>
      </c>
      <c r="N801" s="620"/>
      <c r="O801" s="428"/>
    </row>
    <row r="802" spans="1:15" ht="12.75" customHeight="1" x14ac:dyDescent="0.2">
      <c r="A802" s="92"/>
      <c r="B802" s="144"/>
      <c r="C802" s="144"/>
      <c r="D802" s="144"/>
      <c r="E802" s="693" t="s">
        <v>2068</v>
      </c>
      <c r="F802" s="693" t="str">
        <f>Translations!$B$1206</f>
        <v>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v>
      </c>
      <c r="G802" s="694"/>
      <c r="H802" s="694"/>
      <c r="I802" s="694"/>
      <c r="J802" s="694"/>
      <c r="K802" s="694"/>
      <c r="L802" s="694"/>
      <c r="M802" s="697" t="str">
        <f>Translations!$B$611</f>
        <v>Iron or steel products</v>
      </c>
      <c r="N802" s="620"/>
      <c r="O802" s="428"/>
    </row>
    <row r="803" spans="1:15" ht="12.75" customHeight="1" x14ac:dyDescent="0.2">
      <c r="A803" s="92"/>
      <c r="B803" s="144"/>
      <c r="C803" s="144"/>
      <c r="D803" s="144"/>
      <c r="E803" s="693" t="s">
        <v>2070</v>
      </c>
      <c r="F803" s="693" t="str">
        <f>Translations!$B$1207</f>
        <v>Tubes, pipes and hollow profiles, seamless, of circular cross-section, of alloy steel other than stainless, not cold-drawn or cold-rolled "cold-reduced" (excl. line pipe of a kind used for oil or gas pipelines, casing and tubing of a kind used for drilling for oil)</v>
      </c>
      <c r="G803" s="694"/>
      <c r="H803" s="694"/>
      <c r="I803" s="694"/>
      <c r="J803" s="694"/>
      <c r="K803" s="694"/>
      <c r="L803" s="694"/>
      <c r="M803" s="697" t="str">
        <f>Translations!$B$611</f>
        <v>Iron or steel products</v>
      </c>
      <c r="N803" s="620"/>
      <c r="O803" s="428"/>
    </row>
    <row r="804" spans="1:15" ht="12.75" customHeight="1" x14ac:dyDescent="0.2">
      <c r="A804" s="92"/>
      <c r="B804" s="144"/>
      <c r="C804" s="144"/>
      <c r="D804" s="144"/>
      <c r="E804" s="693" t="s">
        <v>2073</v>
      </c>
      <c r="F804" s="693" t="str">
        <f>Translations!$B$1208</f>
        <v>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v>
      </c>
      <c r="G804" s="694"/>
      <c r="H804" s="694"/>
      <c r="I804" s="694"/>
      <c r="J804" s="694"/>
      <c r="K804" s="694"/>
      <c r="L804" s="694"/>
      <c r="M804" s="697" t="str">
        <f>Translations!$B$611</f>
        <v>Iron or steel products</v>
      </c>
      <c r="N804" s="620"/>
      <c r="O804" s="428"/>
    </row>
    <row r="805" spans="1:15" ht="12.75" customHeight="1" x14ac:dyDescent="0.2">
      <c r="A805" s="92"/>
      <c r="B805" s="144"/>
      <c r="C805" s="144"/>
      <c r="D805" s="144"/>
      <c r="E805" s="693" t="s">
        <v>2076</v>
      </c>
      <c r="F805" s="693" t="str">
        <f>Translations!$B$1209</f>
        <v>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v>
      </c>
      <c r="G805" s="694"/>
      <c r="H805" s="694"/>
      <c r="I805" s="694"/>
      <c r="J805" s="694"/>
      <c r="K805" s="694"/>
      <c r="L805" s="694"/>
      <c r="M805" s="697" t="str">
        <f>Translations!$B$611</f>
        <v>Iron or steel products</v>
      </c>
      <c r="N805" s="620"/>
      <c r="O805" s="428"/>
    </row>
    <row r="806" spans="1:15" ht="12.75" customHeight="1" x14ac:dyDescent="0.2">
      <c r="A806" s="92"/>
      <c r="B806" s="144"/>
      <c r="C806" s="144"/>
      <c r="D806" s="144"/>
      <c r="E806" s="693" t="s">
        <v>2079</v>
      </c>
      <c r="F806" s="693" t="str">
        <f>Translations!$B$1210</f>
        <v>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v>
      </c>
      <c r="G806" s="694"/>
      <c r="H806" s="694"/>
      <c r="I806" s="694"/>
      <c r="J806" s="694"/>
      <c r="K806" s="694"/>
      <c r="L806" s="694"/>
      <c r="M806" s="697" t="str">
        <f>Translations!$B$611</f>
        <v>Iron or steel products</v>
      </c>
      <c r="N806" s="620"/>
      <c r="O806" s="428"/>
    </row>
    <row r="807" spans="1:15" ht="12.75" customHeight="1" x14ac:dyDescent="0.2">
      <c r="A807" s="92"/>
      <c r="B807" s="144"/>
      <c r="C807" s="144"/>
      <c r="D807" s="144"/>
      <c r="E807" s="693" t="s">
        <v>2082</v>
      </c>
      <c r="F807" s="693" t="str">
        <f>Translations!$B$1211</f>
        <v>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v>
      </c>
      <c r="G807" s="694"/>
      <c r="H807" s="694"/>
      <c r="I807" s="694"/>
      <c r="J807" s="694"/>
      <c r="K807" s="694"/>
      <c r="L807" s="694"/>
      <c r="M807" s="697" t="str">
        <f>Translations!$B$611</f>
        <v>Iron or steel products</v>
      </c>
      <c r="N807" s="620"/>
      <c r="O807" s="428"/>
    </row>
    <row r="808" spans="1:15" ht="12.75" customHeight="1" x14ac:dyDescent="0.2">
      <c r="A808" s="92"/>
      <c r="B808" s="144"/>
      <c r="C808" s="144"/>
      <c r="D808" s="144"/>
      <c r="E808" s="693" t="s">
        <v>2085</v>
      </c>
      <c r="F808" s="693" t="str">
        <f>Translations!$B$1212</f>
        <v>Tubes, pipes and hollow profiles, seamless, of non-circular cross-section, of iron or steel (excl. products of cast iron)</v>
      </c>
      <c r="G808" s="694"/>
      <c r="H808" s="694"/>
      <c r="I808" s="694"/>
      <c r="J808" s="694"/>
      <c r="K808" s="694"/>
      <c r="L808" s="694"/>
      <c r="M808" s="697" t="str">
        <f>Translations!$B$611</f>
        <v>Iron or steel products</v>
      </c>
      <c r="N808" s="620"/>
      <c r="O808" s="428"/>
    </row>
    <row r="809" spans="1:15" ht="12.75" customHeight="1" x14ac:dyDescent="0.2">
      <c r="A809" s="92"/>
      <c r="B809" s="144"/>
      <c r="C809" s="144"/>
      <c r="D809" s="144"/>
      <c r="E809" s="693" t="s">
        <v>2087</v>
      </c>
      <c r="F809" s="693" t="str">
        <f>Translations!$B$1213</f>
        <v>Tubes and pipes, having circular cross-sections and an external diameter of &gt; 406,4 mm, of flat-rolled products of iron or steel "e.g., welded, riveted or similarly closed"</v>
      </c>
      <c r="G809" s="694"/>
      <c r="H809" s="694"/>
      <c r="I809" s="694"/>
      <c r="J809" s="694"/>
      <c r="K809" s="694"/>
      <c r="L809" s="694"/>
      <c r="M809" s="697" t="str">
        <f>Translations!$B$611</f>
        <v>Iron or steel products</v>
      </c>
      <c r="N809" s="620"/>
      <c r="O809" s="428"/>
    </row>
    <row r="810" spans="1:15" ht="12.75" customHeight="1" x14ac:dyDescent="0.2">
      <c r="A810" s="92"/>
      <c r="B810" s="144"/>
      <c r="C810" s="144"/>
      <c r="D810" s="144"/>
      <c r="E810" s="693" t="s">
        <v>2090</v>
      </c>
      <c r="F810" s="693" t="str">
        <f>Translations!$B$1214</f>
        <v>Line pipe of a kind used for oil or gas pipelines, having circular cross-sections and an external diameter of &gt; 406,4 mm, of iron or steel, longitudinally submerged arc welded</v>
      </c>
      <c r="G810" s="694"/>
      <c r="H810" s="694"/>
      <c r="I810" s="694"/>
      <c r="J810" s="694"/>
      <c r="K810" s="694"/>
      <c r="L810" s="694"/>
      <c r="M810" s="697" t="str">
        <f>Translations!$B$611</f>
        <v>Iron or steel products</v>
      </c>
      <c r="N810" s="620"/>
      <c r="O810" s="428"/>
    </row>
    <row r="811" spans="1:15" ht="12.75" customHeight="1" x14ac:dyDescent="0.2">
      <c r="A811" s="92"/>
      <c r="B811" s="144"/>
      <c r="C811" s="144"/>
      <c r="D811" s="144"/>
      <c r="E811" s="693" t="s">
        <v>2093</v>
      </c>
      <c r="F811" s="693" t="str">
        <f>Translations!$B$1215</f>
        <v>Line pipe of a kind used for oil or gas pipelines, having circular cross-sections and an external diameter of &gt; 406,4 mm, of iron or steel, longitudinally arc welded (excl. products longitudinally submerged arc welded)</v>
      </c>
      <c r="G811" s="694"/>
      <c r="H811" s="694"/>
      <c r="I811" s="694"/>
      <c r="J811" s="694"/>
      <c r="K811" s="694"/>
      <c r="L811" s="694"/>
      <c r="M811" s="697" t="str">
        <f>Translations!$B$611</f>
        <v>Iron or steel products</v>
      </c>
      <c r="N811" s="620"/>
      <c r="O811" s="428"/>
    </row>
    <row r="812" spans="1:15" ht="12.75" customHeight="1" x14ac:dyDescent="0.2">
      <c r="A812" s="92"/>
      <c r="B812" s="144"/>
      <c r="C812" s="144"/>
      <c r="D812" s="144"/>
      <c r="E812" s="693" t="s">
        <v>2096</v>
      </c>
      <c r="F812" s="693" t="str">
        <f>Translations!$B$1216</f>
        <v>Line pipe of a kind used for oil or gas pipelines, having circular cross-sections and an external diameter of &gt; 406,4 mm, of flat-rolled products of iron or steel (excl. products longitudinally arc welded)</v>
      </c>
      <c r="G812" s="694"/>
      <c r="H812" s="694"/>
      <c r="I812" s="694"/>
      <c r="J812" s="694"/>
      <c r="K812" s="694"/>
      <c r="L812" s="694"/>
      <c r="M812" s="697" t="str">
        <f>Translations!$B$611</f>
        <v>Iron or steel products</v>
      </c>
      <c r="N812" s="620"/>
      <c r="O812" s="428"/>
    </row>
    <row r="813" spans="1:15" ht="12.75" customHeight="1" x14ac:dyDescent="0.2">
      <c r="A813" s="92"/>
      <c r="B813" s="144"/>
      <c r="C813" s="144"/>
      <c r="D813" s="144"/>
      <c r="E813" s="693" t="s">
        <v>2099</v>
      </c>
      <c r="F813" s="693" t="str">
        <f>Translations!$B$1217</f>
        <v>Casing of a kind used in drilling for oil or gas, having circular cross-sections and an external diameter of &gt; 406,4 mm, of flat-rolled products of iron or steel</v>
      </c>
      <c r="G813" s="694"/>
      <c r="H813" s="694"/>
      <c r="I813" s="694"/>
      <c r="J813" s="694"/>
      <c r="K813" s="694"/>
      <c r="L813" s="694"/>
      <c r="M813" s="697" t="str">
        <f>Translations!$B$611</f>
        <v>Iron or steel products</v>
      </c>
      <c r="N813" s="620"/>
      <c r="O813" s="428"/>
    </row>
    <row r="814" spans="1:15" ht="12.75" customHeight="1" x14ac:dyDescent="0.2">
      <c r="A814" s="92"/>
      <c r="B814" s="144"/>
      <c r="C814" s="144"/>
      <c r="D814" s="144"/>
      <c r="E814" s="693" t="s">
        <v>2102</v>
      </c>
      <c r="F814" s="693" t="str">
        <f>Translations!$B$1218</f>
        <v>Tubes and pipes having circular cross-sections and an external diameter of &gt; 406,4 mm, of iron or steel, longitudinally welded (excl. products of a kind used for oil or gas pipelines or of a kind used in drilling for oil or gas)</v>
      </c>
      <c r="G814" s="694"/>
      <c r="H814" s="694"/>
      <c r="I814" s="694"/>
      <c r="J814" s="694"/>
      <c r="K814" s="694"/>
      <c r="L814" s="694"/>
      <c r="M814" s="697" t="str">
        <f>Translations!$B$611</f>
        <v>Iron or steel products</v>
      </c>
      <c r="N814" s="620"/>
      <c r="O814" s="428"/>
    </row>
    <row r="815" spans="1:15" ht="12.75" customHeight="1" x14ac:dyDescent="0.2">
      <c r="A815" s="92"/>
      <c r="B815" s="144"/>
      <c r="C815" s="144"/>
      <c r="D815" s="144"/>
      <c r="E815" s="693" t="s">
        <v>2105</v>
      </c>
      <c r="F815" s="693" t="str">
        <f>Translations!$B$1219</f>
        <v>Tubes and pipes having circular cross-sections and an external diameter of &gt; 406,4 mm, of iron or steel, welded (excl. products longitudinally welded or of a kind used for oil or gas pipelines or of a kind used in drilling for oil or gas)</v>
      </c>
      <c r="G815" s="694"/>
      <c r="H815" s="694"/>
      <c r="I815" s="694"/>
      <c r="J815" s="694"/>
      <c r="K815" s="694"/>
      <c r="L815" s="694"/>
      <c r="M815" s="697" t="str">
        <f>Translations!$B$611</f>
        <v>Iron or steel products</v>
      </c>
      <c r="N815" s="620"/>
      <c r="O815" s="428"/>
    </row>
    <row r="816" spans="1:15" ht="12.75" customHeight="1" x14ac:dyDescent="0.2">
      <c r="A816" s="92"/>
      <c r="B816" s="144"/>
      <c r="C816" s="144"/>
      <c r="D816" s="144"/>
      <c r="E816" s="693" t="s">
        <v>2108</v>
      </c>
      <c r="F816" s="693" t="str">
        <f>Translations!$B$1220</f>
        <v>Tubes and pipes having circular cross-sections and an external diameter of &gt; 406,4 mm, of flat-rolled products of iron or steel, welded (excl. welded products or products of a kind used for oil or gas pipelines or of a kind used in drilling for oil or gas)</v>
      </c>
      <c r="G816" s="694"/>
      <c r="H816" s="694"/>
      <c r="I816" s="694"/>
      <c r="J816" s="694"/>
      <c r="K816" s="694"/>
      <c r="L816" s="694"/>
      <c r="M816" s="697" t="str">
        <f>Translations!$B$611</f>
        <v>Iron or steel products</v>
      </c>
      <c r="N816" s="620"/>
      <c r="O816" s="428"/>
    </row>
    <row r="817" spans="1:15" ht="12.75" customHeight="1" x14ac:dyDescent="0.2">
      <c r="A817" s="92"/>
      <c r="B817" s="144"/>
      <c r="C817" s="144"/>
      <c r="D817" s="144"/>
      <c r="E817" s="693" t="s">
        <v>2110</v>
      </c>
      <c r="F817" s="693" t="str">
        <f>Translations!$B$1221</f>
        <v>Tubes, pipes and hollow profiles "e.g., open seam or welded, riveted or similarly closed", of iron or steel (excl. of cast iron, seamless tubes and pipes and tubes having internal and external circular cross-sections and an external diameter of &gt; 406,4 mm)</v>
      </c>
      <c r="G817" s="694"/>
      <c r="H817" s="694"/>
      <c r="I817" s="694"/>
      <c r="J817" s="694"/>
      <c r="K817" s="694"/>
      <c r="L817" s="694"/>
      <c r="M817" s="697" t="str">
        <f>Translations!$B$611</f>
        <v>Iron or steel products</v>
      </c>
      <c r="N817" s="620"/>
      <c r="O817" s="428"/>
    </row>
    <row r="818" spans="1:15" ht="12.75" customHeight="1" x14ac:dyDescent="0.2">
      <c r="A818" s="92"/>
      <c r="B818" s="144"/>
      <c r="C818" s="144"/>
      <c r="D818" s="144"/>
      <c r="E818" s="693" t="s">
        <v>2113</v>
      </c>
      <c r="F818" s="693" t="str">
        <f>Translations!$B$1222</f>
        <v>Line pipe of a kind used for oil or gas pipelines, welded, of flat-rolled products of stainless steel, of an external diameter of &lt;= 406,4 mm</v>
      </c>
      <c r="G818" s="694"/>
      <c r="H818" s="694"/>
      <c r="I818" s="694"/>
      <c r="J818" s="694"/>
      <c r="K818" s="694"/>
      <c r="L818" s="694"/>
      <c r="M818" s="697" t="str">
        <f>Translations!$B$611</f>
        <v>Iron or steel products</v>
      </c>
      <c r="N818" s="620"/>
      <c r="O818" s="428"/>
    </row>
    <row r="819" spans="1:15" ht="12.75" customHeight="1" x14ac:dyDescent="0.2">
      <c r="A819" s="92"/>
      <c r="B819" s="144"/>
      <c r="C819" s="144"/>
      <c r="D819" s="144"/>
      <c r="E819" s="693" t="s">
        <v>2116</v>
      </c>
      <c r="F819" s="693" t="str">
        <f>Translations!$B$1223</f>
        <v>Line pipe of a kind used for oil or gas pipelines, welded, of flat-rolled products of iron or steel, of an external diameter of &lt;= 406,4 mm (excl. products of stainless steel or of cast iron)</v>
      </c>
      <c r="G819" s="694"/>
      <c r="H819" s="694"/>
      <c r="I819" s="694"/>
      <c r="J819" s="694"/>
      <c r="K819" s="694"/>
      <c r="L819" s="694"/>
      <c r="M819" s="697" t="str">
        <f>Translations!$B$611</f>
        <v>Iron or steel products</v>
      </c>
      <c r="N819" s="620"/>
      <c r="O819" s="428"/>
    </row>
    <row r="820" spans="1:15" ht="12.75" customHeight="1" x14ac:dyDescent="0.2">
      <c r="A820" s="92"/>
      <c r="B820" s="144"/>
      <c r="C820" s="144"/>
      <c r="D820" s="144"/>
      <c r="E820" s="693" t="s">
        <v>2119</v>
      </c>
      <c r="F820" s="693" t="str">
        <f>Translations!$B$1224</f>
        <v>Casing and tubing of a kind used in drilling for oil or gas, welded, of flat-rolled products of stainless steel, of an external diameter of &lt;= 406,4 mm</v>
      </c>
      <c r="G820" s="694"/>
      <c r="H820" s="694"/>
      <c r="I820" s="694"/>
      <c r="J820" s="694"/>
      <c r="K820" s="694"/>
      <c r="L820" s="694"/>
      <c r="M820" s="697" t="str">
        <f>Translations!$B$611</f>
        <v>Iron or steel products</v>
      </c>
      <c r="N820" s="620"/>
      <c r="O820" s="428"/>
    </row>
    <row r="821" spans="1:15" ht="12.75" customHeight="1" x14ac:dyDescent="0.2">
      <c r="A821" s="92"/>
      <c r="B821" s="144"/>
      <c r="C821" s="144"/>
      <c r="D821" s="144"/>
      <c r="E821" s="693" t="s">
        <v>2122</v>
      </c>
      <c r="F821" s="693" t="str">
        <f>Translations!$B$1225</f>
        <v>Casing and tubing of a kind used in drilling for oil or gas, welded, of flat-rolled products of iron or steel, of an external diameter of &lt;= 406,4 mm (excl. products of stainless steel or of cast iron)</v>
      </c>
      <c r="G821" s="694"/>
      <c r="H821" s="694"/>
      <c r="I821" s="694"/>
      <c r="J821" s="694"/>
      <c r="K821" s="694"/>
      <c r="L821" s="694"/>
      <c r="M821" s="697" t="str">
        <f>Translations!$B$611</f>
        <v>Iron or steel products</v>
      </c>
      <c r="N821" s="620"/>
      <c r="O821" s="428"/>
    </row>
    <row r="822" spans="1:15" ht="12.75" customHeight="1" x14ac:dyDescent="0.2">
      <c r="A822" s="92"/>
      <c r="B822" s="144"/>
      <c r="C822" s="144"/>
      <c r="D822" s="144"/>
      <c r="E822" s="693" t="s">
        <v>2124</v>
      </c>
      <c r="F822" s="693" t="str">
        <f>Translations!$B$1226</f>
        <v>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v>
      </c>
      <c r="G822" s="694"/>
      <c r="H822" s="694"/>
      <c r="I822" s="694"/>
      <c r="J822" s="694"/>
      <c r="K822" s="694"/>
      <c r="L822" s="694"/>
      <c r="M822" s="697" t="str">
        <f>Translations!$B$611</f>
        <v>Iron or steel products</v>
      </c>
      <c r="N822" s="620"/>
      <c r="O822" s="428"/>
    </row>
    <row r="823" spans="1:15" ht="12.75" customHeight="1" x14ac:dyDescent="0.2">
      <c r="A823" s="92"/>
      <c r="B823" s="144"/>
      <c r="C823" s="144"/>
      <c r="D823" s="144"/>
      <c r="E823" s="693" t="s">
        <v>2127</v>
      </c>
      <c r="F823" s="693" t="str">
        <f>Translations!$B$1227</f>
        <v>Precision tubes, welded, of circular cross-section, of iron or non-alloy steel, cold-drawn or cold-rolled "cold-reduced"</v>
      </c>
      <c r="G823" s="694"/>
      <c r="H823" s="694"/>
      <c r="I823" s="694"/>
      <c r="J823" s="694"/>
      <c r="K823" s="694"/>
      <c r="L823" s="694"/>
      <c r="M823" s="697" t="str">
        <f>Translations!$B$611</f>
        <v>Iron or steel products</v>
      </c>
      <c r="N823" s="620"/>
      <c r="O823" s="428"/>
    </row>
    <row r="824" spans="1:15" ht="12.75" customHeight="1" x14ac:dyDescent="0.2">
      <c r="A824" s="92"/>
      <c r="B824" s="144"/>
      <c r="C824" s="144"/>
      <c r="D824" s="144"/>
      <c r="E824" s="693" t="s">
        <v>2130</v>
      </c>
      <c r="F824" s="693" t="str">
        <f>Translations!$B$1228</f>
        <v>Precision tubes, welded, of circular cross-section, of iron or non-alloy steel (excl. cold-drawn or cold-rolled)</v>
      </c>
      <c r="G824" s="694"/>
      <c r="H824" s="694"/>
      <c r="I824" s="694"/>
      <c r="J824" s="694"/>
      <c r="K824" s="694"/>
      <c r="L824" s="694"/>
      <c r="M824" s="697" t="str">
        <f>Translations!$B$611</f>
        <v>Iron or steel products</v>
      </c>
      <c r="N824" s="620"/>
      <c r="O824" s="428"/>
    </row>
    <row r="825" spans="1:15" ht="12.75" customHeight="1" x14ac:dyDescent="0.2">
      <c r="A825" s="92"/>
      <c r="B825" s="144"/>
      <c r="C825" s="144"/>
      <c r="D825" s="144"/>
      <c r="E825" s="693" t="s">
        <v>2133</v>
      </c>
      <c r="F825" s="693" t="str">
        <f>Translations!$B$1229</f>
        <v>Threaded or threadable tubes "gas pipe", welded, of circular cross-section, of iron or non-alloy steel, plated or coated with zinc</v>
      </c>
      <c r="G825" s="694"/>
      <c r="H825" s="694"/>
      <c r="I825" s="694"/>
      <c r="J825" s="694"/>
      <c r="K825" s="694"/>
      <c r="L825" s="694"/>
      <c r="M825" s="697" t="str">
        <f>Translations!$B$611</f>
        <v>Iron or steel products</v>
      </c>
      <c r="N825" s="620"/>
      <c r="O825" s="428"/>
    </row>
    <row r="826" spans="1:15" ht="12.75" customHeight="1" x14ac:dyDescent="0.2">
      <c r="A826" s="92"/>
      <c r="B826" s="144"/>
      <c r="C826" s="144"/>
      <c r="D826" s="144"/>
      <c r="E826" s="693" t="s">
        <v>2136</v>
      </c>
      <c r="F826" s="693" t="str">
        <f>Translations!$B$1230</f>
        <v>Threaded or threadable tubes "gas pipe", welded, of circular cross-section, of iron or non-alloy steel (excl. products plated or coated with zinc)</v>
      </c>
      <c r="G826" s="694"/>
      <c r="H826" s="694"/>
      <c r="I826" s="694"/>
      <c r="J826" s="694"/>
      <c r="K826" s="694"/>
      <c r="L826" s="694"/>
      <c r="M826" s="697" t="str">
        <f>Translations!$B$611</f>
        <v>Iron or steel products</v>
      </c>
      <c r="N826" s="620"/>
      <c r="O826" s="428"/>
    </row>
    <row r="827" spans="1:15" ht="12.75" customHeight="1" x14ac:dyDescent="0.2">
      <c r="A827" s="92"/>
      <c r="B827" s="144"/>
      <c r="C827" s="144"/>
      <c r="D827" s="144"/>
      <c r="E827" s="693" t="s">
        <v>2139</v>
      </c>
      <c r="F827" s="693" t="str">
        <f>Translations!$B$1231</f>
        <v>Other tubes, pipes and hollow profiles, welded, of circular cross-section, of iron or non-alloy steel, of an external diameter of &lt;= 168,3 mm, plated or coated with zinc (excl. line pipe of a kind used for oil or gas pipelines or casing and tubingof a kind used in drilling for oil or gas)</v>
      </c>
      <c r="G827" s="694"/>
      <c r="H827" s="694"/>
      <c r="I827" s="694"/>
      <c r="J827" s="694"/>
      <c r="K827" s="694"/>
      <c r="L827" s="694"/>
      <c r="M827" s="697" t="str">
        <f>Translations!$B$611</f>
        <v>Iron or steel products</v>
      </c>
      <c r="N827" s="620"/>
      <c r="O827" s="428"/>
    </row>
    <row r="828" spans="1:15" ht="12.75" customHeight="1" x14ac:dyDescent="0.2">
      <c r="A828" s="92"/>
      <c r="B828" s="144"/>
      <c r="C828" s="144"/>
      <c r="D828" s="144"/>
      <c r="E828" s="693" t="s">
        <v>2142</v>
      </c>
      <c r="F828" s="693" t="str">
        <f>Translations!$B$1232</f>
        <v>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v>
      </c>
      <c r="G828" s="694"/>
      <c r="H828" s="694"/>
      <c r="I828" s="694"/>
      <c r="J828" s="694"/>
      <c r="K828" s="694"/>
      <c r="L828" s="694"/>
      <c r="M828" s="697" t="str">
        <f>Translations!$B$611</f>
        <v>Iron or steel products</v>
      </c>
      <c r="N828" s="620"/>
      <c r="O828" s="428"/>
    </row>
    <row r="829" spans="1:15" ht="12.75" customHeight="1" x14ac:dyDescent="0.2">
      <c r="A829" s="92"/>
      <c r="B829" s="144"/>
      <c r="C829" s="144"/>
      <c r="D829" s="144"/>
      <c r="E829" s="693" t="s">
        <v>2145</v>
      </c>
      <c r="F829" s="693" t="str">
        <f>Translations!$B$1233</f>
        <v>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v>
      </c>
      <c r="G829" s="694"/>
      <c r="H829" s="694"/>
      <c r="I829" s="694"/>
      <c r="J829" s="694"/>
      <c r="K829" s="694"/>
      <c r="L829" s="694"/>
      <c r="M829" s="697" t="str">
        <f>Translations!$B$611</f>
        <v>Iron or steel products</v>
      </c>
      <c r="N829" s="620"/>
      <c r="O829" s="428"/>
    </row>
    <row r="830" spans="1:15" ht="12.75" customHeight="1" x14ac:dyDescent="0.2">
      <c r="A830" s="92"/>
      <c r="B830" s="144"/>
      <c r="C830" s="144"/>
      <c r="D830" s="144"/>
      <c r="E830" s="693" t="s">
        <v>2147</v>
      </c>
      <c r="F830" s="693" t="str">
        <f>Translations!$B$1234</f>
        <v>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v>
      </c>
      <c r="G830" s="694"/>
      <c r="H830" s="694"/>
      <c r="I830" s="694"/>
      <c r="J830" s="694"/>
      <c r="K830" s="694"/>
      <c r="L830" s="694"/>
      <c r="M830" s="697" t="str">
        <f>Translations!$B$611</f>
        <v>Iron or steel products</v>
      </c>
      <c r="N830" s="620"/>
      <c r="O830" s="428"/>
    </row>
    <row r="831" spans="1:15" ht="12.75" customHeight="1" x14ac:dyDescent="0.2">
      <c r="A831" s="92"/>
      <c r="B831" s="144"/>
      <c r="C831" s="144"/>
      <c r="D831" s="144"/>
      <c r="E831" s="693" t="s">
        <v>2150</v>
      </c>
      <c r="F831" s="693" t="str">
        <f>Translations!$B$1235</f>
        <v>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v>
      </c>
      <c r="G831" s="694"/>
      <c r="H831" s="694"/>
      <c r="I831" s="694"/>
      <c r="J831" s="694"/>
      <c r="K831" s="694"/>
      <c r="L831" s="694"/>
      <c r="M831" s="697" t="str">
        <f>Translations!$B$611</f>
        <v>Iron or steel products</v>
      </c>
      <c r="N831" s="620"/>
      <c r="O831" s="428"/>
    </row>
    <row r="832" spans="1:15" ht="12.75" customHeight="1" x14ac:dyDescent="0.2">
      <c r="A832" s="92"/>
      <c r="B832" s="144"/>
      <c r="C832" s="144"/>
      <c r="D832" s="144"/>
      <c r="E832" s="693" t="s">
        <v>2153</v>
      </c>
      <c r="F832" s="693" t="str">
        <f>Translations!$B$1236</f>
        <v>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v>
      </c>
      <c r="G832" s="694"/>
      <c r="H832" s="694"/>
      <c r="I832" s="694"/>
      <c r="J832" s="694"/>
      <c r="K832" s="694"/>
      <c r="L832" s="694"/>
      <c r="M832" s="697" t="str">
        <f>Translations!$B$611</f>
        <v>Iron or steel products</v>
      </c>
      <c r="N832" s="620"/>
      <c r="O832" s="428"/>
    </row>
    <row r="833" spans="1:15" ht="12.75" customHeight="1" x14ac:dyDescent="0.2">
      <c r="A833" s="92"/>
      <c r="B833" s="144"/>
      <c r="C833" s="144"/>
      <c r="D833" s="144"/>
      <c r="E833" s="693" t="s">
        <v>2155</v>
      </c>
      <c r="F833" s="693" t="str">
        <f>Translations!$B$1237</f>
        <v>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v>
      </c>
      <c r="G833" s="694"/>
      <c r="H833" s="694"/>
      <c r="I833" s="694"/>
      <c r="J833" s="694"/>
      <c r="K833" s="694"/>
      <c r="L833" s="694"/>
      <c r="M833" s="697" t="str">
        <f>Translations!$B$611</f>
        <v>Iron or steel products</v>
      </c>
      <c r="N833" s="620"/>
      <c r="O833" s="428"/>
    </row>
    <row r="834" spans="1:15" ht="12.75" customHeight="1" x14ac:dyDescent="0.2">
      <c r="A834" s="92"/>
      <c r="B834" s="144"/>
      <c r="C834" s="144"/>
      <c r="D834" s="144"/>
      <c r="E834" s="693" t="s">
        <v>2158</v>
      </c>
      <c r="F834" s="693" t="str">
        <f>Translations!$B$1238</f>
        <v>Precision steel tubes, welded, of circular cross-section, of alloy steel other than stainless, cold-drawn or cold-rolled "cold-reduced"</v>
      </c>
      <c r="G834" s="694"/>
      <c r="H834" s="694"/>
      <c r="I834" s="694"/>
      <c r="J834" s="694"/>
      <c r="K834" s="694"/>
      <c r="L834" s="694"/>
      <c r="M834" s="697" t="str">
        <f>Translations!$B$611</f>
        <v>Iron or steel products</v>
      </c>
      <c r="N834" s="620"/>
      <c r="O834" s="428"/>
    </row>
    <row r="835" spans="1:15" ht="12.75" customHeight="1" x14ac:dyDescent="0.2">
      <c r="A835" s="92"/>
      <c r="B835" s="144"/>
      <c r="C835" s="144"/>
      <c r="D835" s="144"/>
      <c r="E835" s="693" t="s">
        <v>2161</v>
      </c>
      <c r="F835" s="693" t="str">
        <f>Translations!$B$1239</f>
        <v>Precision steel tubes, welded, of circular cross-section, of alloy steel other than stainless (excl. cold-drawn or cold-rolled)</v>
      </c>
      <c r="G835" s="694"/>
      <c r="H835" s="694"/>
      <c r="I835" s="694"/>
      <c r="J835" s="694"/>
      <c r="K835" s="694"/>
      <c r="L835" s="694"/>
      <c r="M835" s="697" t="str">
        <f>Translations!$B$611</f>
        <v>Iron or steel products</v>
      </c>
      <c r="N835" s="620"/>
      <c r="O835" s="428"/>
    </row>
    <row r="836" spans="1:15" ht="12.75" customHeight="1" x14ac:dyDescent="0.2">
      <c r="A836" s="92"/>
      <c r="B836" s="144"/>
      <c r="C836" s="144"/>
      <c r="D836" s="144"/>
      <c r="E836" s="693" t="s">
        <v>2164</v>
      </c>
      <c r="F836" s="693" t="str">
        <f>Translations!$B$1240</f>
        <v>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v>
      </c>
      <c r="G836" s="694"/>
      <c r="H836" s="694"/>
      <c r="I836" s="694"/>
      <c r="J836" s="694"/>
      <c r="K836" s="694"/>
      <c r="L836" s="694"/>
      <c r="M836" s="697" t="str">
        <f>Translations!$B$611</f>
        <v>Iron or steel products</v>
      </c>
      <c r="N836" s="620"/>
      <c r="O836" s="428"/>
    </row>
    <row r="837" spans="1:15" ht="12.75" customHeight="1" x14ac:dyDescent="0.2">
      <c r="A837" s="92"/>
      <c r="B837" s="144"/>
      <c r="C837" s="144"/>
      <c r="D837" s="144"/>
      <c r="E837" s="693" t="s">
        <v>2166</v>
      </c>
      <c r="F837" s="693" t="str">
        <f>Translations!$B$1241</f>
        <v>Tubes and pipes and hollow profiles, welded, of square or rectangular cross-section, of iron or steel</v>
      </c>
      <c r="G837" s="694"/>
      <c r="H837" s="694"/>
      <c r="I837" s="694"/>
      <c r="J837" s="694"/>
      <c r="K837" s="694"/>
      <c r="L837" s="694"/>
      <c r="M837" s="697" t="str">
        <f>Translations!$B$611</f>
        <v>Iron or steel products</v>
      </c>
      <c r="N837" s="620"/>
      <c r="O837" s="428"/>
    </row>
    <row r="838" spans="1:15" ht="12.75" customHeight="1" x14ac:dyDescent="0.2">
      <c r="A838" s="92"/>
      <c r="B838" s="144"/>
      <c r="C838" s="144"/>
      <c r="D838" s="144"/>
      <c r="E838" s="693" t="s">
        <v>2169</v>
      </c>
      <c r="F838" s="693" t="str">
        <f>Translations!$B$1242</f>
        <v>Tubes and pipes and hollow profiles, welded, of square or rectangular cross-section, of stainless steel</v>
      </c>
      <c r="G838" s="694"/>
      <c r="H838" s="694"/>
      <c r="I838" s="694"/>
      <c r="J838" s="694"/>
      <c r="K838" s="694"/>
      <c r="L838" s="694"/>
      <c r="M838" s="697" t="str">
        <f>Translations!$B$611</f>
        <v>Iron or steel products</v>
      </c>
      <c r="N838" s="620"/>
      <c r="O838" s="428"/>
    </row>
    <row r="839" spans="1:15" ht="12.75" customHeight="1" x14ac:dyDescent="0.2">
      <c r="A839" s="92"/>
      <c r="B839" s="144"/>
      <c r="C839" s="144"/>
      <c r="D839" s="144"/>
      <c r="E839" s="693" t="s">
        <v>2172</v>
      </c>
      <c r="F839" s="693" t="str">
        <f>Translations!$B$1243</f>
        <v>Tubes and pipes and hollow profiles, welded, of square or rectangular cross-section, of iron or steel other than stainless steel, with a wall thickness of &lt;= 2 mm</v>
      </c>
      <c r="G839" s="694"/>
      <c r="H839" s="694"/>
      <c r="I839" s="694"/>
      <c r="J839" s="694"/>
      <c r="K839" s="694"/>
      <c r="L839" s="694"/>
      <c r="M839" s="697" t="str">
        <f>Translations!$B$611</f>
        <v>Iron or steel products</v>
      </c>
      <c r="N839" s="620"/>
      <c r="O839" s="428"/>
    </row>
    <row r="840" spans="1:15" ht="12.75" customHeight="1" x14ac:dyDescent="0.2">
      <c r="A840" s="92"/>
      <c r="B840" s="144"/>
      <c r="C840" s="144"/>
      <c r="D840" s="144"/>
      <c r="E840" s="693" t="s">
        <v>2175</v>
      </c>
      <c r="F840" s="693" t="str">
        <f>Translations!$B$1244</f>
        <v>Tubes and pipes and hollow profiles, welded, of square or rectangular cross-section, of iron or steel other than stainless steel, with a wall thickness of &gt; 2 mm</v>
      </c>
      <c r="G840" s="694"/>
      <c r="H840" s="694"/>
      <c r="I840" s="694"/>
      <c r="J840" s="694"/>
      <c r="K840" s="694"/>
      <c r="L840" s="694"/>
      <c r="M840" s="697" t="str">
        <f>Translations!$B$611</f>
        <v>Iron or steel products</v>
      </c>
      <c r="N840" s="620"/>
      <c r="O840" s="428"/>
    </row>
    <row r="841" spans="1:15" ht="12.75" customHeight="1" x14ac:dyDescent="0.2">
      <c r="A841" s="92"/>
      <c r="B841" s="144"/>
      <c r="C841" s="144"/>
      <c r="D841" s="144"/>
      <c r="E841" s="693" t="s">
        <v>2177</v>
      </c>
      <c r="F841" s="693" t="str">
        <f>Translations!$B$1245</f>
        <v>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G841" s="694"/>
      <c r="H841" s="694"/>
      <c r="I841" s="694"/>
      <c r="J841" s="694"/>
      <c r="K841" s="694"/>
      <c r="L841" s="694"/>
      <c r="M841" s="697" t="str">
        <f>Translations!$B$611</f>
        <v>Iron or steel products</v>
      </c>
      <c r="N841" s="620"/>
      <c r="O841" s="428"/>
    </row>
    <row r="842" spans="1:15" ht="12.75" customHeight="1" x14ac:dyDescent="0.2">
      <c r="A842" s="92"/>
      <c r="B842" s="144"/>
      <c r="C842" s="144"/>
      <c r="D842" s="144"/>
      <c r="E842" s="693" t="s">
        <v>2180</v>
      </c>
      <c r="F842" s="693" t="str">
        <f>Translations!$B$1246</f>
        <v>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G842" s="694"/>
      <c r="H842" s="694"/>
      <c r="I842" s="694"/>
      <c r="J842" s="694"/>
      <c r="K842" s="694"/>
      <c r="L842" s="694"/>
      <c r="M842" s="697" t="str">
        <f>Translations!$B$611</f>
        <v>Iron or steel products</v>
      </c>
      <c r="N842" s="620"/>
      <c r="O842" s="428"/>
    </row>
    <row r="843" spans="1:15" ht="12.75" customHeight="1" x14ac:dyDescent="0.2">
      <c r="A843" s="92"/>
      <c r="B843" s="144"/>
      <c r="C843" s="144"/>
      <c r="D843" s="144"/>
      <c r="E843" s="693" t="s">
        <v>2183</v>
      </c>
      <c r="F843" s="693" t="str">
        <f>Translations!$B$1247</f>
        <v>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v>
      </c>
      <c r="G843" s="694"/>
      <c r="H843" s="694"/>
      <c r="I843" s="694"/>
      <c r="J843" s="694"/>
      <c r="K843" s="694"/>
      <c r="L843" s="694"/>
      <c r="M843" s="697" t="str">
        <f>Translations!$B$611</f>
        <v>Iron or steel products</v>
      </c>
      <c r="N843" s="620"/>
      <c r="O843" s="428"/>
    </row>
    <row r="844" spans="1:15" ht="12.75" customHeight="1" x14ac:dyDescent="0.2">
      <c r="A844" s="92"/>
      <c r="B844" s="144"/>
      <c r="C844" s="144"/>
      <c r="D844" s="144"/>
      <c r="E844" s="693" t="s">
        <v>2186</v>
      </c>
      <c r="F844" s="693" t="str">
        <f>Translations!$B$1248</f>
        <v>Tubes, pipes and hollow profiles "e.g., open seam, riveted or similarly closed", of iron or steel (excl. of cast iron, seamless or welded tubes and pipes and tubes and pipes having internal and external circular cross-sections and an external diameter of &gt; 406,4 mm)</v>
      </c>
      <c r="G844" s="694"/>
      <c r="H844" s="694"/>
      <c r="I844" s="694"/>
      <c r="J844" s="694"/>
      <c r="K844" s="694"/>
      <c r="L844" s="694"/>
      <c r="M844" s="697" t="str">
        <f>Translations!$B$611</f>
        <v>Iron or steel products</v>
      </c>
      <c r="N844" s="620"/>
      <c r="O844" s="428"/>
    </row>
    <row r="845" spans="1:15" ht="12.75" customHeight="1" x14ac:dyDescent="0.2">
      <c r="A845" s="92"/>
      <c r="B845" s="144"/>
      <c r="C845" s="144"/>
      <c r="D845" s="144"/>
      <c r="E845" s="693" t="s">
        <v>2188</v>
      </c>
      <c r="F845" s="693" t="str">
        <f>Translations!$B$1249</f>
        <v>Tube or pipe fittings "e.g. couplings, elbows, sleeves", of iron or steel</v>
      </c>
      <c r="G845" s="694"/>
      <c r="H845" s="694"/>
      <c r="I845" s="694"/>
      <c r="J845" s="694"/>
      <c r="K845" s="694"/>
      <c r="L845" s="694"/>
      <c r="M845" s="697" t="str">
        <f>Translations!$B$611</f>
        <v>Iron or steel products</v>
      </c>
      <c r="N845" s="620"/>
      <c r="O845" s="428"/>
    </row>
    <row r="846" spans="1:15" ht="12.75" customHeight="1" x14ac:dyDescent="0.2">
      <c r="A846" s="92"/>
      <c r="B846" s="144"/>
      <c r="C846" s="144"/>
      <c r="D846" s="144"/>
      <c r="E846" s="693" t="s">
        <v>2190</v>
      </c>
      <c r="F846" s="693" t="str">
        <f>Translations!$B$1250</f>
        <v>Tube or pipe fittings of non-malleable cast iron</v>
      </c>
      <c r="G846" s="694"/>
      <c r="H846" s="694"/>
      <c r="I846" s="694"/>
      <c r="J846" s="694"/>
      <c r="K846" s="694"/>
      <c r="L846" s="694"/>
      <c r="M846" s="697" t="str">
        <f>Translations!$B$611</f>
        <v>Iron or steel products</v>
      </c>
      <c r="N846" s="620"/>
      <c r="O846" s="428"/>
    </row>
    <row r="847" spans="1:15" ht="12.75" customHeight="1" x14ac:dyDescent="0.2">
      <c r="A847" s="92"/>
      <c r="B847" s="144"/>
      <c r="C847" s="144"/>
      <c r="D847" s="144"/>
      <c r="E847" s="693" t="s">
        <v>2193</v>
      </c>
      <c r="F847" s="693" t="str">
        <f>Translations!$B$1251</f>
        <v>Tube or pipe fittings of non-malleable cast iron, of a kind used in pressure systems</v>
      </c>
      <c r="G847" s="694"/>
      <c r="H847" s="694"/>
      <c r="I847" s="694"/>
      <c r="J847" s="694"/>
      <c r="K847" s="694"/>
      <c r="L847" s="694"/>
      <c r="M847" s="697" t="str">
        <f>Translations!$B$611</f>
        <v>Iron or steel products</v>
      </c>
      <c r="N847" s="620"/>
      <c r="O847" s="428"/>
    </row>
    <row r="848" spans="1:15" ht="12.75" customHeight="1" x14ac:dyDescent="0.2">
      <c r="A848" s="92"/>
      <c r="B848" s="144"/>
      <c r="C848" s="144"/>
      <c r="D848" s="144"/>
      <c r="E848" s="693" t="s">
        <v>2196</v>
      </c>
      <c r="F848" s="693" t="str">
        <f>Translations!$B$1252</f>
        <v>Tube or pipe fittings of non-malleable cast iron (excl. products of a kind used in pressure systems)</v>
      </c>
      <c r="G848" s="694"/>
      <c r="H848" s="694"/>
      <c r="I848" s="694"/>
      <c r="J848" s="694"/>
      <c r="K848" s="694"/>
      <c r="L848" s="694"/>
      <c r="M848" s="697" t="str">
        <f>Translations!$B$611</f>
        <v>Iron or steel products</v>
      </c>
      <c r="N848" s="620"/>
      <c r="O848" s="428"/>
    </row>
    <row r="849" spans="1:15" ht="12.75" customHeight="1" x14ac:dyDescent="0.2">
      <c r="A849" s="92"/>
      <c r="B849" s="144"/>
      <c r="C849" s="144"/>
      <c r="D849" s="144"/>
      <c r="E849" s="693" t="s">
        <v>2198</v>
      </c>
      <c r="F849" s="693" t="str">
        <f>Translations!$B$1253</f>
        <v>Cast tube or pipe fittings of iron or steel (excl. products of non-malleable cast iron)</v>
      </c>
      <c r="G849" s="694"/>
      <c r="H849" s="694"/>
      <c r="I849" s="694"/>
      <c r="J849" s="694"/>
      <c r="K849" s="694"/>
      <c r="L849" s="694"/>
      <c r="M849" s="697" t="str">
        <f>Translations!$B$611</f>
        <v>Iron or steel products</v>
      </c>
      <c r="N849" s="620"/>
      <c r="O849" s="428"/>
    </row>
    <row r="850" spans="1:15" ht="12.75" customHeight="1" x14ac:dyDescent="0.2">
      <c r="A850" s="92"/>
      <c r="B850" s="144"/>
      <c r="C850" s="144"/>
      <c r="D850" s="144"/>
      <c r="E850" s="693" t="s">
        <v>2201</v>
      </c>
      <c r="F850" s="693" t="str">
        <f>Translations!$B$1254</f>
        <v>Tube or pipe fittings of cast iron (excl. of non-malleable)</v>
      </c>
      <c r="G850" s="694"/>
      <c r="H850" s="694"/>
      <c r="I850" s="694"/>
      <c r="J850" s="694"/>
      <c r="K850" s="694"/>
      <c r="L850" s="694"/>
      <c r="M850" s="697" t="str">
        <f>Translations!$B$611</f>
        <v>Iron or steel products</v>
      </c>
      <c r="N850" s="620"/>
      <c r="O850" s="428"/>
    </row>
    <row r="851" spans="1:15" ht="12.75" customHeight="1" x14ac:dyDescent="0.2">
      <c r="A851" s="92"/>
      <c r="B851" s="144"/>
      <c r="C851" s="144"/>
      <c r="D851" s="144"/>
      <c r="E851" s="693" t="s">
        <v>2204</v>
      </c>
      <c r="F851" s="693" t="str">
        <f>Translations!$B$1255</f>
        <v>Cast tube or pipe fittings of steel</v>
      </c>
      <c r="G851" s="694"/>
      <c r="H851" s="694"/>
      <c r="I851" s="694"/>
      <c r="J851" s="694"/>
      <c r="K851" s="694"/>
      <c r="L851" s="694"/>
      <c r="M851" s="697" t="str">
        <f>Translations!$B$611</f>
        <v>Iron or steel products</v>
      </c>
      <c r="N851" s="620"/>
      <c r="O851" s="428"/>
    </row>
    <row r="852" spans="1:15" ht="12.75" customHeight="1" x14ac:dyDescent="0.2">
      <c r="A852" s="92"/>
      <c r="B852" s="144"/>
      <c r="C852" s="144"/>
      <c r="D852" s="144"/>
      <c r="E852" s="693" t="s">
        <v>2207</v>
      </c>
      <c r="F852" s="693" t="str">
        <f>Translations!$B$1256</f>
        <v>Flanges of stainless steel (excl. cast products)</v>
      </c>
      <c r="G852" s="694"/>
      <c r="H852" s="694"/>
      <c r="I852" s="694"/>
      <c r="J852" s="694"/>
      <c r="K852" s="694"/>
      <c r="L852" s="694"/>
      <c r="M852" s="697" t="str">
        <f>Translations!$B$611</f>
        <v>Iron or steel products</v>
      </c>
      <c r="N852" s="620"/>
      <c r="O852" s="428"/>
    </row>
    <row r="853" spans="1:15" ht="12.75" customHeight="1" x14ac:dyDescent="0.2">
      <c r="A853" s="92"/>
      <c r="B853" s="144"/>
      <c r="C853" s="144"/>
      <c r="D853" s="144"/>
      <c r="E853" s="693" t="s">
        <v>2209</v>
      </c>
      <c r="F853" s="693" t="str">
        <f>Translations!$B$1257</f>
        <v>Threaded elbows, bends and sleeves of stainless steel (excl. cast products)</v>
      </c>
      <c r="G853" s="694"/>
      <c r="H853" s="694"/>
      <c r="I853" s="694"/>
      <c r="J853" s="694"/>
      <c r="K853" s="694"/>
      <c r="L853" s="694"/>
      <c r="M853" s="697" t="str">
        <f>Translations!$B$611</f>
        <v>Iron or steel products</v>
      </c>
      <c r="N853" s="620"/>
      <c r="O853" s="428"/>
    </row>
    <row r="854" spans="1:15" ht="12.75" customHeight="1" x14ac:dyDescent="0.2">
      <c r="A854" s="92"/>
      <c r="B854" s="144"/>
      <c r="C854" s="144"/>
      <c r="D854" s="144"/>
      <c r="E854" s="693" t="s">
        <v>2212</v>
      </c>
      <c r="F854" s="693" t="str">
        <f>Translations!$B$1258</f>
        <v>Sleeves, of stainless steel, threaded (excl. cast products)</v>
      </c>
      <c r="G854" s="694"/>
      <c r="H854" s="694"/>
      <c r="I854" s="694"/>
      <c r="J854" s="694"/>
      <c r="K854" s="694"/>
      <c r="L854" s="694"/>
      <c r="M854" s="697" t="str">
        <f>Translations!$B$611</f>
        <v>Iron or steel products</v>
      </c>
      <c r="N854" s="620"/>
      <c r="O854" s="428"/>
    </row>
    <row r="855" spans="1:15" ht="12.75" customHeight="1" x14ac:dyDescent="0.2">
      <c r="A855" s="92"/>
      <c r="B855" s="144"/>
      <c r="C855" s="144"/>
      <c r="D855" s="144"/>
      <c r="E855" s="693" t="s">
        <v>2215</v>
      </c>
      <c r="F855" s="693" t="str">
        <f>Translations!$B$1259</f>
        <v>Elbows and bends, of stainless steel, threaded (excl. cast products)</v>
      </c>
      <c r="G855" s="694"/>
      <c r="H855" s="694"/>
      <c r="I855" s="694"/>
      <c r="J855" s="694"/>
      <c r="K855" s="694"/>
      <c r="L855" s="694"/>
      <c r="M855" s="697" t="str">
        <f>Translations!$B$611</f>
        <v>Iron or steel products</v>
      </c>
      <c r="N855" s="620"/>
      <c r="O855" s="428"/>
    </row>
    <row r="856" spans="1:15" ht="12.75" customHeight="1" x14ac:dyDescent="0.2">
      <c r="A856" s="92"/>
      <c r="B856" s="144"/>
      <c r="C856" s="144"/>
      <c r="D856" s="144"/>
      <c r="E856" s="693" t="s">
        <v>2217</v>
      </c>
      <c r="F856" s="693" t="str">
        <f>Translations!$B$1260</f>
        <v>Butt welding tube or pipe fittings of stainless steel (excl. cast products)</v>
      </c>
      <c r="G856" s="694"/>
      <c r="H856" s="694"/>
      <c r="I856" s="694"/>
      <c r="J856" s="694"/>
      <c r="K856" s="694"/>
      <c r="L856" s="694"/>
      <c r="M856" s="697" t="str">
        <f>Translations!$B$611</f>
        <v>Iron or steel products</v>
      </c>
      <c r="N856" s="620"/>
      <c r="O856" s="428"/>
    </row>
    <row r="857" spans="1:15" ht="12.75" customHeight="1" x14ac:dyDescent="0.2">
      <c r="A857" s="92"/>
      <c r="B857" s="144"/>
      <c r="C857" s="144"/>
      <c r="D857" s="144"/>
      <c r="E857" s="693" t="s">
        <v>2220</v>
      </c>
      <c r="F857" s="693" t="str">
        <f>Translations!$B$1261</f>
        <v>Butt welding elbows and bends of stainless steel (excl. cast products)</v>
      </c>
      <c r="G857" s="694"/>
      <c r="H857" s="694"/>
      <c r="I857" s="694"/>
      <c r="J857" s="694"/>
      <c r="K857" s="694"/>
      <c r="L857" s="694"/>
      <c r="M857" s="697" t="str">
        <f>Translations!$B$611</f>
        <v>Iron or steel products</v>
      </c>
      <c r="N857" s="620"/>
      <c r="O857" s="428"/>
    </row>
    <row r="858" spans="1:15" ht="12.75" customHeight="1" x14ac:dyDescent="0.2">
      <c r="A858" s="92"/>
      <c r="B858" s="144"/>
      <c r="C858" s="144"/>
      <c r="D858" s="144"/>
      <c r="E858" s="693" t="s">
        <v>2223</v>
      </c>
      <c r="F858" s="693" t="str">
        <f>Translations!$B$1262</f>
        <v>Butt welding tube or pipe fittings of stainless steel (excl. cast products and elbows and bends)</v>
      </c>
      <c r="G858" s="694"/>
      <c r="H858" s="694"/>
      <c r="I858" s="694"/>
      <c r="J858" s="694"/>
      <c r="K858" s="694"/>
      <c r="L858" s="694"/>
      <c r="M858" s="697" t="str">
        <f>Translations!$B$611</f>
        <v>Iron or steel products</v>
      </c>
      <c r="N858" s="620"/>
      <c r="O858" s="428"/>
    </row>
    <row r="859" spans="1:15" ht="12.75" customHeight="1" x14ac:dyDescent="0.2">
      <c r="A859" s="92"/>
      <c r="B859" s="144"/>
      <c r="C859" s="144"/>
      <c r="D859" s="144"/>
      <c r="E859" s="693" t="s">
        <v>2225</v>
      </c>
      <c r="F859" s="693" t="str">
        <f>Translations!$B$1263</f>
        <v>Tube or pipe fittings of stainless steel (excl. cast products, flanges, threaded elbows, bends and sleeves and butt weldings fittings)</v>
      </c>
      <c r="G859" s="694"/>
      <c r="H859" s="694"/>
      <c r="I859" s="694"/>
      <c r="J859" s="694"/>
      <c r="K859" s="694"/>
      <c r="L859" s="694"/>
      <c r="M859" s="697" t="str">
        <f>Translations!$B$611</f>
        <v>Iron or steel products</v>
      </c>
      <c r="N859" s="620"/>
      <c r="O859" s="428"/>
    </row>
    <row r="860" spans="1:15" ht="12.75" customHeight="1" x14ac:dyDescent="0.2">
      <c r="A860" s="92"/>
      <c r="B860" s="144"/>
      <c r="C860" s="144"/>
      <c r="D860" s="144"/>
      <c r="E860" s="693" t="s">
        <v>2228</v>
      </c>
      <c r="F860" s="693" t="str">
        <f>Translations!$B$1264</f>
        <v>Threaded tube or pipe fittings of stainless steel (excl. cast products, flanges, elbows, bends and sleeves)</v>
      </c>
      <c r="G860" s="694"/>
      <c r="H860" s="694"/>
      <c r="I860" s="694"/>
      <c r="J860" s="694"/>
      <c r="K860" s="694"/>
      <c r="L860" s="694"/>
      <c r="M860" s="697" t="str">
        <f>Translations!$B$611</f>
        <v>Iron or steel products</v>
      </c>
      <c r="N860" s="620"/>
      <c r="O860" s="428"/>
    </row>
    <row r="861" spans="1:15" ht="12.75" customHeight="1" x14ac:dyDescent="0.2">
      <c r="A861" s="92"/>
      <c r="B861" s="144"/>
      <c r="C861" s="144"/>
      <c r="D861" s="144"/>
      <c r="E861" s="693" t="s">
        <v>2231</v>
      </c>
      <c r="F861" s="693" t="str">
        <f>Translations!$B$1265</f>
        <v>Tube or pipe fittings of stainless steel (excl. cast, threaded, butt welding fittings and flanges)</v>
      </c>
      <c r="G861" s="694"/>
      <c r="H861" s="694"/>
      <c r="I861" s="694"/>
      <c r="J861" s="694"/>
      <c r="K861" s="694"/>
      <c r="L861" s="694"/>
      <c r="M861" s="697" t="str">
        <f>Translations!$B$611</f>
        <v>Iron or steel products</v>
      </c>
      <c r="N861" s="620"/>
      <c r="O861" s="428"/>
    </row>
    <row r="862" spans="1:15" ht="12.75" customHeight="1" x14ac:dyDescent="0.2">
      <c r="A862" s="92"/>
      <c r="B862" s="144"/>
      <c r="C862" s="144"/>
      <c r="D862" s="144"/>
      <c r="E862" s="693" t="s">
        <v>2234</v>
      </c>
      <c r="F862" s="693" t="str">
        <f>Translations!$B$1266</f>
        <v>Flanges of iron or steel (excl. cast or stainless products)</v>
      </c>
      <c r="G862" s="694"/>
      <c r="H862" s="694"/>
      <c r="I862" s="694"/>
      <c r="J862" s="694"/>
      <c r="K862" s="694"/>
      <c r="L862" s="694"/>
      <c r="M862" s="697" t="str">
        <f>Translations!$B$611</f>
        <v>Iron or steel products</v>
      </c>
      <c r="N862" s="620"/>
      <c r="O862" s="428"/>
    </row>
    <row r="863" spans="1:15" ht="12.75" customHeight="1" x14ac:dyDescent="0.2">
      <c r="A863" s="92"/>
      <c r="B863" s="144"/>
      <c r="C863" s="144"/>
      <c r="D863" s="144"/>
      <c r="E863" s="693" t="s">
        <v>2236</v>
      </c>
      <c r="F863" s="693" t="str">
        <f>Translations!$B$1267</f>
        <v>Threaded elbows, bends and sleeves, of stainless steel (excl. cast or stainless products)</v>
      </c>
      <c r="G863" s="694"/>
      <c r="H863" s="694"/>
      <c r="I863" s="694"/>
      <c r="J863" s="694"/>
      <c r="K863" s="694"/>
      <c r="L863" s="694"/>
      <c r="M863" s="697" t="str">
        <f>Translations!$B$611</f>
        <v>Iron or steel products</v>
      </c>
      <c r="N863" s="620"/>
      <c r="O863" s="428"/>
    </row>
    <row r="864" spans="1:15" ht="12.75" customHeight="1" x14ac:dyDescent="0.2">
      <c r="A864" s="92"/>
      <c r="B864" s="144"/>
      <c r="C864" s="144"/>
      <c r="D864" s="144"/>
      <c r="E864" s="693" t="s">
        <v>2239</v>
      </c>
      <c r="F864" s="693" t="str">
        <f>Translations!$B$1268</f>
        <v>Sleeves of iron or steel, threaded (excl. cast or of stainless steel)</v>
      </c>
      <c r="G864" s="694"/>
      <c r="H864" s="694"/>
      <c r="I864" s="694"/>
      <c r="J864" s="694"/>
      <c r="K864" s="694"/>
      <c r="L864" s="694"/>
      <c r="M864" s="697" t="str">
        <f>Translations!$B$611</f>
        <v>Iron or steel products</v>
      </c>
      <c r="N864" s="620"/>
      <c r="O864" s="428"/>
    </row>
    <row r="865" spans="1:15" ht="12.75" customHeight="1" x14ac:dyDescent="0.2">
      <c r="A865" s="92"/>
      <c r="B865" s="144"/>
      <c r="C865" s="144"/>
      <c r="D865" s="144"/>
      <c r="E865" s="693" t="s">
        <v>2242</v>
      </c>
      <c r="F865" s="693" t="str">
        <f>Translations!$B$1269</f>
        <v>Elbows and bends, of iron or steel, threaded (excl. cast or of stainless steel)</v>
      </c>
      <c r="G865" s="694"/>
      <c r="H865" s="694"/>
      <c r="I865" s="694"/>
      <c r="J865" s="694"/>
      <c r="K865" s="694"/>
      <c r="L865" s="694"/>
      <c r="M865" s="697" t="str">
        <f>Translations!$B$611</f>
        <v>Iron or steel products</v>
      </c>
      <c r="N865" s="620"/>
      <c r="O865" s="428"/>
    </row>
    <row r="866" spans="1:15" ht="12.75" customHeight="1" x14ac:dyDescent="0.2">
      <c r="A866" s="92"/>
      <c r="B866" s="144"/>
      <c r="C866" s="144"/>
      <c r="D866" s="144"/>
      <c r="E866" s="693" t="s">
        <v>2244</v>
      </c>
      <c r="F866" s="693" t="str">
        <f>Translations!$B$1270</f>
        <v>Butt welding fittings of iron or steel (excl. cast iron or stainless steel products, and flanges)</v>
      </c>
      <c r="G866" s="694"/>
      <c r="H866" s="694"/>
      <c r="I866" s="694"/>
      <c r="J866" s="694"/>
      <c r="K866" s="694"/>
      <c r="L866" s="694"/>
      <c r="M866" s="697" t="str">
        <f>Translations!$B$611</f>
        <v>Iron or steel products</v>
      </c>
      <c r="N866" s="620"/>
      <c r="O866" s="428"/>
    </row>
    <row r="867" spans="1:15" ht="12.75" customHeight="1" x14ac:dyDescent="0.2">
      <c r="A867" s="92"/>
      <c r="B867" s="144"/>
      <c r="C867" s="144"/>
      <c r="D867" s="144"/>
      <c r="E867" s="693" t="s">
        <v>2247</v>
      </c>
      <c r="F867" s="693" t="str">
        <f>Translations!$B$1271</f>
        <v>Butt welding elbows and bends, of iron or steel, with greatest external diameter &lt;= 609,6 mm (excl. cast iron or stainless steel products)</v>
      </c>
      <c r="G867" s="694"/>
      <c r="H867" s="694"/>
      <c r="I867" s="694"/>
      <c r="J867" s="694"/>
      <c r="K867" s="694"/>
      <c r="L867" s="694"/>
      <c r="M867" s="697" t="str">
        <f>Translations!$B$611</f>
        <v>Iron or steel products</v>
      </c>
      <c r="N867" s="620"/>
      <c r="O867" s="428"/>
    </row>
    <row r="868" spans="1:15" ht="12.75" customHeight="1" x14ac:dyDescent="0.2">
      <c r="A868" s="92"/>
      <c r="B868" s="144"/>
      <c r="C868" s="144"/>
      <c r="D868" s="144"/>
      <c r="E868" s="693" t="s">
        <v>2250</v>
      </c>
      <c r="F868" s="693" t="str">
        <f>Translations!$B$1272</f>
        <v>Butt welding fittings of iron or steel, with greatest external diameter &lt;= 609,6 mm (excl. cast iron or stainless steel products, elbows, bends and flanges)</v>
      </c>
      <c r="G868" s="694"/>
      <c r="H868" s="694"/>
      <c r="I868" s="694"/>
      <c r="J868" s="694"/>
      <c r="K868" s="694"/>
      <c r="L868" s="694"/>
      <c r="M868" s="697" t="str">
        <f>Translations!$B$611</f>
        <v>Iron or steel products</v>
      </c>
      <c r="N868" s="620"/>
      <c r="O868" s="428"/>
    </row>
    <row r="869" spans="1:15" ht="12.75" customHeight="1" x14ac:dyDescent="0.2">
      <c r="A869" s="92"/>
      <c r="B869" s="144"/>
      <c r="C869" s="144"/>
      <c r="D869" s="144"/>
      <c r="E869" s="693" t="s">
        <v>2253</v>
      </c>
      <c r="F869" s="693" t="str">
        <f>Translations!$B$1273</f>
        <v>Butt welding elbows and bends, of iron or steel, with greatest external diameter &gt; 609,6 mm (excl. cast iron or stainless steel products)</v>
      </c>
      <c r="G869" s="694"/>
      <c r="H869" s="694"/>
      <c r="I869" s="694"/>
      <c r="J869" s="694"/>
      <c r="K869" s="694"/>
      <c r="L869" s="694"/>
      <c r="M869" s="697" t="str">
        <f>Translations!$B$611</f>
        <v>Iron or steel products</v>
      </c>
      <c r="N869" s="620"/>
      <c r="O869" s="428"/>
    </row>
    <row r="870" spans="1:15" ht="12.75" customHeight="1" x14ac:dyDescent="0.2">
      <c r="A870" s="92"/>
      <c r="B870" s="144"/>
      <c r="C870" s="144"/>
      <c r="D870" s="144"/>
      <c r="E870" s="693" t="s">
        <v>2256</v>
      </c>
      <c r="F870" s="693" t="str">
        <f>Translations!$B$1274</f>
        <v>Butt welding fittings of iron or steel, with greatest external diameter &gt; 609,6 mm (excl. cast iron or stainless steel products, elbows, bends and flanges)</v>
      </c>
      <c r="G870" s="694"/>
      <c r="H870" s="694"/>
      <c r="I870" s="694"/>
      <c r="J870" s="694"/>
      <c r="K870" s="694"/>
      <c r="L870" s="694"/>
      <c r="M870" s="697" t="str">
        <f>Translations!$B$611</f>
        <v>Iron or steel products</v>
      </c>
      <c r="N870" s="620"/>
      <c r="O870" s="428"/>
    </row>
    <row r="871" spans="1:15" ht="12.75" customHeight="1" x14ac:dyDescent="0.2">
      <c r="A871" s="92"/>
      <c r="B871" s="144"/>
      <c r="C871" s="144"/>
      <c r="D871" s="144"/>
      <c r="E871" s="693" t="s">
        <v>2258</v>
      </c>
      <c r="F871" s="693" t="str">
        <f>Translations!$B$1275</f>
        <v>Tube or pipe fittings, of iron or steel (excl. cast iron or stainless steel products; flanges; threaded elbows, bends and sleeves; butt welding fittings)</v>
      </c>
      <c r="G871" s="694"/>
      <c r="H871" s="694"/>
      <c r="I871" s="694"/>
      <c r="J871" s="694"/>
      <c r="K871" s="694"/>
      <c r="L871" s="694"/>
      <c r="M871" s="697" t="str">
        <f>Translations!$B$611</f>
        <v>Iron or steel products</v>
      </c>
      <c r="N871" s="620"/>
      <c r="O871" s="428"/>
    </row>
    <row r="872" spans="1:15" ht="12.75" customHeight="1" x14ac:dyDescent="0.2">
      <c r="A872" s="92"/>
      <c r="B872" s="144"/>
      <c r="C872" s="144"/>
      <c r="D872" s="144"/>
      <c r="E872" s="693" t="s">
        <v>2261</v>
      </c>
      <c r="F872" s="693" t="str">
        <f>Translations!$B$1276</f>
        <v>Threaded tube or pipe fittings, of iron or steel (excl. cast iron or stainless steel products, flanges, elbows, bends and sleeves)</v>
      </c>
      <c r="G872" s="694"/>
      <c r="H872" s="694"/>
      <c r="I872" s="694"/>
      <c r="J872" s="694"/>
      <c r="K872" s="694"/>
      <c r="L872" s="694"/>
      <c r="M872" s="697" t="str">
        <f>Translations!$B$611</f>
        <v>Iron or steel products</v>
      </c>
      <c r="N872" s="620"/>
      <c r="O872" s="428"/>
    </row>
    <row r="873" spans="1:15" ht="12.75" customHeight="1" x14ac:dyDescent="0.2">
      <c r="A873" s="92"/>
      <c r="B873" s="144"/>
      <c r="C873" s="144"/>
      <c r="D873" s="144"/>
      <c r="E873" s="693" t="s">
        <v>2264</v>
      </c>
      <c r="F873" s="693" t="str">
        <f>Translations!$B$1277</f>
        <v>Tube or pipe fittings, of iron or steel (excl. of cast iron or stainless steel, threaded, butt welding fittings, and flanges)</v>
      </c>
      <c r="G873" s="694"/>
      <c r="H873" s="694"/>
      <c r="I873" s="694"/>
      <c r="J873" s="694"/>
      <c r="K873" s="694"/>
      <c r="L873" s="694"/>
      <c r="M873" s="697" t="str">
        <f>Translations!$B$611</f>
        <v>Iron or steel products</v>
      </c>
      <c r="N873" s="620"/>
      <c r="O873" s="428"/>
    </row>
    <row r="874" spans="1:15" ht="12.75" customHeight="1" x14ac:dyDescent="0.2">
      <c r="A874" s="92"/>
      <c r="B874" s="144"/>
      <c r="C874" s="144"/>
      <c r="D874" s="144"/>
      <c r="E874" s="693" t="s">
        <v>2266</v>
      </c>
      <c r="F874" s="693" t="str">
        <f>Translations!$B$1278</f>
        <v>Structures and parts of structures "e.g.,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(excl. prefabricated buildings of heading 9406)</v>
      </c>
      <c r="G874" s="694"/>
      <c r="H874" s="694"/>
      <c r="I874" s="694"/>
      <c r="J874" s="694"/>
      <c r="K874" s="694"/>
      <c r="L874" s="694"/>
      <c r="M874" s="697" t="str">
        <f>Translations!$B$611</f>
        <v>Iron or steel products</v>
      </c>
      <c r="N874" s="620"/>
      <c r="O874" s="428"/>
    </row>
    <row r="875" spans="1:15" ht="12.75" customHeight="1" x14ac:dyDescent="0.2">
      <c r="A875" s="92"/>
      <c r="B875" s="144"/>
      <c r="C875" s="144"/>
      <c r="D875" s="144"/>
      <c r="E875" s="693" t="s">
        <v>2269</v>
      </c>
      <c r="F875" s="693" t="str">
        <f>Translations!$B$1279</f>
        <v>Bridges and bridge-sections, of iron or steel</v>
      </c>
      <c r="G875" s="694"/>
      <c r="H875" s="694"/>
      <c r="I875" s="694"/>
      <c r="J875" s="694"/>
      <c r="K875" s="694"/>
      <c r="L875" s="694"/>
      <c r="M875" s="697" t="str">
        <f>Translations!$B$611</f>
        <v>Iron or steel products</v>
      </c>
      <c r="N875" s="620"/>
      <c r="O875" s="428"/>
    </row>
    <row r="876" spans="1:15" ht="12.75" customHeight="1" x14ac:dyDescent="0.2">
      <c r="A876" s="92"/>
      <c r="B876" s="144"/>
      <c r="C876" s="144"/>
      <c r="D876" s="144"/>
      <c r="E876" s="693" t="s">
        <v>2272</v>
      </c>
      <c r="F876" s="693" t="str">
        <f>Translations!$B$1280</f>
        <v>Towers and lattice masts, of iron or steel</v>
      </c>
      <c r="G876" s="694"/>
      <c r="H876" s="694"/>
      <c r="I876" s="694"/>
      <c r="J876" s="694"/>
      <c r="K876" s="694"/>
      <c r="L876" s="694"/>
      <c r="M876" s="697" t="str">
        <f>Translations!$B$611</f>
        <v>Iron or steel products</v>
      </c>
      <c r="N876" s="620"/>
      <c r="O876" s="428"/>
    </row>
    <row r="877" spans="1:15" ht="12.75" customHeight="1" x14ac:dyDescent="0.2">
      <c r="A877" s="92"/>
      <c r="B877" s="144"/>
      <c r="C877" s="144"/>
      <c r="D877" s="144"/>
      <c r="E877" s="693" t="s">
        <v>2275</v>
      </c>
      <c r="F877" s="693" t="str">
        <f>Translations!$B$1281</f>
        <v>Doors, windows and their frames and thresholds for doors, of iron or steel</v>
      </c>
      <c r="G877" s="694"/>
      <c r="H877" s="694"/>
      <c r="I877" s="694"/>
      <c r="J877" s="694"/>
      <c r="K877" s="694"/>
      <c r="L877" s="694"/>
      <c r="M877" s="697" t="str">
        <f>Translations!$B$611</f>
        <v>Iron or steel products</v>
      </c>
      <c r="N877" s="620"/>
      <c r="O877" s="428"/>
    </row>
    <row r="878" spans="1:15" ht="12.75" customHeight="1" x14ac:dyDescent="0.2">
      <c r="A878" s="92"/>
      <c r="B878" s="144"/>
      <c r="C878" s="144"/>
      <c r="D878" s="144"/>
      <c r="E878" s="693" t="s">
        <v>2278</v>
      </c>
      <c r="F878" s="693" t="str">
        <f>Translations!$B$1282</f>
        <v>Equipment for scaffolding, shuttering, propping or pit-propping (excl. composite sheetpiling products and formwork panels for poured-in-place concrete, which have the characteristics of moulds)</v>
      </c>
      <c r="G878" s="694"/>
      <c r="H878" s="694"/>
      <c r="I878" s="694"/>
      <c r="J878" s="694"/>
      <c r="K878" s="694"/>
      <c r="L878" s="694"/>
      <c r="M878" s="697" t="str">
        <f>Translations!$B$611</f>
        <v>Iron or steel products</v>
      </c>
      <c r="N878" s="620"/>
      <c r="O878" s="428"/>
    </row>
    <row r="879" spans="1:15" ht="12.75" customHeight="1" x14ac:dyDescent="0.2">
      <c r="A879" s="92"/>
      <c r="B879" s="144"/>
      <c r="C879" s="144"/>
      <c r="D879" s="144"/>
      <c r="E879" s="693" t="s">
        <v>2280</v>
      </c>
      <c r="F879" s="693" t="str">
        <f>Translations!$B$1283</f>
        <v>Structures and parts of structures, of iron or steel, n.e.s. (excl. bridges and bridge-sections, towers and lattice masts, doors and windows and their frames, thresholds for doors, props and similar equipment for scaffolding, shuttering, propping or pit-propping)</v>
      </c>
      <c r="G879" s="694"/>
      <c r="H879" s="694"/>
      <c r="I879" s="694"/>
      <c r="J879" s="694"/>
      <c r="K879" s="694"/>
      <c r="L879" s="694"/>
      <c r="M879" s="697" t="str">
        <f>Translations!$B$611</f>
        <v>Iron or steel products</v>
      </c>
      <c r="N879" s="620"/>
      <c r="O879" s="428"/>
    </row>
    <row r="880" spans="1:15" ht="12.75" customHeight="1" x14ac:dyDescent="0.2">
      <c r="A880" s="92"/>
      <c r="B880" s="144"/>
      <c r="C880" s="144"/>
      <c r="D880" s="144"/>
      <c r="E880" s="693" t="s">
        <v>2283</v>
      </c>
      <c r="F880" s="693" t="str">
        <f>Translations!$B$1284</f>
        <v>Panels comprising two walls of profiled "ribbed" sheet, of iron or steel, with an insulating core</v>
      </c>
      <c r="G880" s="694"/>
      <c r="H880" s="694"/>
      <c r="I880" s="694"/>
      <c r="J880" s="694"/>
      <c r="K880" s="694"/>
      <c r="L880" s="694"/>
      <c r="M880" s="697" t="str">
        <f>Translations!$B$611</f>
        <v>Iron or steel products</v>
      </c>
      <c r="N880" s="620"/>
      <c r="O880" s="428"/>
    </row>
    <row r="881" spans="1:15" ht="12.75" customHeight="1" x14ac:dyDescent="0.2">
      <c r="A881" s="92"/>
      <c r="B881" s="144"/>
      <c r="C881" s="144"/>
      <c r="D881" s="144"/>
      <c r="E881" s="693" t="s">
        <v>2286</v>
      </c>
      <c r="F881" s="693" t="str">
        <f>Translations!$B$1285</f>
        <v>Structures and parts of structures, of iron or steel, solely or principally of sheet, n.e.s. (excl. doors and windows and their frames, and panels comprising two walls of profiled "ribbed" sheet, of iron or steel, with an insulating core)</v>
      </c>
      <c r="G881" s="694"/>
      <c r="H881" s="694"/>
      <c r="I881" s="694"/>
      <c r="J881" s="694"/>
      <c r="K881" s="694"/>
      <c r="L881" s="694"/>
      <c r="M881" s="697" t="str">
        <f>Translations!$B$611</f>
        <v>Iron or steel products</v>
      </c>
      <c r="N881" s="620"/>
      <c r="O881" s="428"/>
    </row>
    <row r="882" spans="1:15" ht="12.75" customHeight="1" x14ac:dyDescent="0.2">
      <c r="A882" s="92"/>
      <c r="B882" s="144"/>
      <c r="C882" s="144"/>
      <c r="D882" s="144"/>
      <c r="E882" s="693" t="s">
        <v>2289</v>
      </c>
      <c r="F882" s="693" t="str">
        <f>Translations!$B$1286</f>
        <v>Structures and parts of structures of iron or steel, n.e.s. (excl. bridges and bridge-sections; towers; lattice masts; doors, windows and their frames and thresholds; equipment for scaffolding, shuttering, propping or pit-propping, and products made principally of sheet)</v>
      </c>
      <c r="G882" s="694"/>
      <c r="H882" s="694"/>
      <c r="I882" s="694"/>
      <c r="J882" s="694"/>
      <c r="K882" s="694"/>
      <c r="L882" s="694"/>
      <c r="M882" s="697" t="str">
        <f>Translations!$B$611</f>
        <v>Iron or steel products</v>
      </c>
      <c r="N882" s="620"/>
      <c r="O882" s="428"/>
    </row>
    <row r="883" spans="1:15" ht="12.75" customHeight="1" x14ac:dyDescent="0.2">
      <c r="A883" s="92"/>
      <c r="B883" s="144"/>
      <c r="C883" s="144"/>
      <c r="D883" s="144"/>
      <c r="E883" s="693" t="s">
        <v>2291</v>
      </c>
      <c r="F883" s="693" t="str">
        <f>Translations!$B$1287</f>
        <v>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v>
      </c>
      <c r="G883" s="694"/>
      <c r="H883" s="694"/>
      <c r="I883" s="694"/>
      <c r="J883" s="694"/>
      <c r="K883" s="694"/>
      <c r="L883" s="694"/>
      <c r="M883" s="697" t="str">
        <f>Translations!$B$611</f>
        <v>Iron or steel products</v>
      </c>
      <c r="N883" s="620"/>
      <c r="O883" s="428"/>
    </row>
    <row r="884" spans="1:15" ht="12.75" customHeight="1" x14ac:dyDescent="0.2">
      <c r="A884" s="92"/>
      <c r="B884" s="144"/>
      <c r="C884" s="144"/>
      <c r="D884" s="144"/>
      <c r="E884" s="693" t="s">
        <v>2294</v>
      </c>
      <c r="F884" s="693" t="str">
        <f>Translations!$B$1288</f>
        <v>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v>
      </c>
      <c r="G884" s="694"/>
      <c r="H884" s="694"/>
      <c r="I884" s="694"/>
      <c r="J884" s="694"/>
      <c r="K884" s="694"/>
      <c r="L884" s="694"/>
      <c r="M884" s="697" t="str">
        <f>Translations!$B$611</f>
        <v>Iron or steel products</v>
      </c>
      <c r="N884" s="620"/>
      <c r="O884" s="428"/>
    </row>
    <row r="885" spans="1:15" ht="12.75" customHeight="1" x14ac:dyDescent="0.2">
      <c r="A885" s="92"/>
      <c r="B885" s="144"/>
      <c r="C885" s="144"/>
      <c r="D885" s="144"/>
      <c r="E885" s="693" t="s">
        <v>2297</v>
      </c>
      <c r="F885" s="693" t="str">
        <f>Translations!$B$1289</f>
        <v>Reservoirs, tanks, vats and similar containers, of iron or steel, for liquids, lined or heat-insulated and of a capacity of &gt; 300 l (excl. containers fitted with mechanical or thermal equipment and containers specifically constructed or equipped for one or more types of transport)</v>
      </c>
      <c r="G885" s="694"/>
      <c r="H885" s="694"/>
      <c r="I885" s="694"/>
      <c r="J885" s="694"/>
      <c r="K885" s="694"/>
      <c r="L885" s="694"/>
      <c r="M885" s="697" t="str">
        <f>Translations!$B$611</f>
        <v>Iron or steel products</v>
      </c>
      <c r="N885" s="620"/>
      <c r="O885" s="428"/>
    </row>
    <row r="886" spans="1:15" ht="12.75" customHeight="1" x14ac:dyDescent="0.2">
      <c r="A886" s="92"/>
      <c r="B886" s="144"/>
      <c r="C886" s="144"/>
      <c r="D886" s="144"/>
      <c r="E886" s="693" t="s">
        <v>2300</v>
      </c>
      <c r="F886" s="693" t="str">
        <f>Translations!$B$1290</f>
        <v>Reservoirs, tanks, vats and similar containers, of iron or steel, for liquids, of a capacity of &gt; 100.000 l (excl. containers lined or heat-insulated or fitted with mechanical or thermal equipment and containers specifically constructed or equipped for one or more types of transport)</v>
      </c>
      <c r="G886" s="694"/>
      <c r="H886" s="694"/>
      <c r="I886" s="694"/>
      <c r="J886" s="694"/>
      <c r="K886" s="694"/>
      <c r="L886" s="694"/>
      <c r="M886" s="697" t="str">
        <f>Translations!$B$611</f>
        <v>Iron or steel products</v>
      </c>
      <c r="N886" s="620"/>
      <c r="O886" s="428"/>
    </row>
    <row r="887" spans="1:15" ht="12.75" customHeight="1" x14ac:dyDescent="0.2">
      <c r="A887" s="92"/>
      <c r="B887" s="144"/>
      <c r="C887" s="144"/>
      <c r="D887" s="144"/>
      <c r="E887" s="693" t="s">
        <v>2303</v>
      </c>
      <c r="F887" s="693" t="str">
        <f>Translations!$B$1291</f>
        <v>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v>
      </c>
      <c r="G887" s="694"/>
      <c r="H887" s="694"/>
      <c r="I887" s="694"/>
      <c r="J887" s="694"/>
      <c r="K887" s="694"/>
      <c r="L887" s="694"/>
      <c r="M887" s="697" t="str">
        <f>Translations!$B$611</f>
        <v>Iron or steel products</v>
      </c>
      <c r="N887" s="620"/>
      <c r="O887" s="428"/>
    </row>
    <row r="888" spans="1:15" ht="12.75" customHeight="1" x14ac:dyDescent="0.2">
      <c r="A888" s="92"/>
      <c r="B888" s="144"/>
      <c r="C888" s="144"/>
      <c r="D888" s="144"/>
      <c r="E888" s="693" t="s">
        <v>2306</v>
      </c>
      <c r="F888" s="693" t="str">
        <f>Translations!$B$1292</f>
        <v>Reservoirs, tanks, vats and similar containers, of iron or steel, for solids, of a capacity of &gt; 300 l (excl. containers lined or heat-insulated or fitted with mechanical or thermal equipment and containers specifically constructed or equipped for one or more types of transport)</v>
      </c>
      <c r="G888" s="694"/>
      <c r="H888" s="694"/>
      <c r="I888" s="694"/>
      <c r="J888" s="694"/>
      <c r="K888" s="694"/>
      <c r="L888" s="694"/>
      <c r="M888" s="697" t="str">
        <f>Translations!$B$611</f>
        <v>Iron or steel products</v>
      </c>
      <c r="N888" s="620"/>
      <c r="O888" s="428"/>
    </row>
    <row r="889" spans="1:15" ht="12.75" customHeight="1" x14ac:dyDescent="0.2">
      <c r="A889" s="92"/>
      <c r="B889" s="144"/>
      <c r="C889" s="144"/>
      <c r="D889" s="144"/>
      <c r="E889" s="693" t="s">
        <v>2308</v>
      </c>
      <c r="F889" s="693" t="str">
        <f>Translations!$B$1293</f>
        <v>Tanks, casks, drums, cans, boxes and similar containers, of iron or steel, for any material "other than compressed or liquefied gas", of a capacity of &lt;= 300 l, not fitted with mechanical or thermal equipment, whether or not lined or heat-insulated, n.e.s.</v>
      </c>
      <c r="G889" s="694"/>
      <c r="H889" s="694"/>
      <c r="I889" s="694"/>
      <c r="J889" s="694"/>
      <c r="K889" s="694"/>
      <c r="L889" s="694"/>
      <c r="M889" s="697" t="str">
        <f>Translations!$B$611</f>
        <v>Iron or steel products</v>
      </c>
      <c r="N889" s="620"/>
      <c r="O889" s="428"/>
    </row>
    <row r="890" spans="1:15" ht="12.75" customHeight="1" x14ac:dyDescent="0.2">
      <c r="A890" s="92"/>
      <c r="B890" s="144"/>
      <c r="C890" s="144"/>
      <c r="D890" s="144"/>
      <c r="E890" s="693" t="s">
        <v>2311</v>
      </c>
      <c r="F890" s="693" t="str">
        <f>Translations!$B$1294</f>
        <v>Tanks, casks, drums, cans, boxes and similar containers, of iron or steel, for any material, of a capacity of &gt;= 50 l but &lt;= 300 l, n.e.s. (excl. containers for compressed or liquefied gas, or containers fitted with mechanical or thermal equipment)</v>
      </c>
      <c r="G890" s="694"/>
      <c r="H890" s="694"/>
      <c r="I890" s="694"/>
      <c r="J890" s="694"/>
      <c r="K890" s="694"/>
      <c r="L890" s="694"/>
      <c r="M890" s="697" t="str">
        <f>Translations!$B$611</f>
        <v>Iron or steel products</v>
      </c>
      <c r="N890" s="620"/>
      <c r="O890" s="428"/>
    </row>
    <row r="891" spans="1:15" ht="12.75" customHeight="1" x14ac:dyDescent="0.2">
      <c r="A891" s="92"/>
      <c r="B891" s="144"/>
      <c r="C891" s="144"/>
      <c r="D891" s="144"/>
      <c r="E891" s="693" t="s">
        <v>2313</v>
      </c>
      <c r="F891" s="693" t="str">
        <f>Translations!$B$1295</f>
        <v>Cans of iron or steel, of a capacity of &lt; 50 l, which are to be closed by soldering or crimping (excl. containers for compressed or liquefied gas)</v>
      </c>
      <c r="G891" s="694"/>
      <c r="H891" s="694"/>
      <c r="I891" s="694"/>
      <c r="J891" s="694"/>
      <c r="K891" s="694"/>
      <c r="L891" s="694"/>
      <c r="M891" s="697" t="str">
        <f>Translations!$B$611</f>
        <v>Iron or steel products</v>
      </c>
      <c r="N891" s="620"/>
      <c r="O891" s="428"/>
    </row>
    <row r="892" spans="1:15" ht="12.75" customHeight="1" x14ac:dyDescent="0.2">
      <c r="A892" s="92"/>
      <c r="B892" s="144"/>
      <c r="C892" s="144"/>
      <c r="D892" s="144"/>
      <c r="E892" s="693" t="s">
        <v>2316</v>
      </c>
      <c r="F892" s="693" t="str">
        <f>Translations!$B$1296</f>
        <v>Cans of iron or steel, of a capacity of &lt; 50 l, which are to be closed by soldering or crimping, of a kind used for preserving food</v>
      </c>
      <c r="G892" s="694"/>
      <c r="H892" s="694"/>
      <c r="I892" s="694"/>
      <c r="J892" s="694"/>
      <c r="K892" s="694"/>
      <c r="L892" s="694"/>
      <c r="M892" s="697" t="str">
        <f>Translations!$B$611</f>
        <v>Iron or steel products</v>
      </c>
      <c r="N892" s="620"/>
      <c r="O892" s="428"/>
    </row>
    <row r="893" spans="1:15" ht="12.75" customHeight="1" x14ac:dyDescent="0.2">
      <c r="A893" s="92"/>
      <c r="B893" s="144"/>
      <c r="C893" s="144"/>
      <c r="D893" s="144"/>
      <c r="E893" s="693" t="s">
        <v>2319</v>
      </c>
      <c r="F893" s="693" t="str">
        <f>Translations!$B$1297</f>
        <v>Cans of iron or steel, of a capacity of &lt; 50 l, which are to be closed by soldering or crimping, of a kind used for preserving drink</v>
      </c>
      <c r="G893" s="694"/>
      <c r="H893" s="694"/>
      <c r="I893" s="694"/>
      <c r="J893" s="694"/>
      <c r="K893" s="694"/>
      <c r="L893" s="694"/>
      <c r="M893" s="697" t="str">
        <f>Translations!$B$611</f>
        <v>Iron or steel products</v>
      </c>
      <c r="N893" s="620"/>
      <c r="O893" s="428"/>
    </row>
    <row r="894" spans="1:15" ht="12.75" customHeight="1" x14ac:dyDescent="0.2">
      <c r="A894" s="92"/>
      <c r="B894" s="144"/>
      <c r="C894" s="144"/>
      <c r="D894" s="144"/>
      <c r="E894" s="693" t="s">
        <v>2322</v>
      </c>
      <c r="F894" s="693" t="str">
        <f>Translations!$B$1298</f>
        <v>Cans of iron or steel, of a capacity of &lt; 50 l, which are to be closed by soldering or crimping, of a wall thickness of &lt; 0,5 mm (excl. cans for compressed or liquefied gas, and cans of a kind used for preserving food and drink)</v>
      </c>
      <c r="G894" s="694"/>
      <c r="H894" s="694"/>
      <c r="I894" s="694"/>
      <c r="J894" s="694"/>
      <c r="K894" s="694"/>
      <c r="L894" s="694"/>
      <c r="M894" s="697" t="str">
        <f>Translations!$B$611</f>
        <v>Iron or steel products</v>
      </c>
      <c r="N894" s="620"/>
      <c r="O894" s="428"/>
    </row>
    <row r="895" spans="1:15" ht="12.75" customHeight="1" x14ac:dyDescent="0.2">
      <c r="A895" s="92"/>
      <c r="B895" s="144"/>
      <c r="C895" s="144"/>
      <c r="D895" s="144"/>
      <c r="E895" s="693" t="s">
        <v>2325</v>
      </c>
      <c r="F895" s="693" t="str">
        <f>Translations!$B$1299</f>
        <v>Cans of iron or steel, of a capacity of &lt; 50 l, which are to be closed by soldering or crimping, of a wall thickness of &gt;= 0,5 mm (excl. cans for compressed or liquefied gas, and cans of a kind used for preserving food and drink)</v>
      </c>
      <c r="G895" s="694"/>
      <c r="H895" s="694"/>
      <c r="I895" s="694"/>
      <c r="J895" s="694"/>
      <c r="K895" s="694"/>
      <c r="L895" s="694"/>
      <c r="M895" s="697" t="str">
        <f>Translations!$B$611</f>
        <v>Iron or steel products</v>
      </c>
      <c r="N895" s="620"/>
      <c r="O895" s="428"/>
    </row>
    <row r="896" spans="1:15" ht="12.75" customHeight="1" x14ac:dyDescent="0.2">
      <c r="A896" s="92"/>
      <c r="B896" s="144"/>
      <c r="C896" s="144"/>
      <c r="D896" s="144"/>
      <c r="E896" s="693" t="s">
        <v>2327</v>
      </c>
      <c r="F896" s="693" t="str">
        <f>Translations!$B$1300</f>
        <v>Tanks, casks, drums, cans, boxes and similar containers, of iron or steel, for any material, of a capacity of &lt; 50 l, n.e.s. (excl. containers for compressed or liquefied gas, or containers fitted with mechanical or thermal equipment, and cans which are to be closed by soldering or crimping)</v>
      </c>
      <c r="G896" s="694"/>
      <c r="H896" s="694"/>
      <c r="I896" s="694"/>
      <c r="J896" s="694"/>
      <c r="K896" s="694"/>
      <c r="L896" s="694"/>
      <c r="M896" s="697" t="str">
        <f>Translations!$B$611</f>
        <v>Iron or steel products</v>
      </c>
      <c r="N896" s="620"/>
      <c r="O896" s="428"/>
    </row>
    <row r="897" spans="1:15" ht="12.75" customHeight="1" x14ac:dyDescent="0.2">
      <c r="A897" s="92"/>
      <c r="B897" s="144"/>
      <c r="C897" s="144"/>
      <c r="D897" s="144"/>
      <c r="E897" s="693" t="s">
        <v>2330</v>
      </c>
      <c r="F897" s="693" t="str">
        <f>Translations!$B$1301</f>
        <v>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v>
      </c>
      <c r="G897" s="694"/>
      <c r="H897" s="694"/>
      <c r="I897" s="694"/>
      <c r="J897" s="694"/>
      <c r="K897" s="694"/>
      <c r="L897" s="694"/>
      <c r="M897" s="697" t="str">
        <f>Translations!$B$611</f>
        <v>Iron or steel products</v>
      </c>
      <c r="N897" s="620"/>
      <c r="O897" s="428"/>
    </row>
    <row r="898" spans="1:15" ht="12.75" customHeight="1" x14ac:dyDescent="0.2">
      <c r="A898" s="92"/>
      <c r="B898" s="144"/>
      <c r="C898" s="144"/>
      <c r="D898" s="144"/>
      <c r="E898" s="693" t="s">
        <v>2333</v>
      </c>
      <c r="F898" s="693" t="str">
        <f>Translations!$B$1302</f>
        <v>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v>
      </c>
      <c r="G898" s="694"/>
      <c r="H898" s="694"/>
      <c r="I898" s="694"/>
      <c r="J898" s="694"/>
      <c r="K898" s="694"/>
      <c r="L898" s="694"/>
      <c r="M898" s="697" t="str">
        <f>Translations!$B$611</f>
        <v>Iron or steel products</v>
      </c>
      <c r="N898" s="620"/>
      <c r="O898" s="428"/>
    </row>
    <row r="899" spans="1:15" ht="12.75" customHeight="1" x14ac:dyDescent="0.2">
      <c r="A899" s="92"/>
      <c r="B899" s="144"/>
      <c r="C899" s="144"/>
      <c r="D899" s="144"/>
      <c r="E899" s="693" t="s">
        <v>2335</v>
      </c>
      <c r="F899" s="693" t="str">
        <f>Translations!$B$1303</f>
        <v>Containers of iron or steel, for compressed or liquefied gas (excl. containers specifically constructed or equipped for one or more types of transport)</v>
      </c>
      <c r="G899" s="694"/>
      <c r="H899" s="694"/>
      <c r="I899" s="694"/>
      <c r="J899" s="694"/>
      <c r="K899" s="694"/>
      <c r="L899" s="694"/>
      <c r="M899" s="697" t="str">
        <f>Translations!$B$611</f>
        <v>Iron or steel products</v>
      </c>
      <c r="N899" s="620"/>
      <c r="O899" s="428"/>
    </row>
    <row r="900" spans="1:15" ht="12.75" customHeight="1" x14ac:dyDescent="0.2">
      <c r="A900" s="92"/>
      <c r="B900" s="144"/>
      <c r="C900" s="144"/>
      <c r="D900" s="144"/>
      <c r="E900" s="693" t="s">
        <v>2338</v>
      </c>
      <c r="F900" s="693" t="str">
        <f>Translations!$B$1304</f>
        <v>Containers of iron or steel, seamless, for compressed or liquefied gas, for a pressure &gt;= 165 bar, of a capacity &lt; 20 l (excl. containers specifically constructed or equipped for one or more types of transport)</v>
      </c>
      <c r="G900" s="694"/>
      <c r="H900" s="694"/>
      <c r="I900" s="694"/>
      <c r="J900" s="694"/>
      <c r="K900" s="694"/>
      <c r="L900" s="694"/>
      <c r="M900" s="697" t="str">
        <f>Translations!$B$611</f>
        <v>Iron or steel products</v>
      </c>
      <c r="N900" s="620"/>
      <c r="O900" s="428"/>
    </row>
    <row r="901" spans="1:15" ht="12.75" customHeight="1" x14ac:dyDescent="0.2">
      <c r="A901" s="92"/>
      <c r="B901" s="144"/>
      <c r="C901" s="144"/>
      <c r="D901" s="144"/>
      <c r="E901" s="693" t="s">
        <v>2341</v>
      </c>
      <c r="F901" s="693" t="str">
        <f>Translations!$B$1305</f>
        <v>Containers of iron or steel, seamless, for compressed or liquefied gas, for a pressure &gt;= 165 bar, of a capacity &gt;= 20 l to &lt;= 50 l (excl. containers specifically constructed or equipped for one or more types of transport)</v>
      </c>
      <c r="G901" s="694"/>
      <c r="H901" s="694"/>
      <c r="I901" s="694"/>
      <c r="J901" s="694"/>
      <c r="K901" s="694"/>
      <c r="L901" s="694"/>
      <c r="M901" s="697" t="str">
        <f>Translations!$B$611</f>
        <v>Iron or steel products</v>
      </c>
      <c r="N901" s="620"/>
      <c r="O901" s="428"/>
    </row>
    <row r="902" spans="1:15" ht="12.75" customHeight="1" x14ac:dyDescent="0.2">
      <c r="A902" s="92"/>
      <c r="B902" s="144"/>
      <c r="C902" s="144"/>
      <c r="D902" s="144"/>
      <c r="E902" s="693" t="s">
        <v>2344</v>
      </c>
      <c r="F902" s="693" t="str">
        <f>Translations!$B$1306</f>
        <v>Containers of iron or steel, seamless, for compressed or liquefied gas, for a pressure &gt;= 165 bar, of a capacity &gt; 50 l (excl. containers specifically constructed or equipped for one or more types of transport)</v>
      </c>
      <c r="G902" s="694"/>
      <c r="H902" s="694"/>
      <c r="I902" s="694"/>
      <c r="J902" s="694"/>
      <c r="K902" s="694"/>
      <c r="L902" s="694"/>
      <c r="M902" s="697" t="str">
        <f>Translations!$B$611</f>
        <v>Iron or steel products</v>
      </c>
      <c r="N902" s="620"/>
      <c r="O902" s="428"/>
    </row>
    <row r="903" spans="1:15" ht="12.75" customHeight="1" x14ac:dyDescent="0.2">
      <c r="A903" s="92"/>
      <c r="B903" s="144"/>
      <c r="C903" s="144"/>
      <c r="D903" s="144"/>
      <c r="E903" s="693" t="s">
        <v>2347</v>
      </c>
      <c r="F903" s="693" t="str">
        <f>Translations!$B$1307</f>
        <v>Containers of iron or steel, seamless, for compressed or liquefied gas, for a pressure &lt; 165 bar (excl. containers specifically constructed or equipped for one or more types of transport)</v>
      </c>
      <c r="G903" s="694"/>
      <c r="H903" s="694"/>
      <c r="I903" s="694"/>
      <c r="J903" s="694"/>
      <c r="K903" s="694"/>
      <c r="L903" s="694"/>
      <c r="M903" s="697" t="str">
        <f>Translations!$B$611</f>
        <v>Iron or steel products</v>
      </c>
      <c r="N903" s="620"/>
      <c r="O903" s="428"/>
    </row>
    <row r="904" spans="1:15" ht="12.75" customHeight="1" x14ac:dyDescent="0.2">
      <c r="A904" s="92"/>
      <c r="B904" s="144"/>
      <c r="C904" s="144"/>
      <c r="D904" s="144"/>
      <c r="E904" s="693" t="s">
        <v>2350</v>
      </c>
      <c r="F904" s="693" t="str">
        <f>Translations!$B$1308</f>
        <v>Containers of iron or steel, seamless, for compressed or liquefied gas, of a capacity of &lt; 1.000 l (excl. seamless containers and containers specifically constructed or equipped for one or more types of transport)</v>
      </c>
      <c r="G904" s="694"/>
      <c r="H904" s="694"/>
      <c r="I904" s="694"/>
      <c r="J904" s="694"/>
      <c r="K904" s="694"/>
      <c r="L904" s="694"/>
      <c r="M904" s="697" t="str">
        <f>Translations!$B$611</f>
        <v>Iron or steel products</v>
      </c>
      <c r="N904" s="620"/>
      <c r="O904" s="428"/>
    </row>
    <row r="905" spans="1:15" ht="12.75" customHeight="1" x14ac:dyDescent="0.2">
      <c r="A905" s="92"/>
      <c r="B905" s="144"/>
      <c r="C905" s="144"/>
      <c r="D905" s="144"/>
      <c r="E905" s="693" t="s">
        <v>2353</v>
      </c>
      <c r="F905" s="693" t="str">
        <f>Translations!$B$1309</f>
        <v>Containers of iron or steel, seamless, for compressed or liquefied gas, of a capacity of &gt;= 1.000 l (excl. seamless containers and containers specifically constructed or equipped for one or more types of transport)</v>
      </c>
      <c r="G905" s="694"/>
      <c r="H905" s="694"/>
      <c r="I905" s="694"/>
      <c r="J905" s="694"/>
      <c r="K905" s="694"/>
      <c r="L905" s="694"/>
      <c r="M905" s="697" t="str">
        <f>Translations!$B$611</f>
        <v>Iron or steel products</v>
      </c>
      <c r="N905" s="620"/>
      <c r="O905" s="428"/>
    </row>
    <row r="906" spans="1:15" ht="12.75" customHeight="1" x14ac:dyDescent="0.2">
      <c r="A906" s="92"/>
      <c r="B906" s="144"/>
      <c r="C906" s="144"/>
      <c r="D906" s="144"/>
      <c r="E906" s="693" t="s">
        <v>2355</v>
      </c>
      <c r="F906" s="693" t="str">
        <f>Translations!$B$1310</f>
        <v>Screws, bolts, nuts, coach screws, screw hooks, rivets, cotters, cotter pins, washers, incl. spring washers, and similar articles, of iron or steel (excl. lag screws, stoppers, plugs and the like, threaded)</v>
      </c>
      <c r="G906" s="694"/>
      <c r="H906" s="694"/>
      <c r="I906" s="694"/>
      <c r="J906" s="694"/>
      <c r="K906" s="694"/>
      <c r="L906" s="694"/>
      <c r="M906" s="697" t="str">
        <f>Translations!$B$611</f>
        <v>Iron or steel products</v>
      </c>
      <c r="N906" s="620"/>
      <c r="O906" s="428"/>
    </row>
    <row r="907" spans="1:15" ht="12.75" customHeight="1" x14ac:dyDescent="0.2">
      <c r="A907" s="92"/>
      <c r="B907" s="144"/>
      <c r="C907" s="144"/>
      <c r="D907" s="144"/>
      <c r="E907" s="693" t="s">
        <v>2358</v>
      </c>
      <c r="F907" s="693" t="str">
        <f>Translations!$B$1311</f>
        <v>Coach screws of iron or steel</v>
      </c>
      <c r="G907" s="694"/>
      <c r="H907" s="694"/>
      <c r="I907" s="694"/>
      <c r="J907" s="694"/>
      <c r="K907" s="694"/>
      <c r="L907" s="694"/>
      <c r="M907" s="697" t="str">
        <f>Translations!$B$611</f>
        <v>Iron or steel products</v>
      </c>
      <c r="N907" s="620"/>
      <c r="O907" s="428"/>
    </row>
    <row r="908" spans="1:15" ht="12.75" customHeight="1" x14ac:dyDescent="0.2">
      <c r="A908" s="92"/>
      <c r="B908" s="144"/>
      <c r="C908" s="144"/>
      <c r="D908" s="144"/>
      <c r="E908" s="693" t="s">
        <v>2360</v>
      </c>
      <c r="F908" s="693" t="str">
        <f>Translations!$B$1312</f>
        <v>Wood screws of iron or steel (excl. coach screws)</v>
      </c>
      <c r="G908" s="694"/>
      <c r="H908" s="694"/>
      <c r="I908" s="694"/>
      <c r="J908" s="694"/>
      <c r="K908" s="694"/>
      <c r="L908" s="694"/>
      <c r="M908" s="697" t="str">
        <f>Translations!$B$611</f>
        <v>Iron or steel products</v>
      </c>
      <c r="N908" s="620"/>
      <c r="O908" s="428"/>
    </row>
    <row r="909" spans="1:15" ht="12.75" customHeight="1" x14ac:dyDescent="0.2">
      <c r="A909" s="92"/>
      <c r="B909" s="144"/>
      <c r="C909" s="144"/>
      <c r="D909" s="144"/>
      <c r="E909" s="693" t="s">
        <v>2363</v>
      </c>
      <c r="F909" s="693" t="str">
        <f>Translations!$B$1313</f>
        <v>Wood screws of stainless steel (excl. coach screws)</v>
      </c>
      <c r="G909" s="694"/>
      <c r="H909" s="694"/>
      <c r="I909" s="694"/>
      <c r="J909" s="694"/>
      <c r="K909" s="694"/>
      <c r="L909" s="694"/>
      <c r="M909" s="697" t="str">
        <f>Translations!$B$611</f>
        <v>Iron or steel products</v>
      </c>
      <c r="N909" s="620"/>
      <c r="O909" s="428"/>
    </row>
    <row r="910" spans="1:15" ht="12.75" customHeight="1" x14ac:dyDescent="0.2">
      <c r="A910" s="92"/>
      <c r="B910" s="144"/>
      <c r="C910" s="144"/>
      <c r="D910" s="144"/>
      <c r="E910" s="693" t="s">
        <v>2366</v>
      </c>
      <c r="F910" s="693" t="str">
        <f>Translations!$B$1314</f>
        <v>Wood screws of iron or steel other than stainless (excl. coach screws)</v>
      </c>
      <c r="G910" s="694"/>
      <c r="H910" s="694"/>
      <c r="I910" s="694"/>
      <c r="J910" s="694"/>
      <c r="K910" s="694"/>
      <c r="L910" s="694"/>
      <c r="M910" s="697" t="str">
        <f>Translations!$B$611</f>
        <v>Iron or steel products</v>
      </c>
      <c r="N910" s="620"/>
      <c r="O910" s="428"/>
    </row>
    <row r="911" spans="1:15" ht="12.75" customHeight="1" x14ac:dyDescent="0.2">
      <c r="A911" s="92"/>
      <c r="B911" s="144"/>
      <c r="C911" s="144"/>
      <c r="D911" s="144"/>
      <c r="E911" s="693" t="s">
        <v>2369</v>
      </c>
      <c r="F911" s="693" t="str">
        <f>Translations!$B$1315</f>
        <v>Screw hooks and screw rings, of iron or steel</v>
      </c>
      <c r="G911" s="694"/>
      <c r="H911" s="694"/>
      <c r="I911" s="694"/>
      <c r="J911" s="694"/>
      <c r="K911" s="694"/>
      <c r="L911" s="694"/>
      <c r="M911" s="697" t="str">
        <f>Translations!$B$611</f>
        <v>Iron or steel products</v>
      </c>
      <c r="N911" s="620"/>
      <c r="O911" s="428"/>
    </row>
    <row r="912" spans="1:15" ht="12.75" customHeight="1" x14ac:dyDescent="0.2">
      <c r="A912" s="92"/>
      <c r="B912" s="144"/>
      <c r="C912" s="144"/>
      <c r="D912" s="144"/>
      <c r="E912" s="693" t="s">
        <v>2371</v>
      </c>
      <c r="F912" s="693" t="str">
        <f>Translations!$B$1316</f>
        <v>Self-tapping screws, of iron or steel (excl. wood screws)</v>
      </c>
      <c r="G912" s="694"/>
      <c r="H912" s="694"/>
      <c r="I912" s="694"/>
      <c r="J912" s="694"/>
      <c r="K912" s="694"/>
      <c r="L912" s="694"/>
      <c r="M912" s="697" t="str">
        <f>Translations!$B$611</f>
        <v>Iron or steel products</v>
      </c>
      <c r="N912" s="620"/>
      <c r="O912" s="428"/>
    </row>
    <row r="913" spans="1:15" ht="12.75" customHeight="1" x14ac:dyDescent="0.2">
      <c r="A913" s="92"/>
      <c r="B913" s="144"/>
      <c r="C913" s="144"/>
      <c r="D913" s="144"/>
      <c r="E913" s="693" t="s">
        <v>2374</v>
      </c>
      <c r="F913" s="693" t="str">
        <f>Translations!$B$1317</f>
        <v>Self-tapping screws, of stainless steel (excl. wood screws)</v>
      </c>
      <c r="G913" s="694"/>
      <c r="H913" s="694"/>
      <c r="I913" s="694"/>
      <c r="J913" s="694"/>
      <c r="K913" s="694"/>
      <c r="L913" s="694"/>
      <c r="M913" s="697" t="str">
        <f>Translations!$B$611</f>
        <v>Iron or steel products</v>
      </c>
      <c r="N913" s="620"/>
      <c r="O913" s="428"/>
    </row>
    <row r="914" spans="1:15" ht="12.75" customHeight="1" x14ac:dyDescent="0.2">
      <c r="A914" s="92"/>
      <c r="B914" s="144"/>
      <c r="C914" s="144"/>
      <c r="D914" s="144"/>
      <c r="E914" s="693" t="s">
        <v>2377</v>
      </c>
      <c r="F914" s="693" t="str">
        <f>Translations!$B$1318</f>
        <v>Spaced-thread screws of iron or steel other than stainless</v>
      </c>
      <c r="G914" s="694"/>
      <c r="H914" s="694"/>
      <c r="I914" s="694"/>
      <c r="J914" s="694"/>
      <c r="K914" s="694"/>
      <c r="L914" s="694"/>
      <c r="M914" s="697" t="str">
        <f>Translations!$B$611</f>
        <v>Iron or steel products</v>
      </c>
      <c r="N914" s="620"/>
      <c r="O914" s="428"/>
    </row>
    <row r="915" spans="1:15" ht="12.75" customHeight="1" x14ac:dyDescent="0.2">
      <c r="A915" s="92"/>
      <c r="B915" s="144"/>
      <c r="C915" s="144"/>
      <c r="D915" s="144"/>
      <c r="E915" s="693" t="s">
        <v>2380</v>
      </c>
      <c r="F915" s="693" t="str">
        <f>Translations!$B$1319</f>
        <v>Self-tapping screws of iron or steel other than stainless (excl. spaced-thread screws and wood screws)</v>
      </c>
      <c r="G915" s="694"/>
      <c r="H915" s="694"/>
      <c r="I915" s="694"/>
      <c r="J915" s="694"/>
      <c r="K915" s="694"/>
      <c r="L915" s="694"/>
      <c r="M915" s="697" t="str">
        <f>Translations!$B$611</f>
        <v>Iron or steel products</v>
      </c>
      <c r="N915" s="620"/>
      <c r="O915" s="428"/>
    </row>
    <row r="916" spans="1:15" ht="12.75" customHeight="1" x14ac:dyDescent="0.2">
      <c r="A916" s="92"/>
      <c r="B916" s="144"/>
      <c r="C916" s="144"/>
      <c r="D916" s="144"/>
      <c r="E916" s="693" t="s">
        <v>2382</v>
      </c>
      <c r="F916" s="693" t="str">
        <f>Translations!$B$1320</f>
        <v>Threaded screws and bolts, of iron or steel, whether or not with their nuts and washers (excl. coach screws and other wood screws, screw hooks and screw rings, self-tapping screws, lag screws, stoppers, plugs and the like, threaded)</v>
      </c>
      <c r="G916" s="694"/>
      <c r="H916" s="694"/>
      <c r="I916" s="694"/>
      <c r="J916" s="694"/>
      <c r="K916" s="694"/>
      <c r="L916" s="694"/>
      <c r="M916" s="697" t="str">
        <f>Translations!$B$611</f>
        <v>Iron or steel products</v>
      </c>
      <c r="N916" s="620"/>
      <c r="O916" s="428"/>
    </row>
    <row r="917" spans="1:15" ht="12.75" customHeight="1" x14ac:dyDescent="0.2">
      <c r="A917" s="92"/>
      <c r="B917" s="144"/>
      <c r="C917" s="144"/>
      <c r="D917" s="144"/>
      <c r="E917" s="693" t="s">
        <v>2385</v>
      </c>
      <c r="F917" s="693" t="str">
        <f>Translations!$B$1321</f>
        <v>Screws and bolts, of iron or steel "whether or not with their nuts and washers", for fixing railway track construction material (excl. coach screws)</v>
      </c>
      <c r="G917" s="694"/>
      <c r="H917" s="694"/>
      <c r="I917" s="694"/>
      <c r="J917" s="694"/>
      <c r="K917" s="694"/>
      <c r="L917" s="694"/>
      <c r="M917" s="697" t="str">
        <f>Translations!$B$611</f>
        <v>Iron or steel products</v>
      </c>
      <c r="N917" s="620"/>
      <c r="O917" s="428"/>
    </row>
    <row r="918" spans="1:15" ht="12.75" customHeight="1" x14ac:dyDescent="0.2">
      <c r="A918" s="92"/>
      <c r="B918" s="144"/>
      <c r="C918" s="144"/>
      <c r="D918" s="144"/>
      <c r="E918" s="693" t="s">
        <v>2388</v>
      </c>
      <c r="F918" s="693" t="str">
        <f>Translations!$B$1322</f>
        <v>Screws and bolts, of stainless steel "whether or not with their nuts and washers", without heads (excl. screws and bolts for fixing railway track construction material)</v>
      </c>
      <c r="G918" s="694"/>
      <c r="H918" s="694"/>
      <c r="I918" s="694"/>
      <c r="J918" s="694"/>
      <c r="K918" s="694"/>
      <c r="L918" s="694"/>
      <c r="M918" s="697" t="str">
        <f>Translations!$B$611</f>
        <v>Iron or steel products</v>
      </c>
      <c r="N918" s="620"/>
      <c r="O918" s="428"/>
    </row>
    <row r="919" spans="1:15" ht="12.75" customHeight="1" x14ac:dyDescent="0.2">
      <c r="A919" s="92"/>
      <c r="B919" s="144"/>
      <c r="C919" s="144"/>
      <c r="D919" s="144"/>
      <c r="E919" s="693" t="s">
        <v>2391</v>
      </c>
      <c r="F919" s="693" t="str">
        <f>Translations!$B$1323</f>
        <v>Screws and bolts, of iron or steel other than stainless "whether or not with their nuts and washers", without heads, with a tensile strength of &lt; 800 MPa (excl. screws and bolts for fixing railway track construction material)</v>
      </c>
      <c r="G919" s="694"/>
      <c r="H919" s="694"/>
      <c r="I919" s="694"/>
      <c r="J919" s="694"/>
      <c r="K919" s="694"/>
      <c r="L919" s="694"/>
      <c r="M919" s="697" t="str">
        <f>Translations!$B$611</f>
        <v>Iron or steel products</v>
      </c>
      <c r="N919" s="620"/>
      <c r="O919" s="428"/>
    </row>
    <row r="920" spans="1:15" ht="12.75" customHeight="1" x14ac:dyDescent="0.2">
      <c r="A920" s="92"/>
      <c r="B920" s="144"/>
      <c r="C920" s="144"/>
      <c r="D920" s="144"/>
      <c r="E920" s="693" t="s">
        <v>2394</v>
      </c>
      <c r="F920" s="693" t="str">
        <f>Translations!$B$1324</f>
        <v>Screws and bolts, of iron or steel other than stainless "whether or not with their nuts and washers", without heads, with a tensile strength of &gt;= 800 MPa (excl. screws and bolts for fixing railway track construction material)</v>
      </c>
      <c r="G920" s="694"/>
      <c r="H920" s="694"/>
      <c r="I920" s="694"/>
      <c r="J920" s="694"/>
      <c r="K920" s="694"/>
      <c r="L920" s="694"/>
      <c r="M920" s="697" t="str">
        <f>Translations!$B$611</f>
        <v>Iron or steel products</v>
      </c>
      <c r="N920" s="620"/>
      <c r="O920" s="428"/>
    </row>
    <row r="921" spans="1:15" ht="12.75" customHeight="1" x14ac:dyDescent="0.2">
      <c r="A921" s="92"/>
      <c r="B921" s="144"/>
      <c r="C921" s="144"/>
      <c r="D921" s="144"/>
      <c r="E921" s="693" t="s">
        <v>2397</v>
      </c>
      <c r="F921" s="693" t="str">
        <f>Translations!$B$1325</f>
        <v>Screws and bolts, of stainless steel "whether or not with their nuts and washers", with slotted or cross-recessed heads (excl. wood screws and self-tapping screws)</v>
      </c>
      <c r="G921" s="694"/>
      <c r="H921" s="694"/>
      <c r="I921" s="694"/>
      <c r="J921" s="694"/>
      <c r="K921" s="694"/>
      <c r="L921" s="694"/>
      <c r="M921" s="697" t="str">
        <f>Translations!$B$611</f>
        <v>Iron or steel products</v>
      </c>
      <c r="N921" s="620"/>
      <c r="O921" s="428"/>
    </row>
    <row r="922" spans="1:15" ht="12.75" customHeight="1" x14ac:dyDescent="0.2">
      <c r="A922" s="92"/>
      <c r="B922" s="144"/>
      <c r="C922" s="144"/>
      <c r="D922" s="144"/>
      <c r="E922" s="693" t="s">
        <v>2400</v>
      </c>
      <c r="F922" s="693" t="str">
        <f>Translations!$B$1326</f>
        <v>Screws and bolts, of iron or steel other than stainless "whether or not with their nuts and washers", with slotted or cross-recessed heads (excl. wood screws and self-tapping screws)</v>
      </c>
      <c r="G922" s="694"/>
      <c r="H922" s="694"/>
      <c r="I922" s="694"/>
      <c r="J922" s="694"/>
      <c r="K922" s="694"/>
      <c r="L922" s="694"/>
      <c r="M922" s="697" t="str">
        <f>Translations!$B$611</f>
        <v>Iron or steel products</v>
      </c>
      <c r="N922" s="620"/>
      <c r="O922" s="428"/>
    </row>
    <row r="923" spans="1:15" ht="12.75" customHeight="1" x14ac:dyDescent="0.2">
      <c r="A923" s="92"/>
      <c r="B923" s="144"/>
      <c r="C923" s="144"/>
      <c r="D923" s="144"/>
      <c r="E923" s="693" t="s">
        <v>2403</v>
      </c>
      <c r="F923" s="693" t="str">
        <f>Translations!$B$1327</f>
        <v>Hexagonal-socket head screws and bolts, of stainless steel "whether or not with their nuts and washers" (excl. wood screws, self-tapping screws and screws and bolts for fixing railway track construction material)</v>
      </c>
      <c r="G923" s="694"/>
      <c r="H923" s="694"/>
      <c r="I923" s="694"/>
      <c r="J923" s="694"/>
      <c r="K923" s="694"/>
      <c r="L923" s="694"/>
      <c r="M923" s="697" t="str">
        <f>Translations!$B$611</f>
        <v>Iron or steel products</v>
      </c>
      <c r="N923" s="620"/>
      <c r="O923" s="428"/>
    </row>
    <row r="924" spans="1:15" ht="12.75" customHeight="1" x14ac:dyDescent="0.2">
      <c r="A924" s="92"/>
      <c r="B924" s="144"/>
      <c r="C924" s="144"/>
      <c r="D924" s="144"/>
      <c r="E924" s="693" t="s">
        <v>2406</v>
      </c>
      <c r="F924" s="693" t="str">
        <f>Translations!$B$1328</f>
        <v>Hexagonal-socket head screws and bolts, of iron or steel other than stainless "whether or not with their nuts and washers" (excl. wood screws, self-tapping screws and screws and bolts for fixing railway track construction material)</v>
      </c>
      <c r="G924" s="694"/>
      <c r="H924" s="694"/>
      <c r="I924" s="694"/>
      <c r="J924" s="694"/>
      <c r="K924" s="694"/>
      <c r="L924" s="694"/>
      <c r="M924" s="697" t="str">
        <f>Translations!$B$611</f>
        <v>Iron or steel products</v>
      </c>
      <c r="N924" s="620"/>
      <c r="O924" s="428"/>
    </row>
    <row r="925" spans="1:15" ht="12.75" customHeight="1" x14ac:dyDescent="0.2">
      <c r="A925" s="92"/>
      <c r="B925" s="144"/>
      <c r="C925" s="144"/>
      <c r="D925" s="144"/>
      <c r="E925" s="693" t="s">
        <v>2409</v>
      </c>
      <c r="F925" s="693" t="str">
        <f>Translations!$B$1329</f>
        <v>Hexagon screws and bolts, of stainless steel "whether or not with their nuts and washers" (excl. with socket head, wood screws, self-tapping screws and screws and bolts for fixing railway track construction material)</v>
      </c>
      <c r="G925" s="694"/>
      <c r="H925" s="694"/>
      <c r="I925" s="694"/>
      <c r="J925" s="694"/>
      <c r="K925" s="694"/>
      <c r="L925" s="694"/>
      <c r="M925" s="697" t="str">
        <f>Translations!$B$611</f>
        <v>Iron or steel products</v>
      </c>
      <c r="N925" s="620"/>
      <c r="O925" s="428"/>
    </row>
    <row r="926" spans="1:15" ht="12.75" customHeight="1" x14ac:dyDescent="0.2">
      <c r="A926" s="92"/>
      <c r="B926" s="144"/>
      <c r="C926" s="144"/>
      <c r="D926" s="144"/>
      <c r="E926" s="693" t="s">
        <v>2412</v>
      </c>
      <c r="F926" s="693" t="str">
        <f>Translations!$B$1330</f>
        <v>Hexagon screws and bolts, of iron or steel other than stainless "whether or not with their nuts and washers", with a tensile strength of &lt; 800 MPa (excl. with socket head, wood screws, self-tapping screws and screws and bolts for fixing railway track construction material)</v>
      </c>
      <c r="G926" s="694"/>
      <c r="H926" s="694"/>
      <c r="I926" s="694"/>
      <c r="J926" s="694"/>
      <c r="K926" s="694"/>
      <c r="L926" s="694"/>
      <c r="M926" s="697" t="str">
        <f>Translations!$B$611</f>
        <v>Iron or steel products</v>
      </c>
      <c r="N926" s="620"/>
      <c r="O926" s="428"/>
    </row>
    <row r="927" spans="1:15" ht="12.75" customHeight="1" x14ac:dyDescent="0.2">
      <c r="A927" s="92"/>
      <c r="B927" s="144"/>
      <c r="C927" s="144"/>
      <c r="D927" s="144"/>
      <c r="E927" s="693" t="s">
        <v>2415</v>
      </c>
      <c r="F927" s="693" t="str">
        <f>Translations!$B$1331</f>
        <v>Hexagon screws and bolts, of iron or steel other than stainless "whether or not with their nuts and washers", with a tensile strength of =&gt; 800 MPa (excl. with socket head, wood screws, self-tapping screws and screws and bolts for fixing railway track construction material)</v>
      </c>
      <c r="G927" s="694"/>
      <c r="H927" s="694"/>
      <c r="I927" s="694"/>
      <c r="J927" s="694"/>
      <c r="K927" s="694"/>
      <c r="L927" s="694"/>
      <c r="M927" s="697" t="str">
        <f>Translations!$B$611</f>
        <v>Iron or steel products</v>
      </c>
      <c r="N927" s="620"/>
      <c r="O927" s="428"/>
    </row>
    <row r="928" spans="1:15" ht="12.75" customHeight="1" x14ac:dyDescent="0.2">
      <c r="A928" s="92"/>
      <c r="B928" s="144"/>
      <c r="C928" s="144"/>
      <c r="D928" s="144"/>
      <c r="E928" s="693" t="s">
        <v>2418</v>
      </c>
      <c r="F928" s="693" t="str">
        <f>Translations!$B$1332</f>
        <v>Screws and bolts, of iron or steel "whether or not with their nuts and washers", with heads (excl. with slotted, cross-recessed or hexagonal head; wood screws, self-tapping screws and screws and bolts for fixing railway track construction material, screw hooks and screw rings)</v>
      </c>
      <c r="G928" s="694"/>
      <c r="H928" s="694"/>
      <c r="I928" s="694"/>
      <c r="J928" s="694"/>
      <c r="K928" s="694"/>
      <c r="L928" s="694"/>
      <c r="M928" s="697" t="str">
        <f>Translations!$B$611</f>
        <v>Iron or steel products</v>
      </c>
      <c r="N928" s="620"/>
      <c r="O928" s="428"/>
    </row>
    <row r="929" spans="1:15" ht="12.75" customHeight="1" x14ac:dyDescent="0.2">
      <c r="A929" s="92"/>
      <c r="B929" s="144"/>
      <c r="C929" s="144"/>
      <c r="D929" s="144"/>
      <c r="E929" s="693" t="s">
        <v>2420</v>
      </c>
      <c r="F929" s="693" t="str">
        <f>Translations!$B$1333</f>
        <v>Nuts of iron or steel</v>
      </c>
      <c r="G929" s="694"/>
      <c r="H929" s="694"/>
      <c r="I929" s="694"/>
      <c r="J929" s="694"/>
      <c r="K929" s="694"/>
      <c r="L929" s="694"/>
      <c r="M929" s="697" t="str">
        <f>Translations!$B$611</f>
        <v>Iron or steel products</v>
      </c>
      <c r="N929" s="620"/>
      <c r="O929" s="428"/>
    </row>
    <row r="930" spans="1:15" ht="12.75" customHeight="1" x14ac:dyDescent="0.2">
      <c r="A930" s="92"/>
      <c r="B930" s="144"/>
      <c r="C930" s="144"/>
      <c r="D930" s="144"/>
      <c r="E930" s="693" t="s">
        <v>2423</v>
      </c>
      <c r="F930" s="693" t="str">
        <f>Translations!$B$1334</f>
        <v>Blind rivet nuts of stainless steel</v>
      </c>
      <c r="G930" s="694"/>
      <c r="H930" s="694"/>
      <c r="I930" s="694"/>
      <c r="J930" s="694"/>
      <c r="K930" s="694"/>
      <c r="L930" s="694"/>
      <c r="M930" s="697" t="str">
        <f>Translations!$B$611</f>
        <v>Iron or steel products</v>
      </c>
      <c r="N930" s="620"/>
      <c r="O930" s="428"/>
    </row>
    <row r="931" spans="1:15" ht="12.75" customHeight="1" x14ac:dyDescent="0.2">
      <c r="A931" s="92"/>
      <c r="B931" s="144"/>
      <c r="C931" s="144"/>
      <c r="D931" s="144"/>
      <c r="E931" s="693" t="s">
        <v>2426</v>
      </c>
      <c r="F931" s="693" t="str">
        <f>Translations!$B$1335</f>
        <v>Nuts of stainless steel (excl. blind rivet nuts)</v>
      </c>
      <c r="G931" s="694"/>
      <c r="H931" s="694"/>
      <c r="I931" s="694"/>
      <c r="J931" s="694"/>
      <c r="K931" s="694"/>
      <c r="L931" s="694"/>
      <c r="M931" s="697" t="str">
        <f>Translations!$B$611</f>
        <v>Iron or steel products</v>
      </c>
      <c r="N931" s="620"/>
      <c r="O931" s="428"/>
    </row>
    <row r="932" spans="1:15" ht="12.75" customHeight="1" x14ac:dyDescent="0.2">
      <c r="A932" s="92"/>
      <c r="B932" s="144"/>
      <c r="C932" s="144"/>
      <c r="D932" s="144"/>
      <c r="E932" s="693" t="s">
        <v>2429</v>
      </c>
      <c r="F932" s="693" t="str">
        <f>Translations!$B$1336</f>
        <v>Blind rivet nuts of iron or steel other than stainless</v>
      </c>
      <c r="G932" s="694"/>
      <c r="H932" s="694"/>
      <c r="I932" s="694"/>
      <c r="J932" s="694"/>
      <c r="K932" s="694"/>
      <c r="L932" s="694"/>
      <c r="M932" s="697" t="str">
        <f>Translations!$B$611</f>
        <v>Iron or steel products</v>
      </c>
      <c r="N932" s="620"/>
      <c r="O932" s="428"/>
    </row>
    <row r="933" spans="1:15" ht="12.75" customHeight="1" x14ac:dyDescent="0.2">
      <c r="A933" s="92"/>
      <c r="B933" s="144"/>
      <c r="C933" s="144"/>
      <c r="D933" s="144"/>
      <c r="E933" s="693" t="s">
        <v>2432</v>
      </c>
      <c r="F933" s="693" t="str">
        <f>Translations!$B$1337</f>
        <v>Self-locking nuts of iron or steel other than stainless</v>
      </c>
      <c r="G933" s="694"/>
      <c r="H933" s="694"/>
      <c r="I933" s="694"/>
      <c r="J933" s="694"/>
      <c r="K933" s="694"/>
      <c r="L933" s="694"/>
      <c r="M933" s="697" t="str">
        <f>Translations!$B$611</f>
        <v>Iron or steel products</v>
      </c>
      <c r="N933" s="620"/>
      <c r="O933" s="428"/>
    </row>
    <row r="934" spans="1:15" ht="12.75" customHeight="1" x14ac:dyDescent="0.2">
      <c r="A934" s="92"/>
      <c r="B934" s="144"/>
      <c r="C934" s="144"/>
      <c r="D934" s="144"/>
      <c r="E934" s="693" t="s">
        <v>2435</v>
      </c>
      <c r="F934" s="693" t="str">
        <f>Translations!$B$1338</f>
        <v>Nuts of iron or steel other than stainless, with an inside diameter &lt;= 12 mm (excl. blind rivet nuts and self-locking nuts)</v>
      </c>
      <c r="G934" s="694"/>
      <c r="H934" s="694"/>
      <c r="I934" s="694"/>
      <c r="J934" s="694"/>
      <c r="K934" s="694"/>
      <c r="L934" s="694"/>
      <c r="M934" s="697" t="str">
        <f>Translations!$B$611</f>
        <v>Iron or steel products</v>
      </c>
      <c r="N934" s="620"/>
      <c r="O934" s="428"/>
    </row>
    <row r="935" spans="1:15" ht="12.75" customHeight="1" x14ac:dyDescent="0.2">
      <c r="A935" s="92"/>
      <c r="B935" s="144"/>
      <c r="C935" s="144"/>
      <c r="D935" s="144"/>
      <c r="E935" s="693" t="s">
        <v>2438</v>
      </c>
      <c r="F935" s="693" t="str">
        <f>Translations!$B$1339</f>
        <v>Nuts of iron or steel other than stainless, with an inside diameter &gt; 12 mm (excl. blind rivet nuts and self-locking nuts)</v>
      </c>
      <c r="G935" s="694"/>
      <c r="H935" s="694"/>
      <c r="I935" s="694"/>
      <c r="J935" s="694"/>
      <c r="K935" s="694"/>
      <c r="L935" s="694"/>
      <c r="M935" s="697" t="str">
        <f>Translations!$B$611</f>
        <v>Iron or steel products</v>
      </c>
      <c r="N935" s="620"/>
      <c r="O935" s="428"/>
    </row>
    <row r="936" spans="1:15" ht="12.75" customHeight="1" x14ac:dyDescent="0.2">
      <c r="A936" s="92"/>
      <c r="B936" s="144"/>
      <c r="C936" s="144"/>
      <c r="D936" s="144"/>
      <c r="E936" s="693" t="s">
        <v>2441</v>
      </c>
      <c r="F936" s="693" t="str">
        <f>Translations!$B$1340</f>
        <v>Threaded articles, of iron or steel, n.e.s.</v>
      </c>
      <c r="G936" s="694"/>
      <c r="H936" s="694"/>
      <c r="I936" s="694"/>
      <c r="J936" s="694"/>
      <c r="K936" s="694"/>
      <c r="L936" s="694"/>
      <c r="M936" s="697" t="str">
        <f>Translations!$B$611</f>
        <v>Iron or steel products</v>
      </c>
      <c r="N936" s="620"/>
      <c r="O936" s="428"/>
    </row>
    <row r="937" spans="1:15" ht="12.75" customHeight="1" x14ac:dyDescent="0.2">
      <c r="A937" s="92"/>
      <c r="B937" s="144"/>
      <c r="C937" s="144"/>
      <c r="D937" s="144"/>
      <c r="E937" s="693" t="s">
        <v>2444</v>
      </c>
      <c r="F937" s="693" t="str">
        <f>Translations!$B$1341</f>
        <v>Spring washers and other lock washers, of iron or steel</v>
      </c>
      <c r="G937" s="694"/>
      <c r="H937" s="694"/>
      <c r="I937" s="694"/>
      <c r="J937" s="694"/>
      <c r="K937" s="694"/>
      <c r="L937" s="694"/>
      <c r="M937" s="697" t="str">
        <f>Translations!$B$611</f>
        <v>Iron or steel products</v>
      </c>
      <c r="N937" s="620"/>
      <c r="O937" s="428"/>
    </row>
    <row r="938" spans="1:15" ht="12.75" customHeight="1" x14ac:dyDescent="0.2">
      <c r="A938" s="92"/>
      <c r="B938" s="144"/>
      <c r="C938" s="144"/>
      <c r="D938" s="144"/>
      <c r="E938" s="693" t="s">
        <v>2447</v>
      </c>
      <c r="F938" s="693" t="str">
        <f>Translations!$B$1342</f>
        <v>Washers of iron or steel (excl. spring washers and other lock washers)</v>
      </c>
      <c r="G938" s="694"/>
      <c r="H938" s="694"/>
      <c r="I938" s="694"/>
      <c r="J938" s="694"/>
      <c r="K938" s="694"/>
      <c r="L938" s="694"/>
      <c r="M938" s="697" t="str">
        <f>Translations!$B$611</f>
        <v>Iron or steel products</v>
      </c>
      <c r="N938" s="620"/>
      <c r="O938" s="428"/>
    </row>
    <row r="939" spans="1:15" ht="12.75" customHeight="1" x14ac:dyDescent="0.2">
      <c r="A939" s="92"/>
      <c r="B939" s="144"/>
      <c r="C939" s="144"/>
      <c r="D939" s="144"/>
      <c r="E939" s="693" t="s">
        <v>2450</v>
      </c>
      <c r="F939" s="693" t="str">
        <f>Translations!$B$1343</f>
        <v>Rivets of iron or steel (excl. tubular and bifurcated rivets for particular uses)</v>
      </c>
      <c r="G939" s="694"/>
      <c r="H939" s="694"/>
      <c r="I939" s="694"/>
      <c r="J939" s="694"/>
      <c r="K939" s="694"/>
      <c r="L939" s="694"/>
      <c r="M939" s="697" t="str">
        <f>Translations!$B$611</f>
        <v>Iron or steel products</v>
      </c>
      <c r="N939" s="620"/>
      <c r="O939" s="428"/>
    </row>
    <row r="940" spans="1:15" ht="12.75" customHeight="1" x14ac:dyDescent="0.2">
      <c r="A940" s="92"/>
      <c r="B940" s="144"/>
      <c r="C940" s="144"/>
      <c r="D940" s="144"/>
      <c r="E940" s="693" t="s">
        <v>2453</v>
      </c>
      <c r="F940" s="693" t="str">
        <f>Translations!$B$1344</f>
        <v>Cotters and cotter pins, of iron or steel</v>
      </c>
      <c r="G940" s="694"/>
      <c r="H940" s="694"/>
      <c r="I940" s="694"/>
      <c r="J940" s="694"/>
      <c r="K940" s="694"/>
      <c r="L940" s="694"/>
      <c r="M940" s="697" t="str">
        <f>Translations!$B$611</f>
        <v>Iron or steel products</v>
      </c>
      <c r="N940" s="620"/>
      <c r="O940" s="428"/>
    </row>
    <row r="941" spans="1:15" ht="12.75" customHeight="1" x14ac:dyDescent="0.2">
      <c r="A941" s="92"/>
      <c r="B941" s="144"/>
      <c r="C941" s="144"/>
      <c r="D941" s="144"/>
      <c r="E941" s="693" t="s">
        <v>2456</v>
      </c>
      <c r="F941" s="693" t="str">
        <f>Translations!$B$1345</f>
        <v>Non-threaded articles, of iron or steel</v>
      </c>
      <c r="G941" s="694"/>
      <c r="H941" s="694"/>
      <c r="I941" s="694"/>
      <c r="J941" s="694"/>
      <c r="K941" s="694"/>
      <c r="L941" s="694"/>
      <c r="M941" s="697" t="str">
        <f>Translations!$B$611</f>
        <v>Iron or steel products</v>
      </c>
      <c r="N941" s="620"/>
      <c r="O941" s="428"/>
    </row>
    <row r="942" spans="1:15" ht="12.75" customHeight="1" x14ac:dyDescent="0.2">
      <c r="A942" s="92"/>
      <c r="B942" s="144"/>
      <c r="C942" s="144"/>
      <c r="D942" s="144"/>
      <c r="E942" s="693" t="s">
        <v>2458</v>
      </c>
      <c r="F942" s="693" t="str">
        <f>Translations!$B$1346</f>
        <v>Articles of iron or steel, n.e.s. (excl. cast articles)</v>
      </c>
      <c r="G942" s="694"/>
      <c r="H942" s="694"/>
      <c r="I942" s="694"/>
      <c r="J942" s="694"/>
      <c r="K942" s="694"/>
      <c r="L942" s="694"/>
      <c r="M942" s="697" t="str">
        <f>Translations!$B$611</f>
        <v>Iron or steel products</v>
      </c>
      <c r="N942" s="620"/>
      <c r="O942" s="428"/>
    </row>
    <row r="943" spans="1:15" ht="12.75" customHeight="1" x14ac:dyDescent="0.2">
      <c r="A943" s="92"/>
      <c r="B943" s="144"/>
      <c r="C943" s="144"/>
      <c r="D943" s="144"/>
      <c r="E943" s="693" t="s">
        <v>2461</v>
      </c>
      <c r="F943" s="693" t="str">
        <f>Translations!$B$1347</f>
        <v>Grinding balls and similar articles for mills, of iron or steel, forged or stamped, but not further worked</v>
      </c>
      <c r="G943" s="694"/>
      <c r="H943" s="694"/>
      <c r="I943" s="694"/>
      <c r="J943" s="694"/>
      <c r="K943" s="694"/>
      <c r="L943" s="694"/>
      <c r="M943" s="697" t="str">
        <f>Translations!$B$611</f>
        <v>Iron or steel products</v>
      </c>
      <c r="N943" s="620"/>
      <c r="O943" s="428"/>
    </row>
    <row r="944" spans="1:15" ht="12.75" customHeight="1" x14ac:dyDescent="0.2">
      <c r="A944" s="92"/>
      <c r="B944" s="144"/>
      <c r="C944" s="144"/>
      <c r="D944" s="144"/>
      <c r="E944" s="693" t="s">
        <v>2463</v>
      </c>
      <c r="F944" s="693" t="str">
        <f>Translations!$B$1348</f>
        <v>Articles of iron or steel, forged or stamped, but not further worked, n.e.s. (excl. grinding balls and similar articles for mills)</v>
      </c>
      <c r="G944" s="694"/>
      <c r="H944" s="694"/>
      <c r="I944" s="694"/>
      <c r="J944" s="694"/>
      <c r="K944" s="694"/>
      <c r="L944" s="694"/>
      <c r="M944" s="697" t="str">
        <f>Translations!$B$611</f>
        <v>Iron or steel products</v>
      </c>
      <c r="N944" s="620"/>
      <c r="O944" s="428"/>
    </row>
    <row r="945" spans="1:15" ht="12.75" customHeight="1" x14ac:dyDescent="0.2">
      <c r="A945" s="92"/>
      <c r="B945" s="144"/>
      <c r="C945" s="144"/>
      <c r="D945" s="144"/>
      <c r="E945" s="693" t="s">
        <v>2466</v>
      </c>
      <c r="F945" s="693" t="str">
        <f>Translations!$B$1349</f>
        <v>Articles of iron or steel, open-die forged, but not further worked, n.e.s. (excl. grinding balls and similar articles for mills)</v>
      </c>
      <c r="G945" s="694"/>
      <c r="H945" s="694"/>
      <c r="I945" s="694"/>
      <c r="J945" s="694"/>
      <c r="K945" s="694"/>
      <c r="L945" s="694"/>
      <c r="M945" s="697" t="str">
        <f>Translations!$B$611</f>
        <v>Iron or steel products</v>
      </c>
      <c r="N945" s="620"/>
      <c r="O945" s="428"/>
    </row>
    <row r="946" spans="1:15" ht="12.75" customHeight="1" x14ac:dyDescent="0.2">
      <c r="A946" s="92"/>
      <c r="B946" s="144"/>
      <c r="C946" s="144"/>
      <c r="D946" s="144"/>
      <c r="E946" s="693" t="s">
        <v>2469</v>
      </c>
      <c r="F946" s="693" t="str">
        <f>Translations!$B$1350</f>
        <v>Articles of iron or steel, closed-die forged or stamped, but not further worked, n.e.s. (excl. grinding balls and similar articles for mills)</v>
      </c>
      <c r="G946" s="694"/>
      <c r="H946" s="694"/>
      <c r="I946" s="694"/>
      <c r="J946" s="694"/>
      <c r="K946" s="694"/>
      <c r="L946" s="694"/>
      <c r="M946" s="697" t="str">
        <f>Translations!$B$611</f>
        <v>Iron or steel products</v>
      </c>
      <c r="N946" s="620"/>
      <c r="O946" s="428"/>
    </row>
    <row r="947" spans="1:15" ht="12.75" customHeight="1" x14ac:dyDescent="0.2">
      <c r="A947" s="92"/>
      <c r="B947" s="144"/>
      <c r="C947" s="144"/>
      <c r="D947" s="144"/>
      <c r="E947" s="693" t="s">
        <v>2472</v>
      </c>
      <c r="F947" s="693" t="str">
        <f>Translations!$B$1351</f>
        <v>Articles of iron or steel wire, n.e.s.</v>
      </c>
      <c r="G947" s="694"/>
      <c r="H947" s="694"/>
      <c r="I947" s="694"/>
      <c r="J947" s="694"/>
      <c r="K947" s="694"/>
      <c r="L947" s="694"/>
      <c r="M947" s="697" t="str">
        <f>Translations!$B$611</f>
        <v>Iron or steel products</v>
      </c>
      <c r="N947" s="620"/>
      <c r="O947" s="428"/>
    </row>
    <row r="948" spans="1:15" ht="12.75" customHeight="1" x14ac:dyDescent="0.2">
      <c r="A948" s="92"/>
      <c r="B948" s="144"/>
      <c r="C948" s="144"/>
      <c r="D948" s="144"/>
      <c r="E948" s="693" t="s">
        <v>2474</v>
      </c>
      <c r="F948" s="693" t="str">
        <f>Translations!$B$1352</f>
        <v>Articles of iron or steel, n.e.s. (excl. cast articles or articles of iron or steel wire)</v>
      </c>
      <c r="G948" s="694"/>
      <c r="H948" s="694"/>
      <c r="I948" s="694"/>
      <c r="J948" s="694"/>
      <c r="K948" s="694"/>
      <c r="L948" s="694"/>
      <c r="M948" s="697" t="str">
        <f>Translations!$B$611</f>
        <v>Iron or steel products</v>
      </c>
      <c r="N948" s="620"/>
      <c r="O948" s="428"/>
    </row>
    <row r="949" spans="1:15" ht="12.75" customHeight="1" x14ac:dyDescent="0.2">
      <c r="A949" s="92"/>
      <c r="B949" s="144"/>
      <c r="C949" s="144"/>
      <c r="D949" s="144"/>
      <c r="E949" s="693" t="s">
        <v>2477</v>
      </c>
      <c r="F949" s="693" t="str">
        <f>Translations!$B$1353</f>
        <v>Ladders and steps, of iron or steel</v>
      </c>
      <c r="G949" s="694"/>
      <c r="H949" s="694"/>
      <c r="I949" s="694"/>
      <c r="J949" s="694"/>
      <c r="K949" s="694"/>
      <c r="L949" s="694"/>
      <c r="M949" s="697" t="str">
        <f>Translations!$B$611</f>
        <v>Iron or steel products</v>
      </c>
      <c r="N949" s="620"/>
      <c r="O949" s="428"/>
    </row>
    <row r="950" spans="1:15" ht="12.75" customHeight="1" x14ac:dyDescent="0.2">
      <c r="A950" s="92"/>
      <c r="B950" s="144"/>
      <c r="C950" s="144"/>
      <c r="D950" s="144"/>
      <c r="E950" s="693" t="s">
        <v>2480</v>
      </c>
      <c r="F950" s="693" t="str">
        <f>Translations!$B$1354</f>
        <v>Pallets and similar platforms for handling goods, of iron or steel</v>
      </c>
      <c r="G950" s="694"/>
      <c r="H950" s="694"/>
      <c r="I950" s="694"/>
      <c r="J950" s="694"/>
      <c r="K950" s="694"/>
      <c r="L950" s="694"/>
      <c r="M950" s="697" t="str">
        <f>Translations!$B$611</f>
        <v>Iron or steel products</v>
      </c>
      <c r="N950" s="620"/>
      <c r="O950" s="428"/>
    </row>
    <row r="951" spans="1:15" ht="12.75" customHeight="1" x14ac:dyDescent="0.2">
      <c r="A951" s="92"/>
      <c r="B951" s="144"/>
      <c r="C951" s="144"/>
      <c r="D951" s="144"/>
      <c r="E951" s="693" t="s">
        <v>2483</v>
      </c>
      <c r="F951" s="693" t="str">
        <f>Translations!$B$1355</f>
        <v>Reels for cables, piping and the like, of iron or steel</v>
      </c>
      <c r="G951" s="694"/>
      <c r="H951" s="694"/>
      <c r="I951" s="694"/>
      <c r="J951" s="694"/>
      <c r="K951" s="694"/>
      <c r="L951" s="694"/>
      <c r="M951" s="697" t="str">
        <f>Translations!$B$611</f>
        <v>Iron or steel products</v>
      </c>
      <c r="N951" s="620"/>
      <c r="O951" s="428"/>
    </row>
    <row r="952" spans="1:15" ht="12.75" customHeight="1" x14ac:dyDescent="0.2">
      <c r="A952" s="92"/>
      <c r="B952" s="144"/>
      <c r="C952" s="144"/>
      <c r="D952" s="144"/>
      <c r="E952" s="693" t="s">
        <v>2486</v>
      </c>
      <c r="F952" s="693" t="str">
        <f>Translations!$B$1356</f>
        <v>Ventilators, non-mechanical, guttering, hooks and like articles used in the building industry, n.e.s., of iron or steel</v>
      </c>
      <c r="G952" s="694"/>
      <c r="H952" s="694"/>
      <c r="I952" s="694"/>
      <c r="J952" s="694"/>
      <c r="K952" s="694"/>
      <c r="L952" s="694"/>
      <c r="M952" s="697" t="str">
        <f>Translations!$B$611</f>
        <v>Iron or steel products</v>
      </c>
      <c r="N952" s="620"/>
      <c r="O952" s="428"/>
    </row>
    <row r="953" spans="1:15" ht="12.75" customHeight="1" x14ac:dyDescent="0.2">
      <c r="A953" s="92"/>
      <c r="B953" s="144"/>
      <c r="C953" s="144"/>
      <c r="D953" s="144"/>
      <c r="E953" s="693" t="s">
        <v>2489</v>
      </c>
      <c r="F953" s="693" t="str">
        <f>Translations!$B$1357</f>
        <v>Articles of iron or steel, open-die forged, n.e.s.</v>
      </c>
      <c r="G953" s="694"/>
      <c r="H953" s="694"/>
      <c r="I953" s="694"/>
      <c r="J953" s="694"/>
      <c r="K953" s="694"/>
      <c r="L953" s="694"/>
      <c r="M953" s="697" t="str">
        <f>Translations!$B$611</f>
        <v>Iron or steel products</v>
      </c>
      <c r="N953" s="620"/>
      <c r="O953" s="428"/>
    </row>
    <row r="954" spans="1:15" ht="12.75" customHeight="1" x14ac:dyDescent="0.2">
      <c r="A954" s="92"/>
      <c r="B954" s="144"/>
      <c r="C954" s="144"/>
      <c r="D954" s="144"/>
      <c r="E954" s="693" t="s">
        <v>2492</v>
      </c>
      <c r="F954" s="693" t="str">
        <f>Translations!$B$1358</f>
        <v>Articles of iron or steel, closed-die forged, n.e.s.</v>
      </c>
      <c r="G954" s="694"/>
      <c r="H954" s="694"/>
      <c r="I954" s="694"/>
      <c r="J954" s="694"/>
      <c r="K954" s="694"/>
      <c r="L954" s="694"/>
      <c r="M954" s="697" t="str">
        <f>Translations!$B$611</f>
        <v>Iron or steel products</v>
      </c>
      <c r="N954" s="620"/>
      <c r="O954" s="428"/>
    </row>
    <row r="955" spans="1:15" ht="12.75" customHeight="1" x14ac:dyDescent="0.2">
      <c r="A955" s="92"/>
      <c r="B955" s="144"/>
      <c r="C955" s="144"/>
      <c r="D955" s="144"/>
      <c r="E955" s="693" t="s">
        <v>2495</v>
      </c>
      <c r="F955" s="693" t="str">
        <f>Translations!$B$1359</f>
        <v>Sintered articles of iron or steel, n.e.s.</v>
      </c>
      <c r="G955" s="694"/>
      <c r="H955" s="694"/>
      <c r="I955" s="694"/>
      <c r="J955" s="694"/>
      <c r="K955" s="694"/>
      <c r="L955" s="694"/>
      <c r="M955" s="697" t="str">
        <f>Translations!$B$611</f>
        <v>Iron or steel products</v>
      </c>
      <c r="N955" s="620"/>
      <c r="O955" s="428"/>
    </row>
    <row r="956" spans="1:15" ht="12.75" customHeight="1" x14ac:dyDescent="0.2">
      <c r="A956" s="92"/>
      <c r="B956" s="144"/>
      <c r="C956" s="144"/>
      <c r="D956" s="144"/>
      <c r="E956" s="693" t="s">
        <v>2498</v>
      </c>
      <c r="F956" s="693" t="str">
        <f>Translations!$B$1360</f>
        <v>Articles of iron or steel, n.e.s.</v>
      </c>
      <c r="G956" s="694"/>
      <c r="H956" s="694"/>
      <c r="I956" s="694"/>
      <c r="J956" s="694"/>
      <c r="K956" s="694"/>
      <c r="L956" s="694"/>
      <c r="M956" s="697" t="str">
        <f>Translations!$B$611</f>
        <v>Iron or steel products</v>
      </c>
      <c r="N956" s="620"/>
      <c r="O956" s="428"/>
    </row>
    <row r="957" spans="1:15" ht="12.75" customHeight="1" x14ac:dyDescent="0.2">
      <c r="A957" s="92"/>
      <c r="B957" s="144"/>
      <c r="C957" s="144"/>
      <c r="D957" s="144"/>
      <c r="E957" s="693" t="s">
        <v>2500</v>
      </c>
      <c r="F957" s="693" t="str">
        <f>Translations!$B$689</f>
        <v>Unwrought aluminium</v>
      </c>
      <c r="G957" s="694"/>
      <c r="H957" s="694"/>
      <c r="I957" s="694"/>
      <c r="J957" s="694"/>
      <c r="K957" s="694"/>
      <c r="L957" s="694"/>
      <c r="M957" s="697" t="str">
        <f>Translations!$B$689</f>
        <v>Unwrought aluminium</v>
      </c>
      <c r="N957" s="620"/>
      <c r="O957" s="428"/>
    </row>
    <row r="958" spans="1:15" ht="12.75" customHeight="1" x14ac:dyDescent="0.2">
      <c r="A958" s="92"/>
      <c r="B958" s="144"/>
      <c r="C958" s="144"/>
      <c r="D958" s="144"/>
      <c r="E958" s="693" t="s">
        <v>2501</v>
      </c>
      <c r="F958" s="693" t="str">
        <f>Translations!$B$1361</f>
        <v>Aluminium, not alloyed, unwrought</v>
      </c>
      <c r="G958" s="694"/>
      <c r="H958" s="694"/>
      <c r="I958" s="694"/>
      <c r="J958" s="694"/>
      <c r="K958" s="694"/>
      <c r="L958" s="694"/>
      <c r="M958" s="697" t="str">
        <f>Translations!$B$689</f>
        <v>Unwrought aluminium</v>
      </c>
      <c r="N958" s="620"/>
      <c r="O958" s="428"/>
    </row>
    <row r="959" spans="1:15" ht="12.75" customHeight="1" x14ac:dyDescent="0.2">
      <c r="A959" s="92"/>
      <c r="B959" s="144"/>
      <c r="C959" s="144"/>
      <c r="D959" s="144"/>
      <c r="E959" s="693" t="s">
        <v>2503</v>
      </c>
      <c r="F959" s="693" t="str">
        <f>Translations!$B$1362</f>
        <v>Unwrought aluminium alloys</v>
      </c>
      <c r="G959" s="694"/>
      <c r="H959" s="694"/>
      <c r="I959" s="694"/>
      <c r="J959" s="694"/>
      <c r="K959" s="694"/>
      <c r="L959" s="694"/>
      <c r="M959" s="697" t="str">
        <f>Translations!$B$689</f>
        <v>Unwrought aluminium</v>
      </c>
      <c r="N959" s="620"/>
      <c r="O959" s="428"/>
    </row>
    <row r="960" spans="1:15" ht="12.75" customHeight="1" x14ac:dyDescent="0.2">
      <c r="A960" s="92"/>
      <c r="B960" s="144"/>
      <c r="C960" s="144"/>
      <c r="D960" s="144"/>
      <c r="E960" s="693" t="s">
        <v>2505</v>
      </c>
      <c r="F960" s="693" t="str">
        <f>Translations!$B$1363</f>
        <v>Unwrought aluminium alloys in the form of slabs or billets</v>
      </c>
      <c r="G960" s="694"/>
      <c r="H960" s="694"/>
      <c r="I960" s="694"/>
      <c r="J960" s="694"/>
      <c r="K960" s="694"/>
      <c r="L960" s="694"/>
      <c r="M960" s="697" t="str">
        <f>Translations!$B$689</f>
        <v>Unwrought aluminium</v>
      </c>
      <c r="N960" s="620"/>
      <c r="O960" s="428"/>
    </row>
    <row r="961" spans="1:15" ht="12.75" customHeight="1" x14ac:dyDescent="0.2">
      <c r="A961" s="92"/>
      <c r="B961" s="144"/>
      <c r="C961" s="144"/>
      <c r="D961" s="144"/>
      <c r="E961" s="693" t="s">
        <v>2508</v>
      </c>
      <c r="F961" s="693" t="str">
        <f>Translations!$B$1364</f>
        <v>Unwrought aluminium alloys (excl. slabs and billets)</v>
      </c>
      <c r="G961" s="694"/>
      <c r="H961" s="694"/>
      <c r="I961" s="694"/>
      <c r="J961" s="694"/>
      <c r="K961" s="694"/>
      <c r="L961" s="694"/>
      <c r="M961" s="697" t="str">
        <f>Translations!$B$689</f>
        <v>Unwrought aluminium</v>
      </c>
      <c r="N961" s="620"/>
      <c r="O961" s="428"/>
    </row>
    <row r="962" spans="1:15" ht="12.75" customHeight="1" x14ac:dyDescent="0.2">
      <c r="A962" s="92"/>
      <c r="B962" s="144"/>
      <c r="C962" s="144"/>
      <c r="D962" s="144"/>
      <c r="E962" s="693" t="s">
        <v>2510</v>
      </c>
      <c r="F962" s="693" t="str">
        <f>Translations!$B$1365</f>
        <v>Powder and flakes, of aluminium (excl. pellets of aluminium, and spangles)</v>
      </c>
      <c r="G962" s="694"/>
      <c r="H962" s="694"/>
      <c r="I962" s="694"/>
      <c r="J962" s="694"/>
      <c r="K962" s="694"/>
      <c r="L962" s="694"/>
      <c r="M962" s="697" t="str">
        <f>Translations!$B$688</f>
        <v>Aluminium products</v>
      </c>
      <c r="N962" s="620"/>
      <c r="O962" s="428"/>
    </row>
    <row r="963" spans="1:15" ht="12.75" customHeight="1" x14ac:dyDescent="0.2">
      <c r="A963" s="92"/>
      <c r="B963" s="144"/>
      <c r="C963" s="144"/>
      <c r="D963" s="144"/>
      <c r="E963" s="693" t="s">
        <v>2513</v>
      </c>
      <c r="F963" s="693" t="str">
        <f>Translations!$B$1366</f>
        <v>Powders of aluminium, of non-lamellar structure (excl. pellets of aluminium)</v>
      </c>
      <c r="G963" s="694"/>
      <c r="H963" s="694"/>
      <c r="I963" s="694"/>
      <c r="J963" s="694"/>
      <c r="K963" s="694"/>
      <c r="L963" s="694"/>
      <c r="M963" s="697" t="str">
        <f>Translations!$B$688</f>
        <v>Aluminium products</v>
      </c>
      <c r="N963" s="620"/>
      <c r="O963" s="428"/>
    </row>
    <row r="964" spans="1:15" ht="12.75" customHeight="1" x14ac:dyDescent="0.2">
      <c r="A964" s="92"/>
      <c r="B964" s="144"/>
      <c r="C964" s="144"/>
      <c r="D964" s="144"/>
      <c r="E964" s="693" t="s">
        <v>2516</v>
      </c>
      <c r="F964" s="693" t="str">
        <f>Translations!$B$1367</f>
        <v>Powders of aluminium, of lamellar structure, and flakes of aluminium (excl. pellets of aluminium, and spangles)</v>
      </c>
      <c r="G964" s="694"/>
      <c r="H964" s="694"/>
      <c r="I964" s="694"/>
      <c r="J964" s="694"/>
      <c r="K964" s="694"/>
      <c r="L964" s="694"/>
      <c r="M964" s="697" t="str">
        <f>Translations!$B$688</f>
        <v>Aluminium products</v>
      </c>
      <c r="N964" s="620"/>
      <c r="O964" s="428"/>
    </row>
    <row r="965" spans="1:15" ht="12.75" customHeight="1" x14ac:dyDescent="0.2">
      <c r="A965" s="92"/>
      <c r="B965" s="144"/>
      <c r="C965" s="144"/>
      <c r="D965" s="144"/>
      <c r="E965" s="693" t="s">
        <v>2518</v>
      </c>
      <c r="F965" s="693" t="str">
        <f>Translations!$B$1368</f>
        <v>Bars, rods and profiles, of aluminium, n.e.s.</v>
      </c>
      <c r="G965" s="694"/>
      <c r="H965" s="694"/>
      <c r="I965" s="694"/>
      <c r="J965" s="694"/>
      <c r="K965" s="694"/>
      <c r="L965" s="694"/>
      <c r="M965" s="697" t="str">
        <f>Translations!$B$688</f>
        <v>Aluminium products</v>
      </c>
      <c r="N965" s="620"/>
      <c r="O965" s="428"/>
    </row>
    <row r="966" spans="1:15" ht="12.75" customHeight="1" x14ac:dyDescent="0.2">
      <c r="A966" s="92"/>
      <c r="B966" s="144"/>
      <c r="C966" s="144"/>
      <c r="D966" s="144"/>
      <c r="E966" s="693" t="s">
        <v>2520</v>
      </c>
      <c r="F966" s="693" t="str">
        <f>Translations!$B$1369</f>
        <v>Bars, rods and profiles, of non-alloy aluminium, n.e.s.</v>
      </c>
      <c r="G966" s="694"/>
      <c r="H966" s="694"/>
      <c r="I966" s="694"/>
      <c r="J966" s="694"/>
      <c r="K966" s="694"/>
      <c r="L966" s="694"/>
      <c r="M966" s="697" t="str">
        <f>Translations!$B$688</f>
        <v>Aluminium products</v>
      </c>
      <c r="N966" s="620"/>
      <c r="O966" s="428"/>
    </row>
    <row r="967" spans="1:15" ht="12.75" customHeight="1" x14ac:dyDescent="0.2">
      <c r="A967" s="92"/>
      <c r="B967" s="144"/>
      <c r="C967" s="144"/>
      <c r="D967" s="144"/>
      <c r="E967" s="693" t="s">
        <v>2523</v>
      </c>
      <c r="F967" s="693" t="str">
        <f>Translations!$B$1370</f>
        <v>Bars, rods and profiles, of non-alloy aluminium</v>
      </c>
      <c r="G967" s="694"/>
      <c r="H967" s="694"/>
      <c r="I967" s="694"/>
      <c r="J967" s="694"/>
      <c r="K967" s="694"/>
      <c r="L967" s="694"/>
      <c r="M967" s="697" t="str">
        <f>Translations!$B$688</f>
        <v>Aluminium products</v>
      </c>
      <c r="N967" s="620"/>
      <c r="O967" s="428"/>
    </row>
    <row r="968" spans="1:15" ht="12.75" customHeight="1" x14ac:dyDescent="0.2">
      <c r="A968" s="92"/>
      <c r="B968" s="144"/>
      <c r="C968" s="144"/>
      <c r="D968" s="144"/>
      <c r="E968" s="693" t="s">
        <v>2526</v>
      </c>
      <c r="F968" s="693" t="str">
        <f>Translations!$B$1371</f>
        <v>Profiles of non-alloy aluminium, n.e.s.</v>
      </c>
      <c r="G968" s="694"/>
      <c r="H968" s="694"/>
      <c r="I968" s="694"/>
      <c r="J968" s="694"/>
      <c r="K968" s="694"/>
      <c r="L968" s="694"/>
      <c r="M968" s="697" t="str">
        <f>Translations!$B$688</f>
        <v>Aluminium products</v>
      </c>
      <c r="N968" s="620"/>
      <c r="O968" s="428"/>
    </row>
    <row r="969" spans="1:15" ht="12.75" customHeight="1" x14ac:dyDescent="0.2">
      <c r="A969" s="92"/>
      <c r="B969" s="144"/>
      <c r="C969" s="144"/>
      <c r="D969" s="144"/>
      <c r="E969" s="693" t="s">
        <v>2529</v>
      </c>
      <c r="F969" s="693" t="str">
        <f>Translations!$B$1372</f>
        <v>Hollow profiles of aluminium alloys, n.e.s.</v>
      </c>
      <c r="G969" s="694"/>
      <c r="H969" s="694"/>
      <c r="I969" s="694"/>
      <c r="J969" s="694"/>
      <c r="K969" s="694"/>
      <c r="L969" s="694"/>
      <c r="M969" s="697" t="str">
        <f>Translations!$B$688</f>
        <v>Aluminium products</v>
      </c>
      <c r="N969" s="620"/>
      <c r="O969" s="428"/>
    </row>
    <row r="970" spans="1:15" ht="12.75" customHeight="1" x14ac:dyDescent="0.2">
      <c r="A970" s="92"/>
      <c r="B970" s="144"/>
      <c r="C970" s="144"/>
      <c r="D970" s="144"/>
      <c r="E970" s="693" t="s">
        <v>2531</v>
      </c>
      <c r="F970" s="693" t="str">
        <f>Translations!$B$1373</f>
        <v>Bars, rods and solid profiles, of aluminium alloys, n.e.s.</v>
      </c>
      <c r="G970" s="694"/>
      <c r="H970" s="694"/>
      <c r="I970" s="694"/>
      <c r="J970" s="694"/>
      <c r="K970" s="694"/>
      <c r="L970" s="694"/>
      <c r="M970" s="697" t="str">
        <f>Translations!$B$688</f>
        <v>Aluminium products</v>
      </c>
      <c r="N970" s="620"/>
      <c r="O970" s="428"/>
    </row>
    <row r="971" spans="1:15" ht="12.75" customHeight="1" x14ac:dyDescent="0.2">
      <c r="A971" s="92"/>
      <c r="B971" s="144"/>
      <c r="C971" s="144"/>
      <c r="D971" s="144"/>
      <c r="E971" s="693" t="s">
        <v>2534</v>
      </c>
      <c r="F971" s="693" t="str">
        <f>Translations!$B$1374</f>
        <v>Bars and rods of aluminium alloys</v>
      </c>
      <c r="G971" s="694"/>
      <c r="H971" s="694"/>
      <c r="I971" s="694"/>
      <c r="J971" s="694"/>
      <c r="K971" s="694"/>
      <c r="L971" s="694"/>
      <c r="M971" s="697" t="str">
        <f>Translations!$B$688</f>
        <v>Aluminium products</v>
      </c>
      <c r="N971" s="620"/>
      <c r="O971" s="428"/>
    </row>
    <row r="972" spans="1:15" ht="12.75" customHeight="1" x14ac:dyDescent="0.2">
      <c r="A972" s="92"/>
      <c r="B972" s="144"/>
      <c r="C972" s="144"/>
      <c r="D972" s="144"/>
      <c r="E972" s="693" t="s">
        <v>2537</v>
      </c>
      <c r="F972" s="693" t="str">
        <f>Translations!$B$1375</f>
        <v>Solid profiles, of aluminium alloys, n.e.s.</v>
      </c>
      <c r="G972" s="694"/>
      <c r="H972" s="694"/>
      <c r="I972" s="694"/>
      <c r="J972" s="694"/>
      <c r="K972" s="694"/>
      <c r="L972" s="694"/>
      <c r="M972" s="697" t="str">
        <f>Translations!$B$688</f>
        <v>Aluminium products</v>
      </c>
      <c r="N972" s="620"/>
      <c r="O972" s="428"/>
    </row>
    <row r="973" spans="1:15" ht="12.75" customHeight="1" x14ac:dyDescent="0.2">
      <c r="A973" s="92"/>
      <c r="B973" s="144"/>
      <c r="C973" s="144"/>
      <c r="D973" s="144"/>
      <c r="E973" s="693" t="s">
        <v>2539</v>
      </c>
      <c r="F973" s="693" t="str">
        <f>Translations!$B$1376</f>
        <v>Aluminium wire (excl. stranded wire, cables, plaited bands and the like and other articles of heading 7614, electrically insulated wires, and strings for musical instruments)</v>
      </c>
      <c r="G973" s="694"/>
      <c r="H973" s="694"/>
      <c r="I973" s="694"/>
      <c r="J973" s="694"/>
      <c r="K973" s="694"/>
      <c r="L973" s="694"/>
      <c r="M973" s="697" t="str">
        <f>Translations!$B$688</f>
        <v>Aluminium products</v>
      </c>
      <c r="N973" s="620"/>
      <c r="O973" s="428"/>
    </row>
    <row r="974" spans="1:15" ht="12.75" customHeight="1" x14ac:dyDescent="0.2">
      <c r="A974" s="92"/>
      <c r="B974" s="144"/>
      <c r="C974" s="144"/>
      <c r="D974" s="144"/>
      <c r="E974" s="693" t="s">
        <v>2542</v>
      </c>
      <c r="F974" s="693" t="str">
        <f>Translations!$B$1377</f>
        <v>Wire of non-alloy aluminium, with a maximum cross-sectional dimension of &gt; 7 mm (excl. stranded wire, cables, plaited bands and the like and other articles of heading 7614, and electrically insulated wires)</v>
      </c>
      <c r="G974" s="694"/>
      <c r="H974" s="694"/>
      <c r="I974" s="694"/>
      <c r="J974" s="694"/>
      <c r="K974" s="694"/>
      <c r="L974" s="694"/>
      <c r="M974" s="697" t="str">
        <f>Translations!$B$688</f>
        <v>Aluminium products</v>
      </c>
      <c r="N974" s="620"/>
      <c r="O974" s="428"/>
    </row>
    <row r="975" spans="1:15" ht="12.75" customHeight="1" x14ac:dyDescent="0.2">
      <c r="A975" s="92"/>
      <c r="B975" s="144"/>
      <c r="C975" s="144"/>
      <c r="D975" s="144"/>
      <c r="E975" s="693" t="s">
        <v>2545</v>
      </c>
      <c r="F975" s="693" t="str">
        <f>Translations!$B$1378</f>
        <v>Wire of non-alloy aluminium, with a maximum cross-sectional dimension of &lt;= 7 mm (other than stranded wires, cables, ropes and other articles of heading 7614, electrically insulated wires, strings for musical instruments)</v>
      </c>
      <c r="G975" s="694"/>
      <c r="H975" s="694"/>
      <c r="I975" s="694"/>
      <c r="J975" s="694"/>
      <c r="K975" s="694"/>
      <c r="L975" s="694"/>
      <c r="M975" s="697" t="str">
        <f>Translations!$B$688</f>
        <v>Aluminium products</v>
      </c>
      <c r="N975" s="620"/>
      <c r="O975" s="428"/>
    </row>
    <row r="976" spans="1:15" ht="12.75" customHeight="1" x14ac:dyDescent="0.2">
      <c r="A976" s="92"/>
      <c r="B976" s="144"/>
      <c r="C976" s="144"/>
      <c r="D976" s="144"/>
      <c r="E976" s="693" t="s">
        <v>2548</v>
      </c>
      <c r="F976" s="693" t="str">
        <f>Translations!$B$1379</f>
        <v>Wire of aluminium alloys, with a maximum cross-sectional dimension of &gt; 7 mm (excl. stranded wire, cables, plaited bands and the like and other articles of heading 7614, and electrically insulated wires)</v>
      </c>
      <c r="G976" s="694"/>
      <c r="H976" s="694"/>
      <c r="I976" s="694"/>
      <c r="J976" s="694"/>
      <c r="K976" s="694"/>
      <c r="L976" s="694"/>
      <c r="M976" s="697" t="str">
        <f>Translations!$B$688</f>
        <v>Aluminium products</v>
      </c>
      <c r="N976" s="620"/>
      <c r="O976" s="428"/>
    </row>
    <row r="977" spans="1:15" ht="12.75" customHeight="1" x14ac:dyDescent="0.2">
      <c r="A977" s="92"/>
      <c r="B977" s="144"/>
      <c r="C977" s="144"/>
      <c r="D977" s="144"/>
      <c r="E977" s="693" t="s">
        <v>2551</v>
      </c>
      <c r="F977" s="693" t="str">
        <f>Translations!$B$1380</f>
        <v>Wire, of aluminium alloys, having a maximum cross-sectional dimension of &lt;= 7 mm (other than stranded wires, cables, ropes and other articles of heading 7614, electrically insulated wires, strings for musical instruments)</v>
      </c>
      <c r="G977" s="694"/>
      <c r="H977" s="694"/>
      <c r="I977" s="694"/>
      <c r="J977" s="694"/>
      <c r="K977" s="694"/>
      <c r="L977" s="694"/>
      <c r="M977" s="697" t="str">
        <f>Translations!$B$688</f>
        <v>Aluminium products</v>
      </c>
      <c r="N977" s="620"/>
      <c r="O977" s="428"/>
    </row>
    <row r="978" spans="1:15" ht="12.75" customHeight="1" x14ac:dyDescent="0.2">
      <c r="A978" s="92"/>
      <c r="B978" s="144"/>
      <c r="C978" s="144"/>
      <c r="D978" s="144"/>
      <c r="E978" s="693" t="s">
        <v>2553</v>
      </c>
      <c r="F978" s="693" t="str">
        <f>Translations!$B$1381</f>
        <v>Plates, sheets and strip, of aluminium, of a thickness of &gt; 0,2 mm (excl. expanded plates, sheets and strip)</v>
      </c>
      <c r="G978" s="694"/>
      <c r="H978" s="694"/>
      <c r="I978" s="694"/>
      <c r="J978" s="694"/>
      <c r="K978" s="694"/>
      <c r="L978" s="694"/>
      <c r="M978" s="697" t="str">
        <f>Translations!$B$688</f>
        <v>Aluminium products</v>
      </c>
      <c r="N978" s="620"/>
      <c r="O978" s="428"/>
    </row>
    <row r="979" spans="1:15" ht="12.75" customHeight="1" x14ac:dyDescent="0.2">
      <c r="A979" s="92"/>
      <c r="B979" s="144"/>
      <c r="C979" s="144"/>
      <c r="D979" s="144"/>
      <c r="E979" s="693" t="s">
        <v>2555</v>
      </c>
      <c r="F979" s="693" t="str">
        <f>Translations!$B$1382</f>
        <v>Plates, sheets and strip, of non-alloy aluminium, of a thickness of &gt; 0,2 mm, square or rectangular (excl. expanded plates, sheets and strip)</v>
      </c>
      <c r="G979" s="694"/>
      <c r="H979" s="694"/>
      <c r="I979" s="694"/>
      <c r="J979" s="694"/>
      <c r="K979" s="694"/>
      <c r="L979" s="694"/>
      <c r="M979" s="697" t="str">
        <f>Translations!$B$688</f>
        <v>Aluminium products</v>
      </c>
      <c r="N979" s="620"/>
      <c r="O979" s="428"/>
    </row>
    <row r="980" spans="1:15" ht="12.75" customHeight="1" x14ac:dyDescent="0.2">
      <c r="A980" s="92"/>
      <c r="B980" s="144"/>
      <c r="C980" s="144"/>
      <c r="D980" s="144"/>
      <c r="E980" s="693" t="s">
        <v>2558</v>
      </c>
      <c r="F980" s="693" t="str">
        <f>Translations!$B$1383</f>
        <v>Aluminium Composite Panel, of non-alloy aluminium, of a thickness of &gt; 0,2 mm</v>
      </c>
      <c r="G980" s="694"/>
      <c r="H980" s="694"/>
      <c r="I980" s="694"/>
      <c r="J980" s="694"/>
      <c r="K980" s="694"/>
      <c r="L980" s="694"/>
      <c r="M980" s="697" t="str">
        <f>Translations!$B$688</f>
        <v>Aluminium products</v>
      </c>
      <c r="N980" s="620"/>
      <c r="O980" s="428"/>
    </row>
    <row r="981" spans="1:15" ht="12.75" customHeight="1" x14ac:dyDescent="0.2">
      <c r="A981" s="92"/>
      <c r="B981" s="144"/>
      <c r="C981" s="144"/>
      <c r="D981" s="144"/>
      <c r="E981" s="693" t="s">
        <v>2561</v>
      </c>
      <c r="F981" s="693" t="str">
        <f>Translations!$B$1384</f>
        <v>Plates, sheets and strip, of non-alloy aluminium, of a thickness of &gt; 0,2 mm, square or rectangular, painted, varnished or coated with plastics (excl. Aluminium Composite Panel)</v>
      </c>
      <c r="G981" s="694"/>
      <c r="H981" s="694"/>
      <c r="I981" s="694"/>
      <c r="J981" s="694"/>
      <c r="K981" s="694"/>
      <c r="L981" s="694"/>
      <c r="M981" s="697" t="str">
        <f>Translations!$B$688</f>
        <v>Aluminium products</v>
      </c>
      <c r="N981" s="620"/>
      <c r="O981" s="428"/>
    </row>
    <row r="982" spans="1:15" ht="12.75" customHeight="1" x14ac:dyDescent="0.2">
      <c r="A982" s="92"/>
      <c r="B982" s="144"/>
      <c r="C982" s="144"/>
      <c r="D982" s="144"/>
      <c r="E982" s="693" t="s">
        <v>2564</v>
      </c>
      <c r="F982" s="693" t="str">
        <f>Translations!$B$1385</f>
        <v>Plates, sheets and strip, of non-alloy aluminium, of a thickness of &gt; 0,2 mm but &lt; 3 mm, square or rectangular (excl. such products painted, varnished or coated with plastics, and expanded plates, sheets and strip)</v>
      </c>
      <c r="G982" s="694"/>
      <c r="H982" s="694"/>
      <c r="I982" s="694"/>
      <c r="J982" s="694"/>
      <c r="K982" s="694"/>
      <c r="L982" s="694"/>
      <c r="M982" s="697" t="str">
        <f>Translations!$B$688</f>
        <v>Aluminium products</v>
      </c>
      <c r="N982" s="620"/>
      <c r="O982" s="428"/>
    </row>
    <row r="983" spans="1:15" ht="12.75" customHeight="1" x14ac:dyDescent="0.2">
      <c r="A983" s="92"/>
      <c r="B983" s="144"/>
      <c r="C983" s="144"/>
      <c r="D983" s="144"/>
      <c r="E983" s="693" t="s">
        <v>2567</v>
      </c>
      <c r="F983" s="693" t="str">
        <f>Translations!$B$1386</f>
        <v>Plates, sheets and strip, of non-alloy aluminium, of a thickness of &gt;= 3 mm but &lt; 6 mm, square or rectangular (excl. such products painted, varnished or coated with plastics)</v>
      </c>
      <c r="G983" s="694"/>
      <c r="H983" s="694"/>
      <c r="I983" s="694"/>
      <c r="J983" s="694"/>
      <c r="K983" s="694"/>
      <c r="L983" s="694"/>
      <c r="M983" s="697" t="str">
        <f>Translations!$B$688</f>
        <v>Aluminium products</v>
      </c>
      <c r="N983" s="620"/>
      <c r="O983" s="428"/>
    </row>
    <row r="984" spans="1:15" ht="12.75" customHeight="1" x14ac:dyDescent="0.2">
      <c r="A984" s="92"/>
      <c r="B984" s="144"/>
      <c r="C984" s="144"/>
      <c r="D984" s="144"/>
      <c r="E984" s="693" t="s">
        <v>2570</v>
      </c>
      <c r="F984" s="693" t="str">
        <f>Translations!$B$1387</f>
        <v>Plates, sheets and strip, of non-alloy aluminium, of a thickness of &gt;= 6 mm, square or rectangular (excl. such products painted, varnished or coated with plastics)</v>
      </c>
      <c r="G984" s="694"/>
      <c r="H984" s="694"/>
      <c r="I984" s="694"/>
      <c r="J984" s="694"/>
      <c r="K984" s="694"/>
      <c r="L984" s="694"/>
      <c r="M984" s="697" t="str">
        <f>Translations!$B$688</f>
        <v>Aluminium products</v>
      </c>
      <c r="N984" s="620"/>
      <c r="O984" s="428"/>
    </row>
    <row r="985" spans="1:15" ht="12.75" customHeight="1" x14ac:dyDescent="0.2">
      <c r="A985" s="92"/>
      <c r="B985" s="144"/>
      <c r="C985" s="144"/>
      <c r="D985" s="144"/>
      <c r="E985" s="693" t="s">
        <v>2572</v>
      </c>
      <c r="F985" s="693" t="str">
        <f>Translations!$B$1388</f>
        <v>Plates, sheets and strip, of aluminium alloys, of a thickness of &gt; 0,2 mm, square or rectangular (excl. expanded plates, sheets and strip)</v>
      </c>
      <c r="G985" s="694"/>
      <c r="H985" s="694"/>
      <c r="I985" s="694"/>
      <c r="J985" s="694"/>
      <c r="K985" s="694"/>
      <c r="L985" s="694"/>
      <c r="M985" s="697" t="str">
        <f>Translations!$B$688</f>
        <v>Aluminium products</v>
      </c>
      <c r="N985" s="620"/>
      <c r="O985" s="428"/>
    </row>
    <row r="986" spans="1:15" ht="12.75" customHeight="1" x14ac:dyDescent="0.2">
      <c r="A986" s="92"/>
      <c r="B986" s="144"/>
      <c r="C986" s="144"/>
      <c r="D986" s="144"/>
      <c r="E986" s="693" t="s">
        <v>2575</v>
      </c>
      <c r="F986" s="693" t="str">
        <f>Translations!$B$1389</f>
        <v>Beverage can body stock, of aluminium alloys, of a thickness of &gt; 0,2 mm</v>
      </c>
      <c r="G986" s="694"/>
      <c r="H986" s="694"/>
      <c r="I986" s="694"/>
      <c r="J986" s="694"/>
      <c r="K986" s="694"/>
      <c r="L986" s="694"/>
      <c r="M986" s="697" t="str">
        <f>Translations!$B$688</f>
        <v>Aluminium products</v>
      </c>
      <c r="N986" s="620"/>
      <c r="O986" s="428"/>
    </row>
    <row r="987" spans="1:15" ht="12.75" customHeight="1" x14ac:dyDescent="0.2">
      <c r="A987" s="92"/>
      <c r="B987" s="144"/>
      <c r="C987" s="144"/>
      <c r="D987" s="144"/>
      <c r="E987" s="693" t="s">
        <v>2578</v>
      </c>
      <c r="F987" s="693" t="str">
        <f>Translations!$B$1390</f>
        <v>Beverage can end stock and tab stock, of aluminium alloys, of a thickness of &gt; 0,2 mm</v>
      </c>
      <c r="G987" s="694"/>
      <c r="H987" s="694"/>
      <c r="I987" s="694"/>
      <c r="J987" s="694"/>
      <c r="K987" s="694"/>
      <c r="L987" s="694"/>
      <c r="M987" s="697" t="str">
        <f>Translations!$B$688</f>
        <v>Aluminium products</v>
      </c>
      <c r="N987" s="620"/>
      <c r="O987" s="428"/>
    </row>
    <row r="988" spans="1:15" ht="12.75" customHeight="1" x14ac:dyDescent="0.2">
      <c r="A988" s="92"/>
      <c r="B988" s="144"/>
      <c r="C988" s="144"/>
      <c r="D988" s="144"/>
      <c r="E988" s="693" t="s">
        <v>2581</v>
      </c>
      <c r="F988" s="693" t="str">
        <f>Translations!$B$1391</f>
        <v>Aluminium Composite Panel, of aluminium alloys, of a thickness of &gt; 0,2 mm</v>
      </c>
      <c r="G988" s="694"/>
      <c r="H988" s="694"/>
      <c r="I988" s="694"/>
      <c r="J988" s="694"/>
      <c r="K988" s="694"/>
      <c r="L988" s="694"/>
      <c r="M988" s="697" t="str">
        <f>Translations!$B$688</f>
        <v>Aluminium products</v>
      </c>
      <c r="N988" s="620"/>
      <c r="O988" s="428"/>
    </row>
    <row r="989" spans="1:15" ht="12.75" customHeight="1" x14ac:dyDescent="0.2">
      <c r="A989" s="92"/>
      <c r="B989" s="144"/>
      <c r="C989" s="144"/>
      <c r="D989" s="144"/>
      <c r="E989" s="693" t="s">
        <v>2584</v>
      </c>
      <c r="F989" s="693" t="str">
        <f>Translations!$B$1392</f>
        <v>Plates, sheets and strip, of aluminium alloys, of a thickness of &gt; 0,2 mm, square or rectangular, painted, varnished or coated with plastics (excl. beverage can body stock, end stock and tab stock, and Aluminium Composite Panel)</v>
      </c>
      <c r="G989" s="694"/>
      <c r="H989" s="694"/>
      <c r="I989" s="694"/>
      <c r="J989" s="694"/>
      <c r="K989" s="694"/>
      <c r="L989" s="694"/>
      <c r="M989" s="697" t="str">
        <f>Translations!$B$688</f>
        <v>Aluminium products</v>
      </c>
      <c r="N989" s="620"/>
      <c r="O989" s="428"/>
    </row>
    <row r="990" spans="1:15" ht="12.75" customHeight="1" x14ac:dyDescent="0.2">
      <c r="A990" s="92"/>
      <c r="B990" s="144"/>
      <c r="C990" s="144"/>
      <c r="D990" s="144"/>
      <c r="E990" s="693" t="s">
        <v>2587</v>
      </c>
      <c r="F990" s="693" t="str">
        <f>Translations!$B$1393</f>
        <v>Plates, sheets and strip, of aluminium alloys, of a thickness of &gt; 0,2 mm but &lt; 3 mm, square or rectangular (excl. painted, varnished or coated with plastics, expanded plates, sheets and strip, beverage can body stock, end stock and tab stock)</v>
      </c>
      <c r="G990" s="694"/>
      <c r="H990" s="694"/>
      <c r="I990" s="694"/>
      <c r="J990" s="694"/>
      <c r="K990" s="694"/>
      <c r="L990" s="694"/>
      <c r="M990" s="697" t="str">
        <f>Translations!$B$688</f>
        <v>Aluminium products</v>
      </c>
      <c r="N990" s="620"/>
      <c r="O990" s="428"/>
    </row>
    <row r="991" spans="1:15" ht="12.75" customHeight="1" x14ac:dyDescent="0.2">
      <c r="A991" s="92"/>
      <c r="B991" s="144"/>
      <c r="C991" s="144"/>
      <c r="D991" s="144"/>
      <c r="E991" s="693" t="s">
        <v>2590</v>
      </c>
      <c r="F991" s="693" t="str">
        <f>Translations!$B$1394</f>
        <v>Plates, sheets and strip, of aluminium alloys, of a thickness of &gt;= 3 mm but &lt; 6 mm, square or rectangular (excl. such products painted, varnished or coated with plastics)</v>
      </c>
      <c r="G991" s="694"/>
      <c r="H991" s="694"/>
      <c r="I991" s="694"/>
      <c r="J991" s="694"/>
      <c r="K991" s="694"/>
      <c r="L991" s="694"/>
      <c r="M991" s="697" t="str">
        <f>Translations!$B$688</f>
        <v>Aluminium products</v>
      </c>
      <c r="N991" s="620"/>
      <c r="O991" s="428"/>
    </row>
    <row r="992" spans="1:15" ht="12.75" customHeight="1" x14ac:dyDescent="0.2">
      <c r="A992" s="92"/>
      <c r="B992" s="144"/>
      <c r="C992" s="144"/>
      <c r="D992" s="144"/>
      <c r="E992" s="693" t="s">
        <v>2593</v>
      </c>
      <c r="F992" s="693" t="str">
        <f>Translations!$B$1395</f>
        <v>Plates, sheets and strip, of aluminium alloys, of a thickness of &gt;= 6 mm, square or rectangular (excl. such products painted, varnished or coated with plastics)</v>
      </c>
      <c r="G992" s="694"/>
      <c r="H992" s="694"/>
      <c r="I992" s="694"/>
      <c r="J992" s="694"/>
      <c r="K992" s="694"/>
      <c r="L992" s="694"/>
      <c r="M992" s="697" t="str">
        <f>Translations!$B$688</f>
        <v>Aluminium products</v>
      </c>
      <c r="N992" s="620"/>
      <c r="O992" s="428"/>
    </row>
    <row r="993" spans="1:15" ht="12.75" customHeight="1" x14ac:dyDescent="0.2">
      <c r="A993" s="92"/>
      <c r="B993" s="144"/>
      <c r="C993" s="144"/>
      <c r="D993" s="144"/>
      <c r="E993" s="693" t="s">
        <v>2596</v>
      </c>
      <c r="F993" s="693" t="str">
        <f>Translations!$B$1396</f>
        <v>Plates, sheets and strip, of non-alloy aluminium, of a thickness of &gt; 0,2 mm (other than square or rectangular)</v>
      </c>
      <c r="G993" s="694"/>
      <c r="H993" s="694"/>
      <c r="I993" s="694"/>
      <c r="J993" s="694"/>
      <c r="K993" s="694"/>
      <c r="L993" s="694"/>
      <c r="M993" s="697" t="str">
        <f>Translations!$B$688</f>
        <v>Aluminium products</v>
      </c>
      <c r="N993" s="620"/>
      <c r="O993" s="428"/>
    </row>
    <row r="994" spans="1:15" ht="12.75" customHeight="1" x14ac:dyDescent="0.2">
      <c r="A994" s="92"/>
      <c r="B994" s="144"/>
      <c r="C994" s="144"/>
      <c r="D994" s="144"/>
      <c r="E994" s="693" t="s">
        <v>2599</v>
      </c>
      <c r="F994" s="693" t="str">
        <f>Translations!$B$1397</f>
        <v>Plates, sheets and strip, of aluminium alloys, of a thickness of &gt; 0,2 mm (other than square or rectangular)</v>
      </c>
      <c r="G994" s="694"/>
      <c r="H994" s="694"/>
      <c r="I994" s="694"/>
      <c r="J994" s="694"/>
      <c r="K994" s="694"/>
      <c r="L994" s="694"/>
      <c r="M994" s="697" t="str">
        <f>Translations!$B$688</f>
        <v>Aluminium products</v>
      </c>
      <c r="N994" s="620"/>
      <c r="O994" s="428"/>
    </row>
    <row r="995" spans="1:15" ht="12.75" customHeight="1" x14ac:dyDescent="0.2">
      <c r="A995" s="92"/>
      <c r="B995" s="144"/>
      <c r="C995" s="144"/>
      <c r="D995" s="144"/>
      <c r="E995" s="693" t="s">
        <v>2601</v>
      </c>
      <c r="F995" s="693" t="str">
        <f>Translations!$B$1398</f>
        <v>Aluminium foil, "whether or not printed or backed with paper, paperboard, plastics or similar backing materials", of a thickness "excl. any backing" of &lt;= 0,2 mm (excl. stamping foils of heading 3212, christmas tree decorating material)</v>
      </c>
      <c r="G995" s="694"/>
      <c r="H995" s="694"/>
      <c r="I995" s="694"/>
      <c r="J995" s="694"/>
      <c r="K995" s="694"/>
      <c r="L995" s="694"/>
      <c r="M995" s="697" t="str">
        <f>Translations!$B$688</f>
        <v>Aluminium products</v>
      </c>
      <c r="N995" s="620"/>
      <c r="O995" s="428"/>
    </row>
    <row r="996" spans="1:15" ht="12.75" customHeight="1" x14ac:dyDescent="0.2">
      <c r="A996" s="92"/>
      <c r="B996" s="144"/>
      <c r="C996" s="144"/>
      <c r="D996" s="144"/>
      <c r="E996" s="693" t="s">
        <v>2603</v>
      </c>
      <c r="F996" s="693" t="str">
        <f>Translations!$B$1399</f>
        <v>Aluminium foil, not backed, rolled but not further worked, of a thickness of &lt;= 0,2 mm (excl. stamping foils of heading 3212, and foil made up as christmas tree decorating material)</v>
      </c>
      <c r="G996" s="694"/>
      <c r="H996" s="694"/>
      <c r="I996" s="694"/>
      <c r="J996" s="694"/>
      <c r="K996" s="694"/>
      <c r="L996" s="694"/>
      <c r="M996" s="697" t="str">
        <f>Translations!$B$688</f>
        <v>Aluminium products</v>
      </c>
      <c r="N996" s="620"/>
      <c r="O996" s="428"/>
    </row>
    <row r="997" spans="1:15" ht="12.75" customHeight="1" x14ac:dyDescent="0.2">
      <c r="A997" s="92"/>
      <c r="B997" s="144"/>
      <c r="C997" s="144"/>
      <c r="D997" s="144"/>
      <c r="E997" s="693" t="s">
        <v>2606</v>
      </c>
      <c r="F997" s="693" t="str">
        <f>Translations!$B$1400</f>
        <v>Aluminium foil, not backed, rolled but not further worked, of a thickness of &lt; 0,021 mm, in rolls of a weight of &lt;= 10 kg (excl. stamping foils of heading 3212, and foil made up as christmas tree decorating material)</v>
      </c>
      <c r="G997" s="694"/>
      <c r="H997" s="694"/>
      <c r="I997" s="694"/>
      <c r="J997" s="694"/>
      <c r="K997" s="694"/>
      <c r="L997" s="694"/>
      <c r="M997" s="697" t="str">
        <f>Translations!$B$688</f>
        <v>Aluminium products</v>
      </c>
      <c r="N997" s="620"/>
      <c r="O997" s="428"/>
    </row>
    <row r="998" spans="1:15" ht="12.75" customHeight="1" x14ac:dyDescent="0.2">
      <c r="A998" s="92"/>
      <c r="B998" s="144"/>
      <c r="C998" s="144"/>
      <c r="D998" s="144"/>
      <c r="E998" s="693" t="s">
        <v>2609</v>
      </c>
      <c r="F998" s="693" t="str">
        <f>Translations!$B$1401</f>
        <v>Aluminium foil, not backed, rolled but not further worked, of a thickness of &lt; 0,021 mm (excl. stamping foils of heading 3212, and foil made up as christmas tree decorating material and in rolls of a weight &lt;= 10 kg)</v>
      </c>
      <c r="G998" s="694"/>
      <c r="H998" s="694"/>
      <c r="I998" s="694"/>
      <c r="J998" s="694"/>
      <c r="K998" s="694"/>
      <c r="L998" s="694"/>
      <c r="M998" s="697" t="str">
        <f>Translations!$B$688</f>
        <v>Aluminium products</v>
      </c>
      <c r="N998" s="620"/>
      <c r="O998" s="428"/>
    </row>
    <row r="999" spans="1:15" ht="12.75" customHeight="1" x14ac:dyDescent="0.2">
      <c r="A999" s="92"/>
      <c r="B999" s="144"/>
      <c r="C999" s="144"/>
      <c r="D999" s="144"/>
      <c r="E999" s="693" t="s">
        <v>2612</v>
      </c>
      <c r="F999" s="693" t="str">
        <f>Translations!$B$1402</f>
        <v>Aluminium foil, not backed, rolled but not further worked, of a thickness of &gt;= 0,021 mm but &lt;= 2 mm (excl. stamping foils of heading 3212, and foil made up as christmas tree decorating material)</v>
      </c>
      <c r="G999" s="694"/>
      <c r="H999" s="694"/>
      <c r="I999" s="694"/>
      <c r="J999" s="694"/>
      <c r="K999" s="694"/>
      <c r="L999" s="694"/>
      <c r="M999" s="697" t="str">
        <f>Translations!$B$688</f>
        <v>Aluminium products</v>
      </c>
      <c r="N999" s="620"/>
      <c r="O999" s="428"/>
    </row>
    <row r="1000" spans="1:15" ht="12.75" customHeight="1" x14ac:dyDescent="0.2">
      <c r="A1000" s="92"/>
      <c r="B1000" s="144"/>
      <c r="C1000" s="144"/>
      <c r="D1000" s="144"/>
      <c r="E1000" s="693" t="s">
        <v>2614</v>
      </c>
      <c r="F1000" s="693" t="str">
        <f>Translations!$B$1403</f>
        <v>Aluminium foil, not backed, rolled and further worked, of a thickness of &lt;= 2 mm (excl. stamping foils of heading 3212, and foil made up as christmas tree decorating material)</v>
      </c>
      <c r="G1000" s="694"/>
      <c r="H1000" s="694"/>
      <c r="I1000" s="694"/>
      <c r="J1000" s="694"/>
      <c r="K1000" s="694"/>
      <c r="L1000" s="694"/>
      <c r="M1000" s="697" t="str">
        <f>Translations!$B$688</f>
        <v>Aluminium products</v>
      </c>
      <c r="N1000" s="620"/>
      <c r="O1000" s="428"/>
    </row>
    <row r="1001" spans="1:15" ht="12.75" customHeight="1" x14ac:dyDescent="0.2">
      <c r="A1001" s="92"/>
      <c r="B1001" s="144"/>
      <c r="C1001" s="144"/>
      <c r="D1001" s="144"/>
      <c r="E1001" s="693" t="s">
        <v>2617</v>
      </c>
      <c r="F1001" s="693" t="str">
        <f>Translations!$B$1404</f>
        <v>Aluminium foil, not backed, rolled and further worked, of a thickness of &lt; 0,021 mm (excl. stamping foils of heading 3212, and foil made up as christmas tree decorating material)</v>
      </c>
      <c r="G1001" s="694"/>
      <c r="H1001" s="694"/>
      <c r="I1001" s="694"/>
      <c r="J1001" s="694"/>
      <c r="K1001" s="694"/>
      <c r="L1001" s="694"/>
      <c r="M1001" s="697" t="str">
        <f>Translations!$B$688</f>
        <v>Aluminium products</v>
      </c>
      <c r="N1001" s="620"/>
      <c r="O1001" s="428"/>
    </row>
    <row r="1002" spans="1:15" ht="12.75" customHeight="1" x14ac:dyDescent="0.2">
      <c r="A1002" s="92"/>
      <c r="B1002" s="144"/>
      <c r="C1002" s="144"/>
      <c r="D1002" s="144"/>
      <c r="E1002" s="693" t="s">
        <v>2620</v>
      </c>
      <c r="F1002" s="693" t="str">
        <f>Translations!$B$1405</f>
        <v>Aluminium foil, not backed, rolled and further worked, of a thickness (excl. any backing) from 0,021 mm to 0,2 mm (excl. stamping foils of heading 3212, and foil made up as christmas tree decorating material)</v>
      </c>
      <c r="G1002" s="694"/>
      <c r="H1002" s="694"/>
      <c r="I1002" s="694"/>
      <c r="J1002" s="694"/>
      <c r="K1002" s="694"/>
      <c r="L1002" s="694"/>
      <c r="M1002" s="697" t="str">
        <f>Translations!$B$688</f>
        <v>Aluminium products</v>
      </c>
      <c r="N1002" s="620"/>
      <c r="O1002" s="428"/>
    </row>
    <row r="1003" spans="1:15" ht="12.75" customHeight="1" x14ac:dyDescent="0.2">
      <c r="A1003" s="92"/>
      <c r="B1003" s="144"/>
      <c r="C1003" s="144"/>
      <c r="D1003" s="144"/>
      <c r="E1003" s="693" t="s">
        <v>2622</v>
      </c>
      <c r="F1003" s="693" t="str">
        <f>Translations!$B$1406</f>
        <v>Aluminium foil, backed, of a thickness (excl. any backing) of &lt;= 0,2 mm (excl. stamping foils of heading 3212, and foil made up as christmas tree decorating material)</v>
      </c>
      <c r="G1003" s="694"/>
      <c r="H1003" s="694"/>
      <c r="I1003" s="694"/>
      <c r="J1003" s="694"/>
      <c r="K1003" s="694"/>
      <c r="L1003" s="694"/>
      <c r="M1003" s="697" t="str">
        <f>Translations!$B$688</f>
        <v>Aluminium products</v>
      </c>
      <c r="N1003" s="620"/>
      <c r="O1003" s="428"/>
    </row>
    <row r="1004" spans="1:15" ht="12.75" customHeight="1" x14ac:dyDescent="0.2">
      <c r="A1004" s="92"/>
      <c r="B1004" s="144"/>
      <c r="C1004" s="144"/>
      <c r="D1004" s="144"/>
      <c r="E1004" s="693" t="s">
        <v>2625</v>
      </c>
      <c r="F1004" s="693" t="str">
        <f>Translations!$B$1407</f>
        <v>Aluminium foil, backed, of a thickness (excl. any backing) of &lt; 0,021 mm (excl. stamping foils of heading 3212, and foil made up as christmas tree decorating material)</v>
      </c>
      <c r="G1004" s="694"/>
      <c r="H1004" s="694"/>
      <c r="I1004" s="694"/>
      <c r="J1004" s="694"/>
      <c r="K1004" s="694"/>
      <c r="L1004" s="694"/>
      <c r="M1004" s="697" t="str">
        <f>Translations!$B$688</f>
        <v>Aluminium products</v>
      </c>
      <c r="N1004" s="620"/>
      <c r="O1004" s="428"/>
    </row>
    <row r="1005" spans="1:15" ht="12.75" customHeight="1" x14ac:dyDescent="0.2">
      <c r="A1005" s="92"/>
      <c r="B1005" s="144"/>
      <c r="C1005" s="144"/>
      <c r="D1005" s="144"/>
      <c r="E1005" s="693" t="s">
        <v>2628</v>
      </c>
      <c r="F1005" s="693" t="str">
        <f>Translations!$B$1408</f>
        <v>Aluminium Composite Panel, of a thickness &lt;= 0,2 mm</v>
      </c>
      <c r="G1005" s="694"/>
      <c r="H1005" s="694"/>
      <c r="I1005" s="694"/>
      <c r="J1005" s="694"/>
      <c r="K1005" s="694"/>
      <c r="L1005" s="694"/>
      <c r="M1005" s="697" t="str">
        <f>Translations!$B$688</f>
        <v>Aluminium products</v>
      </c>
      <c r="N1005" s="620"/>
      <c r="O1005" s="428"/>
    </row>
    <row r="1006" spans="1:15" ht="12.75" customHeight="1" x14ac:dyDescent="0.2">
      <c r="A1006" s="92"/>
      <c r="B1006" s="144"/>
      <c r="C1006" s="144"/>
      <c r="D1006" s="144"/>
      <c r="E1006" s="693" t="s">
        <v>2631</v>
      </c>
      <c r="F1006" s="693" t="str">
        <f>Translations!$B$1409</f>
        <v>Aluminium foil, backed, of a thickness (excl. any backing) of &gt;= 0,021 mm but &lt;= 0,2 mm (excl. stamping foils of heading 3212, foil made up as christmas tree decorating material, and Aluminium Composite Panel)</v>
      </c>
      <c r="G1006" s="694"/>
      <c r="H1006" s="694"/>
      <c r="I1006" s="694"/>
      <c r="J1006" s="694"/>
      <c r="K1006" s="694"/>
      <c r="L1006" s="694"/>
      <c r="M1006" s="697" t="str">
        <f>Translations!$B$688</f>
        <v>Aluminium products</v>
      </c>
      <c r="N1006" s="620"/>
      <c r="O1006" s="428"/>
    </row>
    <row r="1007" spans="1:15" ht="12.75" customHeight="1" x14ac:dyDescent="0.2">
      <c r="A1007" s="92"/>
      <c r="B1007" s="144"/>
      <c r="C1007" s="144"/>
      <c r="D1007" s="144"/>
      <c r="E1007" s="693" t="s">
        <v>2633</v>
      </c>
      <c r="F1007" s="693" t="str">
        <f>Translations!$B$1410</f>
        <v>Aluminium tubes and pipes (excl. hollow profiles)</v>
      </c>
      <c r="G1007" s="694"/>
      <c r="H1007" s="694"/>
      <c r="I1007" s="694"/>
      <c r="J1007" s="694"/>
      <c r="K1007" s="694"/>
      <c r="L1007" s="694"/>
      <c r="M1007" s="697" t="str">
        <f>Translations!$B$688</f>
        <v>Aluminium products</v>
      </c>
      <c r="N1007" s="620"/>
      <c r="O1007" s="428"/>
    </row>
    <row r="1008" spans="1:15" ht="12.75" customHeight="1" x14ac:dyDescent="0.2">
      <c r="A1008" s="92"/>
      <c r="B1008" s="144"/>
      <c r="C1008" s="144"/>
      <c r="D1008" s="144"/>
      <c r="E1008" s="693" t="s">
        <v>2636</v>
      </c>
      <c r="F1008" s="693" t="str">
        <f>Translations!$B$1411</f>
        <v>Tubes and pipes of non-alloy aluminium (excl. hollow profiles)</v>
      </c>
      <c r="G1008" s="694"/>
      <c r="H1008" s="694"/>
      <c r="I1008" s="694"/>
      <c r="J1008" s="694"/>
      <c r="K1008" s="694"/>
      <c r="L1008" s="694"/>
      <c r="M1008" s="697" t="str">
        <f>Translations!$B$688</f>
        <v>Aluminium products</v>
      </c>
      <c r="N1008" s="620"/>
      <c r="O1008" s="428"/>
    </row>
    <row r="1009" spans="1:15" ht="12.75" customHeight="1" x14ac:dyDescent="0.2">
      <c r="A1009" s="92"/>
      <c r="B1009" s="144"/>
      <c r="C1009" s="144"/>
      <c r="D1009" s="144"/>
      <c r="E1009" s="693" t="s">
        <v>2638</v>
      </c>
      <c r="F1009" s="693" t="str">
        <f>Translations!$B$1412</f>
        <v>Tubes and pipes of aluminium alloys (excl. hollow profiles)</v>
      </c>
      <c r="G1009" s="694"/>
      <c r="H1009" s="694"/>
      <c r="I1009" s="694"/>
      <c r="J1009" s="694"/>
      <c r="K1009" s="694"/>
      <c r="L1009" s="694"/>
      <c r="M1009" s="697" t="str">
        <f>Translations!$B$688</f>
        <v>Aluminium products</v>
      </c>
      <c r="N1009" s="620"/>
      <c r="O1009" s="428"/>
    </row>
    <row r="1010" spans="1:15" ht="12.75" customHeight="1" x14ac:dyDescent="0.2">
      <c r="A1010" s="92"/>
      <c r="B1010" s="144"/>
      <c r="C1010" s="144"/>
      <c r="D1010" s="144"/>
      <c r="E1010" s="693" t="s">
        <v>2641</v>
      </c>
      <c r="F1010" s="693" t="str">
        <f>Translations!$B$1413</f>
        <v>Tubes and pipes of aluminium alloys, welded (excl. hollow profiles)</v>
      </c>
      <c r="G1010" s="694"/>
      <c r="H1010" s="694"/>
      <c r="I1010" s="694"/>
      <c r="J1010" s="694"/>
      <c r="K1010" s="694"/>
      <c r="L1010" s="694"/>
      <c r="M1010" s="697" t="str">
        <f>Translations!$B$688</f>
        <v>Aluminium products</v>
      </c>
      <c r="N1010" s="620"/>
      <c r="O1010" s="428"/>
    </row>
    <row r="1011" spans="1:15" ht="12.75" customHeight="1" x14ac:dyDescent="0.2">
      <c r="A1011" s="92"/>
      <c r="B1011" s="144"/>
      <c r="C1011" s="144"/>
      <c r="D1011" s="144"/>
      <c r="E1011" s="693" t="s">
        <v>2644</v>
      </c>
      <c r="F1011" s="693" t="str">
        <f>Translations!$B$1414</f>
        <v>Tubes and pipes of aluminium alloys, not further worked than extruded (excl. hollow profiles)</v>
      </c>
      <c r="G1011" s="694"/>
      <c r="H1011" s="694"/>
      <c r="I1011" s="694"/>
      <c r="J1011" s="694"/>
      <c r="K1011" s="694"/>
      <c r="L1011" s="694"/>
      <c r="M1011" s="697" t="str">
        <f>Translations!$B$688</f>
        <v>Aluminium products</v>
      </c>
      <c r="N1011" s="620"/>
      <c r="O1011" s="428"/>
    </row>
    <row r="1012" spans="1:15" ht="12.75" customHeight="1" x14ac:dyDescent="0.2">
      <c r="A1012" s="92"/>
      <c r="B1012" s="144"/>
      <c r="C1012" s="144"/>
      <c r="D1012" s="144"/>
      <c r="E1012" s="693" t="s">
        <v>2647</v>
      </c>
      <c r="F1012" s="693" t="str">
        <f>Translations!$B$1415</f>
        <v>Tubes and pipes of aluminium alloys (excl. such products welded or not further worked than extruded, and hollow profiles)</v>
      </c>
      <c r="G1012" s="694"/>
      <c r="H1012" s="694"/>
      <c r="I1012" s="694"/>
      <c r="J1012" s="694"/>
      <c r="K1012" s="694"/>
      <c r="L1012" s="694"/>
      <c r="M1012" s="697" t="str">
        <f>Translations!$B$688</f>
        <v>Aluminium products</v>
      </c>
      <c r="N1012" s="620"/>
      <c r="O1012" s="428"/>
    </row>
    <row r="1013" spans="1:15" ht="12.75" customHeight="1" x14ac:dyDescent="0.2">
      <c r="A1013" s="92"/>
      <c r="B1013" s="144"/>
      <c r="C1013" s="144"/>
      <c r="D1013" s="144"/>
      <c r="E1013" s="693" t="s">
        <v>2650</v>
      </c>
      <c r="F1013" s="693" t="str">
        <f>Translations!$B$1416</f>
        <v>Aluminium tube or pipe fittings "e.g., couplings, elbows, sleeves"</v>
      </c>
      <c r="G1013" s="694"/>
      <c r="H1013" s="694"/>
      <c r="I1013" s="694"/>
      <c r="J1013" s="694"/>
      <c r="K1013" s="694"/>
      <c r="L1013" s="694"/>
      <c r="M1013" s="697" t="str">
        <f>Translations!$B$688</f>
        <v>Aluminium products</v>
      </c>
      <c r="N1013" s="620"/>
      <c r="O1013" s="428"/>
    </row>
    <row r="1014" spans="1:15" ht="12.75" customHeight="1" x14ac:dyDescent="0.2">
      <c r="A1014" s="92"/>
      <c r="B1014" s="144"/>
      <c r="C1014" s="144"/>
      <c r="D1014" s="144"/>
      <c r="E1014" s="693" t="s">
        <v>2652</v>
      </c>
      <c r="F1014" s="693" t="str">
        <f>Translations!$B$1417</f>
        <v>Structures and parts of structures "e.g., bridges and bridge-sections, towers, lattice masts, pillars and columns, roofs, roofing frameworks, doors and windows and their frames and thresholds for doors, shutters, balustrades", of aluminium (excl. prefabricated buildings of heading 9406); plates, rods, profiles, tubes and the like, prepared for use in structures, of aluminium</v>
      </c>
      <c r="G1014" s="694"/>
      <c r="H1014" s="694"/>
      <c r="I1014" s="694"/>
      <c r="J1014" s="694"/>
      <c r="K1014" s="694"/>
      <c r="L1014" s="694"/>
      <c r="M1014" s="697" t="str">
        <f>Translations!$B$688</f>
        <v>Aluminium products</v>
      </c>
      <c r="N1014" s="620"/>
      <c r="O1014" s="428"/>
    </row>
    <row r="1015" spans="1:15" ht="12.75" customHeight="1" x14ac:dyDescent="0.2">
      <c r="A1015" s="92"/>
      <c r="B1015" s="144"/>
      <c r="C1015" s="144"/>
      <c r="D1015" s="144"/>
      <c r="E1015" s="693" t="s">
        <v>2655</v>
      </c>
      <c r="F1015" s="693" t="str">
        <f>Translations!$B$1418</f>
        <v>Doors, windows and their frames and thresholds for door, of aluminium (excl. door furniture)</v>
      </c>
      <c r="G1015" s="694"/>
      <c r="H1015" s="694"/>
      <c r="I1015" s="694"/>
      <c r="J1015" s="694"/>
      <c r="K1015" s="694"/>
      <c r="L1015" s="694"/>
      <c r="M1015" s="697" t="str">
        <f>Translations!$B$688</f>
        <v>Aluminium products</v>
      </c>
      <c r="N1015" s="620"/>
      <c r="O1015" s="428"/>
    </row>
    <row r="1016" spans="1:15" ht="12.75" customHeight="1" x14ac:dyDescent="0.2">
      <c r="A1016" s="92"/>
      <c r="B1016" s="144"/>
      <c r="C1016" s="144"/>
      <c r="D1016" s="144"/>
      <c r="E1016" s="693" t="s">
        <v>2657</v>
      </c>
      <c r="F1016" s="693" t="str">
        <f>Translations!$B$1419</f>
        <v>Structures and parts of structures, of aluminium, n.e.s., and plates, rods, profiles, tubes and the like, prepared for use in structures, of aluminium, n.e.s. (excl. prefabricated buildings of heading 9406, doors and windows and their frames and thresholds for doors)</v>
      </c>
      <c r="G1016" s="694"/>
      <c r="H1016" s="694"/>
      <c r="I1016" s="694"/>
      <c r="J1016" s="694"/>
      <c r="K1016" s="694"/>
      <c r="L1016" s="694"/>
      <c r="M1016" s="697" t="str">
        <f>Translations!$B$688</f>
        <v>Aluminium products</v>
      </c>
      <c r="N1016" s="620"/>
      <c r="O1016" s="428"/>
    </row>
    <row r="1017" spans="1:15" ht="12.75" customHeight="1" x14ac:dyDescent="0.2">
      <c r="A1017" s="92"/>
      <c r="B1017" s="144"/>
      <c r="C1017" s="144"/>
      <c r="D1017" s="144"/>
      <c r="E1017" s="693" t="s">
        <v>2660</v>
      </c>
      <c r="F1017" s="693" t="str">
        <f>Translations!$B$1420</f>
        <v>Bridges and bridge-sections, towers and lattice masts, of aluminium</v>
      </c>
      <c r="G1017" s="694"/>
      <c r="H1017" s="694"/>
      <c r="I1017" s="694"/>
      <c r="J1017" s="694"/>
      <c r="K1017" s="694"/>
      <c r="L1017" s="694"/>
      <c r="M1017" s="697" t="str">
        <f>Translations!$B$688</f>
        <v>Aluminium products</v>
      </c>
      <c r="N1017" s="620"/>
      <c r="O1017" s="428"/>
    </row>
    <row r="1018" spans="1:15" ht="12.75" customHeight="1" x14ac:dyDescent="0.2">
      <c r="A1018" s="92"/>
      <c r="B1018" s="144"/>
      <c r="C1018" s="144"/>
      <c r="D1018" s="144"/>
      <c r="E1018" s="693" t="s">
        <v>2663</v>
      </c>
      <c r="F1018" s="693" t="str">
        <f>Translations!$B$1421</f>
        <v>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v>
      </c>
      <c r="G1018" s="694"/>
      <c r="H1018" s="694"/>
      <c r="I1018" s="694"/>
      <c r="J1018" s="694"/>
      <c r="K1018" s="694"/>
      <c r="L1018" s="694"/>
      <c r="M1018" s="697" t="str">
        <f>Translations!$B$688</f>
        <v>Aluminium products</v>
      </c>
      <c r="N1018" s="620"/>
      <c r="O1018" s="428"/>
    </row>
    <row r="1019" spans="1:15" ht="12.75" customHeight="1" x14ac:dyDescent="0.2">
      <c r="A1019" s="92"/>
      <c r="B1019" s="144"/>
      <c r="C1019" s="144"/>
      <c r="D1019" s="144"/>
      <c r="E1019" s="693" t="s">
        <v>2666</v>
      </c>
      <c r="F1019" s="693" t="str">
        <f>Translations!$B$1422</f>
        <v>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v>
      </c>
      <c r="G1019" s="694"/>
      <c r="H1019" s="694"/>
      <c r="I1019" s="694"/>
      <c r="J1019" s="694"/>
      <c r="K1019" s="694"/>
      <c r="L1019" s="694"/>
      <c r="M1019" s="697" t="str">
        <f>Translations!$B$688</f>
        <v>Aluminium products</v>
      </c>
      <c r="N1019" s="620"/>
      <c r="O1019" s="428"/>
    </row>
    <row r="1020" spans="1:15" ht="12.75" customHeight="1" x14ac:dyDescent="0.2">
      <c r="A1020" s="92"/>
      <c r="B1020" s="144"/>
      <c r="C1020" s="144"/>
      <c r="D1020" s="144"/>
      <c r="E1020" s="693" t="s">
        <v>2668</v>
      </c>
      <c r="F1020" s="693" t="str">
        <f>Translations!$B$1423</f>
        <v>Casks, drums, cans, boxes and similar containers, incl. rigid or collapsible tubular containers, of aluminium, for any material (other than compressed or liquefied gas), of a capacity of &lt;= 300 l, not fitted with mechanical or thermal equipment, whether or not lined or heat-insulated, n.e.s.</v>
      </c>
      <c r="G1020" s="694"/>
      <c r="H1020" s="694"/>
      <c r="I1020" s="694"/>
      <c r="J1020" s="694"/>
      <c r="K1020" s="694"/>
      <c r="L1020" s="694"/>
      <c r="M1020" s="697" t="str">
        <f>Translations!$B$688</f>
        <v>Aluminium products</v>
      </c>
      <c r="N1020" s="620"/>
      <c r="O1020" s="428"/>
    </row>
    <row r="1021" spans="1:15" ht="12.75" customHeight="1" x14ac:dyDescent="0.2">
      <c r="A1021" s="92"/>
      <c r="B1021" s="144"/>
      <c r="C1021" s="144"/>
      <c r="D1021" s="144"/>
      <c r="E1021" s="693" t="s">
        <v>2671</v>
      </c>
      <c r="F1021" s="693" t="str">
        <f>Translations!$B$1424</f>
        <v>Collapsible tubular containers, of aluminium</v>
      </c>
      <c r="G1021" s="694"/>
      <c r="H1021" s="694"/>
      <c r="I1021" s="694"/>
      <c r="J1021" s="694"/>
      <c r="K1021" s="694"/>
      <c r="L1021" s="694"/>
      <c r="M1021" s="697" t="str">
        <f>Translations!$B$688</f>
        <v>Aluminium products</v>
      </c>
      <c r="N1021" s="620"/>
      <c r="O1021" s="428"/>
    </row>
    <row r="1022" spans="1:15" ht="12.75" customHeight="1" x14ac:dyDescent="0.2">
      <c r="A1022" s="92"/>
      <c r="B1022" s="144"/>
      <c r="C1022" s="144"/>
      <c r="D1022" s="144"/>
      <c r="E1022" s="693" t="s">
        <v>2673</v>
      </c>
      <c r="F1022" s="693" t="str">
        <f>Translations!$B$1425</f>
        <v>Casks, drums, cans, boxes and similar containers, incl. rigid tubular containers, of aluminium, for any material (other than compressed or liquefied gas), of a capacity of &lt;= 300 l, n.e.s.</v>
      </c>
      <c r="G1022" s="694"/>
      <c r="H1022" s="694"/>
      <c r="I1022" s="694"/>
      <c r="J1022" s="694"/>
      <c r="K1022" s="694"/>
      <c r="L1022" s="694"/>
      <c r="M1022" s="697" t="str">
        <f>Translations!$B$688</f>
        <v>Aluminium products</v>
      </c>
      <c r="N1022" s="620"/>
      <c r="O1022" s="428"/>
    </row>
    <row r="1023" spans="1:15" ht="12.75" customHeight="1" x14ac:dyDescent="0.2">
      <c r="A1023" s="92"/>
      <c r="B1023" s="144"/>
      <c r="C1023" s="144"/>
      <c r="D1023" s="144"/>
      <c r="E1023" s="693" t="s">
        <v>2676</v>
      </c>
      <c r="F1023" s="693" t="str">
        <f>Translations!$B$1426</f>
        <v>Containers of a kind used for aerosols, of aluminium</v>
      </c>
      <c r="G1023" s="694"/>
      <c r="H1023" s="694"/>
      <c r="I1023" s="694"/>
      <c r="J1023" s="694"/>
      <c r="K1023" s="694"/>
      <c r="L1023" s="694"/>
      <c r="M1023" s="697" t="str">
        <f>Translations!$B$688</f>
        <v>Aluminium products</v>
      </c>
      <c r="N1023" s="620"/>
      <c r="O1023" s="428"/>
    </row>
    <row r="1024" spans="1:15" ht="12.75" customHeight="1" x14ac:dyDescent="0.2">
      <c r="A1024" s="92"/>
      <c r="B1024" s="144"/>
      <c r="C1024" s="144"/>
      <c r="D1024" s="144"/>
      <c r="E1024" s="693" t="s">
        <v>2679</v>
      </c>
      <c r="F1024" s="693" t="str">
        <f>Translations!$B$1427</f>
        <v>Casks, drums, cans, boxes and similar containers, of aluminium, manufactured from foil of a thickness &lt;= 0,2 mm</v>
      </c>
      <c r="G1024" s="694"/>
      <c r="H1024" s="694"/>
      <c r="I1024" s="694"/>
      <c r="J1024" s="694"/>
      <c r="K1024" s="694"/>
      <c r="L1024" s="694"/>
      <c r="M1024" s="697" t="str">
        <f>Translations!$B$688</f>
        <v>Aluminium products</v>
      </c>
      <c r="N1024" s="620"/>
      <c r="O1024" s="428"/>
    </row>
    <row r="1025" spans="1:15" ht="12.75" customHeight="1" x14ac:dyDescent="0.2">
      <c r="A1025" s="92"/>
      <c r="B1025" s="144"/>
      <c r="C1025" s="144"/>
      <c r="D1025" s="144"/>
      <c r="E1025" s="693" t="s">
        <v>2682</v>
      </c>
      <c r="F1025" s="693" t="str">
        <f>Translations!$B$1428</f>
        <v>Casks, drums, cans, boxes and similar containers &lt;= 300 l, of aluminium, for any material (other than compressed or liquefied gas), n.e.s. (other than collapsible tubular containers, containers for aerosols and containers manufactured from foil of a thickness &lt;= 0,2 mm</v>
      </c>
      <c r="G1025" s="694"/>
      <c r="H1025" s="694"/>
      <c r="I1025" s="694"/>
      <c r="J1025" s="694"/>
      <c r="K1025" s="694"/>
      <c r="L1025" s="694"/>
      <c r="M1025" s="697" t="str">
        <f>Translations!$B$688</f>
        <v>Aluminium products</v>
      </c>
      <c r="N1025" s="620"/>
      <c r="O1025" s="428"/>
    </row>
    <row r="1026" spans="1:15" ht="12.75" customHeight="1" x14ac:dyDescent="0.2">
      <c r="A1026" s="92"/>
      <c r="B1026" s="144"/>
      <c r="C1026" s="144"/>
      <c r="D1026" s="144"/>
      <c r="E1026" s="693" t="s">
        <v>2685</v>
      </c>
      <c r="F1026" s="693" t="str">
        <f>Translations!$B$1429</f>
        <v>Aluminium containers for compressed or liquefied gas</v>
      </c>
      <c r="G1026" s="694"/>
      <c r="H1026" s="694"/>
      <c r="I1026" s="694"/>
      <c r="J1026" s="694"/>
      <c r="K1026" s="694"/>
      <c r="L1026" s="694"/>
      <c r="M1026" s="697" t="str">
        <f>Translations!$B$688</f>
        <v>Aluminium products</v>
      </c>
      <c r="N1026" s="620"/>
      <c r="O1026" s="428"/>
    </row>
    <row r="1027" spans="1:15" ht="12.75" customHeight="1" x14ac:dyDescent="0.2">
      <c r="A1027" s="92"/>
      <c r="B1027" s="144"/>
      <c r="C1027" s="144"/>
      <c r="D1027" s="144"/>
      <c r="E1027" s="693" t="s">
        <v>2687</v>
      </c>
      <c r="F1027" s="693" t="str">
        <f>Translations!$B$1430</f>
        <v>Stranded wire, cables, plaited bands and the like, of aluminium (excl. such products electrically insulated)</v>
      </c>
      <c r="G1027" s="694"/>
      <c r="H1027" s="694"/>
      <c r="I1027" s="694"/>
      <c r="J1027" s="694"/>
      <c r="K1027" s="694"/>
      <c r="L1027" s="694"/>
      <c r="M1027" s="697" t="str">
        <f>Translations!$B$688</f>
        <v>Aluminium products</v>
      </c>
      <c r="N1027" s="620"/>
      <c r="O1027" s="428"/>
    </row>
    <row r="1028" spans="1:15" ht="12.75" customHeight="1" x14ac:dyDescent="0.2">
      <c r="A1028" s="92"/>
      <c r="B1028" s="144"/>
      <c r="C1028" s="144"/>
      <c r="D1028" s="144"/>
      <c r="E1028" s="693" t="s">
        <v>2690</v>
      </c>
      <c r="F1028" s="693" t="str">
        <f>Translations!$B$1431</f>
        <v>Stranded wire, cables, plaited bands and the like, of aluminium, with steel core (excl. such products electrically insulated)</v>
      </c>
      <c r="G1028" s="694"/>
      <c r="H1028" s="694"/>
      <c r="I1028" s="694"/>
      <c r="J1028" s="694"/>
      <c r="K1028" s="694"/>
      <c r="L1028" s="694"/>
      <c r="M1028" s="697" t="str">
        <f>Translations!$B$688</f>
        <v>Aluminium products</v>
      </c>
      <c r="N1028" s="620"/>
      <c r="O1028" s="428"/>
    </row>
    <row r="1029" spans="1:15" ht="12.75" customHeight="1" x14ac:dyDescent="0.2">
      <c r="A1029" s="92"/>
      <c r="B1029" s="144"/>
      <c r="C1029" s="144"/>
      <c r="D1029" s="144"/>
      <c r="E1029" s="693" t="s">
        <v>2693</v>
      </c>
      <c r="F1029" s="693" t="str">
        <f>Translations!$B$1432</f>
        <v>Stranded wires, cables, ropes and similar articles, of aluminium (other than with steel core and electrically insulated products)</v>
      </c>
      <c r="G1029" s="694"/>
      <c r="H1029" s="694"/>
      <c r="I1029" s="694"/>
      <c r="J1029" s="694"/>
      <c r="K1029" s="694"/>
      <c r="L1029" s="694"/>
      <c r="M1029" s="697" t="str">
        <f>Translations!$B$688</f>
        <v>Aluminium products</v>
      </c>
      <c r="N1029" s="620"/>
      <c r="O1029" s="428"/>
    </row>
    <row r="1030" spans="1:15" ht="12.75" customHeight="1" x14ac:dyDescent="0.2">
      <c r="A1030" s="92"/>
      <c r="B1030" s="144"/>
      <c r="C1030" s="144"/>
      <c r="D1030" s="144"/>
      <c r="E1030" s="693" t="s">
        <v>2695</v>
      </c>
      <c r="F1030" s="693" t="str">
        <f>Translations!$B$1433</f>
        <v>Articles of aluminium, n.e.s.</v>
      </c>
      <c r="G1030" s="694"/>
      <c r="H1030" s="694"/>
      <c r="I1030" s="694"/>
      <c r="J1030" s="694"/>
      <c r="K1030" s="694"/>
      <c r="L1030" s="694"/>
      <c r="M1030" s="697" t="str">
        <f>Translations!$B$688</f>
        <v>Aluminium products</v>
      </c>
      <c r="N1030" s="620"/>
      <c r="O1030" s="428"/>
    </row>
    <row r="1031" spans="1:15" ht="12.75" customHeight="1" x14ac:dyDescent="0.2">
      <c r="A1031" s="92"/>
      <c r="B1031" s="144"/>
      <c r="C1031" s="144"/>
      <c r="D1031" s="144"/>
      <c r="E1031" s="693" t="s">
        <v>2698</v>
      </c>
      <c r="F1031" s="693" t="str">
        <f>Translations!$B$1434</f>
        <v>Nails, tacks, staples, screws, bolts, nuts, screw hooks, rivets, cotters, cotter pins, washers and similar articles, of aluminium (excl. staples in strips, plugs, bungs and the like, threaded)</v>
      </c>
      <c r="G1031" s="694"/>
      <c r="H1031" s="694"/>
      <c r="I1031" s="694"/>
      <c r="J1031" s="694"/>
      <c r="K1031" s="694"/>
      <c r="L1031" s="694"/>
      <c r="M1031" s="697" t="str">
        <f>Translations!$B$688</f>
        <v>Aluminium products</v>
      </c>
      <c r="N1031" s="620"/>
      <c r="O1031" s="428"/>
    </row>
    <row r="1032" spans="1:15" ht="12.75" customHeight="1" x14ac:dyDescent="0.2">
      <c r="A1032" s="92"/>
      <c r="B1032" s="144"/>
      <c r="C1032" s="144"/>
      <c r="D1032" s="144"/>
      <c r="E1032" s="693" t="s">
        <v>2701</v>
      </c>
      <c r="F1032" s="693" t="str">
        <f>Translations!$B$1435</f>
        <v>Cloth, grill, netting and fencing, of aluminium wire (excl. cloth of metal fibres for clothing, lining and similar uses, and cloth, grill and netting made into hand sieves or machine parts)</v>
      </c>
      <c r="G1032" s="694"/>
      <c r="H1032" s="694"/>
      <c r="I1032" s="694"/>
      <c r="J1032" s="694"/>
      <c r="K1032" s="694"/>
      <c r="L1032" s="694"/>
      <c r="M1032" s="697" t="str">
        <f>Translations!$B$688</f>
        <v>Aluminium products</v>
      </c>
      <c r="N1032" s="620"/>
      <c r="O1032" s="428"/>
    </row>
    <row r="1033" spans="1:15" ht="12.75" customHeight="1" x14ac:dyDescent="0.2">
      <c r="A1033" s="92"/>
      <c r="B1033" s="144"/>
      <c r="C1033" s="144"/>
      <c r="D1033" s="144"/>
      <c r="E1033" s="693" t="s">
        <v>2703</v>
      </c>
      <c r="F1033" s="693" t="str">
        <f>Translations!$B$1433</f>
        <v>Articles of aluminium, n.e.s.</v>
      </c>
      <c r="G1033" s="694"/>
      <c r="H1033" s="694"/>
      <c r="I1033" s="694"/>
      <c r="J1033" s="694"/>
      <c r="K1033" s="694"/>
      <c r="L1033" s="694"/>
      <c r="M1033" s="697" t="str">
        <f>Translations!$B$688</f>
        <v>Aluminium products</v>
      </c>
      <c r="N1033" s="620"/>
      <c r="O1033" s="428"/>
    </row>
    <row r="1034" spans="1:15" ht="12.75" customHeight="1" x14ac:dyDescent="0.2">
      <c r="A1034" s="92"/>
      <c r="B1034" s="144"/>
      <c r="C1034" s="144"/>
      <c r="D1034" s="144"/>
      <c r="E1034" s="693" t="s">
        <v>2705</v>
      </c>
      <c r="F1034" s="693" t="str">
        <f>Translations!$B$1436</f>
        <v>Articles of aluminium, cast, n.e.s.</v>
      </c>
      <c r="G1034" s="694"/>
      <c r="H1034" s="694"/>
      <c r="I1034" s="694"/>
      <c r="J1034" s="694"/>
      <c r="K1034" s="694"/>
      <c r="L1034" s="694"/>
      <c r="M1034" s="697" t="str">
        <f>Translations!$B$688</f>
        <v>Aluminium products</v>
      </c>
      <c r="N1034" s="620"/>
      <c r="O1034" s="428"/>
    </row>
    <row r="1035" spans="1:15" ht="12.75" customHeight="1" x14ac:dyDescent="0.2">
      <c r="A1035" s="92"/>
      <c r="B1035" s="144"/>
      <c r="C1035" s="144"/>
      <c r="D1035" s="144"/>
      <c r="E1035" s="695" t="s">
        <v>2708</v>
      </c>
      <c r="F1035" s="695" t="str">
        <f>Translations!$B$1437</f>
        <v>Articles of aluminium, uncast, n.e.s.</v>
      </c>
      <c r="G1035" s="696"/>
      <c r="H1035" s="696"/>
      <c r="I1035" s="696"/>
      <c r="J1035" s="696"/>
      <c r="K1035" s="696"/>
      <c r="L1035" s="696"/>
      <c r="M1035" s="698" t="str">
        <f>Translations!$B$688</f>
        <v>Aluminium products</v>
      </c>
      <c r="N1035" s="136"/>
      <c r="O1035" s="428"/>
    </row>
    <row r="1036" spans="1:15" ht="12.75" customHeight="1" thickBot="1" x14ac:dyDescent="0.4">
      <c r="A1036" s="918"/>
      <c r="B1036" s="747"/>
      <c r="C1036" s="747"/>
      <c r="D1036" s="747"/>
      <c r="E1036" s="747"/>
      <c r="F1036" s="747"/>
      <c r="G1036" s="747"/>
      <c r="H1036" s="747"/>
      <c r="I1036" s="747"/>
      <c r="J1036" s="747"/>
      <c r="K1036" s="747"/>
      <c r="L1036" s="747"/>
      <c r="M1036" s="747"/>
      <c r="N1036" s="747"/>
      <c r="O1036" s="748"/>
    </row>
    <row r="1037" spans="1:15" ht="12.75" customHeight="1" x14ac:dyDescent="0.35"/>
    <row r="1038" spans="1:15" ht="12.75" customHeight="1" x14ac:dyDescent="0.35"/>
    <row r="1039" spans="1:15" ht="12.75" customHeight="1" x14ac:dyDescent="0.35"/>
    <row r="1040" spans="1:15" ht="12.75" customHeight="1" x14ac:dyDescent="0.35"/>
    <row r="1041" spans="1:17" ht="12.75" hidden="1" customHeight="1" x14ac:dyDescent="0.35">
      <c r="A1041" s="91" t="s">
        <v>3</v>
      </c>
      <c r="B1041" s="91"/>
      <c r="C1041" s="91"/>
      <c r="D1041" s="91"/>
      <c r="E1041" s="91"/>
      <c r="F1041" s="91"/>
      <c r="G1041" s="91"/>
      <c r="H1041" s="91"/>
      <c r="I1041" s="91"/>
      <c r="J1041" s="91"/>
      <c r="K1041" s="91"/>
      <c r="L1041" s="91"/>
      <c r="M1041" s="91"/>
      <c r="N1041" s="91"/>
      <c r="O1041" s="91"/>
      <c r="P1041" s="92" t="s">
        <v>116</v>
      </c>
      <c r="Q1041" s="91"/>
    </row>
    <row r="1042" spans="1:17" ht="12.75" hidden="1" customHeight="1" x14ac:dyDescent="0.35">
      <c r="A1042" s="91" t="s">
        <v>3</v>
      </c>
      <c r="B1042" s="91"/>
      <c r="C1042" s="91"/>
      <c r="D1042" s="91"/>
      <c r="E1042" s="91"/>
      <c r="F1042" s="91"/>
      <c r="G1042" s="91"/>
      <c r="H1042" s="91"/>
      <c r="I1042" s="91"/>
      <c r="J1042" s="91"/>
      <c r="K1042" s="91"/>
      <c r="L1042" s="91"/>
      <c r="M1042" s="91"/>
      <c r="N1042" s="91"/>
      <c r="O1042" s="91"/>
      <c r="P1042" s="92"/>
      <c r="Q1042" s="91"/>
    </row>
    <row r="1043" spans="1:17" ht="12.75" hidden="1" customHeight="1" x14ac:dyDescent="0.35">
      <c r="A1043" s="91" t="s">
        <v>3</v>
      </c>
      <c r="B1043" s="91"/>
      <c r="C1043" s="91"/>
      <c r="D1043" s="91"/>
      <c r="E1043" s="91"/>
      <c r="F1043" s="91"/>
      <c r="G1043" s="91"/>
      <c r="H1043" s="91"/>
      <c r="I1043" s="91"/>
      <c r="J1043" s="91"/>
      <c r="K1043" s="91"/>
      <c r="L1043" s="91"/>
      <c r="M1043" s="91"/>
      <c r="N1043" s="91"/>
      <c r="O1043" s="91"/>
      <c r="P1043" s="92"/>
      <c r="Q1043" s="91"/>
    </row>
  </sheetData>
  <sheetProtection sheet="1" objects="1" scenarios="1" formatCells="0" formatColumns="0" formatRows="0"/>
  <mergeCells count="18">
    <mergeCell ref="M2:N2"/>
    <mergeCell ref="E3:F3"/>
    <mergeCell ref="G3:H3"/>
    <mergeCell ref="I3:J3"/>
    <mergeCell ref="K3:L3"/>
    <mergeCell ref="B2:D4"/>
    <mergeCell ref="E2:F2"/>
    <mergeCell ref="G2:H2"/>
    <mergeCell ref="I2:J2"/>
    <mergeCell ref="K2:L2"/>
    <mergeCell ref="E282:N282"/>
    <mergeCell ref="E283:N283"/>
    <mergeCell ref="M3:N3"/>
    <mergeCell ref="E4:F4"/>
    <mergeCell ref="G4:H4"/>
    <mergeCell ref="I4:J4"/>
    <mergeCell ref="K4:L4"/>
    <mergeCell ref="M4:N4"/>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AI125"/>
  <sheetViews>
    <sheetView zoomScaleNormal="100" workbookViewId="0">
      <pane ySplit="4" topLeftCell="A5" activePane="bottomLeft" state="frozen"/>
      <selection pane="bottomLeft" activeCell="B5" sqref="B5"/>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35" width="11.453125" style="91" hidden="1" customWidth="1"/>
    <col min="36" max="16384" width="11.453125" style="93"/>
  </cols>
  <sheetData>
    <row r="1" spans="1:35" s="91" customFormat="1" ht="14.15" hidden="1" customHeight="1" thickBot="1" x14ac:dyDescent="0.4">
      <c r="A1" s="91" t="s">
        <v>3</v>
      </c>
      <c r="P1" s="91" t="s">
        <v>3</v>
      </c>
      <c r="Q1" s="91" t="s">
        <v>3</v>
      </c>
      <c r="R1" s="91" t="s">
        <v>3</v>
      </c>
      <c r="S1" s="91" t="s">
        <v>3</v>
      </c>
      <c r="T1" s="91" t="s">
        <v>3</v>
      </c>
      <c r="U1" s="91" t="s">
        <v>3</v>
      </c>
      <c r="V1" s="91" t="s">
        <v>3</v>
      </c>
      <c r="W1" s="91" t="s">
        <v>3</v>
      </c>
      <c r="X1" s="91" t="s">
        <v>3</v>
      </c>
      <c r="Y1" s="91" t="s">
        <v>3</v>
      </c>
      <c r="Z1" s="91" t="s">
        <v>3</v>
      </c>
      <c r="AA1" s="91" t="s">
        <v>3</v>
      </c>
      <c r="AB1" s="91" t="s">
        <v>3</v>
      </c>
      <c r="AC1" s="91" t="s">
        <v>3</v>
      </c>
      <c r="AD1" s="91" t="s">
        <v>3</v>
      </c>
      <c r="AE1" s="91" t="s">
        <v>3</v>
      </c>
      <c r="AF1" s="91" t="s">
        <v>3</v>
      </c>
      <c r="AG1" s="91" t="s">
        <v>3</v>
      </c>
      <c r="AH1" s="91" t="s">
        <v>3</v>
      </c>
      <c r="AI1" s="91" t="s">
        <v>3</v>
      </c>
    </row>
    <row r="2" spans="1:35" ht="14.15" customHeight="1" thickBot="1" x14ac:dyDescent="0.4">
      <c r="A2" s="905"/>
      <c r="B2" s="1178" t="str">
        <f>Translations!$B$64</f>
        <v>InstData</v>
      </c>
      <c r="C2" s="1179"/>
      <c r="D2" s="1180"/>
      <c r="E2" s="1187" t="str">
        <f>Translations!$B$11</f>
        <v>Navigation Area:</v>
      </c>
      <c r="F2" s="1188"/>
      <c r="G2" s="1189" t="str">
        <f ca="1">HYPERLINK("#"&amp;ADDRESS(2,3,,,a_Contents!$U$2),a_Contents!$B$2)</f>
        <v>Table of contents</v>
      </c>
      <c r="H2" s="1190"/>
      <c r="I2" s="1189" t="str">
        <f ca="1">HYPERLINK("#"&amp;ADDRESS(2,3,,,G_FurtherGuidance!$U$2),G_FurtherGuidance!$B$2)</f>
        <v>Further Guidance</v>
      </c>
      <c r="J2" s="1190"/>
      <c r="K2" s="1189" t="str">
        <f ca="1">HYPERLINK("#"&amp;ADDRESS(2,3,,,Summary_Processes!$Y$2),Summary_Processes!$Y$2)</f>
        <v>Summary_Processes</v>
      </c>
      <c r="L2" s="1190"/>
      <c r="M2" s="1189" t="str">
        <f ca="1">HYPERLINK("#"&amp;ADDRESS(2,3,,,Summary_Products!$BF$2),Summary_Products!$BF$2)</f>
        <v>Summary_Products</v>
      </c>
      <c r="N2" s="1190"/>
      <c r="O2" s="906"/>
      <c r="P2" s="920"/>
      <c r="Q2" s="921"/>
      <c r="R2" s="922" t="s">
        <v>114</v>
      </c>
      <c r="S2" s="95" t="str">
        <f>ADDRESS(ROW($B$6),COLUMN($B$55)) &amp; ":" &amp; ADDRESS(MATCH("PRINT",$P:$P,0),COLUMN($O$55))</f>
        <v>$B$6:$O$123</v>
      </c>
      <c r="T2" s="922" t="s">
        <v>25</v>
      </c>
      <c r="U2" s="923" t="str">
        <f ca="1">IF(ISERROR(CELL("filename",V2)),"A_InstData",MID(CELL("filename",V2),FIND("]",CELL("filename",V2))+1,1024))</f>
        <v>A_InstData</v>
      </c>
      <c r="V2" s="922"/>
      <c r="W2" s="922"/>
      <c r="X2" s="922"/>
      <c r="Y2" s="922"/>
      <c r="Z2" s="922"/>
      <c r="AA2" s="922"/>
      <c r="AB2" s="922"/>
      <c r="AC2" s="922"/>
      <c r="AD2" s="922"/>
      <c r="AE2" s="922"/>
      <c r="AF2" s="922"/>
      <c r="AG2" s="922"/>
      <c r="AH2" s="922"/>
      <c r="AI2" s="924"/>
    </row>
    <row r="3" spans="1:35" ht="14.15" customHeight="1" x14ac:dyDescent="0.35">
      <c r="A3" s="92"/>
      <c r="B3" s="1181"/>
      <c r="C3" s="1182"/>
      <c r="D3" s="1183"/>
      <c r="E3" s="1174"/>
      <c r="F3" s="1174"/>
      <c r="G3" s="1275" t="str">
        <f>IFERROR(HYPERLINK("#"&amp;ADDRESS(ROW($A$1)+MATCH(R3,$A:$A,0)-1,3),INDEX($R:$R,MATCH(R3,$A:$A,0))),"")</f>
        <v>Reporting period</v>
      </c>
      <c r="H3" s="1174"/>
      <c r="I3" s="1174" t="str">
        <f>IFERROR(HYPERLINK("#"&amp;ADDRESS(ROW($A$1)+MATCH(T3,$A:$A,0)-1,3),INDEX($R:$R,MATCH(T3,$A:$A,0))),"")</f>
        <v>About the installation</v>
      </c>
      <c r="J3" s="1174"/>
      <c r="K3" s="1174" t="str">
        <f>IFERROR(HYPERLINK("#"&amp;ADDRESS(ROW($A$1)+MATCH(V3,$A:$A,0)-1,3),INDEX($R:$R,MATCH(V3,$A:$A,0))),"")</f>
        <v>Verifier</v>
      </c>
      <c r="L3" s="1174"/>
      <c r="M3" s="1174" t="str">
        <f>IFERROR(HYPERLINK("#"&amp;ADDRESS(ROW($A$1)+MATCH(X3,$A:$A,0)-1,3),INDEX($R:$R,MATCH(X3,$A:$A,0))),"")</f>
        <v>Goods &amp; precursors</v>
      </c>
      <c r="N3" s="1174"/>
      <c r="O3" s="428"/>
      <c r="Q3" s="144"/>
      <c r="R3" s="302">
        <v>1</v>
      </c>
      <c r="S3" s="303"/>
      <c r="T3" s="303">
        <v>2</v>
      </c>
      <c r="U3" s="303"/>
      <c r="V3" s="303">
        <v>3</v>
      </c>
      <c r="W3" s="303"/>
      <c r="X3" s="304">
        <v>4</v>
      </c>
      <c r="Y3" s="171"/>
      <c r="Z3" s="171"/>
      <c r="AA3" s="171"/>
      <c r="AB3" s="171"/>
      <c r="AC3" s="171"/>
      <c r="AD3" s="171"/>
      <c r="AE3" s="171"/>
      <c r="AF3" s="171"/>
      <c r="AG3" s="171"/>
      <c r="AH3" s="171"/>
      <c r="AI3" s="427"/>
    </row>
    <row r="4" spans="1:35" ht="14.15" customHeight="1" thickBot="1" x14ac:dyDescent="0.4">
      <c r="A4" s="92"/>
      <c r="B4" s="1184"/>
      <c r="C4" s="1185"/>
      <c r="D4" s="1186"/>
      <c r="E4" s="1174"/>
      <c r="F4" s="1174"/>
      <c r="G4" s="1174" t="str">
        <f>IFERROR(HYPERLINK("#"&amp;ADDRESS(ROW($A$1)+MATCH(R4,$A:$A,0)-1,3),INDEX($R:$R,MATCH(R4,$A:$A,0))),"")</f>
        <v>Purchased precursors</v>
      </c>
      <c r="H4" s="1174"/>
      <c r="I4" s="1174"/>
      <c r="J4" s="1174"/>
      <c r="K4" s="1174"/>
      <c r="L4" s="1174"/>
      <c r="M4" s="1174"/>
      <c r="N4" s="1174"/>
      <c r="O4" s="428"/>
      <c r="Q4" s="144"/>
      <c r="R4" s="305">
        <v>5</v>
      </c>
      <c r="S4" s="156"/>
      <c r="T4" s="156"/>
      <c r="U4" s="156"/>
      <c r="V4" s="156"/>
      <c r="W4" s="156"/>
      <c r="X4" s="306"/>
      <c r="Y4" s="171"/>
      <c r="Z4" s="171"/>
      <c r="AA4" s="171"/>
      <c r="AB4" s="171"/>
      <c r="AC4" s="171"/>
      <c r="AD4" s="171"/>
      <c r="AE4" s="171"/>
      <c r="AF4" s="171"/>
      <c r="AG4" s="171"/>
      <c r="AH4" s="171"/>
      <c r="AI4" s="427"/>
    </row>
    <row r="5" spans="1:35" ht="5.15" customHeight="1" x14ac:dyDescent="0.35">
      <c r="A5" s="92"/>
      <c r="B5" s="94"/>
      <c r="C5" s="144"/>
      <c r="D5" s="144"/>
      <c r="E5" s="144"/>
      <c r="F5" s="144"/>
      <c r="G5" s="144"/>
      <c r="H5" s="144"/>
      <c r="I5" s="144"/>
      <c r="J5" s="144"/>
      <c r="K5" s="144"/>
      <c r="L5" s="144"/>
      <c r="M5" s="144"/>
      <c r="N5" s="144"/>
      <c r="O5" s="428"/>
      <c r="Q5" s="144"/>
      <c r="R5" s="171"/>
      <c r="S5" s="171"/>
      <c r="T5" s="171"/>
      <c r="U5" s="171"/>
      <c r="V5" s="171"/>
      <c r="W5" s="171"/>
      <c r="X5" s="171"/>
      <c r="Y5" s="171"/>
      <c r="Z5" s="171"/>
      <c r="AA5" s="171"/>
      <c r="AB5" s="171"/>
      <c r="AC5" s="171"/>
      <c r="AD5" s="171"/>
      <c r="AE5" s="171"/>
      <c r="AF5" s="171"/>
      <c r="AG5" s="171"/>
      <c r="AH5" s="171"/>
      <c r="AI5" s="427"/>
    </row>
    <row r="6" spans="1:35" ht="25.5" customHeight="1" x14ac:dyDescent="0.35">
      <c r="A6" s="92"/>
      <c r="B6" s="94"/>
      <c r="C6" s="907" t="s">
        <v>432</v>
      </c>
      <c r="D6" s="144"/>
      <c r="E6" s="907" t="str">
        <f>Translations!$B$65</f>
        <v xml:space="preserve">Sheet "A_InstData" - General information, production processes and purchased precursors </v>
      </c>
      <c r="F6" s="144"/>
      <c r="G6" s="144"/>
      <c r="H6" s="144"/>
      <c r="I6" s="144"/>
      <c r="J6" s="144"/>
      <c r="K6" s="144"/>
      <c r="L6" s="144"/>
      <c r="M6" s="144"/>
      <c r="N6" s="144"/>
      <c r="O6" s="428"/>
      <c r="Q6" s="144"/>
      <c r="R6" s="105" t="s">
        <v>328</v>
      </c>
      <c r="S6" s="171"/>
      <c r="T6" s="156"/>
      <c r="U6" s="156"/>
      <c r="V6" s="171"/>
      <c r="W6" s="925"/>
      <c r="X6" s="171"/>
      <c r="Y6" s="171"/>
      <c r="Z6" s="171"/>
      <c r="AA6" s="171"/>
      <c r="AB6" s="171"/>
      <c r="AC6" s="171"/>
      <c r="AD6" s="171"/>
      <c r="AE6" s="171"/>
      <c r="AF6" s="171"/>
      <c r="AG6" s="105" t="s">
        <v>154</v>
      </c>
      <c r="AH6" s="171"/>
      <c r="AI6" s="926" t="s">
        <v>138</v>
      </c>
    </row>
    <row r="7" spans="1:35" ht="12.75" customHeight="1" x14ac:dyDescent="0.35">
      <c r="A7" s="92"/>
      <c r="B7" s="94"/>
      <c r="C7" s="144"/>
      <c r="D7" s="144"/>
      <c r="E7" s="144"/>
      <c r="F7" s="144"/>
      <c r="G7" s="144"/>
      <c r="H7" s="144"/>
      <c r="I7" s="144"/>
      <c r="J7" s="144"/>
      <c r="K7" s="144"/>
      <c r="L7" s="144"/>
      <c r="M7" s="144"/>
      <c r="N7" s="144"/>
      <c r="O7" s="428"/>
      <c r="Q7" s="144"/>
      <c r="R7" s="171"/>
      <c r="S7" s="171"/>
      <c r="T7" s="171"/>
      <c r="U7" s="171"/>
      <c r="V7" s="171"/>
      <c r="W7" s="171"/>
      <c r="X7" s="171"/>
      <c r="Y7" s="171"/>
      <c r="Z7" s="171"/>
      <c r="AA7" s="171"/>
      <c r="AB7" s="171"/>
      <c r="AC7" s="171"/>
      <c r="AD7" s="171"/>
      <c r="AE7" s="171"/>
      <c r="AF7" s="171"/>
      <c r="AG7" s="171"/>
      <c r="AH7" s="171"/>
      <c r="AI7" s="427"/>
    </row>
    <row r="8" spans="1:35" ht="5.15" customHeight="1" x14ac:dyDescent="0.35">
      <c r="A8" s="92"/>
      <c r="B8" s="94"/>
      <c r="C8" s="908"/>
      <c r="D8" s="909"/>
      <c r="E8" s="909"/>
      <c r="F8" s="910"/>
      <c r="G8" s="910"/>
      <c r="H8" s="911"/>
      <c r="I8" s="910"/>
      <c r="J8" s="910"/>
      <c r="K8" s="911"/>
      <c r="L8" s="910"/>
      <c r="M8" s="910"/>
      <c r="N8" s="910"/>
      <c r="O8" s="428"/>
      <c r="Q8" s="144"/>
      <c r="R8" s="171"/>
      <c r="S8" s="171"/>
      <c r="T8" s="171"/>
      <c r="U8" s="171"/>
      <c r="V8" s="171"/>
      <c r="W8" s="171"/>
      <c r="X8" s="171"/>
      <c r="Y8" s="171"/>
      <c r="Z8" s="171"/>
      <c r="AA8" s="171"/>
      <c r="AB8" s="171"/>
      <c r="AC8" s="171"/>
      <c r="AD8" s="171"/>
      <c r="AE8" s="171"/>
      <c r="AF8" s="171"/>
      <c r="AG8" s="171"/>
      <c r="AH8" s="171"/>
      <c r="AI8" s="427"/>
    </row>
    <row r="9" spans="1:35" ht="25" customHeight="1" x14ac:dyDescent="0.35">
      <c r="A9" s="919">
        <f>C9</f>
        <v>1</v>
      </c>
      <c r="B9" s="94"/>
      <c r="C9" s="908">
        <v>1</v>
      </c>
      <c r="D9" s="909" t="str">
        <f>Translations!$B$67</f>
        <v>Reporting period</v>
      </c>
      <c r="E9" s="909"/>
      <c r="F9" s="910"/>
      <c r="G9" s="910"/>
      <c r="H9" s="911" t="str">
        <f>Translations!$B$68</f>
        <v>Start:</v>
      </c>
      <c r="I9" s="1276"/>
      <c r="J9" s="1276"/>
      <c r="K9" s="911" t="str">
        <f>Translations!$B$69</f>
        <v>End:</v>
      </c>
      <c r="L9" s="1276"/>
      <c r="M9" s="1276"/>
      <c r="N9" s="910"/>
      <c r="O9" s="428"/>
      <c r="Q9" s="144"/>
      <c r="R9" s="102" t="str">
        <f>D9</f>
        <v>Reporting period</v>
      </c>
      <c r="S9" s="171"/>
      <c r="T9" s="171"/>
      <c r="U9" s="171"/>
      <c r="V9" s="171"/>
      <c r="W9" s="171"/>
      <c r="X9" s="171"/>
      <c r="Y9" s="171"/>
      <c r="Z9" s="171"/>
      <c r="AA9" s="171"/>
      <c r="AB9" s="171"/>
      <c r="AC9" s="171"/>
      <c r="AD9" s="171"/>
      <c r="AE9" s="171"/>
      <c r="AF9" s="171"/>
      <c r="AG9" s="102" t="str">
        <f>IF(AND(CNTR_HasEntriesA,COUNTA(I9,L9)&lt;2),CONST_ErrorOrMissing&amp;A9,CONST_NA)</f>
        <v>n.a.</v>
      </c>
      <c r="AH9" s="171"/>
      <c r="AI9" s="427"/>
    </row>
    <row r="10" spans="1:35" ht="5.15" customHeight="1" x14ac:dyDescent="0.35">
      <c r="A10" s="92"/>
      <c r="B10" s="94"/>
      <c r="C10" s="908"/>
      <c r="D10" s="909"/>
      <c r="E10" s="909"/>
      <c r="F10" s="910"/>
      <c r="G10" s="910"/>
      <c r="H10" s="911"/>
      <c r="I10" s="910"/>
      <c r="J10" s="910"/>
      <c r="K10" s="911"/>
      <c r="L10" s="910"/>
      <c r="M10" s="910"/>
      <c r="N10" s="910"/>
      <c r="O10" s="428"/>
      <c r="Q10" s="144"/>
      <c r="R10" s="171"/>
      <c r="S10" s="171"/>
      <c r="T10" s="171"/>
      <c r="U10" s="171"/>
      <c r="V10" s="171"/>
      <c r="W10" s="171"/>
      <c r="X10" s="171"/>
      <c r="Y10" s="171"/>
      <c r="Z10" s="171"/>
      <c r="AA10" s="171"/>
      <c r="AB10" s="171"/>
      <c r="AC10" s="171"/>
      <c r="AD10" s="171"/>
      <c r="AE10" s="171"/>
      <c r="AF10" s="171"/>
      <c r="AG10" s="171"/>
      <c r="AH10" s="171"/>
      <c r="AI10" s="427"/>
    </row>
    <row r="11" spans="1:35" ht="5.15" customHeight="1" x14ac:dyDescent="0.35">
      <c r="A11" s="92"/>
      <c r="B11" s="94"/>
      <c r="C11" s="144"/>
      <c r="D11" s="144"/>
      <c r="E11" s="144"/>
      <c r="F11" s="144"/>
      <c r="G11" s="144"/>
      <c r="H11" s="144"/>
      <c r="I11" s="144"/>
      <c r="J11" s="144"/>
      <c r="K11" s="144"/>
      <c r="L11" s="144"/>
      <c r="M11" s="144"/>
      <c r="N11" s="144"/>
      <c r="O11" s="428"/>
      <c r="Q11" s="144"/>
      <c r="R11" s="171"/>
      <c r="S11" s="171"/>
      <c r="T11" s="171"/>
      <c r="U11" s="171"/>
      <c r="V11" s="171"/>
      <c r="W11" s="171"/>
      <c r="X11" s="171"/>
      <c r="Y11" s="171"/>
      <c r="Z11" s="171"/>
      <c r="AA11" s="171"/>
      <c r="AB11" s="171"/>
      <c r="AC11" s="171"/>
      <c r="AD11" s="171"/>
      <c r="AE11" s="171"/>
      <c r="AF11" s="171"/>
      <c r="AG11" s="171"/>
      <c r="AH11" s="171"/>
      <c r="AI11" s="427"/>
    </row>
    <row r="12" spans="1:35" ht="5.15" customHeight="1" x14ac:dyDescent="0.35">
      <c r="A12" s="92"/>
      <c r="B12" s="94"/>
      <c r="C12" s="144"/>
      <c r="D12" s="913"/>
      <c r="E12" s="913"/>
      <c r="F12" s="913"/>
      <c r="G12" s="913"/>
      <c r="H12" s="913"/>
      <c r="I12" s="913"/>
      <c r="J12" s="913"/>
      <c r="K12" s="913"/>
      <c r="L12" s="913"/>
      <c r="M12" s="913"/>
      <c r="N12" s="913"/>
      <c r="O12" s="428"/>
      <c r="Q12" s="144"/>
      <c r="R12" s="171"/>
      <c r="S12" s="171"/>
      <c r="T12" s="171"/>
      <c r="U12" s="171"/>
      <c r="V12" s="171"/>
      <c r="W12" s="171"/>
      <c r="X12" s="171"/>
      <c r="Y12" s="171"/>
      <c r="Z12" s="171"/>
      <c r="AA12" s="171"/>
      <c r="AB12" s="171"/>
      <c r="AC12" s="171"/>
      <c r="AD12" s="171"/>
      <c r="AE12" s="171"/>
      <c r="AF12" s="171"/>
      <c r="AG12" s="171"/>
      <c r="AH12" s="171"/>
      <c r="AI12" s="427"/>
    </row>
    <row r="13" spans="1:35" ht="25.5" customHeight="1" x14ac:dyDescent="0.35">
      <c r="A13" s="92"/>
      <c r="B13" s="94"/>
      <c r="C13" s="144"/>
      <c r="D13" s="913"/>
      <c r="E13" s="1277" t="str">
        <f>Translations!$B$1952</f>
        <v>Please enter here the starting date and the end date of the reporting period to which the data entered in this communication template refers to. For example, if you want to report data based on the whole calendar year 2023, the starting date would be 1.1.2023 and the end date 31.12.2023.</v>
      </c>
      <c r="F13" s="1277"/>
      <c r="G13" s="1277"/>
      <c r="H13" s="1277"/>
      <c r="I13" s="1277"/>
      <c r="J13" s="1277"/>
      <c r="K13" s="1277"/>
      <c r="L13" s="1277"/>
      <c r="M13" s="1277"/>
      <c r="N13" s="1277"/>
      <c r="O13" s="428"/>
      <c r="Q13" s="144"/>
      <c r="R13" s="171"/>
      <c r="S13" s="171"/>
      <c r="T13" s="171"/>
      <c r="U13" s="171"/>
      <c r="V13" s="171"/>
      <c r="W13" s="171"/>
      <c r="X13" s="171"/>
      <c r="Y13" s="171"/>
      <c r="Z13" s="171"/>
      <c r="AA13" s="171"/>
      <c r="AB13" s="171"/>
      <c r="AC13" s="171"/>
      <c r="AD13" s="171"/>
      <c r="AE13" s="171"/>
      <c r="AF13" s="171"/>
      <c r="AG13" s="171"/>
      <c r="AH13" s="171"/>
      <c r="AI13" s="427"/>
    </row>
    <row r="14" spans="1:35" ht="25.9" customHeight="1" x14ac:dyDescent="0.35">
      <c r="A14" s="92"/>
      <c r="B14" s="94"/>
      <c r="C14" s="144"/>
      <c r="D14" s="913"/>
      <c r="E14" s="1282" t="str">
        <f>Translations!$B$71</f>
        <v>It is important that all data entered in this template (embedded emissions, carbon price due, product properties, etc.) all relate to that same reporting period entered above.</v>
      </c>
      <c r="F14" s="1282"/>
      <c r="G14" s="1282"/>
      <c r="H14" s="1282"/>
      <c r="I14" s="1282"/>
      <c r="J14" s="1282"/>
      <c r="K14" s="1282"/>
      <c r="L14" s="1282"/>
      <c r="M14" s="1282"/>
      <c r="N14" s="1282"/>
      <c r="O14" s="428"/>
      <c r="Q14" s="144"/>
      <c r="R14" s="171"/>
      <c r="S14" s="171"/>
      <c r="T14" s="171"/>
      <c r="U14" s="171"/>
      <c r="V14" s="171"/>
      <c r="W14" s="171"/>
      <c r="X14" s="171"/>
      <c r="Y14" s="171"/>
      <c r="Z14" s="171"/>
      <c r="AA14" s="171"/>
      <c r="AB14" s="171"/>
      <c r="AC14" s="171"/>
      <c r="AD14" s="171"/>
      <c r="AE14" s="171"/>
      <c r="AF14" s="171"/>
      <c r="AG14" s="171"/>
      <c r="AH14" s="171"/>
      <c r="AI14" s="427"/>
    </row>
    <row r="15" spans="1:35" ht="5.15" customHeight="1" x14ac:dyDescent="0.35">
      <c r="A15" s="92"/>
      <c r="B15" s="94"/>
      <c r="C15" s="144"/>
      <c r="D15" s="913"/>
      <c r="E15" s="750"/>
      <c r="F15" s="750"/>
      <c r="G15" s="750"/>
      <c r="H15" s="750"/>
      <c r="I15" s="750"/>
      <c r="J15" s="750"/>
      <c r="K15" s="750"/>
      <c r="L15" s="750"/>
      <c r="M15" s="750"/>
      <c r="N15" s="750"/>
      <c r="O15" s="428"/>
      <c r="Q15" s="144"/>
      <c r="R15" s="171"/>
      <c r="S15" s="171"/>
      <c r="T15" s="171"/>
      <c r="U15" s="171"/>
      <c r="V15" s="171"/>
      <c r="W15" s="171"/>
      <c r="X15" s="171"/>
      <c r="Y15" s="171"/>
      <c r="Z15" s="171"/>
      <c r="AA15" s="171"/>
      <c r="AB15" s="171"/>
      <c r="AC15" s="171"/>
      <c r="AD15" s="171"/>
      <c r="AE15" s="171"/>
      <c r="AF15" s="171"/>
      <c r="AG15" s="171"/>
      <c r="AH15" s="171"/>
      <c r="AI15" s="427"/>
    </row>
    <row r="16" spans="1:35" ht="12.75" customHeight="1" x14ac:dyDescent="0.35">
      <c r="A16" s="92"/>
      <c r="B16" s="94"/>
      <c r="C16" s="144"/>
      <c r="D16" s="144"/>
      <c r="E16" s="144"/>
      <c r="F16" s="144"/>
      <c r="G16" s="144"/>
      <c r="H16" s="144"/>
      <c r="I16" s="144"/>
      <c r="J16" s="144"/>
      <c r="K16" s="144"/>
      <c r="L16" s="144"/>
      <c r="M16" s="144"/>
      <c r="N16" s="144"/>
      <c r="O16" s="428"/>
      <c r="Q16" s="144"/>
      <c r="R16" s="171"/>
      <c r="S16" s="171"/>
      <c r="T16" s="171"/>
      <c r="U16" s="171"/>
      <c r="V16" s="171"/>
      <c r="W16" s="171"/>
      <c r="X16" s="171"/>
      <c r="Y16" s="171"/>
      <c r="Z16" s="171"/>
      <c r="AA16" s="171"/>
      <c r="AB16" s="171"/>
      <c r="AC16" s="171"/>
      <c r="AD16" s="171"/>
      <c r="AE16" s="171"/>
      <c r="AF16" s="171"/>
      <c r="AG16" s="171"/>
      <c r="AH16" s="171"/>
      <c r="AI16" s="427"/>
    </row>
    <row r="17" spans="1:35" ht="18" customHeight="1" x14ac:dyDescent="0.35">
      <c r="A17" s="919">
        <f>C17</f>
        <v>2</v>
      </c>
      <c r="B17" s="94"/>
      <c r="C17" s="908">
        <v>2</v>
      </c>
      <c r="D17" s="909" t="str">
        <f>Translations!$B$72</f>
        <v>About the installation</v>
      </c>
      <c r="E17" s="909"/>
      <c r="F17" s="910"/>
      <c r="G17" s="910"/>
      <c r="H17" s="910"/>
      <c r="I17" s="910"/>
      <c r="J17" s="910"/>
      <c r="K17" s="910"/>
      <c r="L17" s="910"/>
      <c r="M17" s="910"/>
      <c r="N17" s="910"/>
      <c r="O17" s="428"/>
      <c r="Q17" s="144"/>
      <c r="R17" s="102" t="str">
        <f>D17</f>
        <v>About the installation</v>
      </c>
      <c r="S17" s="171"/>
      <c r="T17" s="171"/>
      <c r="U17" s="171"/>
      <c r="V17" s="171"/>
      <c r="W17" s="171"/>
      <c r="X17" s="171"/>
      <c r="Y17" s="171"/>
      <c r="Z17" s="171"/>
      <c r="AA17" s="171"/>
      <c r="AB17" s="171"/>
      <c r="AC17" s="171"/>
      <c r="AD17" s="171"/>
      <c r="AE17" s="171"/>
      <c r="AF17" s="171"/>
      <c r="AG17" s="171"/>
      <c r="AH17" s="171"/>
      <c r="AI17" s="427"/>
    </row>
    <row r="18" spans="1:35" ht="5.15" customHeight="1" x14ac:dyDescent="0.35">
      <c r="A18" s="92"/>
      <c r="B18" s="94"/>
      <c r="C18" s="144"/>
      <c r="D18" s="10"/>
      <c r="E18" s="10"/>
      <c r="F18" s="10"/>
      <c r="G18" s="10"/>
      <c r="H18" s="10"/>
      <c r="I18" s="10"/>
      <c r="J18" s="10"/>
      <c r="K18" s="10"/>
      <c r="L18" s="10"/>
      <c r="M18" s="10"/>
      <c r="N18" s="10"/>
      <c r="O18" s="428"/>
      <c r="Q18" s="144"/>
      <c r="R18" s="171"/>
      <c r="S18" s="171"/>
      <c r="T18" s="171"/>
      <c r="U18" s="171"/>
      <c r="V18" s="171"/>
      <c r="W18" s="171"/>
      <c r="X18" s="171"/>
      <c r="Y18" s="171"/>
      <c r="Z18" s="171"/>
      <c r="AA18" s="171"/>
      <c r="AB18" s="171"/>
      <c r="AC18" s="171"/>
      <c r="AD18" s="171"/>
      <c r="AE18" s="171"/>
      <c r="AF18" s="171"/>
      <c r="AG18" s="171"/>
      <c r="AH18" s="171"/>
      <c r="AI18" s="427"/>
    </row>
    <row r="19" spans="1:35" ht="12.75" customHeight="1" x14ac:dyDescent="0.25">
      <c r="A19" s="92"/>
      <c r="B19" s="94"/>
      <c r="C19" s="144"/>
      <c r="D19" s="11" t="s">
        <v>41</v>
      </c>
      <c r="E19" s="1224" t="str">
        <f>Translations!$B$73</f>
        <v>Name of the installation (optional):</v>
      </c>
      <c r="F19" s="1224"/>
      <c r="G19" s="1224"/>
      <c r="H19" s="1255"/>
      <c r="I19" s="1231"/>
      <c r="J19" s="1232"/>
      <c r="K19" s="1232"/>
      <c r="L19" s="1232"/>
      <c r="M19" s="1232"/>
      <c r="N19" s="1233"/>
      <c r="O19" s="428"/>
      <c r="Q19" s="144"/>
      <c r="R19" s="171"/>
      <c r="S19" s="171"/>
      <c r="T19" s="171"/>
      <c r="U19" s="171"/>
      <c r="V19" s="171"/>
      <c r="W19" s="171"/>
      <c r="X19" s="171"/>
      <c r="Y19" s="171"/>
      <c r="Z19" s="171"/>
      <c r="AA19" s="171"/>
      <c r="AB19" s="171"/>
      <c r="AC19" s="171"/>
      <c r="AD19" s="171"/>
      <c r="AE19" s="171"/>
      <c r="AF19" s="171"/>
      <c r="AG19" s="102"/>
      <c r="AH19" s="171"/>
      <c r="AI19" s="427"/>
    </row>
    <row r="20" spans="1:35" ht="12.75" customHeight="1" x14ac:dyDescent="0.25">
      <c r="A20" s="92"/>
      <c r="B20" s="94"/>
      <c r="C20" s="144"/>
      <c r="D20" s="11" t="s">
        <v>42</v>
      </c>
      <c r="E20" s="1222" t="str">
        <f>Translations!$B$74</f>
        <v>Name of the installation (English name):</v>
      </c>
      <c r="F20" s="1222"/>
      <c r="G20" s="1222"/>
      <c r="H20" s="1278"/>
      <c r="I20" s="1279"/>
      <c r="J20" s="1280"/>
      <c r="K20" s="1280"/>
      <c r="L20" s="1280"/>
      <c r="M20" s="1280"/>
      <c r="N20" s="1281"/>
      <c r="O20" s="428"/>
      <c r="Q20" s="144"/>
      <c r="R20" s="171"/>
      <c r="S20" s="171"/>
      <c r="T20" s="171"/>
      <c r="U20" s="171"/>
      <c r="V20" s="171"/>
      <c r="W20" s="171"/>
      <c r="X20" s="171"/>
      <c r="Y20" s="171"/>
      <c r="Z20" s="171"/>
      <c r="AA20" s="171"/>
      <c r="AB20" s="171"/>
      <c r="AC20" s="171"/>
      <c r="AD20" s="171"/>
      <c r="AE20" s="171"/>
      <c r="AF20" s="171"/>
      <c r="AG20" s="102" t="str">
        <f>IF(AND(CNTR_HasEntriesA,I20=""),CONST_ErrorOrMissing&amp;A17,CONST_NA)</f>
        <v>n.a.</v>
      </c>
      <c r="AH20" s="171"/>
      <c r="AI20" s="427"/>
    </row>
    <row r="21" spans="1:35" ht="12.75" customHeight="1" x14ac:dyDescent="0.25">
      <c r="A21" s="92"/>
      <c r="B21" s="94"/>
      <c r="C21" s="144"/>
      <c r="D21" s="11" t="s">
        <v>43</v>
      </c>
      <c r="E21" s="1260" t="str">
        <f>Translations!$B$75</f>
        <v>Street, Number:</v>
      </c>
      <c r="F21" s="1260"/>
      <c r="G21" s="1260"/>
      <c r="H21" s="1261"/>
      <c r="I21" s="1256"/>
      <c r="J21" s="1257"/>
      <c r="K21" s="1257"/>
      <c r="L21" s="1257"/>
      <c r="M21" s="1257"/>
      <c r="N21" s="1258"/>
      <c r="O21" s="428"/>
      <c r="Q21" s="144"/>
      <c r="R21" s="171"/>
      <c r="S21" s="171"/>
      <c r="T21" s="171"/>
      <c r="U21" s="171"/>
      <c r="V21" s="171"/>
      <c r="W21" s="171"/>
      <c r="X21" s="171"/>
      <c r="Y21" s="171"/>
      <c r="Z21" s="171"/>
      <c r="AA21" s="171"/>
      <c r="AB21" s="171"/>
      <c r="AC21" s="171"/>
      <c r="AD21" s="171"/>
      <c r="AE21" s="171"/>
      <c r="AF21" s="171"/>
      <c r="AG21" s="171"/>
      <c r="AH21" s="171"/>
      <c r="AI21" s="427"/>
    </row>
    <row r="22" spans="1:35" ht="12.75" customHeight="1" x14ac:dyDescent="0.25">
      <c r="A22" s="92"/>
      <c r="B22" s="94"/>
      <c r="C22" s="144"/>
      <c r="D22" s="11" t="s">
        <v>44</v>
      </c>
      <c r="E22" s="1260" t="str">
        <f>Translations!$B$76</f>
        <v>Economic activity:</v>
      </c>
      <c r="F22" s="1260"/>
      <c r="G22" s="1260"/>
      <c r="H22" s="1261"/>
      <c r="I22" s="1225"/>
      <c r="J22" s="1226"/>
      <c r="K22" s="1226"/>
      <c r="L22" s="1226"/>
      <c r="M22" s="1226"/>
      <c r="N22" s="1227"/>
      <c r="O22" s="428"/>
      <c r="Q22" s="144"/>
      <c r="R22" s="171"/>
      <c r="S22" s="171"/>
      <c r="T22" s="171"/>
      <c r="U22" s="171"/>
      <c r="V22" s="171"/>
      <c r="W22" s="171"/>
      <c r="X22" s="171"/>
      <c r="Y22" s="171"/>
      <c r="Z22" s="171"/>
      <c r="AA22" s="171"/>
      <c r="AB22" s="171"/>
      <c r="AC22" s="171"/>
      <c r="AD22" s="171"/>
      <c r="AE22" s="171"/>
      <c r="AF22" s="171"/>
      <c r="AG22" s="171"/>
      <c r="AH22" s="171"/>
      <c r="AI22" s="427"/>
    </row>
    <row r="23" spans="1:35" ht="12.75" customHeight="1" x14ac:dyDescent="0.25">
      <c r="A23" s="92"/>
      <c r="B23" s="94"/>
      <c r="C23" s="144"/>
      <c r="D23" s="11" t="s">
        <v>45</v>
      </c>
      <c r="E23" s="1260" t="str">
        <f>Translations!$B$77</f>
        <v>Post code:</v>
      </c>
      <c r="F23" s="1260"/>
      <c r="G23" s="1260"/>
      <c r="H23" s="1261"/>
      <c r="I23" s="1256"/>
      <c r="J23" s="1257"/>
      <c r="K23" s="1257"/>
      <c r="L23" s="1257"/>
      <c r="M23" s="1257"/>
      <c r="N23" s="1258"/>
      <c r="O23" s="428"/>
      <c r="Q23" s="144"/>
      <c r="R23" s="171"/>
      <c r="S23" s="171"/>
      <c r="T23" s="171"/>
      <c r="U23" s="171"/>
      <c r="V23" s="171"/>
      <c r="W23" s="171"/>
      <c r="X23" s="171"/>
      <c r="Y23" s="171"/>
      <c r="Z23" s="171"/>
      <c r="AA23" s="171"/>
      <c r="AB23" s="171"/>
      <c r="AC23" s="171"/>
      <c r="AD23" s="171"/>
      <c r="AE23" s="171"/>
      <c r="AF23" s="171"/>
      <c r="AG23" s="171"/>
      <c r="AH23" s="171"/>
      <c r="AI23" s="427"/>
    </row>
    <row r="24" spans="1:35" ht="12.75" customHeight="1" x14ac:dyDescent="0.25">
      <c r="A24" s="92"/>
      <c r="B24" s="94"/>
      <c r="C24" s="144"/>
      <c r="D24" s="11" t="s">
        <v>46</v>
      </c>
      <c r="E24" s="1260" t="str">
        <f>Translations!$B$78</f>
        <v>P.O. Box:</v>
      </c>
      <c r="F24" s="1260"/>
      <c r="G24" s="1260"/>
      <c r="H24" s="1261"/>
      <c r="I24" s="1256"/>
      <c r="J24" s="1257"/>
      <c r="K24" s="1257"/>
      <c r="L24" s="1257"/>
      <c r="M24" s="1257"/>
      <c r="N24" s="1258"/>
      <c r="O24" s="428"/>
      <c r="Q24" s="144"/>
      <c r="R24" s="171"/>
      <c r="S24" s="171"/>
      <c r="T24" s="171"/>
      <c r="U24" s="171"/>
      <c r="V24" s="171"/>
      <c r="W24" s="171"/>
      <c r="X24" s="171"/>
      <c r="Y24" s="171"/>
      <c r="Z24" s="171"/>
      <c r="AA24" s="171"/>
      <c r="AB24" s="171"/>
      <c r="AC24" s="171"/>
      <c r="AD24" s="171"/>
      <c r="AE24" s="171"/>
      <c r="AF24" s="171"/>
      <c r="AG24" s="171"/>
      <c r="AH24" s="171"/>
      <c r="AI24" s="427"/>
    </row>
    <row r="25" spans="1:35" ht="12.75" customHeight="1" x14ac:dyDescent="0.25">
      <c r="A25" s="92"/>
      <c r="B25" s="94"/>
      <c r="C25" s="144"/>
      <c r="D25" s="11" t="s">
        <v>47</v>
      </c>
      <c r="E25" s="1260" t="str">
        <f>Translations!$B$79</f>
        <v>City:</v>
      </c>
      <c r="F25" s="1260"/>
      <c r="G25" s="1260"/>
      <c r="H25" s="1261"/>
      <c r="I25" s="1256"/>
      <c r="J25" s="1257"/>
      <c r="K25" s="1257"/>
      <c r="L25" s="1257"/>
      <c r="M25" s="1257"/>
      <c r="N25" s="1258"/>
      <c r="O25" s="428"/>
      <c r="Q25" s="144"/>
      <c r="R25" s="171"/>
      <c r="S25" s="171"/>
      <c r="T25" s="171"/>
      <c r="U25" s="171"/>
      <c r="V25" s="171"/>
      <c r="W25" s="171"/>
      <c r="X25" s="171"/>
      <c r="Y25" s="171"/>
      <c r="Z25" s="171"/>
      <c r="AA25" s="171"/>
      <c r="AB25" s="171"/>
      <c r="AC25" s="171"/>
      <c r="AD25" s="171"/>
      <c r="AE25" s="171"/>
      <c r="AF25" s="171"/>
      <c r="AG25" s="171"/>
      <c r="AH25" s="171"/>
      <c r="AI25" s="427"/>
    </row>
    <row r="26" spans="1:35" ht="12.75" customHeight="1" x14ac:dyDescent="0.25">
      <c r="A26" s="92"/>
      <c r="B26" s="94"/>
      <c r="C26" s="144"/>
      <c r="D26" s="11" t="s">
        <v>234</v>
      </c>
      <c r="E26" s="1260" t="str">
        <f>Translations!$B$80</f>
        <v>Country:</v>
      </c>
      <c r="F26" s="1260"/>
      <c r="G26" s="1260"/>
      <c r="H26" s="1261"/>
      <c r="I26" s="1256"/>
      <c r="J26" s="1257"/>
      <c r="K26" s="1257"/>
      <c r="L26" s="1257"/>
      <c r="M26" s="1257"/>
      <c r="N26" s="1258"/>
      <c r="O26" s="428"/>
      <c r="Q26" s="144"/>
      <c r="R26" s="171"/>
      <c r="S26" s="105" t="str">
        <f>IF(I26="","",INDEX(CNTR_ListCountriesCode,MATCH(I26,CNTR_ListCountriesName,0)))</f>
        <v/>
      </c>
      <c r="T26" s="171"/>
      <c r="U26" s="171"/>
      <c r="V26" s="171"/>
      <c r="W26" s="171"/>
      <c r="X26" s="171"/>
      <c r="Y26" s="171"/>
      <c r="Z26" s="171"/>
      <c r="AA26" s="171"/>
      <c r="AB26" s="171"/>
      <c r="AC26" s="171"/>
      <c r="AD26" s="171"/>
      <c r="AE26" s="171"/>
      <c r="AF26" s="171"/>
      <c r="AG26" s="102" t="str">
        <f>IF(AND(CNTR_HasEntriesA,I26=""),CONST_ErrorOrMissing&amp;A17,CONST_NA)</f>
        <v>n.a.</v>
      </c>
      <c r="AH26" s="171"/>
      <c r="AI26" s="427"/>
    </row>
    <row r="27" spans="1:35" ht="12.75" customHeight="1" x14ac:dyDescent="0.25">
      <c r="A27" s="92"/>
      <c r="B27" s="94"/>
      <c r="C27" s="144"/>
      <c r="D27" s="11" t="s">
        <v>235</v>
      </c>
      <c r="E27" s="1260" t="str">
        <f>Translations!$B$81</f>
        <v>UNLOCODE:</v>
      </c>
      <c r="F27" s="1260"/>
      <c r="G27" s="1260"/>
      <c r="H27" s="1261"/>
      <c r="I27" s="1256"/>
      <c r="J27" s="1257"/>
      <c r="K27" s="1257"/>
      <c r="L27" s="1257"/>
      <c r="M27" s="1257"/>
      <c r="N27" s="1258"/>
      <c r="O27" s="428"/>
      <c r="Q27" s="144"/>
      <c r="R27" s="171"/>
      <c r="S27" s="171"/>
      <c r="T27" s="171"/>
      <c r="U27" s="171"/>
      <c r="V27" s="171"/>
      <c r="W27" s="171"/>
      <c r="X27" s="171"/>
      <c r="Y27" s="171"/>
      <c r="Z27" s="171"/>
      <c r="AA27" s="171"/>
      <c r="AB27" s="171"/>
      <c r="AC27" s="171"/>
      <c r="AD27" s="171"/>
      <c r="AE27" s="171"/>
      <c r="AF27" s="171"/>
      <c r="AG27" s="171"/>
      <c r="AH27" s="171"/>
      <c r="AI27" s="427"/>
    </row>
    <row r="28" spans="1:35" ht="12.75" customHeight="1" x14ac:dyDescent="0.25">
      <c r="A28" s="92"/>
      <c r="B28" s="94"/>
      <c r="C28" s="144"/>
      <c r="D28" s="11" t="s">
        <v>2744</v>
      </c>
      <c r="E28" s="1260" t="str">
        <f>Translations!$B$82</f>
        <v>Coordinates of the main emission source (latitude):</v>
      </c>
      <c r="F28" s="1260"/>
      <c r="G28" s="1260"/>
      <c r="H28" s="1261"/>
      <c r="I28" s="1256"/>
      <c r="J28" s="1257"/>
      <c r="K28" s="1257"/>
      <c r="L28" s="1257"/>
      <c r="M28" s="1257"/>
      <c r="N28" s="1258"/>
      <c r="O28" s="428"/>
      <c r="Q28" s="144"/>
      <c r="R28" s="171"/>
      <c r="S28" s="171"/>
      <c r="T28" s="171"/>
      <c r="U28" s="171"/>
      <c r="V28" s="171"/>
      <c r="W28" s="171"/>
      <c r="X28" s="171"/>
      <c r="Y28" s="171"/>
      <c r="Z28" s="171"/>
      <c r="AA28" s="171"/>
      <c r="AB28" s="171"/>
      <c r="AC28" s="171"/>
      <c r="AD28" s="171"/>
      <c r="AE28" s="171"/>
      <c r="AF28" s="171"/>
      <c r="AG28" s="171"/>
      <c r="AH28" s="171"/>
      <c r="AI28" s="427"/>
    </row>
    <row r="29" spans="1:35" ht="12.75" customHeight="1" x14ac:dyDescent="0.25">
      <c r="A29" s="92"/>
      <c r="B29" s="94"/>
      <c r="C29" s="144"/>
      <c r="D29" s="11" t="s">
        <v>2745</v>
      </c>
      <c r="E29" s="1260" t="str">
        <f>Translations!$B$83</f>
        <v>Coordinates of the main emission source (longitude):</v>
      </c>
      <c r="F29" s="1260"/>
      <c r="G29" s="1260"/>
      <c r="H29" s="1261"/>
      <c r="I29" s="1256"/>
      <c r="J29" s="1257"/>
      <c r="K29" s="1257"/>
      <c r="L29" s="1257"/>
      <c r="M29" s="1257"/>
      <c r="N29" s="1258"/>
      <c r="O29" s="428"/>
      <c r="Q29" s="144"/>
      <c r="R29" s="171"/>
      <c r="S29" s="171"/>
      <c r="T29" s="171"/>
      <c r="U29" s="171"/>
      <c r="V29" s="171"/>
      <c r="W29" s="171"/>
      <c r="X29" s="171"/>
      <c r="Y29" s="171"/>
      <c r="Z29" s="171"/>
      <c r="AA29" s="171"/>
      <c r="AB29" s="171"/>
      <c r="AC29" s="171"/>
      <c r="AD29" s="171"/>
      <c r="AE29" s="171"/>
      <c r="AF29" s="171"/>
      <c r="AG29" s="171"/>
      <c r="AH29" s="171"/>
      <c r="AI29" s="427"/>
    </row>
    <row r="30" spans="1:35" ht="12.75" customHeight="1" x14ac:dyDescent="0.25">
      <c r="A30" s="92"/>
      <c r="B30" s="94"/>
      <c r="C30" s="144"/>
      <c r="D30" s="11" t="s">
        <v>2747</v>
      </c>
      <c r="E30" s="1260" t="str">
        <f>Translations!$B$84</f>
        <v>Name of authorized representative:</v>
      </c>
      <c r="F30" s="1260"/>
      <c r="G30" s="1260"/>
      <c r="H30" s="1261"/>
      <c r="I30" s="1225"/>
      <c r="J30" s="1226"/>
      <c r="K30" s="1226"/>
      <c r="L30" s="1226"/>
      <c r="M30" s="1226"/>
      <c r="N30" s="1227"/>
      <c r="O30" s="428"/>
      <c r="Q30" s="144"/>
      <c r="R30" s="171"/>
      <c r="S30" s="171"/>
      <c r="T30" s="171"/>
      <c r="U30" s="171"/>
      <c r="V30" s="171"/>
      <c r="W30" s="171"/>
      <c r="X30" s="171"/>
      <c r="Y30" s="171"/>
      <c r="Z30" s="171"/>
      <c r="AA30" s="171"/>
      <c r="AB30" s="171"/>
      <c r="AC30" s="171"/>
      <c r="AD30" s="171"/>
      <c r="AE30" s="171"/>
      <c r="AF30" s="171"/>
      <c r="AG30" s="171"/>
      <c r="AH30" s="171"/>
      <c r="AI30" s="427"/>
    </row>
    <row r="31" spans="1:35" ht="12.75" customHeight="1" x14ac:dyDescent="0.35">
      <c r="A31" s="92"/>
      <c r="B31" s="94"/>
      <c r="C31" s="144"/>
      <c r="D31" s="11" t="s">
        <v>2956</v>
      </c>
      <c r="E31" s="1262" t="str">
        <f>Translations!$B$85</f>
        <v>Email:</v>
      </c>
      <c r="F31" s="1263"/>
      <c r="G31" s="1263"/>
      <c r="H31" s="1264"/>
      <c r="I31" s="1225"/>
      <c r="J31" s="1226"/>
      <c r="K31" s="1226"/>
      <c r="L31" s="1226"/>
      <c r="M31" s="1226"/>
      <c r="N31" s="1227"/>
      <c r="O31" s="428"/>
      <c r="Q31" s="144"/>
      <c r="R31" s="171"/>
      <c r="S31" s="171"/>
      <c r="T31" s="171"/>
      <c r="U31" s="171"/>
      <c r="V31" s="171"/>
      <c r="W31" s="171"/>
      <c r="X31" s="171"/>
      <c r="Y31" s="171"/>
      <c r="Z31" s="171"/>
      <c r="AA31" s="171"/>
      <c r="AB31" s="171"/>
      <c r="AC31" s="171"/>
      <c r="AD31" s="171"/>
      <c r="AE31" s="171"/>
      <c r="AF31" s="171"/>
      <c r="AG31" s="171"/>
      <c r="AH31" s="171"/>
      <c r="AI31" s="427"/>
    </row>
    <row r="32" spans="1:35" ht="12.75" customHeight="1" x14ac:dyDescent="0.35">
      <c r="A32" s="92"/>
      <c r="B32" s="94"/>
      <c r="C32" s="144"/>
      <c r="D32" s="11" t="s">
        <v>2965</v>
      </c>
      <c r="E32" s="1265" t="str">
        <f>Translations!$B$86</f>
        <v>Telephone:</v>
      </c>
      <c r="F32" s="1266"/>
      <c r="G32" s="1266"/>
      <c r="H32" s="1267"/>
      <c r="I32" s="1228"/>
      <c r="J32" s="1229"/>
      <c r="K32" s="1229"/>
      <c r="L32" s="1229"/>
      <c r="M32" s="1229"/>
      <c r="N32" s="1230"/>
      <c r="O32" s="428"/>
      <c r="Q32" s="144"/>
      <c r="R32" s="171"/>
      <c r="S32" s="171"/>
      <c r="T32" s="171"/>
      <c r="U32" s="171"/>
      <c r="V32" s="171"/>
      <c r="W32" s="171"/>
      <c r="X32" s="171"/>
      <c r="Y32" s="171"/>
      <c r="Z32" s="171"/>
      <c r="AA32" s="171"/>
      <c r="AB32" s="171"/>
      <c r="AC32" s="171"/>
      <c r="AD32" s="171"/>
      <c r="AE32" s="171"/>
      <c r="AF32" s="171"/>
      <c r="AG32" s="171"/>
      <c r="AH32" s="171"/>
      <c r="AI32" s="427"/>
    </row>
    <row r="33" spans="1:35" ht="12.75" customHeight="1" x14ac:dyDescent="0.35">
      <c r="A33" s="92"/>
      <c r="B33" s="94"/>
      <c r="C33" s="144"/>
      <c r="D33" s="144"/>
      <c r="E33" s="144"/>
      <c r="F33" s="144"/>
      <c r="G33" s="144"/>
      <c r="H33" s="144"/>
      <c r="I33" s="144"/>
      <c r="J33" s="144"/>
      <c r="K33" s="144"/>
      <c r="L33" s="144"/>
      <c r="M33" s="144"/>
      <c r="N33" s="144"/>
      <c r="O33" s="428"/>
      <c r="Q33" s="144"/>
      <c r="R33" s="171"/>
      <c r="S33" s="171"/>
      <c r="T33" s="171"/>
      <c r="U33" s="171"/>
      <c r="V33" s="171"/>
      <c r="W33" s="171"/>
      <c r="X33" s="171"/>
      <c r="Y33" s="171"/>
      <c r="Z33" s="171"/>
      <c r="AA33" s="171"/>
      <c r="AB33" s="171"/>
      <c r="AC33" s="171"/>
      <c r="AD33" s="171"/>
      <c r="AE33" s="171"/>
      <c r="AF33" s="171"/>
      <c r="AG33" s="171"/>
      <c r="AH33" s="171"/>
      <c r="AI33" s="427"/>
    </row>
    <row r="34" spans="1:35" ht="18" customHeight="1" x14ac:dyDescent="0.35">
      <c r="A34" s="919">
        <f>C34</f>
        <v>3</v>
      </c>
      <c r="B34" s="94"/>
      <c r="C34" s="908">
        <v>3</v>
      </c>
      <c r="D34" s="909" t="str">
        <f>Translations!$B$87</f>
        <v>Verifier of the report – only if available and not required during transitional period</v>
      </c>
      <c r="E34" s="909"/>
      <c r="F34" s="910"/>
      <c r="G34" s="910"/>
      <c r="H34" s="910"/>
      <c r="I34" s="910"/>
      <c r="J34" s="910"/>
      <c r="K34" s="910"/>
      <c r="L34" s="910"/>
      <c r="M34" s="910"/>
      <c r="N34" s="910"/>
      <c r="O34" s="428"/>
      <c r="Q34" s="144"/>
      <c r="R34" s="102" t="s">
        <v>636</v>
      </c>
      <c r="S34" s="171"/>
      <c r="T34" s="171"/>
      <c r="U34" s="171"/>
      <c r="V34" s="171"/>
      <c r="W34" s="171"/>
      <c r="X34" s="171"/>
      <c r="Y34" s="171"/>
      <c r="Z34" s="171"/>
      <c r="AA34" s="171"/>
      <c r="AB34" s="171"/>
      <c r="AC34" s="171"/>
      <c r="AD34" s="171"/>
      <c r="AE34" s="171"/>
      <c r="AF34" s="171"/>
      <c r="AG34" s="171"/>
      <c r="AH34" s="171"/>
      <c r="AI34" s="427"/>
    </row>
    <row r="35" spans="1:35" ht="5.15" customHeight="1" x14ac:dyDescent="0.35">
      <c r="A35" s="92"/>
      <c r="B35" s="94"/>
      <c r="C35" s="144"/>
      <c r="D35" s="10"/>
      <c r="E35" s="10"/>
      <c r="F35" s="10"/>
      <c r="G35" s="10"/>
      <c r="H35" s="10"/>
      <c r="I35" s="10"/>
      <c r="J35" s="10"/>
      <c r="K35" s="10"/>
      <c r="L35" s="10"/>
      <c r="M35" s="10"/>
      <c r="N35" s="10"/>
      <c r="O35" s="428"/>
      <c r="Q35" s="144"/>
      <c r="R35" s="171"/>
      <c r="S35" s="171"/>
      <c r="T35" s="171"/>
      <c r="U35" s="171"/>
      <c r="V35" s="171"/>
      <c r="W35" s="171"/>
      <c r="X35" s="171"/>
      <c r="Y35" s="171"/>
      <c r="Z35" s="171"/>
      <c r="AA35" s="171"/>
      <c r="AB35" s="171"/>
      <c r="AC35" s="171"/>
      <c r="AD35" s="171"/>
      <c r="AE35" s="171"/>
      <c r="AF35" s="171"/>
      <c r="AG35" s="171"/>
      <c r="AH35" s="171"/>
      <c r="AI35" s="427"/>
    </row>
    <row r="36" spans="1:35" ht="12.75" customHeight="1" x14ac:dyDescent="0.35">
      <c r="A36" s="92"/>
      <c r="B36" s="94"/>
      <c r="C36" s="144"/>
      <c r="D36" s="10" t="s">
        <v>4</v>
      </c>
      <c r="E36" s="1234" t="str">
        <f>Translations!$B$89</f>
        <v>Name and address of the verifier of this report:</v>
      </c>
      <c r="F36" s="1234"/>
      <c r="G36" s="1234"/>
      <c r="H36" s="1234"/>
      <c r="I36" s="1234"/>
      <c r="J36" s="1234"/>
      <c r="K36" s="1234"/>
      <c r="L36" s="1234"/>
      <c r="M36" s="1234"/>
      <c r="N36" s="1234"/>
      <c r="O36" s="428"/>
      <c r="Q36" s="144"/>
      <c r="R36" s="171"/>
      <c r="S36" s="171"/>
      <c r="T36" s="171"/>
      <c r="U36" s="171"/>
      <c r="V36" s="171"/>
      <c r="W36" s="171"/>
      <c r="X36" s="171"/>
      <c r="Y36" s="171"/>
      <c r="Z36" s="171"/>
      <c r="AA36" s="171"/>
      <c r="AB36" s="171"/>
      <c r="AC36" s="171"/>
      <c r="AD36" s="171"/>
      <c r="AE36" s="171"/>
      <c r="AF36" s="171"/>
      <c r="AG36" s="171"/>
      <c r="AH36" s="171"/>
      <c r="AI36" s="427"/>
    </row>
    <row r="37" spans="1:35" ht="12.75" customHeight="1" x14ac:dyDescent="0.25">
      <c r="A37" s="92"/>
      <c r="B37" s="94"/>
      <c r="C37" s="144"/>
      <c r="D37" s="11" t="s">
        <v>41</v>
      </c>
      <c r="E37" s="1224" t="str">
        <f>Translations!$B$90</f>
        <v>Company Name:</v>
      </c>
      <c r="F37" s="1224"/>
      <c r="G37" s="1224"/>
      <c r="H37" s="1224"/>
      <c r="I37" s="1231"/>
      <c r="J37" s="1232"/>
      <c r="K37" s="1232"/>
      <c r="L37" s="1232"/>
      <c r="M37" s="1232"/>
      <c r="N37" s="1233"/>
      <c r="O37" s="428"/>
      <c r="Q37" s="144"/>
      <c r="R37" s="171"/>
      <c r="S37" s="171"/>
      <c r="T37" s="171"/>
      <c r="U37" s="171"/>
      <c r="V37" s="171"/>
      <c r="W37" s="171"/>
      <c r="X37" s="171"/>
      <c r="Y37" s="171"/>
      <c r="Z37" s="171"/>
      <c r="AA37" s="171"/>
      <c r="AB37" s="171"/>
      <c r="AC37" s="171"/>
      <c r="AD37" s="171"/>
      <c r="AE37" s="171"/>
      <c r="AF37" s="171"/>
      <c r="AG37" s="171"/>
      <c r="AH37" s="171"/>
      <c r="AI37" s="427"/>
    </row>
    <row r="38" spans="1:35" ht="12.75" customHeight="1" x14ac:dyDescent="0.25">
      <c r="A38" s="92"/>
      <c r="B38" s="94"/>
      <c r="C38" s="144"/>
      <c r="D38" s="11" t="s">
        <v>42</v>
      </c>
      <c r="E38" s="1222" t="str">
        <f>Translations!$B$75</f>
        <v>Street, Number:</v>
      </c>
      <c r="F38" s="1222"/>
      <c r="G38" s="1222"/>
      <c r="H38" s="1222"/>
      <c r="I38" s="1225"/>
      <c r="J38" s="1226"/>
      <c r="K38" s="1226"/>
      <c r="L38" s="1226"/>
      <c r="M38" s="1226"/>
      <c r="N38" s="1227"/>
      <c r="O38" s="428"/>
      <c r="Q38" s="144"/>
      <c r="R38" s="171"/>
      <c r="S38" s="171"/>
      <c r="T38" s="171"/>
      <c r="U38" s="171"/>
      <c r="V38" s="171"/>
      <c r="W38" s="171"/>
      <c r="X38" s="171"/>
      <c r="Y38" s="171"/>
      <c r="Z38" s="171"/>
      <c r="AA38" s="171"/>
      <c r="AB38" s="171"/>
      <c r="AC38" s="171"/>
      <c r="AD38" s="171"/>
      <c r="AE38" s="171"/>
      <c r="AF38" s="171"/>
      <c r="AG38" s="171"/>
      <c r="AH38" s="171"/>
      <c r="AI38" s="427"/>
    </row>
    <row r="39" spans="1:35" ht="12.75" customHeight="1" x14ac:dyDescent="0.25">
      <c r="A39" s="92"/>
      <c r="B39" s="94"/>
      <c r="C39" s="144"/>
      <c r="D39" s="11" t="s">
        <v>43</v>
      </c>
      <c r="E39" s="1222" t="str">
        <f>Translations!$B$79</f>
        <v>City:</v>
      </c>
      <c r="F39" s="1222"/>
      <c r="G39" s="1222"/>
      <c r="H39" s="1222"/>
      <c r="I39" s="1225"/>
      <c r="J39" s="1226"/>
      <c r="K39" s="1226"/>
      <c r="L39" s="1226"/>
      <c r="M39" s="1226"/>
      <c r="N39" s="1227"/>
      <c r="O39" s="428"/>
      <c r="Q39" s="144"/>
      <c r="R39" s="171"/>
      <c r="S39" s="171"/>
      <c r="T39" s="171"/>
      <c r="U39" s="171"/>
      <c r="V39" s="171"/>
      <c r="W39" s="171"/>
      <c r="X39" s="171"/>
      <c r="Y39" s="171"/>
      <c r="Z39" s="171"/>
      <c r="AA39" s="171"/>
      <c r="AB39" s="171"/>
      <c r="AC39" s="171"/>
      <c r="AD39" s="171"/>
      <c r="AE39" s="171"/>
      <c r="AF39" s="171"/>
      <c r="AG39" s="171"/>
      <c r="AH39" s="171"/>
      <c r="AI39" s="427"/>
    </row>
    <row r="40" spans="1:35" ht="12.75" customHeight="1" x14ac:dyDescent="0.25">
      <c r="A40" s="92"/>
      <c r="B40" s="94"/>
      <c r="C40" s="144"/>
      <c r="D40" s="11" t="s">
        <v>44</v>
      </c>
      <c r="E40" s="1222" t="str">
        <f>Translations!$B$91</f>
        <v>Postcode/ZIP:</v>
      </c>
      <c r="F40" s="1222"/>
      <c r="G40" s="1222"/>
      <c r="H40" s="1222"/>
      <c r="I40" s="1225"/>
      <c r="J40" s="1226"/>
      <c r="K40" s="1226"/>
      <c r="L40" s="1226"/>
      <c r="M40" s="1226"/>
      <c r="N40" s="1227"/>
      <c r="O40" s="428"/>
      <c r="Q40" s="144"/>
      <c r="R40" s="171"/>
      <c r="S40" s="171"/>
      <c r="T40" s="171"/>
      <c r="U40" s="171"/>
      <c r="V40" s="171"/>
      <c r="W40" s="171"/>
      <c r="X40" s="171"/>
      <c r="Y40" s="171"/>
      <c r="Z40" s="171"/>
      <c r="AA40" s="171"/>
      <c r="AB40" s="171"/>
      <c r="AC40" s="171"/>
      <c r="AD40" s="171"/>
      <c r="AE40" s="171"/>
      <c r="AF40" s="171"/>
      <c r="AG40" s="171"/>
      <c r="AH40" s="171"/>
      <c r="AI40" s="427"/>
    </row>
    <row r="41" spans="1:35" ht="12.75" customHeight="1" x14ac:dyDescent="0.25">
      <c r="A41" s="92"/>
      <c r="B41" s="94"/>
      <c r="C41" s="144"/>
      <c r="D41" s="11" t="s">
        <v>45</v>
      </c>
      <c r="E41" s="1223" t="str">
        <f>Translations!$B$80</f>
        <v>Country:</v>
      </c>
      <c r="F41" s="1223"/>
      <c r="G41" s="1223"/>
      <c r="H41" s="1223"/>
      <c r="I41" s="1228"/>
      <c r="J41" s="1229"/>
      <c r="K41" s="1229"/>
      <c r="L41" s="1229"/>
      <c r="M41" s="1229"/>
      <c r="N41" s="1230"/>
      <c r="O41" s="428"/>
      <c r="Q41" s="144"/>
      <c r="R41" s="171"/>
      <c r="S41" s="171"/>
      <c r="T41" s="171"/>
      <c r="U41" s="171"/>
      <c r="V41" s="171"/>
      <c r="W41" s="171"/>
      <c r="X41" s="171"/>
      <c r="Y41" s="171"/>
      <c r="Z41" s="171"/>
      <c r="AA41" s="171"/>
      <c r="AB41" s="171"/>
      <c r="AC41" s="171"/>
      <c r="AD41" s="171"/>
      <c r="AE41" s="171"/>
      <c r="AF41" s="171"/>
      <c r="AG41" s="171"/>
      <c r="AH41" s="171"/>
      <c r="AI41" s="427"/>
    </row>
    <row r="42" spans="1:35" ht="5.15" customHeight="1" x14ac:dyDescent="0.35">
      <c r="A42" s="92"/>
      <c r="B42" s="94"/>
      <c r="C42" s="144"/>
      <c r="D42" s="144"/>
      <c r="E42" s="144"/>
      <c r="F42" s="144"/>
      <c r="G42" s="144"/>
      <c r="H42" s="144"/>
      <c r="I42" s="144"/>
      <c r="J42" s="144"/>
      <c r="K42" s="144"/>
      <c r="L42" s="144"/>
      <c r="M42" s="144"/>
      <c r="N42" s="144"/>
      <c r="O42" s="428"/>
      <c r="Q42" s="144"/>
      <c r="R42" s="171"/>
      <c r="S42" s="171"/>
      <c r="T42" s="171"/>
      <c r="U42" s="171"/>
      <c r="V42" s="171"/>
      <c r="W42" s="171"/>
      <c r="X42" s="171"/>
      <c r="Y42" s="171"/>
      <c r="Z42" s="171"/>
      <c r="AA42" s="171"/>
      <c r="AB42" s="171"/>
      <c r="AC42" s="171"/>
      <c r="AD42" s="171"/>
      <c r="AE42" s="171"/>
      <c r="AF42" s="171"/>
      <c r="AG42" s="171"/>
      <c r="AH42" s="171"/>
      <c r="AI42" s="427"/>
    </row>
    <row r="43" spans="1:35" ht="12.75" customHeight="1" x14ac:dyDescent="0.35">
      <c r="A43" s="92"/>
      <c r="B43" s="94"/>
      <c r="C43" s="144"/>
      <c r="D43" s="10" t="s">
        <v>48</v>
      </c>
      <c r="E43" s="1234" t="str">
        <f>Translations!$B$92</f>
        <v>Authorised representative of the verifier:</v>
      </c>
      <c r="F43" s="1234"/>
      <c r="G43" s="1234"/>
      <c r="H43" s="1234"/>
      <c r="I43" s="1234"/>
      <c r="J43" s="1234"/>
      <c r="K43" s="1234"/>
      <c r="L43" s="1234"/>
      <c r="M43" s="1234"/>
      <c r="N43" s="1234"/>
      <c r="O43" s="428"/>
      <c r="Q43" s="144"/>
      <c r="R43" s="171"/>
      <c r="S43" s="171"/>
      <c r="T43" s="171"/>
      <c r="U43" s="171"/>
      <c r="V43" s="171"/>
      <c r="W43" s="171"/>
      <c r="X43" s="171"/>
      <c r="Y43" s="171"/>
      <c r="Z43" s="171"/>
      <c r="AA43" s="171"/>
      <c r="AB43" s="171"/>
      <c r="AC43" s="171"/>
      <c r="AD43" s="171"/>
      <c r="AE43" s="171"/>
      <c r="AF43" s="171"/>
      <c r="AG43" s="171"/>
      <c r="AH43" s="171"/>
      <c r="AI43" s="427"/>
    </row>
    <row r="44" spans="1:35" ht="12.75" customHeight="1" x14ac:dyDescent="0.35">
      <c r="A44" s="92"/>
      <c r="B44" s="94"/>
      <c r="C44" s="144"/>
      <c r="D44" s="144"/>
      <c r="E44" s="1259" t="str">
        <f>Translations!$B$93</f>
        <v>The nominated person should be familiar with this report. Ideally it is the lead verifier involved with this report.</v>
      </c>
      <c r="F44" s="1259"/>
      <c r="G44" s="1259"/>
      <c r="H44" s="1259"/>
      <c r="I44" s="1259"/>
      <c r="J44" s="1259"/>
      <c r="K44" s="1259"/>
      <c r="L44" s="1259"/>
      <c r="M44" s="1259"/>
      <c r="N44" s="1259"/>
      <c r="O44" s="428"/>
      <c r="Q44" s="144"/>
      <c r="R44" s="171"/>
      <c r="S44" s="171"/>
      <c r="T44" s="171"/>
      <c r="U44" s="171"/>
      <c r="V44" s="171"/>
      <c r="W44" s="171"/>
      <c r="X44" s="171"/>
      <c r="Y44" s="171"/>
      <c r="Z44" s="171"/>
      <c r="AA44" s="171"/>
      <c r="AB44" s="171"/>
      <c r="AC44" s="171"/>
      <c r="AD44" s="171"/>
      <c r="AE44" s="171"/>
      <c r="AF44" s="171"/>
      <c r="AG44" s="171"/>
      <c r="AH44" s="171"/>
      <c r="AI44" s="427"/>
    </row>
    <row r="45" spans="1:35" ht="12.75" customHeight="1" x14ac:dyDescent="0.25">
      <c r="A45" s="92"/>
      <c r="B45" s="94"/>
      <c r="C45" s="144"/>
      <c r="D45" s="11" t="s">
        <v>41</v>
      </c>
      <c r="E45" s="1224" t="str">
        <f>Translations!$B$94</f>
        <v>Name:</v>
      </c>
      <c r="F45" s="1224"/>
      <c r="G45" s="1224"/>
      <c r="H45" s="1224"/>
      <c r="I45" s="1231"/>
      <c r="J45" s="1232"/>
      <c r="K45" s="1232"/>
      <c r="L45" s="1232"/>
      <c r="M45" s="1232"/>
      <c r="N45" s="1233"/>
      <c r="O45" s="428"/>
      <c r="Q45" s="144"/>
      <c r="R45" s="171"/>
      <c r="S45" s="171"/>
      <c r="T45" s="171"/>
      <c r="U45" s="171"/>
      <c r="V45" s="171"/>
      <c r="W45" s="171"/>
      <c r="X45" s="171"/>
      <c r="Y45" s="171"/>
      <c r="Z45" s="171"/>
      <c r="AA45" s="171"/>
      <c r="AB45" s="171"/>
      <c r="AC45" s="171"/>
      <c r="AD45" s="171"/>
      <c r="AE45" s="171"/>
      <c r="AF45" s="171"/>
      <c r="AG45" s="171"/>
      <c r="AH45" s="171"/>
      <c r="AI45" s="427"/>
    </row>
    <row r="46" spans="1:35" ht="12.75" customHeight="1" x14ac:dyDescent="0.25">
      <c r="A46" s="92"/>
      <c r="B46" s="94"/>
      <c r="C46" s="144"/>
      <c r="D46" s="11" t="s">
        <v>42</v>
      </c>
      <c r="E46" s="1222" t="str">
        <f>Translations!$B$95</f>
        <v>Email address:</v>
      </c>
      <c r="F46" s="1222"/>
      <c r="G46" s="1222"/>
      <c r="H46" s="1222"/>
      <c r="I46" s="1225"/>
      <c r="J46" s="1226"/>
      <c r="K46" s="1226"/>
      <c r="L46" s="1226"/>
      <c r="M46" s="1226"/>
      <c r="N46" s="1227"/>
      <c r="O46" s="428"/>
      <c r="Q46" s="144"/>
      <c r="R46" s="171"/>
      <c r="S46" s="171"/>
      <c r="T46" s="171"/>
      <c r="U46" s="171"/>
      <c r="V46" s="171"/>
      <c r="W46" s="171"/>
      <c r="X46" s="171"/>
      <c r="Y46" s="171"/>
      <c r="Z46" s="171"/>
      <c r="AA46" s="171"/>
      <c r="AB46" s="171"/>
      <c r="AC46" s="171"/>
      <c r="AD46" s="171"/>
      <c r="AE46" s="171"/>
      <c r="AF46" s="171"/>
      <c r="AG46" s="171"/>
      <c r="AH46" s="171"/>
      <c r="AI46" s="427"/>
    </row>
    <row r="47" spans="1:35" ht="12.75" customHeight="1" x14ac:dyDescent="0.25">
      <c r="A47" s="92"/>
      <c r="B47" s="94"/>
      <c r="C47" s="144"/>
      <c r="D47" s="11" t="s">
        <v>43</v>
      </c>
      <c r="E47" s="1222" t="str">
        <f>Translations!$B$96</f>
        <v>Telephone number:</v>
      </c>
      <c r="F47" s="1222"/>
      <c r="G47" s="1222"/>
      <c r="H47" s="1222"/>
      <c r="I47" s="1225"/>
      <c r="J47" s="1226"/>
      <c r="K47" s="1226"/>
      <c r="L47" s="1226"/>
      <c r="M47" s="1226"/>
      <c r="N47" s="1227"/>
      <c r="O47" s="428"/>
      <c r="Q47" s="144"/>
      <c r="R47" s="171"/>
      <c r="S47" s="171"/>
      <c r="T47" s="171"/>
      <c r="U47" s="171"/>
      <c r="V47" s="171"/>
      <c r="W47" s="171"/>
      <c r="X47" s="171"/>
      <c r="Y47" s="171"/>
      <c r="Z47" s="171"/>
      <c r="AA47" s="171"/>
      <c r="AB47" s="171"/>
      <c r="AC47" s="171"/>
      <c r="AD47" s="171"/>
      <c r="AE47" s="171"/>
      <c r="AF47" s="171"/>
      <c r="AG47" s="171"/>
      <c r="AH47" s="171"/>
      <c r="AI47" s="427"/>
    </row>
    <row r="48" spans="1:35" ht="12.75" customHeight="1" x14ac:dyDescent="0.25">
      <c r="A48" s="92"/>
      <c r="B48" s="94"/>
      <c r="C48" s="144"/>
      <c r="D48" s="11" t="s">
        <v>44</v>
      </c>
      <c r="E48" s="1223" t="str">
        <f>Translations!$B$97</f>
        <v>Fax:</v>
      </c>
      <c r="F48" s="1223"/>
      <c r="G48" s="1223"/>
      <c r="H48" s="1223"/>
      <c r="I48" s="1228"/>
      <c r="J48" s="1229"/>
      <c r="K48" s="1229"/>
      <c r="L48" s="1229"/>
      <c r="M48" s="1229"/>
      <c r="N48" s="1230"/>
      <c r="O48" s="428"/>
      <c r="Q48" s="144"/>
      <c r="R48" s="171"/>
      <c r="S48" s="171"/>
      <c r="T48" s="171"/>
      <c r="U48" s="171"/>
      <c r="V48" s="171"/>
      <c r="W48" s="171"/>
      <c r="X48" s="171"/>
      <c r="Y48" s="171"/>
      <c r="Z48" s="171"/>
      <c r="AA48" s="171"/>
      <c r="AB48" s="171"/>
      <c r="AC48" s="171"/>
      <c r="AD48" s="171"/>
      <c r="AE48" s="171"/>
      <c r="AF48" s="171"/>
      <c r="AG48" s="171"/>
      <c r="AH48" s="171"/>
      <c r="AI48" s="427"/>
    </row>
    <row r="49" spans="1:35" ht="5.15" customHeight="1" x14ac:dyDescent="0.35">
      <c r="A49" s="92"/>
      <c r="B49" s="94"/>
      <c r="C49" s="144"/>
      <c r="D49" s="144"/>
      <c r="E49" s="144"/>
      <c r="F49" s="144"/>
      <c r="G49" s="144"/>
      <c r="H49" s="144"/>
      <c r="I49" s="144"/>
      <c r="J49" s="144"/>
      <c r="K49" s="144"/>
      <c r="L49" s="144"/>
      <c r="M49" s="144"/>
      <c r="N49" s="144"/>
      <c r="O49" s="428"/>
      <c r="Q49" s="144"/>
      <c r="R49" s="171"/>
      <c r="S49" s="171"/>
      <c r="T49" s="171"/>
      <c r="U49" s="171"/>
      <c r="V49" s="171"/>
      <c r="W49" s="171"/>
      <c r="X49" s="171"/>
      <c r="Y49" s="171"/>
      <c r="Z49" s="171"/>
      <c r="AA49" s="171"/>
      <c r="AB49" s="171"/>
      <c r="AC49" s="171"/>
      <c r="AD49" s="171"/>
      <c r="AE49" s="171"/>
      <c r="AF49" s="171"/>
      <c r="AG49" s="171"/>
      <c r="AH49" s="171"/>
      <c r="AI49" s="427"/>
    </row>
    <row r="50" spans="1:35" ht="12.75" customHeight="1" x14ac:dyDescent="0.35">
      <c r="A50" s="92"/>
      <c r="B50" s="94"/>
      <c r="C50" s="144"/>
      <c r="D50" s="10" t="s">
        <v>49</v>
      </c>
      <c r="E50" s="1234" t="str">
        <f>Translations!$B$98</f>
        <v>Information about the verifier's accreditation:</v>
      </c>
      <c r="F50" s="1234"/>
      <c r="G50" s="1234"/>
      <c r="H50" s="1234"/>
      <c r="I50" s="1234"/>
      <c r="J50" s="1234"/>
      <c r="K50" s="1234"/>
      <c r="L50" s="1234"/>
      <c r="M50" s="1234"/>
      <c r="N50" s="1234"/>
      <c r="O50" s="428"/>
      <c r="Q50" s="144"/>
      <c r="R50" s="171"/>
      <c r="S50" s="171"/>
      <c r="T50" s="171"/>
      <c r="U50" s="171"/>
      <c r="V50" s="171"/>
      <c r="W50" s="171"/>
      <c r="X50" s="171"/>
      <c r="Y50" s="171"/>
      <c r="Z50" s="171"/>
      <c r="AA50" s="171"/>
      <c r="AB50" s="171"/>
      <c r="AC50" s="171"/>
      <c r="AD50" s="171"/>
      <c r="AE50" s="171"/>
      <c r="AF50" s="171"/>
      <c r="AG50" s="171"/>
      <c r="AH50" s="171"/>
      <c r="AI50" s="427"/>
    </row>
    <row r="51" spans="1:35" ht="12.75" customHeight="1" x14ac:dyDescent="0.25">
      <c r="A51" s="92"/>
      <c r="B51" s="94"/>
      <c r="C51" s="144"/>
      <c r="D51" s="11" t="s">
        <v>41</v>
      </c>
      <c r="E51" s="1224" t="str">
        <f>Translations!$B$99</f>
        <v>Accreditation Member State:</v>
      </c>
      <c r="F51" s="1224"/>
      <c r="G51" s="1224"/>
      <c r="H51" s="1224"/>
      <c r="I51" s="1231"/>
      <c r="J51" s="1232"/>
      <c r="K51" s="1232"/>
      <c r="L51" s="1232"/>
      <c r="M51" s="1232"/>
      <c r="N51" s="1233"/>
      <c r="O51" s="428"/>
      <c r="Q51" s="144"/>
      <c r="R51" s="171"/>
      <c r="S51" s="171"/>
      <c r="T51" s="171"/>
      <c r="U51" s="171"/>
      <c r="V51" s="171"/>
      <c r="W51" s="171"/>
      <c r="X51" s="171"/>
      <c r="Y51" s="171"/>
      <c r="Z51" s="171"/>
      <c r="AA51" s="171"/>
      <c r="AB51" s="171"/>
      <c r="AC51" s="171"/>
      <c r="AD51" s="171"/>
      <c r="AE51" s="171"/>
      <c r="AF51" s="171"/>
      <c r="AG51" s="171"/>
      <c r="AH51" s="171"/>
      <c r="AI51" s="427"/>
    </row>
    <row r="52" spans="1:35" ht="12.75" customHeight="1" x14ac:dyDescent="0.25">
      <c r="A52" s="92"/>
      <c r="B52" s="94"/>
      <c r="C52" s="144"/>
      <c r="D52" s="11" t="s">
        <v>42</v>
      </c>
      <c r="E52" s="1222" t="str">
        <f>Translations!$B$100</f>
        <v>Name of the national accreditation body:</v>
      </c>
      <c r="F52" s="1222"/>
      <c r="G52" s="1222"/>
      <c r="H52" s="1222"/>
      <c r="I52" s="1225"/>
      <c r="J52" s="1226"/>
      <c r="K52" s="1226"/>
      <c r="L52" s="1226"/>
      <c r="M52" s="1226"/>
      <c r="N52" s="1227"/>
      <c r="O52" s="428"/>
      <c r="Q52" s="144"/>
      <c r="R52" s="171"/>
      <c r="S52" s="171"/>
      <c r="T52" s="171"/>
      <c r="U52" s="171"/>
      <c r="V52" s="171"/>
      <c r="W52" s="171"/>
      <c r="X52" s="171"/>
      <c r="Y52" s="171"/>
      <c r="Z52" s="171"/>
      <c r="AA52" s="171"/>
      <c r="AB52" s="171"/>
      <c r="AC52" s="171"/>
      <c r="AD52" s="171"/>
      <c r="AE52" s="171"/>
      <c r="AF52" s="171"/>
      <c r="AG52" s="171"/>
      <c r="AH52" s="171"/>
      <c r="AI52" s="427"/>
    </row>
    <row r="53" spans="1:35" ht="12.75" customHeight="1" x14ac:dyDescent="0.25">
      <c r="A53" s="92"/>
      <c r="B53" s="94"/>
      <c r="C53" s="144"/>
      <c r="D53" s="11" t="s">
        <v>43</v>
      </c>
      <c r="E53" s="1223" t="str">
        <f>Translations!$B$101</f>
        <v>Registration number issued by the Accreditation body:</v>
      </c>
      <c r="F53" s="1223"/>
      <c r="G53" s="1223"/>
      <c r="H53" s="1223"/>
      <c r="I53" s="1228"/>
      <c r="J53" s="1229"/>
      <c r="K53" s="1229"/>
      <c r="L53" s="1229"/>
      <c r="M53" s="1229"/>
      <c r="N53" s="1230"/>
      <c r="O53" s="428"/>
      <c r="Q53" s="144"/>
      <c r="R53" s="171"/>
      <c r="S53" s="171"/>
      <c r="T53" s="171"/>
      <c r="U53" s="171"/>
      <c r="V53" s="171"/>
      <c r="W53" s="171"/>
      <c r="X53" s="171"/>
      <c r="Y53" s="171"/>
      <c r="Z53" s="171"/>
      <c r="AA53" s="171"/>
      <c r="AB53" s="171"/>
      <c r="AC53" s="171"/>
      <c r="AD53" s="171"/>
      <c r="AE53" s="171"/>
      <c r="AF53" s="171"/>
      <c r="AG53" s="171"/>
      <c r="AH53" s="171"/>
      <c r="AI53" s="427"/>
    </row>
    <row r="54" spans="1:35" ht="12.75" customHeight="1" x14ac:dyDescent="0.35">
      <c r="A54" s="92"/>
      <c r="B54" s="94"/>
      <c r="C54" s="144"/>
      <c r="D54" s="144"/>
      <c r="E54" s="144"/>
      <c r="F54" s="144"/>
      <c r="G54" s="144"/>
      <c r="H54" s="144"/>
      <c r="I54" s="144"/>
      <c r="J54" s="144"/>
      <c r="K54" s="144"/>
      <c r="L54" s="144"/>
      <c r="M54" s="144"/>
      <c r="N54" s="144"/>
      <c r="O54" s="428"/>
      <c r="Q54" s="144"/>
      <c r="R54" s="171"/>
      <c r="S54" s="171"/>
      <c r="T54" s="171"/>
      <c r="U54" s="171"/>
      <c r="V54" s="171"/>
      <c r="W54" s="171"/>
      <c r="X54" s="171"/>
      <c r="Y54" s="171"/>
      <c r="Z54" s="171"/>
      <c r="AA54" s="171"/>
      <c r="AB54" s="171"/>
      <c r="AC54" s="171"/>
      <c r="AD54" s="171"/>
      <c r="AE54" s="171"/>
      <c r="AF54" s="171"/>
      <c r="AG54" s="171"/>
      <c r="AH54" s="171"/>
      <c r="AI54" s="427"/>
    </row>
    <row r="55" spans="1:35" ht="18" customHeight="1" x14ac:dyDescent="0.35">
      <c r="A55" s="919">
        <f>C55</f>
        <v>4</v>
      </c>
      <c r="B55" s="94"/>
      <c r="C55" s="908">
        <v>4</v>
      </c>
      <c r="D55" s="909" t="str">
        <f>Translations!$B$102</f>
        <v>Aggregated goods categories and relevant production processes</v>
      </c>
      <c r="E55" s="909"/>
      <c r="F55" s="910"/>
      <c r="G55" s="910"/>
      <c r="H55" s="910"/>
      <c r="I55" s="910"/>
      <c r="J55" s="910"/>
      <c r="K55" s="910"/>
      <c r="L55" s="910"/>
      <c r="M55" s="910"/>
      <c r="N55" s="910"/>
      <c r="O55" s="428"/>
      <c r="Q55" s="144"/>
      <c r="R55" s="102" t="s">
        <v>3010</v>
      </c>
      <c r="S55" s="171"/>
      <c r="T55" s="171"/>
      <c r="U55" s="171"/>
      <c r="V55" s="171"/>
      <c r="W55" s="171"/>
      <c r="X55" s="171"/>
      <c r="Y55" s="171"/>
      <c r="Z55" s="171"/>
      <c r="AA55" s="171"/>
      <c r="AB55" s="171"/>
      <c r="AC55" s="171"/>
      <c r="AD55" s="171"/>
      <c r="AE55" s="171"/>
      <c r="AF55" s="171"/>
      <c r="AG55" s="171"/>
      <c r="AH55" s="171"/>
      <c r="AI55" s="427"/>
    </row>
    <row r="56" spans="1:35" ht="12.75" customHeight="1" x14ac:dyDescent="0.35">
      <c r="A56" s="92"/>
      <c r="B56" s="94"/>
      <c r="C56" s="144"/>
      <c r="D56" s="144"/>
      <c r="E56" s="144"/>
      <c r="F56" s="144"/>
      <c r="G56" s="144"/>
      <c r="H56" s="144"/>
      <c r="I56" s="144"/>
      <c r="J56" s="144"/>
      <c r="K56" s="144"/>
      <c r="L56" s="144"/>
      <c r="M56" s="144"/>
      <c r="N56" s="144"/>
      <c r="O56" s="428"/>
      <c r="Q56" s="144"/>
      <c r="R56" s="171"/>
      <c r="S56" s="171"/>
      <c r="T56" s="171"/>
      <c r="U56" s="171"/>
      <c r="V56" s="171"/>
      <c r="W56" s="171"/>
      <c r="X56" s="171"/>
      <c r="Y56" s="171"/>
      <c r="Z56" s="171"/>
      <c r="AA56" s="171"/>
      <c r="AB56" s="171"/>
      <c r="AC56" s="171"/>
      <c r="AD56" s="171"/>
      <c r="AE56" s="171"/>
      <c r="AF56" s="171"/>
      <c r="AG56" s="171"/>
      <c r="AH56" s="171"/>
      <c r="AI56" s="427"/>
    </row>
    <row r="57" spans="1:35" ht="12.75" customHeight="1" x14ac:dyDescent="0.35">
      <c r="A57" s="92"/>
      <c r="B57" s="94"/>
      <c r="C57" s="144"/>
      <c r="D57" s="10" t="s">
        <v>4</v>
      </c>
      <c r="E57" s="1234" t="str">
        <f>Translations!$B$104</f>
        <v>List of aggregated goods categories, relevant precursors and corresponding production routes</v>
      </c>
      <c r="F57" s="1234"/>
      <c r="G57" s="1234"/>
      <c r="H57" s="1234"/>
      <c r="I57" s="1234"/>
      <c r="J57" s="1234"/>
      <c r="K57" s="1234"/>
      <c r="L57" s="1234"/>
      <c r="M57" s="1234"/>
      <c r="N57" s="1234"/>
      <c r="O57" s="428"/>
      <c r="Q57" s="144"/>
      <c r="R57" s="171"/>
      <c r="S57" s="171"/>
      <c r="T57" s="171"/>
      <c r="U57" s="171"/>
      <c r="V57" s="171"/>
      <c r="W57" s="171"/>
      <c r="X57" s="171"/>
      <c r="Y57" s="171"/>
      <c r="Z57" s="171"/>
      <c r="AA57" s="171"/>
      <c r="AB57" s="171"/>
      <c r="AC57" s="171"/>
      <c r="AD57" s="171"/>
      <c r="AE57" s="171"/>
      <c r="AF57" s="171"/>
      <c r="AG57" s="171"/>
      <c r="AH57" s="171"/>
      <c r="AI57" s="427"/>
    </row>
    <row r="58" spans="1:35" ht="12.75" customHeight="1" x14ac:dyDescent="0.25">
      <c r="A58" s="92"/>
      <c r="B58" s="94"/>
      <c r="C58" s="144"/>
      <c r="D58" s="144"/>
      <c r="E58" s="1237" t="str">
        <f>Translations!$B$105</f>
        <v>Please list here ALL aggregated goods categories, including any relevant precursor types produced WITHIN the installation.</v>
      </c>
      <c r="F58" s="1237"/>
      <c r="G58" s="1237"/>
      <c r="H58" s="1237"/>
      <c r="I58" s="1237"/>
      <c r="J58" s="1237"/>
      <c r="K58" s="1237"/>
      <c r="L58" s="1237"/>
      <c r="M58" s="1237"/>
      <c r="N58" s="1237"/>
      <c r="O58" s="428"/>
      <c r="Q58" s="144"/>
      <c r="R58" s="171"/>
      <c r="S58" s="927"/>
      <c r="T58" s="171"/>
      <c r="U58" s="171"/>
      <c r="V58" s="171"/>
      <c r="W58" s="171"/>
      <c r="X58" s="171"/>
      <c r="Y58" s="171"/>
      <c r="Z58" s="171"/>
      <c r="AA58" s="171"/>
      <c r="AB58" s="171"/>
      <c r="AC58" s="171"/>
      <c r="AD58" s="171"/>
      <c r="AE58" s="171"/>
      <c r="AF58" s="171"/>
      <c r="AG58" s="171"/>
      <c r="AH58" s="171"/>
      <c r="AI58" s="427"/>
    </row>
    <row r="59" spans="1:35" ht="12.75" customHeight="1" x14ac:dyDescent="0.25">
      <c r="A59" s="92"/>
      <c r="B59" s="94"/>
      <c r="C59" s="144"/>
      <c r="D59" s="144"/>
      <c r="E59" s="1237" t="str">
        <f>Translations!$B$106</f>
        <v>Where relevant, please list all production routes through which the aggregated goods are produced.</v>
      </c>
      <c r="F59" s="1237"/>
      <c r="G59" s="1237"/>
      <c r="H59" s="1237"/>
      <c r="I59" s="1237"/>
      <c r="J59" s="1237"/>
      <c r="K59" s="1237"/>
      <c r="L59" s="1237"/>
      <c r="M59" s="1237"/>
      <c r="N59" s="1237"/>
      <c r="O59" s="428"/>
      <c r="Q59" s="144"/>
      <c r="R59" s="171"/>
      <c r="S59" s="927"/>
      <c r="T59" s="171"/>
      <c r="U59" s="171"/>
      <c r="V59" s="171"/>
      <c r="W59" s="171"/>
      <c r="X59" s="171"/>
      <c r="Y59" s="171"/>
      <c r="Z59" s="171"/>
      <c r="AA59" s="171"/>
      <c r="AB59" s="171"/>
      <c r="AC59" s="171"/>
      <c r="AD59" s="171"/>
      <c r="AE59" s="171"/>
      <c r="AF59" s="171"/>
      <c r="AG59" s="171"/>
      <c r="AH59" s="171"/>
      <c r="AI59" s="427"/>
    </row>
    <row r="60" spans="1:35" ht="5.15" customHeight="1" x14ac:dyDescent="0.25">
      <c r="A60" s="92"/>
      <c r="B60" s="94"/>
      <c r="C60" s="144"/>
      <c r="D60" s="914"/>
      <c r="E60" s="915"/>
      <c r="F60" s="915"/>
      <c r="G60" s="915"/>
      <c r="H60" s="915"/>
      <c r="I60" s="915"/>
      <c r="J60" s="915"/>
      <c r="K60" s="915"/>
      <c r="L60" s="915"/>
      <c r="M60" s="915"/>
      <c r="N60" s="144"/>
      <c r="O60" s="428"/>
      <c r="Q60" s="144"/>
      <c r="R60" s="171"/>
      <c r="S60" s="171"/>
      <c r="T60" s="171"/>
      <c r="U60" s="171"/>
      <c r="V60" s="171"/>
      <c r="W60" s="171"/>
      <c r="X60" s="171"/>
      <c r="Y60" s="171"/>
      <c r="Z60" s="171"/>
      <c r="AA60" s="171"/>
      <c r="AB60" s="171"/>
      <c r="AC60" s="171"/>
      <c r="AD60" s="171"/>
      <c r="AE60" s="171"/>
      <c r="AF60" s="171"/>
      <c r="AG60" s="171"/>
      <c r="AH60" s="171"/>
      <c r="AI60" s="427"/>
    </row>
    <row r="61" spans="1:35" ht="12.75" customHeight="1" x14ac:dyDescent="0.3">
      <c r="A61" s="92"/>
      <c r="B61" s="94"/>
      <c r="C61" s="144"/>
      <c r="D61" s="112" t="s">
        <v>126</v>
      </c>
      <c r="E61" s="1285" t="str">
        <f>Translations!$B$107</f>
        <v>Aggregated goods category</v>
      </c>
      <c r="F61" s="1285"/>
      <c r="G61" s="1175" t="str">
        <f>Translations!$B$108</f>
        <v>Route</v>
      </c>
      <c r="H61" s="1287"/>
      <c r="I61" s="113" t="str">
        <f>Translations!$B$109</f>
        <v>Route 1</v>
      </c>
      <c r="J61" s="113" t="str">
        <f>Translations!$B$110</f>
        <v>Route 2</v>
      </c>
      <c r="K61" s="113" t="str">
        <f>Translations!$B$111</f>
        <v>Route 3</v>
      </c>
      <c r="L61" s="113" t="str">
        <f>Translations!$B$112</f>
        <v>Route 4</v>
      </c>
      <c r="M61" s="113" t="str">
        <f>Translations!$B$113</f>
        <v>Route 5</v>
      </c>
      <c r="N61" s="113" t="str">
        <f>Translations!$B$114</f>
        <v>Route 6</v>
      </c>
      <c r="O61" s="428"/>
      <c r="Q61" s="144"/>
      <c r="R61" s="928" t="s">
        <v>309</v>
      </c>
      <c r="S61" s="114" t="str">
        <f>CONST_OnlyDirProd</f>
        <v>Only direct production</v>
      </c>
      <c r="T61" s="171"/>
      <c r="U61" s="171"/>
      <c r="V61" s="171"/>
      <c r="W61" s="115" t="s">
        <v>381</v>
      </c>
      <c r="X61" s="115" t="s">
        <v>382</v>
      </c>
      <c r="Y61" s="115" t="s">
        <v>383</v>
      </c>
      <c r="Z61" s="115" t="s">
        <v>384</v>
      </c>
      <c r="AA61" s="115" t="s">
        <v>385</v>
      </c>
      <c r="AB61" s="115" t="s">
        <v>386</v>
      </c>
      <c r="AC61" s="115" t="s">
        <v>387</v>
      </c>
      <c r="AD61" s="171"/>
      <c r="AE61" s="436" t="s">
        <v>2719</v>
      </c>
      <c r="AF61" s="171"/>
      <c r="AG61" s="171"/>
      <c r="AH61" s="156" t="s">
        <v>3907</v>
      </c>
      <c r="AI61" s="427"/>
    </row>
    <row r="62" spans="1:35" ht="12.75" customHeight="1" x14ac:dyDescent="0.25">
      <c r="A62" s="92"/>
      <c r="B62" s="94"/>
      <c r="C62" s="144"/>
      <c r="D62" s="134" t="s">
        <v>127</v>
      </c>
      <c r="E62" s="1288"/>
      <c r="F62" s="1288"/>
      <c r="G62" s="1286" t="str">
        <f t="shared" ref="G62:G71" si="0">IF(E62="","",IF(COUNTIF(INDEX(CONST_MATRIX_ProductionRoute,MATCH(E62,CONST_LIST_Goods,0),),CONST_NA)=9,CONST_AllProdRoutes,CONST_PleaseSelect))</f>
        <v/>
      </c>
      <c r="H62" s="1286"/>
      <c r="I62" s="528"/>
      <c r="J62" s="882"/>
      <c r="K62" s="445"/>
      <c r="L62" s="445"/>
      <c r="M62" s="445"/>
      <c r="N62" s="882"/>
      <c r="O62" s="428"/>
      <c r="Q62" s="144"/>
      <c r="R62" s="928" t="s">
        <v>308</v>
      </c>
      <c r="S62" s="114" t="str">
        <f t="shared" ref="S62:S67" si="1">IF(E62="",CONST_NA,E62)</f>
        <v>n.a.</v>
      </c>
      <c r="T62" s="102" t="str">
        <f t="shared" ref="T62:T71" si="2">IF(E62="","",INDEX(CONST_LIST_GoodsProdRouteAdd,MATCH(E62,CONST_LIST_Goods,0)))</f>
        <v/>
      </c>
      <c r="U62" s="171"/>
      <c r="V62" s="925" t="str">
        <f t="shared" ref="V62:V67" si="3">D62</f>
        <v>G1</v>
      </c>
      <c r="W62" s="105" t="str">
        <f t="shared" ref="W62:W67" si="4">IF(E62="","",MATCH(E62,CONST_LIST_Goods,0))</f>
        <v/>
      </c>
      <c r="X62" s="105" t="str">
        <f t="shared" ref="X62:AC67" si="5">IF(I62="","",$W62&amp;"_"&amp;MATCH(I62,INDEX(CONST_MATRIX_ProductionRoute,$W62,),0))</f>
        <v/>
      </c>
      <c r="Y62" s="105" t="str">
        <f t="shared" si="5"/>
        <v/>
      </c>
      <c r="Z62" s="105" t="str">
        <f t="shared" si="5"/>
        <v/>
      </c>
      <c r="AA62" s="105" t="str">
        <f t="shared" si="5"/>
        <v/>
      </c>
      <c r="AB62" s="105" t="str">
        <f t="shared" si="5"/>
        <v/>
      </c>
      <c r="AC62" s="105" t="str">
        <f t="shared" si="5"/>
        <v/>
      </c>
      <c r="AD62" s="171"/>
      <c r="AE62" s="102" t="str">
        <f t="shared" ref="AE62:AE71" si="6">IF(E62="","",COUNTIF($E$83:$K$92,E62)=0)</f>
        <v/>
      </c>
      <c r="AF62" s="171"/>
      <c r="AG62" s="102" t="str">
        <f>IF(AND(CNTR_HasEntriesA,COUNTA(E62:F71)=0),CONST_ErrorOrMissing&amp;A55,CONST_NA)</f>
        <v>n.a.</v>
      </c>
      <c r="AH62" s="116" t="str">
        <f>IF(E62="","",INDEX(Parameters_Constants!$BN$89:$BN$106,MATCH(E62,CONST_LIST_Goods,0)))</f>
        <v/>
      </c>
      <c r="AI62" s="929" t="b">
        <f t="shared" ref="AI62:AI67" si="7">OR(AND(CNTR_HasEntriesA,E62=""),AND(E62&lt;&gt;"",G62=CONST_AllProdRoutes))</f>
        <v>0</v>
      </c>
    </row>
    <row r="63" spans="1:35" ht="12.75" customHeight="1" x14ac:dyDescent="0.25">
      <c r="A63" s="92"/>
      <c r="B63" s="94"/>
      <c r="C63" s="144"/>
      <c r="D63" s="607" t="s">
        <v>127</v>
      </c>
      <c r="E63" s="1240"/>
      <c r="F63" s="1241"/>
      <c r="G63" s="1238" t="str">
        <f t="shared" si="0"/>
        <v/>
      </c>
      <c r="H63" s="1239"/>
      <c r="I63" s="540"/>
      <c r="J63" s="883"/>
      <c r="K63" s="471"/>
      <c r="L63" s="471"/>
      <c r="M63" s="471"/>
      <c r="N63" s="883"/>
      <c r="O63" s="428"/>
      <c r="Q63" s="144"/>
      <c r="R63" s="171"/>
      <c r="S63" s="114" t="str">
        <f t="shared" si="1"/>
        <v>n.a.</v>
      </c>
      <c r="T63" s="102" t="str">
        <f t="shared" si="2"/>
        <v/>
      </c>
      <c r="U63" s="171"/>
      <c r="V63" s="925" t="str">
        <f t="shared" si="3"/>
        <v>G1</v>
      </c>
      <c r="W63" s="105" t="str">
        <f t="shared" si="4"/>
        <v/>
      </c>
      <c r="X63" s="105" t="str">
        <f t="shared" si="5"/>
        <v/>
      </c>
      <c r="Y63" s="105" t="str">
        <f t="shared" si="5"/>
        <v/>
      </c>
      <c r="Z63" s="105" t="str">
        <f t="shared" si="5"/>
        <v/>
      </c>
      <c r="AA63" s="105" t="str">
        <f t="shared" si="5"/>
        <v/>
      </c>
      <c r="AB63" s="105" t="str">
        <f t="shared" si="5"/>
        <v/>
      </c>
      <c r="AC63" s="105" t="str">
        <f t="shared" si="5"/>
        <v/>
      </c>
      <c r="AD63" s="171"/>
      <c r="AE63" s="102" t="str">
        <f t="shared" si="6"/>
        <v/>
      </c>
      <c r="AF63" s="171"/>
      <c r="AG63" s="171"/>
      <c r="AH63" s="116" t="str">
        <f>IF(E63="","",INDEX(Parameters_Constants!$BN$89:$BN$106,MATCH(E63,CONST_LIST_Goods,0)))</f>
        <v/>
      </c>
      <c r="AI63" s="929" t="b">
        <f t="shared" si="7"/>
        <v>0</v>
      </c>
    </row>
    <row r="64" spans="1:35" ht="12.75" customHeight="1" x14ac:dyDescent="0.25">
      <c r="A64" s="92"/>
      <c r="B64" s="94"/>
      <c r="C64" s="144"/>
      <c r="D64" s="607" t="s">
        <v>130</v>
      </c>
      <c r="E64" s="1240"/>
      <c r="F64" s="1241"/>
      <c r="G64" s="1238" t="str">
        <f t="shared" si="0"/>
        <v/>
      </c>
      <c r="H64" s="1239"/>
      <c r="I64" s="540"/>
      <c r="J64" s="883"/>
      <c r="K64" s="471"/>
      <c r="L64" s="471"/>
      <c r="M64" s="471"/>
      <c r="N64" s="883"/>
      <c r="O64" s="428"/>
      <c r="Q64" s="144"/>
      <c r="R64" s="171"/>
      <c r="S64" s="114" t="str">
        <f t="shared" si="1"/>
        <v>n.a.</v>
      </c>
      <c r="T64" s="102" t="str">
        <f t="shared" si="2"/>
        <v/>
      </c>
      <c r="U64" s="171"/>
      <c r="V64" s="925" t="str">
        <f t="shared" si="3"/>
        <v>G3</v>
      </c>
      <c r="W64" s="105" t="str">
        <f t="shared" si="4"/>
        <v/>
      </c>
      <c r="X64" s="105" t="str">
        <f t="shared" si="5"/>
        <v/>
      </c>
      <c r="Y64" s="105" t="str">
        <f t="shared" si="5"/>
        <v/>
      </c>
      <c r="Z64" s="105" t="str">
        <f t="shared" si="5"/>
        <v/>
      </c>
      <c r="AA64" s="105" t="str">
        <f t="shared" si="5"/>
        <v/>
      </c>
      <c r="AB64" s="105" t="str">
        <f t="shared" si="5"/>
        <v/>
      </c>
      <c r="AC64" s="105" t="str">
        <f t="shared" si="5"/>
        <v/>
      </c>
      <c r="AD64" s="171"/>
      <c r="AE64" s="102" t="str">
        <f t="shared" si="6"/>
        <v/>
      </c>
      <c r="AF64" s="171"/>
      <c r="AG64" s="171"/>
      <c r="AH64" s="116" t="str">
        <f>IF(E64="","",INDEX(Parameters_Constants!$BN$89:$BN$106,MATCH(E64,CONST_LIST_Goods,0)))</f>
        <v/>
      </c>
      <c r="AI64" s="929" t="b">
        <f t="shared" si="7"/>
        <v>0</v>
      </c>
    </row>
    <row r="65" spans="1:35" ht="12.75" customHeight="1" x14ac:dyDescent="0.25">
      <c r="A65" s="92"/>
      <c r="B65" s="94"/>
      <c r="C65" s="144"/>
      <c r="D65" s="607" t="s">
        <v>192</v>
      </c>
      <c r="E65" s="1240"/>
      <c r="F65" s="1240"/>
      <c r="G65" s="1238" t="str">
        <f t="shared" si="0"/>
        <v/>
      </c>
      <c r="H65" s="1239"/>
      <c r="I65" s="540"/>
      <c r="J65" s="883"/>
      <c r="K65" s="471"/>
      <c r="L65" s="471"/>
      <c r="M65" s="471"/>
      <c r="N65" s="883"/>
      <c r="O65" s="428"/>
      <c r="Q65" s="144"/>
      <c r="R65" s="171"/>
      <c r="S65" s="114" t="str">
        <f t="shared" si="1"/>
        <v>n.a.</v>
      </c>
      <c r="T65" s="102" t="str">
        <f t="shared" si="2"/>
        <v/>
      </c>
      <c r="U65" s="171"/>
      <c r="V65" s="925" t="str">
        <f t="shared" si="3"/>
        <v>G4</v>
      </c>
      <c r="W65" s="105" t="str">
        <f t="shared" si="4"/>
        <v/>
      </c>
      <c r="X65" s="105" t="str">
        <f t="shared" si="5"/>
        <v/>
      </c>
      <c r="Y65" s="105" t="str">
        <f t="shared" si="5"/>
        <v/>
      </c>
      <c r="Z65" s="105" t="str">
        <f t="shared" si="5"/>
        <v/>
      </c>
      <c r="AA65" s="105" t="str">
        <f t="shared" si="5"/>
        <v/>
      </c>
      <c r="AB65" s="105" t="str">
        <f t="shared" si="5"/>
        <v/>
      </c>
      <c r="AC65" s="105" t="str">
        <f t="shared" si="5"/>
        <v/>
      </c>
      <c r="AD65" s="171"/>
      <c r="AE65" s="102" t="str">
        <f t="shared" si="6"/>
        <v/>
      </c>
      <c r="AF65" s="171"/>
      <c r="AG65" s="171"/>
      <c r="AH65" s="116" t="str">
        <f>IF(E65="","",INDEX(Parameters_Constants!$BN$89:$BN$106,MATCH(E65,CONST_LIST_Goods,0)))</f>
        <v/>
      </c>
      <c r="AI65" s="929" t="b">
        <f t="shared" si="7"/>
        <v>0</v>
      </c>
    </row>
    <row r="66" spans="1:35" ht="12.75" customHeight="1" x14ac:dyDescent="0.25">
      <c r="A66" s="92"/>
      <c r="B66" s="94"/>
      <c r="C66" s="144"/>
      <c r="D66" s="607" t="s">
        <v>193</v>
      </c>
      <c r="E66" s="1240"/>
      <c r="F66" s="1241"/>
      <c r="G66" s="1238" t="str">
        <f t="shared" si="0"/>
        <v/>
      </c>
      <c r="H66" s="1239"/>
      <c r="I66" s="540"/>
      <c r="J66" s="883"/>
      <c r="K66" s="883"/>
      <c r="L66" s="883"/>
      <c r="M66" s="883"/>
      <c r="N66" s="883"/>
      <c r="O66" s="428"/>
      <c r="Q66" s="144"/>
      <c r="R66" s="171"/>
      <c r="S66" s="114" t="str">
        <f t="shared" si="1"/>
        <v>n.a.</v>
      </c>
      <c r="T66" s="102" t="str">
        <f t="shared" si="2"/>
        <v/>
      </c>
      <c r="U66" s="171"/>
      <c r="V66" s="925" t="str">
        <f t="shared" si="3"/>
        <v>G5</v>
      </c>
      <c r="W66" s="105" t="str">
        <f t="shared" si="4"/>
        <v/>
      </c>
      <c r="X66" s="105" t="str">
        <f t="shared" si="5"/>
        <v/>
      </c>
      <c r="Y66" s="105" t="str">
        <f t="shared" si="5"/>
        <v/>
      </c>
      <c r="Z66" s="105" t="str">
        <f t="shared" si="5"/>
        <v/>
      </c>
      <c r="AA66" s="105" t="str">
        <f t="shared" si="5"/>
        <v/>
      </c>
      <c r="AB66" s="105" t="str">
        <f t="shared" si="5"/>
        <v/>
      </c>
      <c r="AC66" s="105" t="str">
        <f t="shared" si="5"/>
        <v/>
      </c>
      <c r="AD66" s="171"/>
      <c r="AE66" s="102" t="str">
        <f t="shared" si="6"/>
        <v/>
      </c>
      <c r="AF66" s="171"/>
      <c r="AG66" s="171"/>
      <c r="AH66" s="116" t="str">
        <f>IF(E66="","",INDEX(Parameters_Constants!$BN$89:$BN$106,MATCH(E66,CONST_LIST_Goods,0)))</f>
        <v/>
      </c>
      <c r="AI66" s="929" t="b">
        <f t="shared" si="7"/>
        <v>0</v>
      </c>
    </row>
    <row r="67" spans="1:35" ht="12.75" customHeight="1" x14ac:dyDescent="0.25">
      <c r="A67" s="92"/>
      <c r="B67" s="94"/>
      <c r="C67" s="144"/>
      <c r="D67" s="607" t="s">
        <v>194</v>
      </c>
      <c r="E67" s="1240"/>
      <c r="F67" s="1241"/>
      <c r="G67" s="1238" t="str">
        <f t="shared" si="0"/>
        <v/>
      </c>
      <c r="H67" s="1239"/>
      <c r="I67" s="540"/>
      <c r="J67" s="883"/>
      <c r="K67" s="883"/>
      <c r="L67" s="883"/>
      <c r="M67" s="883"/>
      <c r="N67" s="883"/>
      <c r="O67" s="428"/>
      <c r="Q67" s="144"/>
      <c r="R67" s="171"/>
      <c r="S67" s="114" t="str">
        <f t="shared" si="1"/>
        <v>n.a.</v>
      </c>
      <c r="T67" s="102" t="str">
        <f t="shared" si="2"/>
        <v/>
      </c>
      <c r="U67" s="171"/>
      <c r="V67" s="925" t="str">
        <f t="shared" si="3"/>
        <v>G6</v>
      </c>
      <c r="W67" s="105" t="str">
        <f t="shared" si="4"/>
        <v/>
      </c>
      <c r="X67" s="105" t="str">
        <f t="shared" si="5"/>
        <v/>
      </c>
      <c r="Y67" s="105" t="str">
        <f t="shared" si="5"/>
        <v/>
      </c>
      <c r="Z67" s="105" t="str">
        <f t="shared" si="5"/>
        <v/>
      </c>
      <c r="AA67" s="105" t="str">
        <f t="shared" si="5"/>
        <v/>
      </c>
      <c r="AB67" s="105" t="str">
        <f t="shared" si="5"/>
        <v/>
      </c>
      <c r="AC67" s="105" t="str">
        <f t="shared" si="5"/>
        <v/>
      </c>
      <c r="AD67" s="171"/>
      <c r="AE67" s="102" t="str">
        <f t="shared" si="6"/>
        <v/>
      </c>
      <c r="AF67" s="171"/>
      <c r="AG67" s="171"/>
      <c r="AH67" s="116" t="str">
        <f>IF(E67="","",INDEX(Parameters_Constants!$BN$89:$BN$106,MATCH(E67,CONST_LIST_Goods,0)))</f>
        <v/>
      </c>
      <c r="AI67" s="929" t="b">
        <f t="shared" si="7"/>
        <v>0</v>
      </c>
    </row>
    <row r="68" spans="1:35" ht="12.75" customHeight="1" x14ac:dyDescent="0.25">
      <c r="A68" s="92"/>
      <c r="B68" s="94"/>
      <c r="C68" s="144"/>
      <c r="D68" s="607" t="s">
        <v>2735</v>
      </c>
      <c r="E68" s="1240"/>
      <c r="F68" s="1241"/>
      <c r="G68" s="1238" t="str">
        <f t="shared" si="0"/>
        <v/>
      </c>
      <c r="H68" s="1239"/>
      <c r="I68" s="540"/>
      <c r="J68" s="883"/>
      <c r="K68" s="883"/>
      <c r="L68" s="883"/>
      <c r="M68" s="883"/>
      <c r="N68" s="883"/>
      <c r="O68" s="428"/>
      <c r="Q68" s="144"/>
      <c r="R68" s="171"/>
      <c r="S68" s="114" t="str">
        <f>IF(E68="",CONST_NA,E68)</f>
        <v>n.a.</v>
      </c>
      <c r="T68" s="102" t="str">
        <f t="shared" si="2"/>
        <v/>
      </c>
      <c r="U68" s="171"/>
      <c r="V68" s="925" t="str">
        <f>D68</f>
        <v>G7</v>
      </c>
      <c r="W68" s="105" t="str">
        <f>IF(E68="","",MATCH(E68,CONST_LIST_Goods,0))</f>
        <v/>
      </c>
      <c r="X68" s="105" t="str">
        <f t="shared" ref="X68:AC71" si="8">IF(I68="","",$W68&amp;"_"&amp;MATCH(I68,INDEX(CONST_MATRIX_ProductionRoute,$W68,),0))</f>
        <v/>
      </c>
      <c r="Y68" s="105" t="str">
        <f t="shared" si="8"/>
        <v/>
      </c>
      <c r="Z68" s="105" t="str">
        <f t="shared" si="8"/>
        <v/>
      </c>
      <c r="AA68" s="105" t="str">
        <f t="shared" si="8"/>
        <v/>
      </c>
      <c r="AB68" s="105" t="str">
        <f t="shared" si="8"/>
        <v/>
      </c>
      <c r="AC68" s="105" t="str">
        <f t="shared" si="8"/>
        <v/>
      </c>
      <c r="AD68" s="171"/>
      <c r="AE68" s="102" t="str">
        <f t="shared" si="6"/>
        <v/>
      </c>
      <c r="AF68" s="171"/>
      <c r="AG68" s="171"/>
      <c r="AH68" s="116" t="str">
        <f>IF(E68="","",INDEX(Parameters_Constants!$BN$89:$BN$106,MATCH(E68,CONST_LIST_Goods,0)))</f>
        <v/>
      </c>
      <c r="AI68" s="929" t="b">
        <f>OR(AND(CNTR_HasEntriesA,E68=""),AND(E68&lt;&gt;"",G68=CONST_AllProdRoutes))</f>
        <v>0</v>
      </c>
    </row>
    <row r="69" spans="1:35" ht="12.75" customHeight="1" x14ac:dyDescent="0.25">
      <c r="A69" s="92"/>
      <c r="B69" s="94"/>
      <c r="C69" s="144"/>
      <c r="D69" s="607" t="s">
        <v>2736</v>
      </c>
      <c r="E69" s="1240"/>
      <c r="F69" s="1241"/>
      <c r="G69" s="1238" t="str">
        <f t="shared" si="0"/>
        <v/>
      </c>
      <c r="H69" s="1239"/>
      <c r="I69" s="540"/>
      <c r="J69" s="883"/>
      <c r="K69" s="883"/>
      <c r="L69" s="883"/>
      <c r="M69" s="883"/>
      <c r="N69" s="883"/>
      <c r="O69" s="428"/>
      <c r="Q69" s="144"/>
      <c r="R69" s="171"/>
      <c r="S69" s="114" t="str">
        <f>IF(E69="",CONST_NA,E69)</f>
        <v>n.a.</v>
      </c>
      <c r="T69" s="102" t="str">
        <f t="shared" si="2"/>
        <v/>
      </c>
      <c r="U69" s="171"/>
      <c r="V69" s="925" t="str">
        <f>D69</f>
        <v>G8</v>
      </c>
      <c r="W69" s="105" t="str">
        <f>IF(E69="","",MATCH(E69,CONST_LIST_Goods,0))</f>
        <v/>
      </c>
      <c r="X69" s="105" t="str">
        <f t="shared" si="8"/>
        <v/>
      </c>
      <c r="Y69" s="105" t="str">
        <f t="shared" si="8"/>
        <v/>
      </c>
      <c r="Z69" s="105" t="str">
        <f t="shared" si="8"/>
        <v/>
      </c>
      <c r="AA69" s="105" t="str">
        <f t="shared" si="8"/>
        <v/>
      </c>
      <c r="AB69" s="105" t="str">
        <f t="shared" si="8"/>
        <v/>
      </c>
      <c r="AC69" s="105" t="str">
        <f t="shared" si="8"/>
        <v/>
      </c>
      <c r="AD69" s="171"/>
      <c r="AE69" s="102" t="str">
        <f t="shared" si="6"/>
        <v/>
      </c>
      <c r="AF69" s="171"/>
      <c r="AG69" s="171"/>
      <c r="AH69" s="116" t="str">
        <f>IF(E69="","",INDEX(Parameters_Constants!$BN$89:$BN$106,MATCH(E69,CONST_LIST_Goods,0)))</f>
        <v/>
      </c>
      <c r="AI69" s="929" t="b">
        <f>OR(AND(CNTR_HasEntriesA,E69=""),AND(E69&lt;&gt;"",G69=CONST_AllProdRoutes))</f>
        <v>0</v>
      </c>
    </row>
    <row r="70" spans="1:35" ht="12.75" customHeight="1" x14ac:dyDescent="0.25">
      <c r="A70" s="92"/>
      <c r="B70" s="94"/>
      <c r="C70" s="144"/>
      <c r="D70" s="607" t="s">
        <v>2737</v>
      </c>
      <c r="E70" s="1240"/>
      <c r="F70" s="1241"/>
      <c r="G70" s="1238" t="str">
        <f t="shared" si="0"/>
        <v/>
      </c>
      <c r="H70" s="1239"/>
      <c r="I70" s="540"/>
      <c r="J70" s="883"/>
      <c r="K70" s="883"/>
      <c r="L70" s="883"/>
      <c r="M70" s="883"/>
      <c r="N70" s="883"/>
      <c r="O70" s="428"/>
      <c r="Q70" s="144"/>
      <c r="R70" s="171"/>
      <c r="S70" s="114" t="str">
        <f>IF(E70="",CONST_NA,E70)</f>
        <v>n.a.</v>
      </c>
      <c r="T70" s="102" t="str">
        <f t="shared" si="2"/>
        <v/>
      </c>
      <c r="U70" s="171"/>
      <c r="V70" s="925" t="str">
        <f>D70</f>
        <v>G9</v>
      </c>
      <c r="W70" s="105" t="str">
        <f>IF(E70="","",MATCH(E70,CONST_LIST_Goods,0))</f>
        <v/>
      </c>
      <c r="X70" s="105" t="str">
        <f t="shared" si="8"/>
        <v/>
      </c>
      <c r="Y70" s="105" t="str">
        <f t="shared" si="8"/>
        <v/>
      </c>
      <c r="Z70" s="105" t="str">
        <f t="shared" si="8"/>
        <v/>
      </c>
      <c r="AA70" s="105" t="str">
        <f t="shared" si="8"/>
        <v/>
      </c>
      <c r="AB70" s="105" t="str">
        <f t="shared" si="8"/>
        <v/>
      </c>
      <c r="AC70" s="105" t="str">
        <f t="shared" si="8"/>
        <v/>
      </c>
      <c r="AD70" s="171"/>
      <c r="AE70" s="102" t="str">
        <f t="shared" si="6"/>
        <v/>
      </c>
      <c r="AF70" s="171"/>
      <c r="AG70" s="171"/>
      <c r="AH70" s="116" t="str">
        <f>IF(E70="","",INDEX(Parameters_Constants!$BN$89:$BN$106,MATCH(E70,CONST_LIST_Goods,0)))</f>
        <v/>
      </c>
      <c r="AI70" s="929" t="b">
        <f>OR(AND(CNTR_HasEntriesA,E70=""),AND(E70&lt;&gt;"",G70=CONST_AllProdRoutes))</f>
        <v>0</v>
      </c>
    </row>
    <row r="71" spans="1:35" ht="12.75" customHeight="1" x14ac:dyDescent="0.25">
      <c r="A71" s="92"/>
      <c r="B71" s="94"/>
      <c r="C71" s="144"/>
      <c r="D71" s="137" t="s">
        <v>2738</v>
      </c>
      <c r="E71" s="1242"/>
      <c r="F71" s="1243"/>
      <c r="G71" s="1244" t="str">
        <f t="shared" si="0"/>
        <v/>
      </c>
      <c r="H71" s="1245"/>
      <c r="I71" s="552"/>
      <c r="J71" s="884"/>
      <c r="K71" s="884"/>
      <c r="L71" s="884"/>
      <c r="M71" s="884"/>
      <c r="N71" s="884"/>
      <c r="O71" s="428"/>
      <c r="Q71" s="144"/>
      <c r="R71" s="171"/>
      <c r="S71" s="114" t="str">
        <f>IF(E71="",CONST_NA,E71)</f>
        <v>n.a.</v>
      </c>
      <c r="T71" s="102" t="str">
        <f t="shared" si="2"/>
        <v/>
      </c>
      <c r="U71" s="171"/>
      <c r="V71" s="925" t="str">
        <f>D71</f>
        <v>G10</v>
      </c>
      <c r="W71" s="105" t="str">
        <f>IF(E71="","",MATCH(E71,CONST_LIST_Goods,0))</f>
        <v/>
      </c>
      <c r="X71" s="105" t="str">
        <f t="shared" si="8"/>
        <v/>
      </c>
      <c r="Y71" s="105" t="str">
        <f t="shared" si="8"/>
        <v/>
      </c>
      <c r="Z71" s="105" t="str">
        <f t="shared" si="8"/>
        <v/>
      </c>
      <c r="AA71" s="105" t="str">
        <f t="shared" si="8"/>
        <v/>
      </c>
      <c r="AB71" s="105" t="str">
        <f t="shared" si="8"/>
        <v/>
      </c>
      <c r="AC71" s="105" t="str">
        <f t="shared" si="8"/>
        <v/>
      </c>
      <c r="AD71" s="171"/>
      <c r="AE71" s="102" t="str">
        <f t="shared" si="6"/>
        <v/>
      </c>
      <c r="AF71" s="171"/>
      <c r="AG71" s="171"/>
      <c r="AH71" s="116" t="str">
        <f>IF(E71="","",INDEX(Parameters_Constants!$BN$89:$BN$106,MATCH(E71,CONST_LIST_Goods,0)))</f>
        <v/>
      </c>
      <c r="AI71" s="929" t="b">
        <f>OR(AND(CNTR_HasEntriesA,E71=""),AND(E71&lt;&gt;"",G71=CONST_AllProdRoutes))</f>
        <v>0</v>
      </c>
    </row>
    <row r="72" spans="1:35" ht="5.15" customHeight="1" x14ac:dyDescent="0.25">
      <c r="A72" s="92"/>
      <c r="B72" s="94"/>
      <c r="C72" s="144"/>
      <c r="D72" s="914"/>
      <c r="E72" s="915"/>
      <c r="F72" s="915"/>
      <c r="G72" s="915"/>
      <c r="H72" s="915"/>
      <c r="I72" s="915"/>
      <c r="J72" s="915"/>
      <c r="K72" s="915"/>
      <c r="L72" s="915"/>
      <c r="M72" s="915"/>
      <c r="N72" s="144"/>
      <c r="O72" s="428"/>
      <c r="Q72" s="144"/>
      <c r="R72" s="171"/>
      <c r="S72" s="927"/>
      <c r="T72" s="171"/>
      <c r="U72" s="171"/>
      <c r="V72" s="171"/>
      <c r="W72" s="171"/>
      <c r="X72" s="171"/>
      <c r="Y72" s="171"/>
      <c r="Z72" s="171"/>
      <c r="AA72" s="171"/>
      <c r="AB72" s="171"/>
      <c r="AC72" s="171"/>
      <c r="AD72" s="171"/>
      <c r="AE72" s="171"/>
      <c r="AF72" s="171"/>
      <c r="AG72" s="171"/>
      <c r="AH72" s="171"/>
      <c r="AI72" s="427"/>
    </row>
    <row r="73" spans="1:35" ht="51" customHeight="1" x14ac:dyDescent="0.25">
      <c r="A73" s="92"/>
      <c r="B73" s="94"/>
      <c r="C73" s="144"/>
      <c r="D73" s="914"/>
      <c r="E73" s="1237" t="str">
        <f>Translations!$B$1953</f>
        <v>For information, emissions from the following precursors are relevant for the embedded emissions of the types of aggregated goods listed above. Where those precursors are actually relevant for your production processes, please make sure those are also listed either as products in the table above (if produced within your installation) or under section 5 "purchased precursors" below (where produced in other installations). Please note that for some goods the same aggregated good category itself can be a relevant precursor (e.g. iron &amp; steel products, aluminium products, mixed fertilisers).</v>
      </c>
      <c r="F73" s="1237"/>
      <c r="G73" s="1237"/>
      <c r="H73" s="1237"/>
      <c r="I73" s="1237"/>
      <c r="J73" s="1237"/>
      <c r="K73" s="1237"/>
      <c r="L73" s="1237"/>
      <c r="M73" s="1237"/>
      <c r="N73" s="1237"/>
      <c r="O73" s="428"/>
      <c r="Q73" s="144"/>
      <c r="R73" s="171"/>
      <c r="S73" s="927"/>
      <c r="T73" s="171"/>
      <c r="U73" s="171"/>
      <c r="V73" s="171"/>
      <c r="W73" s="171"/>
      <c r="X73" s="171"/>
      <c r="Y73" s="171"/>
      <c r="Z73" s="171"/>
      <c r="AA73" s="171"/>
      <c r="AB73" s="171"/>
      <c r="AC73" s="171"/>
      <c r="AD73" s="171"/>
      <c r="AE73" s="171"/>
      <c r="AF73" s="171"/>
      <c r="AG73" s="171"/>
      <c r="AH73" s="171"/>
      <c r="AI73" s="427"/>
    </row>
    <row r="74" spans="1:35" ht="12.75" customHeight="1" x14ac:dyDescent="0.3">
      <c r="A74" s="92"/>
      <c r="B74" s="94"/>
      <c r="C74" s="144"/>
      <c r="D74" s="914"/>
      <c r="E74" s="916" t="str">
        <f>Translations!$B$116</f>
        <v>Relevant precursors:</v>
      </c>
      <c r="F74" s="144"/>
      <c r="G74" s="606" t="str">
        <f>IF(COUNTIF(CONST_CNTR_PrecNumbering,COLUMNS($G74:G74))=0,"",INDEX(CONST_LIST_Goods,MATCH(COLUMNS($G74:G74),CONST_CNTR_PrecNumbering,0)))</f>
        <v/>
      </c>
      <c r="H74" s="606" t="str">
        <f>IF(COUNTIF(CONST_CNTR_PrecNumbering,COLUMNS($G74:H74))=0,"",INDEX(CONST_LIST_Goods,MATCH(COLUMNS($G74:H74),CONST_CNTR_PrecNumbering,0)))</f>
        <v/>
      </c>
      <c r="I74" s="606" t="str">
        <f>IF(COUNTIF(CONST_CNTR_PrecNumbering,COLUMNS($G74:I74))=0,"",INDEX(CONST_LIST_Goods,MATCH(COLUMNS($G74:I74),CONST_CNTR_PrecNumbering,0)))</f>
        <v/>
      </c>
      <c r="J74" s="606" t="str">
        <f>IF(COUNTIF(CONST_CNTR_PrecNumbering,COLUMNS($G74:J74))=0,"",INDEX(CONST_LIST_Goods,MATCH(COLUMNS($G74:J74),CONST_CNTR_PrecNumbering,0)))</f>
        <v/>
      </c>
      <c r="K74" s="606" t="str">
        <f>IF(COUNTIF(CONST_CNTR_PrecNumbering,COLUMNS($G74:K74))=0,"",INDEX(CONST_LIST_Goods,MATCH(COLUMNS($G74:K74),CONST_CNTR_PrecNumbering,0)))</f>
        <v/>
      </c>
      <c r="L74" s="606" t="str">
        <f>IF(COUNTIF(CONST_CNTR_PrecNumbering,COLUMNS($G74:L74))=0,"",INDEX(CONST_LIST_Goods,MATCH(COLUMNS($G74:L74),CONST_CNTR_PrecNumbering,0)))</f>
        <v/>
      </c>
      <c r="M74" s="606" t="str">
        <f>IF(COUNTIF(CONST_CNTR_PrecNumbering,COLUMNS($G74:M74))=0,"",INDEX(CONST_LIST_Goods,MATCH(COLUMNS($G74:M74),CONST_CNTR_PrecNumbering,0)))</f>
        <v/>
      </c>
      <c r="N74" s="606" t="str">
        <f>IF(COUNTIF(CONST_CNTR_PrecNumbering,COLUMNS($G74:N74))=0,"",INDEX(CONST_LIST_Goods,MATCH(COLUMNS($G74:N74),CONST_CNTR_PrecNumbering,0)))</f>
        <v/>
      </c>
      <c r="O74" s="428"/>
      <c r="Q74" s="144"/>
      <c r="R74" s="171"/>
      <c r="S74" s="927"/>
      <c r="T74" s="171"/>
      <c r="U74" s="171"/>
      <c r="V74" s="171"/>
      <c r="W74" s="171"/>
      <c r="X74" s="171"/>
      <c r="Y74" s="171"/>
      <c r="Z74" s="171"/>
      <c r="AA74" s="171"/>
      <c r="AB74" s="171"/>
      <c r="AC74" s="171"/>
      <c r="AD74" s="171"/>
      <c r="AE74" s="171"/>
      <c r="AF74" s="171"/>
      <c r="AG74" s="171"/>
      <c r="AH74" s="171"/>
      <c r="AI74" s="427"/>
    </row>
    <row r="75" spans="1:35" ht="12.75" customHeight="1" x14ac:dyDescent="0.3">
      <c r="A75" s="92"/>
      <c r="B75" s="94"/>
      <c r="C75" s="144"/>
      <c r="D75" s="914"/>
      <c r="E75" s="916"/>
      <c r="F75" s="144"/>
      <c r="G75" s="606" t="str">
        <f>IF(COUNTIF(CONST_CNTR_PrecNumbering,COLUMNS($G75:G75)+8)=0,"",INDEX(CONST_LIST_Goods,MATCH(COLUMNS($G75:G75)+8,CONST_CNTR_PrecNumbering,0)))</f>
        <v/>
      </c>
      <c r="H75" s="606" t="str">
        <f>IF(COUNTIF(CONST_CNTR_PrecNumbering,COLUMNS($G75:H75)+8)=0,"",INDEX(CONST_LIST_Goods,MATCH(COLUMNS($G75:H75)+8,CONST_CNTR_PrecNumbering,0)))</f>
        <v/>
      </c>
      <c r="I75" s="606" t="str">
        <f>IF(COUNTIF(CONST_CNTR_PrecNumbering,COLUMNS($G75:I75)+8)=0,"",INDEX(CONST_LIST_Goods,MATCH(COLUMNS($G75:I75)+8,CONST_CNTR_PrecNumbering,0)))</f>
        <v/>
      </c>
      <c r="J75" s="606" t="str">
        <f>IF(COUNTIF(CONST_CNTR_PrecNumbering,COLUMNS($G75:J75)+8)=0,"",INDEX(CONST_LIST_Goods,MATCH(COLUMNS($G75:J75)+8,CONST_CNTR_PrecNumbering,0)))</f>
        <v/>
      </c>
      <c r="K75" s="606" t="str">
        <f>IF(COUNTIF(CONST_CNTR_PrecNumbering,COLUMNS($G75:K75)+8)=0,"",INDEX(CONST_LIST_Goods,MATCH(COLUMNS($G75:K75)+8,CONST_CNTR_PrecNumbering,0)))</f>
        <v/>
      </c>
      <c r="L75" s="606" t="str">
        <f>IF(COUNTIF(CONST_CNTR_PrecNumbering,COLUMNS($G75:L75)+8)=0,"",INDEX(CONST_LIST_Goods,MATCH(COLUMNS($G75:L75)+8,CONST_CNTR_PrecNumbering,0)))</f>
        <v/>
      </c>
      <c r="M75" s="606" t="str">
        <f>IF(COUNTIF(CONST_CNTR_PrecNumbering,COLUMNS($G75:M75)+8)=0,"",INDEX(CONST_LIST_Goods,MATCH(COLUMNS($G75:M75)+8,CONST_CNTR_PrecNumbering,0)))</f>
        <v/>
      </c>
      <c r="N75" s="606" t="str">
        <f>IF(COUNTIF(CONST_CNTR_PrecNumbering,COLUMNS($G75:N75)+8)=0,"",INDEX(CONST_LIST_Goods,MATCH(COLUMNS($G75:N75)+8,CONST_CNTR_PrecNumbering,0)))</f>
        <v/>
      </c>
      <c r="O75" s="428"/>
      <c r="Q75" s="144"/>
      <c r="R75" s="171"/>
      <c r="S75" s="927"/>
      <c r="T75" s="171"/>
      <c r="U75" s="171"/>
      <c r="V75" s="171"/>
      <c r="W75" s="171"/>
      <c r="X75" s="171"/>
      <c r="Y75" s="171"/>
      <c r="Z75" s="171"/>
      <c r="AA75" s="171"/>
      <c r="AB75" s="171"/>
      <c r="AC75" s="171"/>
      <c r="AD75" s="171"/>
      <c r="AE75" s="171"/>
      <c r="AF75" s="171"/>
      <c r="AG75" s="171"/>
      <c r="AH75" s="171"/>
      <c r="AI75" s="427"/>
    </row>
    <row r="76" spans="1:35" ht="12.75" customHeight="1" x14ac:dyDescent="0.25">
      <c r="A76" s="92"/>
      <c r="B76" s="94"/>
      <c r="C76" s="144"/>
      <c r="D76" s="914"/>
      <c r="E76" s="915"/>
      <c r="F76" s="915"/>
      <c r="G76" s="915"/>
      <c r="H76" s="915"/>
      <c r="I76" s="915"/>
      <c r="J76" s="915"/>
      <c r="K76" s="915"/>
      <c r="L76" s="915"/>
      <c r="M76" s="915"/>
      <c r="N76" s="144"/>
      <c r="O76" s="428"/>
      <c r="Q76" s="144"/>
      <c r="R76" s="171"/>
      <c r="S76" s="927"/>
      <c r="T76" s="171"/>
      <c r="U76" s="171"/>
      <c r="V76" s="171"/>
      <c r="W76" s="171"/>
      <c r="X76" s="171"/>
      <c r="Y76" s="171"/>
      <c r="Z76" s="171"/>
      <c r="AA76" s="171"/>
      <c r="AB76" s="171"/>
      <c r="AC76" s="171"/>
      <c r="AD76" s="171"/>
      <c r="AE76" s="171"/>
      <c r="AF76" s="171"/>
      <c r="AG76" s="171"/>
      <c r="AH76" s="171"/>
      <c r="AI76" s="427"/>
    </row>
    <row r="77" spans="1:35" ht="12.75" customHeight="1" x14ac:dyDescent="0.35">
      <c r="A77" s="92"/>
      <c r="B77" s="94"/>
      <c r="C77" s="144"/>
      <c r="D77" s="10" t="s">
        <v>48</v>
      </c>
      <c r="E77" s="1234" t="str">
        <f>Translations!$B$117</f>
        <v>Relevant production processes</v>
      </c>
      <c r="F77" s="1234"/>
      <c r="G77" s="1234"/>
      <c r="H77" s="1234"/>
      <c r="I77" s="1234"/>
      <c r="J77" s="1234"/>
      <c r="K77" s="1234"/>
      <c r="L77" s="1234"/>
      <c r="M77" s="1234"/>
      <c r="N77" s="1234"/>
      <c r="O77" s="428"/>
      <c r="Q77" s="144"/>
      <c r="R77" s="171"/>
      <c r="S77" s="171"/>
      <c r="T77" s="171"/>
      <c r="U77" s="171"/>
      <c r="V77" s="171"/>
      <c r="W77" s="171"/>
      <c r="X77" s="171"/>
      <c r="Y77" s="171"/>
      <c r="Z77" s="171"/>
      <c r="AA77" s="171"/>
      <c r="AB77" s="171"/>
      <c r="AC77" s="171"/>
      <c r="AD77" s="171"/>
      <c r="AE77" s="171"/>
      <c r="AF77" s="171"/>
      <c r="AG77" s="171"/>
      <c r="AH77" s="171"/>
      <c r="AI77" s="427"/>
    </row>
    <row r="78" spans="1:35" ht="38.9" customHeight="1" x14ac:dyDescent="0.25">
      <c r="A78" s="92"/>
      <c r="B78" s="94"/>
      <c r="C78" s="144"/>
      <c r="D78" s="168"/>
      <c r="E78" s="1237" t="str">
        <f>Translations!$B$1954</f>
        <v>Based on the list under (a), please list here only aggregated goods categories (G1, G2, etc.) for which you want to establish distinct "production process" and assign all aggregated goods categories and relevant precursors that will be covered by its system boundary. Where the selected "production process" only includes the one aggregated goods category selected, please select "only direct production" in column F.</v>
      </c>
      <c r="F78" s="1237"/>
      <c r="G78" s="1237"/>
      <c r="H78" s="1237"/>
      <c r="I78" s="1237"/>
      <c r="J78" s="1237"/>
      <c r="K78" s="1237"/>
      <c r="L78" s="1237"/>
      <c r="M78" s="1237"/>
      <c r="N78" s="1237"/>
      <c r="O78" s="428"/>
      <c r="Q78" s="144"/>
      <c r="R78" s="171"/>
      <c r="S78" s="927"/>
      <c r="T78" s="171"/>
      <c r="U78" s="171"/>
      <c r="V78" s="171"/>
      <c r="W78" s="171"/>
      <c r="X78" s="171"/>
      <c r="Y78" s="171"/>
      <c r="Z78" s="171"/>
      <c r="AA78" s="171"/>
      <c r="AB78" s="171"/>
      <c r="AC78" s="171"/>
      <c r="AD78" s="171"/>
      <c r="AE78" s="171"/>
      <c r="AF78" s="171"/>
      <c r="AG78" s="171"/>
      <c r="AH78" s="171"/>
      <c r="AI78" s="427"/>
    </row>
    <row r="79" spans="1:35" ht="50.15" customHeight="1" x14ac:dyDescent="0.25">
      <c r="A79" s="92"/>
      <c r="B79" s="94"/>
      <c r="C79" s="144"/>
      <c r="D79" s="168"/>
      <c r="E79" s="1270" t="str">
        <f>Translations!$B$1955</f>
        <v>Example: If "ammonia" and "nitric acid" are both produced in your installation, you may either create a separate production process for each of these good types, or report them combined under 'nitric acid' under a 'bubble approach'. In the case of the latter, please select as of column F which other process you want to include under this 'bubble approach'. Note: the 'bubble approach' is only allowed if all ammonia produced is processed into nitric acid. If parts of the ammonia are exported from the installation, two separate production processes have to be entered here.</v>
      </c>
      <c r="F79" s="1270"/>
      <c r="G79" s="1270"/>
      <c r="H79" s="1270"/>
      <c r="I79" s="1270"/>
      <c r="J79" s="1270"/>
      <c r="K79" s="1270"/>
      <c r="L79" s="1270"/>
      <c r="M79" s="1270"/>
      <c r="N79" s="1270"/>
      <c r="O79" s="428"/>
      <c r="Q79" s="144"/>
      <c r="R79" s="171"/>
      <c r="S79" s="927"/>
      <c r="T79" s="171"/>
      <c r="U79" s="171"/>
      <c r="V79" s="171"/>
      <c r="W79" s="171"/>
      <c r="X79" s="171"/>
      <c r="Y79" s="171"/>
      <c r="Z79" s="171"/>
      <c r="AA79" s="171"/>
      <c r="AB79" s="171"/>
      <c r="AC79" s="171"/>
      <c r="AD79" s="171"/>
      <c r="AE79" s="171"/>
      <c r="AF79" s="171"/>
      <c r="AG79" s="171"/>
      <c r="AH79" s="171"/>
      <c r="AI79" s="427"/>
    </row>
    <row r="80" spans="1:35" ht="5.15" customHeight="1" x14ac:dyDescent="0.25">
      <c r="A80" s="92"/>
      <c r="B80" s="94"/>
      <c r="C80" s="144"/>
      <c r="D80" s="914"/>
      <c r="E80" s="915"/>
      <c r="F80" s="915"/>
      <c r="G80" s="915"/>
      <c r="H80" s="915"/>
      <c r="I80" s="915"/>
      <c r="J80" s="915"/>
      <c r="K80" s="915"/>
      <c r="L80" s="915"/>
      <c r="M80" s="915"/>
      <c r="N80" s="144"/>
      <c r="O80" s="428"/>
      <c r="Q80" s="144"/>
      <c r="R80" s="171"/>
      <c r="S80" s="171"/>
      <c r="T80" s="171"/>
      <c r="U80" s="171"/>
      <c r="V80" s="171"/>
      <c r="W80" s="171"/>
      <c r="X80" s="171"/>
      <c r="Y80" s="171"/>
      <c r="Z80" s="171"/>
      <c r="AA80" s="171"/>
      <c r="AB80" s="171"/>
      <c r="AC80" s="171"/>
      <c r="AD80" s="171"/>
      <c r="AE80" s="171"/>
      <c r="AF80" s="171"/>
      <c r="AG80" s="171"/>
      <c r="AH80" s="171"/>
      <c r="AI80" s="427"/>
    </row>
    <row r="81" spans="1:35" ht="12.75" customHeight="1" x14ac:dyDescent="0.3">
      <c r="A81" s="92"/>
      <c r="B81" s="94"/>
      <c r="C81" s="144"/>
      <c r="D81" s="1283" t="s">
        <v>126</v>
      </c>
      <c r="E81" s="1253" t="str">
        <f>Translations!$B$107</f>
        <v>Aggregated goods category</v>
      </c>
      <c r="F81" s="1246" t="str">
        <f>Translations!$B$121</f>
        <v>Included goods categories listed under (a)</v>
      </c>
      <c r="G81" s="1247"/>
      <c r="H81" s="1247"/>
      <c r="I81" s="1247"/>
      <c r="J81" s="1247"/>
      <c r="K81" s="1248"/>
      <c r="L81" s="1249" t="str">
        <f>Translations!$B$122</f>
        <v>Name</v>
      </c>
      <c r="M81" s="1250"/>
      <c r="N81" s="1253" t="str">
        <f>Translations!$B$123</f>
        <v>Error message</v>
      </c>
      <c r="O81" s="428"/>
      <c r="Q81" s="144"/>
      <c r="R81" s="171"/>
      <c r="S81" s="171"/>
      <c r="T81" s="171"/>
      <c r="U81" s="171"/>
      <c r="V81" s="171"/>
      <c r="W81" s="171"/>
      <c r="X81" s="171"/>
      <c r="Y81" s="171"/>
      <c r="Z81" s="171"/>
      <c r="AA81" s="171"/>
      <c r="AB81" s="171"/>
      <c r="AC81" s="171"/>
      <c r="AD81" s="171"/>
      <c r="AE81" s="171"/>
      <c r="AF81" s="171"/>
      <c r="AG81" s="171"/>
      <c r="AH81" s="171"/>
      <c r="AI81" s="427"/>
    </row>
    <row r="82" spans="1:35" ht="12.75" customHeight="1" x14ac:dyDescent="0.3">
      <c r="A82" s="92"/>
      <c r="B82" s="94"/>
      <c r="C82" s="144"/>
      <c r="D82" s="1284"/>
      <c r="E82" s="1254"/>
      <c r="F82" s="113">
        <v>1</v>
      </c>
      <c r="G82" s="113">
        <v>2</v>
      </c>
      <c r="H82" s="113">
        <v>3</v>
      </c>
      <c r="I82" s="113">
        <v>4</v>
      </c>
      <c r="J82" s="113">
        <v>5</v>
      </c>
      <c r="K82" s="113">
        <v>6</v>
      </c>
      <c r="L82" s="1251"/>
      <c r="M82" s="1252"/>
      <c r="N82" s="1254"/>
      <c r="O82" s="428"/>
      <c r="Q82" s="144"/>
      <c r="R82" s="171"/>
      <c r="S82" s="928" t="s">
        <v>307</v>
      </c>
      <c r="T82" s="928" t="s">
        <v>326</v>
      </c>
      <c r="U82" s="171"/>
      <c r="V82" s="171"/>
      <c r="W82" s="115" t="s">
        <v>381</v>
      </c>
      <c r="X82" s="115" t="s">
        <v>388</v>
      </c>
      <c r="Y82" s="115" t="s">
        <v>389</v>
      </c>
      <c r="Z82" s="115" t="s">
        <v>390</v>
      </c>
      <c r="AA82" s="115" t="s">
        <v>391</v>
      </c>
      <c r="AB82" s="115" t="s">
        <v>392</v>
      </c>
      <c r="AC82" s="115" t="s">
        <v>393</v>
      </c>
      <c r="AD82" s="115" t="s">
        <v>2720</v>
      </c>
      <c r="AE82" s="171"/>
      <c r="AF82" s="171"/>
      <c r="AG82" s="171"/>
      <c r="AH82" s="171"/>
      <c r="AI82" s="427"/>
    </row>
    <row r="83" spans="1:35" ht="12.75" customHeight="1" x14ac:dyDescent="0.25">
      <c r="A83" s="92"/>
      <c r="B83" s="94"/>
      <c r="C83" s="144"/>
      <c r="D83" s="134" t="s">
        <v>128</v>
      </c>
      <c r="E83" s="608"/>
      <c r="F83" s="528"/>
      <c r="G83" s="882"/>
      <c r="H83" s="882"/>
      <c r="I83" s="882"/>
      <c r="J83" s="882"/>
      <c r="K83" s="882"/>
      <c r="L83" s="1273"/>
      <c r="M83" s="1274"/>
      <c r="N83" s="988" t="str">
        <f>IF(E83="","",IF(OR(L83="",AND(AF83=FALSE,COUNTA(F83:K83)=0)),CONST_ERR_Incomplete,IF(COUNTIF(L$83:M83,L83)&gt;1,CONST_ERR_Duplicate,IF(COUNTIF(X83:AC83,NA())&gt;0,CONST_ERR_Inconsistent,""))))</f>
        <v/>
      </c>
      <c r="O83" s="428"/>
      <c r="Q83" s="144"/>
      <c r="R83" s="928"/>
      <c r="S83" s="114" t="str">
        <f t="shared" ref="S83:S92" si="9">IF(E83="",CONST_NA,E83)</f>
        <v>n.a.</v>
      </c>
      <c r="T83" s="102" t="str">
        <f t="shared" ref="T83:T92" si="10">IF(E83="",CONST_NA,IF(L83="",D83 &amp; " - " &amp; E83,L83))</f>
        <v>n.a.</v>
      </c>
      <c r="U83" s="171"/>
      <c r="V83" s="925" t="str">
        <f>D83</f>
        <v>P1</v>
      </c>
      <c r="W83" s="105" t="str">
        <f t="shared" ref="W83:W92" si="11">IF(E83="","",MATCH(E83,CONST_LIST_Goods,0))</f>
        <v/>
      </c>
      <c r="X83" s="105" t="str">
        <f>IF(F83="","",$W83&amp;"_"&amp;IF(F83=$S$61,0,MATCH(F83,INDEX(Parameters_Constants!$AC$89:$AM$106,$W83,),0)))</f>
        <v/>
      </c>
      <c r="Y83" s="105" t="str">
        <f>IF(G83="","",$W83&amp;"_"&amp;IF(G83=$S$61,0,MATCH(G83,INDEX(Parameters_Constants!$AC$89:$AM$106,$W83,),0)))</f>
        <v/>
      </c>
      <c r="Z83" s="105" t="str">
        <f>IF(H83="","",$W83&amp;"_"&amp;IF(H83=$S$61,0,MATCH(H83,INDEX(Parameters_Constants!$AC$89:$AM$106,$W83,),0)))</f>
        <v/>
      </c>
      <c r="AA83" s="105" t="str">
        <f>IF(I83="","",$W83&amp;"_"&amp;IF(I83=$S$61,0,MATCH(I83,INDEX(Parameters_Constants!$AC$89:$AM$106,$W83,),0)))</f>
        <v/>
      </c>
      <c r="AB83" s="105" t="str">
        <f>IF(J83="","",$W83&amp;"_"&amp;IF(J83=$S$61,0,MATCH(J83,INDEX(Parameters_Constants!$AC$89:$AM$106,$W83,),0)))</f>
        <v/>
      </c>
      <c r="AC83" s="105" t="str">
        <f>IF(K83="","",$W83&amp;"_"&amp;IF(K83=$S$61,0,MATCH(K83,INDEX(Parameters_Constants!$AC$89:$AM$106,$W83,),0)))</f>
        <v/>
      </c>
      <c r="AD83" s="102" t="str">
        <f t="shared" ref="AD83:AD92" si="12">IF(E83="","",IF(COUNTIF(INDEX(CONST_MATRIX_ProductionRoute,MATCH(E83,CONST_LIST_Goods,0),),CONST_NA)=9,CONST_AllProdRoutes,CONST_NA))</f>
        <v/>
      </c>
      <c r="AE83" s="171"/>
      <c r="AF83" s="171"/>
      <c r="AG83" s="102" t="str">
        <f t="shared" ref="AG83:AG92" si="13">IF(AND(CNTR_HasEntriesA,N83&lt;&gt;""),CONST_ErrorOrMissing&amp;$A$55,CONST_NA)</f>
        <v>n.a.</v>
      </c>
      <c r="AH83" s="171"/>
      <c r="AI83" s="930" t="b">
        <f t="shared" ref="AI83:AI92" si="14">AND(CNTR_HasEntriesA,E83="")</f>
        <v>0</v>
      </c>
    </row>
    <row r="84" spans="1:35" ht="12.75" customHeight="1" x14ac:dyDescent="0.25">
      <c r="A84" s="92"/>
      <c r="B84" s="94"/>
      <c r="C84" s="144"/>
      <c r="D84" s="607" t="s">
        <v>129</v>
      </c>
      <c r="E84" s="609"/>
      <c r="F84" s="540"/>
      <c r="G84" s="883"/>
      <c r="H84" s="883"/>
      <c r="I84" s="883"/>
      <c r="J84" s="883"/>
      <c r="K84" s="883"/>
      <c r="L84" s="1235"/>
      <c r="M84" s="1236"/>
      <c r="N84" s="989" t="str">
        <f>IF(E84="","",IF(OR(L84="",AND(AF84=FALSE,COUNTA(F84:K84)=0)),CONST_ERR_Incomplete,IF(COUNTIF(L$83:M84,L84)&gt;1,CONST_ERR_Duplicate,IF(COUNTIF(X84:AC84,NA())&gt;0,CONST_ERR_Inconsistent,""))))</f>
        <v/>
      </c>
      <c r="O84" s="428"/>
      <c r="Q84" s="144"/>
      <c r="R84" s="171"/>
      <c r="S84" s="114" t="str">
        <f t="shared" si="9"/>
        <v>n.a.</v>
      </c>
      <c r="T84" s="102" t="str">
        <f t="shared" si="10"/>
        <v>n.a.</v>
      </c>
      <c r="U84" s="171"/>
      <c r="V84" s="925" t="str">
        <f t="shared" ref="V84:V92" si="15">D84</f>
        <v>P2</v>
      </c>
      <c r="W84" s="105" t="str">
        <f t="shared" si="11"/>
        <v/>
      </c>
      <c r="X84" s="105" t="str">
        <f>IF(F84="","",$W84&amp;"_"&amp;IF(F84=$S$61,0,MATCH(F84,INDEX(Parameters_Constants!$AC$89:$AM$106,$W84,),0)))</f>
        <v/>
      </c>
      <c r="Y84" s="105" t="str">
        <f>IF(G84="","",$W84&amp;"_"&amp;IF(G84=$S$61,0,MATCH(G84,INDEX(Parameters_Constants!$AC$89:$AM$106,$W84,),0)))</f>
        <v/>
      </c>
      <c r="Z84" s="105" t="str">
        <f>IF(H84="","",$W84&amp;"_"&amp;IF(H84=$S$61,0,MATCH(H84,INDEX(Parameters_Constants!$AC$89:$AM$106,$W84,),0)))</f>
        <v/>
      </c>
      <c r="AA84" s="105" t="str">
        <f>IF(I84="","",$W84&amp;"_"&amp;IF(I84=$S$61,0,MATCH(I84,INDEX(Parameters_Constants!$AC$89:$AM$106,$W84,),0)))</f>
        <v/>
      </c>
      <c r="AB84" s="105" t="str">
        <f>IF(J84="","",$W84&amp;"_"&amp;IF(J84=$S$61,0,MATCH(J84,INDEX(Parameters_Constants!$AC$89:$AM$106,$W84,),0)))</f>
        <v/>
      </c>
      <c r="AC84" s="105" t="str">
        <f>IF(K84="","",$W84&amp;"_"&amp;IF(K84=$S$61,0,MATCH(K84,INDEX(Parameters_Constants!$AC$89:$AM$106,$W84,),0)))</f>
        <v/>
      </c>
      <c r="AD84" s="102" t="str">
        <f t="shared" si="12"/>
        <v/>
      </c>
      <c r="AE84" s="171"/>
      <c r="AF84" s="171"/>
      <c r="AG84" s="102" t="str">
        <f t="shared" si="13"/>
        <v>n.a.</v>
      </c>
      <c r="AH84" s="171"/>
      <c r="AI84" s="930" t="b">
        <f t="shared" si="14"/>
        <v>0</v>
      </c>
    </row>
    <row r="85" spans="1:35" ht="12.75" customHeight="1" x14ac:dyDescent="0.25">
      <c r="A85" s="92"/>
      <c r="B85" s="94"/>
      <c r="C85" s="144"/>
      <c r="D85" s="607" t="s">
        <v>4210</v>
      </c>
      <c r="E85" s="609"/>
      <c r="F85" s="540"/>
      <c r="G85" s="883"/>
      <c r="H85" s="883"/>
      <c r="I85" s="883"/>
      <c r="J85" s="883"/>
      <c r="K85" s="883"/>
      <c r="L85" s="1235"/>
      <c r="M85" s="1236"/>
      <c r="N85" s="989" t="str">
        <f>IF(E85="","",IF(OR(L85="",AND(AF85=FALSE,COUNTA(F85:K85)=0)),CONST_ERR_Incomplete,IF(COUNTIF(L$83:M85,L85)&gt;1,CONST_ERR_Duplicate,IF(COUNTIF(X85:AC85,NA())&gt;0,CONST_ERR_Inconsistent,""))))</f>
        <v/>
      </c>
      <c r="O85" s="428"/>
      <c r="Q85" s="144"/>
      <c r="R85" s="171"/>
      <c r="S85" s="114" t="str">
        <f t="shared" si="9"/>
        <v>n.a.</v>
      </c>
      <c r="T85" s="102" t="str">
        <f t="shared" si="10"/>
        <v>n.a.</v>
      </c>
      <c r="U85" s="171"/>
      <c r="V85" s="925" t="str">
        <f t="shared" si="15"/>
        <v>P3</v>
      </c>
      <c r="W85" s="105" t="str">
        <f t="shared" si="11"/>
        <v/>
      </c>
      <c r="X85" s="105" t="str">
        <f>IF(F85="","",$W85&amp;"_"&amp;IF(F85=$S$61,0,MATCH(F85,INDEX(Parameters_Constants!$AC$89:$AM$106,$W85,),0)))</f>
        <v/>
      </c>
      <c r="Y85" s="105" t="str">
        <f>IF(G85="","",$W85&amp;"_"&amp;IF(G85=$S$61,0,MATCH(G85,INDEX(Parameters_Constants!$AC$89:$AM$106,$W85,),0)))</f>
        <v/>
      </c>
      <c r="Z85" s="105" t="str">
        <f>IF(H85="","",$W85&amp;"_"&amp;IF(H85=$S$61,0,MATCH(H85,INDEX(Parameters_Constants!$AC$89:$AM$106,$W85,),0)))</f>
        <v/>
      </c>
      <c r="AA85" s="105" t="str">
        <f>IF(I85="","",$W85&amp;"_"&amp;IF(I85=$S$61,0,MATCH(I85,INDEX(Parameters_Constants!$AC$89:$AM$106,$W85,),0)))</f>
        <v/>
      </c>
      <c r="AB85" s="105" t="str">
        <f>IF(J85="","",$W85&amp;"_"&amp;IF(J85=$S$61,0,MATCH(J85,INDEX(Parameters_Constants!$AC$89:$AM$106,$W85,),0)))</f>
        <v/>
      </c>
      <c r="AC85" s="105" t="str">
        <f>IF(K85="","",$W85&amp;"_"&amp;IF(K85=$S$61,0,MATCH(K85,INDEX(Parameters_Constants!$AC$89:$AM$106,$W85,),0)))</f>
        <v/>
      </c>
      <c r="AD85" s="102" t="str">
        <f t="shared" si="12"/>
        <v/>
      </c>
      <c r="AE85" s="171"/>
      <c r="AF85" s="171"/>
      <c r="AG85" s="102" t="str">
        <f t="shared" si="13"/>
        <v>n.a.</v>
      </c>
      <c r="AH85" s="171"/>
      <c r="AI85" s="930" t="b">
        <f t="shared" si="14"/>
        <v>0</v>
      </c>
    </row>
    <row r="86" spans="1:35" ht="12.75" customHeight="1" x14ac:dyDescent="0.25">
      <c r="A86" s="92"/>
      <c r="B86" s="94"/>
      <c r="C86" s="144"/>
      <c r="D86" s="607" t="s">
        <v>223</v>
      </c>
      <c r="E86" s="609"/>
      <c r="F86" s="540"/>
      <c r="G86" s="883"/>
      <c r="H86" s="883"/>
      <c r="I86" s="883"/>
      <c r="J86" s="883"/>
      <c r="K86" s="883"/>
      <c r="L86" s="1235"/>
      <c r="M86" s="1236"/>
      <c r="N86" s="989" t="str">
        <f>IF(E86="","",IF(OR(L86="",AND(AF86=FALSE,COUNTA(F86:K86)=0)),CONST_ERR_Incomplete,IF(COUNTIF(L$83:M86,L86)&gt;1,CONST_ERR_Duplicate,IF(COUNTIF(X86:AC86,NA())&gt;0,CONST_ERR_Inconsistent,""))))</f>
        <v/>
      </c>
      <c r="O86" s="428"/>
      <c r="Q86" s="144"/>
      <c r="R86" s="171"/>
      <c r="S86" s="114" t="str">
        <f t="shared" si="9"/>
        <v>n.a.</v>
      </c>
      <c r="T86" s="102" t="str">
        <f t="shared" si="10"/>
        <v>n.a.</v>
      </c>
      <c r="U86" s="171"/>
      <c r="V86" s="925" t="str">
        <f t="shared" si="15"/>
        <v>P4</v>
      </c>
      <c r="W86" s="105" t="str">
        <f t="shared" si="11"/>
        <v/>
      </c>
      <c r="X86" s="105" t="str">
        <f>IF(F86="","",$W86&amp;"_"&amp;IF(F86=$S$61,0,MATCH(F86,INDEX(Parameters_Constants!$AC$89:$AM$106,$W86,),0)))</f>
        <v/>
      </c>
      <c r="Y86" s="105" t="str">
        <f>IF(G86="","",$W86&amp;"_"&amp;IF(G86=$S$61,0,MATCH(G86,INDEX(Parameters_Constants!$AC$89:$AM$106,$W86,),0)))</f>
        <v/>
      </c>
      <c r="Z86" s="105" t="str">
        <f>IF(H86="","",$W86&amp;"_"&amp;IF(H86=$S$61,0,MATCH(H86,INDEX(Parameters_Constants!$AC$89:$AM$106,$W86,),0)))</f>
        <v/>
      </c>
      <c r="AA86" s="105" t="str">
        <f>IF(I86="","",$W86&amp;"_"&amp;IF(I86=$S$61,0,MATCH(I86,INDEX(Parameters_Constants!$AC$89:$AM$106,$W86,),0)))</f>
        <v/>
      </c>
      <c r="AB86" s="105" t="str">
        <f>IF(J86="","",$W86&amp;"_"&amp;IF(J86=$S$61,0,MATCH(J86,INDEX(Parameters_Constants!$AC$89:$AM$106,$W86,),0)))</f>
        <v/>
      </c>
      <c r="AC86" s="105" t="str">
        <f>IF(K86="","",$W86&amp;"_"&amp;IF(K86=$S$61,0,MATCH(K86,INDEX(Parameters_Constants!$AC$89:$AM$106,$W86,),0)))</f>
        <v/>
      </c>
      <c r="AD86" s="102" t="str">
        <f t="shared" si="12"/>
        <v/>
      </c>
      <c r="AE86" s="171"/>
      <c r="AF86" s="171"/>
      <c r="AG86" s="102" t="str">
        <f t="shared" si="13"/>
        <v>n.a.</v>
      </c>
      <c r="AH86" s="171"/>
      <c r="AI86" s="930" t="b">
        <f t="shared" si="14"/>
        <v>0</v>
      </c>
    </row>
    <row r="87" spans="1:35" ht="12.75" customHeight="1" x14ac:dyDescent="0.25">
      <c r="A87" s="92"/>
      <c r="B87" s="94"/>
      <c r="C87" s="144"/>
      <c r="D87" s="607" t="s">
        <v>224</v>
      </c>
      <c r="E87" s="609"/>
      <c r="F87" s="540"/>
      <c r="G87" s="883"/>
      <c r="H87" s="883"/>
      <c r="I87" s="883"/>
      <c r="J87" s="883"/>
      <c r="K87" s="883"/>
      <c r="L87" s="1235"/>
      <c r="M87" s="1236"/>
      <c r="N87" s="989" t="str">
        <f>IF(E87="","",IF(OR(L87="",AND(AF87=FALSE,COUNTA(F87:K87)=0)),CONST_ERR_Incomplete,IF(COUNTIF(L$83:M87,L87)&gt;1,CONST_ERR_Duplicate,IF(COUNTIF(X87:AC87,NA())&gt;0,CONST_ERR_Inconsistent,""))))</f>
        <v/>
      </c>
      <c r="O87" s="428"/>
      <c r="Q87" s="144"/>
      <c r="R87" s="171"/>
      <c r="S87" s="114" t="str">
        <f t="shared" si="9"/>
        <v>n.a.</v>
      </c>
      <c r="T87" s="102" t="str">
        <f t="shared" si="10"/>
        <v>n.a.</v>
      </c>
      <c r="U87" s="171"/>
      <c r="V87" s="925" t="str">
        <f t="shared" si="15"/>
        <v>P5</v>
      </c>
      <c r="W87" s="105" t="str">
        <f t="shared" si="11"/>
        <v/>
      </c>
      <c r="X87" s="105" t="str">
        <f>IF(F87="","",$W87&amp;"_"&amp;IF(F87=$S$61,0,MATCH(F87,INDEX(Parameters_Constants!$AC$89:$AM$106,$W87,),0)))</f>
        <v/>
      </c>
      <c r="Y87" s="105" t="str">
        <f>IF(G87="","",$W87&amp;"_"&amp;IF(G87=$S$61,0,MATCH(G87,INDEX(Parameters_Constants!$AC$89:$AM$106,$W87,),0)))</f>
        <v/>
      </c>
      <c r="Z87" s="105" t="str">
        <f>IF(H87="","",$W87&amp;"_"&amp;IF(H87=$S$61,0,MATCH(H87,INDEX(Parameters_Constants!$AC$89:$AM$106,$W87,),0)))</f>
        <v/>
      </c>
      <c r="AA87" s="105" t="str">
        <f>IF(I87="","",$W87&amp;"_"&amp;IF(I87=$S$61,0,MATCH(I87,INDEX(Parameters_Constants!$AC$89:$AM$106,$W87,),0)))</f>
        <v/>
      </c>
      <c r="AB87" s="105" t="str">
        <f>IF(J87="","",$W87&amp;"_"&amp;IF(J87=$S$61,0,MATCH(J87,INDEX(Parameters_Constants!$AC$89:$AM$106,$W87,),0)))</f>
        <v/>
      </c>
      <c r="AC87" s="105" t="str">
        <f>IF(K87="","",$W87&amp;"_"&amp;IF(K87=$S$61,0,MATCH(K87,INDEX(Parameters_Constants!$AC$89:$AM$106,$W87,),0)))</f>
        <v/>
      </c>
      <c r="AD87" s="102" t="str">
        <f t="shared" si="12"/>
        <v/>
      </c>
      <c r="AE87" s="171"/>
      <c r="AF87" s="171"/>
      <c r="AG87" s="102" t="str">
        <f t="shared" si="13"/>
        <v>n.a.</v>
      </c>
      <c r="AH87" s="171"/>
      <c r="AI87" s="930" t="b">
        <f t="shared" si="14"/>
        <v>0</v>
      </c>
    </row>
    <row r="88" spans="1:35" ht="12.75" customHeight="1" x14ac:dyDescent="0.25">
      <c r="A88" s="92"/>
      <c r="B88" s="94"/>
      <c r="C88" s="144"/>
      <c r="D88" s="607" t="s">
        <v>225</v>
      </c>
      <c r="E88" s="609"/>
      <c r="F88" s="540"/>
      <c r="G88" s="883"/>
      <c r="H88" s="883"/>
      <c r="I88" s="883"/>
      <c r="J88" s="883"/>
      <c r="K88" s="883"/>
      <c r="L88" s="1235"/>
      <c r="M88" s="1236"/>
      <c r="N88" s="989" t="str">
        <f>IF(E88="","",IF(OR(L88="",AND(AF88=FALSE,COUNTA(F88:K88)=0)),CONST_ERR_Incomplete,IF(COUNTIF(L$83:M88,L88)&gt;1,CONST_ERR_Duplicate,IF(COUNTIF(X88:AC88,NA())&gt;0,CONST_ERR_Inconsistent,""))))</f>
        <v/>
      </c>
      <c r="O88" s="428"/>
      <c r="Q88" s="144"/>
      <c r="R88" s="171"/>
      <c r="S88" s="114" t="str">
        <f t="shared" si="9"/>
        <v>n.a.</v>
      </c>
      <c r="T88" s="102" t="str">
        <f t="shared" si="10"/>
        <v>n.a.</v>
      </c>
      <c r="U88" s="171"/>
      <c r="V88" s="925" t="str">
        <f t="shared" si="15"/>
        <v>P6</v>
      </c>
      <c r="W88" s="105" t="str">
        <f t="shared" si="11"/>
        <v/>
      </c>
      <c r="X88" s="105" t="str">
        <f>IF(F88="","",$W88&amp;"_"&amp;IF(F88=$S$61,0,MATCH(F88,INDEX(Parameters_Constants!$AC$89:$AM$106,$W88,),0)))</f>
        <v/>
      </c>
      <c r="Y88" s="105" t="str">
        <f>IF(G88="","",$W88&amp;"_"&amp;IF(G88=$S$61,0,MATCH(G88,INDEX(Parameters_Constants!$AC$89:$AM$106,$W88,),0)))</f>
        <v/>
      </c>
      <c r="Z88" s="105" t="str">
        <f>IF(H88="","",$W88&amp;"_"&amp;IF(H88=$S$61,0,MATCH(H88,INDEX(Parameters_Constants!$AC$89:$AM$106,$W88,),0)))</f>
        <v/>
      </c>
      <c r="AA88" s="105" t="str">
        <f>IF(I88="","",$W88&amp;"_"&amp;IF(I88=$S$61,0,MATCH(I88,INDEX(Parameters_Constants!$AC$89:$AM$106,$W88,),0)))</f>
        <v/>
      </c>
      <c r="AB88" s="105" t="str">
        <f>IF(J88="","",$W88&amp;"_"&amp;IF(J88=$S$61,0,MATCH(J88,INDEX(Parameters_Constants!$AC$89:$AM$106,$W88,),0)))</f>
        <v/>
      </c>
      <c r="AC88" s="105" t="str">
        <f>IF(K88="","",$W88&amp;"_"&amp;IF(K88=$S$61,0,MATCH(K88,INDEX(Parameters_Constants!$AC$89:$AM$106,$W88,),0)))</f>
        <v/>
      </c>
      <c r="AD88" s="102" t="str">
        <f t="shared" si="12"/>
        <v/>
      </c>
      <c r="AE88" s="171"/>
      <c r="AF88" s="171"/>
      <c r="AG88" s="102" t="str">
        <f t="shared" si="13"/>
        <v>n.a.</v>
      </c>
      <c r="AH88" s="171"/>
      <c r="AI88" s="930" t="b">
        <f t="shared" si="14"/>
        <v>0</v>
      </c>
    </row>
    <row r="89" spans="1:35" ht="12.75" customHeight="1" x14ac:dyDescent="0.25">
      <c r="A89" s="92"/>
      <c r="B89" s="94"/>
      <c r="C89" s="144"/>
      <c r="D89" s="607" t="s">
        <v>226</v>
      </c>
      <c r="E89" s="609"/>
      <c r="F89" s="540"/>
      <c r="G89" s="883"/>
      <c r="H89" s="883"/>
      <c r="I89" s="883"/>
      <c r="J89" s="883"/>
      <c r="K89" s="883"/>
      <c r="L89" s="1235"/>
      <c r="M89" s="1236"/>
      <c r="N89" s="989" t="str">
        <f>IF(E89="","",IF(OR(L89="",AND(AF89=FALSE,COUNTA(F89:K89)=0)),CONST_ERR_Incomplete,IF(COUNTIF(L$83:M89,L89)&gt;1,CONST_ERR_Duplicate,IF(COUNTIF(X89:AC89,NA())&gt;0,CONST_ERR_Inconsistent,""))))</f>
        <v/>
      </c>
      <c r="O89" s="428"/>
      <c r="Q89" s="144"/>
      <c r="R89" s="171"/>
      <c r="S89" s="114" t="str">
        <f t="shared" si="9"/>
        <v>n.a.</v>
      </c>
      <c r="T89" s="102" t="str">
        <f t="shared" si="10"/>
        <v>n.a.</v>
      </c>
      <c r="U89" s="171"/>
      <c r="V89" s="925" t="str">
        <f t="shared" si="15"/>
        <v>P7</v>
      </c>
      <c r="W89" s="105" t="str">
        <f t="shared" si="11"/>
        <v/>
      </c>
      <c r="X89" s="105" t="str">
        <f>IF(F89="","",$W89&amp;"_"&amp;IF(F89=$S$61,0,MATCH(F89,INDEX(Parameters_Constants!$AC$89:$AM$106,$W89,),0)))</f>
        <v/>
      </c>
      <c r="Y89" s="105" t="str">
        <f>IF(G89="","",$W89&amp;"_"&amp;IF(G89=$S$61,0,MATCH(G89,INDEX(Parameters_Constants!$AC$89:$AM$106,$W89,),0)))</f>
        <v/>
      </c>
      <c r="Z89" s="105" t="str">
        <f>IF(H89="","",$W89&amp;"_"&amp;IF(H89=$S$61,0,MATCH(H89,INDEX(Parameters_Constants!$AC$89:$AM$106,$W89,),0)))</f>
        <v/>
      </c>
      <c r="AA89" s="105" t="str">
        <f>IF(I89="","",$W89&amp;"_"&amp;IF(I89=$S$61,0,MATCH(I89,INDEX(Parameters_Constants!$AC$89:$AM$106,$W89,),0)))</f>
        <v/>
      </c>
      <c r="AB89" s="105" t="str">
        <f>IF(J89="","",$W89&amp;"_"&amp;IF(J89=$S$61,0,MATCH(J89,INDEX(Parameters_Constants!$AC$89:$AM$106,$W89,),0)))</f>
        <v/>
      </c>
      <c r="AC89" s="105" t="str">
        <f>IF(K89="","",$W89&amp;"_"&amp;IF(K89=$S$61,0,MATCH(K89,INDEX(Parameters_Constants!$AC$89:$AM$106,$W89,),0)))</f>
        <v/>
      </c>
      <c r="AD89" s="102" t="str">
        <f t="shared" si="12"/>
        <v/>
      </c>
      <c r="AE89" s="171"/>
      <c r="AF89" s="171"/>
      <c r="AG89" s="102" t="str">
        <f t="shared" si="13"/>
        <v>n.a.</v>
      </c>
      <c r="AH89" s="171"/>
      <c r="AI89" s="930" t="b">
        <f t="shared" si="14"/>
        <v>0</v>
      </c>
    </row>
    <row r="90" spans="1:35" ht="12.75" customHeight="1" x14ac:dyDescent="0.25">
      <c r="A90" s="92"/>
      <c r="B90" s="94"/>
      <c r="C90" s="144"/>
      <c r="D90" s="607" t="s">
        <v>227</v>
      </c>
      <c r="E90" s="609"/>
      <c r="F90" s="540"/>
      <c r="G90" s="883"/>
      <c r="H90" s="883"/>
      <c r="I90" s="883"/>
      <c r="J90" s="883"/>
      <c r="K90" s="883"/>
      <c r="L90" s="1235"/>
      <c r="M90" s="1236"/>
      <c r="N90" s="989" t="str">
        <f>IF(E90="","",IF(OR(L90="",AND(AF90=FALSE,COUNTA(F90:K90)=0)),CONST_ERR_Incomplete,IF(COUNTIF(L$83:M90,L90)&gt;1,CONST_ERR_Duplicate,IF(COUNTIF(X90:AC90,NA())&gt;0,CONST_ERR_Inconsistent,""))))</f>
        <v/>
      </c>
      <c r="O90" s="428"/>
      <c r="Q90" s="144"/>
      <c r="R90" s="171"/>
      <c r="S90" s="114" t="str">
        <f t="shared" si="9"/>
        <v>n.a.</v>
      </c>
      <c r="T90" s="102" t="str">
        <f t="shared" si="10"/>
        <v>n.a.</v>
      </c>
      <c r="U90" s="171"/>
      <c r="V90" s="925" t="str">
        <f t="shared" si="15"/>
        <v>P8</v>
      </c>
      <c r="W90" s="105" t="str">
        <f t="shared" si="11"/>
        <v/>
      </c>
      <c r="X90" s="105" t="str">
        <f>IF(F90="","",$W90&amp;"_"&amp;IF(F90=$S$61,0,MATCH(F90,INDEX(Parameters_Constants!$AC$89:$AM$106,$W90,),0)))</f>
        <v/>
      </c>
      <c r="Y90" s="105" t="str">
        <f>IF(G90="","",$W90&amp;"_"&amp;IF(G90=$S$61,0,MATCH(G90,INDEX(Parameters_Constants!$AC$89:$AM$106,$W90,),0)))</f>
        <v/>
      </c>
      <c r="Z90" s="105" t="str">
        <f>IF(H90="","",$W90&amp;"_"&amp;IF(H90=$S$61,0,MATCH(H90,INDEX(Parameters_Constants!$AC$89:$AM$106,$W90,),0)))</f>
        <v/>
      </c>
      <c r="AA90" s="105" t="str">
        <f>IF(I90="","",$W90&amp;"_"&amp;IF(I90=$S$61,0,MATCH(I90,INDEX(Parameters_Constants!$AC$89:$AM$106,$W90,),0)))</f>
        <v/>
      </c>
      <c r="AB90" s="105" t="str">
        <f>IF(J90="","",$W90&amp;"_"&amp;IF(J90=$S$61,0,MATCH(J90,INDEX(Parameters_Constants!$AC$89:$AM$106,$W90,),0)))</f>
        <v/>
      </c>
      <c r="AC90" s="105" t="str">
        <f>IF(K90="","",$W90&amp;"_"&amp;IF(K90=$S$61,0,MATCH(K90,INDEX(Parameters_Constants!$AC$89:$AM$106,$W90,),0)))</f>
        <v/>
      </c>
      <c r="AD90" s="102" t="str">
        <f t="shared" si="12"/>
        <v/>
      </c>
      <c r="AE90" s="171"/>
      <c r="AF90" s="171"/>
      <c r="AG90" s="102" t="str">
        <f t="shared" si="13"/>
        <v>n.a.</v>
      </c>
      <c r="AH90" s="171"/>
      <c r="AI90" s="930" t="b">
        <f t="shared" si="14"/>
        <v>0</v>
      </c>
    </row>
    <row r="91" spans="1:35" ht="12.75" customHeight="1" x14ac:dyDescent="0.25">
      <c r="A91" s="92"/>
      <c r="B91" s="94"/>
      <c r="C91" s="144"/>
      <c r="D91" s="607" t="s">
        <v>228</v>
      </c>
      <c r="E91" s="609"/>
      <c r="F91" s="540"/>
      <c r="G91" s="883"/>
      <c r="H91" s="883"/>
      <c r="I91" s="883"/>
      <c r="J91" s="883"/>
      <c r="K91" s="883"/>
      <c r="L91" s="1235"/>
      <c r="M91" s="1236"/>
      <c r="N91" s="989" t="str">
        <f>IF(E91="","",IF(OR(L91="",AND(AF91=FALSE,COUNTA(F91:K91)=0)),CONST_ERR_Incomplete,IF(COUNTIF(L$83:M91,L91)&gt;1,CONST_ERR_Duplicate,IF(COUNTIF(X91:AC91,NA())&gt;0,CONST_ERR_Inconsistent,""))))</f>
        <v/>
      </c>
      <c r="O91" s="428"/>
      <c r="Q91" s="144"/>
      <c r="R91" s="171"/>
      <c r="S91" s="114" t="str">
        <f t="shared" si="9"/>
        <v>n.a.</v>
      </c>
      <c r="T91" s="102" t="str">
        <f t="shared" si="10"/>
        <v>n.a.</v>
      </c>
      <c r="U91" s="171"/>
      <c r="V91" s="925" t="str">
        <f t="shared" si="15"/>
        <v>P9</v>
      </c>
      <c r="W91" s="105" t="str">
        <f t="shared" si="11"/>
        <v/>
      </c>
      <c r="X91" s="105" t="str">
        <f>IF(F91="","",$W91&amp;"_"&amp;IF(F91=$S$61,0,MATCH(F91,INDEX(Parameters_Constants!$AC$89:$AM$106,$W91,),0)))</f>
        <v/>
      </c>
      <c r="Y91" s="105" t="str">
        <f>IF(G91="","",$W91&amp;"_"&amp;IF(G91=$S$61,0,MATCH(G91,INDEX(Parameters_Constants!$AC$89:$AM$106,$W91,),0)))</f>
        <v/>
      </c>
      <c r="Z91" s="105" t="str">
        <f>IF(H91="","",$W91&amp;"_"&amp;IF(H91=$S$61,0,MATCH(H91,INDEX(Parameters_Constants!$AC$89:$AM$106,$W91,),0)))</f>
        <v/>
      </c>
      <c r="AA91" s="105" t="str">
        <f>IF(I91="","",$W91&amp;"_"&amp;IF(I91=$S$61,0,MATCH(I91,INDEX(Parameters_Constants!$AC$89:$AM$106,$W91,),0)))</f>
        <v/>
      </c>
      <c r="AB91" s="105" t="str">
        <f>IF(J91="","",$W91&amp;"_"&amp;IF(J91=$S$61,0,MATCH(J91,INDEX(Parameters_Constants!$AC$89:$AM$106,$W91,),0)))</f>
        <v/>
      </c>
      <c r="AC91" s="105" t="str">
        <f>IF(K91="","",$W91&amp;"_"&amp;IF(K91=$S$61,0,MATCH(K91,INDEX(Parameters_Constants!$AC$89:$AM$106,$W91,),0)))</f>
        <v/>
      </c>
      <c r="AD91" s="102" t="str">
        <f t="shared" si="12"/>
        <v/>
      </c>
      <c r="AE91" s="171"/>
      <c r="AF91" s="171"/>
      <c r="AG91" s="102" t="str">
        <f t="shared" si="13"/>
        <v>n.a.</v>
      </c>
      <c r="AH91" s="171"/>
      <c r="AI91" s="930" t="b">
        <f t="shared" si="14"/>
        <v>0</v>
      </c>
    </row>
    <row r="92" spans="1:35" ht="12.75" customHeight="1" x14ac:dyDescent="0.25">
      <c r="A92" s="92"/>
      <c r="B92" s="94"/>
      <c r="C92" s="144"/>
      <c r="D92" s="137" t="s">
        <v>229</v>
      </c>
      <c r="E92" s="610"/>
      <c r="F92" s="552"/>
      <c r="G92" s="884"/>
      <c r="H92" s="884"/>
      <c r="I92" s="884"/>
      <c r="J92" s="884"/>
      <c r="K92" s="884"/>
      <c r="L92" s="1268"/>
      <c r="M92" s="1269"/>
      <c r="N92" s="990" t="str">
        <f>IF(E92="","",IF(OR(L92="",AND(AF92=FALSE,COUNTA(F92:K92)=0)),CONST_ERR_Incomplete,IF(COUNTIF(L$83:M92,L92)&gt;1,CONST_ERR_Duplicate,IF(COUNTIF(X92:AC92,NA())&gt;0,CONST_ERR_Inconsistent,""))))</f>
        <v/>
      </c>
      <c r="O92" s="428"/>
      <c r="Q92" s="144"/>
      <c r="R92" s="171"/>
      <c r="S92" s="114" t="str">
        <f t="shared" si="9"/>
        <v>n.a.</v>
      </c>
      <c r="T92" s="102" t="str">
        <f t="shared" si="10"/>
        <v>n.a.</v>
      </c>
      <c r="U92" s="171"/>
      <c r="V92" s="925" t="str">
        <f t="shared" si="15"/>
        <v>P10</v>
      </c>
      <c r="W92" s="105" t="str">
        <f t="shared" si="11"/>
        <v/>
      </c>
      <c r="X92" s="105" t="str">
        <f>IF(F92="","",$W92&amp;"_"&amp;IF(F92=$S$61,0,MATCH(F92,INDEX(Parameters_Constants!$AC$89:$AM$106,$W92,),0)))</f>
        <v/>
      </c>
      <c r="Y92" s="105" t="str">
        <f>IF(G92="","",$W92&amp;"_"&amp;IF(G92=$S$61,0,MATCH(G92,INDEX(Parameters_Constants!$AC$89:$AM$106,$W92,),0)))</f>
        <v/>
      </c>
      <c r="Z92" s="105" t="str">
        <f>IF(H92="","",$W92&amp;"_"&amp;IF(H92=$S$61,0,MATCH(H92,INDEX(Parameters_Constants!$AC$89:$AM$106,$W92,),0)))</f>
        <v/>
      </c>
      <c r="AA92" s="105" t="str">
        <f>IF(I92="","",$W92&amp;"_"&amp;IF(I92=$S$61,0,MATCH(I92,INDEX(Parameters_Constants!$AC$89:$AM$106,$W92,),0)))</f>
        <v/>
      </c>
      <c r="AB92" s="105" t="str">
        <f>IF(J92="","",$W92&amp;"_"&amp;IF(J92=$S$61,0,MATCH(J92,INDEX(Parameters_Constants!$AC$89:$AM$106,$W92,),0)))</f>
        <v/>
      </c>
      <c r="AC92" s="105" t="str">
        <f>IF(K92="","",$W92&amp;"_"&amp;IF(K92=$S$61,0,MATCH(K92,INDEX(Parameters_Constants!$AC$89:$AM$106,$W92,),0)))</f>
        <v/>
      </c>
      <c r="AD92" s="102" t="str">
        <f t="shared" si="12"/>
        <v/>
      </c>
      <c r="AE92" s="171"/>
      <c r="AF92" s="171"/>
      <c r="AG92" s="102" t="str">
        <f t="shared" si="13"/>
        <v>n.a.</v>
      </c>
      <c r="AH92" s="171"/>
      <c r="AI92" s="930" t="b">
        <f t="shared" si="14"/>
        <v>0</v>
      </c>
    </row>
    <row r="93" spans="1:35" ht="5.15" customHeight="1" x14ac:dyDescent="0.25">
      <c r="A93" s="92"/>
      <c r="B93" s="94"/>
      <c r="C93" s="144"/>
      <c r="D93" s="914"/>
      <c r="E93" s="915"/>
      <c r="F93" s="915"/>
      <c r="G93" s="915"/>
      <c r="H93" s="915"/>
      <c r="I93" s="915"/>
      <c r="J93" s="915"/>
      <c r="K93" s="915"/>
      <c r="L93" s="915"/>
      <c r="M93" s="915"/>
      <c r="N93" s="144"/>
      <c r="O93" s="428"/>
      <c r="Q93" s="144"/>
      <c r="R93" s="171"/>
      <c r="S93" s="927"/>
      <c r="T93" s="171"/>
      <c r="U93" s="171"/>
      <c r="V93" s="171"/>
      <c r="W93" s="171"/>
      <c r="X93" s="171"/>
      <c r="Y93" s="171"/>
      <c r="Z93" s="171"/>
      <c r="AA93" s="171"/>
      <c r="AB93" s="171"/>
      <c r="AC93" s="171"/>
      <c r="AD93" s="171"/>
      <c r="AE93" s="171"/>
      <c r="AF93" s="171"/>
      <c r="AG93" s="171"/>
      <c r="AH93" s="171"/>
      <c r="AI93" s="427"/>
    </row>
    <row r="94" spans="1:35" ht="12.75" customHeight="1" x14ac:dyDescent="0.3">
      <c r="A94" s="92"/>
      <c r="B94" s="94"/>
      <c r="C94" s="144"/>
      <c r="D94" s="914"/>
      <c r="E94" s="915"/>
      <c r="F94" s="915"/>
      <c r="G94" s="917" t="str">
        <f>Translations!$B$1956</f>
        <v>Completeness check:</v>
      </c>
      <c r="H94" s="1271" t="str">
        <f>IF(COUNTIF(AE62:AE71,TRUE)&gt;0,CONST_MsgMissingProdProc,"")</f>
        <v/>
      </c>
      <c r="I94" s="1271"/>
      <c r="J94" s="1271"/>
      <c r="K94" s="1271"/>
      <c r="L94" s="1271"/>
      <c r="M94" s="1271"/>
      <c r="N94" s="1271"/>
      <c r="O94" s="428"/>
      <c r="Q94" s="144"/>
      <c r="R94" s="171"/>
      <c r="S94" s="927"/>
      <c r="T94" s="171"/>
      <c r="U94" s="171"/>
      <c r="V94" s="171"/>
      <c r="W94" s="171"/>
      <c r="X94" s="171"/>
      <c r="Y94" s="171"/>
      <c r="Z94" s="171"/>
      <c r="AA94" s="171"/>
      <c r="AB94" s="171"/>
      <c r="AC94" s="171"/>
      <c r="AD94" s="171"/>
      <c r="AE94" s="171"/>
      <c r="AF94" s="171"/>
      <c r="AG94" s="102" t="str">
        <f>IF(AND(CNTR_HasEntriesA,H94&lt;&gt;""),CONST_ErrorOrMissing&amp;A55,CONST_NA)</f>
        <v>n.a.</v>
      </c>
      <c r="AH94" s="171"/>
      <c r="AI94" s="427"/>
    </row>
    <row r="95" spans="1:35" ht="12.75" customHeight="1" x14ac:dyDescent="0.25">
      <c r="A95" s="92"/>
      <c r="B95" s="94"/>
      <c r="C95" s="144"/>
      <c r="D95" s="914"/>
      <c r="E95" s="915"/>
      <c r="F95" s="915"/>
      <c r="G95" s="915"/>
      <c r="H95" s="915"/>
      <c r="I95" s="915"/>
      <c r="J95" s="915"/>
      <c r="K95" s="915"/>
      <c r="L95" s="915"/>
      <c r="M95" s="915"/>
      <c r="N95" s="144"/>
      <c r="O95" s="428"/>
      <c r="Q95" s="144"/>
      <c r="R95" s="171"/>
      <c r="S95" s="927"/>
      <c r="T95" s="171"/>
      <c r="U95" s="171"/>
      <c r="V95" s="171"/>
      <c r="W95" s="171"/>
      <c r="X95" s="171"/>
      <c r="Y95" s="171"/>
      <c r="Z95" s="171"/>
      <c r="AA95" s="171"/>
      <c r="AB95" s="171"/>
      <c r="AC95" s="171"/>
      <c r="AD95" s="171"/>
      <c r="AE95" s="171"/>
      <c r="AF95" s="171"/>
      <c r="AG95" s="171"/>
      <c r="AH95" s="171"/>
      <c r="AI95" s="427"/>
    </row>
    <row r="96" spans="1:35" ht="18" customHeight="1" x14ac:dyDescent="0.35">
      <c r="A96" s="919">
        <f>C96</f>
        <v>5</v>
      </c>
      <c r="B96" s="94"/>
      <c r="C96" s="908">
        <v>5</v>
      </c>
      <c r="D96" s="909" t="str">
        <f>Translations!$B$124</f>
        <v>Purchased precursors</v>
      </c>
      <c r="E96" s="909"/>
      <c r="F96" s="910"/>
      <c r="G96" s="910"/>
      <c r="H96" s="910"/>
      <c r="I96" s="910"/>
      <c r="J96" s="910"/>
      <c r="K96" s="910"/>
      <c r="L96" s="910"/>
      <c r="M96" s="910"/>
      <c r="N96" s="910"/>
      <c r="O96" s="428"/>
      <c r="Q96" s="144"/>
      <c r="R96" s="102" t="str">
        <f>D96</f>
        <v>Purchased precursors</v>
      </c>
      <c r="S96" s="171"/>
      <c r="T96" s="171"/>
      <c r="U96" s="171"/>
      <c r="V96" s="171"/>
      <c r="W96" s="171"/>
      <c r="X96" s="171"/>
      <c r="Y96" s="171"/>
      <c r="Z96" s="171"/>
      <c r="AA96" s="171"/>
      <c r="AB96" s="171"/>
      <c r="AC96" s="171"/>
      <c r="AD96" s="171"/>
      <c r="AE96" s="171"/>
      <c r="AF96" s="171"/>
      <c r="AG96" s="171"/>
      <c r="AH96" s="171"/>
      <c r="AI96" s="427"/>
    </row>
    <row r="97" spans="1:35" ht="5.15" customHeight="1" x14ac:dyDescent="0.25">
      <c r="A97" s="92"/>
      <c r="B97" s="94"/>
      <c r="C97" s="144"/>
      <c r="D97" s="914"/>
      <c r="E97" s="915"/>
      <c r="F97" s="915"/>
      <c r="G97" s="915"/>
      <c r="H97" s="915"/>
      <c r="I97" s="915"/>
      <c r="J97" s="915"/>
      <c r="K97" s="915"/>
      <c r="L97" s="915"/>
      <c r="M97" s="915"/>
      <c r="N97" s="144"/>
      <c r="O97" s="428"/>
      <c r="Q97" s="144"/>
      <c r="R97" s="171"/>
      <c r="S97" s="927"/>
      <c r="T97" s="171"/>
      <c r="U97" s="171"/>
      <c r="V97" s="171"/>
      <c r="W97" s="171"/>
      <c r="X97" s="171"/>
      <c r="Y97" s="171"/>
      <c r="Z97" s="171"/>
      <c r="AA97" s="171"/>
      <c r="AB97" s="171"/>
      <c r="AC97" s="171"/>
      <c r="AD97" s="171"/>
      <c r="AE97" s="171"/>
      <c r="AF97" s="171"/>
      <c r="AG97" s="171"/>
      <c r="AH97" s="171"/>
      <c r="AI97" s="427"/>
    </row>
    <row r="98" spans="1:35" ht="12.75" customHeight="1" x14ac:dyDescent="0.25">
      <c r="A98" s="92"/>
      <c r="B98" s="94"/>
      <c r="C98" s="144"/>
      <c r="D98" s="914"/>
      <c r="E98" s="1237" t="str">
        <f>Translations!$B$125</f>
        <v>Please list here all precursors that are produced OUTSIDE the installation (e.g. purchased) and consumed within the installation.</v>
      </c>
      <c r="F98" s="1237"/>
      <c r="G98" s="1237"/>
      <c r="H98" s="1237"/>
      <c r="I98" s="1237"/>
      <c r="J98" s="1237"/>
      <c r="K98" s="1237"/>
      <c r="L98" s="1237"/>
      <c r="M98" s="1237"/>
      <c r="N98" s="1237"/>
      <c r="O98" s="428"/>
      <c r="Q98" s="144"/>
      <c r="R98" s="171"/>
      <c r="S98" s="927"/>
      <c r="T98" s="171"/>
      <c r="U98" s="171"/>
      <c r="V98" s="171"/>
      <c r="W98" s="171"/>
      <c r="X98" s="171"/>
      <c r="Y98" s="171"/>
      <c r="Z98" s="171"/>
      <c r="AA98" s="171"/>
      <c r="AB98" s="171"/>
      <c r="AC98" s="171"/>
      <c r="AD98" s="171"/>
      <c r="AE98" s="171"/>
      <c r="AF98" s="171"/>
      <c r="AG98" s="171"/>
      <c r="AH98" s="171"/>
      <c r="AI98" s="427"/>
    </row>
    <row r="99" spans="1:35" ht="25.5" customHeight="1" x14ac:dyDescent="0.25">
      <c r="A99" s="92"/>
      <c r="B99" s="94"/>
      <c r="C99" s="144"/>
      <c r="D99" s="914"/>
      <c r="E99" s="1237" t="str">
        <f>Translations!$B$126</f>
        <v>Please also list the country in which the relevant precursor was produced (see sheet "c_CodeLists" to find the correct country codes) and the relevant production routes, if known.</v>
      </c>
      <c r="F99" s="1237"/>
      <c r="G99" s="1237"/>
      <c r="H99" s="1237"/>
      <c r="I99" s="1237"/>
      <c r="J99" s="1237"/>
      <c r="K99" s="1237"/>
      <c r="L99" s="1237"/>
      <c r="M99" s="1237"/>
      <c r="N99" s="1237"/>
      <c r="O99" s="428"/>
      <c r="Q99" s="144"/>
      <c r="R99" s="171"/>
      <c r="S99" s="927"/>
      <c r="T99" s="171"/>
      <c r="U99" s="171" t="s">
        <v>4075</v>
      </c>
      <c r="V99" s="171"/>
      <c r="W99" s="171"/>
      <c r="X99" s="171" t="s">
        <v>4076</v>
      </c>
      <c r="Y99" s="171"/>
      <c r="Z99" s="171"/>
      <c r="AA99" s="171"/>
      <c r="AB99" s="171"/>
      <c r="AC99" s="171"/>
      <c r="AD99" s="171"/>
      <c r="AE99" s="171"/>
      <c r="AF99" s="171"/>
      <c r="AG99" s="171"/>
      <c r="AH99" s="171"/>
      <c r="AI99" s="427"/>
    </row>
    <row r="100" spans="1:35" ht="5.15" customHeight="1" x14ac:dyDescent="0.25">
      <c r="A100" s="92"/>
      <c r="B100" s="94"/>
      <c r="C100" s="144"/>
      <c r="D100" s="914"/>
      <c r="E100" s="915"/>
      <c r="F100" s="915"/>
      <c r="G100" s="915"/>
      <c r="H100" s="915"/>
      <c r="I100" s="915"/>
      <c r="J100" s="915"/>
      <c r="K100" s="915"/>
      <c r="L100" s="915"/>
      <c r="M100" s="915"/>
      <c r="N100" s="144"/>
      <c r="O100" s="428"/>
      <c r="Q100" s="144"/>
      <c r="R100" s="171"/>
      <c r="S100" s="927"/>
      <c r="T100" s="171"/>
      <c r="U100" s="171"/>
      <c r="V100" s="171"/>
      <c r="W100" s="171"/>
      <c r="X100" s="171"/>
      <c r="Y100" s="171"/>
      <c r="Z100" s="171"/>
      <c r="AA100" s="171"/>
      <c r="AB100" s="171"/>
      <c r="AC100" s="171"/>
      <c r="AD100" s="171"/>
      <c r="AE100" s="171"/>
      <c r="AF100" s="171"/>
      <c r="AG100" s="171"/>
      <c r="AH100" s="171"/>
      <c r="AI100" s="427"/>
    </row>
    <row r="101" spans="1:35" ht="12.75" customHeight="1" x14ac:dyDescent="0.3">
      <c r="A101" s="92"/>
      <c r="B101" s="94"/>
      <c r="C101" s="144"/>
      <c r="D101" s="112" t="s">
        <v>126</v>
      </c>
      <c r="E101" s="119" t="str">
        <f>Translations!$B$120</f>
        <v>Production process</v>
      </c>
      <c r="F101" s="113" t="str">
        <f>Translations!$B$1957</f>
        <v>Country code</v>
      </c>
      <c r="G101" s="113" t="str">
        <f>Translations!$B$109</f>
        <v>Route 1</v>
      </c>
      <c r="H101" s="113" t="str">
        <f>Translations!$B$110</f>
        <v>Route 2</v>
      </c>
      <c r="I101" s="113" t="str">
        <f>Translations!$B$111</f>
        <v>Route 3</v>
      </c>
      <c r="J101" s="113" t="str">
        <f>Translations!$B$112</f>
        <v>Route 4</v>
      </c>
      <c r="K101" s="113" t="str">
        <f>Translations!$B$113</f>
        <v>Route 5</v>
      </c>
      <c r="L101" s="1272" t="str">
        <f>Translations!$B$122</f>
        <v>Name</v>
      </c>
      <c r="M101" s="1272"/>
      <c r="N101" s="112" t="str">
        <f>Translations!$B$123</f>
        <v>Error message</v>
      </c>
      <c r="O101" s="428"/>
      <c r="Q101" s="144"/>
      <c r="R101" s="171"/>
      <c r="S101" s="928" t="s">
        <v>361</v>
      </c>
      <c r="T101" s="928" t="s">
        <v>362</v>
      </c>
      <c r="U101" s="931"/>
      <c r="V101" s="932"/>
      <c r="W101" s="890" t="s">
        <v>381</v>
      </c>
      <c r="X101" s="890" t="s">
        <v>382</v>
      </c>
      <c r="Y101" s="890" t="s">
        <v>383</v>
      </c>
      <c r="Z101" s="890" t="s">
        <v>384</v>
      </c>
      <c r="AA101" s="890" t="s">
        <v>385</v>
      </c>
      <c r="AB101" s="890" t="s">
        <v>386</v>
      </c>
      <c r="AC101" s="171"/>
      <c r="AD101" s="171"/>
      <c r="AE101" s="171"/>
      <c r="AF101" s="171"/>
      <c r="AG101" s="436"/>
      <c r="AH101" s="115" t="s">
        <v>2722</v>
      </c>
      <c r="AI101" s="427"/>
    </row>
    <row r="102" spans="1:35" ht="12.75" customHeight="1" x14ac:dyDescent="0.25">
      <c r="A102" s="92"/>
      <c r="B102" s="94"/>
      <c r="C102" s="144"/>
      <c r="D102" s="812" t="s">
        <v>315</v>
      </c>
      <c r="E102" s="608"/>
      <c r="F102" s="611"/>
      <c r="G102" s="843"/>
      <c r="H102" s="879"/>
      <c r="I102" s="879"/>
      <c r="J102" s="879"/>
      <c r="K102" s="879"/>
      <c r="L102" s="1273"/>
      <c r="M102" s="1274"/>
      <c r="N102" s="988" t="str">
        <f t="shared" ref="N102:N121" si="16">IF(E102="","",IF(COUNTIF(X102:AB102,NA())&gt;0,CONST_ERR_Inconsistent,IF(OR(F102="",L102="",AND(AH102=FALSE,COUNTA(G102:K102)=0)),CONST_ERR_Incomplete,"")))</f>
        <v/>
      </c>
      <c r="O102" s="428"/>
      <c r="Q102" s="144"/>
      <c r="R102" s="171"/>
      <c r="S102" s="114" t="str">
        <f t="shared" ref="S102:S110" si="17">IF(E102="",CONST_NA,E102)</f>
        <v>n.a.</v>
      </c>
      <c r="T102" s="102" t="str">
        <f t="shared" ref="T102:T110" si="18">IF(E102="",CONST_NA,IF(L102="",D102 &amp; " - " &amp; E102,L102))</f>
        <v>n.a.</v>
      </c>
      <c r="U102" s="116" t="str">
        <f t="shared" ref="U102:U110" si="19">IF(E102="","",INDEX(CONST_LIST_GoodsProdRouteAdd,MATCH(E102,CONST_LIST_Goods,0)))</f>
        <v/>
      </c>
      <c r="V102" s="933" t="str">
        <f t="shared" ref="V102:V121" si="20">D102</f>
        <v>PP1</v>
      </c>
      <c r="W102" s="891" t="str">
        <f t="shared" ref="W102:W121" si="21">IF(E102="","",MATCH(E102,CONST_LIST_Goods,0))</f>
        <v/>
      </c>
      <c r="X102" s="891" t="str">
        <f t="shared" ref="X102:X121" si="22">IF(G102="","",MATCH(G102,INDEX(CONST_MATRIX_ProductionRoute,$W102,),0))</f>
        <v/>
      </c>
      <c r="Y102" s="891" t="str">
        <f t="shared" ref="Y102:Y121" si="23">IF(H102="","",MATCH(H102,INDEX(CONST_MATRIX_ProductionRoute,$W102,),0))</f>
        <v/>
      </c>
      <c r="Z102" s="891" t="str">
        <f t="shared" ref="Z102:Z121" si="24">IF(I102="","",MATCH(I102,INDEX(CONST_MATRIX_ProductionRoute,$W102,),0))</f>
        <v/>
      </c>
      <c r="AA102" s="891" t="str">
        <f t="shared" ref="AA102:AA121" si="25">IF(J102="","",MATCH(J102,INDEX(CONST_MATRIX_ProductionRoute,$W102,),0))</f>
        <v/>
      </c>
      <c r="AB102" s="891" t="str">
        <f t="shared" ref="AB102:AB121" si="26">IF(K102="","",MATCH(K102,INDEX(CONST_MATRIX_ProductionRoute,$W102,),0))</f>
        <v/>
      </c>
      <c r="AC102" s="171"/>
      <c r="AD102" s="171"/>
      <c r="AE102" s="171"/>
      <c r="AF102" s="171"/>
      <c r="AG102" s="102" t="str">
        <f t="shared" ref="AG102:AG121" si="27">IF(AND(CNTR_HasEntriesA,N102&lt;&gt;""),CONST_ErrorOrMissing&amp;$A$96,CONST_NA)</f>
        <v>n.a.</v>
      </c>
      <c r="AH102" s="102" t="str">
        <f t="shared" ref="AH102:AH121" si="28">IF(OR(CNTR_HasEntriesA=FALSE,E102=""),"",COUNTIF(INDEX(CONST_MATRIX_ProductionRoute,MATCH(E102,CONST_LIST_Goods,0),),CONST_NA)=9)</f>
        <v/>
      </c>
      <c r="AI102" s="930" t="b">
        <f t="shared" ref="AI102:AI121" si="29">AND(CNTR_HasEntriesA,E102="")</f>
        <v>0</v>
      </c>
    </row>
    <row r="103" spans="1:35" ht="12.75" customHeight="1" x14ac:dyDescent="0.25">
      <c r="A103" s="92"/>
      <c r="B103" s="94"/>
      <c r="C103" s="144"/>
      <c r="D103" s="813" t="s">
        <v>316</v>
      </c>
      <c r="E103" s="609"/>
      <c r="F103" s="612"/>
      <c r="G103" s="839"/>
      <c r="H103" s="880"/>
      <c r="I103" s="880"/>
      <c r="J103" s="880"/>
      <c r="K103" s="880"/>
      <c r="L103" s="1235"/>
      <c r="M103" s="1236"/>
      <c r="N103" s="989" t="str">
        <f t="shared" si="16"/>
        <v/>
      </c>
      <c r="O103" s="428"/>
      <c r="Q103" s="144"/>
      <c r="R103" s="171"/>
      <c r="S103" s="114" t="str">
        <f t="shared" si="17"/>
        <v>n.a.</v>
      </c>
      <c r="T103" s="102" t="str">
        <f t="shared" si="18"/>
        <v>n.a.</v>
      </c>
      <c r="U103" s="116" t="str">
        <f t="shared" si="19"/>
        <v/>
      </c>
      <c r="V103" s="933" t="str">
        <f t="shared" si="20"/>
        <v>PP2</v>
      </c>
      <c r="W103" s="891" t="str">
        <f t="shared" si="21"/>
        <v/>
      </c>
      <c r="X103" s="891" t="str">
        <f t="shared" si="22"/>
        <v/>
      </c>
      <c r="Y103" s="891" t="str">
        <f t="shared" si="23"/>
        <v/>
      </c>
      <c r="Z103" s="891" t="str">
        <f t="shared" si="24"/>
        <v/>
      </c>
      <c r="AA103" s="891" t="str">
        <f t="shared" si="25"/>
        <v/>
      </c>
      <c r="AB103" s="891" t="str">
        <f t="shared" si="26"/>
        <v/>
      </c>
      <c r="AC103" s="171"/>
      <c r="AD103" s="171"/>
      <c r="AE103" s="171"/>
      <c r="AF103" s="171"/>
      <c r="AG103" s="102" t="str">
        <f t="shared" si="27"/>
        <v>n.a.</v>
      </c>
      <c r="AH103" s="102" t="str">
        <f t="shared" si="28"/>
        <v/>
      </c>
      <c r="AI103" s="930" t="b">
        <f t="shared" si="29"/>
        <v>0</v>
      </c>
    </row>
    <row r="104" spans="1:35" ht="12.75" customHeight="1" x14ac:dyDescent="0.25">
      <c r="A104" s="92"/>
      <c r="B104" s="94"/>
      <c r="C104" s="144"/>
      <c r="D104" s="813" t="s">
        <v>317</v>
      </c>
      <c r="E104" s="609"/>
      <c r="F104" s="612"/>
      <c r="G104" s="839"/>
      <c r="H104" s="880"/>
      <c r="I104" s="880"/>
      <c r="J104" s="880"/>
      <c r="K104" s="880"/>
      <c r="L104" s="1235"/>
      <c r="M104" s="1236"/>
      <c r="N104" s="989" t="str">
        <f t="shared" si="16"/>
        <v/>
      </c>
      <c r="O104" s="428"/>
      <c r="Q104" s="144"/>
      <c r="R104" s="171"/>
      <c r="S104" s="114" t="str">
        <f t="shared" si="17"/>
        <v>n.a.</v>
      </c>
      <c r="T104" s="102" t="str">
        <f t="shared" si="18"/>
        <v>n.a.</v>
      </c>
      <c r="U104" s="116" t="str">
        <f t="shared" si="19"/>
        <v/>
      </c>
      <c r="V104" s="933" t="str">
        <f t="shared" si="20"/>
        <v>PP3</v>
      </c>
      <c r="W104" s="891" t="str">
        <f t="shared" si="21"/>
        <v/>
      </c>
      <c r="X104" s="891" t="str">
        <f t="shared" si="22"/>
        <v/>
      </c>
      <c r="Y104" s="891" t="str">
        <f t="shared" si="23"/>
        <v/>
      </c>
      <c r="Z104" s="891" t="str">
        <f t="shared" si="24"/>
        <v/>
      </c>
      <c r="AA104" s="891" t="str">
        <f t="shared" si="25"/>
        <v/>
      </c>
      <c r="AB104" s="891" t="str">
        <f t="shared" si="26"/>
        <v/>
      </c>
      <c r="AC104" s="171"/>
      <c r="AD104" s="171"/>
      <c r="AE104" s="171"/>
      <c r="AF104" s="171"/>
      <c r="AG104" s="102" t="str">
        <f t="shared" si="27"/>
        <v>n.a.</v>
      </c>
      <c r="AH104" s="102" t="str">
        <f t="shared" si="28"/>
        <v/>
      </c>
      <c r="AI104" s="930" t="b">
        <f t="shared" si="29"/>
        <v>0</v>
      </c>
    </row>
    <row r="105" spans="1:35" ht="12.75" customHeight="1" x14ac:dyDescent="0.25">
      <c r="A105" s="92"/>
      <c r="B105" s="94"/>
      <c r="C105" s="144"/>
      <c r="D105" s="813" t="s">
        <v>318</v>
      </c>
      <c r="E105" s="609"/>
      <c r="F105" s="612"/>
      <c r="G105" s="839"/>
      <c r="H105" s="880"/>
      <c r="I105" s="880"/>
      <c r="J105" s="880"/>
      <c r="K105" s="880"/>
      <c r="L105" s="1235"/>
      <c r="M105" s="1236"/>
      <c r="N105" s="989" t="str">
        <f t="shared" si="16"/>
        <v/>
      </c>
      <c r="O105" s="428"/>
      <c r="Q105" s="144"/>
      <c r="R105" s="171"/>
      <c r="S105" s="114" t="str">
        <f t="shared" si="17"/>
        <v>n.a.</v>
      </c>
      <c r="T105" s="102" t="str">
        <f t="shared" si="18"/>
        <v>n.a.</v>
      </c>
      <c r="U105" s="116" t="str">
        <f t="shared" si="19"/>
        <v/>
      </c>
      <c r="V105" s="933" t="str">
        <f t="shared" si="20"/>
        <v>PP4</v>
      </c>
      <c r="W105" s="891" t="str">
        <f t="shared" si="21"/>
        <v/>
      </c>
      <c r="X105" s="891" t="str">
        <f t="shared" si="22"/>
        <v/>
      </c>
      <c r="Y105" s="891" t="str">
        <f t="shared" si="23"/>
        <v/>
      </c>
      <c r="Z105" s="891" t="str">
        <f t="shared" si="24"/>
        <v/>
      </c>
      <c r="AA105" s="891" t="str">
        <f t="shared" si="25"/>
        <v/>
      </c>
      <c r="AB105" s="891" t="str">
        <f t="shared" si="26"/>
        <v/>
      </c>
      <c r="AC105" s="171"/>
      <c r="AD105" s="171"/>
      <c r="AE105" s="171"/>
      <c r="AF105" s="171"/>
      <c r="AG105" s="102" t="str">
        <f t="shared" si="27"/>
        <v>n.a.</v>
      </c>
      <c r="AH105" s="102" t="str">
        <f t="shared" si="28"/>
        <v/>
      </c>
      <c r="AI105" s="930" t="b">
        <f t="shared" si="29"/>
        <v>0</v>
      </c>
    </row>
    <row r="106" spans="1:35" ht="12.75" customHeight="1" x14ac:dyDescent="0.25">
      <c r="A106" s="92"/>
      <c r="B106" s="94"/>
      <c r="C106" s="144"/>
      <c r="D106" s="813" t="s">
        <v>319</v>
      </c>
      <c r="E106" s="609"/>
      <c r="F106" s="612"/>
      <c r="G106" s="839"/>
      <c r="H106" s="880"/>
      <c r="I106" s="880"/>
      <c r="J106" s="880"/>
      <c r="K106" s="880"/>
      <c r="L106" s="1235"/>
      <c r="M106" s="1236"/>
      <c r="N106" s="989" t="str">
        <f t="shared" si="16"/>
        <v/>
      </c>
      <c r="O106" s="428"/>
      <c r="Q106" s="144"/>
      <c r="R106" s="171"/>
      <c r="S106" s="114" t="str">
        <f t="shared" si="17"/>
        <v>n.a.</v>
      </c>
      <c r="T106" s="102" t="str">
        <f t="shared" si="18"/>
        <v>n.a.</v>
      </c>
      <c r="U106" s="116" t="str">
        <f t="shared" si="19"/>
        <v/>
      </c>
      <c r="V106" s="933" t="str">
        <f t="shared" si="20"/>
        <v>PP5</v>
      </c>
      <c r="W106" s="891" t="str">
        <f t="shared" si="21"/>
        <v/>
      </c>
      <c r="X106" s="891" t="str">
        <f t="shared" si="22"/>
        <v/>
      </c>
      <c r="Y106" s="891" t="str">
        <f t="shared" si="23"/>
        <v/>
      </c>
      <c r="Z106" s="891" t="str">
        <f t="shared" si="24"/>
        <v/>
      </c>
      <c r="AA106" s="891" t="str">
        <f t="shared" si="25"/>
        <v/>
      </c>
      <c r="AB106" s="891" t="str">
        <f t="shared" si="26"/>
        <v/>
      </c>
      <c r="AC106" s="171"/>
      <c r="AD106" s="171"/>
      <c r="AE106" s="171"/>
      <c r="AF106" s="171"/>
      <c r="AG106" s="102" t="str">
        <f t="shared" si="27"/>
        <v>n.a.</v>
      </c>
      <c r="AH106" s="102" t="str">
        <f t="shared" si="28"/>
        <v/>
      </c>
      <c r="AI106" s="930" t="b">
        <f t="shared" si="29"/>
        <v>0</v>
      </c>
    </row>
    <row r="107" spans="1:35" ht="12.75" customHeight="1" x14ac:dyDescent="0.25">
      <c r="A107" s="92"/>
      <c r="B107" s="94"/>
      <c r="C107" s="144"/>
      <c r="D107" s="813" t="s">
        <v>320</v>
      </c>
      <c r="E107" s="609"/>
      <c r="F107" s="612"/>
      <c r="G107" s="839"/>
      <c r="H107" s="880"/>
      <c r="I107" s="880"/>
      <c r="J107" s="880"/>
      <c r="K107" s="880"/>
      <c r="L107" s="1235"/>
      <c r="M107" s="1236"/>
      <c r="N107" s="989" t="str">
        <f t="shared" si="16"/>
        <v/>
      </c>
      <c r="O107" s="428"/>
      <c r="Q107" s="144"/>
      <c r="R107" s="171"/>
      <c r="S107" s="114" t="str">
        <f t="shared" si="17"/>
        <v>n.a.</v>
      </c>
      <c r="T107" s="102" t="str">
        <f t="shared" si="18"/>
        <v>n.a.</v>
      </c>
      <c r="U107" s="116" t="str">
        <f t="shared" si="19"/>
        <v/>
      </c>
      <c r="V107" s="933" t="str">
        <f t="shared" si="20"/>
        <v>PP6</v>
      </c>
      <c r="W107" s="891" t="str">
        <f t="shared" si="21"/>
        <v/>
      </c>
      <c r="X107" s="891" t="str">
        <f t="shared" si="22"/>
        <v/>
      </c>
      <c r="Y107" s="891" t="str">
        <f t="shared" si="23"/>
        <v/>
      </c>
      <c r="Z107" s="891" t="str">
        <f t="shared" si="24"/>
        <v/>
      </c>
      <c r="AA107" s="891" t="str">
        <f t="shared" si="25"/>
        <v/>
      </c>
      <c r="AB107" s="891" t="str">
        <f t="shared" si="26"/>
        <v/>
      </c>
      <c r="AC107" s="171"/>
      <c r="AD107" s="171"/>
      <c r="AE107" s="171"/>
      <c r="AF107" s="171"/>
      <c r="AG107" s="102" t="str">
        <f t="shared" si="27"/>
        <v>n.a.</v>
      </c>
      <c r="AH107" s="102" t="str">
        <f t="shared" si="28"/>
        <v/>
      </c>
      <c r="AI107" s="930" t="b">
        <f t="shared" si="29"/>
        <v>0</v>
      </c>
    </row>
    <row r="108" spans="1:35" ht="12.75" customHeight="1" x14ac:dyDescent="0.25">
      <c r="A108" s="92"/>
      <c r="B108" s="94"/>
      <c r="C108" s="144"/>
      <c r="D108" s="813" t="s">
        <v>321</v>
      </c>
      <c r="E108" s="609"/>
      <c r="F108" s="612"/>
      <c r="G108" s="839"/>
      <c r="H108" s="880"/>
      <c r="I108" s="880"/>
      <c r="J108" s="880"/>
      <c r="K108" s="880"/>
      <c r="L108" s="1235"/>
      <c r="M108" s="1236"/>
      <c r="N108" s="989" t="str">
        <f t="shared" si="16"/>
        <v/>
      </c>
      <c r="O108" s="428"/>
      <c r="Q108" s="144"/>
      <c r="R108" s="171"/>
      <c r="S108" s="114" t="str">
        <f t="shared" si="17"/>
        <v>n.a.</v>
      </c>
      <c r="T108" s="102" t="str">
        <f t="shared" si="18"/>
        <v>n.a.</v>
      </c>
      <c r="U108" s="116" t="str">
        <f t="shared" si="19"/>
        <v/>
      </c>
      <c r="V108" s="933" t="str">
        <f t="shared" si="20"/>
        <v>PP7</v>
      </c>
      <c r="W108" s="891" t="str">
        <f t="shared" si="21"/>
        <v/>
      </c>
      <c r="X108" s="891" t="str">
        <f t="shared" si="22"/>
        <v/>
      </c>
      <c r="Y108" s="891" t="str">
        <f t="shared" si="23"/>
        <v/>
      </c>
      <c r="Z108" s="891" t="str">
        <f t="shared" si="24"/>
        <v/>
      </c>
      <c r="AA108" s="891" t="str">
        <f t="shared" si="25"/>
        <v/>
      </c>
      <c r="AB108" s="891" t="str">
        <f t="shared" si="26"/>
        <v/>
      </c>
      <c r="AC108" s="171"/>
      <c r="AD108" s="171"/>
      <c r="AE108" s="171"/>
      <c r="AF108" s="171"/>
      <c r="AG108" s="102" t="str">
        <f t="shared" si="27"/>
        <v>n.a.</v>
      </c>
      <c r="AH108" s="102" t="str">
        <f t="shared" si="28"/>
        <v/>
      </c>
      <c r="AI108" s="930" t="b">
        <f t="shared" si="29"/>
        <v>0</v>
      </c>
    </row>
    <row r="109" spans="1:35" ht="12.75" customHeight="1" x14ac:dyDescent="0.25">
      <c r="A109" s="92"/>
      <c r="B109" s="94"/>
      <c r="C109" s="144"/>
      <c r="D109" s="813" t="s">
        <v>322</v>
      </c>
      <c r="E109" s="609"/>
      <c r="F109" s="612"/>
      <c r="G109" s="839"/>
      <c r="H109" s="880"/>
      <c r="I109" s="880"/>
      <c r="J109" s="880"/>
      <c r="K109" s="880"/>
      <c r="L109" s="1235"/>
      <c r="M109" s="1236"/>
      <c r="N109" s="989" t="str">
        <f t="shared" si="16"/>
        <v/>
      </c>
      <c r="O109" s="428"/>
      <c r="Q109" s="144"/>
      <c r="R109" s="171"/>
      <c r="S109" s="114" t="str">
        <f t="shared" si="17"/>
        <v>n.a.</v>
      </c>
      <c r="T109" s="102" t="str">
        <f t="shared" si="18"/>
        <v>n.a.</v>
      </c>
      <c r="U109" s="116" t="str">
        <f t="shared" si="19"/>
        <v/>
      </c>
      <c r="V109" s="933" t="str">
        <f t="shared" si="20"/>
        <v>PP8</v>
      </c>
      <c r="W109" s="891" t="str">
        <f t="shared" si="21"/>
        <v/>
      </c>
      <c r="X109" s="891" t="str">
        <f t="shared" si="22"/>
        <v/>
      </c>
      <c r="Y109" s="891" t="str">
        <f t="shared" si="23"/>
        <v/>
      </c>
      <c r="Z109" s="891" t="str">
        <f t="shared" si="24"/>
        <v/>
      </c>
      <c r="AA109" s="891" t="str">
        <f t="shared" si="25"/>
        <v/>
      </c>
      <c r="AB109" s="891" t="str">
        <f t="shared" si="26"/>
        <v/>
      </c>
      <c r="AC109" s="171"/>
      <c r="AD109" s="171"/>
      <c r="AE109" s="171"/>
      <c r="AF109" s="171"/>
      <c r="AG109" s="102" t="str">
        <f t="shared" si="27"/>
        <v>n.a.</v>
      </c>
      <c r="AH109" s="102" t="str">
        <f t="shared" si="28"/>
        <v/>
      </c>
      <c r="AI109" s="930" t="b">
        <f t="shared" si="29"/>
        <v>0</v>
      </c>
    </row>
    <row r="110" spans="1:35" ht="12.75" customHeight="1" x14ac:dyDescent="0.25">
      <c r="A110" s="92"/>
      <c r="B110" s="94"/>
      <c r="C110" s="144"/>
      <c r="D110" s="813" t="s">
        <v>323</v>
      </c>
      <c r="E110" s="609"/>
      <c r="F110" s="612"/>
      <c r="G110" s="839"/>
      <c r="H110" s="880"/>
      <c r="I110" s="880"/>
      <c r="J110" s="880"/>
      <c r="K110" s="880"/>
      <c r="L110" s="1235"/>
      <c r="M110" s="1236"/>
      <c r="N110" s="989" t="str">
        <f t="shared" si="16"/>
        <v/>
      </c>
      <c r="O110" s="428"/>
      <c r="Q110" s="144"/>
      <c r="R110" s="171"/>
      <c r="S110" s="114" t="str">
        <f t="shared" si="17"/>
        <v>n.a.</v>
      </c>
      <c r="T110" s="102" t="str">
        <f t="shared" si="18"/>
        <v>n.a.</v>
      </c>
      <c r="U110" s="116" t="str">
        <f t="shared" si="19"/>
        <v/>
      </c>
      <c r="V110" s="933" t="str">
        <f t="shared" si="20"/>
        <v>PP9</v>
      </c>
      <c r="W110" s="891" t="str">
        <f t="shared" si="21"/>
        <v/>
      </c>
      <c r="X110" s="891" t="str">
        <f t="shared" si="22"/>
        <v/>
      </c>
      <c r="Y110" s="891" t="str">
        <f t="shared" si="23"/>
        <v/>
      </c>
      <c r="Z110" s="891" t="str">
        <f t="shared" si="24"/>
        <v/>
      </c>
      <c r="AA110" s="891" t="str">
        <f t="shared" si="25"/>
        <v/>
      </c>
      <c r="AB110" s="891" t="str">
        <f t="shared" si="26"/>
        <v/>
      </c>
      <c r="AC110" s="171"/>
      <c r="AD110" s="171"/>
      <c r="AE110" s="171"/>
      <c r="AF110" s="171"/>
      <c r="AG110" s="102" t="str">
        <f t="shared" si="27"/>
        <v>n.a.</v>
      </c>
      <c r="AH110" s="102" t="str">
        <f t="shared" si="28"/>
        <v/>
      </c>
      <c r="AI110" s="930" t="b">
        <f t="shared" si="29"/>
        <v>0</v>
      </c>
    </row>
    <row r="111" spans="1:35" ht="12.75" customHeight="1" x14ac:dyDescent="0.25">
      <c r="A111" s="92"/>
      <c r="B111" s="94"/>
      <c r="C111" s="144"/>
      <c r="D111" s="813" t="s">
        <v>324</v>
      </c>
      <c r="E111" s="609"/>
      <c r="F111" s="612"/>
      <c r="G111" s="839"/>
      <c r="H111" s="880"/>
      <c r="I111" s="880"/>
      <c r="J111" s="880"/>
      <c r="K111" s="880"/>
      <c r="L111" s="1235"/>
      <c r="M111" s="1236"/>
      <c r="N111" s="989" t="str">
        <f t="shared" si="16"/>
        <v/>
      </c>
      <c r="O111" s="428"/>
      <c r="Q111" s="144"/>
      <c r="R111" s="171"/>
      <c r="S111" s="114" t="str">
        <f t="shared" ref="S111:S121" si="30">IF(E111="",CONST_NA,E111)</f>
        <v>n.a.</v>
      </c>
      <c r="T111" s="102" t="str">
        <f t="shared" ref="T111:T121" si="31">IF(E111="",CONST_NA,IF(L111="",D111 &amp; " - " &amp; E111,L111))</f>
        <v>n.a.</v>
      </c>
      <c r="U111" s="116" t="str">
        <f t="shared" ref="U111:U121" si="32">IF(E111="","",INDEX(CONST_LIST_GoodsProdRouteAdd,MATCH(E111,CONST_LIST_Goods,0)))</f>
        <v/>
      </c>
      <c r="V111" s="933" t="str">
        <f t="shared" si="20"/>
        <v>PP10</v>
      </c>
      <c r="W111" s="891" t="str">
        <f t="shared" si="21"/>
        <v/>
      </c>
      <c r="X111" s="891" t="str">
        <f t="shared" si="22"/>
        <v/>
      </c>
      <c r="Y111" s="891" t="str">
        <f t="shared" si="23"/>
        <v/>
      </c>
      <c r="Z111" s="891" t="str">
        <f t="shared" si="24"/>
        <v/>
      </c>
      <c r="AA111" s="891" t="str">
        <f t="shared" si="25"/>
        <v/>
      </c>
      <c r="AB111" s="891" t="str">
        <f t="shared" si="26"/>
        <v/>
      </c>
      <c r="AC111" s="171"/>
      <c r="AD111" s="171"/>
      <c r="AE111" s="171"/>
      <c r="AF111" s="171"/>
      <c r="AG111" s="102" t="str">
        <f t="shared" si="27"/>
        <v>n.a.</v>
      </c>
      <c r="AH111" s="102" t="str">
        <f t="shared" si="28"/>
        <v/>
      </c>
      <c r="AI111" s="930" t="b">
        <f t="shared" si="29"/>
        <v>0</v>
      </c>
    </row>
    <row r="112" spans="1:35" ht="12.75" customHeight="1" x14ac:dyDescent="0.25">
      <c r="A112" s="92"/>
      <c r="B112" s="94"/>
      <c r="C112" s="144"/>
      <c r="D112" s="813" t="s">
        <v>325</v>
      </c>
      <c r="E112" s="609"/>
      <c r="F112" s="612"/>
      <c r="G112" s="839"/>
      <c r="H112" s="880"/>
      <c r="I112" s="880"/>
      <c r="J112" s="880"/>
      <c r="K112" s="880"/>
      <c r="L112" s="1235"/>
      <c r="M112" s="1236"/>
      <c r="N112" s="989" t="str">
        <f t="shared" si="16"/>
        <v/>
      </c>
      <c r="O112" s="428"/>
      <c r="Q112" s="144"/>
      <c r="R112" s="171"/>
      <c r="S112" s="114" t="str">
        <f t="shared" si="30"/>
        <v>n.a.</v>
      </c>
      <c r="T112" s="102" t="str">
        <f t="shared" si="31"/>
        <v>n.a.</v>
      </c>
      <c r="U112" s="116" t="str">
        <f t="shared" si="32"/>
        <v/>
      </c>
      <c r="V112" s="933" t="str">
        <f t="shared" si="20"/>
        <v>PP11</v>
      </c>
      <c r="W112" s="891" t="str">
        <f t="shared" si="21"/>
        <v/>
      </c>
      <c r="X112" s="891" t="str">
        <f t="shared" si="22"/>
        <v/>
      </c>
      <c r="Y112" s="891" t="str">
        <f t="shared" si="23"/>
        <v/>
      </c>
      <c r="Z112" s="891" t="str">
        <f t="shared" si="24"/>
        <v/>
      </c>
      <c r="AA112" s="891" t="str">
        <f t="shared" si="25"/>
        <v/>
      </c>
      <c r="AB112" s="891" t="str">
        <f t="shared" si="26"/>
        <v/>
      </c>
      <c r="AC112" s="171"/>
      <c r="AD112" s="171"/>
      <c r="AE112" s="171"/>
      <c r="AF112" s="171"/>
      <c r="AG112" s="102" t="str">
        <f t="shared" si="27"/>
        <v>n.a.</v>
      </c>
      <c r="AH112" s="102" t="str">
        <f t="shared" si="28"/>
        <v/>
      </c>
      <c r="AI112" s="930" t="b">
        <f t="shared" si="29"/>
        <v>0</v>
      </c>
    </row>
    <row r="113" spans="1:35" ht="12.75" customHeight="1" x14ac:dyDescent="0.25">
      <c r="A113" s="92"/>
      <c r="B113" s="94"/>
      <c r="C113" s="144"/>
      <c r="D113" s="813" t="s">
        <v>581</v>
      </c>
      <c r="E113" s="609"/>
      <c r="F113" s="612"/>
      <c r="G113" s="839"/>
      <c r="H113" s="880"/>
      <c r="I113" s="880"/>
      <c r="J113" s="880"/>
      <c r="K113" s="880"/>
      <c r="L113" s="1235"/>
      <c r="M113" s="1236"/>
      <c r="N113" s="989" t="str">
        <f t="shared" si="16"/>
        <v/>
      </c>
      <c r="O113" s="428"/>
      <c r="Q113" s="144"/>
      <c r="R113" s="171"/>
      <c r="S113" s="114" t="str">
        <f t="shared" si="30"/>
        <v>n.a.</v>
      </c>
      <c r="T113" s="102" t="str">
        <f t="shared" si="31"/>
        <v>n.a.</v>
      </c>
      <c r="U113" s="116" t="str">
        <f t="shared" si="32"/>
        <v/>
      </c>
      <c r="V113" s="933" t="str">
        <f t="shared" si="20"/>
        <v>PP12</v>
      </c>
      <c r="W113" s="891" t="str">
        <f t="shared" si="21"/>
        <v/>
      </c>
      <c r="X113" s="891" t="str">
        <f t="shared" si="22"/>
        <v/>
      </c>
      <c r="Y113" s="891" t="str">
        <f t="shared" si="23"/>
        <v/>
      </c>
      <c r="Z113" s="891" t="str">
        <f t="shared" si="24"/>
        <v/>
      </c>
      <c r="AA113" s="891" t="str">
        <f t="shared" si="25"/>
        <v/>
      </c>
      <c r="AB113" s="891" t="str">
        <f t="shared" si="26"/>
        <v/>
      </c>
      <c r="AC113" s="171"/>
      <c r="AD113" s="171"/>
      <c r="AE113" s="171"/>
      <c r="AF113" s="171"/>
      <c r="AG113" s="102" t="str">
        <f t="shared" si="27"/>
        <v>n.a.</v>
      </c>
      <c r="AH113" s="102" t="str">
        <f t="shared" si="28"/>
        <v/>
      </c>
      <c r="AI113" s="930" t="b">
        <f t="shared" si="29"/>
        <v>0</v>
      </c>
    </row>
    <row r="114" spans="1:35" ht="12.75" customHeight="1" x14ac:dyDescent="0.25">
      <c r="A114" s="92"/>
      <c r="B114" s="94"/>
      <c r="C114" s="144"/>
      <c r="D114" s="813" t="s">
        <v>582</v>
      </c>
      <c r="E114" s="609"/>
      <c r="F114" s="612"/>
      <c r="G114" s="839"/>
      <c r="H114" s="880"/>
      <c r="I114" s="880"/>
      <c r="J114" s="880"/>
      <c r="K114" s="880"/>
      <c r="L114" s="1235"/>
      <c r="M114" s="1236"/>
      <c r="N114" s="989" t="str">
        <f t="shared" si="16"/>
        <v/>
      </c>
      <c r="O114" s="428"/>
      <c r="Q114" s="144"/>
      <c r="R114" s="171"/>
      <c r="S114" s="114" t="str">
        <f t="shared" si="30"/>
        <v>n.a.</v>
      </c>
      <c r="T114" s="102" t="str">
        <f t="shared" si="31"/>
        <v>n.a.</v>
      </c>
      <c r="U114" s="116" t="str">
        <f t="shared" si="32"/>
        <v/>
      </c>
      <c r="V114" s="933" t="str">
        <f t="shared" si="20"/>
        <v>PP13</v>
      </c>
      <c r="W114" s="891" t="str">
        <f t="shared" si="21"/>
        <v/>
      </c>
      <c r="X114" s="891" t="str">
        <f t="shared" si="22"/>
        <v/>
      </c>
      <c r="Y114" s="891" t="str">
        <f t="shared" si="23"/>
        <v/>
      </c>
      <c r="Z114" s="891" t="str">
        <f t="shared" si="24"/>
        <v/>
      </c>
      <c r="AA114" s="891" t="str">
        <f t="shared" si="25"/>
        <v/>
      </c>
      <c r="AB114" s="891" t="str">
        <f t="shared" si="26"/>
        <v/>
      </c>
      <c r="AC114" s="171"/>
      <c r="AD114" s="171"/>
      <c r="AE114" s="171"/>
      <c r="AF114" s="171"/>
      <c r="AG114" s="102" t="str">
        <f t="shared" si="27"/>
        <v>n.a.</v>
      </c>
      <c r="AH114" s="102" t="str">
        <f t="shared" si="28"/>
        <v/>
      </c>
      <c r="AI114" s="930" t="b">
        <f t="shared" si="29"/>
        <v>0</v>
      </c>
    </row>
    <row r="115" spans="1:35" ht="12.75" customHeight="1" x14ac:dyDescent="0.25">
      <c r="A115" s="92"/>
      <c r="B115" s="94"/>
      <c r="C115" s="144"/>
      <c r="D115" s="813" t="s">
        <v>583</v>
      </c>
      <c r="E115" s="609"/>
      <c r="F115" s="612"/>
      <c r="G115" s="839"/>
      <c r="H115" s="880"/>
      <c r="I115" s="880"/>
      <c r="J115" s="880"/>
      <c r="K115" s="880"/>
      <c r="L115" s="1235"/>
      <c r="M115" s="1236"/>
      <c r="N115" s="989" t="str">
        <f t="shared" si="16"/>
        <v/>
      </c>
      <c r="O115" s="428"/>
      <c r="Q115" s="144"/>
      <c r="R115" s="171"/>
      <c r="S115" s="114" t="str">
        <f t="shared" si="30"/>
        <v>n.a.</v>
      </c>
      <c r="T115" s="102" t="str">
        <f t="shared" si="31"/>
        <v>n.a.</v>
      </c>
      <c r="U115" s="116" t="str">
        <f t="shared" si="32"/>
        <v/>
      </c>
      <c r="V115" s="933" t="str">
        <f t="shared" si="20"/>
        <v>PP14</v>
      </c>
      <c r="W115" s="891" t="str">
        <f t="shared" si="21"/>
        <v/>
      </c>
      <c r="X115" s="891" t="str">
        <f t="shared" si="22"/>
        <v/>
      </c>
      <c r="Y115" s="891" t="str">
        <f t="shared" si="23"/>
        <v/>
      </c>
      <c r="Z115" s="891" t="str">
        <f t="shared" si="24"/>
        <v/>
      </c>
      <c r="AA115" s="891" t="str">
        <f t="shared" si="25"/>
        <v/>
      </c>
      <c r="AB115" s="891" t="str">
        <f t="shared" si="26"/>
        <v/>
      </c>
      <c r="AC115" s="171"/>
      <c r="AD115" s="171"/>
      <c r="AE115" s="171"/>
      <c r="AF115" s="171"/>
      <c r="AG115" s="102" t="str">
        <f t="shared" si="27"/>
        <v>n.a.</v>
      </c>
      <c r="AH115" s="102" t="str">
        <f t="shared" si="28"/>
        <v/>
      </c>
      <c r="AI115" s="930" t="b">
        <f t="shared" si="29"/>
        <v>0</v>
      </c>
    </row>
    <row r="116" spans="1:35" ht="12.75" customHeight="1" x14ac:dyDescent="0.25">
      <c r="A116" s="92"/>
      <c r="B116" s="94"/>
      <c r="C116" s="144"/>
      <c r="D116" s="813" t="s">
        <v>584</v>
      </c>
      <c r="E116" s="609"/>
      <c r="F116" s="612"/>
      <c r="G116" s="839"/>
      <c r="H116" s="880"/>
      <c r="I116" s="880"/>
      <c r="J116" s="880"/>
      <c r="K116" s="880"/>
      <c r="L116" s="1235"/>
      <c r="M116" s="1236"/>
      <c r="N116" s="989" t="str">
        <f t="shared" si="16"/>
        <v/>
      </c>
      <c r="O116" s="428"/>
      <c r="Q116" s="144"/>
      <c r="R116" s="171"/>
      <c r="S116" s="114" t="str">
        <f t="shared" si="30"/>
        <v>n.a.</v>
      </c>
      <c r="T116" s="102" t="str">
        <f t="shared" si="31"/>
        <v>n.a.</v>
      </c>
      <c r="U116" s="116" t="str">
        <f t="shared" si="32"/>
        <v/>
      </c>
      <c r="V116" s="933" t="str">
        <f t="shared" si="20"/>
        <v>PP15</v>
      </c>
      <c r="W116" s="891" t="str">
        <f t="shared" si="21"/>
        <v/>
      </c>
      <c r="X116" s="891" t="str">
        <f t="shared" si="22"/>
        <v/>
      </c>
      <c r="Y116" s="891" t="str">
        <f t="shared" si="23"/>
        <v/>
      </c>
      <c r="Z116" s="891" t="str">
        <f t="shared" si="24"/>
        <v/>
      </c>
      <c r="AA116" s="891" t="str">
        <f t="shared" si="25"/>
        <v/>
      </c>
      <c r="AB116" s="891" t="str">
        <f t="shared" si="26"/>
        <v/>
      </c>
      <c r="AC116" s="171"/>
      <c r="AD116" s="171"/>
      <c r="AE116" s="171"/>
      <c r="AF116" s="171"/>
      <c r="AG116" s="102" t="str">
        <f t="shared" si="27"/>
        <v>n.a.</v>
      </c>
      <c r="AH116" s="102" t="str">
        <f t="shared" si="28"/>
        <v/>
      </c>
      <c r="AI116" s="930" t="b">
        <f t="shared" si="29"/>
        <v>0</v>
      </c>
    </row>
    <row r="117" spans="1:35" ht="12.75" customHeight="1" x14ac:dyDescent="0.25">
      <c r="A117" s="92"/>
      <c r="B117" s="94"/>
      <c r="C117" s="144"/>
      <c r="D117" s="813" t="s">
        <v>585</v>
      </c>
      <c r="E117" s="609"/>
      <c r="F117" s="612"/>
      <c r="G117" s="839"/>
      <c r="H117" s="880"/>
      <c r="I117" s="880"/>
      <c r="J117" s="880"/>
      <c r="K117" s="880"/>
      <c r="L117" s="1235"/>
      <c r="M117" s="1236"/>
      <c r="N117" s="989" t="str">
        <f t="shared" si="16"/>
        <v/>
      </c>
      <c r="O117" s="428"/>
      <c r="Q117" s="144"/>
      <c r="R117" s="171"/>
      <c r="S117" s="114" t="str">
        <f t="shared" si="30"/>
        <v>n.a.</v>
      </c>
      <c r="T117" s="102" t="str">
        <f t="shared" si="31"/>
        <v>n.a.</v>
      </c>
      <c r="U117" s="116" t="str">
        <f t="shared" si="32"/>
        <v/>
      </c>
      <c r="V117" s="933" t="str">
        <f t="shared" si="20"/>
        <v>PP16</v>
      </c>
      <c r="W117" s="891" t="str">
        <f t="shared" si="21"/>
        <v/>
      </c>
      <c r="X117" s="891" t="str">
        <f t="shared" si="22"/>
        <v/>
      </c>
      <c r="Y117" s="891" t="str">
        <f t="shared" si="23"/>
        <v/>
      </c>
      <c r="Z117" s="891" t="str">
        <f t="shared" si="24"/>
        <v/>
      </c>
      <c r="AA117" s="891" t="str">
        <f t="shared" si="25"/>
        <v/>
      </c>
      <c r="AB117" s="891" t="str">
        <f t="shared" si="26"/>
        <v/>
      </c>
      <c r="AC117" s="171"/>
      <c r="AD117" s="171"/>
      <c r="AE117" s="171"/>
      <c r="AF117" s="171"/>
      <c r="AG117" s="102" t="str">
        <f t="shared" si="27"/>
        <v>n.a.</v>
      </c>
      <c r="AH117" s="102" t="str">
        <f t="shared" si="28"/>
        <v/>
      </c>
      <c r="AI117" s="930" t="b">
        <f t="shared" si="29"/>
        <v>0</v>
      </c>
    </row>
    <row r="118" spans="1:35" ht="12.75" customHeight="1" x14ac:dyDescent="0.25">
      <c r="A118" s="92"/>
      <c r="B118" s="94"/>
      <c r="C118" s="144"/>
      <c r="D118" s="813" t="s">
        <v>586</v>
      </c>
      <c r="E118" s="609"/>
      <c r="F118" s="612"/>
      <c r="G118" s="839"/>
      <c r="H118" s="880"/>
      <c r="I118" s="880"/>
      <c r="J118" s="880"/>
      <c r="K118" s="880"/>
      <c r="L118" s="1235"/>
      <c r="M118" s="1236"/>
      <c r="N118" s="989" t="str">
        <f t="shared" si="16"/>
        <v/>
      </c>
      <c r="O118" s="428"/>
      <c r="Q118" s="144"/>
      <c r="R118" s="171"/>
      <c r="S118" s="114" t="str">
        <f t="shared" si="30"/>
        <v>n.a.</v>
      </c>
      <c r="T118" s="102" t="str">
        <f t="shared" si="31"/>
        <v>n.a.</v>
      </c>
      <c r="U118" s="116" t="str">
        <f t="shared" si="32"/>
        <v/>
      </c>
      <c r="V118" s="933" t="str">
        <f t="shared" si="20"/>
        <v>PP17</v>
      </c>
      <c r="W118" s="891" t="str">
        <f t="shared" si="21"/>
        <v/>
      </c>
      <c r="X118" s="891" t="str">
        <f t="shared" si="22"/>
        <v/>
      </c>
      <c r="Y118" s="891" t="str">
        <f t="shared" si="23"/>
        <v/>
      </c>
      <c r="Z118" s="891" t="str">
        <f t="shared" si="24"/>
        <v/>
      </c>
      <c r="AA118" s="891" t="str">
        <f t="shared" si="25"/>
        <v/>
      </c>
      <c r="AB118" s="891" t="str">
        <f t="shared" si="26"/>
        <v/>
      </c>
      <c r="AC118" s="171"/>
      <c r="AD118" s="171"/>
      <c r="AE118" s="171"/>
      <c r="AF118" s="171"/>
      <c r="AG118" s="102" t="str">
        <f t="shared" si="27"/>
        <v>n.a.</v>
      </c>
      <c r="AH118" s="102" t="str">
        <f t="shared" si="28"/>
        <v/>
      </c>
      <c r="AI118" s="930" t="b">
        <f t="shared" si="29"/>
        <v>0</v>
      </c>
    </row>
    <row r="119" spans="1:35" ht="12.75" customHeight="1" x14ac:dyDescent="0.25">
      <c r="A119" s="92"/>
      <c r="B119" s="94"/>
      <c r="C119" s="144"/>
      <c r="D119" s="813" t="s">
        <v>4211</v>
      </c>
      <c r="E119" s="609"/>
      <c r="F119" s="612"/>
      <c r="G119" s="839"/>
      <c r="H119" s="880"/>
      <c r="I119" s="880"/>
      <c r="J119" s="880"/>
      <c r="K119" s="880"/>
      <c r="L119" s="1235"/>
      <c r="M119" s="1236"/>
      <c r="N119" s="989" t="str">
        <f t="shared" si="16"/>
        <v/>
      </c>
      <c r="O119" s="428"/>
      <c r="Q119" s="144"/>
      <c r="R119" s="171"/>
      <c r="S119" s="114" t="str">
        <f t="shared" si="30"/>
        <v>n.a.</v>
      </c>
      <c r="T119" s="102" t="str">
        <f t="shared" si="31"/>
        <v>n.a.</v>
      </c>
      <c r="U119" s="116" t="str">
        <f t="shared" si="32"/>
        <v/>
      </c>
      <c r="V119" s="933" t="str">
        <f t="shared" si="20"/>
        <v>PP18</v>
      </c>
      <c r="W119" s="891" t="str">
        <f t="shared" si="21"/>
        <v/>
      </c>
      <c r="X119" s="891" t="str">
        <f t="shared" si="22"/>
        <v/>
      </c>
      <c r="Y119" s="891" t="str">
        <f t="shared" si="23"/>
        <v/>
      </c>
      <c r="Z119" s="891" t="str">
        <f t="shared" si="24"/>
        <v/>
      </c>
      <c r="AA119" s="891" t="str">
        <f t="shared" si="25"/>
        <v/>
      </c>
      <c r="AB119" s="891" t="str">
        <f t="shared" si="26"/>
        <v/>
      </c>
      <c r="AC119" s="171"/>
      <c r="AD119" s="171"/>
      <c r="AE119" s="171"/>
      <c r="AF119" s="171"/>
      <c r="AG119" s="102" t="str">
        <f t="shared" si="27"/>
        <v>n.a.</v>
      </c>
      <c r="AH119" s="102" t="str">
        <f t="shared" si="28"/>
        <v/>
      </c>
      <c r="AI119" s="930" t="b">
        <f t="shared" si="29"/>
        <v>0</v>
      </c>
    </row>
    <row r="120" spans="1:35" ht="12.75" customHeight="1" x14ac:dyDescent="0.25">
      <c r="A120" s="92"/>
      <c r="B120" s="94"/>
      <c r="C120" s="144"/>
      <c r="D120" s="813" t="s">
        <v>587</v>
      </c>
      <c r="E120" s="609"/>
      <c r="F120" s="612"/>
      <c r="G120" s="839"/>
      <c r="H120" s="880"/>
      <c r="I120" s="880"/>
      <c r="J120" s="880"/>
      <c r="K120" s="880"/>
      <c r="L120" s="1235"/>
      <c r="M120" s="1236"/>
      <c r="N120" s="989" t="str">
        <f t="shared" si="16"/>
        <v/>
      </c>
      <c r="O120" s="428"/>
      <c r="Q120" s="144"/>
      <c r="R120" s="171"/>
      <c r="S120" s="114" t="str">
        <f t="shared" si="30"/>
        <v>n.a.</v>
      </c>
      <c r="T120" s="102" t="str">
        <f t="shared" si="31"/>
        <v>n.a.</v>
      </c>
      <c r="U120" s="116" t="str">
        <f t="shared" si="32"/>
        <v/>
      </c>
      <c r="V120" s="933" t="str">
        <f t="shared" si="20"/>
        <v>PP19</v>
      </c>
      <c r="W120" s="891" t="str">
        <f t="shared" si="21"/>
        <v/>
      </c>
      <c r="X120" s="891" t="str">
        <f t="shared" si="22"/>
        <v/>
      </c>
      <c r="Y120" s="891" t="str">
        <f t="shared" si="23"/>
        <v/>
      </c>
      <c r="Z120" s="891" t="str">
        <f t="shared" si="24"/>
        <v/>
      </c>
      <c r="AA120" s="891" t="str">
        <f t="shared" si="25"/>
        <v/>
      </c>
      <c r="AB120" s="891" t="str">
        <f t="shared" si="26"/>
        <v/>
      </c>
      <c r="AC120" s="171"/>
      <c r="AD120" s="171"/>
      <c r="AE120" s="171"/>
      <c r="AF120" s="171"/>
      <c r="AG120" s="102" t="str">
        <f t="shared" si="27"/>
        <v>n.a.</v>
      </c>
      <c r="AH120" s="102" t="str">
        <f t="shared" si="28"/>
        <v/>
      </c>
      <c r="AI120" s="930" t="b">
        <f t="shared" si="29"/>
        <v>0</v>
      </c>
    </row>
    <row r="121" spans="1:35" ht="12.75" customHeight="1" x14ac:dyDescent="0.25">
      <c r="A121" s="92"/>
      <c r="B121" s="94"/>
      <c r="C121" s="144"/>
      <c r="D121" s="814" t="s">
        <v>588</v>
      </c>
      <c r="E121" s="610"/>
      <c r="F121" s="613"/>
      <c r="G121" s="842"/>
      <c r="H121" s="881"/>
      <c r="I121" s="881"/>
      <c r="J121" s="881"/>
      <c r="K121" s="881"/>
      <c r="L121" s="1268"/>
      <c r="M121" s="1269"/>
      <c r="N121" s="990" t="str">
        <f t="shared" si="16"/>
        <v/>
      </c>
      <c r="O121" s="428"/>
      <c r="Q121" s="144"/>
      <c r="R121" s="171"/>
      <c r="S121" s="114" t="str">
        <f t="shared" si="30"/>
        <v>n.a.</v>
      </c>
      <c r="T121" s="102" t="str">
        <f t="shared" si="31"/>
        <v>n.a.</v>
      </c>
      <c r="U121" s="116" t="str">
        <f t="shared" si="32"/>
        <v/>
      </c>
      <c r="V121" s="933" t="str">
        <f t="shared" si="20"/>
        <v>PP20</v>
      </c>
      <c r="W121" s="891" t="str">
        <f t="shared" si="21"/>
        <v/>
      </c>
      <c r="X121" s="891" t="str">
        <f t="shared" si="22"/>
        <v/>
      </c>
      <c r="Y121" s="891" t="str">
        <f t="shared" si="23"/>
        <v/>
      </c>
      <c r="Z121" s="891" t="str">
        <f t="shared" si="24"/>
        <v/>
      </c>
      <c r="AA121" s="891" t="str">
        <f t="shared" si="25"/>
        <v/>
      </c>
      <c r="AB121" s="891" t="str">
        <f t="shared" si="26"/>
        <v/>
      </c>
      <c r="AC121" s="171"/>
      <c r="AD121" s="171"/>
      <c r="AE121" s="171"/>
      <c r="AF121" s="171"/>
      <c r="AG121" s="102" t="str">
        <f t="shared" si="27"/>
        <v>n.a.</v>
      </c>
      <c r="AH121" s="102" t="str">
        <f t="shared" si="28"/>
        <v/>
      </c>
      <c r="AI121" s="930" t="b">
        <f t="shared" si="29"/>
        <v>0</v>
      </c>
    </row>
    <row r="122" spans="1:35" ht="12.75" customHeight="1" thickBot="1" x14ac:dyDescent="0.4">
      <c r="A122" s="918"/>
      <c r="B122" s="934"/>
      <c r="C122" s="747"/>
      <c r="D122" s="747"/>
      <c r="E122" s="747"/>
      <c r="F122" s="747"/>
      <c r="G122" s="747"/>
      <c r="H122" s="747"/>
      <c r="I122" s="747"/>
      <c r="J122" s="747"/>
      <c r="K122" s="747"/>
      <c r="L122" s="747"/>
      <c r="M122" s="747"/>
      <c r="N122" s="747"/>
      <c r="O122" s="748"/>
      <c r="Q122" s="144"/>
      <c r="R122" s="171"/>
      <c r="S122" s="171"/>
      <c r="T122" s="171"/>
      <c r="U122" s="171"/>
      <c r="V122" s="171"/>
      <c r="W122" s="171"/>
      <c r="X122" s="171"/>
      <c r="Y122" s="171"/>
      <c r="Z122" s="171"/>
      <c r="AA122" s="171"/>
      <c r="AB122" s="171"/>
      <c r="AC122" s="171"/>
      <c r="AD122" s="171"/>
      <c r="AE122" s="171"/>
      <c r="AF122" s="171"/>
      <c r="AG122" s="171"/>
      <c r="AH122" s="171"/>
      <c r="AI122" s="427"/>
    </row>
    <row r="123" spans="1:35" ht="12.75" hidden="1" customHeight="1" x14ac:dyDescent="0.35">
      <c r="A123" s="91" t="s">
        <v>3</v>
      </c>
      <c r="B123" s="92"/>
      <c r="C123" s="171"/>
      <c r="D123" s="171"/>
      <c r="E123" s="171"/>
      <c r="F123" s="171"/>
      <c r="G123" s="171"/>
      <c r="H123" s="171"/>
      <c r="I123" s="171"/>
      <c r="J123" s="171"/>
      <c r="K123" s="171"/>
      <c r="L123" s="171"/>
      <c r="M123" s="171"/>
      <c r="N123" s="171"/>
      <c r="O123" s="171"/>
      <c r="P123" s="92" t="s">
        <v>116</v>
      </c>
      <c r="Q123" s="171"/>
      <c r="R123" s="171"/>
      <c r="S123" s="171"/>
      <c r="T123" s="171"/>
      <c r="U123" s="171"/>
      <c r="V123" s="171"/>
      <c r="W123" s="171"/>
      <c r="X123" s="171"/>
      <c r="Y123" s="171"/>
      <c r="Z123" s="171"/>
      <c r="AA123" s="171"/>
      <c r="AB123" s="171"/>
      <c r="AC123" s="171"/>
      <c r="AD123" s="171"/>
      <c r="AE123" s="171"/>
      <c r="AF123" s="171"/>
      <c r="AG123" s="171"/>
      <c r="AH123" s="171"/>
      <c r="AI123" s="427"/>
    </row>
    <row r="124" spans="1:35" ht="12.75" hidden="1" customHeight="1" x14ac:dyDescent="0.35">
      <c r="A124" s="91" t="s">
        <v>3</v>
      </c>
      <c r="B124" s="92"/>
      <c r="C124" s="171"/>
      <c r="D124" s="171"/>
      <c r="E124" s="171"/>
      <c r="F124" s="171"/>
      <c r="G124" s="171"/>
      <c r="H124" s="171"/>
      <c r="I124" s="171"/>
      <c r="J124" s="493" t="s">
        <v>425</v>
      </c>
      <c r="K124" s="102" t="b">
        <f>COUNTA(I9,L9,I19:N32,E62:F71,E102:E121)&gt;0</f>
        <v>0</v>
      </c>
      <c r="L124" s="171"/>
      <c r="M124" s="171"/>
      <c r="N124" s="171"/>
      <c r="O124" s="171"/>
      <c r="P124" s="92"/>
      <c r="Q124" s="171"/>
      <c r="R124" s="171"/>
      <c r="S124" s="171"/>
      <c r="T124" s="171"/>
      <c r="U124" s="171"/>
      <c r="V124" s="171"/>
      <c r="W124" s="171"/>
      <c r="X124" s="171"/>
      <c r="Y124" s="171"/>
      <c r="Z124" s="171"/>
      <c r="AA124" s="171"/>
      <c r="AB124" s="171"/>
      <c r="AC124" s="171"/>
      <c r="AD124" s="171"/>
      <c r="AE124" s="171"/>
      <c r="AF124" s="171"/>
      <c r="AG124" s="171"/>
      <c r="AH124" s="171"/>
      <c r="AI124" s="427"/>
    </row>
    <row r="125" spans="1:35" ht="12.75" hidden="1" customHeight="1" thickBot="1" x14ac:dyDescent="0.4">
      <c r="A125" s="91" t="s">
        <v>3</v>
      </c>
      <c r="B125" s="918"/>
      <c r="C125" s="935"/>
      <c r="D125" s="935"/>
      <c r="E125" s="935"/>
      <c r="F125" s="935"/>
      <c r="G125" s="935"/>
      <c r="H125" s="935"/>
      <c r="I125" s="935"/>
      <c r="J125" s="935"/>
      <c r="K125" s="935"/>
      <c r="L125" s="935"/>
      <c r="M125" s="935"/>
      <c r="N125" s="935"/>
      <c r="O125" s="935"/>
      <c r="P125" s="918"/>
      <c r="Q125" s="935"/>
      <c r="R125" s="935"/>
      <c r="S125" s="935"/>
      <c r="T125" s="935"/>
      <c r="U125" s="935"/>
      <c r="V125" s="935"/>
      <c r="W125" s="935"/>
      <c r="X125" s="935"/>
      <c r="Y125" s="935"/>
      <c r="Z125" s="935"/>
      <c r="AA125" s="935"/>
      <c r="AB125" s="935"/>
      <c r="AC125" s="935"/>
      <c r="AD125" s="935"/>
      <c r="AE125" s="935"/>
      <c r="AF125" s="935"/>
      <c r="AG125" s="935"/>
      <c r="AH125" s="935"/>
      <c r="AI125" s="936"/>
    </row>
  </sheetData>
  <sheetProtection sheet="1" objects="1" scenarios="1" formatCells="0" formatColumns="0" formatRows="0"/>
  <mergeCells count="144">
    <mergeCell ref="D81:D82"/>
    <mergeCell ref="L92:M92"/>
    <mergeCell ref="L83:M83"/>
    <mergeCell ref="L84:M84"/>
    <mergeCell ref="E59:N59"/>
    <mergeCell ref="E98:N98"/>
    <mergeCell ref="E61:F61"/>
    <mergeCell ref="G62:H62"/>
    <mergeCell ref="G63:H63"/>
    <mergeCell ref="G64:H64"/>
    <mergeCell ref="G65:H65"/>
    <mergeCell ref="G66:H66"/>
    <mergeCell ref="G67:H67"/>
    <mergeCell ref="G61:H61"/>
    <mergeCell ref="L85:M85"/>
    <mergeCell ref="E62:F62"/>
    <mergeCell ref="E63:F63"/>
    <mergeCell ref="E64:F64"/>
    <mergeCell ref="E65:F65"/>
    <mergeCell ref="E66:F66"/>
    <mergeCell ref="E67:F67"/>
    <mergeCell ref="E68:F68"/>
    <mergeCell ref="E13:N13"/>
    <mergeCell ref="I37:N37"/>
    <mergeCell ref="E22:H22"/>
    <mergeCell ref="I22:N22"/>
    <mergeCell ref="E23:H23"/>
    <mergeCell ref="I23:N23"/>
    <mergeCell ref="E25:H25"/>
    <mergeCell ref="I25:N25"/>
    <mergeCell ref="E20:H20"/>
    <mergeCell ref="I20:N20"/>
    <mergeCell ref="E24:H24"/>
    <mergeCell ref="E26:H26"/>
    <mergeCell ref="I21:N21"/>
    <mergeCell ref="I30:N30"/>
    <mergeCell ref="E14:N14"/>
    <mergeCell ref="I32:N32"/>
    <mergeCell ref="E37:H37"/>
    <mergeCell ref="B2:D4"/>
    <mergeCell ref="E2:F2"/>
    <mergeCell ref="G2:H2"/>
    <mergeCell ref="I2:J2"/>
    <mergeCell ref="K2:L2"/>
    <mergeCell ref="E4:F4"/>
    <mergeCell ref="G4:H4"/>
    <mergeCell ref="I4:J4"/>
    <mergeCell ref="K4:L4"/>
    <mergeCell ref="M2:N2"/>
    <mergeCell ref="E3:F3"/>
    <mergeCell ref="G3:H3"/>
    <mergeCell ref="I3:J3"/>
    <mergeCell ref="K3:L3"/>
    <mergeCell ref="M3:N3"/>
    <mergeCell ref="M4:N4"/>
    <mergeCell ref="I9:J9"/>
    <mergeCell ref="L9:M9"/>
    <mergeCell ref="L118:M118"/>
    <mergeCell ref="L119:M119"/>
    <mergeCell ref="L120:M120"/>
    <mergeCell ref="L121:M121"/>
    <mergeCell ref="E57:N57"/>
    <mergeCell ref="E77:N77"/>
    <mergeCell ref="E58:N58"/>
    <mergeCell ref="E78:N78"/>
    <mergeCell ref="E79:N79"/>
    <mergeCell ref="H94:N94"/>
    <mergeCell ref="L110:M110"/>
    <mergeCell ref="L101:M101"/>
    <mergeCell ref="L102:M102"/>
    <mergeCell ref="L103:M103"/>
    <mergeCell ref="L104:M104"/>
    <mergeCell ref="L105:M105"/>
    <mergeCell ref="L106:M106"/>
    <mergeCell ref="L107:M107"/>
    <mergeCell ref="L108:M108"/>
    <mergeCell ref="L109:M109"/>
    <mergeCell ref="L86:M86"/>
    <mergeCell ref="L87:M87"/>
    <mergeCell ref="G68:H68"/>
    <mergeCell ref="E69:F69"/>
    <mergeCell ref="E38:H38"/>
    <mergeCell ref="E19:H19"/>
    <mergeCell ref="I19:N19"/>
    <mergeCell ref="I31:N31"/>
    <mergeCell ref="I26:N26"/>
    <mergeCell ref="I29:N29"/>
    <mergeCell ref="E43:N43"/>
    <mergeCell ref="E44:N44"/>
    <mergeCell ref="E39:H39"/>
    <mergeCell ref="E27:H27"/>
    <mergeCell ref="E28:H28"/>
    <mergeCell ref="E29:H29"/>
    <mergeCell ref="E30:H30"/>
    <mergeCell ref="E21:H21"/>
    <mergeCell ref="I24:N24"/>
    <mergeCell ref="I27:N27"/>
    <mergeCell ref="E36:N36"/>
    <mergeCell ref="I28:N28"/>
    <mergeCell ref="I38:N38"/>
    <mergeCell ref="I39:N39"/>
    <mergeCell ref="I40:N40"/>
    <mergeCell ref="I41:N41"/>
    <mergeCell ref="E31:H31"/>
    <mergeCell ref="E32:H32"/>
    <mergeCell ref="L116:M116"/>
    <mergeCell ref="L117:M117"/>
    <mergeCell ref="L90:M90"/>
    <mergeCell ref="L91:M91"/>
    <mergeCell ref="E99:N99"/>
    <mergeCell ref="G69:H69"/>
    <mergeCell ref="E70:F70"/>
    <mergeCell ref="G70:H70"/>
    <mergeCell ref="E71:F71"/>
    <mergeCell ref="G71:H71"/>
    <mergeCell ref="F81:K81"/>
    <mergeCell ref="E73:N73"/>
    <mergeCell ref="L81:M82"/>
    <mergeCell ref="N81:N82"/>
    <mergeCell ref="E81:E82"/>
    <mergeCell ref="L88:M88"/>
    <mergeCell ref="L89:M89"/>
    <mergeCell ref="L111:M111"/>
    <mergeCell ref="L112:M112"/>
    <mergeCell ref="L113:M113"/>
    <mergeCell ref="L114:M114"/>
    <mergeCell ref="L115:M115"/>
    <mergeCell ref="E40:H40"/>
    <mergeCell ref="E52:H52"/>
    <mergeCell ref="E53:H53"/>
    <mergeCell ref="E41:H41"/>
    <mergeCell ref="E51:H51"/>
    <mergeCell ref="I47:N47"/>
    <mergeCell ref="I48:N48"/>
    <mergeCell ref="I51:N51"/>
    <mergeCell ref="I52:N52"/>
    <mergeCell ref="E45:H45"/>
    <mergeCell ref="E46:H46"/>
    <mergeCell ref="E47:H47"/>
    <mergeCell ref="E48:H48"/>
    <mergeCell ref="I53:N53"/>
    <mergeCell ref="E50:N50"/>
    <mergeCell ref="I45:N45"/>
    <mergeCell ref="I46:N46"/>
  </mergeCells>
  <conditionalFormatting sqref="I62:N71">
    <cfRule type="expression" dxfId="551" priority="19">
      <formula>$AI62</formula>
    </cfRule>
  </conditionalFormatting>
  <conditionalFormatting sqref="F102:N109 F111:N121 N110 F83:N92">
    <cfRule type="expression" dxfId="550" priority="18">
      <formula>$AI83</formula>
    </cfRule>
  </conditionalFormatting>
  <conditionalFormatting sqref="G102:K109 G111:K121">
    <cfRule type="expression" dxfId="549" priority="208">
      <formula>$AH102</formula>
    </cfRule>
  </conditionalFormatting>
  <conditionalFormatting sqref="G3:N3 G4:H4">
    <cfRule type="expression" dxfId="548" priority="11">
      <formula>COUNTIF($AG:$AG,CONST_ErrorOrMissing&amp;R3)&gt;0</formula>
    </cfRule>
  </conditionalFormatting>
  <conditionalFormatting sqref="F110:M110">
    <cfRule type="expression" dxfId="547" priority="3">
      <formula>$AI110</formula>
    </cfRule>
  </conditionalFormatting>
  <conditionalFormatting sqref="G110:K110">
    <cfRule type="expression" dxfId="546" priority="4">
      <formula>$AH110</formula>
    </cfRule>
  </conditionalFormatting>
  <dataValidations count="8">
    <dataValidation type="list" allowBlank="1" showInputMessage="1" showErrorMessage="1" sqref="E102:E121 E62:E71" xr:uid="{00000000-0002-0000-0400-000000000000}">
      <formula1>CONST_LIST_Goods</formula1>
    </dataValidation>
    <dataValidation type="date" allowBlank="1" showInputMessage="1" showErrorMessage="1" sqref="L9:M9 I9:J9" xr:uid="{00000000-0002-0000-0400-000001000000}">
      <formula1>36526</formula1>
      <formula2>73051</formula2>
    </dataValidation>
    <dataValidation type="list" allowBlank="1" showInputMessage="1" showErrorMessage="1" sqref="F83:K92" xr:uid="{00000000-0002-0000-0400-000002000000}">
      <formula1>CNTR_List_ExistGoodTypesInclDir</formula1>
    </dataValidation>
    <dataValidation type="list" allowBlank="1" showInputMessage="1" showErrorMessage="1" sqref="E83:E92" xr:uid="{00000000-0002-0000-0400-000003000000}">
      <formula1>CNTR_List_ExistGoodTypes</formula1>
    </dataValidation>
    <dataValidation type="list" allowBlank="1" showInputMessage="1" showErrorMessage="1" sqref="I62:N71" xr:uid="{00000000-0002-0000-0400-000004000000}">
      <formula1>INDIRECT($T62)</formula1>
    </dataValidation>
    <dataValidation type="list" allowBlank="1" showInputMessage="1" showErrorMessage="1" sqref="G102:K121" xr:uid="{00000000-0002-0000-0400-000005000000}">
      <formula1>INDIRECT($U102)</formula1>
    </dataValidation>
    <dataValidation type="list" allowBlank="1" showInputMessage="1" showErrorMessage="1" sqref="I26:N26" xr:uid="{00000000-0002-0000-0400-000006000000}">
      <formula1>CNTR_ListCountriesName</formula1>
    </dataValidation>
    <dataValidation type="list" allowBlank="1" showInputMessage="1" showErrorMessage="1" sqref="F102:F121" xr:uid="{00000000-0002-0000-0400-000007000000}">
      <formula1>CNTR_ListCountriesCode</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BW124"/>
  <sheetViews>
    <sheetView zoomScaleNormal="100" workbookViewId="0">
      <pane xSplit="5" ySplit="13" topLeftCell="F14" activePane="bottomRight" state="frozen"/>
      <selection pane="topRight" activeCell="F1" sqref="F1"/>
      <selection pane="bottomLeft" activeCell="A14" sqref="A14"/>
      <selection pane="bottomRight" activeCell="F14" sqref="F14"/>
    </sheetView>
  </sheetViews>
  <sheetFormatPr defaultColWidth="11.453125" defaultRowHeight="12.5" x14ac:dyDescent="0.35"/>
  <cols>
    <col min="1" max="1" width="4.7265625" style="91" hidden="1" customWidth="1"/>
    <col min="2" max="3" width="3.7265625" style="93" customWidth="1"/>
    <col min="4" max="5" width="20.7265625" style="93" customWidth="1"/>
    <col min="6" max="6" width="15.7265625" style="93" customWidth="1"/>
    <col min="7" max="19" width="12.7265625" style="93" customWidth="1"/>
    <col min="20" max="21" width="12.7265625" style="93" hidden="1" customWidth="1"/>
    <col min="22" max="27" width="12.7265625" style="93" customWidth="1"/>
    <col min="28" max="29" width="12.7265625" style="93" hidden="1" customWidth="1"/>
    <col min="30" max="48" width="12.7265625" style="93" customWidth="1"/>
    <col min="49" max="49" width="12.7265625" style="93" hidden="1" customWidth="1"/>
    <col min="50" max="51" width="12.7265625" style="93" customWidth="1"/>
    <col min="52" max="52" width="11.453125" style="93" hidden="1" customWidth="1"/>
    <col min="53" max="75" width="11.453125" style="91" hidden="1" customWidth="1"/>
    <col min="76" max="16384" width="11.453125" style="93"/>
  </cols>
  <sheetData>
    <row r="1" spans="1:75" s="91" customFormat="1" ht="14.15" hidden="1" customHeight="1" thickBot="1" x14ac:dyDescent="0.4">
      <c r="A1" s="91" t="s">
        <v>3</v>
      </c>
      <c r="T1" s="91" t="s">
        <v>3</v>
      </c>
      <c r="U1" s="91" t="s">
        <v>3</v>
      </c>
      <c r="AB1" s="91" t="s">
        <v>3</v>
      </c>
      <c r="AC1" s="91" t="s">
        <v>3</v>
      </c>
      <c r="AW1" s="91" t="s">
        <v>3</v>
      </c>
      <c r="AZ1" s="91" t="s">
        <v>3</v>
      </c>
      <c r="BA1" s="91" t="s">
        <v>3</v>
      </c>
      <c r="BB1" s="91" t="s">
        <v>3</v>
      </c>
      <c r="BC1" s="91" t="s">
        <v>3</v>
      </c>
      <c r="BD1" s="91" t="s">
        <v>3</v>
      </c>
      <c r="BE1" s="91" t="s">
        <v>3</v>
      </c>
      <c r="BF1" s="91" t="s">
        <v>3</v>
      </c>
      <c r="BG1" s="91" t="s">
        <v>3</v>
      </c>
      <c r="BH1" s="91" t="s">
        <v>3</v>
      </c>
      <c r="BI1" s="91" t="s">
        <v>3</v>
      </c>
      <c r="BJ1" s="91" t="s">
        <v>3</v>
      </c>
      <c r="BK1" s="91" t="s">
        <v>3</v>
      </c>
      <c r="BL1" s="91" t="s">
        <v>3</v>
      </c>
      <c r="BM1" s="91" t="s">
        <v>3</v>
      </c>
      <c r="BN1" s="91" t="s">
        <v>3</v>
      </c>
      <c r="BO1" s="91" t="s">
        <v>3</v>
      </c>
      <c r="BP1" s="91" t="s">
        <v>3</v>
      </c>
      <c r="BQ1" s="91" t="s">
        <v>3</v>
      </c>
      <c r="BR1" s="91" t="s">
        <v>3</v>
      </c>
      <c r="BS1" s="91" t="s">
        <v>3</v>
      </c>
      <c r="BT1" s="91" t="s">
        <v>3</v>
      </c>
      <c r="BU1" s="91" t="s">
        <v>3</v>
      </c>
      <c r="BV1" s="91" t="s">
        <v>3</v>
      </c>
      <c r="BW1" s="91" t="s">
        <v>3</v>
      </c>
    </row>
    <row r="2" spans="1:75" ht="14.15" customHeight="1" thickBot="1" x14ac:dyDescent="0.4">
      <c r="B2" s="1178" t="str">
        <f>Translations!$B$127</f>
        <v>Source streams</v>
      </c>
      <c r="C2" s="1179"/>
      <c r="D2" s="1180"/>
      <c r="E2" s="1187" t="str">
        <f>Translations!$B$11</f>
        <v>Navigation Area:</v>
      </c>
      <c r="F2" s="1188"/>
      <c r="G2" s="1189" t="str">
        <f ca="1">HYPERLINK("#"&amp;ADDRESS(2,3,,,a_Contents!$U$2),a_Contents!$B$2)</f>
        <v>Table of contents</v>
      </c>
      <c r="H2" s="1190"/>
      <c r="I2" s="1189" t="str">
        <f ca="1">HYPERLINK("#"&amp;ADDRESS(2,3,,,G_FurtherGuidance!$U$2),G_FurtherGuidance!$B$2)</f>
        <v>Further Guidance</v>
      </c>
      <c r="J2" s="1190"/>
      <c r="K2" s="1189" t="str">
        <f ca="1">HYPERLINK("#"&amp;ADDRESS(2,3,,,Summary_Processes!$Y$2),Summary_Processes!$Y$2)</f>
        <v>Summary_Processes</v>
      </c>
      <c r="L2" s="1190"/>
      <c r="M2" s="1189" t="str">
        <f ca="1">HYPERLINK("#"&amp;ADDRESS(2,3,,,Summary_Products!$BF$2),Summary_Products!$BF$2)</f>
        <v>Summary_Products</v>
      </c>
      <c r="N2" s="1190"/>
      <c r="BA2" s="91" t="s">
        <v>114</v>
      </c>
      <c r="BB2" s="95" t="str">
        <f>ADDRESS(ROW($B$8),COLUMN($B$8)) &amp; ":" &amp; ADDRESS(MATCH("PRINT",$AZ:$AZ,0),COLUMN($AZ$8))</f>
        <v>$B$8:$AZ$124</v>
      </c>
      <c r="BC2" s="91" t="s">
        <v>25</v>
      </c>
      <c r="BD2" s="886" t="str">
        <f ca="1">IF(ISERROR(CELL("filename",BE2)),"B_EmInst",MID(CELL("filename",BE2),FIND("]",CELL("filename",BE2))+1,1024))</f>
        <v>B_EmInst</v>
      </c>
    </row>
    <row r="3" spans="1:75" ht="14.15" customHeight="1" x14ac:dyDescent="0.35">
      <c r="B3" s="1181"/>
      <c r="C3" s="1182"/>
      <c r="D3" s="1183"/>
      <c r="E3" s="1174"/>
      <c r="F3" s="1174"/>
      <c r="G3" s="1174" t="str">
        <f>IFERROR(HYPERLINK("#"&amp;ADDRESS(ROW($A$1)+MATCH(BA3,$A:$A,0)-1,3),INDEX($BA:$BA,MATCH(BA3,$A:$A,0))),"")</f>
        <v>Source streams</v>
      </c>
      <c r="H3" s="1174"/>
      <c r="I3" s="1174" t="str">
        <f>IFERROR(HYPERLINK("#"&amp;ADDRESS(ROW($A$1)+MATCH(BC3,$A:$A,0)-1,3),INDEX($BA:$BA,MATCH(BC3,$A:$A,0))),"")</f>
        <v>PFC (perfluorocarbon) emissions</v>
      </c>
      <c r="J3" s="1174"/>
      <c r="K3" s="1174" t="str">
        <f>IFERROR(HYPERLINK("#"&amp;ADDRESS(ROW($A$1)+MATCH(BE3,$A:$A,0)-1,3),INDEX($BA:$BA,MATCH(BE3,$A:$A,0))),"")</f>
        <v>Emission sources</v>
      </c>
      <c r="L3" s="1174"/>
      <c r="M3" s="1174"/>
      <c r="N3" s="1174"/>
      <c r="BA3" s="302">
        <v>1</v>
      </c>
      <c r="BB3" s="303"/>
      <c r="BC3" s="303">
        <v>2</v>
      </c>
      <c r="BD3" s="303"/>
      <c r="BE3" s="303">
        <v>3</v>
      </c>
      <c r="BF3" s="303"/>
      <c r="BG3" s="304"/>
    </row>
    <row r="4" spans="1:75" ht="14.15" customHeight="1" thickBot="1" x14ac:dyDescent="0.4">
      <c r="B4" s="1184"/>
      <c r="C4" s="1185"/>
      <c r="D4" s="1186"/>
      <c r="E4" s="1174"/>
      <c r="F4" s="1174"/>
      <c r="G4" s="1174"/>
      <c r="H4" s="1174"/>
      <c r="I4" s="1174"/>
      <c r="J4" s="1174"/>
      <c r="K4" s="1174"/>
      <c r="L4" s="1174"/>
      <c r="M4" s="1174"/>
      <c r="N4" s="1174"/>
      <c r="BA4" s="307"/>
      <c r="BB4" s="308"/>
      <c r="BC4" s="308"/>
      <c r="BD4" s="308"/>
      <c r="BE4" s="308"/>
      <c r="BF4" s="308"/>
      <c r="BG4" s="309"/>
    </row>
    <row r="5" spans="1:75" ht="5.15" customHeight="1" x14ac:dyDescent="0.35">
      <c r="O5" s="32"/>
      <c r="P5" s="32"/>
      <c r="Q5" s="32"/>
      <c r="R5" s="32"/>
      <c r="S5" s="32"/>
      <c r="T5" s="32"/>
      <c r="U5" s="32"/>
      <c r="V5" s="32"/>
      <c r="W5" s="32"/>
      <c r="X5" s="32"/>
      <c r="Y5" s="32"/>
      <c r="Z5" s="32"/>
      <c r="AA5" s="32"/>
      <c r="AB5" s="32"/>
      <c r="AC5" s="32"/>
      <c r="AD5" s="32"/>
      <c r="AE5" s="32"/>
      <c r="AF5" s="32"/>
      <c r="AG5" s="32"/>
      <c r="AH5" s="32"/>
    </row>
    <row r="6" spans="1:75" ht="25.5" customHeight="1" x14ac:dyDescent="0.35">
      <c r="C6" s="106" t="s">
        <v>2815</v>
      </c>
      <c r="D6" s="106" t="str">
        <f>Translations!$B$128</f>
        <v>Sheet "B_EmInst" - Installation's emission at source stream and emission source level</v>
      </c>
      <c r="E6" s="106"/>
      <c r="O6" s="32"/>
      <c r="P6" s="32"/>
      <c r="Q6" s="32"/>
      <c r="R6" s="32"/>
      <c r="S6" s="32"/>
      <c r="T6" s="32"/>
      <c r="U6" s="32"/>
      <c r="V6" s="32"/>
      <c r="W6" s="32"/>
      <c r="X6" s="32"/>
      <c r="Y6" s="32"/>
      <c r="Z6" s="32"/>
      <c r="AA6" s="32"/>
      <c r="AB6" s="32"/>
      <c r="AC6" s="32"/>
      <c r="AD6" s="32"/>
      <c r="AE6" s="32"/>
      <c r="AF6" s="32"/>
      <c r="AG6" s="32"/>
      <c r="AH6" s="32"/>
    </row>
    <row r="7" spans="1:75" ht="5.15" customHeight="1" x14ac:dyDescent="0.35">
      <c r="O7" s="32"/>
      <c r="P7" s="32"/>
      <c r="Q7" s="32"/>
      <c r="R7" s="32"/>
      <c r="S7" s="32"/>
      <c r="T7" s="32"/>
      <c r="U7" s="32"/>
      <c r="V7" s="32"/>
      <c r="W7" s="32"/>
      <c r="X7" s="32"/>
      <c r="Y7" s="32"/>
      <c r="Z7" s="32"/>
      <c r="AA7" s="32"/>
      <c r="AB7" s="32"/>
      <c r="AC7" s="32"/>
      <c r="AD7" s="32"/>
      <c r="AE7" s="32"/>
      <c r="AF7" s="32"/>
      <c r="AG7" s="32"/>
      <c r="AH7" s="32"/>
    </row>
    <row r="8" spans="1:75" s="802" customFormat="1" ht="18" customHeight="1" x14ac:dyDescent="0.35">
      <c r="A8" s="801"/>
      <c r="C8" s="807">
        <v>1</v>
      </c>
      <c r="D8" s="1291" t="str">
        <f>Translations!$B$129</f>
        <v>Source streams and emission sources</v>
      </c>
      <c r="E8" s="1291"/>
      <c r="F8" s="1291"/>
      <c r="G8" s="1291"/>
      <c r="H8" s="1291"/>
      <c r="I8" s="1291"/>
      <c r="J8" s="1291"/>
      <c r="K8" s="1291"/>
      <c r="L8" s="1291"/>
      <c r="M8" s="1291"/>
      <c r="N8" s="1291"/>
      <c r="O8" s="803"/>
      <c r="P8" s="803"/>
      <c r="Q8" s="803"/>
      <c r="R8" s="803"/>
      <c r="S8" s="803"/>
      <c r="T8" s="803"/>
      <c r="U8" s="803"/>
      <c r="V8" s="803"/>
      <c r="W8" s="803"/>
      <c r="X8" s="803"/>
      <c r="Y8" s="803"/>
      <c r="Z8" s="803"/>
      <c r="AA8" s="803"/>
      <c r="AB8" s="803"/>
      <c r="AC8" s="803"/>
      <c r="AD8" s="803"/>
      <c r="AE8" s="803"/>
      <c r="AF8" s="803"/>
      <c r="AG8" s="803"/>
      <c r="AH8" s="803"/>
      <c r="AI8" s="803"/>
      <c r="AJ8" s="803"/>
      <c r="AK8" s="803"/>
      <c r="AL8" s="803"/>
      <c r="AM8" s="803"/>
      <c r="AN8" s="803"/>
      <c r="AO8" s="803"/>
      <c r="AP8" s="803"/>
      <c r="AQ8" s="803"/>
      <c r="AR8" s="803"/>
      <c r="AS8" s="803"/>
      <c r="AT8" s="803"/>
      <c r="AU8" s="803"/>
      <c r="AV8" s="803"/>
      <c r="AW8" s="803"/>
      <c r="AX8" s="803"/>
      <c r="AY8" s="803"/>
      <c r="BA8" s="801"/>
      <c r="BB8" s="801"/>
      <c r="BC8" s="801"/>
      <c r="BD8" s="801"/>
      <c r="BE8" s="801"/>
      <c r="BF8" s="801"/>
      <c r="BG8" s="801"/>
      <c r="BH8" s="801"/>
      <c r="BI8" s="801"/>
      <c r="BJ8" s="801"/>
      <c r="BK8" s="801"/>
      <c r="BL8" s="801"/>
      <c r="BM8" s="801"/>
      <c r="BN8" s="801"/>
      <c r="BO8" s="801"/>
      <c r="BP8" s="801"/>
      <c r="BQ8" s="801"/>
      <c r="BR8" s="801"/>
      <c r="BS8" s="801"/>
      <c r="BT8" s="801"/>
      <c r="BU8" s="801"/>
      <c r="BV8" s="801"/>
      <c r="BW8" s="801"/>
    </row>
    <row r="9" spans="1:75" ht="5.15" customHeight="1" x14ac:dyDescent="0.25">
      <c r="C9" s="13"/>
      <c r="D9" s="1289"/>
      <c r="E9" s="1289"/>
      <c r="F9" s="1289"/>
      <c r="G9" s="1289"/>
      <c r="H9" s="1289"/>
      <c r="I9" s="1289"/>
      <c r="J9" s="1289"/>
      <c r="K9" s="1289"/>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row>
    <row r="10" spans="1:75" ht="12.75" customHeight="1" x14ac:dyDescent="0.25">
      <c r="C10" s="13"/>
      <c r="D10" s="1290" t="str">
        <f ca="1">HYPERLINK("#"&amp;ADDRESS(MATCH($BB10,G_FurtherGuidance!$S:$S,0),3,,,G_FurtherGuidance!$U$2),CONST_LinkToGuidanceSheet)</f>
        <v>Please click on this link for further guidance on how to complete this section.</v>
      </c>
      <c r="E10" s="1290"/>
      <c r="F10" s="1290"/>
      <c r="G10" s="1290"/>
      <c r="H10" s="1290"/>
      <c r="I10" s="1290"/>
      <c r="J10" s="1290"/>
      <c r="K10" s="1290"/>
      <c r="L10" s="1290"/>
      <c r="M10" s="1290"/>
      <c r="N10" s="1290"/>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BA10" s="104" t="s">
        <v>2771</v>
      </c>
      <c r="BB10" s="105">
        <v>2</v>
      </c>
    </row>
    <row r="11" spans="1:75" ht="5.15" customHeight="1" x14ac:dyDescent="0.25">
      <c r="C11" s="13"/>
      <c r="D11" s="90"/>
      <c r="E11" s="90"/>
      <c r="F11" s="90"/>
      <c r="G11" s="90"/>
      <c r="H11" s="90"/>
      <c r="I11" s="90"/>
      <c r="J11" s="90"/>
      <c r="K11" s="90"/>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row>
    <row r="12" spans="1:75" s="122" customFormat="1" ht="20.149999999999999" customHeight="1" thickBot="1" x14ac:dyDescent="0.4">
      <c r="A12" s="105">
        <v>1</v>
      </c>
      <c r="C12" s="15" t="s">
        <v>4</v>
      </c>
      <c r="D12" s="15" t="str">
        <f>Translations!$B$1958</f>
        <v>Calculation based approaches: Source Streams (excluding PFC emissions)</v>
      </c>
      <c r="E12" s="16"/>
      <c r="F12" s="16"/>
      <c r="G12" s="16"/>
      <c r="H12" s="16"/>
      <c r="I12" s="16"/>
      <c r="J12" s="16"/>
      <c r="K12" s="16"/>
      <c r="L12" s="14"/>
      <c r="M12" s="14"/>
      <c r="N12" s="14"/>
      <c r="O12" s="14"/>
      <c r="P12" s="14"/>
      <c r="Q12" s="14"/>
      <c r="R12" s="16"/>
      <c r="S12" s="16"/>
      <c r="T12" s="14" t="s">
        <v>179</v>
      </c>
      <c r="U12" s="14" t="s">
        <v>179</v>
      </c>
      <c r="V12" s="16"/>
      <c r="W12" s="16"/>
      <c r="X12" s="16"/>
      <c r="Y12" s="16"/>
      <c r="Z12" s="16"/>
      <c r="AA12" s="16"/>
      <c r="AB12" s="14" t="s">
        <v>179</v>
      </c>
      <c r="AC12" s="14" t="s">
        <v>179</v>
      </c>
      <c r="AD12" s="16"/>
      <c r="AE12" s="16"/>
      <c r="AF12" s="16"/>
      <c r="AG12" s="16"/>
      <c r="AH12" s="16"/>
      <c r="AI12" s="16"/>
      <c r="AJ12" s="16"/>
      <c r="AK12" s="16"/>
      <c r="AL12" s="16"/>
      <c r="AM12" s="16"/>
      <c r="AN12" s="16"/>
      <c r="AO12" s="16"/>
      <c r="AP12" s="16"/>
      <c r="AQ12" s="16"/>
      <c r="AR12" s="16"/>
      <c r="AS12" s="16"/>
      <c r="AT12" s="16"/>
      <c r="AU12" s="16"/>
      <c r="AV12" s="16"/>
      <c r="AW12" s="14" t="s">
        <v>179</v>
      </c>
      <c r="AX12" s="16"/>
      <c r="AY12" s="16"/>
      <c r="BA12" s="91" t="s">
        <v>276</v>
      </c>
      <c r="BB12" s="121"/>
      <c r="BC12" s="121"/>
      <c r="BD12" s="91" t="s">
        <v>342</v>
      </c>
      <c r="BE12" s="91"/>
      <c r="BF12" s="91"/>
      <c r="BG12" s="91"/>
      <c r="BH12" s="91" t="s">
        <v>4096</v>
      </c>
      <c r="BI12" s="91"/>
      <c r="BJ12" s="91"/>
      <c r="BK12" s="91"/>
      <c r="BL12" s="91" t="s">
        <v>4093</v>
      </c>
      <c r="BM12" s="91"/>
      <c r="BN12" s="91"/>
      <c r="BO12" s="91"/>
      <c r="BP12" s="91" t="s">
        <v>4094</v>
      </c>
      <c r="BQ12" s="121"/>
      <c r="BR12" s="91" t="s">
        <v>4095</v>
      </c>
      <c r="BS12" s="121"/>
      <c r="BT12" s="121"/>
      <c r="BU12" s="121"/>
      <c r="BV12" s="121"/>
      <c r="BW12" s="104" t="s">
        <v>4057</v>
      </c>
    </row>
    <row r="13" spans="1:75" ht="50.15" customHeight="1" thickBot="1" x14ac:dyDescent="0.35">
      <c r="C13" s="17" t="str">
        <f>Translations!$B$131</f>
        <v>#</v>
      </c>
      <c r="D13" s="18" t="str">
        <f>Translations!$B$132</f>
        <v>Method</v>
      </c>
      <c r="E13" s="18" t="str">
        <f>Translations!$B$133</f>
        <v>Source stream name</v>
      </c>
      <c r="F13" s="19" t="str">
        <f>Translations!$B$134</f>
        <v>Activity data (AD)</v>
      </c>
      <c r="G13" s="19" t="str">
        <f>Translations!$B$135</f>
        <v>AD Unit</v>
      </c>
      <c r="H13" s="19" t="str">
        <f>Translations!$B$136</f>
        <v>Net calorific value (NCV)</v>
      </c>
      <c r="I13" s="19" t="str">
        <f>Translations!$B$137</f>
        <v>NCV Unit</v>
      </c>
      <c r="J13" s="19" t="str">
        <f>Translations!$B$138</f>
        <v>Emission factor (EF)</v>
      </c>
      <c r="K13" s="19" t="str">
        <f>Translations!$B$139</f>
        <v>EF Unit</v>
      </c>
      <c r="L13" s="19" t="str">
        <f>Translations!$B$140</f>
        <v>Carbon content</v>
      </c>
      <c r="M13" s="19" t="str">
        <f>Translations!$B$141</f>
        <v>C-Content Unit</v>
      </c>
      <c r="N13" s="19" t="str">
        <f>Translations!$B$142</f>
        <v>Oxidation factor (OxF)</v>
      </c>
      <c r="O13" s="19" t="str">
        <f>Translations!$B$143</f>
        <v>OxF Unit</v>
      </c>
      <c r="P13" s="19" t="str">
        <f>Translations!$B$144</f>
        <v>Conversion factor (ConvF)</v>
      </c>
      <c r="Q13" s="19" t="str">
        <f>Translations!$B$145</f>
        <v>ConvF Unit</v>
      </c>
      <c r="R13" s="19" t="str">
        <f>Translations!$B$146</f>
        <v>Biomass content (BioC)</v>
      </c>
      <c r="S13" s="19" t="str">
        <f>Translations!$B$147</f>
        <v>BioC Unit</v>
      </c>
      <c r="T13" s="20" t="s">
        <v>63</v>
      </c>
      <c r="U13" s="20" t="s">
        <v>64</v>
      </c>
      <c r="V13" s="19" t="str">
        <f>Translations!$B$150</f>
        <v>hourly GHG conc. Average</v>
      </c>
      <c r="W13" s="19" t="str">
        <f>Translations!$B$151</f>
        <v>hourly GHG conc. Unit</v>
      </c>
      <c r="X13" s="19" t="str">
        <f>Translations!$B$152</f>
        <v>hours operating</v>
      </c>
      <c r="Y13" s="19" t="str">
        <f>Translations!$B$153</f>
        <v>hours operating Unit</v>
      </c>
      <c r="Z13" s="19" t="str">
        <f>Translations!$B$1959</f>
        <v>Flue gas flow (average)</v>
      </c>
      <c r="AA13" s="19" t="str">
        <f>Translations!$B$1960</f>
        <v>Flue gas flow (average), Unit</v>
      </c>
      <c r="AB13" s="20" t="s">
        <v>69</v>
      </c>
      <c r="AC13" s="20" t="s">
        <v>70</v>
      </c>
      <c r="AD13" s="19" t="str">
        <f>Translations!$B$158</f>
        <v>Annual amount of GHG</v>
      </c>
      <c r="AE13" s="19" t="str">
        <f>Translations!$B$159</f>
        <v>Annual amount of GHG Unit</v>
      </c>
      <c r="AF13" s="19" t="str">
        <f>Translations!$B$1961</f>
        <v>GWP (tCO2e/t)</v>
      </c>
      <c r="AG13" s="19" t="str">
        <f>Translations!$B$161</f>
        <v>A: Frequency</v>
      </c>
      <c r="AH13" s="19" t="str">
        <f>Translations!$B$162</f>
        <v>A: Duration</v>
      </c>
      <c r="AI13" s="19" t="str">
        <f>Translations!$B$163</f>
        <v>A: SEF(CF4)</v>
      </c>
      <c r="AJ13" s="19" t="str">
        <f>Translations!$B$164</f>
        <v>B: AEO</v>
      </c>
      <c r="AK13" s="19" t="str">
        <f>Translations!$B$165</f>
        <v>B: CE</v>
      </c>
      <c r="AL13" s="19" t="str">
        <f>Translations!$B$166</f>
        <v>B: OVC</v>
      </c>
      <c r="AM13" s="19" t="str">
        <f>Translations!$B$167</f>
        <v>F(C2F6)</v>
      </c>
      <c r="AN13" s="19" t="str">
        <f>Translations!$B$168</f>
        <v>CF4 Emissions (t CF4)</v>
      </c>
      <c r="AO13" s="19" t="str">
        <f>Translations!$B$169</f>
        <v>C2F6 Emissions (t C2F6)</v>
      </c>
      <c r="AP13" s="19" t="str">
        <f>Translations!$B$170</f>
        <v>GWP (CF4) (tCO2e/t)</v>
      </c>
      <c r="AQ13" s="19" t="str">
        <f>Translations!$B$171</f>
        <v>GWP (C2F6) (tCO2e/t)</v>
      </c>
      <c r="AR13" s="19" t="str">
        <f>Translations!$B$172</f>
        <v>CF4 Emissions (t CO2e)</v>
      </c>
      <c r="AS13" s="19" t="str">
        <f>Translations!$B$173</f>
        <v>C2F6 Emissions (t CO2e)</v>
      </c>
      <c r="AT13" s="19" t="str">
        <f>Translations!$B$174</f>
        <v>Collection efficiency, %</v>
      </c>
      <c r="AU13" s="19" t="str">
        <f>Translations!$B$175</f>
        <v>CO2e fossil (t)</v>
      </c>
      <c r="AV13" s="19" t="str">
        <f>Translations!$B$176</f>
        <v>CO2e bio (t)</v>
      </c>
      <c r="AW13" s="20" t="s">
        <v>89</v>
      </c>
      <c r="AX13" s="19" t="str">
        <f>Translations!$B$178</f>
        <v>Energy content (fossil), TJ</v>
      </c>
      <c r="AY13" s="21" t="str">
        <f>Translations!$B$179</f>
        <v>Energy content (bio), TJ</v>
      </c>
      <c r="BD13" s="123" t="s">
        <v>93</v>
      </c>
      <c r="BE13" s="123" t="s">
        <v>341</v>
      </c>
      <c r="BF13" s="123" t="s">
        <v>340</v>
      </c>
      <c r="BG13" s="123"/>
      <c r="BH13" s="123" t="s">
        <v>93</v>
      </c>
      <c r="BI13" s="123" t="s">
        <v>341</v>
      </c>
      <c r="BJ13" s="123" t="s">
        <v>340</v>
      </c>
      <c r="BK13" s="123"/>
      <c r="BL13" s="123" t="s">
        <v>3012</v>
      </c>
      <c r="BM13" s="123" t="s">
        <v>343</v>
      </c>
      <c r="BN13" s="123" t="s">
        <v>344</v>
      </c>
      <c r="BO13" s="123" t="s">
        <v>345</v>
      </c>
      <c r="BP13" s="91" t="s">
        <v>4058</v>
      </c>
      <c r="BR13" s="995" t="s">
        <v>4059</v>
      </c>
      <c r="BS13" s="995" t="s">
        <v>4060</v>
      </c>
      <c r="BT13" s="995" t="s">
        <v>4061</v>
      </c>
      <c r="BU13" s="995" t="s">
        <v>4062</v>
      </c>
    </row>
    <row r="14" spans="1:75" ht="12.75" customHeight="1" x14ac:dyDescent="0.25">
      <c r="C14" s="583" t="str">
        <f>Translations!$B$180</f>
        <v>Ex.1</v>
      </c>
      <c r="D14" s="584" t="str">
        <f>Translations!$B$181</f>
        <v>Combustion</v>
      </c>
      <c r="E14" s="584" t="str">
        <f>Translations!$B$182</f>
        <v>Heavy fuel oil</v>
      </c>
      <c r="F14" s="585">
        <v>252000</v>
      </c>
      <c r="G14" s="586" t="s">
        <v>95</v>
      </c>
      <c r="H14" s="585">
        <v>45</v>
      </c>
      <c r="I14" s="594" t="str">
        <f t="shared" ref="I14:I48" si="0">IF(E14="","",IF(G14="","", IF(G14=CONST_kNm3,CONST_GJpkNm3,CONST_GJpt)))</f>
        <v>GJ/t</v>
      </c>
      <c r="J14" s="585">
        <v>73</v>
      </c>
      <c r="K14" s="586" t="str">
        <f>Translations!$B$184</f>
        <v>tCO2/TJ</v>
      </c>
      <c r="L14" s="738"/>
      <c r="M14" s="586" t="str">
        <f t="shared" ref="M14:M16" si="1">IF(D14&lt;&gt;INDEX(CONST_MonitoringApproach,3),"", IF(G14="","", CONST_tC&amp;"/"&amp;IF(G14="",CONST_t,G14)))</f>
        <v/>
      </c>
      <c r="N14" s="585">
        <v>100</v>
      </c>
      <c r="O14" s="586" t="s">
        <v>99</v>
      </c>
      <c r="P14" s="585"/>
      <c r="Q14" s="586" t="s">
        <v>99</v>
      </c>
      <c r="R14" s="585">
        <v>0</v>
      </c>
      <c r="S14" s="586" t="s">
        <v>99</v>
      </c>
      <c r="T14" s="587"/>
      <c r="U14" s="587" t="s">
        <v>99</v>
      </c>
      <c r="V14" s="588"/>
      <c r="W14" s="588"/>
      <c r="X14" s="588"/>
      <c r="Y14" s="588"/>
      <c r="Z14" s="588"/>
      <c r="AA14" s="588"/>
      <c r="AB14" s="587"/>
      <c r="AC14" s="587"/>
      <c r="AD14" s="588"/>
      <c r="AE14" s="588"/>
      <c r="AF14" s="588"/>
      <c r="AG14" s="588"/>
      <c r="AH14" s="588"/>
      <c r="AI14" s="588"/>
      <c r="AJ14" s="588"/>
      <c r="AK14" s="588"/>
      <c r="AL14" s="588"/>
      <c r="AM14" s="588"/>
      <c r="AN14" s="588"/>
      <c r="AO14" s="588"/>
      <c r="AP14" s="588"/>
      <c r="AQ14" s="588"/>
      <c r="AR14" s="588"/>
      <c r="AS14" s="588"/>
      <c r="AT14" s="588"/>
      <c r="AU14" s="589">
        <f t="shared" ref="AU14:AU16" si="2">IF($D14="","",IF(BR14=FALSE,CONST_ERR_Inconsistent,IF(COUNTIF(BS14:BU14,FALSE)&gt;0,CONST_ERR_Incomplete,SUM(BD14:BF14))))</f>
        <v>827820</v>
      </c>
      <c r="AV14" s="589">
        <f t="shared" ref="AV14:AV16" si="3">IF(ISNUMBER(AU14),SUM(BH14:BJ14),"")</f>
        <v>0</v>
      </c>
      <c r="AW14" s="587"/>
      <c r="AX14" s="590">
        <f t="shared" ref="AX14:AX16" si="4">IF($D14="","",$F14*$H14/1000*(1-$R14/100))</f>
        <v>11340</v>
      </c>
      <c r="AY14" s="590">
        <f t="shared" ref="AY14:AY16" si="5">IF($D14="","",$F14*$H14/1000*($R14/100))</f>
        <v>0</v>
      </c>
      <c r="BD14" s="124">
        <f t="shared" ref="BD14:BD16" si="6">IF($D14&lt;&gt;INDEX(CONST_MonitoringApproach,1),"",$F14*IF($K14=CONST_tCO2pTJ,$H14/1000,1)*$J14*IF($N14="",1,$N14/100)*(1-$R14/100))</f>
        <v>827820</v>
      </c>
      <c r="BE14" s="124" t="str">
        <f t="shared" ref="BE14:BE16" si="7">IF($D14&lt;&gt;INDEX(CONST_MonitoringApproach,2),"",$F14*IF($K14=CONST_tCO2pTJ,$H14/1000,1)*$J14*IF($P14="",1,$P14/100)*(1-$R14/100))</f>
        <v/>
      </c>
      <c r="BF14" s="124" t="str">
        <f t="shared" ref="BF14:BF16" si="8">IF($D14&lt;&gt;INDEX(CONST_MonitoringApproach,3),"",$F14*$L14*3.664*(1-$R14/100))</f>
        <v/>
      </c>
      <c r="BH14" s="124">
        <f t="shared" ref="BH14:BH16" si="9">IF($D14&lt;&gt;INDEX(CONST_MonitoringApproach,1),"",$F14*IF($K14=CONST_tCO2pTJ,$H14/1000,1)*$J14*IF($N14="",1,$N14/100)*($R14/100))</f>
        <v>0</v>
      </c>
      <c r="BI14" s="124" t="str">
        <f t="shared" ref="BI14:BI16" si="10">IF($D14&lt;&gt;INDEX(CONST_MonitoringApproach,2),"",$F14*IF($K14=CONST_tCO2pTJ,$H14/1000,1)*$J14*IF($P14="",1,$P14/100)*($R14/100))</f>
        <v/>
      </c>
      <c r="BJ14" s="124" t="str">
        <f t="shared" ref="BJ14:BJ16" si="11">IF($D14&lt;&gt;INDEX(CONST_MonitoringApproach,3),"",$F14*$L14*3.664*($R14/100))</f>
        <v/>
      </c>
      <c r="BK14" s="125"/>
      <c r="BL14" s="125"/>
      <c r="BM14" s="125"/>
      <c r="BN14" s="125"/>
      <c r="BO14" s="125"/>
      <c r="BP14" s="171"/>
      <c r="BR14" s="102" t="b">
        <f t="shared" ref="BR14:BR16" si="12">IF($D14="","",OR(AND($G14 = INDEX(CONST_torkNm3,1), $K14=INDEX(CONST_tCO2pTJOrtCO2pt,2)),AND($G14 = INDEX(CONST_torkNm3,2),$K14=INDEX(CONST_tCO2pTJOrtCO2pt,3)),$K14=INDEX(CONST_tCO2pTJOrtCO2pt,1),$D14=INDEX(CONST_MonitoringApproach,3)))</f>
        <v>1</v>
      </c>
      <c r="BS14" s="102" t="b">
        <f t="shared" ref="BS14:BS16" si="13">IF($D14&lt;&gt;INDEX(CONST_MonitoringApproach,1),"", AND(COUNTA($E14,$G14,$K14)=3,COUNT($F14,$J14)=2,IF($K14=CONST_tCO2pTJ,ISNUMBER($H14),TRUE)))</f>
        <v>1</v>
      </c>
      <c r="BT14" s="102" t="str">
        <f t="shared" ref="BT14:BT16" si="14">IF($D14&lt;&gt;INDEX(CONST_MonitoringApproach,2),"", AND(COUNTA($E14,$G14,$K14)=3,COUNT($F14,$J14)=2,IF($K14=CONST_tCO2pTJ,ISNUMBER($H14),TRUE)))</f>
        <v/>
      </c>
      <c r="BU14" s="102" t="str">
        <f t="shared" ref="BU14:BU16" si="15">IF($D14&lt;&gt;INDEX(CONST_MonitoringApproach,3),"",AND(COUNTA($E14,$G14)=2,COUNT($F14,$L14)=2))</f>
        <v/>
      </c>
    </row>
    <row r="15" spans="1:75" ht="12.75" customHeight="1" x14ac:dyDescent="0.25">
      <c r="C15" s="591" t="str">
        <f>Translations!$B$185</f>
        <v>Ex.2</v>
      </c>
      <c r="D15" s="592" t="str">
        <f>Translations!$B$186</f>
        <v>Process Emissions</v>
      </c>
      <c r="E15" s="592" t="str">
        <f>Translations!$B$187</f>
        <v>Raw meal for clinker</v>
      </c>
      <c r="F15" s="593">
        <v>121000</v>
      </c>
      <c r="G15" s="594" t="s">
        <v>95</v>
      </c>
      <c r="H15" s="593"/>
      <c r="I15" s="594" t="str">
        <f t="shared" si="0"/>
        <v>GJ/t</v>
      </c>
      <c r="J15" s="593">
        <v>8.7940000000000004E-2</v>
      </c>
      <c r="K15" s="594" t="str">
        <f>Translations!$B$188</f>
        <v>tCO2/t</v>
      </c>
      <c r="L15" s="739"/>
      <c r="M15" s="594" t="str">
        <f t="shared" si="1"/>
        <v/>
      </c>
      <c r="N15" s="593"/>
      <c r="O15" s="594" t="s">
        <v>99</v>
      </c>
      <c r="P15" s="593">
        <v>100</v>
      </c>
      <c r="Q15" s="594" t="s">
        <v>99</v>
      </c>
      <c r="R15" s="593">
        <v>0</v>
      </c>
      <c r="S15" s="594" t="s">
        <v>99</v>
      </c>
      <c r="T15" s="595"/>
      <c r="U15" s="595" t="s">
        <v>99</v>
      </c>
      <c r="V15" s="596"/>
      <c r="W15" s="596"/>
      <c r="X15" s="596"/>
      <c r="Y15" s="596"/>
      <c r="Z15" s="596"/>
      <c r="AA15" s="596"/>
      <c r="AB15" s="595"/>
      <c r="AC15" s="595"/>
      <c r="AD15" s="596"/>
      <c r="AE15" s="596"/>
      <c r="AF15" s="596"/>
      <c r="AG15" s="596"/>
      <c r="AH15" s="596"/>
      <c r="AI15" s="596"/>
      <c r="AJ15" s="596"/>
      <c r="AK15" s="596"/>
      <c r="AL15" s="596"/>
      <c r="AM15" s="596"/>
      <c r="AN15" s="596"/>
      <c r="AO15" s="596"/>
      <c r="AP15" s="596"/>
      <c r="AQ15" s="596"/>
      <c r="AR15" s="596"/>
      <c r="AS15" s="596"/>
      <c r="AT15" s="596"/>
      <c r="AU15" s="597">
        <f t="shared" si="2"/>
        <v>10640.74</v>
      </c>
      <c r="AV15" s="597">
        <f t="shared" si="3"/>
        <v>0</v>
      </c>
      <c r="AW15" s="595"/>
      <c r="AX15" s="598">
        <f t="shared" si="4"/>
        <v>0</v>
      </c>
      <c r="AY15" s="598">
        <f t="shared" si="5"/>
        <v>0</v>
      </c>
      <c r="BD15" s="124" t="str">
        <f t="shared" si="6"/>
        <v/>
      </c>
      <c r="BE15" s="124">
        <f t="shared" si="7"/>
        <v>10640.74</v>
      </c>
      <c r="BF15" s="124" t="str">
        <f t="shared" si="8"/>
        <v/>
      </c>
      <c r="BH15" s="124" t="str">
        <f t="shared" si="9"/>
        <v/>
      </c>
      <c r="BI15" s="124">
        <f t="shared" si="10"/>
        <v>0</v>
      </c>
      <c r="BJ15" s="124" t="str">
        <f t="shared" si="11"/>
        <v/>
      </c>
      <c r="BK15" s="125"/>
      <c r="BL15" s="125"/>
      <c r="BM15" s="125"/>
      <c r="BN15" s="125"/>
      <c r="BO15" s="125"/>
      <c r="BP15" s="171"/>
      <c r="BR15" s="102" t="b">
        <f t="shared" si="12"/>
        <v>1</v>
      </c>
      <c r="BS15" s="102" t="str">
        <f t="shared" si="13"/>
        <v/>
      </c>
      <c r="BT15" s="102" t="b">
        <f t="shared" si="14"/>
        <v>1</v>
      </c>
      <c r="BU15" s="102" t="str">
        <f t="shared" si="15"/>
        <v/>
      </c>
    </row>
    <row r="16" spans="1:75" ht="12.75" customHeight="1" x14ac:dyDescent="0.25">
      <c r="C16" s="599" t="str">
        <f>Translations!$B$189</f>
        <v>Ex.3</v>
      </c>
      <c r="D16" s="835" t="str">
        <f>Translations!$B$190</f>
        <v>Mass balance</v>
      </c>
      <c r="E16" s="835" t="str">
        <f>Translations!$B$191</f>
        <v>Steel</v>
      </c>
      <c r="F16" s="833">
        <v>-1808226</v>
      </c>
      <c r="G16" s="831" t="s">
        <v>95</v>
      </c>
      <c r="H16" s="833"/>
      <c r="I16" s="831" t="str">
        <f t="shared" si="0"/>
        <v>GJ/t</v>
      </c>
      <c r="J16" s="833"/>
      <c r="K16" s="831" t="s">
        <v>98</v>
      </c>
      <c r="L16" s="832">
        <v>3.8779999999999999E-3</v>
      </c>
      <c r="M16" s="831" t="str">
        <f t="shared" si="1"/>
        <v>tC/t</v>
      </c>
      <c r="N16" s="833"/>
      <c r="O16" s="831" t="s">
        <v>99</v>
      </c>
      <c r="P16" s="833"/>
      <c r="Q16" s="831" t="s">
        <v>99</v>
      </c>
      <c r="R16" s="833">
        <v>0</v>
      </c>
      <c r="S16" s="831" t="s">
        <v>99</v>
      </c>
      <c r="T16" s="836"/>
      <c r="U16" s="836" t="s">
        <v>99</v>
      </c>
      <c r="V16" s="837"/>
      <c r="W16" s="837"/>
      <c r="X16" s="837"/>
      <c r="Y16" s="837"/>
      <c r="Z16" s="837"/>
      <c r="AA16" s="837"/>
      <c r="AB16" s="836"/>
      <c r="AC16" s="836"/>
      <c r="AD16" s="837"/>
      <c r="AE16" s="837"/>
      <c r="AF16" s="837"/>
      <c r="AG16" s="837"/>
      <c r="AH16" s="837"/>
      <c r="AI16" s="837"/>
      <c r="AJ16" s="837"/>
      <c r="AK16" s="837"/>
      <c r="AL16" s="837"/>
      <c r="AM16" s="837"/>
      <c r="AN16" s="837"/>
      <c r="AO16" s="837"/>
      <c r="AP16" s="837"/>
      <c r="AQ16" s="837"/>
      <c r="AR16" s="837"/>
      <c r="AS16" s="837"/>
      <c r="AT16" s="837"/>
      <c r="AU16" s="834">
        <f t="shared" si="2"/>
        <v>-25693.068768191999</v>
      </c>
      <c r="AV16" s="834">
        <f t="shared" si="3"/>
        <v>0</v>
      </c>
      <c r="AW16" s="836"/>
      <c r="AX16" s="838">
        <f t="shared" si="4"/>
        <v>0</v>
      </c>
      <c r="AY16" s="838">
        <f t="shared" si="5"/>
        <v>0</v>
      </c>
      <c r="BD16" s="124" t="str">
        <f t="shared" si="6"/>
        <v/>
      </c>
      <c r="BE16" s="124" t="str">
        <f t="shared" si="7"/>
        <v/>
      </c>
      <c r="BF16" s="124">
        <f t="shared" si="8"/>
        <v>-25693.068768191999</v>
      </c>
      <c r="BH16" s="124" t="str">
        <f t="shared" si="9"/>
        <v/>
      </c>
      <c r="BI16" s="124" t="str">
        <f t="shared" si="10"/>
        <v/>
      </c>
      <c r="BJ16" s="124">
        <f t="shared" si="11"/>
        <v>0</v>
      </c>
      <c r="BK16" s="125"/>
      <c r="BL16" s="991"/>
      <c r="BM16" s="991"/>
      <c r="BN16" s="991"/>
      <c r="BO16" s="991"/>
      <c r="BP16" s="440"/>
      <c r="BQ16" s="123"/>
      <c r="BR16" s="102" t="b">
        <f t="shared" si="12"/>
        <v>1</v>
      </c>
      <c r="BS16" s="102" t="str">
        <f t="shared" si="13"/>
        <v/>
      </c>
      <c r="BT16" s="102" t="str">
        <f t="shared" si="14"/>
        <v/>
      </c>
      <c r="BU16" s="102" t="b">
        <f t="shared" si="15"/>
        <v>1</v>
      </c>
      <c r="BV16" s="123"/>
      <c r="BW16" s="123"/>
    </row>
    <row r="17" spans="3:75" ht="12.75" customHeight="1" x14ac:dyDescent="0.25">
      <c r="C17" s="527">
        <v>1</v>
      </c>
      <c r="D17" s="528"/>
      <c r="E17" s="528"/>
      <c r="F17" s="853"/>
      <c r="G17" s="530"/>
      <c r="H17" s="529"/>
      <c r="I17" s="531" t="str">
        <f t="shared" si="0"/>
        <v/>
      </c>
      <c r="J17" s="529"/>
      <c r="K17" s="532"/>
      <c r="L17" s="740"/>
      <c r="M17" s="533" t="str">
        <f t="shared" ref="M17:M48" si="16">IF(D17&lt;&gt;INDEX(CONST_MonitoringApproach,3),"", IF(G17="","", CONST_tC&amp;"/"&amp;IF(G17="",CONST_t,G17)))</f>
        <v/>
      </c>
      <c r="N17" s="828"/>
      <c r="O17" s="992" t="s">
        <v>99</v>
      </c>
      <c r="P17" s="828"/>
      <c r="Q17" s="992" t="s">
        <v>99</v>
      </c>
      <c r="R17" s="828"/>
      <c r="S17" s="534" t="s">
        <v>99</v>
      </c>
      <c r="T17" s="535"/>
      <c r="U17" s="535" t="s">
        <v>99</v>
      </c>
      <c r="V17" s="536"/>
      <c r="W17" s="536"/>
      <c r="X17" s="536"/>
      <c r="Y17" s="536"/>
      <c r="Z17" s="536"/>
      <c r="AA17" s="536"/>
      <c r="AB17" s="535"/>
      <c r="AC17" s="535"/>
      <c r="AD17" s="536"/>
      <c r="AE17" s="536"/>
      <c r="AF17" s="536"/>
      <c r="AG17" s="536"/>
      <c r="AH17" s="536"/>
      <c r="AI17" s="536"/>
      <c r="AJ17" s="536"/>
      <c r="AK17" s="536"/>
      <c r="AL17" s="536"/>
      <c r="AM17" s="536"/>
      <c r="AN17" s="536"/>
      <c r="AO17" s="536"/>
      <c r="AP17" s="536"/>
      <c r="AQ17" s="536"/>
      <c r="AR17" s="536"/>
      <c r="AS17" s="536"/>
      <c r="AT17" s="536"/>
      <c r="AU17" s="537" t="str">
        <f t="shared" ref="AU17:AU48" si="17">IF($D17="","",IF(BR17=FALSE,CONST_ERR_Inconsistent,IF(COUNTIF(BS17:BU17,FALSE)&gt;0,CONST_ERR_Incomplete,SUM(BD17:BF17))))</f>
        <v/>
      </c>
      <c r="AV17" s="537" t="str">
        <f>IF(ISNUMBER(AU17),SUM(BH17:BJ17),"")</f>
        <v/>
      </c>
      <c r="AW17" s="535"/>
      <c r="AX17" s="538" t="str">
        <f>IF($D17="","",$F17*$H17/1000*(1-$R17/100))</f>
        <v/>
      </c>
      <c r="AY17" s="538" t="str">
        <f>IF($D17="","",$F17*$H17/1000*($R17/100))</f>
        <v/>
      </c>
      <c r="BA17" s="102" t="str">
        <f t="shared" ref="BA17:BA80" si="18">CONST_CNTR_SUM_CO2</f>
        <v>SUM_CO2</v>
      </c>
      <c r="BD17" s="124" t="str">
        <f t="shared" ref="BD17:BD48" si="19">IF($D17&lt;&gt;INDEX(CONST_MonitoringApproach,1),"",$F17*IF($K17=CONST_tCO2pTJ,$H17/1000,1)*$J17*IF($N17="",1,$N17/100)*(1-$R17/100))</f>
        <v/>
      </c>
      <c r="BE17" s="124" t="str">
        <f t="shared" ref="BE17:BE48" si="20">IF($D17&lt;&gt;INDEX(CONST_MonitoringApproach,2),"",$F17*IF($K17=CONST_tCO2pTJ,$H17/1000,1)*$J17*IF($P17="",1,$P17/100)*(1-$R17/100))</f>
        <v/>
      </c>
      <c r="BF17" s="124" t="str">
        <f t="shared" ref="BF17:BF48" si="21">IF($D17&lt;&gt;INDEX(CONST_MonitoringApproach,3),"",$F17*$L17*3.664*(1-$R17/100))</f>
        <v/>
      </c>
      <c r="BH17" s="124" t="str">
        <f t="shared" ref="BH17:BH48" si="22">IF($D17&lt;&gt;INDEX(CONST_MonitoringApproach,1),"",$F17*IF($K17=CONST_tCO2pTJ,$H17/1000,1)*$J17*IF($N17="",1,$N17/100)*($R17/100))</f>
        <v/>
      </c>
      <c r="BI17" s="124" t="str">
        <f t="shared" ref="BI17:BI48" si="23">IF($D17&lt;&gt;INDEX(CONST_MonitoringApproach,2),"",$F17*IF($K17=CONST_tCO2pTJ,$H17/1000,1)*$J17*IF($P17="",1,$P17/100)*($R17/100))</f>
        <v/>
      </c>
      <c r="BJ17" s="124" t="str">
        <f t="shared" ref="BJ17:BJ48" si="24">IF($D17&lt;&gt;INDEX(CONST_MonitoringApproach,3),"",$F17*$L17*3.664*($R17/100))</f>
        <v/>
      </c>
      <c r="BK17" s="125"/>
      <c r="BL17" s="124" t="str">
        <f t="shared" ref="BL17:BL80" si="25">IF($D17="","",MATCH($D17,CONST_MonitoringApproach,0)=3)</f>
        <v/>
      </c>
      <c r="BM17" s="124" t="str">
        <f t="shared" ref="BM17:BM80" si="26">IF($D17="","",MATCH($D17,CONST_MonitoringApproach,0)&lt;&gt;3)</f>
        <v/>
      </c>
      <c r="BN17" s="124" t="str">
        <f t="shared" ref="BN17:BN80" si="27">IF($D17="","",MATCH($D17,CONST_MonitoringApproach,0)&lt;&gt;1)</f>
        <v/>
      </c>
      <c r="BO17" s="124" t="str">
        <f t="shared" ref="BO17:BO80" si="28">IF($D17="","",MATCH($D17,CONST_MonitoringApproach,0)&lt;&gt;2)</f>
        <v/>
      </c>
      <c r="BP17" s="102" t="b">
        <f t="shared" ref="BP17:BP48" si="29">OR($K17&lt;&gt;CONST_tCO2pTJ,$D17=INDEX(CONST_MonitoringApproach,3))</f>
        <v>1</v>
      </c>
      <c r="BQ17" s="125"/>
      <c r="BR17" s="102" t="str">
        <f t="shared" ref="BR17:BR48" si="30">IF($D17="","",OR(AND($G17 = INDEX(CONST_torkNm3,1), $K17=INDEX(CONST_tCO2pTJOrtCO2pt,2)),AND($G17 = INDEX(CONST_torkNm3,2),$K17=INDEX(CONST_tCO2pTJOrtCO2pt,3)),$K17=INDEX(CONST_tCO2pTJOrtCO2pt,1),$D17=INDEX(CONST_MonitoringApproach,3)))</f>
        <v/>
      </c>
      <c r="BS17" s="102" t="str">
        <f t="shared" ref="BS17:BS48" si="31">IF($D17&lt;&gt;INDEX(CONST_MonitoringApproach,1),"", AND(COUNTA($E17,$G17,$K17)=3,COUNT($F17,$J17)=2,IF($K17=CONST_tCO2pTJ,ISNUMBER($H17),TRUE)))</f>
        <v/>
      </c>
      <c r="BT17" s="102" t="str">
        <f t="shared" ref="BT17:BT48" si="32">IF($D17&lt;&gt;INDEX(CONST_MonitoringApproach,2),"", AND(COUNTA($E17,$G17,$K17)=3,COUNT($F17,$J17)=2,IF($K17=CONST_tCO2pTJ,ISNUMBER($H17),TRUE)))</f>
        <v/>
      </c>
      <c r="BU17" s="102" t="str">
        <f t="shared" ref="BU17:BU48" si="33">IF($D17&lt;&gt;INDEX(CONST_MonitoringApproach,3),"",AND(COUNTA($E17,$G17)=2,COUNT($F17,$L17)=2))</f>
        <v/>
      </c>
      <c r="BV17" s="125"/>
      <c r="BW17" s="124" t="b">
        <f t="shared" ref="BW17:BW48" si="34">AND(CNTR_HasEntriesA,D17="")</f>
        <v>0</v>
      </c>
    </row>
    <row r="18" spans="3:75" ht="12.75" customHeight="1" x14ac:dyDescent="0.25">
      <c r="C18" s="539">
        <v>2</v>
      </c>
      <c r="D18" s="540"/>
      <c r="E18" s="540"/>
      <c r="F18" s="854"/>
      <c r="G18" s="542"/>
      <c r="H18" s="541"/>
      <c r="I18" s="543" t="str">
        <f t="shared" si="0"/>
        <v/>
      </c>
      <c r="J18" s="541"/>
      <c r="K18" s="544"/>
      <c r="L18" s="741"/>
      <c r="M18" s="545" t="str">
        <f t="shared" si="16"/>
        <v/>
      </c>
      <c r="N18" s="829"/>
      <c r="O18" s="993" t="s">
        <v>99</v>
      </c>
      <c r="P18" s="829"/>
      <c r="Q18" s="993" t="s">
        <v>99</v>
      </c>
      <c r="R18" s="829"/>
      <c r="S18" s="546" t="s">
        <v>99</v>
      </c>
      <c r="T18" s="547"/>
      <c r="U18" s="547" t="s">
        <v>99</v>
      </c>
      <c r="V18" s="548"/>
      <c r="W18" s="548"/>
      <c r="X18" s="548"/>
      <c r="Y18" s="548"/>
      <c r="Z18" s="548"/>
      <c r="AA18" s="548"/>
      <c r="AB18" s="547"/>
      <c r="AC18" s="547"/>
      <c r="AD18" s="548"/>
      <c r="AE18" s="548"/>
      <c r="AF18" s="548"/>
      <c r="AG18" s="548"/>
      <c r="AH18" s="548"/>
      <c r="AI18" s="548"/>
      <c r="AJ18" s="548"/>
      <c r="AK18" s="548"/>
      <c r="AL18" s="548"/>
      <c r="AM18" s="548"/>
      <c r="AN18" s="548"/>
      <c r="AO18" s="548"/>
      <c r="AP18" s="548"/>
      <c r="AQ18" s="548"/>
      <c r="AR18" s="548"/>
      <c r="AS18" s="548"/>
      <c r="AT18" s="548"/>
      <c r="AU18" s="549" t="str">
        <f t="shared" si="17"/>
        <v/>
      </c>
      <c r="AV18" s="549" t="str">
        <f t="shared" ref="AV18:AV81" si="35">IF(ISNUMBER(AU18),SUM(BH18:BJ18),"")</f>
        <v/>
      </c>
      <c r="AW18" s="547"/>
      <c r="AX18" s="550" t="str">
        <f t="shared" ref="AX18:AX81" si="36">IF($D18="","",$F18*$H18/1000*(1-$R18/100))</f>
        <v/>
      </c>
      <c r="AY18" s="550" t="str">
        <f t="shared" ref="AY18:AY81" si="37">IF($D18="","",$F18*$H18/1000*($R18/100))</f>
        <v/>
      </c>
      <c r="BA18" s="102" t="str">
        <f t="shared" si="18"/>
        <v>SUM_CO2</v>
      </c>
      <c r="BD18" s="124" t="str">
        <f t="shared" si="19"/>
        <v/>
      </c>
      <c r="BE18" s="124" t="str">
        <f t="shared" si="20"/>
        <v/>
      </c>
      <c r="BF18" s="124" t="str">
        <f t="shared" si="21"/>
        <v/>
      </c>
      <c r="BH18" s="124" t="str">
        <f t="shared" si="22"/>
        <v/>
      </c>
      <c r="BI18" s="124" t="str">
        <f t="shared" si="23"/>
        <v/>
      </c>
      <c r="BJ18" s="124" t="str">
        <f t="shared" si="24"/>
        <v/>
      </c>
      <c r="BK18" s="125"/>
      <c r="BL18" s="124" t="str">
        <f t="shared" si="25"/>
        <v/>
      </c>
      <c r="BM18" s="124" t="str">
        <f t="shared" si="26"/>
        <v/>
      </c>
      <c r="BN18" s="124" t="str">
        <f t="shared" si="27"/>
        <v/>
      </c>
      <c r="BO18" s="124" t="str">
        <f t="shared" si="28"/>
        <v/>
      </c>
      <c r="BP18" s="102" t="b">
        <f t="shared" si="29"/>
        <v>1</v>
      </c>
      <c r="BQ18" s="125"/>
      <c r="BR18" s="102" t="str">
        <f t="shared" si="30"/>
        <v/>
      </c>
      <c r="BS18" s="102" t="str">
        <f t="shared" si="31"/>
        <v/>
      </c>
      <c r="BT18" s="102" t="str">
        <f t="shared" si="32"/>
        <v/>
      </c>
      <c r="BU18" s="102" t="str">
        <f t="shared" si="33"/>
        <v/>
      </c>
      <c r="BW18" s="124" t="b">
        <f t="shared" si="34"/>
        <v>0</v>
      </c>
    </row>
    <row r="19" spans="3:75" ht="12.75" customHeight="1" x14ac:dyDescent="0.25">
      <c r="C19" s="539">
        <v>3</v>
      </c>
      <c r="D19" s="540"/>
      <c r="E19" s="540"/>
      <c r="F19" s="854"/>
      <c r="G19" s="542"/>
      <c r="H19" s="541"/>
      <c r="I19" s="543" t="str">
        <f t="shared" si="0"/>
        <v/>
      </c>
      <c r="J19" s="541"/>
      <c r="K19" s="544"/>
      <c r="L19" s="741"/>
      <c r="M19" s="545" t="str">
        <f t="shared" si="16"/>
        <v/>
      </c>
      <c r="N19" s="829"/>
      <c r="O19" s="993" t="s">
        <v>99</v>
      </c>
      <c r="P19" s="829"/>
      <c r="Q19" s="993" t="s">
        <v>99</v>
      </c>
      <c r="R19" s="829"/>
      <c r="S19" s="546" t="s">
        <v>99</v>
      </c>
      <c r="T19" s="547"/>
      <c r="U19" s="547" t="s">
        <v>99</v>
      </c>
      <c r="V19" s="548"/>
      <c r="W19" s="548"/>
      <c r="X19" s="548"/>
      <c r="Y19" s="548"/>
      <c r="Z19" s="548"/>
      <c r="AA19" s="548"/>
      <c r="AB19" s="547"/>
      <c r="AC19" s="547"/>
      <c r="AD19" s="548"/>
      <c r="AE19" s="548"/>
      <c r="AF19" s="548"/>
      <c r="AG19" s="548"/>
      <c r="AH19" s="548"/>
      <c r="AI19" s="548"/>
      <c r="AJ19" s="548"/>
      <c r="AK19" s="548"/>
      <c r="AL19" s="548"/>
      <c r="AM19" s="548"/>
      <c r="AN19" s="548"/>
      <c r="AO19" s="548"/>
      <c r="AP19" s="548"/>
      <c r="AQ19" s="548"/>
      <c r="AR19" s="548"/>
      <c r="AS19" s="548"/>
      <c r="AT19" s="548"/>
      <c r="AU19" s="549" t="str">
        <f t="shared" si="17"/>
        <v/>
      </c>
      <c r="AV19" s="549" t="str">
        <f t="shared" si="35"/>
        <v/>
      </c>
      <c r="AW19" s="547"/>
      <c r="AX19" s="550" t="str">
        <f t="shared" si="36"/>
        <v/>
      </c>
      <c r="AY19" s="550" t="str">
        <f t="shared" si="37"/>
        <v/>
      </c>
      <c r="BA19" s="102" t="str">
        <f t="shared" si="18"/>
        <v>SUM_CO2</v>
      </c>
      <c r="BD19" s="124" t="str">
        <f t="shared" si="19"/>
        <v/>
      </c>
      <c r="BE19" s="124" t="str">
        <f t="shared" si="20"/>
        <v/>
      </c>
      <c r="BF19" s="124" t="str">
        <f t="shared" si="21"/>
        <v/>
      </c>
      <c r="BH19" s="124" t="str">
        <f t="shared" si="22"/>
        <v/>
      </c>
      <c r="BI19" s="124" t="str">
        <f t="shared" si="23"/>
        <v/>
      </c>
      <c r="BJ19" s="124" t="str">
        <f t="shared" si="24"/>
        <v/>
      </c>
      <c r="BK19" s="125"/>
      <c r="BL19" s="124" t="str">
        <f t="shared" si="25"/>
        <v/>
      </c>
      <c r="BM19" s="124" t="str">
        <f t="shared" si="26"/>
        <v/>
      </c>
      <c r="BN19" s="124" t="str">
        <f t="shared" si="27"/>
        <v/>
      </c>
      <c r="BO19" s="124" t="str">
        <f t="shared" si="28"/>
        <v/>
      </c>
      <c r="BP19" s="102" t="b">
        <f t="shared" si="29"/>
        <v>1</v>
      </c>
      <c r="BQ19" s="125"/>
      <c r="BR19" s="102" t="str">
        <f t="shared" si="30"/>
        <v/>
      </c>
      <c r="BS19" s="102" t="str">
        <f t="shared" si="31"/>
        <v/>
      </c>
      <c r="BT19" s="102" t="str">
        <f t="shared" si="32"/>
        <v/>
      </c>
      <c r="BU19" s="102" t="str">
        <f t="shared" si="33"/>
        <v/>
      </c>
      <c r="BW19" s="124" t="b">
        <f t="shared" si="34"/>
        <v>0</v>
      </c>
    </row>
    <row r="20" spans="3:75" ht="12.75" customHeight="1" x14ac:dyDescent="0.25">
      <c r="C20" s="539">
        <v>4</v>
      </c>
      <c r="D20" s="540"/>
      <c r="E20" s="540"/>
      <c r="F20" s="854"/>
      <c r="G20" s="542"/>
      <c r="H20" s="541"/>
      <c r="I20" s="543" t="str">
        <f t="shared" si="0"/>
        <v/>
      </c>
      <c r="J20" s="541"/>
      <c r="K20" s="544"/>
      <c r="L20" s="741"/>
      <c r="M20" s="545" t="str">
        <f t="shared" si="16"/>
        <v/>
      </c>
      <c r="N20" s="829"/>
      <c r="O20" s="993" t="s">
        <v>99</v>
      </c>
      <c r="P20" s="829"/>
      <c r="Q20" s="993" t="s">
        <v>99</v>
      </c>
      <c r="R20" s="829"/>
      <c r="S20" s="546" t="s">
        <v>99</v>
      </c>
      <c r="T20" s="547"/>
      <c r="U20" s="547" t="s">
        <v>99</v>
      </c>
      <c r="V20" s="548"/>
      <c r="W20" s="548"/>
      <c r="X20" s="548"/>
      <c r="Y20" s="548"/>
      <c r="Z20" s="548"/>
      <c r="AA20" s="548"/>
      <c r="AB20" s="547"/>
      <c r="AC20" s="547"/>
      <c r="AD20" s="548"/>
      <c r="AE20" s="548"/>
      <c r="AF20" s="548"/>
      <c r="AG20" s="548"/>
      <c r="AH20" s="548"/>
      <c r="AI20" s="548"/>
      <c r="AJ20" s="548"/>
      <c r="AK20" s="548"/>
      <c r="AL20" s="548"/>
      <c r="AM20" s="548"/>
      <c r="AN20" s="548"/>
      <c r="AO20" s="548"/>
      <c r="AP20" s="548"/>
      <c r="AQ20" s="548"/>
      <c r="AR20" s="548"/>
      <c r="AS20" s="548"/>
      <c r="AT20" s="548"/>
      <c r="AU20" s="549" t="str">
        <f t="shared" si="17"/>
        <v/>
      </c>
      <c r="AV20" s="549" t="str">
        <f t="shared" si="35"/>
        <v/>
      </c>
      <c r="AW20" s="547"/>
      <c r="AX20" s="550" t="str">
        <f t="shared" si="36"/>
        <v/>
      </c>
      <c r="AY20" s="550" t="str">
        <f t="shared" si="37"/>
        <v/>
      </c>
      <c r="BA20" s="102" t="str">
        <f t="shared" si="18"/>
        <v>SUM_CO2</v>
      </c>
      <c r="BD20" s="124" t="str">
        <f t="shared" si="19"/>
        <v/>
      </c>
      <c r="BE20" s="124" t="str">
        <f t="shared" si="20"/>
        <v/>
      </c>
      <c r="BF20" s="124" t="str">
        <f t="shared" si="21"/>
        <v/>
      </c>
      <c r="BH20" s="124" t="str">
        <f t="shared" si="22"/>
        <v/>
      </c>
      <c r="BI20" s="124" t="str">
        <f t="shared" si="23"/>
        <v/>
      </c>
      <c r="BJ20" s="124" t="str">
        <f t="shared" si="24"/>
        <v/>
      </c>
      <c r="BK20" s="125"/>
      <c r="BL20" s="124" t="str">
        <f t="shared" si="25"/>
        <v/>
      </c>
      <c r="BM20" s="124" t="str">
        <f t="shared" si="26"/>
        <v/>
      </c>
      <c r="BN20" s="124" t="str">
        <f t="shared" si="27"/>
        <v/>
      </c>
      <c r="BO20" s="124" t="str">
        <f t="shared" si="28"/>
        <v/>
      </c>
      <c r="BP20" s="102" t="b">
        <f t="shared" si="29"/>
        <v>1</v>
      </c>
      <c r="BQ20" s="125"/>
      <c r="BR20" s="102" t="str">
        <f t="shared" si="30"/>
        <v/>
      </c>
      <c r="BS20" s="102" t="str">
        <f t="shared" si="31"/>
        <v/>
      </c>
      <c r="BT20" s="102" t="str">
        <f t="shared" si="32"/>
        <v/>
      </c>
      <c r="BU20" s="102" t="str">
        <f t="shared" si="33"/>
        <v/>
      </c>
      <c r="BW20" s="124" t="b">
        <f t="shared" si="34"/>
        <v>0</v>
      </c>
    </row>
    <row r="21" spans="3:75" ht="12.75" customHeight="1" x14ac:dyDescent="0.25">
      <c r="C21" s="539">
        <v>5</v>
      </c>
      <c r="D21" s="540"/>
      <c r="E21" s="540"/>
      <c r="F21" s="854"/>
      <c r="G21" s="542"/>
      <c r="H21" s="541"/>
      <c r="I21" s="543" t="str">
        <f t="shared" si="0"/>
        <v/>
      </c>
      <c r="J21" s="541"/>
      <c r="K21" s="544"/>
      <c r="L21" s="741"/>
      <c r="M21" s="545" t="str">
        <f t="shared" si="16"/>
        <v/>
      </c>
      <c r="N21" s="829"/>
      <c r="O21" s="993" t="s">
        <v>99</v>
      </c>
      <c r="P21" s="829"/>
      <c r="Q21" s="993" t="s">
        <v>99</v>
      </c>
      <c r="R21" s="829"/>
      <c r="S21" s="546" t="s">
        <v>99</v>
      </c>
      <c r="T21" s="547"/>
      <c r="U21" s="547" t="s">
        <v>99</v>
      </c>
      <c r="V21" s="548"/>
      <c r="W21" s="548"/>
      <c r="X21" s="548"/>
      <c r="Y21" s="548"/>
      <c r="Z21" s="548"/>
      <c r="AA21" s="548"/>
      <c r="AB21" s="547"/>
      <c r="AC21" s="547"/>
      <c r="AD21" s="548"/>
      <c r="AE21" s="548"/>
      <c r="AF21" s="548"/>
      <c r="AG21" s="548"/>
      <c r="AH21" s="548"/>
      <c r="AI21" s="548"/>
      <c r="AJ21" s="548"/>
      <c r="AK21" s="548"/>
      <c r="AL21" s="548"/>
      <c r="AM21" s="548"/>
      <c r="AN21" s="548"/>
      <c r="AO21" s="548"/>
      <c r="AP21" s="548"/>
      <c r="AQ21" s="548"/>
      <c r="AR21" s="548"/>
      <c r="AS21" s="548"/>
      <c r="AT21" s="548"/>
      <c r="AU21" s="549" t="str">
        <f t="shared" si="17"/>
        <v/>
      </c>
      <c r="AV21" s="549" t="str">
        <f t="shared" si="35"/>
        <v/>
      </c>
      <c r="AW21" s="547"/>
      <c r="AX21" s="550" t="str">
        <f t="shared" si="36"/>
        <v/>
      </c>
      <c r="AY21" s="550" t="str">
        <f t="shared" si="37"/>
        <v/>
      </c>
      <c r="BA21" s="102" t="str">
        <f t="shared" si="18"/>
        <v>SUM_CO2</v>
      </c>
      <c r="BD21" s="124" t="str">
        <f t="shared" si="19"/>
        <v/>
      </c>
      <c r="BE21" s="124" t="str">
        <f t="shared" si="20"/>
        <v/>
      </c>
      <c r="BF21" s="124" t="str">
        <f t="shared" si="21"/>
        <v/>
      </c>
      <c r="BH21" s="124" t="str">
        <f t="shared" si="22"/>
        <v/>
      </c>
      <c r="BI21" s="124" t="str">
        <f t="shared" si="23"/>
        <v/>
      </c>
      <c r="BJ21" s="124" t="str">
        <f t="shared" si="24"/>
        <v/>
      </c>
      <c r="BK21" s="125"/>
      <c r="BL21" s="124" t="str">
        <f t="shared" si="25"/>
        <v/>
      </c>
      <c r="BM21" s="124" t="str">
        <f t="shared" si="26"/>
        <v/>
      </c>
      <c r="BN21" s="124" t="str">
        <f t="shared" si="27"/>
        <v/>
      </c>
      <c r="BO21" s="124" t="str">
        <f t="shared" si="28"/>
        <v/>
      </c>
      <c r="BP21" s="102" t="b">
        <f t="shared" si="29"/>
        <v>1</v>
      </c>
      <c r="BQ21" s="125"/>
      <c r="BR21" s="102" t="str">
        <f t="shared" si="30"/>
        <v/>
      </c>
      <c r="BS21" s="102" t="str">
        <f t="shared" si="31"/>
        <v/>
      </c>
      <c r="BT21" s="102" t="str">
        <f t="shared" si="32"/>
        <v/>
      </c>
      <c r="BU21" s="102" t="str">
        <f t="shared" si="33"/>
        <v/>
      </c>
      <c r="BW21" s="124" t="b">
        <f t="shared" si="34"/>
        <v>0</v>
      </c>
    </row>
    <row r="22" spans="3:75" ht="12.75" customHeight="1" x14ac:dyDescent="0.25">
      <c r="C22" s="539">
        <v>6</v>
      </c>
      <c r="D22" s="540"/>
      <c r="E22" s="540"/>
      <c r="F22" s="854"/>
      <c r="G22" s="542"/>
      <c r="H22" s="541"/>
      <c r="I22" s="543" t="str">
        <f t="shared" si="0"/>
        <v/>
      </c>
      <c r="J22" s="541"/>
      <c r="K22" s="544"/>
      <c r="L22" s="741"/>
      <c r="M22" s="545" t="str">
        <f t="shared" si="16"/>
        <v/>
      </c>
      <c r="N22" s="829"/>
      <c r="O22" s="993" t="s">
        <v>99</v>
      </c>
      <c r="P22" s="829"/>
      <c r="Q22" s="993" t="s">
        <v>99</v>
      </c>
      <c r="R22" s="829"/>
      <c r="S22" s="546" t="s">
        <v>99</v>
      </c>
      <c r="T22" s="547"/>
      <c r="U22" s="547" t="s">
        <v>99</v>
      </c>
      <c r="V22" s="548"/>
      <c r="W22" s="548"/>
      <c r="X22" s="548"/>
      <c r="Y22" s="548"/>
      <c r="Z22" s="548"/>
      <c r="AA22" s="548"/>
      <c r="AB22" s="547"/>
      <c r="AC22" s="547"/>
      <c r="AD22" s="548"/>
      <c r="AE22" s="548"/>
      <c r="AF22" s="548"/>
      <c r="AG22" s="548"/>
      <c r="AH22" s="548"/>
      <c r="AI22" s="548"/>
      <c r="AJ22" s="548"/>
      <c r="AK22" s="548"/>
      <c r="AL22" s="548"/>
      <c r="AM22" s="548"/>
      <c r="AN22" s="548"/>
      <c r="AO22" s="548"/>
      <c r="AP22" s="548"/>
      <c r="AQ22" s="548"/>
      <c r="AR22" s="548"/>
      <c r="AS22" s="548"/>
      <c r="AT22" s="548"/>
      <c r="AU22" s="549" t="str">
        <f t="shared" si="17"/>
        <v/>
      </c>
      <c r="AV22" s="549" t="str">
        <f t="shared" si="35"/>
        <v/>
      </c>
      <c r="AW22" s="547"/>
      <c r="AX22" s="550" t="str">
        <f t="shared" si="36"/>
        <v/>
      </c>
      <c r="AY22" s="550" t="str">
        <f t="shared" si="37"/>
        <v/>
      </c>
      <c r="BA22" s="102" t="str">
        <f t="shared" si="18"/>
        <v>SUM_CO2</v>
      </c>
      <c r="BD22" s="124" t="str">
        <f t="shared" si="19"/>
        <v/>
      </c>
      <c r="BE22" s="124" t="str">
        <f t="shared" si="20"/>
        <v/>
      </c>
      <c r="BF22" s="124" t="str">
        <f t="shared" si="21"/>
        <v/>
      </c>
      <c r="BH22" s="124" t="str">
        <f t="shared" si="22"/>
        <v/>
      </c>
      <c r="BI22" s="124" t="str">
        <f t="shared" si="23"/>
        <v/>
      </c>
      <c r="BJ22" s="124" t="str">
        <f t="shared" si="24"/>
        <v/>
      </c>
      <c r="BK22" s="125"/>
      <c r="BL22" s="124" t="str">
        <f t="shared" si="25"/>
        <v/>
      </c>
      <c r="BM22" s="124" t="str">
        <f t="shared" si="26"/>
        <v/>
      </c>
      <c r="BN22" s="124" t="str">
        <f t="shared" si="27"/>
        <v/>
      </c>
      <c r="BO22" s="124" t="str">
        <f t="shared" si="28"/>
        <v/>
      </c>
      <c r="BP22" s="102" t="b">
        <f t="shared" si="29"/>
        <v>1</v>
      </c>
      <c r="BQ22" s="125"/>
      <c r="BR22" s="102" t="str">
        <f t="shared" si="30"/>
        <v/>
      </c>
      <c r="BS22" s="102" t="str">
        <f t="shared" si="31"/>
        <v/>
      </c>
      <c r="BT22" s="102" t="str">
        <f t="shared" si="32"/>
        <v/>
      </c>
      <c r="BU22" s="102" t="str">
        <f t="shared" si="33"/>
        <v/>
      </c>
      <c r="BW22" s="124" t="b">
        <f t="shared" si="34"/>
        <v>0</v>
      </c>
    </row>
    <row r="23" spans="3:75" ht="12.75" customHeight="1" x14ac:dyDescent="0.25">
      <c r="C23" s="539">
        <v>7</v>
      </c>
      <c r="D23" s="540"/>
      <c r="E23" s="540"/>
      <c r="F23" s="854"/>
      <c r="G23" s="542"/>
      <c r="H23" s="541"/>
      <c r="I23" s="543" t="str">
        <f t="shared" si="0"/>
        <v/>
      </c>
      <c r="J23" s="541"/>
      <c r="K23" s="544"/>
      <c r="L23" s="741"/>
      <c r="M23" s="545" t="str">
        <f t="shared" si="16"/>
        <v/>
      </c>
      <c r="N23" s="829"/>
      <c r="O23" s="993" t="s">
        <v>99</v>
      </c>
      <c r="P23" s="829"/>
      <c r="Q23" s="993" t="s">
        <v>99</v>
      </c>
      <c r="R23" s="829"/>
      <c r="S23" s="546" t="s">
        <v>99</v>
      </c>
      <c r="T23" s="547"/>
      <c r="U23" s="547" t="s">
        <v>99</v>
      </c>
      <c r="V23" s="548"/>
      <c r="W23" s="548"/>
      <c r="X23" s="548"/>
      <c r="Y23" s="548"/>
      <c r="Z23" s="548"/>
      <c r="AA23" s="548"/>
      <c r="AB23" s="547"/>
      <c r="AC23" s="547"/>
      <c r="AD23" s="548"/>
      <c r="AE23" s="548"/>
      <c r="AF23" s="548"/>
      <c r="AG23" s="548"/>
      <c r="AH23" s="548"/>
      <c r="AI23" s="548"/>
      <c r="AJ23" s="548"/>
      <c r="AK23" s="548"/>
      <c r="AL23" s="548"/>
      <c r="AM23" s="548"/>
      <c r="AN23" s="548"/>
      <c r="AO23" s="548"/>
      <c r="AP23" s="548"/>
      <c r="AQ23" s="548"/>
      <c r="AR23" s="548"/>
      <c r="AS23" s="548"/>
      <c r="AT23" s="548"/>
      <c r="AU23" s="549" t="str">
        <f t="shared" si="17"/>
        <v/>
      </c>
      <c r="AV23" s="549" t="str">
        <f t="shared" si="35"/>
        <v/>
      </c>
      <c r="AW23" s="547"/>
      <c r="AX23" s="550" t="str">
        <f t="shared" si="36"/>
        <v/>
      </c>
      <c r="AY23" s="550" t="str">
        <f t="shared" si="37"/>
        <v/>
      </c>
      <c r="BA23" s="102" t="str">
        <f t="shared" si="18"/>
        <v>SUM_CO2</v>
      </c>
      <c r="BD23" s="124" t="str">
        <f t="shared" si="19"/>
        <v/>
      </c>
      <c r="BE23" s="124" t="str">
        <f t="shared" si="20"/>
        <v/>
      </c>
      <c r="BF23" s="124" t="str">
        <f t="shared" si="21"/>
        <v/>
      </c>
      <c r="BH23" s="124" t="str">
        <f t="shared" si="22"/>
        <v/>
      </c>
      <c r="BI23" s="124" t="str">
        <f t="shared" si="23"/>
        <v/>
      </c>
      <c r="BJ23" s="124" t="str">
        <f t="shared" si="24"/>
        <v/>
      </c>
      <c r="BK23" s="125"/>
      <c r="BL23" s="124" t="str">
        <f t="shared" si="25"/>
        <v/>
      </c>
      <c r="BM23" s="124" t="str">
        <f t="shared" si="26"/>
        <v/>
      </c>
      <c r="BN23" s="124" t="str">
        <f t="shared" si="27"/>
        <v/>
      </c>
      <c r="BO23" s="124" t="str">
        <f t="shared" si="28"/>
        <v/>
      </c>
      <c r="BP23" s="102" t="b">
        <f t="shared" si="29"/>
        <v>1</v>
      </c>
      <c r="BQ23" s="125"/>
      <c r="BR23" s="102" t="str">
        <f t="shared" si="30"/>
        <v/>
      </c>
      <c r="BS23" s="102" t="str">
        <f t="shared" si="31"/>
        <v/>
      </c>
      <c r="BT23" s="102" t="str">
        <f t="shared" si="32"/>
        <v/>
      </c>
      <c r="BU23" s="102" t="str">
        <f t="shared" si="33"/>
        <v/>
      </c>
      <c r="BW23" s="124" t="b">
        <f t="shared" si="34"/>
        <v>0</v>
      </c>
    </row>
    <row r="24" spans="3:75" ht="12.75" customHeight="1" x14ac:dyDescent="0.25">
      <c r="C24" s="539">
        <v>8</v>
      </c>
      <c r="D24" s="540"/>
      <c r="E24" s="540"/>
      <c r="F24" s="854"/>
      <c r="G24" s="542"/>
      <c r="H24" s="541"/>
      <c r="I24" s="543" t="str">
        <f t="shared" si="0"/>
        <v/>
      </c>
      <c r="J24" s="541"/>
      <c r="K24" s="544"/>
      <c r="L24" s="741"/>
      <c r="M24" s="545" t="str">
        <f t="shared" si="16"/>
        <v/>
      </c>
      <c r="N24" s="829"/>
      <c r="O24" s="993" t="s">
        <v>99</v>
      </c>
      <c r="P24" s="829"/>
      <c r="Q24" s="993" t="s">
        <v>99</v>
      </c>
      <c r="R24" s="829"/>
      <c r="S24" s="546" t="s">
        <v>99</v>
      </c>
      <c r="T24" s="547"/>
      <c r="U24" s="547" t="s">
        <v>99</v>
      </c>
      <c r="V24" s="548"/>
      <c r="W24" s="548"/>
      <c r="X24" s="548"/>
      <c r="Y24" s="548"/>
      <c r="Z24" s="548"/>
      <c r="AA24" s="548"/>
      <c r="AB24" s="547"/>
      <c r="AC24" s="547"/>
      <c r="AD24" s="548"/>
      <c r="AE24" s="548"/>
      <c r="AF24" s="548"/>
      <c r="AG24" s="548"/>
      <c r="AH24" s="548"/>
      <c r="AI24" s="548"/>
      <c r="AJ24" s="548"/>
      <c r="AK24" s="548"/>
      <c r="AL24" s="548"/>
      <c r="AM24" s="548"/>
      <c r="AN24" s="548"/>
      <c r="AO24" s="548"/>
      <c r="AP24" s="548"/>
      <c r="AQ24" s="548"/>
      <c r="AR24" s="548"/>
      <c r="AS24" s="548"/>
      <c r="AT24" s="548"/>
      <c r="AU24" s="549" t="str">
        <f t="shared" si="17"/>
        <v/>
      </c>
      <c r="AV24" s="549" t="str">
        <f t="shared" si="35"/>
        <v/>
      </c>
      <c r="AW24" s="547"/>
      <c r="AX24" s="550" t="str">
        <f t="shared" si="36"/>
        <v/>
      </c>
      <c r="AY24" s="550" t="str">
        <f t="shared" si="37"/>
        <v/>
      </c>
      <c r="BA24" s="102" t="str">
        <f t="shared" si="18"/>
        <v>SUM_CO2</v>
      </c>
      <c r="BD24" s="124" t="str">
        <f t="shared" si="19"/>
        <v/>
      </c>
      <c r="BE24" s="124" t="str">
        <f t="shared" si="20"/>
        <v/>
      </c>
      <c r="BF24" s="124" t="str">
        <f t="shared" si="21"/>
        <v/>
      </c>
      <c r="BH24" s="124" t="str">
        <f t="shared" si="22"/>
        <v/>
      </c>
      <c r="BI24" s="124" t="str">
        <f t="shared" si="23"/>
        <v/>
      </c>
      <c r="BJ24" s="124" t="str">
        <f t="shared" si="24"/>
        <v/>
      </c>
      <c r="BK24" s="125"/>
      <c r="BL24" s="124" t="str">
        <f t="shared" si="25"/>
        <v/>
      </c>
      <c r="BM24" s="124" t="str">
        <f t="shared" si="26"/>
        <v/>
      </c>
      <c r="BN24" s="124" t="str">
        <f t="shared" si="27"/>
        <v/>
      </c>
      <c r="BO24" s="124" t="str">
        <f t="shared" si="28"/>
        <v/>
      </c>
      <c r="BP24" s="102" t="b">
        <f t="shared" si="29"/>
        <v>1</v>
      </c>
      <c r="BQ24" s="125"/>
      <c r="BR24" s="102" t="str">
        <f t="shared" si="30"/>
        <v/>
      </c>
      <c r="BS24" s="102" t="str">
        <f t="shared" si="31"/>
        <v/>
      </c>
      <c r="BT24" s="102" t="str">
        <f t="shared" si="32"/>
        <v/>
      </c>
      <c r="BU24" s="102" t="str">
        <f t="shared" si="33"/>
        <v/>
      </c>
      <c r="BW24" s="124" t="b">
        <f t="shared" si="34"/>
        <v>0</v>
      </c>
    </row>
    <row r="25" spans="3:75" ht="12.75" customHeight="1" x14ac:dyDescent="0.25">
      <c r="C25" s="539">
        <v>9</v>
      </c>
      <c r="D25" s="540"/>
      <c r="E25" s="540"/>
      <c r="F25" s="854"/>
      <c r="G25" s="542"/>
      <c r="H25" s="541"/>
      <c r="I25" s="543" t="str">
        <f t="shared" si="0"/>
        <v/>
      </c>
      <c r="J25" s="541"/>
      <c r="K25" s="544"/>
      <c r="L25" s="741"/>
      <c r="M25" s="545" t="str">
        <f t="shared" si="16"/>
        <v/>
      </c>
      <c r="N25" s="829"/>
      <c r="O25" s="993" t="s">
        <v>99</v>
      </c>
      <c r="P25" s="829"/>
      <c r="Q25" s="993" t="s">
        <v>99</v>
      </c>
      <c r="R25" s="829"/>
      <c r="S25" s="546" t="s">
        <v>99</v>
      </c>
      <c r="T25" s="547"/>
      <c r="U25" s="547" t="s">
        <v>99</v>
      </c>
      <c r="V25" s="548"/>
      <c r="W25" s="548"/>
      <c r="X25" s="548"/>
      <c r="Y25" s="548"/>
      <c r="Z25" s="548"/>
      <c r="AA25" s="548"/>
      <c r="AB25" s="547"/>
      <c r="AC25" s="547"/>
      <c r="AD25" s="548"/>
      <c r="AE25" s="548"/>
      <c r="AF25" s="548"/>
      <c r="AG25" s="548"/>
      <c r="AH25" s="548"/>
      <c r="AI25" s="548"/>
      <c r="AJ25" s="548"/>
      <c r="AK25" s="548"/>
      <c r="AL25" s="548"/>
      <c r="AM25" s="548"/>
      <c r="AN25" s="548"/>
      <c r="AO25" s="548"/>
      <c r="AP25" s="548"/>
      <c r="AQ25" s="548"/>
      <c r="AR25" s="548"/>
      <c r="AS25" s="548"/>
      <c r="AT25" s="548"/>
      <c r="AU25" s="549" t="str">
        <f t="shared" si="17"/>
        <v/>
      </c>
      <c r="AV25" s="549" t="str">
        <f t="shared" si="35"/>
        <v/>
      </c>
      <c r="AW25" s="547"/>
      <c r="AX25" s="550" t="str">
        <f t="shared" si="36"/>
        <v/>
      </c>
      <c r="AY25" s="550" t="str">
        <f t="shared" si="37"/>
        <v/>
      </c>
      <c r="BA25" s="102" t="str">
        <f t="shared" si="18"/>
        <v>SUM_CO2</v>
      </c>
      <c r="BD25" s="124" t="str">
        <f t="shared" si="19"/>
        <v/>
      </c>
      <c r="BE25" s="124" t="str">
        <f t="shared" si="20"/>
        <v/>
      </c>
      <c r="BF25" s="124" t="str">
        <f t="shared" si="21"/>
        <v/>
      </c>
      <c r="BH25" s="124" t="str">
        <f t="shared" si="22"/>
        <v/>
      </c>
      <c r="BI25" s="124" t="str">
        <f t="shared" si="23"/>
        <v/>
      </c>
      <c r="BJ25" s="124" t="str">
        <f t="shared" si="24"/>
        <v/>
      </c>
      <c r="BK25" s="125"/>
      <c r="BL25" s="124" t="str">
        <f t="shared" si="25"/>
        <v/>
      </c>
      <c r="BM25" s="124" t="str">
        <f t="shared" si="26"/>
        <v/>
      </c>
      <c r="BN25" s="124" t="str">
        <f t="shared" si="27"/>
        <v/>
      </c>
      <c r="BO25" s="124" t="str">
        <f t="shared" si="28"/>
        <v/>
      </c>
      <c r="BP25" s="102" t="b">
        <f t="shared" si="29"/>
        <v>1</v>
      </c>
      <c r="BQ25" s="125"/>
      <c r="BR25" s="102" t="str">
        <f t="shared" si="30"/>
        <v/>
      </c>
      <c r="BS25" s="102" t="str">
        <f t="shared" si="31"/>
        <v/>
      </c>
      <c r="BT25" s="102" t="str">
        <f t="shared" si="32"/>
        <v/>
      </c>
      <c r="BU25" s="102" t="str">
        <f t="shared" si="33"/>
        <v/>
      </c>
      <c r="BW25" s="124" t="b">
        <f t="shared" si="34"/>
        <v>0</v>
      </c>
    </row>
    <row r="26" spans="3:75" ht="12.75" customHeight="1" x14ac:dyDescent="0.25">
      <c r="C26" s="539">
        <v>10</v>
      </c>
      <c r="D26" s="540"/>
      <c r="E26" s="540"/>
      <c r="F26" s="854"/>
      <c r="G26" s="542"/>
      <c r="H26" s="541"/>
      <c r="I26" s="543" t="str">
        <f t="shared" si="0"/>
        <v/>
      </c>
      <c r="J26" s="541"/>
      <c r="K26" s="544"/>
      <c r="L26" s="741"/>
      <c r="M26" s="545" t="str">
        <f t="shared" si="16"/>
        <v/>
      </c>
      <c r="N26" s="829"/>
      <c r="O26" s="993" t="s">
        <v>99</v>
      </c>
      <c r="P26" s="829"/>
      <c r="Q26" s="993" t="s">
        <v>99</v>
      </c>
      <c r="R26" s="829"/>
      <c r="S26" s="546" t="s">
        <v>99</v>
      </c>
      <c r="T26" s="547"/>
      <c r="U26" s="547" t="s">
        <v>99</v>
      </c>
      <c r="V26" s="548"/>
      <c r="W26" s="548"/>
      <c r="X26" s="548"/>
      <c r="Y26" s="548"/>
      <c r="Z26" s="548"/>
      <c r="AA26" s="548"/>
      <c r="AB26" s="547"/>
      <c r="AC26" s="547"/>
      <c r="AD26" s="548"/>
      <c r="AE26" s="548"/>
      <c r="AF26" s="548"/>
      <c r="AG26" s="548"/>
      <c r="AH26" s="548"/>
      <c r="AI26" s="548"/>
      <c r="AJ26" s="548"/>
      <c r="AK26" s="548"/>
      <c r="AL26" s="548"/>
      <c r="AM26" s="548"/>
      <c r="AN26" s="548"/>
      <c r="AO26" s="548"/>
      <c r="AP26" s="548"/>
      <c r="AQ26" s="548"/>
      <c r="AR26" s="548"/>
      <c r="AS26" s="548"/>
      <c r="AT26" s="548"/>
      <c r="AU26" s="549" t="str">
        <f t="shared" si="17"/>
        <v/>
      </c>
      <c r="AV26" s="549" t="str">
        <f t="shared" si="35"/>
        <v/>
      </c>
      <c r="AW26" s="547"/>
      <c r="AX26" s="550" t="str">
        <f t="shared" si="36"/>
        <v/>
      </c>
      <c r="AY26" s="550" t="str">
        <f t="shared" si="37"/>
        <v/>
      </c>
      <c r="BA26" s="102" t="str">
        <f t="shared" si="18"/>
        <v>SUM_CO2</v>
      </c>
      <c r="BD26" s="124" t="str">
        <f t="shared" si="19"/>
        <v/>
      </c>
      <c r="BE26" s="124" t="str">
        <f t="shared" si="20"/>
        <v/>
      </c>
      <c r="BF26" s="124" t="str">
        <f t="shared" si="21"/>
        <v/>
      </c>
      <c r="BH26" s="124" t="str">
        <f t="shared" si="22"/>
        <v/>
      </c>
      <c r="BI26" s="124" t="str">
        <f t="shared" si="23"/>
        <v/>
      </c>
      <c r="BJ26" s="124" t="str">
        <f t="shared" si="24"/>
        <v/>
      </c>
      <c r="BK26" s="125"/>
      <c r="BL26" s="124" t="str">
        <f t="shared" si="25"/>
        <v/>
      </c>
      <c r="BM26" s="124" t="str">
        <f t="shared" si="26"/>
        <v/>
      </c>
      <c r="BN26" s="124" t="str">
        <f t="shared" si="27"/>
        <v/>
      </c>
      <c r="BO26" s="124" t="str">
        <f t="shared" si="28"/>
        <v/>
      </c>
      <c r="BP26" s="102" t="b">
        <f t="shared" si="29"/>
        <v>1</v>
      </c>
      <c r="BQ26" s="125"/>
      <c r="BR26" s="102" t="str">
        <f t="shared" si="30"/>
        <v/>
      </c>
      <c r="BS26" s="102" t="str">
        <f t="shared" si="31"/>
        <v/>
      </c>
      <c r="BT26" s="102" t="str">
        <f t="shared" si="32"/>
        <v/>
      </c>
      <c r="BU26" s="102" t="str">
        <f t="shared" si="33"/>
        <v/>
      </c>
      <c r="BW26" s="124" t="b">
        <f t="shared" si="34"/>
        <v>0</v>
      </c>
    </row>
    <row r="27" spans="3:75" ht="12.75" customHeight="1" x14ac:dyDescent="0.25">
      <c r="C27" s="539">
        <v>11</v>
      </c>
      <c r="D27" s="540"/>
      <c r="E27" s="540"/>
      <c r="F27" s="854"/>
      <c r="G27" s="542"/>
      <c r="H27" s="541"/>
      <c r="I27" s="543" t="str">
        <f t="shared" si="0"/>
        <v/>
      </c>
      <c r="J27" s="541"/>
      <c r="K27" s="544"/>
      <c r="L27" s="741"/>
      <c r="M27" s="545" t="str">
        <f t="shared" si="16"/>
        <v/>
      </c>
      <c r="N27" s="829"/>
      <c r="O27" s="993" t="s">
        <v>99</v>
      </c>
      <c r="P27" s="829"/>
      <c r="Q27" s="993" t="s">
        <v>99</v>
      </c>
      <c r="R27" s="829"/>
      <c r="S27" s="546" t="s">
        <v>99</v>
      </c>
      <c r="T27" s="547"/>
      <c r="U27" s="547" t="s">
        <v>99</v>
      </c>
      <c r="V27" s="548"/>
      <c r="W27" s="548"/>
      <c r="X27" s="548"/>
      <c r="Y27" s="548"/>
      <c r="Z27" s="548"/>
      <c r="AA27" s="548"/>
      <c r="AB27" s="547"/>
      <c r="AC27" s="547"/>
      <c r="AD27" s="548"/>
      <c r="AE27" s="548"/>
      <c r="AF27" s="548"/>
      <c r="AG27" s="548"/>
      <c r="AH27" s="548"/>
      <c r="AI27" s="548"/>
      <c r="AJ27" s="548"/>
      <c r="AK27" s="548"/>
      <c r="AL27" s="548"/>
      <c r="AM27" s="548"/>
      <c r="AN27" s="548"/>
      <c r="AO27" s="548"/>
      <c r="AP27" s="548"/>
      <c r="AQ27" s="548"/>
      <c r="AR27" s="548"/>
      <c r="AS27" s="548"/>
      <c r="AT27" s="548"/>
      <c r="AU27" s="549" t="str">
        <f t="shared" si="17"/>
        <v/>
      </c>
      <c r="AV27" s="549" t="str">
        <f t="shared" si="35"/>
        <v/>
      </c>
      <c r="AW27" s="547"/>
      <c r="AX27" s="550" t="str">
        <f t="shared" si="36"/>
        <v/>
      </c>
      <c r="AY27" s="550" t="str">
        <f t="shared" si="37"/>
        <v/>
      </c>
      <c r="BA27" s="102" t="str">
        <f t="shared" si="18"/>
        <v>SUM_CO2</v>
      </c>
      <c r="BD27" s="124" t="str">
        <f t="shared" si="19"/>
        <v/>
      </c>
      <c r="BE27" s="124" t="str">
        <f t="shared" si="20"/>
        <v/>
      </c>
      <c r="BF27" s="124" t="str">
        <f t="shared" si="21"/>
        <v/>
      </c>
      <c r="BH27" s="124" t="str">
        <f t="shared" si="22"/>
        <v/>
      </c>
      <c r="BI27" s="124" t="str">
        <f t="shared" si="23"/>
        <v/>
      </c>
      <c r="BJ27" s="124" t="str">
        <f t="shared" si="24"/>
        <v/>
      </c>
      <c r="BK27" s="125"/>
      <c r="BL27" s="124" t="str">
        <f t="shared" si="25"/>
        <v/>
      </c>
      <c r="BM27" s="124" t="str">
        <f t="shared" si="26"/>
        <v/>
      </c>
      <c r="BN27" s="124" t="str">
        <f t="shared" si="27"/>
        <v/>
      </c>
      <c r="BO27" s="124" t="str">
        <f t="shared" si="28"/>
        <v/>
      </c>
      <c r="BP27" s="102" t="b">
        <f t="shared" si="29"/>
        <v>1</v>
      </c>
      <c r="BQ27" s="125"/>
      <c r="BR27" s="102" t="str">
        <f t="shared" si="30"/>
        <v/>
      </c>
      <c r="BS27" s="102" t="str">
        <f t="shared" si="31"/>
        <v/>
      </c>
      <c r="BT27" s="102" t="str">
        <f t="shared" si="32"/>
        <v/>
      </c>
      <c r="BU27" s="102" t="str">
        <f t="shared" si="33"/>
        <v/>
      </c>
      <c r="BW27" s="124" t="b">
        <f t="shared" si="34"/>
        <v>0</v>
      </c>
    </row>
    <row r="28" spans="3:75" ht="12.75" customHeight="1" x14ac:dyDescent="0.25">
      <c r="C28" s="539">
        <v>12</v>
      </c>
      <c r="D28" s="540"/>
      <c r="E28" s="540"/>
      <c r="F28" s="854"/>
      <c r="G28" s="542"/>
      <c r="H28" s="541"/>
      <c r="I28" s="543" t="str">
        <f t="shared" si="0"/>
        <v/>
      </c>
      <c r="J28" s="541"/>
      <c r="K28" s="544"/>
      <c r="L28" s="741"/>
      <c r="M28" s="545" t="str">
        <f t="shared" si="16"/>
        <v/>
      </c>
      <c r="N28" s="829"/>
      <c r="O28" s="993" t="s">
        <v>99</v>
      </c>
      <c r="P28" s="829"/>
      <c r="Q28" s="993" t="s">
        <v>99</v>
      </c>
      <c r="R28" s="829"/>
      <c r="S28" s="546" t="s">
        <v>99</v>
      </c>
      <c r="T28" s="547"/>
      <c r="U28" s="547" t="s">
        <v>99</v>
      </c>
      <c r="V28" s="548"/>
      <c r="W28" s="548"/>
      <c r="X28" s="548"/>
      <c r="Y28" s="548"/>
      <c r="Z28" s="548"/>
      <c r="AA28" s="548"/>
      <c r="AB28" s="547"/>
      <c r="AC28" s="547"/>
      <c r="AD28" s="548"/>
      <c r="AE28" s="548"/>
      <c r="AF28" s="548"/>
      <c r="AG28" s="548"/>
      <c r="AH28" s="548"/>
      <c r="AI28" s="548"/>
      <c r="AJ28" s="548"/>
      <c r="AK28" s="548"/>
      <c r="AL28" s="548"/>
      <c r="AM28" s="548"/>
      <c r="AN28" s="548"/>
      <c r="AO28" s="548"/>
      <c r="AP28" s="548"/>
      <c r="AQ28" s="548"/>
      <c r="AR28" s="548"/>
      <c r="AS28" s="548"/>
      <c r="AT28" s="548"/>
      <c r="AU28" s="549" t="str">
        <f t="shared" si="17"/>
        <v/>
      </c>
      <c r="AV28" s="549" t="str">
        <f t="shared" si="35"/>
        <v/>
      </c>
      <c r="AW28" s="547"/>
      <c r="AX28" s="550" t="str">
        <f t="shared" si="36"/>
        <v/>
      </c>
      <c r="AY28" s="550" t="str">
        <f t="shared" si="37"/>
        <v/>
      </c>
      <c r="BA28" s="102" t="str">
        <f t="shared" si="18"/>
        <v>SUM_CO2</v>
      </c>
      <c r="BD28" s="124" t="str">
        <f t="shared" si="19"/>
        <v/>
      </c>
      <c r="BE28" s="124" t="str">
        <f t="shared" si="20"/>
        <v/>
      </c>
      <c r="BF28" s="124" t="str">
        <f t="shared" si="21"/>
        <v/>
      </c>
      <c r="BH28" s="124" t="str">
        <f t="shared" si="22"/>
        <v/>
      </c>
      <c r="BI28" s="124" t="str">
        <f t="shared" si="23"/>
        <v/>
      </c>
      <c r="BJ28" s="124" t="str">
        <f t="shared" si="24"/>
        <v/>
      </c>
      <c r="BK28" s="125"/>
      <c r="BL28" s="124" t="str">
        <f t="shared" si="25"/>
        <v/>
      </c>
      <c r="BM28" s="124" t="str">
        <f t="shared" si="26"/>
        <v/>
      </c>
      <c r="BN28" s="124" t="str">
        <f t="shared" si="27"/>
        <v/>
      </c>
      <c r="BO28" s="124" t="str">
        <f t="shared" si="28"/>
        <v/>
      </c>
      <c r="BP28" s="102" t="b">
        <f t="shared" si="29"/>
        <v>1</v>
      </c>
      <c r="BQ28" s="125"/>
      <c r="BR28" s="102" t="str">
        <f t="shared" si="30"/>
        <v/>
      </c>
      <c r="BS28" s="102" t="str">
        <f t="shared" si="31"/>
        <v/>
      </c>
      <c r="BT28" s="102" t="str">
        <f t="shared" si="32"/>
        <v/>
      </c>
      <c r="BU28" s="102" t="str">
        <f t="shared" si="33"/>
        <v/>
      </c>
      <c r="BW28" s="124" t="b">
        <f t="shared" si="34"/>
        <v>0</v>
      </c>
    </row>
    <row r="29" spans="3:75" ht="12.75" customHeight="1" x14ac:dyDescent="0.25">
      <c r="C29" s="539">
        <v>13</v>
      </c>
      <c r="D29" s="540"/>
      <c r="E29" s="540"/>
      <c r="F29" s="854"/>
      <c r="G29" s="542"/>
      <c r="H29" s="541"/>
      <c r="I29" s="543" t="str">
        <f t="shared" si="0"/>
        <v/>
      </c>
      <c r="J29" s="541"/>
      <c r="K29" s="544"/>
      <c r="L29" s="741"/>
      <c r="M29" s="545" t="str">
        <f t="shared" si="16"/>
        <v/>
      </c>
      <c r="N29" s="829"/>
      <c r="O29" s="993" t="s">
        <v>99</v>
      </c>
      <c r="P29" s="829"/>
      <c r="Q29" s="993" t="s">
        <v>99</v>
      </c>
      <c r="R29" s="829"/>
      <c r="S29" s="546" t="s">
        <v>99</v>
      </c>
      <c r="T29" s="547"/>
      <c r="U29" s="547" t="s">
        <v>99</v>
      </c>
      <c r="V29" s="548"/>
      <c r="W29" s="548"/>
      <c r="X29" s="548"/>
      <c r="Y29" s="548"/>
      <c r="Z29" s="548"/>
      <c r="AA29" s="548"/>
      <c r="AB29" s="547"/>
      <c r="AC29" s="547"/>
      <c r="AD29" s="548"/>
      <c r="AE29" s="548"/>
      <c r="AF29" s="548"/>
      <c r="AG29" s="548"/>
      <c r="AH29" s="548"/>
      <c r="AI29" s="548"/>
      <c r="AJ29" s="548"/>
      <c r="AK29" s="548"/>
      <c r="AL29" s="548"/>
      <c r="AM29" s="548"/>
      <c r="AN29" s="548"/>
      <c r="AO29" s="548"/>
      <c r="AP29" s="548"/>
      <c r="AQ29" s="548"/>
      <c r="AR29" s="548"/>
      <c r="AS29" s="548"/>
      <c r="AT29" s="548"/>
      <c r="AU29" s="549" t="str">
        <f t="shared" si="17"/>
        <v/>
      </c>
      <c r="AV29" s="549" t="str">
        <f t="shared" si="35"/>
        <v/>
      </c>
      <c r="AW29" s="547"/>
      <c r="AX29" s="550" t="str">
        <f t="shared" si="36"/>
        <v/>
      </c>
      <c r="AY29" s="550" t="str">
        <f t="shared" si="37"/>
        <v/>
      </c>
      <c r="BA29" s="102" t="str">
        <f t="shared" si="18"/>
        <v>SUM_CO2</v>
      </c>
      <c r="BD29" s="124" t="str">
        <f t="shared" si="19"/>
        <v/>
      </c>
      <c r="BE29" s="124" t="str">
        <f t="shared" si="20"/>
        <v/>
      </c>
      <c r="BF29" s="124" t="str">
        <f t="shared" si="21"/>
        <v/>
      </c>
      <c r="BH29" s="124" t="str">
        <f t="shared" si="22"/>
        <v/>
      </c>
      <c r="BI29" s="124" t="str">
        <f t="shared" si="23"/>
        <v/>
      </c>
      <c r="BJ29" s="124" t="str">
        <f t="shared" si="24"/>
        <v/>
      </c>
      <c r="BK29" s="125"/>
      <c r="BL29" s="124" t="str">
        <f t="shared" si="25"/>
        <v/>
      </c>
      <c r="BM29" s="124" t="str">
        <f t="shared" si="26"/>
        <v/>
      </c>
      <c r="BN29" s="124" t="str">
        <f t="shared" si="27"/>
        <v/>
      </c>
      <c r="BO29" s="124" t="str">
        <f t="shared" si="28"/>
        <v/>
      </c>
      <c r="BP29" s="102" t="b">
        <f t="shared" si="29"/>
        <v>1</v>
      </c>
      <c r="BQ29" s="125"/>
      <c r="BR29" s="102" t="str">
        <f t="shared" si="30"/>
        <v/>
      </c>
      <c r="BS29" s="102" t="str">
        <f t="shared" si="31"/>
        <v/>
      </c>
      <c r="BT29" s="102" t="str">
        <f t="shared" si="32"/>
        <v/>
      </c>
      <c r="BU29" s="102" t="str">
        <f t="shared" si="33"/>
        <v/>
      </c>
      <c r="BW29" s="124" t="b">
        <f t="shared" si="34"/>
        <v>0</v>
      </c>
    </row>
    <row r="30" spans="3:75" ht="12.75" customHeight="1" x14ac:dyDescent="0.25">
      <c r="C30" s="539">
        <v>14</v>
      </c>
      <c r="D30" s="540"/>
      <c r="E30" s="540"/>
      <c r="F30" s="854"/>
      <c r="G30" s="542"/>
      <c r="H30" s="541"/>
      <c r="I30" s="543" t="str">
        <f t="shared" si="0"/>
        <v/>
      </c>
      <c r="J30" s="541"/>
      <c r="K30" s="544"/>
      <c r="L30" s="741"/>
      <c r="M30" s="545" t="str">
        <f t="shared" si="16"/>
        <v/>
      </c>
      <c r="N30" s="829"/>
      <c r="O30" s="993" t="s">
        <v>99</v>
      </c>
      <c r="P30" s="829"/>
      <c r="Q30" s="993" t="s">
        <v>99</v>
      </c>
      <c r="R30" s="829"/>
      <c r="S30" s="546" t="s">
        <v>99</v>
      </c>
      <c r="T30" s="547"/>
      <c r="U30" s="547" t="s">
        <v>99</v>
      </c>
      <c r="V30" s="548"/>
      <c r="W30" s="548"/>
      <c r="X30" s="548"/>
      <c r="Y30" s="548"/>
      <c r="Z30" s="548"/>
      <c r="AA30" s="548"/>
      <c r="AB30" s="547"/>
      <c r="AC30" s="547"/>
      <c r="AD30" s="548"/>
      <c r="AE30" s="548"/>
      <c r="AF30" s="548"/>
      <c r="AG30" s="548"/>
      <c r="AH30" s="548"/>
      <c r="AI30" s="548"/>
      <c r="AJ30" s="548"/>
      <c r="AK30" s="548"/>
      <c r="AL30" s="548"/>
      <c r="AM30" s="548"/>
      <c r="AN30" s="548"/>
      <c r="AO30" s="548"/>
      <c r="AP30" s="548"/>
      <c r="AQ30" s="548"/>
      <c r="AR30" s="548"/>
      <c r="AS30" s="548"/>
      <c r="AT30" s="548"/>
      <c r="AU30" s="549" t="str">
        <f t="shared" si="17"/>
        <v/>
      </c>
      <c r="AV30" s="549" t="str">
        <f t="shared" si="35"/>
        <v/>
      </c>
      <c r="AW30" s="547"/>
      <c r="AX30" s="550" t="str">
        <f t="shared" si="36"/>
        <v/>
      </c>
      <c r="AY30" s="550" t="str">
        <f t="shared" si="37"/>
        <v/>
      </c>
      <c r="BA30" s="102" t="str">
        <f t="shared" si="18"/>
        <v>SUM_CO2</v>
      </c>
      <c r="BD30" s="124" t="str">
        <f t="shared" si="19"/>
        <v/>
      </c>
      <c r="BE30" s="124" t="str">
        <f t="shared" si="20"/>
        <v/>
      </c>
      <c r="BF30" s="124" t="str">
        <f t="shared" si="21"/>
        <v/>
      </c>
      <c r="BH30" s="124" t="str">
        <f t="shared" si="22"/>
        <v/>
      </c>
      <c r="BI30" s="124" t="str">
        <f t="shared" si="23"/>
        <v/>
      </c>
      <c r="BJ30" s="124" t="str">
        <f t="shared" si="24"/>
        <v/>
      </c>
      <c r="BK30" s="125"/>
      <c r="BL30" s="124" t="str">
        <f t="shared" si="25"/>
        <v/>
      </c>
      <c r="BM30" s="124" t="str">
        <f t="shared" si="26"/>
        <v/>
      </c>
      <c r="BN30" s="124" t="str">
        <f t="shared" si="27"/>
        <v/>
      </c>
      <c r="BO30" s="124" t="str">
        <f t="shared" si="28"/>
        <v/>
      </c>
      <c r="BP30" s="102" t="b">
        <f t="shared" si="29"/>
        <v>1</v>
      </c>
      <c r="BQ30" s="125"/>
      <c r="BR30" s="102" t="str">
        <f t="shared" si="30"/>
        <v/>
      </c>
      <c r="BS30" s="102" t="str">
        <f t="shared" si="31"/>
        <v/>
      </c>
      <c r="BT30" s="102" t="str">
        <f t="shared" si="32"/>
        <v/>
      </c>
      <c r="BU30" s="102" t="str">
        <f t="shared" si="33"/>
        <v/>
      </c>
      <c r="BW30" s="124" t="b">
        <f t="shared" si="34"/>
        <v>0</v>
      </c>
    </row>
    <row r="31" spans="3:75" ht="12.75" customHeight="1" x14ac:dyDescent="0.25">
      <c r="C31" s="539">
        <v>15</v>
      </c>
      <c r="D31" s="540"/>
      <c r="E31" s="540"/>
      <c r="F31" s="854"/>
      <c r="G31" s="542"/>
      <c r="H31" s="541"/>
      <c r="I31" s="543" t="str">
        <f t="shared" si="0"/>
        <v/>
      </c>
      <c r="J31" s="541"/>
      <c r="K31" s="544"/>
      <c r="L31" s="741"/>
      <c r="M31" s="545" t="str">
        <f t="shared" si="16"/>
        <v/>
      </c>
      <c r="N31" s="829"/>
      <c r="O31" s="993" t="s">
        <v>99</v>
      </c>
      <c r="P31" s="829"/>
      <c r="Q31" s="993" t="s">
        <v>99</v>
      </c>
      <c r="R31" s="829"/>
      <c r="S31" s="546" t="s">
        <v>99</v>
      </c>
      <c r="T31" s="547"/>
      <c r="U31" s="547" t="s">
        <v>99</v>
      </c>
      <c r="V31" s="548"/>
      <c r="W31" s="548"/>
      <c r="X31" s="548"/>
      <c r="Y31" s="548"/>
      <c r="Z31" s="548"/>
      <c r="AA31" s="548"/>
      <c r="AB31" s="547"/>
      <c r="AC31" s="547"/>
      <c r="AD31" s="548"/>
      <c r="AE31" s="548"/>
      <c r="AF31" s="548"/>
      <c r="AG31" s="548"/>
      <c r="AH31" s="548"/>
      <c r="AI31" s="548"/>
      <c r="AJ31" s="548"/>
      <c r="AK31" s="548"/>
      <c r="AL31" s="548"/>
      <c r="AM31" s="548"/>
      <c r="AN31" s="548"/>
      <c r="AO31" s="548"/>
      <c r="AP31" s="548"/>
      <c r="AQ31" s="548"/>
      <c r="AR31" s="548"/>
      <c r="AS31" s="548"/>
      <c r="AT31" s="548"/>
      <c r="AU31" s="549" t="str">
        <f t="shared" si="17"/>
        <v/>
      </c>
      <c r="AV31" s="549" t="str">
        <f t="shared" si="35"/>
        <v/>
      </c>
      <c r="AW31" s="547"/>
      <c r="AX31" s="550" t="str">
        <f t="shared" si="36"/>
        <v/>
      </c>
      <c r="AY31" s="550" t="str">
        <f t="shared" si="37"/>
        <v/>
      </c>
      <c r="BA31" s="102" t="str">
        <f t="shared" si="18"/>
        <v>SUM_CO2</v>
      </c>
      <c r="BD31" s="124" t="str">
        <f t="shared" si="19"/>
        <v/>
      </c>
      <c r="BE31" s="124" t="str">
        <f t="shared" si="20"/>
        <v/>
      </c>
      <c r="BF31" s="124" t="str">
        <f t="shared" si="21"/>
        <v/>
      </c>
      <c r="BH31" s="124" t="str">
        <f t="shared" si="22"/>
        <v/>
      </c>
      <c r="BI31" s="124" t="str">
        <f t="shared" si="23"/>
        <v/>
      </c>
      <c r="BJ31" s="124" t="str">
        <f t="shared" si="24"/>
        <v/>
      </c>
      <c r="BK31" s="125"/>
      <c r="BL31" s="124" t="str">
        <f t="shared" si="25"/>
        <v/>
      </c>
      <c r="BM31" s="124" t="str">
        <f t="shared" si="26"/>
        <v/>
      </c>
      <c r="BN31" s="124" t="str">
        <f t="shared" si="27"/>
        <v/>
      </c>
      <c r="BO31" s="124" t="str">
        <f t="shared" si="28"/>
        <v/>
      </c>
      <c r="BP31" s="102" t="b">
        <f t="shared" si="29"/>
        <v>1</v>
      </c>
      <c r="BQ31" s="125"/>
      <c r="BR31" s="102" t="str">
        <f t="shared" si="30"/>
        <v/>
      </c>
      <c r="BS31" s="102" t="str">
        <f t="shared" si="31"/>
        <v/>
      </c>
      <c r="BT31" s="102" t="str">
        <f t="shared" si="32"/>
        <v/>
      </c>
      <c r="BU31" s="102" t="str">
        <f t="shared" si="33"/>
        <v/>
      </c>
      <c r="BW31" s="124" t="b">
        <f t="shared" si="34"/>
        <v>0</v>
      </c>
    </row>
    <row r="32" spans="3:75" ht="12.75" customHeight="1" x14ac:dyDescent="0.25">
      <c r="C32" s="539">
        <v>16</v>
      </c>
      <c r="D32" s="540"/>
      <c r="E32" s="540"/>
      <c r="F32" s="854"/>
      <c r="G32" s="542"/>
      <c r="H32" s="541"/>
      <c r="I32" s="543" t="str">
        <f t="shared" si="0"/>
        <v/>
      </c>
      <c r="J32" s="541"/>
      <c r="K32" s="544"/>
      <c r="L32" s="741"/>
      <c r="M32" s="545" t="str">
        <f t="shared" si="16"/>
        <v/>
      </c>
      <c r="N32" s="829"/>
      <c r="O32" s="993" t="s">
        <v>99</v>
      </c>
      <c r="P32" s="829"/>
      <c r="Q32" s="993" t="s">
        <v>99</v>
      </c>
      <c r="R32" s="829"/>
      <c r="S32" s="546" t="s">
        <v>99</v>
      </c>
      <c r="T32" s="547"/>
      <c r="U32" s="547" t="s">
        <v>99</v>
      </c>
      <c r="V32" s="548"/>
      <c r="W32" s="548"/>
      <c r="X32" s="548"/>
      <c r="Y32" s="548"/>
      <c r="Z32" s="548"/>
      <c r="AA32" s="548"/>
      <c r="AB32" s="547"/>
      <c r="AC32" s="547"/>
      <c r="AD32" s="548"/>
      <c r="AE32" s="548"/>
      <c r="AF32" s="548"/>
      <c r="AG32" s="548"/>
      <c r="AH32" s="548"/>
      <c r="AI32" s="548"/>
      <c r="AJ32" s="548"/>
      <c r="AK32" s="548"/>
      <c r="AL32" s="548"/>
      <c r="AM32" s="548"/>
      <c r="AN32" s="548"/>
      <c r="AO32" s="548"/>
      <c r="AP32" s="548"/>
      <c r="AQ32" s="548"/>
      <c r="AR32" s="548"/>
      <c r="AS32" s="548"/>
      <c r="AT32" s="548"/>
      <c r="AU32" s="549" t="str">
        <f t="shared" si="17"/>
        <v/>
      </c>
      <c r="AV32" s="549" t="str">
        <f t="shared" si="35"/>
        <v/>
      </c>
      <c r="AW32" s="547"/>
      <c r="AX32" s="550" t="str">
        <f t="shared" si="36"/>
        <v/>
      </c>
      <c r="AY32" s="550" t="str">
        <f t="shared" si="37"/>
        <v/>
      </c>
      <c r="BA32" s="102" t="str">
        <f t="shared" si="18"/>
        <v>SUM_CO2</v>
      </c>
      <c r="BD32" s="124" t="str">
        <f t="shared" si="19"/>
        <v/>
      </c>
      <c r="BE32" s="124" t="str">
        <f t="shared" si="20"/>
        <v/>
      </c>
      <c r="BF32" s="124" t="str">
        <f t="shared" si="21"/>
        <v/>
      </c>
      <c r="BH32" s="124" t="str">
        <f t="shared" si="22"/>
        <v/>
      </c>
      <c r="BI32" s="124" t="str">
        <f t="shared" si="23"/>
        <v/>
      </c>
      <c r="BJ32" s="124" t="str">
        <f t="shared" si="24"/>
        <v/>
      </c>
      <c r="BK32" s="125"/>
      <c r="BL32" s="124" t="str">
        <f t="shared" si="25"/>
        <v/>
      </c>
      <c r="BM32" s="124" t="str">
        <f t="shared" si="26"/>
        <v/>
      </c>
      <c r="BN32" s="124" t="str">
        <f t="shared" si="27"/>
        <v/>
      </c>
      <c r="BO32" s="124" t="str">
        <f t="shared" si="28"/>
        <v/>
      </c>
      <c r="BP32" s="102" t="b">
        <f t="shared" si="29"/>
        <v>1</v>
      </c>
      <c r="BQ32" s="125"/>
      <c r="BR32" s="102" t="str">
        <f t="shared" si="30"/>
        <v/>
      </c>
      <c r="BS32" s="102" t="str">
        <f t="shared" si="31"/>
        <v/>
      </c>
      <c r="BT32" s="102" t="str">
        <f t="shared" si="32"/>
        <v/>
      </c>
      <c r="BU32" s="102" t="str">
        <f t="shared" si="33"/>
        <v/>
      </c>
      <c r="BW32" s="124" t="b">
        <f t="shared" si="34"/>
        <v>0</v>
      </c>
    </row>
    <row r="33" spans="3:75" ht="12.75" customHeight="1" x14ac:dyDescent="0.25">
      <c r="C33" s="539">
        <v>17</v>
      </c>
      <c r="D33" s="540"/>
      <c r="E33" s="540"/>
      <c r="F33" s="854"/>
      <c r="G33" s="542"/>
      <c r="H33" s="541"/>
      <c r="I33" s="543" t="str">
        <f t="shared" si="0"/>
        <v/>
      </c>
      <c r="J33" s="541"/>
      <c r="K33" s="544"/>
      <c r="L33" s="741"/>
      <c r="M33" s="545" t="str">
        <f t="shared" si="16"/>
        <v/>
      </c>
      <c r="N33" s="829"/>
      <c r="O33" s="993" t="s">
        <v>99</v>
      </c>
      <c r="P33" s="829"/>
      <c r="Q33" s="993" t="s">
        <v>99</v>
      </c>
      <c r="R33" s="829"/>
      <c r="S33" s="546" t="s">
        <v>99</v>
      </c>
      <c r="T33" s="547"/>
      <c r="U33" s="547" t="s">
        <v>99</v>
      </c>
      <c r="V33" s="548"/>
      <c r="W33" s="548"/>
      <c r="X33" s="548"/>
      <c r="Y33" s="548"/>
      <c r="Z33" s="548"/>
      <c r="AA33" s="548"/>
      <c r="AB33" s="547"/>
      <c r="AC33" s="547"/>
      <c r="AD33" s="548"/>
      <c r="AE33" s="548"/>
      <c r="AF33" s="548"/>
      <c r="AG33" s="548"/>
      <c r="AH33" s="548"/>
      <c r="AI33" s="548"/>
      <c r="AJ33" s="548"/>
      <c r="AK33" s="548"/>
      <c r="AL33" s="548"/>
      <c r="AM33" s="548"/>
      <c r="AN33" s="548"/>
      <c r="AO33" s="548"/>
      <c r="AP33" s="548"/>
      <c r="AQ33" s="548"/>
      <c r="AR33" s="548"/>
      <c r="AS33" s="548"/>
      <c r="AT33" s="548"/>
      <c r="AU33" s="549" t="str">
        <f t="shared" si="17"/>
        <v/>
      </c>
      <c r="AV33" s="549" t="str">
        <f t="shared" si="35"/>
        <v/>
      </c>
      <c r="AW33" s="547"/>
      <c r="AX33" s="550" t="str">
        <f t="shared" si="36"/>
        <v/>
      </c>
      <c r="AY33" s="550" t="str">
        <f t="shared" si="37"/>
        <v/>
      </c>
      <c r="BA33" s="102" t="str">
        <f t="shared" si="18"/>
        <v>SUM_CO2</v>
      </c>
      <c r="BD33" s="124" t="str">
        <f t="shared" si="19"/>
        <v/>
      </c>
      <c r="BE33" s="124" t="str">
        <f t="shared" si="20"/>
        <v/>
      </c>
      <c r="BF33" s="124" t="str">
        <f t="shared" si="21"/>
        <v/>
      </c>
      <c r="BH33" s="124" t="str">
        <f t="shared" si="22"/>
        <v/>
      </c>
      <c r="BI33" s="124" t="str">
        <f t="shared" si="23"/>
        <v/>
      </c>
      <c r="BJ33" s="124" t="str">
        <f t="shared" si="24"/>
        <v/>
      </c>
      <c r="BK33" s="125"/>
      <c r="BL33" s="124" t="str">
        <f t="shared" si="25"/>
        <v/>
      </c>
      <c r="BM33" s="124" t="str">
        <f t="shared" si="26"/>
        <v/>
      </c>
      <c r="BN33" s="124" t="str">
        <f t="shared" si="27"/>
        <v/>
      </c>
      <c r="BO33" s="124" t="str">
        <f t="shared" si="28"/>
        <v/>
      </c>
      <c r="BP33" s="102" t="b">
        <f t="shared" si="29"/>
        <v>1</v>
      </c>
      <c r="BQ33" s="125"/>
      <c r="BR33" s="102" t="str">
        <f t="shared" si="30"/>
        <v/>
      </c>
      <c r="BS33" s="102" t="str">
        <f t="shared" si="31"/>
        <v/>
      </c>
      <c r="BT33" s="102" t="str">
        <f t="shared" si="32"/>
        <v/>
      </c>
      <c r="BU33" s="102" t="str">
        <f t="shared" si="33"/>
        <v/>
      </c>
      <c r="BW33" s="124" t="b">
        <f t="shared" si="34"/>
        <v>0</v>
      </c>
    </row>
    <row r="34" spans="3:75" ht="12.75" customHeight="1" x14ac:dyDescent="0.25">
      <c r="C34" s="539">
        <v>18</v>
      </c>
      <c r="D34" s="540"/>
      <c r="E34" s="540"/>
      <c r="F34" s="854"/>
      <c r="G34" s="542"/>
      <c r="H34" s="541"/>
      <c r="I34" s="543" t="str">
        <f t="shared" si="0"/>
        <v/>
      </c>
      <c r="J34" s="541"/>
      <c r="K34" s="544"/>
      <c r="L34" s="741"/>
      <c r="M34" s="545" t="str">
        <f t="shared" si="16"/>
        <v/>
      </c>
      <c r="N34" s="829"/>
      <c r="O34" s="993" t="s">
        <v>99</v>
      </c>
      <c r="P34" s="829"/>
      <c r="Q34" s="993" t="s">
        <v>99</v>
      </c>
      <c r="R34" s="829"/>
      <c r="S34" s="546" t="s">
        <v>99</v>
      </c>
      <c r="T34" s="547"/>
      <c r="U34" s="547" t="s">
        <v>99</v>
      </c>
      <c r="V34" s="548"/>
      <c r="W34" s="548"/>
      <c r="X34" s="548"/>
      <c r="Y34" s="548"/>
      <c r="Z34" s="548"/>
      <c r="AA34" s="548"/>
      <c r="AB34" s="547"/>
      <c r="AC34" s="547"/>
      <c r="AD34" s="548"/>
      <c r="AE34" s="548"/>
      <c r="AF34" s="548"/>
      <c r="AG34" s="548"/>
      <c r="AH34" s="548"/>
      <c r="AI34" s="548"/>
      <c r="AJ34" s="548"/>
      <c r="AK34" s="548"/>
      <c r="AL34" s="548"/>
      <c r="AM34" s="548"/>
      <c r="AN34" s="548"/>
      <c r="AO34" s="548"/>
      <c r="AP34" s="548"/>
      <c r="AQ34" s="548"/>
      <c r="AR34" s="548"/>
      <c r="AS34" s="548"/>
      <c r="AT34" s="548"/>
      <c r="AU34" s="549" t="str">
        <f t="shared" si="17"/>
        <v/>
      </c>
      <c r="AV34" s="549" t="str">
        <f t="shared" si="35"/>
        <v/>
      </c>
      <c r="AW34" s="547"/>
      <c r="AX34" s="550" t="str">
        <f t="shared" si="36"/>
        <v/>
      </c>
      <c r="AY34" s="550" t="str">
        <f t="shared" si="37"/>
        <v/>
      </c>
      <c r="BA34" s="102" t="str">
        <f t="shared" si="18"/>
        <v>SUM_CO2</v>
      </c>
      <c r="BD34" s="124" t="str">
        <f t="shared" si="19"/>
        <v/>
      </c>
      <c r="BE34" s="124" t="str">
        <f t="shared" si="20"/>
        <v/>
      </c>
      <c r="BF34" s="124" t="str">
        <f t="shared" si="21"/>
        <v/>
      </c>
      <c r="BH34" s="124" t="str">
        <f t="shared" si="22"/>
        <v/>
      </c>
      <c r="BI34" s="124" t="str">
        <f t="shared" si="23"/>
        <v/>
      </c>
      <c r="BJ34" s="124" t="str">
        <f t="shared" si="24"/>
        <v/>
      </c>
      <c r="BK34" s="125"/>
      <c r="BL34" s="124" t="str">
        <f t="shared" si="25"/>
        <v/>
      </c>
      <c r="BM34" s="124" t="str">
        <f t="shared" si="26"/>
        <v/>
      </c>
      <c r="BN34" s="124" t="str">
        <f t="shared" si="27"/>
        <v/>
      </c>
      <c r="BO34" s="124" t="str">
        <f t="shared" si="28"/>
        <v/>
      </c>
      <c r="BP34" s="102" t="b">
        <f t="shared" si="29"/>
        <v>1</v>
      </c>
      <c r="BQ34" s="125"/>
      <c r="BR34" s="102" t="str">
        <f t="shared" si="30"/>
        <v/>
      </c>
      <c r="BS34" s="102" t="str">
        <f t="shared" si="31"/>
        <v/>
      </c>
      <c r="BT34" s="102" t="str">
        <f t="shared" si="32"/>
        <v/>
      </c>
      <c r="BU34" s="102" t="str">
        <f t="shared" si="33"/>
        <v/>
      </c>
      <c r="BW34" s="124" t="b">
        <f t="shared" si="34"/>
        <v>0</v>
      </c>
    </row>
    <row r="35" spans="3:75" ht="12.75" customHeight="1" x14ac:dyDescent="0.25">
      <c r="C35" s="539">
        <v>19</v>
      </c>
      <c r="D35" s="540"/>
      <c r="E35" s="540"/>
      <c r="F35" s="854"/>
      <c r="G35" s="542"/>
      <c r="H35" s="541"/>
      <c r="I35" s="543" t="str">
        <f t="shared" si="0"/>
        <v/>
      </c>
      <c r="J35" s="541"/>
      <c r="K35" s="544"/>
      <c r="L35" s="741"/>
      <c r="M35" s="545" t="str">
        <f t="shared" si="16"/>
        <v/>
      </c>
      <c r="N35" s="829"/>
      <c r="O35" s="993" t="s">
        <v>99</v>
      </c>
      <c r="P35" s="829"/>
      <c r="Q35" s="993" t="s">
        <v>99</v>
      </c>
      <c r="R35" s="829"/>
      <c r="S35" s="546" t="s">
        <v>99</v>
      </c>
      <c r="T35" s="547"/>
      <c r="U35" s="547" t="s">
        <v>99</v>
      </c>
      <c r="V35" s="548"/>
      <c r="W35" s="548"/>
      <c r="X35" s="548"/>
      <c r="Y35" s="548"/>
      <c r="Z35" s="548"/>
      <c r="AA35" s="548"/>
      <c r="AB35" s="547"/>
      <c r="AC35" s="547"/>
      <c r="AD35" s="548"/>
      <c r="AE35" s="548"/>
      <c r="AF35" s="548"/>
      <c r="AG35" s="548"/>
      <c r="AH35" s="548"/>
      <c r="AI35" s="548"/>
      <c r="AJ35" s="548"/>
      <c r="AK35" s="548"/>
      <c r="AL35" s="548"/>
      <c r="AM35" s="548"/>
      <c r="AN35" s="548"/>
      <c r="AO35" s="548"/>
      <c r="AP35" s="548"/>
      <c r="AQ35" s="548"/>
      <c r="AR35" s="548"/>
      <c r="AS35" s="548"/>
      <c r="AT35" s="548"/>
      <c r="AU35" s="549" t="str">
        <f t="shared" si="17"/>
        <v/>
      </c>
      <c r="AV35" s="549" t="str">
        <f t="shared" si="35"/>
        <v/>
      </c>
      <c r="AW35" s="547"/>
      <c r="AX35" s="550" t="str">
        <f t="shared" si="36"/>
        <v/>
      </c>
      <c r="AY35" s="550" t="str">
        <f t="shared" si="37"/>
        <v/>
      </c>
      <c r="BA35" s="102" t="str">
        <f t="shared" si="18"/>
        <v>SUM_CO2</v>
      </c>
      <c r="BD35" s="124" t="str">
        <f t="shared" si="19"/>
        <v/>
      </c>
      <c r="BE35" s="124" t="str">
        <f t="shared" si="20"/>
        <v/>
      </c>
      <c r="BF35" s="124" t="str">
        <f t="shared" si="21"/>
        <v/>
      </c>
      <c r="BH35" s="124" t="str">
        <f t="shared" si="22"/>
        <v/>
      </c>
      <c r="BI35" s="124" t="str">
        <f t="shared" si="23"/>
        <v/>
      </c>
      <c r="BJ35" s="124" t="str">
        <f t="shared" si="24"/>
        <v/>
      </c>
      <c r="BK35" s="125"/>
      <c r="BL35" s="124" t="str">
        <f t="shared" si="25"/>
        <v/>
      </c>
      <c r="BM35" s="124" t="str">
        <f t="shared" si="26"/>
        <v/>
      </c>
      <c r="BN35" s="124" t="str">
        <f t="shared" si="27"/>
        <v/>
      </c>
      <c r="BO35" s="124" t="str">
        <f t="shared" si="28"/>
        <v/>
      </c>
      <c r="BP35" s="102" t="b">
        <f t="shared" si="29"/>
        <v>1</v>
      </c>
      <c r="BQ35" s="125"/>
      <c r="BR35" s="102" t="str">
        <f t="shared" si="30"/>
        <v/>
      </c>
      <c r="BS35" s="102" t="str">
        <f t="shared" si="31"/>
        <v/>
      </c>
      <c r="BT35" s="102" t="str">
        <f t="shared" si="32"/>
        <v/>
      </c>
      <c r="BU35" s="102" t="str">
        <f t="shared" si="33"/>
        <v/>
      </c>
      <c r="BW35" s="124" t="b">
        <f t="shared" si="34"/>
        <v>0</v>
      </c>
    </row>
    <row r="36" spans="3:75" ht="12.75" customHeight="1" x14ac:dyDescent="0.25">
      <c r="C36" s="539">
        <v>20</v>
      </c>
      <c r="D36" s="540"/>
      <c r="E36" s="540"/>
      <c r="F36" s="854"/>
      <c r="G36" s="542"/>
      <c r="H36" s="541"/>
      <c r="I36" s="543" t="str">
        <f t="shared" si="0"/>
        <v/>
      </c>
      <c r="J36" s="541"/>
      <c r="K36" s="544"/>
      <c r="L36" s="741"/>
      <c r="M36" s="545" t="str">
        <f t="shared" si="16"/>
        <v/>
      </c>
      <c r="N36" s="829"/>
      <c r="O36" s="993" t="s">
        <v>99</v>
      </c>
      <c r="P36" s="829"/>
      <c r="Q36" s="993" t="s">
        <v>99</v>
      </c>
      <c r="R36" s="829"/>
      <c r="S36" s="546" t="s">
        <v>99</v>
      </c>
      <c r="T36" s="547"/>
      <c r="U36" s="547" t="s">
        <v>99</v>
      </c>
      <c r="V36" s="548"/>
      <c r="W36" s="548"/>
      <c r="X36" s="548"/>
      <c r="Y36" s="548"/>
      <c r="Z36" s="548"/>
      <c r="AA36" s="548"/>
      <c r="AB36" s="547"/>
      <c r="AC36" s="547"/>
      <c r="AD36" s="548"/>
      <c r="AE36" s="548"/>
      <c r="AF36" s="548"/>
      <c r="AG36" s="548"/>
      <c r="AH36" s="548"/>
      <c r="AI36" s="548"/>
      <c r="AJ36" s="548"/>
      <c r="AK36" s="548"/>
      <c r="AL36" s="548"/>
      <c r="AM36" s="548"/>
      <c r="AN36" s="548"/>
      <c r="AO36" s="548"/>
      <c r="AP36" s="548"/>
      <c r="AQ36" s="548"/>
      <c r="AR36" s="548"/>
      <c r="AS36" s="548"/>
      <c r="AT36" s="548"/>
      <c r="AU36" s="549" t="str">
        <f t="shared" si="17"/>
        <v/>
      </c>
      <c r="AV36" s="549" t="str">
        <f t="shared" si="35"/>
        <v/>
      </c>
      <c r="AW36" s="547"/>
      <c r="AX36" s="550" t="str">
        <f t="shared" si="36"/>
        <v/>
      </c>
      <c r="AY36" s="550" t="str">
        <f t="shared" si="37"/>
        <v/>
      </c>
      <c r="BA36" s="102" t="str">
        <f t="shared" si="18"/>
        <v>SUM_CO2</v>
      </c>
      <c r="BD36" s="124" t="str">
        <f t="shared" si="19"/>
        <v/>
      </c>
      <c r="BE36" s="124" t="str">
        <f t="shared" si="20"/>
        <v/>
      </c>
      <c r="BF36" s="124" t="str">
        <f t="shared" si="21"/>
        <v/>
      </c>
      <c r="BH36" s="124" t="str">
        <f t="shared" si="22"/>
        <v/>
      </c>
      <c r="BI36" s="124" t="str">
        <f t="shared" si="23"/>
        <v/>
      </c>
      <c r="BJ36" s="124" t="str">
        <f t="shared" si="24"/>
        <v/>
      </c>
      <c r="BK36" s="125"/>
      <c r="BL36" s="124" t="str">
        <f t="shared" si="25"/>
        <v/>
      </c>
      <c r="BM36" s="124" t="str">
        <f t="shared" si="26"/>
        <v/>
      </c>
      <c r="BN36" s="124" t="str">
        <f t="shared" si="27"/>
        <v/>
      </c>
      <c r="BO36" s="124" t="str">
        <f t="shared" si="28"/>
        <v/>
      </c>
      <c r="BP36" s="102" t="b">
        <f t="shared" si="29"/>
        <v>1</v>
      </c>
      <c r="BQ36" s="125"/>
      <c r="BR36" s="102" t="str">
        <f t="shared" si="30"/>
        <v/>
      </c>
      <c r="BS36" s="102" t="str">
        <f t="shared" si="31"/>
        <v/>
      </c>
      <c r="BT36" s="102" t="str">
        <f t="shared" si="32"/>
        <v/>
      </c>
      <c r="BU36" s="102" t="str">
        <f t="shared" si="33"/>
        <v/>
      </c>
      <c r="BW36" s="124" t="b">
        <f t="shared" si="34"/>
        <v>0</v>
      </c>
    </row>
    <row r="37" spans="3:75" ht="12.75" customHeight="1" x14ac:dyDescent="0.25">
      <c r="C37" s="539">
        <v>21</v>
      </c>
      <c r="D37" s="540"/>
      <c r="E37" s="540"/>
      <c r="F37" s="854"/>
      <c r="G37" s="542"/>
      <c r="H37" s="541"/>
      <c r="I37" s="543" t="str">
        <f t="shared" si="0"/>
        <v/>
      </c>
      <c r="J37" s="541"/>
      <c r="K37" s="544"/>
      <c r="L37" s="741"/>
      <c r="M37" s="545" t="str">
        <f t="shared" si="16"/>
        <v/>
      </c>
      <c r="N37" s="829"/>
      <c r="O37" s="993" t="s">
        <v>99</v>
      </c>
      <c r="P37" s="829"/>
      <c r="Q37" s="993" t="s">
        <v>99</v>
      </c>
      <c r="R37" s="829"/>
      <c r="S37" s="546" t="s">
        <v>99</v>
      </c>
      <c r="T37" s="547"/>
      <c r="U37" s="547" t="s">
        <v>99</v>
      </c>
      <c r="V37" s="548"/>
      <c r="W37" s="548"/>
      <c r="X37" s="548"/>
      <c r="Y37" s="548"/>
      <c r="Z37" s="548"/>
      <c r="AA37" s="548"/>
      <c r="AB37" s="547"/>
      <c r="AC37" s="547"/>
      <c r="AD37" s="548"/>
      <c r="AE37" s="548"/>
      <c r="AF37" s="548"/>
      <c r="AG37" s="548"/>
      <c r="AH37" s="548"/>
      <c r="AI37" s="548"/>
      <c r="AJ37" s="548"/>
      <c r="AK37" s="548"/>
      <c r="AL37" s="548"/>
      <c r="AM37" s="548"/>
      <c r="AN37" s="548"/>
      <c r="AO37" s="548"/>
      <c r="AP37" s="548"/>
      <c r="AQ37" s="548"/>
      <c r="AR37" s="548"/>
      <c r="AS37" s="548"/>
      <c r="AT37" s="548"/>
      <c r="AU37" s="549" t="str">
        <f t="shared" si="17"/>
        <v/>
      </c>
      <c r="AV37" s="549" t="str">
        <f t="shared" si="35"/>
        <v/>
      </c>
      <c r="AW37" s="547"/>
      <c r="AX37" s="550" t="str">
        <f t="shared" si="36"/>
        <v/>
      </c>
      <c r="AY37" s="550" t="str">
        <f t="shared" si="37"/>
        <v/>
      </c>
      <c r="BA37" s="102" t="str">
        <f t="shared" si="18"/>
        <v>SUM_CO2</v>
      </c>
      <c r="BD37" s="124" t="str">
        <f t="shared" si="19"/>
        <v/>
      </c>
      <c r="BE37" s="124" t="str">
        <f t="shared" si="20"/>
        <v/>
      </c>
      <c r="BF37" s="124" t="str">
        <f t="shared" si="21"/>
        <v/>
      </c>
      <c r="BH37" s="124" t="str">
        <f t="shared" si="22"/>
        <v/>
      </c>
      <c r="BI37" s="124" t="str">
        <f t="shared" si="23"/>
        <v/>
      </c>
      <c r="BJ37" s="124" t="str">
        <f t="shared" si="24"/>
        <v/>
      </c>
      <c r="BK37" s="125"/>
      <c r="BL37" s="124" t="str">
        <f t="shared" si="25"/>
        <v/>
      </c>
      <c r="BM37" s="124" t="str">
        <f t="shared" si="26"/>
        <v/>
      </c>
      <c r="BN37" s="124" t="str">
        <f t="shared" si="27"/>
        <v/>
      </c>
      <c r="BO37" s="124" t="str">
        <f t="shared" si="28"/>
        <v/>
      </c>
      <c r="BP37" s="102" t="b">
        <f t="shared" si="29"/>
        <v>1</v>
      </c>
      <c r="BQ37" s="125"/>
      <c r="BR37" s="102" t="str">
        <f t="shared" si="30"/>
        <v/>
      </c>
      <c r="BS37" s="102" t="str">
        <f t="shared" si="31"/>
        <v/>
      </c>
      <c r="BT37" s="102" t="str">
        <f t="shared" si="32"/>
        <v/>
      </c>
      <c r="BU37" s="102" t="str">
        <f t="shared" si="33"/>
        <v/>
      </c>
      <c r="BW37" s="124" t="b">
        <f t="shared" si="34"/>
        <v>0</v>
      </c>
    </row>
    <row r="38" spans="3:75" ht="12.75" customHeight="1" x14ac:dyDescent="0.25">
      <c r="C38" s="539">
        <v>22</v>
      </c>
      <c r="D38" s="540"/>
      <c r="E38" s="540"/>
      <c r="F38" s="854"/>
      <c r="G38" s="542"/>
      <c r="H38" s="541"/>
      <c r="I38" s="543" t="str">
        <f t="shared" si="0"/>
        <v/>
      </c>
      <c r="J38" s="541"/>
      <c r="K38" s="544"/>
      <c r="L38" s="741"/>
      <c r="M38" s="545" t="str">
        <f t="shared" si="16"/>
        <v/>
      </c>
      <c r="N38" s="829"/>
      <c r="O38" s="993" t="s">
        <v>99</v>
      </c>
      <c r="P38" s="829"/>
      <c r="Q38" s="993" t="s">
        <v>99</v>
      </c>
      <c r="R38" s="829"/>
      <c r="S38" s="546" t="s">
        <v>99</v>
      </c>
      <c r="T38" s="547"/>
      <c r="U38" s="547" t="s">
        <v>99</v>
      </c>
      <c r="V38" s="548"/>
      <c r="W38" s="548"/>
      <c r="X38" s="548"/>
      <c r="Y38" s="548"/>
      <c r="Z38" s="548"/>
      <c r="AA38" s="548"/>
      <c r="AB38" s="547"/>
      <c r="AC38" s="547"/>
      <c r="AD38" s="548"/>
      <c r="AE38" s="548"/>
      <c r="AF38" s="548"/>
      <c r="AG38" s="548"/>
      <c r="AH38" s="548"/>
      <c r="AI38" s="548"/>
      <c r="AJ38" s="548"/>
      <c r="AK38" s="548"/>
      <c r="AL38" s="548"/>
      <c r="AM38" s="548"/>
      <c r="AN38" s="548"/>
      <c r="AO38" s="548"/>
      <c r="AP38" s="548"/>
      <c r="AQ38" s="548"/>
      <c r="AR38" s="548"/>
      <c r="AS38" s="548"/>
      <c r="AT38" s="548"/>
      <c r="AU38" s="549" t="str">
        <f t="shared" si="17"/>
        <v/>
      </c>
      <c r="AV38" s="549" t="str">
        <f t="shared" si="35"/>
        <v/>
      </c>
      <c r="AW38" s="547"/>
      <c r="AX38" s="550" t="str">
        <f t="shared" si="36"/>
        <v/>
      </c>
      <c r="AY38" s="550" t="str">
        <f t="shared" si="37"/>
        <v/>
      </c>
      <c r="BA38" s="102" t="str">
        <f t="shared" si="18"/>
        <v>SUM_CO2</v>
      </c>
      <c r="BD38" s="124" t="str">
        <f t="shared" si="19"/>
        <v/>
      </c>
      <c r="BE38" s="124" t="str">
        <f t="shared" si="20"/>
        <v/>
      </c>
      <c r="BF38" s="124" t="str">
        <f t="shared" si="21"/>
        <v/>
      </c>
      <c r="BH38" s="124" t="str">
        <f t="shared" si="22"/>
        <v/>
      </c>
      <c r="BI38" s="124" t="str">
        <f t="shared" si="23"/>
        <v/>
      </c>
      <c r="BJ38" s="124" t="str">
        <f t="shared" si="24"/>
        <v/>
      </c>
      <c r="BK38" s="125"/>
      <c r="BL38" s="124" t="str">
        <f t="shared" si="25"/>
        <v/>
      </c>
      <c r="BM38" s="124" t="str">
        <f t="shared" si="26"/>
        <v/>
      </c>
      <c r="BN38" s="124" t="str">
        <f t="shared" si="27"/>
        <v/>
      </c>
      <c r="BO38" s="124" t="str">
        <f t="shared" si="28"/>
        <v/>
      </c>
      <c r="BP38" s="102" t="b">
        <f t="shared" si="29"/>
        <v>1</v>
      </c>
      <c r="BQ38" s="125"/>
      <c r="BR38" s="102" t="str">
        <f t="shared" si="30"/>
        <v/>
      </c>
      <c r="BS38" s="102" t="str">
        <f t="shared" si="31"/>
        <v/>
      </c>
      <c r="BT38" s="102" t="str">
        <f t="shared" si="32"/>
        <v/>
      </c>
      <c r="BU38" s="102" t="str">
        <f t="shared" si="33"/>
        <v/>
      </c>
      <c r="BW38" s="124" t="b">
        <f t="shared" si="34"/>
        <v>0</v>
      </c>
    </row>
    <row r="39" spans="3:75" ht="12.75" customHeight="1" x14ac:dyDescent="0.25">
      <c r="C39" s="539">
        <v>23</v>
      </c>
      <c r="D39" s="540"/>
      <c r="E39" s="540"/>
      <c r="F39" s="854"/>
      <c r="G39" s="542"/>
      <c r="H39" s="541"/>
      <c r="I39" s="543" t="str">
        <f t="shared" si="0"/>
        <v/>
      </c>
      <c r="J39" s="541"/>
      <c r="K39" s="544"/>
      <c r="L39" s="741"/>
      <c r="M39" s="545" t="str">
        <f t="shared" si="16"/>
        <v/>
      </c>
      <c r="N39" s="829"/>
      <c r="O39" s="993" t="s">
        <v>99</v>
      </c>
      <c r="P39" s="829"/>
      <c r="Q39" s="993" t="s">
        <v>99</v>
      </c>
      <c r="R39" s="829"/>
      <c r="S39" s="546" t="s">
        <v>99</v>
      </c>
      <c r="T39" s="547"/>
      <c r="U39" s="547" t="s">
        <v>99</v>
      </c>
      <c r="V39" s="548"/>
      <c r="W39" s="548"/>
      <c r="X39" s="548"/>
      <c r="Y39" s="548"/>
      <c r="Z39" s="548"/>
      <c r="AA39" s="548"/>
      <c r="AB39" s="547"/>
      <c r="AC39" s="547"/>
      <c r="AD39" s="548"/>
      <c r="AE39" s="548"/>
      <c r="AF39" s="548"/>
      <c r="AG39" s="548"/>
      <c r="AH39" s="548"/>
      <c r="AI39" s="548"/>
      <c r="AJ39" s="548"/>
      <c r="AK39" s="548"/>
      <c r="AL39" s="548"/>
      <c r="AM39" s="548"/>
      <c r="AN39" s="548"/>
      <c r="AO39" s="548"/>
      <c r="AP39" s="548"/>
      <c r="AQ39" s="548"/>
      <c r="AR39" s="548"/>
      <c r="AS39" s="548"/>
      <c r="AT39" s="548"/>
      <c r="AU39" s="549" t="str">
        <f t="shared" si="17"/>
        <v/>
      </c>
      <c r="AV39" s="549" t="str">
        <f t="shared" si="35"/>
        <v/>
      </c>
      <c r="AW39" s="547"/>
      <c r="AX39" s="550" t="str">
        <f t="shared" si="36"/>
        <v/>
      </c>
      <c r="AY39" s="550" t="str">
        <f t="shared" si="37"/>
        <v/>
      </c>
      <c r="BA39" s="102" t="str">
        <f t="shared" si="18"/>
        <v>SUM_CO2</v>
      </c>
      <c r="BD39" s="124" t="str">
        <f t="shared" si="19"/>
        <v/>
      </c>
      <c r="BE39" s="124" t="str">
        <f t="shared" si="20"/>
        <v/>
      </c>
      <c r="BF39" s="124" t="str">
        <f t="shared" si="21"/>
        <v/>
      </c>
      <c r="BH39" s="124" t="str">
        <f t="shared" si="22"/>
        <v/>
      </c>
      <c r="BI39" s="124" t="str">
        <f t="shared" si="23"/>
        <v/>
      </c>
      <c r="BJ39" s="124" t="str">
        <f t="shared" si="24"/>
        <v/>
      </c>
      <c r="BK39" s="125"/>
      <c r="BL39" s="124" t="str">
        <f t="shared" si="25"/>
        <v/>
      </c>
      <c r="BM39" s="124" t="str">
        <f t="shared" si="26"/>
        <v/>
      </c>
      <c r="BN39" s="124" t="str">
        <f t="shared" si="27"/>
        <v/>
      </c>
      <c r="BO39" s="124" t="str">
        <f t="shared" si="28"/>
        <v/>
      </c>
      <c r="BP39" s="102" t="b">
        <f t="shared" si="29"/>
        <v>1</v>
      </c>
      <c r="BQ39" s="125"/>
      <c r="BR39" s="102" t="str">
        <f t="shared" si="30"/>
        <v/>
      </c>
      <c r="BS39" s="102" t="str">
        <f t="shared" si="31"/>
        <v/>
      </c>
      <c r="BT39" s="102" t="str">
        <f t="shared" si="32"/>
        <v/>
      </c>
      <c r="BU39" s="102" t="str">
        <f t="shared" si="33"/>
        <v/>
      </c>
      <c r="BW39" s="124" t="b">
        <f t="shared" si="34"/>
        <v>0</v>
      </c>
    </row>
    <row r="40" spans="3:75" ht="12.75" customHeight="1" x14ac:dyDescent="0.25">
      <c r="C40" s="539">
        <v>24</v>
      </c>
      <c r="D40" s="540"/>
      <c r="E40" s="540"/>
      <c r="F40" s="854"/>
      <c r="G40" s="542"/>
      <c r="H40" s="541"/>
      <c r="I40" s="543" t="str">
        <f t="shared" si="0"/>
        <v/>
      </c>
      <c r="J40" s="541"/>
      <c r="K40" s="544"/>
      <c r="L40" s="741"/>
      <c r="M40" s="545" t="str">
        <f t="shared" si="16"/>
        <v/>
      </c>
      <c r="N40" s="829"/>
      <c r="O40" s="993" t="s">
        <v>99</v>
      </c>
      <c r="P40" s="829"/>
      <c r="Q40" s="993" t="s">
        <v>99</v>
      </c>
      <c r="R40" s="829"/>
      <c r="S40" s="546" t="s">
        <v>99</v>
      </c>
      <c r="T40" s="547"/>
      <c r="U40" s="547" t="s">
        <v>99</v>
      </c>
      <c r="V40" s="548"/>
      <c r="W40" s="548"/>
      <c r="X40" s="548"/>
      <c r="Y40" s="548"/>
      <c r="Z40" s="548"/>
      <c r="AA40" s="548"/>
      <c r="AB40" s="547"/>
      <c r="AC40" s="547"/>
      <c r="AD40" s="548"/>
      <c r="AE40" s="548"/>
      <c r="AF40" s="548"/>
      <c r="AG40" s="548"/>
      <c r="AH40" s="548"/>
      <c r="AI40" s="548"/>
      <c r="AJ40" s="548"/>
      <c r="AK40" s="548"/>
      <c r="AL40" s="548"/>
      <c r="AM40" s="548"/>
      <c r="AN40" s="548"/>
      <c r="AO40" s="548"/>
      <c r="AP40" s="548"/>
      <c r="AQ40" s="548"/>
      <c r="AR40" s="548"/>
      <c r="AS40" s="548"/>
      <c r="AT40" s="548"/>
      <c r="AU40" s="549" t="str">
        <f t="shared" si="17"/>
        <v/>
      </c>
      <c r="AV40" s="549" t="str">
        <f t="shared" si="35"/>
        <v/>
      </c>
      <c r="AW40" s="547"/>
      <c r="AX40" s="550" t="str">
        <f t="shared" si="36"/>
        <v/>
      </c>
      <c r="AY40" s="550" t="str">
        <f t="shared" si="37"/>
        <v/>
      </c>
      <c r="BA40" s="102" t="str">
        <f t="shared" si="18"/>
        <v>SUM_CO2</v>
      </c>
      <c r="BD40" s="124" t="str">
        <f t="shared" si="19"/>
        <v/>
      </c>
      <c r="BE40" s="124" t="str">
        <f t="shared" si="20"/>
        <v/>
      </c>
      <c r="BF40" s="124" t="str">
        <f t="shared" si="21"/>
        <v/>
      </c>
      <c r="BH40" s="124" t="str">
        <f t="shared" si="22"/>
        <v/>
      </c>
      <c r="BI40" s="124" t="str">
        <f t="shared" si="23"/>
        <v/>
      </c>
      <c r="BJ40" s="124" t="str">
        <f t="shared" si="24"/>
        <v/>
      </c>
      <c r="BK40" s="125"/>
      <c r="BL40" s="124" t="str">
        <f t="shared" si="25"/>
        <v/>
      </c>
      <c r="BM40" s="124" t="str">
        <f t="shared" si="26"/>
        <v/>
      </c>
      <c r="BN40" s="124" t="str">
        <f t="shared" si="27"/>
        <v/>
      </c>
      <c r="BO40" s="124" t="str">
        <f t="shared" si="28"/>
        <v/>
      </c>
      <c r="BP40" s="102" t="b">
        <f t="shared" si="29"/>
        <v>1</v>
      </c>
      <c r="BQ40" s="125"/>
      <c r="BR40" s="102" t="str">
        <f t="shared" si="30"/>
        <v/>
      </c>
      <c r="BS40" s="102" t="str">
        <f t="shared" si="31"/>
        <v/>
      </c>
      <c r="BT40" s="102" t="str">
        <f t="shared" si="32"/>
        <v/>
      </c>
      <c r="BU40" s="102" t="str">
        <f t="shared" si="33"/>
        <v/>
      </c>
      <c r="BW40" s="124" t="b">
        <f t="shared" si="34"/>
        <v>0</v>
      </c>
    </row>
    <row r="41" spans="3:75" ht="12.75" customHeight="1" x14ac:dyDescent="0.25">
      <c r="C41" s="539">
        <v>25</v>
      </c>
      <c r="D41" s="540"/>
      <c r="E41" s="540"/>
      <c r="F41" s="854"/>
      <c r="G41" s="542"/>
      <c r="H41" s="541"/>
      <c r="I41" s="543" t="str">
        <f t="shared" si="0"/>
        <v/>
      </c>
      <c r="J41" s="541"/>
      <c r="K41" s="544"/>
      <c r="L41" s="741"/>
      <c r="M41" s="545" t="str">
        <f t="shared" si="16"/>
        <v/>
      </c>
      <c r="N41" s="829"/>
      <c r="O41" s="993" t="s">
        <v>99</v>
      </c>
      <c r="P41" s="829"/>
      <c r="Q41" s="993" t="s">
        <v>99</v>
      </c>
      <c r="R41" s="829"/>
      <c r="S41" s="546" t="s">
        <v>99</v>
      </c>
      <c r="T41" s="547"/>
      <c r="U41" s="547" t="s">
        <v>99</v>
      </c>
      <c r="V41" s="548"/>
      <c r="W41" s="548"/>
      <c r="X41" s="548"/>
      <c r="Y41" s="548"/>
      <c r="Z41" s="548"/>
      <c r="AA41" s="548"/>
      <c r="AB41" s="547"/>
      <c r="AC41" s="547"/>
      <c r="AD41" s="548"/>
      <c r="AE41" s="548"/>
      <c r="AF41" s="548"/>
      <c r="AG41" s="548"/>
      <c r="AH41" s="548"/>
      <c r="AI41" s="548"/>
      <c r="AJ41" s="548"/>
      <c r="AK41" s="548"/>
      <c r="AL41" s="548"/>
      <c r="AM41" s="548"/>
      <c r="AN41" s="548"/>
      <c r="AO41" s="548"/>
      <c r="AP41" s="548"/>
      <c r="AQ41" s="548"/>
      <c r="AR41" s="548"/>
      <c r="AS41" s="548"/>
      <c r="AT41" s="548"/>
      <c r="AU41" s="549" t="str">
        <f t="shared" si="17"/>
        <v/>
      </c>
      <c r="AV41" s="549" t="str">
        <f t="shared" si="35"/>
        <v/>
      </c>
      <c r="AW41" s="547"/>
      <c r="AX41" s="550" t="str">
        <f t="shared" si="36"/>
        <v/>
      </c>
      <c r="AY41" s="550" t="str">
        <f t="shared" si="37"/>
        <v/>
      </c>
      <c r="BA41" s="102" t="str">
        <f t="shared" si="18"/>
        <v>SUM_CO2</v>
      </c>
      <c r="BD41" s="124" t="str">
        <f t="shared" si="19"/>
        <v/>
      </c>
      <c r="BE41" s="124" t="str">
        <f t="shared" si="20"/>
        <v/>
      </c>
      <c r="BF41" s="124" t="str">
        <f t="shared" si="21"/>
        <v/>
      </c>
      <c r="BH41" s="124" t="str">
        <f t="shared" si="22"/>
        <v/>
      </c>
      <c r="BI41" s="124" t="str">
        <f t="shared" si="23"/>
        <v/>
      </c>
      <c r="BJ41" s="124" t="str">
        <f t="shared" si="24"/>
        <v/>
      </c>
      <c r="BK41" s="125"/>
      <c r="BL41" s="124" t="str">
        <f t="shared" si="25"/>
        <v/>
      </c>
      <c r="BM41" s="124" t="str">
        <f t="shared" si="26"/>
        <v/>
      </c>
      <c r="BN41" s="124" t="str">
        <f t="shared" si="27"/>
        <v/>
      </c>
      <c r="BO41" s="124" t="str">
        <f t="shared" si="28"/>
        <v/>
      </c>
      <c r="BP41" s="102" t="b">
        <f t="shared" si="29"/>
        <v>1</v>
      </c>
      <c r="BQ41" s="125"/>
      <c r="BR41" s="102" t="str">
        <f t="shared" si="30"/>
        <v/>
      </c>
      <c r="BS41" s="102" t="str">
        <f t="shared" si="31"/>
        <v/>
      </c>
      <c r="BT41" s="102" t="str">
        <f t="shared" si="32"/>
        <v/>
      </c>
      <c r="BU41" s="102" t="str">
        <f t="shared" si="33"/>
        <v/>
      </c>
      <c r="BW41" s="124" t="b">
        <f t="shared" si="34"/>
        <v>0</v>
      </c>
    </row>
    <row r="42" spans="3:75" ht="12.75" customHeight="1" x14ac:dyDescent="0.25">
      <c r="C42" s="539">
        <v>26</v>
      </c>
      <c r="D42" s="540"/>
      <c r="E42" s="540"/>
      <c r="F42" s="854"/>
      <c r="G42" s="542"/>
      <c r="H42" s="541"/>
      <c r="I42" s="543" t="str">
        <f t="shared" si="0"/>
        <v/>
      </c>
      <c r="J42" s="541"/>
      <c r="K42" s="544"/>
      <c r="L42" s="741"/>
      <c r="M42" s="545" t="str">
        <f t="shared" si="16"/>
        <v/>
      </c>
      <c r="N42" s="829"/>
      <c r="O42" s="993" t="s">
        <v>99</v>
      </c>
      <c r="P42" s="829"/>
      <c r="Q42" s="993" t="s">
        <v>99</v>
      </c>
      <c r="R42" s="829"/>
      <c r="S42" s="546" t="s">
        <v>99</v>
      </c>
      <c r="T42" s="547"/>
      <c r="U42" s="547" t="s">
        <v>99</v>
      </c>
      <c r="V42" s="548"/>
      <c r="W42" s="548"/>
      <c r="X42" s="548"/>
      <c r="Y42" s="548"/>
      <c r="Z42" s="548"/>
      <c r="AA42" s="548"/>
      <c r="AB42" s="547"/>
      <c r="AC42" s="547"/>
      <c r="AD42" s="548"/>
      <c r="AE42" s="548"/>
      <c r="AF42" s="548"/>
      <c r="AG42" s="548"/>
      <c r="AH42" s="548"/>
      <c r="AI42" s="548"/>
      <c r="AJ42" s="548"/>
      <c r="AK42" s="548"/>
      <c r="AL42" s="548"/>
      <c r="AM42" s="548"/>
      <c r="AN42" s="548"/>
      <c r="AO42" s="548"/>
      <c r="AP42" s="548"/>
      <c r="AQ42" s="548"/>
      <c r="AR42" s="548"/>
      <c r="AS42" s="548"/>
      <c r="AT42" s="548"/>
      <c r="AU42" s="549" t="str">
        <f t="shared" si="17"/>
        <v/>
      </c>
      <c r="AV42" s="549" t="str">
        <f t="shared" si="35"/>
        <v/>
      </c>
      <c r="AW42" s="547"/>
      <c r="AX42" s="550" t="str">
        <f t="shared" si="36"/>
        <v/>
      </c>
      <c r="AY42" s="550" t="str">
        <f t="shared" si="37"/>
        <v/>
      </c>
      <c r="BA42" s="102" t="str">
        <f t="shared" si="18"/>
        <v>SUM_CO2</v>
      </c>
      <c r="BD42" s="124" t="str">
        <f t="shared" si="19"/>
        <v/>
      </c>
      <c r="BE42" s="124" t="str">
        <f t="shared" si="20"/>
        <v/>
      </c>
      <c r="BF42" s="124" t="str">
        <f t="shared" si="21"/>
        <v/>
      </c>
      <c r="BH42" s="124" t="str">
        <f t="shared" si="22"/>
        <v/>
      </c>
      <c r="BI42" s="124" t="str">
        <f t="shared" si="23"/>
        <v/>
      </c>
      <c r="BJ42" s="124" t="str">
        <f t="shared" si="24"/>
        <v/>
      </c>
      <c r="BK42" s="125"/>
      <c r="BL42" s="124" t="str">
        <f t="shared" si="25"/>
        <v/>
      </c>
      <c r="BM42" s="124" t="str">
        <f t="shared" si="26"/>
        <v/>
      </c>
      <c r="BN42" s="124" t="str">
        <f t="shared" si="27"/>
        <v/>
      </c>
      <c r="BO42" s="124" t="str">
        <f t="shared" si="28"/>
        <v/>
      </c>
      <c r="BP42" s="102" t="b">
        <f t="shared" si="29"/>
        <v>1</v>
      </c>
      <c r="BQ42" s="125"/>
      <c r="BR42" s="102" t="str">
        <f t="shared" si="30"/>
        <v/>
      </c>
      <c r="BS42" s="102" t="str">
        <f t="shared" si="31"/>
        <v/>
      </c>
      <c r="BT42" s="102" t="str">
        <f t="shared" si="32"/>
        <v/>
      </c>
      <c r="BU42" s="102" t="str">
        <f t="shared" si="33"/>
        <v/>
      </c>
      <c r="BW42" s="124" t="b">
        <f t="shared" si="34"/>
        <v>0</v>
      </c>
    </row>
    <row r="43" spans="3:75" ht="12.75" customHeight="1" x14ac:dyDescent="0.25">
      <c r="C43" s="539">
        <v>27</v>
      </c>
      <c r="D43" s="540"/>
      <c r="E43" s="540"/>
      <c r="F43" s="854"/>
      <c r="G43" s="542"/>
      <c r="H43" s="541"/>
      <c r="I43" s="543" t="str">
        <f t="shared" si="0"/>
        <v/>
      </c>
      <c r="J43" s="541"/>
      <c r="K43" s="544"/>
      <c r="L43" s="741"/>
      <c r="M43" s="545" t="str">
        <f t="shared" si="16"/>
        <v/>
      </c>
      <c r="N43" s="829"/>
      <c r="O43" s="993" t="s">
        <v>99</v>
      </c>
      <c r="P43" s="829"/>
      <c r="Q43" s="993" t="s">
        <v>99</v>
      </c>
      <c r="R43" s="829"/>
      <c r="S43" s="546" t="s">
        <v>99</v>
      </c>
      <c r="T43" s="547"/>
      <c r="U43" s="547" t="s">
        <v>99</v>
      </c>
      <c r="V43" s="548"/>
      <c r="W43" s="548"/>
      <c r="X43" s="548"/>
      <c r="Y43" s="548"/>
      <c r="Z43" s="548"/>
      <c r="AA43" s="548"/>
      <c r="AB43" s="547"/>
      <c r="AC43" s="547"/>
      <c r="AD43" s="548"/>
      <c r="AE43" s="548"/>
      <c r="AF43" s="548"/>
      <c r="AG43" s="548"/>
      <c r="AH43" s="548"/>
      <c r="AI43" s="548"/>
      <c r="AJ43" s="548"/>
      <c r="AK43" s="548"/>
      <c r="AL43" s="548"/>
      <c r="AM43" s="548"/>
      <c r="AN43" s="548"/>
      <c r="AO43" s="548"/>
      <c r="AP43" s="548"/>
      <c r="AQ43" s="548"/>
      <c r="AR43" s="548"/>
      <c r="AS43" s="548"/>
      <c r="AT43" s="548"/>
      <c r="AU43" s="549" t="str">
        <f t="shared" si="17"/>
        <v/>
      </c>
      <c r="AV43" s="549" t="str">
        <f t="shared" si="35"/>
        <v/>
      </c>
      <c r="AW43" s="547"/>
      <c r="AX43" s="550" t="str">
        <f t="shared" si="36"/>
        <v/>
      </c>
      <c r="AY43" s="550" t="str">
        <f t="shared" si="37"/>
        <v/>
      </c>
      <c r="BA43" s="102" t="str">
        <f t="shared" si="18"/>
        <v>SUM_CO2</v>
      </c>
      <c r="BD43" s="124" t="str">
        <f t="shared" si="19"/>
        <v/>
      </c>
      <c r="BE43" s="124" t="str">
        <f t="shared" si="20"/>
        <v/>
      </c>
      <c r="BF43" s="124" t="str">
        <f t="shared" si="21"/>
        <v/>
      </c>
      <c r="BH43" s="124" t="str">
        <f t="shared" si="22"/>
        <v/>
      </c>
      <c r="BI43" s="124" t="str">
        <f t="shared" si="23"/>
        <v/>
      </c>
      <c r="BJ43" s="124" t="str">
        <f t="shared" si="24"/>
        <v/>
      </c>
      <c r="BK43" s="125"/>
      <c r="BL43" s="124" t="str">
        <f t="shared" si="25"/>
        <v/>
      </c>
      <c r="BM43" s="124" t="str">
        <f t="shared" si="26"/>
        <v/>
      </c>
      <c r="BN43" s="124" t="str">
        <f t="shared" si="27"/>
        <v/>
      </c>
      <c r="BO43" s="124" t="str">
        <f t="shared" si="28"/>
        <v/>
      </c>
      <c r="BP43" s="102" t="b">
        <f t="shared" si="29"/>
        <v>1</v>
      </c>
      <c r="BQ43" s="125"/>
      <c r="BR43" s="102" t="str">
        <f t="shared" si="30"/>
        <v/>
      </c>
      <c r="BS43" s="102" t="str">
        <f t="shared" si="31"/>
        <v/>
      </c>
      <c r="BT43" s="102" t="str">
        <f t="shared" si="32"/>
        <v/>
      </c>
      <c r="BU43" s="102" t="str">
        <f t="shared" si="33"/>
        <v/>
      </c>
      <c r="BW43" s="124" t="b">
        <f t="shared" si="34"/>
        <v>0</v>
      </c>
    </row>
    <row r="44" spans="3:75" ht="12.75" customHeight="1" x14ac:dyDescent="0.25">
      <c r="C44" s="539">
        <v>28</v>
      </c>
      <c r="D44" s="540"/>
      <c r="E44" s="540"/>
      <c r="F44" s="854"/>
      <c r="G44" s="542"/>
      <c r="H44" s="541"/>
      <c r="I44" s="543" t="str">
        <f t="shared" si="0"/>
        <v/>
      </c>
      <c r="J44" s="541"/>
      <c r="K44" s="544"/>
      <c r="L44" s="741"/>
      <c r="M44" s="545" t="str">
        <f t="shared" si="16"/>
        <v/>
      </c>
      <c r="N44" s="829"/>
      <c r="O44" s="993" t="s">
        <v>99</v>
      </c>
      <c r="P44" s="829"/>
      <c r="Q44" s="993" t="s">
        <v>99</v>
      </c>
      <c r="R44" s="829"/>
      <c r="S44" s="546" t="s">
        <v>99</v>
      </c>
      <c r="T44" s="547"/>
      <c r="U44" s="547" t="s">
        <v>99</v>
      </c>
      <c r="V44" s="548"/>
      <c r="W44" s="548"/>
      <c r="X44" s="548"/>
      <c r="Y44" s="548"/>
      <c r="Z44" s="548"/>
      <c r="AA44" s="548"/>
      <c r="AB44" s="547"/>
      <c r="AC44" s="547"/>
      <c r="AD44" s="548"/>
      <c r="AE44" s="548"/>
      <c r="AF44" s="548"/>
      <c r="AG44" s="548"/>
      <c r="AH44" s="548"/>
      <c r="AI44" s="548"/>
      <c r="AJ44" s="548"/>
      <c r="AK44" s="548"/>
      <c r="AL44" s="548"/>
      <c r="AM44" s="548"/>
      <c r="AN44" s="548"/>
      <c r="AO44" s="548"/>
      <c r="AP44" s="548"/>
      <c r="AQ44" s="548"/>
      <c r="AR44" s="548"/>
      <c r="AS44" s="548"/>
      <c r="AT44" s="548"/>
      <c r="AU44" s="549" t="str">
        <f t="shared" si="17"/>
        <v/>
      </c>
      <c r="AV44" s="549" t="str">
        <f t="shared" si="35"/>
        <v/>
      </c>
      <c r="AW44" s="547"/>
      <c r="AX44" s="550" t="str">
        <f t="shared" si="36"/>
        <v/>
      </c>
      <c r="AY44" s="550" t="str">
        <f t="shared" si="37"/>
        <v/>
      </c>
      <c r="BA44" s="102" t="str">
        <f t="shared" si="18"/>
        <v>SUM_CO2</v>
      </c>
      <c r="BD44" s="124" t="str">
        <f t="shared" si="19"/>
        <v/>
      </c>
      <c r="BE44" s="124" t="str">
        <f t="shared" si="20"/>
        <v/>
      </c>
      <c r="BF44" s="124" t="str">
        <f t="shared" si="21"/>
        <v/>
      </c>
      <c r="BH44" s="124" t="str">
        <f t="shared" si="22"/>
        <v/>
      </c>
      <c r="BI44" s="124" t="str">
        <f t="shared" si="23"/>
        <v/>
      </c>
      <c r="BJ44" s="124" t="str">
        <f t="shared" si="24"/>
        <v/>
      </c>
      <c r="BK44" s="125"/>
      <c r="BL44" s="124" t="str">
        <f t="shared" si="25"/>
        <v/>
      </c>
      <c r="BM44" s="124" t="str">
        <f t="shared" si="26"/>
        <v/>
      </c>
      <c r="BN44" s="124" t="str">
        <f t="shared" si="27"/>
        <v/>
      </c>
      <c r="BO44" s="124" t="str">
        <f t="shared" si="28"/>
        <v/>
      </c>
      <c r="BP44" s="102" t="b">
        <f t="shared" si="29"/>
        <v>1</v>
      </c>
      <c r="BQ44" s="125"/>
      <c r="BR44" s="102" t="str">
        <f t="shared" si="30"/>
        <v/>
      </c>
      <c r="BS44" s="102" t="str">
        <f t="shared" si="31"/>
        <v/>
      </c>
      <c r="BT44" s="102" t="str">
        <f t="shared" si="32"/>
        <v/>
      </c>
      <c r="BU44" s="102" t="str">
        <f t="shared" si="33"/>
        <v/>
      </c>
      <c r="BW44" s="124" t="b">
        <f t="shared" si="34"/>
        <v>0</v>
      </c>
    </row>
    <row r="45" spans="3:75" ht="12.75" customHeight="1" x14ac:dyDescent="0.25">
      <c r="C45" s="539">
        <v>29</v>
      </c>
      <c r="D45" s="540"/>
      <c r="E45" s="540"/>
      <c r="F45" s="854"/>
      <c r="G45" s="542"/>
      <c r="H45" s="541"/>
      <c r="I45" s="543" t="str">
        <f t="shared" si="0"/>
        <v/>
      </c>
      <c r="J45" s="541"/>
      <c r="K45" s="544"/>
      <c r="L45" s="741"/>
      <c r="M45" s="545" t="str">
        <f t="shared" si="16"/>
        <v/>
      </c>
      <c r="N45" s="829"/>
      <c r="O45" s="993" t="s">
        <v>99</v>
      </c>
      <c r="P45" s="829"/>
      <c r="Q45" s="993" t="s">
        <v>99</v>
      </c>
      <c r="R45" s="829"/>
      <c r="S45" s="546" t="s">
        <v>99</v>
      </c>
      <c r="T45" s="547"/>
      <c r="U45" s="547" t="s">
        <v>99</v>
      </c>
      <c r="V45" s="548"/>
      <c r="W45" s="548"/>
      <c r="X45" s="548"/>
      <c r="Y45" s="548"/>
      <c r="Z45" s="548"/>
      <c r="AA45" s="548"/>
      <c r="AB45" s="547"/>
      <c r="AC45" s="547"/>
      <c r="AD45" s="548"/>
      <c r="AE45" s="548"/>
      <c r="AF45" s="548"/>
      <c r="AG45" s="548"/>
      <c r="AH45" s="548"/>
      <c r="AI45" s="548"/>
      <c r="AJ45" s="548"/>
      <c r="AK45" s="548"/>
      <c r="AL45" s="548"/>
      <c r="AM45" s="548"/>
      <c r="AN45" s="548"/>
      <c r="AO45" s="548"/>
      <c r="AP45" s="548"/>
      <c r="AQ45" s="548"/>
      <c r="AR45" s="548"/>
      <c r="AS45" s="548"/>
      <c r="AT45" s="548"/>
      <c r="AU45" s="549" t="str">
        <f t="shared" si="17"/>
        <v/>
      </c>
      <c r="AV45" s="549" t="str">
        <f t="shared" si="35"/>
        <v/>
      </c>
      <c r="AW45" s="547"/>
      <c r="AX45" s="550" t="str">
        <f t="shared" si="36"/>
        <v/>
      </c>
      <c r="AY45" s="550" t="str">
        <f t="shared" si="37"/>
        <v/>
      </c>
      <c r="BA45" s="102" t="str">
        <f t="shared" si="18"/>
        <v>SUM_CO2</v>
      </c>
      <c r="BD45" s="124" t="str">
        <f t="shared" si="19"/>
        <v/>
      </c>
      <c r="BE45" s="124" t="str">
        <f t="shared" si="20"/>
        <v/>
      </c>
      <c r="BF45" s="124" t="str">
        <f t="shared" si="21"/>
        <v/>
      </c>
      <c r="BH45" s="124" t="str">
        <f t="shared" si="22"/>
        <v/>
      </c>
      <c r="BI45" s="124" t="str">
        <f t="shared" si="23"/>
        <v/>
      </c>
      <c r="BJ45" s="124" t="str">
        <f t="shared" si="24"/>
        <v/>
      </c>
      <c r="BK45" s="125"/>
      <c r="BL45" s="124" t="str">
        <f t="shared" si="25"/>
        <v/>
      </c>
      <c r="BM45" s="124" t="str">
        <f t="shared" si="26"/>
        <v/>
      </c>
      <c r="BN45" s="124" t="str">
        <f t="shared" si="27"/>
        <v/>
      </c>
      <c r="BO45" s="124" t="str">
        <f t="shared" si="28"/>
        <v/>
      </c>
      <c r="BP45" s="102" t="b">
        <f t="shared" si="29"/>
        <v>1</v>
      </c>
      <c r="BQ45" s="125"/>
      <c r="BR45" s="102" t="str">
        <f t="shared" si="30"/>
        <v/>
      </c>
      <c r="BS45" s="102" t="str">
        <f t="shared" si="31"/>
        <v/>
      </c>
      <c r="BT45" s="102" t="str">
        <f t="shared" si="32"/>
        <v/>
      </c>
      <c r="BU45" s="102" t="str">
        <f t="shared" si="33"/>
        <v/>
      </c>
      <c r="BW45" s="124" t="b">
        <f t="shared" si="34"/>
        <v>0</v>
      </c>
    </row>
    <row r="46" spans="3:75" ht="12.75" customHeight="1" x14ac:dyDescent="0.25">
      <c r="C46" s="539">
        <v>30</v>
      </c>
      <c r="D46" s="540"/>
      <c r="E46" s="540"/>
      <c r="F46" s="854"/>
      <c r="G46" s="542"/>
      <c r="H46" s="541"/>
      <c r="I46" s="543" t="str">
        <f t="shared" si="0"/>
        <v/>
      </c>
      <c r="J46" s="541"/>
      <c r="K46" s="544"/>
      <c r="L46" s="741"/>
      <c r="M46" s="545" t="str">
        <f t="shared" si="16"/>
        <v/>
      </c>
      <c r="N46" s="829"/>
      <c r="O46" s="993" t="s">
        <v>99</v>
      </c>
      <c r="P46" s="829"/>
      <c r="Q46" s="993" t="s">
        <v>99</v>
      </c>
      <c r="R46" s="829"/>
      <c r="S46" s="546" t="s">
        <v>99</v>
      </c>
      <c r="T46" s="547"/>
      <c r="U46" s="547" t="s">
        <v>99</v>
      </c>
      <c r="V46" s="548"/>
      <c r="W46" s="548"/>
      <c r="X46" s="548"/>
      <c r="Y46" s="548"/>
      <c r="Z46" s="548"/>
      <c r="AA46" s="548"/>
      <c r="AB46" s="547"/>
      <c r="AC46" s="547"/>
      <c r="AD46" s="548"/>
      <c r="AE46" s="548"/>
      <c r="AF46" s="548"/>
      <c r="AG46" s="548"/>
      <c r="AH46" s="548"/>
      <c r="AI46" s="548"/>
      <c r="AJ46" s="548"/>
      <c r="AK46" s="548"/>
      <c r="AL46" s="548"/>
      <c r="AM46" s="548"/>
      <c r="AN46" s="548"/>
      <c r="AO46" s="548"/>
      <c r="AP46" s="548"/>
      <c r="AQ46" s="548"/>
      <c r="AR46" s="548"/>
      <c r="AS46" s="548"/>
      <c r="AT46" s="548"/>
      <c r="AU46" s="549" t="str">
        <f t="shared" si="17"/>
        <v/>
      </c>
      <c r="AV46" s="549" t="str">
        <f t="shared" si="35"/>
        <v/>
      </c>
      <c r="AW46" s="547"/>
      <c r="AX46" s="550" t="str">
        <f t="shared" si="36"/>
        <v/>
      </c>
      <c r="AY46" s="550" t="str">
        <f t="shared" si="37"/>
        <v/>
      </c>
      <c r="BA46" s="102" t="str">
        <f t="shared" si="18"/>
        <v>SUM_CO2</v>
      </c>
      <c r="BD46" s="124" t="str">
        <f t="shared" si="19"/>
        <v/>
      </c>
      <c r="BE46" s="124" t="str">
        <f t="shared" si="20"/>
        <v/>
      </c>
      <c r="BF46" s="124" t="str">
        <f t="shared" si="21"/>
        <v/>
      </c>
      <c r="BH46" s="124" t="str">
        <f t="shared" si="22"/>
        <v/>
      </c>
      <c r="BI46" s="124" t="str">
        <f t="shared" si="23"/>
        <v/>
      </c>
      <c r="BJ46" s="124" t="str">
        <f t="shared" si="24"/>
        <v/>
      </c>
      <c r="BK46" s="125"/>
      <c r="BL46" s="124" t="str">
        <f t="shared" si="25"/>
        <v/>
      </c>
      <c r="BM46" s="124" t="str">
        <f t="shared" si="26"/>
        <v/>
      </c>
      <c r="BN46" s="124" t="str">
        <f t="shared" si="27"/>
        <v/>
      </c>
      <c r="BO46" s="124" t="str">
        <f t="shared" si="28"/>
        <v/>
      </c>
      <c r="BP46" s="102" t="b">
        <f t="shared" si="29"/>
        <v>1</v>
      </c>
      <c r="BQ46" s="125"/>
      <c r="BR46" s="102" t="str">
        <f t="shared" si="30"/>
        <v/>
      </c>
      <c r="BS46" s="102" t="str">
        <f t="shared" si="31"/>
        <v/>
      </c>
      <c r="BT46" s="102" t="str">
        <f t="shared" si="32"/>
        <v/>
      </c>
      <c r="BU46" s="102" t="str">
        <f t="shared" si="33"/>
        <v/>
      </c>
      <c r="BW46" s="124" t="b">
        <f t="shared" si="34"/>
        <v>0</v>
      </c>
    </row>
    <row r="47" spans="3:75" ht="12.75" customHeight="1" x14ac:dyDescent="0.25">
      <c r="C47" s="539">
        <v>31</v>
      </c>
      <c r="D47" s="540"/>
      <c r="E47" s="540"/>
      <c r="F47" s="854"/>
      <c r="G47" s="542"/>
      <c r="H47" s="541"/>
      <c r="I47" s="543" t="str">
        <f t="shared" si="0"/>
        <v/>
      </c>
      <c r="J47" s="541"/>
      <c r="K47" s="544"/>
      <c r="L47" s="741"/>
      <c r="M47" s="545" t="str">
        <f t="shared" si="16"/>
        <v/>
      </c>
      <c r="N47" s="829"/>
      <c r="O47" s="993" t="s">
        <v>99</v>
      </c>
      <c r="P47" s="829"/>
      <c r="Q47" s="993" t="s">
        <v>99</v>
      </c>
      <c r="R47" s="829"/>
      <c r="S47" s="546" t="s">
        <v>99</v>
      </c>
      <c r="T47" s="547"/>
      <c r="U47" s="547" t="s">
        <v>99</v>
      </c>
      <c r="V47" s="548"/>
      <c r="W47" s="548"/>
      <c r="X47" s="548"/>
      <c r="Y47" s="548"/>
      <c r="Z47" s="548"/>
      <c r="AA47" s="548"/>
      <c r="AB47" s="547"/>
      <c r="AC47" s="547"/>
      <c r="AD47" s="548"/>
      <c r="AE47" s="548"/>
      <c r="AF47" s="548"/>
      <c r="AG47" s="548"/>
      <c r="AH47" s="548"/>
      <c r="AI47" s="548"/>
      <c r="AJ47" s="548"/>
      <c r="AK47" s="548"/>
      <c r="AL47" s="548"/>
      <c r="AM47" s="548"/>
      <c r="AN47" s="548"/>
      <c r="AO47" s="548"/>
      <c r="AP47" s="548"/>
      <c r="AQ47" s="548"/>
      <c r="AR47" s="548"/>
      <c r="AS47" s="548"/>
      <c r="AT47" s="548"/>
      <c r="AU47" s="549" t="str">
        <f t="shared" si="17"/>
        <v/>
      </c>
      <c r="AV47" s="549" t="str">
        <f t="shared" si="35"/>
        <v/>
      </c>
      <c r="AW47" s="547"/>
      <c r="AX47" s="550" t="str">
        <f t="shared" si="36"/>
        <v/>
      </c>
      <c r="AY47" s="550" t="str">
        <f t="shared" si="37"/>
        <v/>
      </c>
      <c r="BA47" s="102" t="str">
        <f t="shared" si="18"/>
        <v>SUM_CO2</v>
      </c>
      <c r="BD47" s="124" t="str">
        <f t="shared" si="19"/>
        <v/>
      </c>
      <c r="BE47" s="124" t="str">
        <f t="shared" si="20"/>
        <v/>
      </c>
      <c r="BF47" s="124" t="str">
        <f t="shared" si="21"/>
        <v/>
      </c>
      <c r="BH47" s="124" t="str">
        <f t="shared" si="22"/>
        <v/>
      </c>
      <c r="BI47" s="124" t="str">
        <f t="shared" si="23"/>
        <v/>
      </c>
      <c r="BJ47" s="124" t="str">
        <f t="shared" si="24"/>
        <v/>
      </c>
      <c r="BK47" s="125"/>
      <c r="BL47" s="124" t="str">
        <f t="shared" si="25"/>
        <v/>
      </c>
      <c r="BM47" s="124" t="str">
        <f t="shared" si="26"/>
        <v/>
      </c>
      <c r="BN47" s="124" t="str">
        <f t="shared" si="27"/>
        <v/>
      </c>
      <c r="BO47" s="124" t="str">
        <f t="shared" si="28"/>
        <v/>
      </c>
      <c r="BP47" s="102" t="b">
        <f t="shared" si="29"/>
        <v>1</v>
      </c>
      <c r="BQ47" s="125"/>
      <c r="BR47" s="102" t="str">
        <f t="shared" si="30"/>
        <v/>
      </c>
      <c r="BS47" s="102" t="str">
        <f t="shared" si="31"/>
        <v/>
      </c>
      <c r="BT47" s="102" t="str">
        <f t="shared" si="32"/>
        <v/>
      </c>
      <c r="BU47" s="102" t="str">
        <f t="shared" si="33"/>
        <v/>
      </c>
      <c r="BW47" s="124" t="b">
        <f t="shared" si="34"/>
        <v>0</v>
      </c>
    </row>
    <row r="48" spans="3:75" ht="12.75" customHeight="1" x14ac:dyDescent="0.25">
      <c r="C48" s="539">
        <v>32</v>
      </c>
      <c r="D48" s="540"/>
      <c r="E48" s="540"/>
      <c r="F48" s="854"/>
      <c r="G48" s="542"/>
      <c r="H48" s="541"/>
      <c r="I48" s="543" t="str">
        <f t="shared" si="0"/>
        <v/>
      </c>
      <c r="J48" s="541"/>
      <c r="K48" s="544"/>
      <c r="L48" s="741"/>
      <c r="M48" s="545" t="str">
        <f t="shared" si="16"/>
        <v/>
      </c>
      <c r="N48" s="829"/>
      <c r="O48" s="993" t="s">
        <v>99</v>
      </c>
      <c r="P48" s="829"/>
      <c r="Q48" s="993" t="s">
        <v>99</v>
      </c>
      <c r="R48" s="829"/>
      <c r="S48" s="546" t="s">
        <v>99</v>
      </c>
      <c r="T48" s="547"/>
      <c r="U48" s="547" t="s">
        <v>99</v>
      </c>
      <c r="V48" s="548"/>
      <c r="W48" s="548"/>
      <c r="X48" s="548"/>
      <c r="Y48" s="548"/>
      <c r="Z48" s="548"/>
      <c r="AA48" s="548"/>
      <c r="AB48" s="547"/>
      <c r="AC48" s="547"/>
      <c r="AD48" s="548"/>
      <c r="AE48" s="548"/>
      <c r="AF48" s="548"/>
      <c r="AG48" s="548"/>
      <c r="AH48" s="548"/>
      <c r="AI48" s="548"/>
      <c r="AJ48" s="548"/>
      <c r="AK48" s="548"/>
      <c r="AL48" s="548"/>
      <c r="AM48" s="548"/>
      <c r="AN48" s="548"/>
      <c r="AO48" s="548"/>
      <c r="AP48" s="548"/>
      <c r="AQ48" s="548"/>
      <c r="AR48" s="548"/>
      <c r="AS48" s="548"/>
      <c r="AT48" s="548"/>
      <c r="AU48" s="549" t="str">
        <f t="shared" si="17"/>
        <v/>
      </c>
      <c r="AV48" s="549" t="str">
        <f t="shared" si="35"/>
        <v/>
      </c>
      <c r="AW48" s="547"/>
      <c r="AX48" s="550" t="str">
        <f t="shared" si="36"/>
        <v/>
      </c>
      <c r="AY48" s="550" t="str">
        <f t="shared" si="37"/>
        <v/>
      </c>
      <c r="BA48" s="102" t="str">
        <f t="shared" si="18"/>
        <v>SUM_CO2</v>
      </c>
      <c r="BD48" s="124" t="str">
        <f t="shared" si="19"/>
        <v/>
      </c>
      <c r="BE48" s="124" t="str">
        <f t="shared" si="20"/>
        <v/>
      </c>
      <c r="BF48" s="124" t="str">
        <f t="shared" si="21"/>
        <v/>
      </c>
      <c r="BH48" s="124" t="str">
        <f t="shared" si="22"/>
        <v/>
      </c>
      <c r="BI48" s="124" t="str">
        <f t="shared" si="23"/>
        <v/>
      </c>
      <c r="BJ48" s="124" t="str">
        <f t="shared" si="24"/>
        <v/>
      </c>
      <c r="BK48" s="125"/>
      <c r="BL48" s="124" t="str">
        <f t="shared" si="25"/>
        <v/>
      </c>
      <c r="BM48" s="124" t="str">
        <f t="shared" si="26"/>
        <v/>
      </c>
      <c r="BN48" s="124" t="str">
        <f t="shared" si="27"/>
        <v/>
      </c>
      <c r="BO48" s="124" t="str">
        <f t="shared" si="28"/>
        <v/>
      </c>
      <c r="BP48" s="102" t="b">
        <f t="shared" si="29"/>
        <v>1</v>
      </c>
      <c r="BQ48" s="125"/>
      <c r="BR48" s="102" t="str">
        <f t="shared" si="30"/>
        <v/>
      </c>
      <c r="BS48" s="102" t="str">
        <f t="shared" si="31"/>
        <v/>
      </c>
      <c r="BT48" s="102" t="str">
        <f t="shared" si="32"/>
        <v/>
      </c>
      <c r="BU48" s="102" t="str">
        <f t="shared" si="33"/>
        <v/>
      </c>
      <c r="BW48" s="124" t="b">
        <f t="shared" si="34"/>
        <v>0</v>
      </c>
    </row>
    <row r="49" spans="3:75" ht="12.75" customHeight="1" x14ac:dyDescent="0.25">
      <c r="C49" s="539">
        <v>33</v>
      </c>
      <c r="D49" s="540"/>
      <c r="E49" s="540"/>
      <c r="F49" s="854"/>
      <c r="G49" s="542"/>
      <c r="H49" s="541"/>
      <c r="I49" s="543" t="str">
        <f t="shared" ref="I49:I80" si="38">IF(E49="","",IF(G49="","", IF(G49=CONST_kNm3,CONST_GJpkNm3,CONST_GJpt)))</f>
        <v/>
      </c>
      <c r="J49" s="541"/>
      <c r="K49" s="544"/>
      <c r="L49" s="741"/>
      <c r="M49" s="545" t="str">
        <f t="shared" ref="M49:M80" si="39">IF(D49&lt;&gt;INDEX(CONST_MonitoringApproach,3),"", IF(G49="","", CONST_tC&amp;"/"&amp;IF(G49="",CONST_t,G49)))</f>
        <v/>
      </c>
      <c r="N49" s="829"/>
      <c r="O49" s="993" t="s">
        <v>99</v>
      </c>
      <c r="P49" s="829"/>
      <c r="Q49" s="993" t="s">
        <v>99</v>
      </c>
      <c r="R49" s="829"/>
      <c r="S49" s="546" t="s">
        <v>99</v>
      </c>
      <c r="T49" s="547"/>
      <c r="U49" s="547" t="s">
        <v>99</v>
      </c>
      <c r="V49" s="548"/>
      <c r="W49" s="548"/>
      <c r="X49" s="548"/>
      <c r="Y49" s="548"/>
      <c r="Z49" s="548"/>
      <c r="AA49" s="548"/>
      <c r="AB49" s="547"/>
      <c r="AC49" s="547"/>
      <c r="AD49" s="548"/>
      <c r="AE49" s="548"/>
      <c r="AF49" s="548"/>
      <c r="AG49" s="548"/>
      <c r="AH49" s="548"/>
      <c r="AI49" s="548"/>
      <c r="AJ49" s="548"/>
      <c r="AK49" s="548"/>
      <c r="AL49" s="548"/>
      <c r="AM49" s="548"/>
      <c r="AN49" s="548"/>
      <c r="AO49" s="548"/>
      <c r="AP49" s="548"/>
      <c r="AQ49" s="548"/>
      <c r="AR49" s="548"/>
      <c r="AS49" s="548"/>
      <c r="AT49" s="548"/>
      <c r="AU49" s="549" t="str">
        <f t="shared" ref="AU49:AU80" si="40">IF($D49="","",IF(BR49=FALSE,CONST_ERR_Inconsistent,IF(COUNTIF(BS49:BU49,FALSE)&gt;0,CONST_ERR_Incomplete,SUM(BD49:BF49))))</f>
        <v/>
      </c>
      <c r="AV49" s="549" t="str">
        <f t="shared" si="35"/>
        <v/>
      </c>
      <c r="AW49" s="547"/>
      <c r="AX49" s="550" t="str">
        <f t="shared" si="36"/>
        <v/>
      </c>
      <c r="AY49" s="550" t="str">
        <f t="shared" si="37"/>
        <v/>
      </c>
      <c r="BA49" s="102" t="str">
        <f t="shared" si="18"/>
        <v>SUM_CO2</v>
      </c>
      <c r="BD49" s="124" t="str">
        <f t="shared" ref="BD49:BD80" si="41">IF($D49&lt;&gt;INDEX(CONST_MonitoringApproach,1),"",$F49*IF($K49=CONST_tCO2pTJ,$H49/1000,1)*$J49*IF($N49="",1,$N49/100)*(1-$R49/100))</f>
        <v/>
      </c>
      <c r="BE49" s="124" t="str">
        <f t="shared" ref="BE49:BE80" si="42">IF($D49&lt;&gt;INDEX(CONST_MonitoringApproach,2),"",$F49*IF($K49=CONST_tCO2pTJ,$H49/1000,1)*$J49*IF($P49="",1,$P49/100)*(1-$R49/100))</f>
        <v/>
      </c>
      <c r="BF49" s="124" t="str">
        <f t="shared" ref="BF49:BF80" si="43">IF($D49&lt;&gt;INDEX(CONST_MonitoringApproach,3),"",$F49*$L49*3.664*(1-$R49/100))</f>
        <v/>
      </c>
      <c r="BH49" s="124" t="str">
        <f t="shared" ref="BH49:BH80" si="44">IF($D49&lt;&gt;INDEX(CONST_MonitoringApproach,1),"",$F49*IF($K49=CONST_tCO2pTJ,$H49/1000,1)*$J49*IF($N49="",1,$N49/100)*($R49/100))</f>
        <v/>
      </c>
      <c r="BI49" s="124" t="str">
        <f t="shared" ref="BI49:BI80" si="45">IF($D49&lt;&gt;INDEX(CONST_MonitoringApproach,2),"",$F49*IF($K49=CONST_tCO2pTJ,$H49/1000,1)*$J49*IF($P49="",1,$P49/100)*($R49/100))</f>
        <v/>
      </c>
      <c r="BJ49" s="124" t="str">
        <f t="shared" ref="BJ49:BJ80" si="46">IF($D49&lt;&gt;INDEX(CONST_MonitoringApproach,3),"",$F49*$L49*3.664*($R49/100))</f>
        <v/>
      </c>
      <c r="BK49" s="125"/>
      <c r="BL49" s="124" t="str">
        <f t="shared" si="25"/>
        <v/>
      </c>
      <c r="BM49" s="124" t="str">
        <f t="shared" si="26"/>
        <v/>
      </c>
      <c r="BN49" s="124" t="str">
        <f t="shared" si="27"/>
        <v/>
      </c>
      <c r="BO49" s="124" t="str">
        <f t="shared" si="28"/>
        <v/>
      </c>
      <c r="BP49" s="102" t="b">
        <f t="shared" ref="BP49:BP80" si="47">OR($K49&lt;&gt;CONST_tCO2pTJ,$D49=INDEX(CONST_MonitoringApproach,3))</f>
        <v>1</v>
      </c>
      <c r="BQ49" s="125"/>
      <c r="BR49" s="102" t="str">
        <f t="shared" ref="BR49:BR80" si="48">IF($D49="","",OR(AND($G49 = INDEX(CONST_torkNm3,1), $K49=INDEX(CONST_tCO2pTJOrtCO2pt,2)),AND($G49 = INDEX(CONST_torkNm3,2),$K49=INDEX(CONST_tCO2pTJOrtCO2pt,3)),$K49=INDEX(CONST_tCO2pTJOrtCO2pt,1),$D49=INDEX(CONST_MonitoringApproach,3)))</f>
        <v/>
      </c>
      <c r="BS49" s="102" t="str">
        <f t="shared" ref="BS49:BS80" si="49">IF($D49&lt;&gt;INDEX(CONST_MonitoringApproach,1),"", AND(COUNTA($E49,$G49,$K49)=3,COUNT($F49,$J49)=2,IF($K49=CONST_tCO2pTJ,ISNUMBER($H49),TRUE)))</f>
        <v/>
      </c>
      <c r="BT49" s="102" t="str">
        <f t="shared" ref="BT49:BT80" si="50">IF($D49&lt;&gt;INDEX(CONST_MonitoringApproach,2),"", AND(COUNTA($E49,$G49,$K49)=3,COUNT($F49,$J49)=2,IF($K49=CONST_tCO2pTJ,ISNUMBER($H49),TRUE)))</f>
        <v/>
      </c>
      <c r="BU49" s="102" t="str">
        <f t="shared" ref="BU49:BU80" si="51">IF($D49&lt;&gt;INDEX(CONST_MonitoringApproach,3),"",AND(COUNTA($E49,$G49)=2,COUNT($F49,$L49)=2))</f>
        <v/>
      </c>
      <c r="BW49" s="124" t="b">
        <f t="shared" ref="BW49:BW80" si="52">AND(CNTR_HasEntriesA,D49="")</f>
        <v>0</v>
      </c>
    </row>
    <row r="50" spans="3:75" ht="12.75" customHeight="1" x14ac:dyDescent="0.25">
      <c r="C50" s="539">
        <v>34</v>
      </c>
      <c r="D50" s="540"/>
      <c r="E50" s="540"/>
      <c r="F50" s="854"/>
      <c r="G50" s="542"/>
      <c r="H50" s="541"/>
      <c r="I50" s="543" t="str">
        <f t="shared" si="38"/>
        <v/>
      </c>
      <c r="J50" s="541"/>
      <c r="K50" s="544"/>
      <c r="L50" s="741"/>
      <c r="M50" s="545" t="str">
        <f t="shared" si="39"/>
        <v/>
      </c>
      <c r="N50" s="829"/>
      <c r="O50" s="993" t="s">
        <v>99</v>
      </c>
      <c r="P50" s="829"/>
      <c r="Q50" s="993" t="s">
        <v>99</v>
      </c>
      <c r="R50" s="829"/>
      <c r="S50" s="546" t="s">
        <v>99</v>
      </c>
      <c r="T50" s="547"/>
      <c r="U50" s="547" t="s">
        <v>99</v>
      </c>
      <c r="V50" s="548"/>
      <c r="W50" s="548"/>
      <c r="X50" s="548"/>
      <c r="Y50" s="548"/>
      <c r="Z50" s="548"/>
      <c r="AA50" s="548"/>
      <c r="AB50" s="547"/>
      <c r="AC50" s="547"/>
      <c r="AD50" s="548"/>
      <c r="AE50" s="548"/>
      <c r="AF50" s="548"/>
      <c r="AG50" s="548"/>
      <c r="AH50" s="548"/>
      <c r="AI50" s="548"/>
      <c r="AJ50" s="548"/>
      <c r="AK50" s="548"/>
      <c r="AL50" s="548"/>
      <c r="AM50" s="548"/>
      <c r="AN50" s="548"/>
      <c r="AO50" s="548"/>
      <c r="AP50" s="548"/>
      <c r="AQ50" s="548"/>
      <c r="AR50" s="548"/>
      <c r="AS50" s="548"/>
      <c r="AT50" s="548"/>
      <c r="AU50" s="549" t="str">
        <f t="shared" si="40"/>
        <v/>
      </c>
      <c r="AV50" s="549" t="str">
        <f t="shared" si="35"/>
        <v/>
      </c>
      <c r="AW50" s="547"/>
      <c r="AX50" s="550" t="str">
        <f t="shared" si="36"/>
        <v/>
      </c>
      <c r="AY50" s="550" t="str">
        <f t="shared" si="37"/>
        <v/>
      </c>
      <c r="BA50" s="102" t="str">
        <f t="shared" si="18"/>
        <v>SUM_CO2</v>
      </c>
      <c r="BD50" s="124" t="str">
        <f t="shared" si="41"/>
        <v/>
      </c>
      <c r="BE50" s="124" t="str">
        <f t="shared" si="42"/>
        <v/>
      </c>
      <c r="BF50" s="124" t="str">
        <f t="shared" si="43"/>
        <v/>
      </c>
      <c r="BH50" s="124" t="str">
        <f t="shared" si="44"/>
        <v/>
      </c>
      <c r="BI50" s="124" t="str">
        <f t="shared" si="45"/>
        <v/>
      </c>
      <c r="BJ50" s="124" t="str">
        <f t="shared" si="46"/>
        <v/>
      </c>
      <c r="BK50" s="125"/>
      <c r="BL50" s="124" t="str">
        <f t="shared" si="25"/>
        <v/>
      </c>
      <c r="BM50" s="124" t="str">
        <f t="shared" si="26"/>
        <v/>
      </c>
      <c r="BN50" s="124" t="str">
        <f t="shared" si="27"/>
        <v/>
      </c>
      <c r="BO50" s="124" t="str">
        <f t="shared" si="28"/>
        <v/>
      </c>
      <c r="BP50" s="102" t="b">
        <f t="shared" si="47"/>
        <v>1</v>
      </c>
      <c r="BQ50" s="125"/>
      <c r="BR50" s="102" t="str">
        <f t="shared" si="48"/>
        <v/>
      </c>
      <c r="BS50" s="102" t="str">
        <f t="shared" si="49"/>
        <v/>
      </c>
      <c r="BT50" s="102" t="str">
        <f t="shared" si="50"/>
        <v/>
      </c>
      <c r="BU50" s="102" t="str">
        <f t="shared" si="51"/>
        <v/>
      </c>
      <c r="BW50" s="124" t="b">
        <f t="shared" si="52"/>
        <v>0</v>
      </c>
    </row>
    <row r="51" spans="3:75" ht="12.75" customHeight="1" x14ac:dyDescent="0.25">
      <c r="C51" s="539">
        <v>35</v>
      </c>
      <c r="D51" s="540"/>
      <c r="E51" s="540"/>
      <c r="F51" s="854"/>
      <c r="G51" s="542"/>
      <c r="H51" s="541"/>
      <c r="I51" s="543" t="str">
        <f t="shared" si="38"/>
        <v/>
      </c>
      <c r="J51" s="541"/>
      <c r="K51" s="544"/>
      <c r="L51" s="741"/>
      <c r="M51" s="545" t="str">
        <f t="shared" si="39"/>
        <v/>
      </c>
      <c r="N51" s="829"/>
      <c r="O51" s="993" t="s">
        <v>99</v>
      </c>
      <c r="P51" s="829"/>
      <c r="Q51" s="993" t="s">
        <v>99</v>
      </c>
      <c r="R51" s="829"/>
      <c r="S51" s="546" t="s">
        <v>99</v>
      </c>
      <c r="T51" s="547"/>
      <c r="U51" s="547" t="s">
        <v>99</v>
      </c>
      <c r="V51" s="548"/>
      <c r="W51" s="548"/>
      <c r="X51" s="548"/>
      <c r="Y51" s="548"/>
      <c r="Z51" s="548"/>
      <c r="AA51" s="548"/>
      <c r="AB51" s="547"/>
      <c r="AC51" s="547"/>
      <c r="AD51" s="548"/>
      <c r="AE51" s="548"/>
      <c r="AF51" s="548"/>
      <c r="AG51" s="548"/>
      <c r="AH51" s="548"/>
      <c r="AI51" s="548"/>
      <c r="AJ51" s="548"/>
      <c r="AK51" s="548"/>
      <c r="AL51" s="548"/>
      <c r="AM51" s="548"/>
      <c r="AN51" s="548"/>
      <c r="AO51" s="548"/>
      <c r="AP51" s="548"/>
      <c r="AQ51" s="548"/>
      <c r="AR51" s="548"/>
      <c r="AS51" s="548"/>
      <c r="AT51" s="548"/>
      <c r="AU51" s="549" t="str">
        <f t="shared" si="40"/>
        <v/>
      </c>
      <c r="AV51" s="549" t="str">
        <f t="shared" si="35"/>
        <v/>
      </c>
      <c r="AW51" s="547"/>
      <c r="AX51" s="550" t="str">
        <f t="shared" si="36"/>
        <v/>
      </c>
      <c r="AY51" s="550" t="str">
        <f t="shared" si="37"/>
        <v/>
      </c>
      <c r="BA51" s="102" t="str">
        <f t="shared" si="18"/>
        <v>SUM_CO2</v>
      </c>
      <c r="BD51" s="124" t="str">
        <f t="shared" si="41"/>
        <v/>
      </c>
      <c r="BE51" s="124" t="str">
        <f t="shared" si="42"/>
        <v/>
      </c>
      <c r="BF51" s="124" t="str">
        <f t="shared" si="43"/>
        <v/>
      </c>
      <c r="BH51" s="124" t="str">
        <f t="shared" si="44"/>
        <v/>
      </c>
      <c r="BI51" s="124" t="str">
        <f t="shared" si="45"/>
        <v/>
      </c>
      <c r="BJ51" s="124" t="str">
        <f t="shared" si="46"/>
        <v/>
      </c>
      <c r="BK51" s="125"/>
      <c r="BL51" s="124" t="str">
        <f t="shared" si="25"/>
        <v/>
      </c>
      <c r="BM51" s="124" t="str">
        <f t="shared" si="26"/>
        <v/>
      </c>
      <c r="BN51" s="124" t="str">
        <f t="shared" si="27"/>
        <v/>
      </c>
      <c r="BO51" s="124" t="str">
        <f t="shared" si="28"/>
        <v/>
      </c>
      <c r="BP51" s="102" t="b">
        <f t="shared" si="47"/>
        <v>1</v>
      </c>
      <c r="BQ51" s="125"/>
      <c r="BR51" s="102" t="str">
        <f t="shared" si="48"/>
        <v/>
      </c>
      <c r="BS51" s="102" t="str">
        <f t="shared" si="49"/>
        <v/>
      </c>
      <c r="BT51" s="102" t="str">
        <f t="shared" si="50"/>
        <v/>
      </c>
      <c r="BU51" s="102" t="str">
        <f t="shared" si="51"/>
        <v/>
      </c>
      <c r="BW51" s="124" t="b">
        <f t="shared" si="52"/>
        <v>0</v>
      </c>
    </row>
    <row r="52" spans="3:75" ht="12.75" customHeight="1" x14ac:dyDescent="0.25">
      <c r="C52" s="539">
        <v>36</v>
      </c>
      <c r="D52" s="540"/>
      <c r="E52" s="540"/>
      <c r="F52" s="854"/>
      <c r="G52" s="542"/>
      <c r="H52" s="541"/>
      <c r="I52" s="543" t="str">
        <f t="shared" si="38"/>
        <v/>
      </c>
      <c r="J52" s="541"/>
      <c r="K52" s="544"/>
      <c r="L52" s="741"/>
      <c r="M52" s="545" t="str">
        <f t="shared" si="39"/>
        <v/>
      </c>
      <c r="N52" s="829"/>
      <c r="O52" s="993" t="s">
        <v>99</v>
      </c>
      <c r="P52" s="829"/>
      <c r="Q52" s="993" t="s">
        <v>99</v>
      </c>
      <c r="R52" s="829"/>
      <c r="S52" s="546" t="s">
        <v>99</v>
      </c>
      <c r="T52" s="547"/>
      <c r="U52" s="547" t="s">
        <v>99</v>
      </c>
      <c r="V52" s="548"/>
      <c r="W52" s="548"/>
      <c r="X52" s="548"/>
      <c r="Y52" s="548"/>
      <c r="Z52" s="548"/>
      <c r="AA52" s="548"/>
      <c r="AB52" s="547"/>
      <c r="AC52" s="547"/>
      <c r="AD52" s="548"/>
      <c r="AE52" s="548"/>
      <c r="AF52" s="548"/>
      <c r="AG52" s="548"/>
      <c r="AH52" s="548"/>
      <c r="AI52" s="548"/>
      <c r="AJ52" s="548"/>
      <c r="AK52" s="548"/>
      <c r="AL52" s="548"/>
      <c r="AM52" s="548"/>
      <c r="AN52" s="548"/>
      <c r="AO52" s="548"/>
      <c r="AP52" s="548"/>
      <c r="AQ52" s="548"/>
      <c r="AR52" s="548"/>
      <c r="AS52" s="548"/>
      <c r="AT52" s="548"/>
      <c r="AU52" s="549" t="str">
        <f t="shared" si="40"/>
        <v/>
      </c>
      <c r="AV52" s="549" t="str">
        <f t="shared" si="35"/>
        <v/>
      </c>
      <c r="AW52" s="547"/>
      <c r="AX52" s="550" t="str">
        <f t="shared" si="36"/>
        <v/>
      </c>
      <c r="AY52" s="550" t="str">
        <f t="shared" si="37"/>
        <v/>
      </c>
      <c r="BA52" s="102" t="str">
        <f t="shared" si="18"/>
        <v>SUM_CO2</v>
      </c>
      <c r="BD52" s="124" t="str">
        <f t="shared" si="41"/>
        <v/>
      </c>
      <c r="BE52" s="124" t="str">
        <f t="shared" si="42"/>
        <v/>
      </c>
      <c r="BF52" s="124" t="str">
        <f t="shared" si="43"/>
        <v/>
      </c>
      <c r="BH52" s="124" t="str">
        <f t="shared" si="44"/>
        <v/>
      </c>
      <c r="BI52" s="124" t="str">
        <f t="shared" si="45"/>
        <v/>
      </c>
      <c r="BJ52" s="124" t="str">
        <f t="shared" si="46"/>
        <v/>
      </c>
      <c r="BK52" s="125"/>
      <c r="BL52" s="124" t="str">
        <f t="shared" si="25"/>
        <v/>
      </c>
      <c r="BM52" s="124" t="str">
        <f t="shared" si="26"/>
        <v/>
      </c>
      <c r="BN52" s="124" t="str">
        <f t="shared" si="27"/>
        <v/>
      </c>
      <c r="BO52" s="124" t="str">
        <f t="shared" si="28"/>
        <v/>
      </c>
      <c r="BP52" s="102" t="b">
        <f t="shared" si="47"/>
        <v>1</v>
      </c>
      <c r="BQ52" s="125"/>
      <c r="BR52" s="102" t="str">
        <f t="shared" si="48"/>
        <v/>
      </c>
      <c r="BS52" s="102" t="str">
        <f t="shared" si="49"/>
        <v/>
      </c>
      <c r="BT52" s="102" t="str">
        <f t="shared" si="50"/>
        <v/>
      </c>
      <c r="BU52" s="102" t="str">
        <f t="shared" si="51"/>
        <v/>
      </c>
      <c r="BW52" s="124" t="b">
        <f t="shared" si="52"/>
        <v>0</v>
      </c>
    </row>
    <row r="53" spans="3:75" ht="12.75" customHeight="1" x14ac:dyDescent="0.25">
      <c r="C53" s="539">
        <v>37</v>
      </c>
      <c r="D53" s="540"/>
      <c r="E53" s="540"/>
      <c r="F53" s="854"/>
      <c r="G53" s="542"/>
      <c r="H53" s="541"/>
      <c r="I53" s="543" t="str">
        <f t="shared" si="38"/>
        <v/>
      </c>
      <c r="J53" s="541"/>
      <c r="K53" s="544"/>
      <c r="L53" s="741"/>
      <c r="M53" s="545" t="str">
        <f t="shared" si="39"/>
        <v/>
      </c>
      <c r="N53" s="829"/>
      <c r="O53" s="993" t="s">
        <v>99</v>
      </c>
      <c r="P53" s="829"/>
      <c r="Q53" s="993" t="s">
        <v>99</v>
      </c>
      <c r="R53" s="829"/>
      <c r="S53" s="546" t="s">
        <v>99</v>
      </c>
      <c r="T53" s="547"/>
      <c r="U53" s="547" t="s">
        <v>99</v>
      </c>
      <c r="V53" s="548"/>
      <c r="W53" s="548"/>
      <c r="X53" s="548"/>
      <c r="Y53" s="548"/>
      <c r="Z53" s="548"/>
      <c r="AA53" s="548"/>
      <c r="AB53" s="547"/>
      <c r="AC53" s="547"/>
      <c r="AD53" s="548"/>
      <c r="AE53" s="548"/>
      <c r="AF53" s="548"/>
      <c r="AG53" s="548"/>
      <c r="AH53" s="548"/>
      <c r="AI53" s="548"/>
      <c r="AJ53" s="548"/>
      <c r="AK53" s="548"/>
      <c r="AL53" s="548"/>
      <c r="AM53" s="548"/>
      <c r="AN53" s="548"/>
      <c r="AO53" s="548"/>
      <c r="AP53" s="548"/>
      <c r="AQ53" s="548"/>
      <c r="AR53" s="548"/>
      <c r="AS53" s="548"/>
      <c r="AT53" s="548"/>
      <c r="AU53" s="549" t="str">
        <f t="shared" si="40"/>
        <v/>
      </c>
      <c r="AV53" s="549" t="str">
        <f t="shared" si="35"/>
        <v/>
      </c>
      <c r="AW53" s="547"/>
      <c r="AX53" s="550" t="str">
        <f t="shared" si="36"/>
        <v/>
      </c>
      <c r="AY53" s="550" t="str">
        <f t="shared" si="37"/>
        <v/>
      </c>
      <c r="BA53" s="102" t="str">
        <f t="shared" si="18"/>
        <v>SUM_CO2</v>
      </c>
      <c r="BD53" s="124" t="str">
        <f t="shared" si="41"/>
        <v/>
      </c>
      <c r="BE53" s="124" t="str">
        <f t="shared" si="42"/>
        <v/>
      </c>
      <c r="BF53" s="124" t="str">
        <f t="shared" si="43"/>
        <v/>
      </c>
      <c r="BH53" s="124" t="str">
        <f t="shared" si="44"/>
        <v/>
      </c>
      <c r="BI53" s="124" t="str">
        <f t="shared" si="45"/>
        <v/>
      </c>
      <c r="BJ53" s="124" t="str">
        <f t="shared" si="46"/>
        <v/>
      </c>
      <c r="BK53" s="125"/>
      <c r="BL53" s="124" t="str">
        <f t="shared" si="25"/>
        <v/>
      </c>
      <c r="BM53" s="124" t="str">
        <f t="shared" si="26"/>
        <v/>
      </c>
      <c r="BN53" s="124" t="str">
        <f t="shared" si="27"/>
        <v/>
      </c>
      <c r="BO53" s="124" t="str">
        <f t="shared" si="28"/>
        <v/>
      </c>
      <c r="BP53" s="102" t="b">
        <f t="shared" si="47"/>
        <v>1</v>
      </c>
      <c r="BQ53" s="125"/>
      <c r="BR53" s="102" t="str">
        <f t="shared" si="48"/>
        <v/>
      </c>
      <c r="BS53" s="102" t="str">
        <f t="shared" si="49"/>
        <v/>
      </c>
      <c r="BT53" s="102" t="str">
        <f t="shared" si="50"/>
        <v/>
      </c>
      <c r="BU53" s="102" t="str">
        <f t="shared" si="51"/>
        <v/>
      </c>
      <c r="BW53" s="124" t="b">
        <f t="shared" si="52"/>
        <v>0</v>
      </c>
    </row>
    <row r="54" spans="3:75" ht="12.75" customHeight="1" x14ac:dyDescent="0.25">
      <c r="C54" s="539">
        <v>38</v>
      </c>
      <c r="D54" s="540"/>
      <c r="E54" s="540"/>
      <c r="F54" s="854"/>
      <c r="G54" s="542"/>
      <c r="H54" s="541"/>
      <c r="I54" s="543" t="str">
        <f t="shared" si="38"/>
        <v/>
      </c>
      <c r="J54" s="541"/>
      <c r="K54" s="544"/>
      <c r="L54" s="741"/>
      <c r="M54" s="545" t="str">
        <f t="shared" si="39"/>
        <v/>
      </c>
      <c r="N54" s="829"/>
      <c r="O54" s="993" t="s">
        <v>99</v>
      </c>
      <c r="P54" s="829"/>
      <c r="Q54" s="993" t="s">
        <v>99</v>
      </c>
      <c r="R54" s="829"/>
      <c r="S54" s="546" t="s">
        <v>99</v>
      </c>
      <c r="T54" s="547"/>
      <c r="U54" s="547" t="s">
        <v>99</v>
      </c>
      <c r="V54" s="548"/>
      <c r="W54" s="548"/>
      <c r="X54" s="548"/>
      <c r="Y54" s="548"/>
      <c r="Z54" s="548"/>
      <c r="AA54" s="548"/>
      <c r="AB54" s="547"/>
      <c r="AC54" s="547"/>
      <c r="AD54" s="548"/>
      <c r="AE54" s="548"/>
      <c r="AF54" s="548"/>
      <c r="AG54" s="548"/>
      <c r="AH54" s="548"/>
      <c r="AI54" s="548"/>
      <c r="AJ54" s="548"/>
      <c r="AK54" s="548"/>
      <c r="AL54" s="548"/>
      <c r="AM54" s="548"/>
      <c r="AN54" s="548"/>
      <c r="AO54" s="548"/>
      <c r="AP54" s="548"/>
      <c r="AQ54" s="548"/>
      <c r="AR54" s="548"/>
      <c r="AS54" s="548"/>
      <c r="AT54" s="548"/>
      <c r="AU54" s="549" t="str">
        <f t="shared" si="40"/>
        <v/>
      </c>
      <c r="AV54" s="549" t="str">
        <f t="shared" si="35"/>
        <v/>
      </c>
      <c r="AW54" s="547"/>
      <c r="AX54" s="550" t="str">
        <f t="shared" si="36"/>
        <v/>
      </c>
      <c r="AY54" s="550" t="str">
        <f t="shared" si="37"/>
        <v/>
      </c>
      <c r="BA54" s="102" t="str">
        <f t="shared" si="18"/>
        <v>SUM_CO2</v>
      </c>
      <c r="BD54" s="124" t="str">
        <f t="shared" si="41"/>
        <v/>
      </c>
      <c r="BE54" s="124" t="str">
        <f t="shared" si="42"/>
        <v/>
      </c>
      <c r="BF54" s="124" t="str">
        <f t="shared" si="43"/>
        <v/>
      </c>
      <c r="BH54" s="124" t="str">
        <f t="shared" si="44"/>
        <v/>
      </c>
      <c r="BI54" s="124" t="str">
        <f t="shared" si="45"/>
        <v/>
      </c>
      <c r="BJ54" s="124" t="str">
        <f t="shared" si="46"/>
        <v/>
      </c>
      <c r="BK54" s="125"/>
      <c r="BL54" s="124" t="str">
        <f t="shared" si="25"/>
        <v/>
      </c>
      <c r="BM54" s="124" t="str">
        <f t="shared" si="26"/>
        <v/>
      </c>
      <c r="BN54" s="124" t="str">
        <f t="shared" si="27"/>
        <v/>
      </c>
      <c r="BO54" s="124" t="str">
        <f t="shared" si="28"/>
        <v/>
      </c>
      <c r="BP54" s="102" t="b">
        <f t="shared" si="47"/>
        <v>1</v>
      </c>
      <c r="BQ54" s="125"/>
      <c r="BR54" s="102" t="str">
        <f t="shared" si="48"/>
        <v/>
      </c>
      <c r="BS54" s="102" t="str">
        <f t="shared" si="49"/>
        <v/>
      </c>
      <c r="BT54" s="102" t="str">
        <f t="shared" si="50"/>
        <v/>
      </c>
      <c r="BU54" s="102" t="str">
        <f t="shared" si="51"/>
        <v/>
      </c>
      <c r="BW54" s="124" t="b">
        <f t="shared" si="52"/>
        <v>0</v>
      </c>
    </row>
    <row r="55" spans="3:75" ht="12.75" customHeight="1" x14ac:dyDescent="0.25">
      <c r="C55" s="539">
        <v>39</v>
      </c>
      <c r="D55" s="540"/>
      <c r="E55" s="540"/>
      <c r="F55" s="854"/>
      <c r="G55" s="542"/>
      <c r="H55" s="541"/>
      <c r="I55" s="543" t="str">
        <f t="shared" si="38"/>
        <v/>
      </c>
      <c r="J55" s="541"/>
      <c r="K55" s="544"/>
      <c r="L55" s="741"/>
      <c r="M55" s="545" t="str">
        <f t="shared" si="39"/>
        <v/>
      </c>
      <c r="N55" s="829"/>
      <c r="O55" s="993" t="s">
        <v>99</v>
      </c>
      <c r="P55" s="829"/>
      <c r="Q55" s="993" t="s">
        <v>99</v>
      </c>
      <c r="R55" s="829"/>
      <c r="S55" s="546" t="s">
        <v>99</v>
      </c>
      <c r="T55" s="547"/>
      <c r="U55" s="547" t="s">
        <v>99</v>
      </c>
      <c r="V55" s="548"/>
      <c r="W55" s="548"/>
      <c r="X55" s="548"/>
      <c r="Y55" s="548"/>
      <c r="Z55" s="548"/>
      <c r="AA55" s="548"/>
      <c r="AB55" s="547"/>
      <c r="AC55" s="547"/>
      <c r="AD55" s="548"/>
      <c r="AE55" s="548"/>
      <c r="AF55" s="548"/>
      <c r="AG55" s="548"/>
      <c r="AH55" s="548"/>
      <c r="AI55" s="548"/>
      <c r="AJ55" s="548"/>
      <c r="AK55" s="548"/>
      <c r="AL55" s="548"/>
      <c r="AM55" s="548"/>
      <c r="AN55" s="548"/>
      <c r="AO55" s="548"/>
      <c r="AP55" s="548"/>
      <c r="AQ55" s="548"/>
      <c r="AR55" s="548"/>
      <c r="AS55" s="548"/>
      <c r="AT55" s="548"/>
      <c r="AU55" s="549" t="str">
        <f t="shared" si="40"/>
        <v/>
      </c>
      <c r="AV55" s="549" t="str">
        <f t="shared" si="35"/>
        <v/>
      </c>
      <c r="AW55" s="547"/>
      <c r="AX55" s="550" t="str">
        <f t="shared" si="36"/>
        <v/>
      </c>
      <c r="AY55" s="550" t="str">
        <f t="shared" si="37"/>
        <v/>
      </c>
      <c r="BA55" s="102" t="str">
        <f t="shared" si="18"/>
        <v>SUM_CO2</v>
      </c>
      <c r="BD55" s="124" t="str">
        <f t="shared" si="41"/>
        <v/>
      </c>
      <c r="BE55" s="124" t="str">
        <f t="shared" si="42"/>
        <v/>
      </c>
      <c r="BF55" s="124" t="str">
        <f t="shared" si="43"/>
        <v/>
      </c>
      <c r="BH55" s="124" t="str">
        <f t="shared" si="44"/>
        <v/>
      </c>
      <c r="BI55" s="124" t="str">
        <f t="shared" si="45"/>
        <v/>
      </c>
      <c r="BJ55" s="124" t="str">
        <f t="shared" si="46"/>
        <v/>
      </c>
      <c r="BK55" s="125"/>
      <c r="BL55" s="124" t="str">
        <f t="shared" si="25"/>
        <v/>
      </c>
      <c r="BM55" s="124" t="str">
        <f t="shared" si="26"/>
        <v/>
      </c>
      <c r="BN55" s="124" t="str">
        <f t="shared" si="27"/>
        <v/>
      </c>
      <c r="BO55" s="124" t="str">
        <f t="shared" si="28"/>
        <v/>
      </c>
      <c r="BP55" s="102" t="b">
        <f t="shared" si="47"/>
        <v>1</v>
      </c>
      <c r="BQ55" s="125"/>
      <c r="BR55" s="102" t="str">
        <f t="shared" si="48"/>
        <v/>
      </c>
      <c r="BS55" s="102" t="str">
        <f t="shared" si="49"/>
        <v/>
      </c>
      <c r="BT55" s="102" t="str">
        <f t="shared" si="50"/>
        <v/>
      </c>
      <c r="BU55" s="102" t="str">
        <f t="shared" si="51"/>
        <v/>
      </c>
      <c r="BW55" s="124" t="b">
        <f t="shared" si="52"/>
        <v>0</v>
      </c>
    </row>
    <row r="56" spans="3:75" ht="12.75" customHeight="1" x14ac:dyDescent="0.25">
      <c r="C56" s="539">
        <v>40</v>
      </c>
      <c r="D56" s="540"/>
      <c r="E56" s="540"/>
      <c r="F56" s="854"/>
      <c r="G56" s="542"/>
      <c r="H56" s="541"/>
      <c r="I56" s="543" t="str">
        <f t="shared" si="38"/>
        <v/>
      </c>
      <c r="J56" s="541"/>
      <c r="K56" s="544"/>
      <c r="L56" s="741"/>
      <c r="M56" s="545" t="str">
        <f t="shared" si="39"/>
        <v/>
      </c>
      <c r="N56" s="829"/>
      <c r="O56" s="993" t="s">
        <v>99</v>
      </c>
      <c r="P56" s="829"/>
      <c r="Q56" s="993" t="s">
        <v>99</v>
      </c>
      <c r="R56" s="829"/>
      <c r="S56" s="546" t="s">
        <v>99</v>
      </c>
      <c r="T56" s="547"/>
      <c r="U56" s="547" t="s">
        <v>99</v>
      </c>
      <c r="V56" s="548"/>
      <c r="W56" s="548"/>
      <c r="X56" s="548"/>
      <c r="Y56" s="548"/>
      <c r="Z56" s="548"/>
      <c r="AA56" s="548"/>
      <c r="AB56" s="547"/>
      <c r="AC56" s="547"/>
      <c r="AD56" s="548"/>
      <c r="AE56" s="548"/>
      <c r="AF56" s="548"/>
      <c r="AG56" s="548"/>
      <c r="AH56" s="548"/>
      <c r="AI56" s="548"/>
      <c r="AJ56" s="548"/>
      <c r="AK56" s="548"/>
      <c r="AL56" s="548"/>
      <c r="AM56" s="548"/>
      <c r="AN56" s="548"/>
      <c r="AO56" s="548"/>
      <c r="AP56" s="548"/>
      <c r="AQ56" s="548"/>
      <c r="AR56" s="548"/>
      <c r="AS56" s="548"/>
      <c r="AT56" s="548"/>
      <c r="AU56" s="549" t="str">
        <f t="shared" si="40"/>
        <v/>
      </c>
      <c r="AV56" s="549" t="str">
        <f t="shared" si="35"/>
        <v/>
      </c>
      <c r="AW56" s="547"/>
      <c r="AX56" s="550" t="str">
        <f t="shared" si="36"/>
        <v/>
      </c>
      <c r="AY56" s="550" t="str">
        <f t="shared" si="37"/>
        <v/>
      </c>
      <c r="BA56" s="102" t="str">
        <f t="shared" si="18"/>
        <v>SUM_CO2</v>
      </c>
      <c r="BD56" s="124" t="str">
        <f t="shared" si="41"/>
        <v/>
      </c>
      <c r="BE56" s="124" t="str">
        <f t="shared" si="42"/>
        <v/>
      </c>
      <c r="BF56" s="124" t="str">
        <f t="shared" si="43"/>
        <v/>
      </c>
      <c r="BH56" s="124" t="str">
        <f t="shared" si="44"/>
        <v/>
      </c>
      <c r="BI56" s="124" t="str">
        <f t="shared" si="45"/>
        <v/>
      </c>
      <c r="BJ56" s="124" t="str">
        <f t="shared" si="46"/>
        <v/>
      </c>
      <c r="BK56" s="125"/>
      <c r="BL56" s="124" t="str">
        <f t="shared" si="25"/>
        <v/>
      </c>
      <c r="BM56" s="124" t="str">
        <f t="shared" si="26"/>
        <v/>
      </c>
      <c r="BN56" s="124" t="str">
        <f t="shared" si="27"/>
        <v/>
      </c>
      <c r="BO56" s="124" t="str">
        <f t="shared" si="28"/>
        <v/>
      </c>
      <c r="BP56" s="102" t="b">
        <f t="shared" si="47"/>
        <v>1</v>
      </c>
      <c r="BQ56" s="125"/>
      <c r="BR56" s="102" t="str">
        <f t="shared" si="48"/>
        <v/>
      </c>
      <c r="BS56" s="102" t="str">
        <f t="shared" si="49"/>
        <v/>
      </c>
      <c r="BT56" s="102" t="str">
        <f t="shared" si="50"/>
        <v/>
      </c>
      <c r="BU56" s="102" t="str">
        <f t="shared" si="51"/>
        <v/>
      </c>
      <c r="BW56" s="124" t="b">
        <f t="shared" si="52"/>
        <v>0</v>
      </c>
    </row>
    <row r="57" spans="3:75" ht="12.75" customHeight="1" x14ac:dyDescent="0.25">
      <c r="C57" s="539">
        <v>41</v>
      </c>
      <c r="D57" s="540"/>
      <c r="E57" s="540"/>
      <c r="F57" s="854"/>
      <c r="G57" s="542"/>
      <c r="H57" s="541"/>
      <c r="I57" s="543" t="str">
        <f t="shared" si="38"/>
        <v/>
      </c>
      <c r="J57" s="541"/>
      <c r="K57" s="544"/>
      <c r="L57" s="741"/>
      <c r="M57" s="545" t="str">
        <f t="shared" si="39"/>
        <v/>
      </c>
      <c r="N57" s="829"/>
      <c r="O57" s="993" t="s">
        <v>99</v>
      </c>
      <c r="P57" s="829"/>
      <c r="Q57" s="993" t="s">
        <v>99</v>
      </c>
      <c r="R57" s="829"/>
      <c r="S57" s="546" t="s">
        <v>99</v>
      </c>
      <c r="T57" s="547"/>
      <c r="U57" s="547" t="s">
        <v>99</v>
      </c>
      <c r="V57" s="548"/>
      <c r="W57" s="548"/>
      <c r="X57" s="548"/>
      <c r="Y57" s="548"/>
      <c r="Z57" s="548"/>
      <c r="AA57" s="548"/>
      <c r="AB57" s="547"/>
      <c r="AC57" s="547"/>
      <c r="AD57" s="548"/>
      <c r="AE57" s="548"/>
      <c r="AF57" s="548"/>
      <c r="AG57" s="548"/>
      <c r="AH57" s="548"/>
      <c r="AI57" s="548"/>
      <c r="AJ57" s="548"/>
      <c r="AK57" s="548"/>
      <c r="AL57" s="548"/>
      <c r="AM57" s="548"/>
      <c r="AN57" s="548"/>
      <c r="AO57" s="548"/>
      <c r="AP57" s="548"/>
      <c r="AQ57" s="548"/>
      <c r="AR57" s="548"/>
      <c r="AS57" s="548"/>
      <c r="AT57" s="548"/>
      <c r="AU57" s="549" t="str">
        <f t="shared" si="40"/>
        <v/>
      </c>
      <c r="AV57" s="549" t="str">
        <f t="shared" si="35"/>
        <v/>
      </c>
      <c r="AW57" s="547"/>
      <c r="AX57" s="550" t="str">
        <f t="shared" si="36"/>
        <v/>
      </c>
      <c r="AY57" s="550" t="str">
        <f t="shared" si="37"/>
        <v/>
      </c>
      <c r="BA57" s="102" t="str">
        <f t="shared" si="18"/>
        <v>SUM_CO2</v>
      </c>
      <c r="BD57" s="124" t="str">
        <f t="shared" si="41"/>
        <v/>
      </c>
      <c r="BE57" s="124" t="str">
        <f t="shared" si="42"/>
        <v/>
      </c>
      <c r="BF57" s="124" t="str">
        <f t="shared" si="43"/>
        <v/>
      </c>
      <c r="BH57" s="124" t="str">
        <f t="shared" si="44"/>
        <v/>
      </c>
      <c r="BI57" s="124" t="str">
        <f t="shared" si="45"/>
        <v/>
      </c>
      <c r="BJ57" s="124" t="str">
        <f t="shared" si="46"/>
        <v/>
      </c>
      <c r="BK57" s="125"/>
      <c r="BL57" s="124" t="str">
        <f t="shared" si="25"/>
        <v/>
      </c>
      <c r="BM57" s="124" t="str">
        <f t="shared" si="26"/>
        <v/>
      </c>
      <c r="BN57" s="124" t="str">
        <f t="shared" si="27"/>
        <v/>
      </c>
      <c r="BO57" s="124" t="str">
        <f t="shared" si="28"/>
        <v/>
      </c>
      <c r="BP57" s="102" t="b">
        <f t="shared" si="47"/>
        <v>1</v>
      </c>
      <c r="BQ57" s="125"/>
      <c r="BR57" s="102" t="str">
        <f t="shared" si="48"/>
        <v/>
      </c>
      <c r="BS57" s="102" t="str">
        <f t="shared" si="49"/>
        <v/>
      </c>
      <c r="BT57" s="102" t="str">
        <f t="shared" si="50"/>
        <v/>
      </c>
      <c r="BU57" s="102" t="str">
        <f t="shared" si="51"/>
        <v/>
      </c>
      <c r="BW57" s="124" t="b">
        <f t="shared" si="52"/>
        <v>0</v>
      </c>
    </row>
    <row r="58" spans="3:75" ht="12.75" customHeight="1" x14ac:dyDescent="0.25">
      <c r="C58" s="539">
        <v>42</v>
      </c>
      <c r="D58" s="540"/>
      <c r="E58" s="540"/>
      <c r="F58" s="854"/>
      <c r="G58" s="542"/>
      <c r="H58" s="541"/>
      <c r="I58" s="543" t="str">
        <f t="shared" si="38"/>
        <v/>
      </c>
      <c r="J58" s="541"/>
      <c r="K58" s="544"/>
      <c r="L58" s="741"/>
      <c r="M58" s="545" t="str">
        <f t="shared" si="39"/>
        <v/>
      </c>
      <c r="N58" s="829"/>
      <c r="O58" s="993" t="s">
        <v>99</v>
      </c>
      <c r="P58" s="829"/>
      <c r="Q58" s="993" t="s">
        <v>99</v>
      </c>
      <c r="R58" s="829"/>
      <c r="S58" s="546" t="s">
        <v>99</v>
      </c>
      <c r="T58" s="547"/>
      <c r="U58" s="547" t="s">
        <v>99</v>
      </c>
      <c r="V58" s="548"/>
      <c r="W58" s="548"/>
      <c r="X58" s="548"/>
      <c r="Y58" s="548"/>
      <c r="Z58" s="548"/>
      <c r="AA58" s="548"/>
      <c r="AB58" s="547"/>
      <c r="AC58" s="547"/>
      <c r="AD58" s="548"/>
      <c r="AE58" s="548"/>
      <c r="AF58" s="548"/>
      <c r="AG58" s="548"/>
      <c r="AH58" s="548"/>
      <c r="AI58" s="548"/>
      <c r="AJ58" s="548"/>
      <c r="AK58" s="548"/>
      <c r="AL58" s="548"/>
      <c r="AM58" s="548"/>
      <c r="AN58" s="548"/>
      <c r="AO58" s="548"/>
      <c r="AP58" s="548"/>
      <c r="AQ58" s="548"/>
      <c r="AR58" s="548"/>
      <c r="AS58" s="548"/>
      <c r="AT58" s="548"/>
      <c r="AU58" s="549" t="str">
        <f t="shared" si="40"/>
        <v/>
      </c>
      <c r="AV58" s="549" t="str">
        <f t="shared" si="35"/>
        <v/>
      </c>
      <c r="AW58" s="547"/>
      <c r="AX58" s="550" t="str">
        <f t="shared" si="36"/>
        <v/>
      </c>
      <c r="AY58" s="550" t="str">
        <f t="shared" si="37"/>
        <v/>
      </c>
      <c r="BA58" s="102" t="str">
        <f t="shared" si="18"/>
        <v>SUM_CO2</v>
      </c>
      <c r="BD58" s="124" t="str">
        <f t="shared" si="41"/>
        <v/>
      </c>
      <c r="BE58" s="124" t="str">
        <f t="shared" si="42"/>
        <v/>
      </c>
      <c r="BF58" s="124" t="str">
        <f t="shared" si="43"/>
        <v/>
      </c>
      <c r="BH58" s="124" t="str">
        <f t="shared" si="44"/>
        <v/>
      </c>
      <c r="BI58" s="124" t="str">
        <f t="shared" si="45"/>
        <v/>
      </c>
      <c r="BJ58" s="124" t="str">
        <f t="shared" si="46"/>
        <v/>
      </c>
      <c r="BK58" s="125"/>
      <c r="BL58" s="124" t="str">
        <f t="shared" si="25"/>
        <v/>
      </c>
      <c r="BM58" s="124" t="str">
        <f t="shared" si="26"/>
        <v/>
      </c>
      <c r="BN58" s="124" t="str">
        <f t="shared" si="27"/>
        <v/>
      </c>
      <c r="BO58" s="124" t="str">
        <f t="shared" si="28"/>
        <v/>
      </c>
      <c r="BP58" s="102" t="b">
        <f t="shared" si="47"/>
        <v>1</v>
      </c>
      <c r="BQ58" s="125"/>
      <c r="BR58" s="102" t="str">
        <f t="shared" si="48"/>
        <v/>
      </c>
      <c r="BS58" s="102" t="str">
        <f t="shared" si="49"/>
        <v/>
      </c>
      <c r="BT58" s="102" t="str">
        <f t="shared" si="50"/>
        <v/>
      </c>
      <c r="BU58" s="102" t="str">
        <f t="shared" si="51"/>
        <v/>
      </c>
      <c r="BW58" s="124" t="b">
        <f t="shared" si="52"/>
        <v>0</v>
      </c>
    </row>
    <row r="59" spans="3:75" ht="12.75" customHeight="1" x14ac:dyDescent="0.25">
      <c r="C59" s="539">
        <v>43</v>
      </c>
      <c r="D59" s="540"/>
      <c r="E59" s="540"/>
      <c r="F59" s="854"/>
      <c r="G59" s="542"/>
      <c r="H59" s="541"/>
      <c r="I59" s="543" t="str">
        <f t="shared" si="38"/>
        <v/>
      </c>
      <c r="J59" s="541"/>
      <c r="K59" s="544"/>
      <c r="L59" s="741"/>
      <c r="M59" s="545" t="str">
        <f t="shared" si="39"/>
        <v/>
      </c>
      <c r="N59" s="829"/>
      <c r="O59" s="993" t="s">
        <v>99</v>
      </c>
      <c r="P59" s="829"/>
      <c r="Q59" s="993" t="s">
        <v>99</v>
      </c>
      <c r="R59" s="829"/>
      <c r="S59" s="546" t="s">
        <v>99</v>
      </c>
      <c r="T59" s="547"/>
      <c r="U59" s="547" t="s">
        <v>99</v>
      </c>
      <c r="V59" s="548"/>
      <c r="W59" s="548"/>
      <c r="X59" s="548"/>
      <c r="Y59" s="548"/>
      <c r="Z59" s="548"/>
      <c r="AA59" s="548"/>
      <c r="AB59" s="547"/>
      <c r="AC59" s="547"/>
      <c r="AD59" s="548"/>
      <c r="AE59" s="548"/>
      <c r="AF59" s="548"/>
      <c r="AG59" s="548"/>
      <c r="AH59" s="548"/>
      <c r="AI59" s="548"/>
      <c r="AJ59" s="548"/>
      <c r="AK59" s="548"/>
      <c r="AL59" s="548"/>
      <c r="AM59" s="548"/>
      <c r="AN59" s="548"/>
      <c r="AO59" s="548"/>
      <c r="AP59" s="548"/>
      <c r="AQ59" s="548"/>
      <c r="AR59" s="548"/>
      <c r="AS59" s="548"/>
      <c r="AT59" s="548"/>
      <c r="AU59" s="549" t="str">
        <f t="shared" si="40"/>
        <v/>
      </c>
      <c r="AV59" s="549" t="str">
        <f t="shared" si="35"/>
        <v/>
      </c>
      <c r="AW59" s="547"/>
      <c r="AX59" s="550" t="str">
        <f t="shared" si="36"/>
        <v/>
      </c>
      <c r="AY59" s="550" t="str">
        <f t="shared" si="37"/>
        <v/>
      </c>
      <c r="BA59" s="102" t="str">
        <f t="shared" si="18"/>
        <v>SUM_CO2</v>
      </c>
      <c r="BD59" s="124" t="str">
        <f t="shared" si="41"/>
        <v/>
      </c>
      <c r="BE59" s="124" t="str">
        <f t="shared" si="42"/>
        <v/>
      </c>
      <c r="BF59" s="124" t="str">
        <f t="shared" si="43"/>
        <v/>
      </c>
      <c r="BH59" s="124" t="str">
        <f t="shared" si="44"/>
        <v/>
      </c>
      <c r="BI59" s="124" t="str">
        <f t="shared" si="45"/>
        <v/>
      </c>
      <c r="BJ59" s="124" t="str">
        <f t="shared" si="46"/>
        <v/>
      </c>
      <c r="BK59" s="125"/>
      <c r="BL59" s="124" t="str">
        <f t="shared" si="25"/>
        <v/>
      </c>
      <c r="BM59" s="124" t="str">
        <f t="shared" si="26"/>
        <v/>
      </c>
      <c r="BN59" s="124" t="str">
        <f t="shared" si="27"/>
        <v/>
      </c>
      <c r="BO59" s="124" t="str">
        <f t="shared" si="28"/>
        <v/>
      </c>
      <c r="BP59" s="102" t="b">
        <f t="shared" si="47"/>
        <v>1</v>
      </c>
      <c r="BQ59" s="125"/>
      <c r="BR59" s="102" t="str">
        <f t="shared" si="48"/>
        <v/>
      </c>
      <c r="BS59" s="102" t="str">
        <f t="shared" si="49"/>
        <v/>
      </c>
      <c r="BT59" s="102" t="str">
        <f t="shared" si="50"/>
        <v/>
      </c>
      <c r="BU59" s="102" t="str">
        <f t="shared" si="51"/>
        <v/>
      </c>
      <c r="BW59" s="124" t="b">
        <f t="shared" si="52"/>
        <v>0</v>
      </c>
    </row>
    <row r="60" spans="3:75" ht="12.75" customHeight="1" x14ac:dyDescent="0.25">
      <c r="C60" s="539">
        <v>44</v>
      </c>
      <c r="D60" s="540"/>
      <c r="E60" s="540"/>
      <c r="F60" s="854"/>
      <c r="G60" s="542"/>
      <c r="H60" s="541"/>
      <c r="I60" s="543" t="str">
        <f t="shared" si="38"/>
        <v/>
      </c>
      <c r="J60" s="541"/>
      <c r="K60" s="544"/>
      <c r="L60" s="741"/>
      <c r="M60" s="545" t="str">
        <f t="shared" si="39"/>
        <v/>
      </c>
      <c r="N60" s="829"/>
      <c r="O60" s="993" t="s">
        <v>99</v>
      </c>
      <c r="P60" s="829"/>
      <c r="Q60" s="993" t="s">
        <v>99</v>
      </c>
      <c r="R60" s="829"/>
      <c r="S60" s="546" t="s">
        <v>99</v>
      </c>
      <c r="T60" s="547"/>
      <c r="U60" s="547" t="s">
        <v>99</v>
      </c>
      <c r="V60" s="548"/>
      <c r="W60" s="548"/>
      <c r="X60" s="548"/>
      <c r="Y60" s="548"/>
      <c r="Z60" s="548"/>
      <c r="AA60" s="548"/>
      <c r="AB60" s="547"/>
      <c r="AC60" s="547"/>
      <c r="AD60" s="548"/>
      <c r="AE60" s="548"/>
      <c r="AF60" s="548"/>
      <c r="AG60" s="548"/>
      <c r="AH60" s="548"/>
      <c r="AI60" s="548"/>
      <c r="AJ60" s="548"/>
      <c r="AK60" s="548"/>
      <c r="AL60" s="548"/>
      <c r="AM60" s="548"/>
      <c r="AN60" s="548"/>
      <c r="AO60" s="548"/>
      <c r="AP60" s="548"/>
      <c r="AQ60" s="548"/>
      <c r="AR60" s="548"/>
      <c r="AS60" s="548"/>
      <c r="AT60" s="548"/>
      <c r="AU60" s="549" t="str">
        <f t="shared" si="40"/>
        <v/>
      </c>
      <c r="AV60" s="549" t="str">
        <f t="shared" si="35"/>
        <v/>
      </c>
      <c r="AW60" s="547"/>
      <c r="AX60" s="550" t="str">
        <f t="shared" si="36"/>
        <v/>
      </c>
      <c r="AY60" s="550" t="str">
        <f t="shared" si="37"/>
        <v/>
      </c>
      <c r="BA60" s="102" t="str">
        <f t="shared" si="18"/>
        <v>SUM_CO2</v>
      </c>
      <c r="BD60" s="124" t="str">
        <f t="shared" si="41"/>
        <v/>
      </c>
      <c r="BE60" s="124" t="str">
        <f t="shared" si="42"/>
        <v/>
      </c>
      <c r="BF60" s="124" t="str">
        <f t="shared" si="43"/>
        <v/>
      </c>
      <c r="BH60" s="124" t="str">
        <f t="shared" si="44"/>
        <v/>
      </c>
      <c r="BI60" s="124" t="str">
        <f t="shared" si="45"/>
        <v/>
      </c>
      <c r="BJ60" s="124" t="str">
        <f t="shared" si="46"/>
        <v/>
      </c>
      <c r="BK60" s="125"/>
      <c r="BL60" s="124" t="str">
        <f t="shared" si="25"/>
        <v/>
      </c>
      <c r="BM60" s="124" t="str">
        <f t="shared" si="26"/>
        <v/>
      </c>
      <c r="BN60" s="124" t="str">
        <f t="shared" si="27"/>
        <v/>
      </c>
      <c r="BO60" s="124" t="str">
        <f t="shared" si="28"/>
        <v/>
      </c>
      <c r="BP60" s="102" t="b">
        <f t="shared" si="47"/>
        <v>1</v>
      </c>
      <c r="BQ60" s="125"/>
      <c r="BR60" s="102" t="str">
        <f t="shared" si="48"/>
        <v/>
      </c>
      <c r="BS60" s="102" t="str">
        <f t="shared" si="49"/>
        <v/>
      </c>
      <c r="BT60" s="102" t="str">
        <f t="shared" si="50"/>
        <v/>
      </c>
      <c r="BU60" s="102" t="str">
        <f t="shared" si="51"/>
        <v/>
      </c>
      <c r="BW60" s="124" t="b">
        <f t="shared" si="52"/>
        <v>0</v>
      </c>
    </row>
    <row r="61" spans="3:75" ht="12.75" customHeight="1" x14ac:dyDescent="0.25">
      <c r="C61" s="539">
        <v>45</v>
      </c>
      <c r="D61" s="540"/>
      <c r="E61" s="540"/>
      <c r="F61" s="854"/>
      <c r="G61" s="542"/>
      <c r="H61" s="541"/>
      <c r="I61" s="543" t="str">
        <f t="shared" si="38"/>
        <v/>
      </c>
      <c r="J61" s="541"/>
      <c r="K61" s="544"/>
      <c r="L61" s="741"/>
      <c r="M61" s="545" t="str">
        <f t="shared" si="39"/>
        <v/>
      </c>
      <c r="N61" s="829"/>
      <c r="O61" s="993" t="s">
        <v>99</v>
      </c>
      <c r="P61" s="829"/>
      <c r="Q61" s="993" t="s">
        <v>99</v>
      </c>
      <c r="R61" s="829"/>
      <c r="S61" s="546" t="s">
        <v>99</v>
      </c>
      <c r="T61" s="547"/>
      <c r="U61" s="547" t="s">
        <v>99</v>
      </c>
      <c r="V61" s="548"/>
      <c r="W61" s="548"/>
      <c r="X61" s="548"/>
      <c r="Y61" s="548"/>
      <c r="Z61" s="548"/>
      <c r="AA61" s="548"/>
      <c r="AB61" s="547"/>
      <c r="AC61" s="547"/>
      <c r="AD61" s="548"/>
      <c r="AE61" s="548"/>
      <c r="AF61" s="548"/>
      <c r="AG61" s="548"/>
      <c r="AH61" s="548"/>
      <c r="AI61" s="548"/>
      <c r="AJ61" s="548"/>
      <c r="AK61" s="548"/>
      <c r="AL61" s="548"/>
      <c r="AM61" s="548"/>
      <c r="AN61" s="548"/>
      <c r="AO61" s="548"/>
      <c r="AP61" s="548"/>
      <c r="AQ61" s="548"/>
      <c r="AR61" s="548"/>
      <c r="AS61" s="548"/>
      <c r="AT61" s="548"/>
      <c r="AU61" s="549" t="str">
        <f t="shared" si="40"/>
        <v/>
      </c>
      <c r="AV61" s="549" t="str">
        <f t="shared" si="35"/>
        <v/>
      </c>
      <c r="AW61" s="547"/>
      <c r="AX61" s="550" t="str">
        <f t="shared" si="36"/>
        <v/>
      </c>
      <c r="AY61" s="550" t="str">
        <f t="shared" si="37"/>
        <v/>
      </c>
      <c r="BA61" s="102" t="str">
        <f t="shared" si="18"/>
        <v>SUM_CO2</v>
      </c>
      <c r="BD61" s="124" t="str">
        <f t="shared" si="41"/>
        <v/>
      </c>
      <c r="BE61" s="124" t="str">
        <f t="shared" si="42"/>
        <v/>
      </c>
      <c r="BF61" s="124" t="str">
        <f t="shared" si="43"/>
        <v/>
      </c>
      <c r="BH61" s="124" t="str">
        <f t="shared" si="44"/>
        <v/>
      </c>
      <c r="BI61" s="124" t="str">
        <f t="shared" si="45"/>
        <v/>
      </c>
      <c r="BJ61" s="124" t="str">
        <f t="shared" si="46"/>
        <v/>
      </c>
      <c r="BK61" s="125"/>
      <c r="BL61" s="124" t="str">
        <f t="shared" si="25"/>
        <v/>
      </c>
      <c r="BM61" s="124" t="str">
        <f t="shared" si="26"/>
        <v/>
      </c>
      <c r="BN61" s="124" t="str">
        <f t="shared" si="27"/>
        <v/>
      </c>
      <c r="BO61" s="124" t="str">
        <f t="shared" si="28"/>
        <v/>
      </c>
      <c r="BP61" s="102" t="b">
        <f t="shared" si="47"/>
        <v>1</v>
      </c>
      <c r="BQ61" s="125"/>
      <c r="BR61" s="102" t="str">
        <f t="shared" si="48"/>
        <v/>
      </c>
      <c r="BS61" s="102" t="str">
        <f t="shared" si="49"/>
        <v/>
      </c>
      <c r="BT61" s="102" t="str">
        <f t="shared" si="50"/>
        <v/>
      </c>
      <c r="BU61" s="102" t="str">
        <f t="shared" si="51"/>
        <v/>
      </c>
      <c r="BW61" s="124" t="b">
        <f t="shared" si="52"/>
        <v>0</v>
      </c>
    </row>
    <row r="62" spans="3:75" ht="12.75" customHeight="1" x14ac:dyDescent="0.25">
      <c r="C62" s="539">
        <v>46</v>
      </c>
      <c r="D62" s="540"/>
      <c r="E62" s="540"/>
      <c r="F62" s="854"/>
      <c r="G62" s="542"/>
      <c r="H62" s="541"/>
      <c r="I62" s="543" t="str">
        <f t="shared" si="38"/>
        <v/>
      </c>
      <c r="J62" s="541"/>
      <c r="K62" s="544"/>
      <c r="L62" s="741"/>
      <c r="M62" s="545" t="str">
        <f t="shared" si="39"/>
        <v/>
      </c>
      <c r="N62" s="829"/>
      <c r="O62" s="993" t="s">
        <v>99</v>
      </c>
      <c r="P62" s="829"/>
      <c r="Q62" s="993" t="s">
        <v>99</v>
      </c>
      <c r="R62" s="829"/>
      <c r="S62" s="546" t="s">
        <v>99</v>
      </c>
      <c r="T62" s="547"/>
      <c r="U62" s="547" t="s">
        <v>99</v>
      </c>
      <c r="V62" s="548"/>
      <c r="W62" s="548"/>
      <c r="X62" s="548"/>
      <c r="Y62" s="548"/>
      <c r="Z62" s="548"/>
      <c r="AA62" s="548"/>
      <c r="AB62" s="547"/>
      <c r="AC62" s="547"/>
      <c r="AD62" s="548"/>
      <c r="AE62" s="548"/>
      <c r="AF62" s="548"/>
      <c r="AG62" s="548"/>
      <c r="AH62" s="548"/>
      <c r="AI62" s="548"/>
      <c r="AJ62" s="548"/>
      <c r="AK62" s="548"/>
      <c r="AL62" s="548"/>
      <c r="AM62" s="548"/>
      <c r="AN62" s="548"/>
      <c r="AO62" s="548"/>
      <c r="AP62" s="548"/>
      <c r="AQ62" s="548"/>
      <c r="AR62" s="548"/>
      <c r="AS62" s="548"/>
      <c r="AT62" s="548"/>
      <c r="AU62" s="549" t="str">
        <f t="shared" si="40"/>
        <v/>
      </c>
      <c r="AV62" s="549" t="str">
        <f t="shared" si="35"/>
        <v/>
      </c>
      <c r="AW62" s="547"/>
      <c r="AX62" s="550" t="str">
        <f t="shared" si="36"/>
        <v/>
      </c>
      <c r="AY62" s="550" t="str">
        <f t="shared" si="37"/>
        <v/>
      </c>
      <c r="BA62" s="102" t="str">
        <f t="shared" si="18"/>
        <v>SUM_CO2</v>
      </c>
      <c r="BD62" s="124" t="str">
        <f t="shared" si="41"/>
        <v/>
      </c>
      <c r="BE62" s="124" t="str">
        <f t="shared" si="42"/>
        <v/>
      </c>
      <c r="BF62" s="124" t="str">
        <f t="shared" si="43"/>
        <v/>
      </c>
      <c r="BH62" s="124" t="str">
        <f t="shared" si="44"/>
        <v/>
      </c>
      <c r="BI62" s="124" t="str">
        <f t="shared" si="45"/>
        <v/>
      </c>
      <c r="BJ62" s="124" t="str">
        <f t="shared" si="46"/>
        <v/>
      </c>
      <c r="BK62" s="125"/>
      <c r="BL62" s="124" t="str">
        <f t="shared" si="25"/>
        <v/>
      </c>
      <c r="BM62" s="124" t="str">
        <f t="shared" si="26"/>
        <v/>
      </c>
      <c r="BN62" s="124" t="str">
        <f t="shared" si="27"/>
        <v/>
      </c>
      <c r="BO62" s="124" t="str">
        <f t="shared" si="28"/>
        <v/>
      </c>
      <c r="BP62" s="102" t="b">
        <f t="shared" si="47"/>
        <v>1</v>
      </c>
      <c r="BQ62" s="125"/>
      <c r="BR62" s="102" t="str">
        <f t="shared" si="48"/>
        <v/>
      </c>
      <c r="BS62" s="102" t="str">
        <f t="shared" si="49"/>
        <v/>
      </c>
      <c r="BT62" s="102" t="str">
        <f t="shared" si="50"/>
        <v/>
      </c>
      <c r="BU62" s="102" t="str">
        <f t="shared" si="51"/>
        <v/>
      </c>
      <c r="BW62" s="124" t="b">
        <f t="shared" si="52"/>
        <v>0</v>
      </c>
    </row>
    <row r="63" spans="3:75" ht="12.75" customHeight="1" x14ac:dyDescent="0.25">
      <c r="C63" s="539">
        <v>47</v>
      </c>
      <c r="D63" s="540"/>
      <c r="E63" s="540"/>
      <c r="F63" s="854"/>
      <c r="G63" s="542"/>
      <c r="H63" s="541"/>
      <c r="I63" s="543" t="str">
        <f t="shared" si="38"/>
        <v/>
      </c>
      <c r="J63" s="541"/>
      <c r="K63" s="544"/>
      <c r="L63" s="741"/>
      <c r="M63" s="545" t="str">
        <f t="shared" si="39"/>
        <v/>
      </c>
      <c r="N63" s="829"/>
      <c r="O63" s="993" t="s">
        <v>99</v>
      </c>
      <c r="P63" s="829"/>
      <c r="Q63" s="993" t="s">
        <v>99</v>
      </c>
      <c r="R63" s="829"/>
      <c r="S63" s="546" t="s">
        <v>99</v>
      </c>
      <c r="T63" s="547"/>
      <c r="U63" s="547" t="s">
        <v>99</v>
      </c>
      <c r="V63" s="548"/>
      <c r="W63" s="548"/>
      <c r="X63" s="548"/>
      <c r="Y63" s="548"/>
      <c r="Z63" s="548"/>
      <c r="AA63" s="548"/>
      <c r="AB63" s="547"/>
      <c r="AC63" s="547"/>
      <c r="AD63" s="548"/>
      <c r="AE63" s="548"/>
      <c r="AF63" s="548"/>
      <c r="AG63" s="548"/>
      <c r="AH63" s="548"/>
      <c r="AI63" s="548"/>
      <c r="AJ63" s="548"/>
      <c r="AK63" s="548"/>
      <c r="AL63" s="548"/>
      <c r="AM63" s="548"/>
      <c r="AN63" s="548"/>
      <c r="AO63" s="548"/>
      <c r="AP63" s="548"/>
      <c r="AQ63" s="548"/>
      <c r="AR63" s="548"/>
      <c r="AS63" s="548"/>
      <c r="AT63" s="548"/>
      <c r="AU63" s="549" t="str">
        <f t="shared" si="40"/>
        <v/>
      </c>
      <c r="AV63" s="549" t="str">
        <f t="shared" si="35"/>
        <v/>
      </c>
      <c r="AW63" s="547"/>
      <c r="AX63" s="550" t="str">
        <f t="shared" si="36"/>
        <v/>
      </c>
      <c r="AY63" s="550" t="str">
        <f t="shared" si="37"/>
        <v/>
      </c>
      <c r="BA63" s="102" t="str">
        <f t="shared" si="18"/>
        <v>SUM_CO2</v>
      </c>
      <c r="BD63" s="124" t="str">
        <f t="shared" si="41"/>
        <v/>
      </c>
      <c r="BE63" s="124" t="str">
        <f t="shared" si="42"/>
        <v/>
      </c>
      <c r="BF63" s="124" t="str">
        <f t="shared" si="43"/>
        <v/>
      </c>
      <c r="BH63" s="124" t="str">
        <f t="shared" si="44"/>
        <v/>
      </c>
      <c r="BI63" s="124" t="str">
        <f t="shared" si="45"/>
        <v/>
      </c>
      <c r="BJ63" s="124" t="str">
        <f t="shared" si="46"/>
        <v/>
      </c>
      <c r="BK63" s="125"/>
      <c r="BL63" s="124" t="str">
        <f t="shared" si="25"/>
        <v/>
      </c>
      <c r="BM63" s="124" t="str">
        <f t="shared" si="26"/>
        <v/>
      </c>
      <c r="BN63" s="124" t="str">
        <f t="shared" si="27"/>
        <v/>
      </c>
      <c r="BO63" s="124" t="str">
        <f t="shared" si="28"/>
        <v/>
      </c>
      <c r="BP63" s="102" t="b">
        <f t="shared" si="47"/>
        <v>1</v>
      </c>
      <c r="BQ63" s="125"/>
      <c r="BR63" s="102" t="str">
        <f t="shared" si="48"/>
        <v/>
      </c>
      <c r="BS63" s="102" t="str">
        <f t="shared" si="49"/>
        <v/>
      </c>
      <c r="BT63" s="102" t="str">
        <f t="shared" si="50"/>
        <v/>
      </c>
      <c r="BU63" s="102" t="str">
        <f t="shared" si="51"/>
        <v/>
      </c>
      <c r="BW63" s="124" t="b">
        <f t="shared" si="52"/>
        <v>0</v>
      </c>
    </row>
    <row r="64" spans="3:75" ht="12.75" customHeight="1" x14ac:dyDescent="0.25">
      <c r="C64" s="539">
        <v>48</v>
      </c>
      <c r="D64" s="540"/>
      <c r="E64" s="540"/>
      <c r="F64" s="854"/>
      <c r="G64" s="542"/>
      <c r="H64" s="541"/>
      <c r="I64" s="543" t="str">
        <f t="shared" si="38"/>
        <v/>
      </c>
      <c r="J64" s="541"/>
      <c r="K64" s="544"/>
      <c r="L64" s="741"/>
      <c r="M64" s="545" t="str">
        <f t="shared" si="39"/>
        <v/>
      </c>
      <c r="N64" s="829"/>
      <c r="O64" s="993" t="s">
        <v>99</v>
      </c>
      <c r="P64" s="829"/>
      <c r="Q64" s="993" t="s">
        <v>99</v>
      </c>
      <c r="R64" s="829"/>
      <c r="S64" s="546" t="s">
        <v>99</v>
      </c>
      <c r="T64" s="547"/>
      <c r="U64" s="547" t="s">
        <v>99</v>
      </c>
      <c r="V64" s="548"/>
      <c r="W64" s="548"/>
      <c r="X64" s="548"/>
      <c r="Y64" s="548"/>
      <c r="Z64" s="548"/>
      <c r="AA64" s="548"/>
      <c r="AB64" s="547"/>
      <c r="AC64" s="547"/>
      <c r="AD64" s="548"/>
      <c r="AE64" s="548"/>
      <c r="AF64" s="548"/>
      <c r="AG64" s="548"/>
      <c r="AH64" s="548"/>
      <c r="AI64" s="548"/>
      <c r="AJ64" s="548"/>
      <c r="AK64" s="548"/>
      <c r="AL64" s="548"/>
      <c r="AM64" s="548"/>
      <c r="AN64" s="548"/>
      <c r="AO64" s="548"/>
      <c r="AP64" s="548"/>
      <c r="AQ64" s="548"/>
      <c r="AR64" s="548"/>
      <c r="AS64" s="548"/>
      <c r="AT64" s="548"/>
      <c r="AU64" s="549" t="str">
        <f t="shared" si="40"/>
        <v/>
      </c>
      <c r="AV64" s="549" t="str">
        <f t="shared" si="35"/>
        <v/>
      </c>
      <c r="AW64" s="547"/>
      <c r="AX64" s="550" t="str">
        <f t="shared" si="36"/>
        <v/>
      </c>
      <c r="AY64" s="550" t="str">
        <f t="shared" si="37"/>
        <v/>
      </c>
      <c r="BA64" s="102" t="str">
        <f t="shared" si="18"/>
        <v>SUM_CO2</v>
      </c>
      <c r="BD64" s="124" t="str">
        <f t="shared" si="41"/>
        <v/>
      </c>
      <c r="BE64" s="124" t="str">
        <f t="shared" si="42"/>
        <v/>
      </c>
      <c r="BF64" s="124" t="str">
        <f t="shared" si="43"/>
        <v/>
      </c>
      <c r="BH64" s="124" t="str">
        <f t="shared" si="44"/>
        <v/>
      </c>
      <c r="BI64" s="124" t="str">
        <f t="shared" si="45"/>
        <v/>
      </c>
      <c r="BJ64" s="124" t="str">
        <f t="shared" si="46"/>
        <v/>
      </c>
      <c r="BK64" s="125"/>
      <c r="BL64" s="124" t="str">
        <f t="shared" si="25"/>
        <v/>
      </c>
      <c r="BM64" s="124" t="str">
        <f t="shared" si="26"/>
        <v/>
      </c>
      <c r="BN64" s="124" t="str">
        <f t="shared" si="27"/>
        <v/>
      </c>
      <c r="BO64" s="124" t="str">
        <f t="shared" si="28"/>
        <v/>
      </c>
      <c r="BP64" s="102" t="b">
        <f t="shared" si="47"/>
        <v>1</v>
      </c>
      <c r="BQ64" s="125"/>
      <c r="BR64" s="102" t="str">
        <f t="shared" si="48"/>
        <v/>
      </c>
      <c r="BS64" s="102" t="str">
        <f t="shared" si="49"/>
        <v/>
      </c>
      <c r="BT64" s="102" t="str">
        <f t="shared" si="50"/>
        <v/>
      </c>
      <c r="BU64" s="102" t="str">
        <f t="shared" si="51"/>
        <v/>
      </c>
      <c r="BW64" s="124" t="b">
        <f t="shared" si="52"/>
        <v>0</v>
      </c>
    </row>
    <row r="65" spans="3:75" ht="12.75" customHeight="1" x14ac:dyDescent="0.25">
      <c r="C65" s="539">
        <v>49</v>
      </c>
      <c r="D65" s="540"/>
      <c r="E65" s="540"/>
      <c r="F65" s="854"/>
      <c r="G65" s="542"/>
      <c r="H65" s="541"/>
      <c r="I65" s="543" t="str">
        <f t="shared" si="38"/>
        <v/>
      </c>
      <c r="J65" s="541"/>
      <c r="K65" s="544"/>
      <c r="L65" s="741"/>
      <c r="M65" s="545" t="str">
        <f t="shared" si="39"/>
        <v/>
      </c>
      <c r="N65" s="829"/>
      <c r="O65" s="993" t="s">
        <v>99</v>
      </c>
      <c r="P65" s="829"/>
      <c r="Q65" s="993" t="s">
        <v>99</v>
      </c>
      <c r="R65" s="829"/>
      <c r="S65" s="546" t="s">
        <v>99</v>
      </c>
      <c r="T65" s="547"/>
      <c r="U65" s="547" t="s">
        <v>99</v>
      </c>
      <c r="V65" s="548"/>
      <c r="W65" s="548"/>
      <c r="X65" s="548"/>
      <c r="Y65" s="548"/>
      <c r="Z65" s="548"/>
      <c r="AA65" s="548"/>
      <c r="AB65" s="547"/>
      <c r="AC65" s="547"/>
      <c r="AD65" s="548"/>
      <c r="AE65" s="548"/>
      <c r="AF65" s="548"/>
      <c r="AG65" s="548"/>
      <c r="AH65" s="548"/>
      <c r="AI65" s="548"/>
      <c r="AJ65" s="548"/>
      <c r="AK65" s="548"/>
      <c r="AL65" s="548"/>
      <c r="AM65" s="548"/>
      <c r="AN65" s="548"/>
      <c r="AO65" s="548"/>
      <c r="AP65" s="548"/>
      <c r="AQ65" s="548"/>
      <c r="AR65" s="548"/>
      <c r="AS65" s="548"/>
      <c r="AT65" s="548"/>
      <c r="AU65" s="549" t="str">
        <f t="shared" si="40"/>
        <v/>
      </c>
      <c r="AV65" s="549" t="str">
        <f t="shared" si="35"/>
        <v/>
      </c>
      <c r="AW65" s="547"/>
      <c r="AX65" s="550" t="str">
        <f t="shared" si="36"/>
        <v/>
      </c>
      <c r="AY65" s="550" t="str">
        <f t="shared" si="37"/>
        <v/>
      </c>
      <c r="BA65" s="102" t="str">
        <f t="shared" si="18"/>
        <v>SUM_CO2</v>
      </c>
      <c r="BD65" s="124" t="str">
        <f t="shared" si="41"/>
        <v/>
      </c>
      <c r="BE65" s="124" t="str">
        <f t="shared" si="42"/>
        <v/>
      </c>
      <c r="BF65" s="124" t="str">
        <f t="shared" si="43"/>
        <v/>
      </c>
      <c r="BH65" s="124" t="str">
        <f t="shared" si="44"/>
        <v/>
      </c>
      <c r="BI65" s="124" t="str">
        <f t="shared" si="45"/>
        <v/>
      </c>
      <c r="BJ65" s="124" t="str">
        <f t="shared" si="46"/>
        <v/>
      </c>
      <c r="BK65" s="125"/>
      <c r="BL65" s="124" t="str">
        <f t="shared" si="25"/>
        <v/>
      </c>
      <c r="BM65" s="124" t="str">
        <f t="shared" si="26"/>
        <v/>
      </c>
      <c r="BN65" s="124" t="str">
        <f t="shared" si="27"/>
        <v/>
      </c>
      <c r="BO65" s="124" t="str">
        <f t="shared" si="28"/>
        <v/>
      </c>
      <c r="BP65" s="102" t="b">
        <f t="shared" si="47"/>
        <v>1</v>
      </c>
      <c r="BQ65" s="125"/>
      <c r="BR65" s="102" t="str">
        <f t="shared" si="48"/>
        <v/>
      </c>
      <c r="BS65" s="102" t="str">
        <f t="shared" si="49"/>
        <v/>
      </c>
      <c r="BT65" s="102" t="str">
        <f t="shared" si="50"/>
        <v/>
      </c>
      <c r="BU65" s="102" t="str">
        <f t="shared" si="51"/>
        <v/>
      </c>
      <c r="BW65" s="124" t="b">
        <f t="shared" si="52"/>
        <v>0</v>
      </c>
    </row>
    <row r="66" spans="3:75" ht="12.75" customHeight="1" x14ac:dyDescent="0.25">
      <c r="C66" s="539">
        <v>50</v>
      </c>
      <c r="D66" s="540"/>
      <c r="E66" s="540"/>
      <c r="F66" s="854"/>
      <c r="G66" s="542"/>
      <c r="H66" s="541"/>
      <c r="I66" s="543" t="str">
        <f t="shared" si="38"/>
        <v/>
      </c>
      <c r="J66" s="541"/>
      <c r="K66" s="544"/>
      <c r="L66" s="741"/>
      <c r="M66" s="545" t="str">
        <f t="shared" si="39"/>
        <v/>
      </c>
      <c r="N66" s="829"/>
      <c r="O66" s="993" t="s">
        <v>99</v>
      </c>
      <c r="P66" s="829"/>
      <c r="Q66" s="993" t="s">
        <v>99</v>
      </c>
      <c r="R66" s="829"/>
      <c r="S66" s="546" t="s">
        <v>99</v>
      </c>
      <c r="T66" s="547"/>
      <c r="U66" s="547" t="s">
        <v>99</v>
      </c>
      <c r="V66" s="548"/>
      <c r="W66" s="548"/>
      <c r="X66" s="548"/>
      <c r="Y66" s="548"/>
      <c r="Z66" s="548"/>
      <c r="AA66" s="548"/>
      <c r="AB66" s="547"/>
      <c r="AC66" s="547"/>
      <c r="AD66" s="548"/>
      <c r="AE66" s="548"/>
      <c r="AF66" s="548"/>
      <c r="AG66" s="548"/>
      <c r="AH66" s="548"/>
      <c r="AI66" s="548"/>
      <c r="AJ66" s="548"/>
      <c r="AK66" s="548"/>
      <c r="AL66" s="548"/>
      <c r="AM66" s="548"/>
      <c r="AN66" s="548"/>
      <c r="AO66" s="548"/>
      <c r="AP66" s="548"/>
      <c r="AQ66" s="548"/>
      <c r="AR66" s="548"/>
      <c r="AS66" s="548"/>
      <c r="AT66" s="548"/>
      <c r="AU66" s="549" t="str">
        <f t="shared" si="40"/>
        <v/>
      </c>
      <c r="AV66" s="549" t="str">
        <f t="shared" si="35"/>
        <v/>
      </c>
      <c r="AW66" s="547"/>
      <c r="AX66" s="550" t="str">
        <f t="shared" si="36"/>
        <v/>
      </c>
      <c r="AY66" s="550" t="str">
        <f t="shared" si="37"/>
        <v/>
      </c>
      <c r="BA66" s="102" t="str">
        <f t="shared" si="18"/>
        <v>SUM_CO2</v>
      </c>
      <c r="BD66" s="124" t="str">
        <f t="shared" si="41"/>
        <v/>
      </c>
      <c r="BE66" s="124" t="str">
        <f t="shared" si="42"/>
        <v/>
      </c>
      <c r="BF66" s="124" t="str">
        <f t="shared" si="43"/>
        <v/>
      </c>
      <c r="BH66" s="124" t="str">
        <f t="shared" si="44"/>
        <v/>
      </c>
      <c r="BI66" s="124" t="str">
        <f t="shared" si="45"/>
        <v/>
      </c>
      <c r="BJ66" s="124" t="str">
        <f t="shared" si="46"/>
        <v/>
      </c>
      <c r="BK66" s="125"/>
      <c r="BL66" s="124" t="str">
        <f t="shared" si="25"/>
        <v/>
      </c>
      <c r="BM66" s="124" t="str">
        <f t="shared" si="26"/>
        <v/>
      </c>
      <c r="BN66" s="124" t="str">
        <f t="shared" si="27"/>
        <v/>
      </c>
      <c r="BO66" s="124" t="str">
        <f t="shared" si="28"/>
        <v/>
      </c>
      <c r="BP66" s="102" t="b">
        <f t="shared" si="47"/>
        <v>1</v>
      </c>
      <c r="BQ66" s="125"/>
      <c r="BR66" s="102" t="str">
        <f t="shared" si="48"/>
        <v/>
      </c>
      <c r="BS66" s="102" t="str">
        <f t="shared" si="49"/>
        <v/>
      </c>
      <c r="BT66" s="102" t="str">
        <f t="shared" si="50"/>
        <v/>
      </c>
      <c r="BU66" s="102" t="str">
        <f t="shared" si="51"/>
        <v/>
      </c>
      <c r="BW66" s="124" t="b">
        <f t="shared" si="52"/>
        <v>0</v>
      </c>
    </row>
    <row r="67" spans="3:75" ht="12.75" customHeight="1" x14ac:dyDescent="0.25">
      <c r="C67" s="539">
        <v>51</v>
      </c>
      <c r="D67" s="540"/>
      <c r="E67" s="540"/>
      <c r="F67" s="854"/>
      <c r="G67" s="542"/>
      <c r="H67" s="541"/>
      <c r="I67" s="543" t="str">
        <f t="shared" si="38"/>
        <v/>
      </c>
      <c r="J67" s="541"/>
      <c r="K67" s="544"/>
      <c r="L67" s="741"/>
      <c r="M67" s="545" t="str">
        <f t="shared" si="39"/>
        <v/>
      </c>
      <c r="N67" s="829"/>
      <c r="O67" s="993" t="s">
        <v>99</v>
      </c>
      <c r="P67" s="829"/>
      <c r="Q67" s="993" t="s">
        <v>99</v>
      </c>
      <c r="R67" s="829"/>
      <c r="S67" s="546" t="s">
        <v>99</v>
      </c>
      <c r="T67" s="547"/>
      <c r="U67" s="547" t="s">
        <v>99</v>
      </c>
      <c r="V67" s="548"/>
      <c r="W67" s="548"/>
      <c r="X67" s="548"/>
      <c r="Y67" s="548"/>
      <c r="Z67" s="548"/>
      <c r="AA67" s="548"/>
      <c r="AB67" s="547"/>
      <c r="AC67" s="547"/>
      <c r="AD67" s="548"/>
      <c r="AE67" s="548"/>
      <c r="AF67" s="548"/>
      <c r="AG67" s="548"/>
      <c r="AH67" s="548"/>
      <c r="AI67" s="548"/>
      <c r="AJ67" s="548"/>
      <c r="AK67" s="548"/>
      <c r="AL67" s="548"/>
      <c r="AM67" s="548"/>
      <c r="AN67" s="548"/>
      <c r="AO67" s="548"/>
      <c r="AP67" s="548"/>
      <c r="AQ67" s="548"/>
      <c r="AR67" s="548"/>
      <c r="AS67" s="548"/>
      <c r="AT67" s="548"/>
      <c r="AU67" s="549" t="str">
        <f t="shared" si="40"/>
        <v/>
      </c>
      <c r="AV67" s="549" t="str">
        <f t="shared" si="35"/>
        <v/>
      </c>
      <c r="AW67" s="547"/>
      <c r="AX67" s="550" t="str">
        <f t="shared" si="36"/>
        <v/>
      </c>
      <c r="AY67" s="550" t="str">
        <f t="shared" si="37"/>
        <v/>
      </c>
      <c r="BA67" s="102" t="str">
        <f t="shared" si="18"/>
        <v>SUM_CO2</v>
      </c>
      <c r="BD67" s="124" t="str">
        <f t="shared" si="41"/>
        <v/>
      </c>
      <c r="BE67" s="124" t="str">
        <f t="shared" si="42"/>
        <v/>
      </c>
      <c r="BF67" s="124" t="str">
        <f t="shared" si="43"/>
        <v/>
      </c>
      <c r="BH67" s="124" t="str">
        <f t="shared" si="44"/>
        <v/>
      </c>
      <c r="BI67" s="124" t="str">
        <f t="shared" si="45"/>
        <v/>
      </c>
      <c r="BJ67" s="124" t="str">
        <f t="shared" si="46"/>
        <v/>
      </c>
      <c r="BK67" s="125"/>
      <c r="BL67" s="124" t="str">
        <f t="shared" si="25"/>
        <v/>
      </c>
      <c r="BM67" s="124" t="str">
        <f t="shared" si="26"/>
        <v/>
      </c>
      <c r="BN67" s="124" t="str">
        <f t="shared" si="27"/>
        <v/>
      </c>
      <c r="BO67" s="124" t="str">
        <f t="shared" si="28"/>
        <v/>
      </c>
      <c r="BP67" s="102" t="b">
        <f t="shared" si="47"/>
        <v>1</v>
      </c>
      <c r="BQ67" s="125"/>
      <c r="BR67" s="102" t="str">
        <f t="shared" si="48"/>
        <v/>
      </c>
      <c r="BS67" s="102" t="str">
        <f t="shared" si="49"/>
        <v/>
      </c>
      <c r="BT67" s="102" t="str">
        <f t="shared" si="50"/>
        <v/>
      </c>
      <c r="BU67" s="102" t="str">
        <f t="shared" si="51"/>
        <v/>
      </c>
      <c r="BW67" s="124" t="b">
        <f t="shared" si="52"/>
        <v>0</v>
      </c>
    </row>
    <row r="68" spans="3:75" ht="12.75" customHeight="1" x14ac:dyDescent="0.25">
      <c r="C68" s="539">
        <v>52</v>
      </c>
      <c r="D68" s="540"/>
      <c r="E68" s="540"/>
      <c r="F68" s="854"/>
      <c r="G68" s="542"/>
      <c r="H68" s="541"/>
      <c r="I68" s="543" t="str">
        <f t="shared" si="38"/>
        <v/>
      </c>
      <c r="J68" s="541"/>
      <c r="K68" s="544"/>
      <c r="L68" s="741"/>
      <c r="M68" s="545" t="str">
        <f t="shared" si="39"/>
        <v/>
      </c>
      <c r="N68" s="829"/>
      <c r="O68" s="993" t="s">
        <v>99</v>
      </c>
      <c r="P68" s="829"/>
      <c r="Q68" s="993" t="s">
        <v>99</v>
      </c>
      <c r="R68" s="829"/>
      <c r="S68" s="546" t="s">
        <v>99</v>
      </c>
      <c r="T68" s="547"/>
      <c r="U68" s="547" t="s">
        <v>99</v>
      </c>
      <c r="V68" s="548"/>
      <c r="W68" s="548"/>
      <c r="X68" s="548"/>
      <c r="Y68" s="548"/>
      <c r="Z68" s="548"/>
      <c r="AA68" s="548"/>
      <c r="AB68" s="547"/>
      <c r="AC68" s="547"/>
      <c r="AD68" s="548"/>
      <c r="AE68" s="548"/>
      <c r="AF68" s="548"/>
      <c r="AG68" s="548"/>
      <c r="AH68" s="548"/>
      <c r="AI68" s="548"/>
      <c r="AJ68" s="548"/>
      <c r="AK68" s="548"/>
      <c r="AL68" s="548"/>
      <c r="AM68" s="548"/>
      <c r="AN68" s="548"/>
      <c r="AO68" s="548"/>
      <c r="AP68" s="548"/>
      <c r="AQ68" s="548"/>
      <c r="AR68" s="548"/>
      <c r="AS68" s="548"/>
      <c r="AT68" s="548"/>
      <c r="AU68" s="549" t="str">
        <f t="shared" si="40"/>
        <v/>
      </c>
      <c r="AV68" s="549" t="str">
        <f t="shared" si="35"/>
        <v/>
      </c>
      <c r="AW68" s="547"/>
      <c r="AX68" s="550" t="str">
        <f t="shared" si="36"/>
        <v/>
      </c>
      <c r="AY68" s="550" t="str">
        <f t="shared" si="37"/>
        <v/>
      </c>
      <c r="BA68" s="102" t="str">
        <f t="shared" si="18"/>
        <v>SUM_CO2</v>
      </c>
      <c r="BD68" s="124" t="str">
        <f t="shared" si="41"/>
        <v/>
      </c>
      <c r="BE68" s="124" t="str">
        <f t="shared" si="42"/>
        <v/>
      </c>
      <c r="BF68" s="124" t="str">
        <f t="shared" si="43"/>
        <v/>
      </c>
      <c r="BH68" s="124" t="str">
        <f t="shared" si="44"/>
        <v/>
      </c>
      <c r="BI68" s="124" t="str">
        <f t="shared" si="45"/>
        <v/>
      </c>
      <c r="BJ68" s="124" t="str">
        <f t="shared" si="46"/>
        <v/>
      </c>
      <c r="BK68" s="125"/>
      <c r="BL68" s="124" t="str">
        <f t="shared" si="25"/>
        <v/>
      </c>
      <c r="BM68" s="124" t="str">
        <f t="shared" si="26"/>
        <v/>
      </c>
      <c r="BN68" s="124" t="str">
        <f t="shared" si="27"/>
        <v/>
      </c>
      <c r="BO68" s="124" t="str">
        <f t="shared" si="28"/>
        <v/>
      </c>
      <c r="BP68" s="102" t="b">
        <f t="shared" si="47"/>
        <v>1</v>
      </c>
      <c r="BQ68" s="125"/>
      <c r="BR68" s="102" t="str">
        <f t="shared" si="48"/>
        <v/>
      </c>
      <c r="BS68" s="102" t="str">
        <f t="shared" si="49"/>
        <v/>
      </c>
      <c r="BT68" s="102" t="str">
        <f t="shared" si="50"/>
        <v/>
      </c>
      <c r="BU68" s="102" t="str">
        <f t="shared" si="51"/>
        <v/>
      </c>
      <c r="BW68" s="124" t="b">
        <f t="shared" si="52"/>
        <v>0</v>
      </c>
    </row>
    <row r="69" spans="3:75" ht="12.75" customHeight="1" x14ac:dyDescent="0.25">
      <c r="C69" s="539">
        <v>53</v>
      </c>
      <c r="D69" s="540"/>
      <c r="E69" s="540"/>
      <c r="F69" s="854"/>
      <c r="G69" s="542"/>
      <c r="H69" s="541"/>
      <c r="I69" s="543" t="str">
        <f t="shared" si="38"/>
        <v/>
      </c>
      <c r="J69" s="541"/>
      <c r="K69" s="544"/>
      <c r="L69" s="741"/>
      <c r="M69" s="545" t="str">
        <f t="shared" si="39"/>
        <v/>
      </c>
      <c r="N69" s="829"/>
      <c r="O69" s="993" t="s">
        <v>99</v>
      </c>
      <c r="P69" s="829"/>
      <c r="Q69" s="993" t="s">
        <v>99</v>
      </c>
      <c r="R69" s="829"/>
      <c r="S69" s="546" t="s">
        <v>99</v>
      </c>
      <c r="T69" s="547"/>
      <c r="U69" s="547" t="s">
        <v>99</v>
      </c>
      <c r="V69" s="548"/>
      <c r="W69" s="548"/>
      <c r="X69" s="548"/>
      <c r="Y69" s="548"/>
      <c r="Z69" s="548"/>
      <c r="AA69" s="548"/>
      <c r="AB69" s="547"/>
      <c r="AC69" s="547"/>
      <c r="AD69" s="548"/>
      <c r="AE69" s="548"/>
      <c r="AF69" s="548"/>
      <c r="AG69" s="548"/>
      <c r="AH69" s="548"/>
      <c r="AI69" s="548"/>
      <c r="AJ69" s="548"/>
      <c r="AK69" s="548"/>
      <c r="AL69" s="548"/>
      <c r="AM69" s="548"/>
      <c r="AN69" s="548"/>
      <c r="AO69" s="548"/>
      <c r="AP69" s="548"/>
      <c r="AQ69" s="548"/>
      <c r="AR69" s="548"/>
      <c r="AS69" s="548"/>
      <c r="AT69" s="548"/>
      <c r="AU69" s="549" t="str">
        <f t="shared" si="40"/>
        <v/>
      </c>
      <c r="AV69" s="549" t="str">
        <f t="shared" si="35"/>
        <v/>
      </c>
      <c r="AW69" s="547"/>
      <c r="AX69" s="550" t="str">
        <f t="shared" si="36"/>
        <v/>
      </c>
      <c r="AY69" s="550" t="str">
        <f t="shared" si="37"/>
        <v/>
      </c>
      <c r="BA69" s="102" t="str">
        <f t="shared" si="18"/>
        <v>SUM_CO2</v>
      </c>
      <c r="BD69" s="124" t="str">
        <f t="shared" si="41"/>
        <v/>
      </c>
      <c r="BE69" s="124" t="str">
        <f t="shared" si="42"/>
        <v/>
      </c>
      <c r="BF69" s="124" t="str">
        <f t="shared" si="43"/>
        <v/>
      </c>
      <c r="BH69" s="124" t="str">
        <f t="shared" si="44"/>
        <v/>
      </c>
      <c r="BI69" s="124" t="str">
        <f t="shared" si="45"/>
        <v/>
      </c>
      <c r="BJ69" s="124" t="str">
        <f t="shared" si="46"/>
        <v/>
      </c>
      <c r="BK69" s="125"/>
      <c r="BL69" s="124" t="str">
        <f t="shared" si="25"/>
        <v/>
      </c>
      <c r="BM69" s="124" t="str">
        <f t="shared" si="26"/>
        <v/>
      </c>
      <c r="BN69" s="124" t="str">
        <f t="shared" si="27"/>
        <v/>
      </c>
      <c r="BO69" s="124" t="str">
        <f t="shared" si="28"/>
        <v/>
      </c>
      <c r="BP69" s="102" t="b">
        <f t="shared" si="47"/>
        <v>1</v>
      </c>
      <c r="BQ69" s="125"/>
      <c r="BR69" s="102" t="str">
        <f t="shared" si="48"/>
        <v/>
      </c>
      <c r="BS69" s="102" t="str">
        <f t="shared" si="49"/>
        <v/>
      </c>
      <c r="BT69" s="102" t="str">
        <f t="shared" si="50"/>
        <v/>
      </c>
      <c r="BU69" s="102" t="str">
        <f t="shared" si="51"/>
        <v/>
      </c>
      <c r="BW69" s="124" t="b">
        <f t="shared" si="52"/>
        <v>0</v>
      </c>
    </row>
    <row r="70" spans="3:75" ht="12.75" customHeight="1" x14ac:dyDescent="0.25">
      <c r="C70" s="539">
        <v>54</v>
      </c>
      <c r="D70" s="540"/>
      <c r="E70" s="540"/>
      <c r="F70" s="854"/>
      <c r="G70" s="542"/>
      <c r="H70" s="541"/>
      <c r="I70" s="543" t="str">
        <f t="shared" si="38"/>
        <v/>
      </c>
      <c r="J70" s="541"/>
      <c r="K70" s="544"/>
      <c r="L70" s="741"/>
      <c r="M70" s="545" t="str">
        <f t="shared" si="39"/>
        <v/>
      </c>
      <c r="N70" s="829"/>
      <c r="O70" s="993" t="s">
        <v>99</v>
      </c>
      <c r="P70" s="829"/>
      <c r="Q70" s="993" t="s">
        <v>99</v>
      </c>
      <c r="R70" s="829"/>
      <c r="S70" s="546" t="s">
        <v>99</v>
      </c>
      <c r="T70" s="547"/>
      <c r="U70" s="547" t="s">
        <v>99</v>
      </c>
      <c r="V70" s="548"/>
      <c r="W70" s="548"/>
      <c r="X70" s="548"/>
      <c r="Y70" s="548"/>
      <c r="Z70" s="548"/>
      <c r="AA70" s="548"/>
      <c r="AB70" s="547"/>
      <c r="AC70" s="547"/>
      <c r="AD70" s="548"/>
      <c r="AE70" s="548"/>
      <c r="AF70" s="548"/>
      <c r="AG70" s="548"/>
      <c r="AH70" s="548"/>
      <c r="AI70" s="548"/>
      <c r="AJ70" s="548"/>
      <c r="AK70" s="548"/>
      <c r="AL70" s="548"/>
      <c r="AM70" s="548"/>
      <c r="AN70" s="548"/>
      <c r="AO70" s="548"/>
      <c r="AP70" s="548"/>
      <c r="AQ70" s="548"/>
      <c r="AR70" s="548"/>
      <c r="AS70" s="548"/>
      <c r="AT70" s="548"/>
      <c r="AU70" s="549" t="str">
        <f t="shared" si="40"/>
        <v/>
      </c>
      <c r="AV70" s="549" t="str">
        <f t="shared" si="35"/>
        <v/>
      </c>
      <c r="AW70" s="547"/>
      <c r="AX70" s="550" t="str">
        <f t="shared" si="36"/>
        <v/>
      </c>
      <c r="AY70" s="550" t="str">
        <f t="shared" si="37"/>
        <v/>
      </c>
      <c r="BA70" s="102" t="str">
        <f t="shared" si="18"/>
        <v>SUM_CO2</v>
      </c>
      <c r="BD70" s="124" t="str">
        <f t="shared" si="41"/>
        <v/>
      </c>
      <c r="BE70" s="124" t="str">
        <f t="shared" si="42"/>
        <v/>
      </c>
      <c r="BF70" s="124" t="str">
        <f t="shared" si="43"/>
        <v/>
      </c>
      <c r="BH70" s="124" t="str">
        <f t="shared" si="44"/>
        <v/>
      </c>
      <c r="BI70" s="124" t="str">
        <f t="shared" si="45"/>
        <v/>
      </c>
      <c r="BJ70" s="124" t="str">
        <f t="shared" si="46"/>
        <v/>
      </c>
      <c r="BK70" s="125"/>
      <c r="BL70" s="124" t="str">
        <f t="shared" si="25"/>
        <v/>
      </c>
      <c r="BM70" s="124" t="str">
        <f t="shared" si="26"/>
        <v/>
      </c>
      <c r="BN70" s="124" t="str">
        <f t="shared" si="27"/>
        <v/>
      </c>
      <c r="BO70" s="124" t="str">
        <f t="shared" si="28"/>
        <v/>
      </c>
      <c r="BP70" s="102" t="b">
        <f t="shared" si="47"/>
        <v>1</v>
      </c>
      <c r="BQ70" s="125"/>
      <c r="BR70" s="102" t="str">
        <f t="shared" si="48"/>
        <v/>
      </c>
      <c r="BS70" s="102" t="str">
        <f t="shared" si="49"/>
        <v/>
      </c>
      <c r="BT70" s="102" t="str">
        <f t="shared" si="50"/>
        <v/>
      </c>
      <c r="BU70" s="102" t="str">
        <f t="shared" si="51"/>
        <v/>
      </c>
      <c r="BW70" s="124" t="b">
        <f t="shared" si="52"/>
        <v>0</v>
      </c>
    </row>
    <row r="71" spans="3:75" ht="12.75" customHeight="1" x14ac:dyDescent="0.25">
      <c r="C71" s="539">
        <v>55</v>
      </c>
      <c r="D71" s="540"/>
      <c r="E71" s="540"/>
      <c r="F71" s="854"/>
      <c r="G71" s="542"/>
      <c r="H71" s="541"/>
      <c r="I71" s="543" t="str">
        <f t="shared" si="38"/>
        <v/>
      </c>
      <c r="J71" s="541"/>
      <c r="K71" s="544"/>
      <c r="L71" s="741"/>
      <c r="M71" s="545" t="str">
        <f t="shared" si="39"/>
        <v/>
      </c>
      <c r="N71" s="829"/>
      <c r="O71" s="993" t="s">
        <v>99</v>
      </c>
      <c r="P71" s="829"/>
      <c r="Q71" s="993" t="s">
        <v>99</v>
      </c>
      <c r="R71" s="829"/>
      <c r="S71" s="546" t="s">
        <v>99</v>
      </c>
      <c r="T71" s="547"/>
      <c r="U71" s="547" t="s">
        <v>99</v>
      </c>
      <c r="V71" s="548"/>
      <c r="W71" s="548"/>
      <c r="X71" s="548"/>
      <c r="Y71" s="548"/>
      <c r="Z71" s="548"/>
      <c r="AA71" s="548"/>
      <c r="AB71" s="547"/>
      <c r="AC71" s="547"/>
      <c r="AD71" s="548"/>
      <c r="AE71" s="548"/>
      <c r="AF71" s="548"/>
      <c r="AG71" s="548"/>
      <c r="AH71" s="548"/>
      <c r="AI71" s="548"/>
      <c r="AJ71" s="548"/>
      <c r="AK71" s="548"/>
      <c r="AL71" s="548"/>
      <c r="AM71" s="548"/>
      <c r="AN71" s="548"/>
      <c r="AO71" s="548"/>
      <c r="AP71" s="548"/>
      <c r="AQ71" s="548"/>
      <c r="AR71" s="548"/>
      <c r="AS71" s="548"/>
      <c r="AT71" s="548"/>
      <c r="AU71" s="549" t="str">
        <f t="shared" si="40"/>
        <v/>
      </c>
      <c r="AV71" s="549" t="str">
        <f t="shared" si="35"/>
        <v/>
      </c>
      <c r="AW71" s="547"/>
      <c r="AX71" s="550" t="str">
        <f t="shared" si="36"/>
        <v/>
      </c>
      <c r="AY71" s="550" t="str">
        <f t="shared" si="37"/>
        <v/>
      </c>
      <c r="BA71" s="102" t="str">
        <f t="shared" si="18"/>
        <v>SUM_CO2</v>
      </c>
      <c r="BD71" s="124" t="str">
        <f t="shared" si="41"/>
        <v/>
      </c>
      <c r="BE71" s="124" t="str">
        <f t="shared" si="42"/>
        <v/>
      </c>
      <c r="BF71" s="124" t="str">
        <f t="shared" si="43"/>
        <v/>
      </c>
      <c r="BH71" s="124" t="str">
        <f t="shared" si="44"/>
        <v/>
      </c>
      <c r="BI71" s="124" t="str">
        <f t="shared" si="45"/>
        <v/>
      </c>
      <c r="BJ71" s="124" t="str">
        <f t="shared" si="46"/>
        <v/>
      </c>
      <c r="BK71" s="125"/>
      <c r="BL71" s="124" t="str">
        <f t="shared" si="25"/>
        <v/>
      </c>
      <c r="BM71" s="124" t="str">
        <f t="shared" si="26"/>
        <v/>
      </c>
      <c r="BN71" s="124" t="str">
        <f t="shared" si="27"/>
        <v/>
      </c>
      <c r="BO71" s="124" t="str">
        <f t="shared" si="28"/>
        <v/>
      </c>
      <c r="BP71" s="102" t="b">
        <f t="shared" si="47"/>
        <v>1</v>
      </c>
      <c r="BQ71" s="125"/>
      <c r="BR71" s="102" t="str">
        <f t="shared" si="48"/>
        <v/>
      </c>
      <c r="BS71" s="102" t="str">
        <f t="shared" si="49"/>
        <v/>
      </c>
      <c r="BT71" s="102" t="str">
        <f t="shared" si="50"/>
        <v/>
      </c>
      <c r="BU71" s="102" t="str">
        <f t="shared" si="51"/>
        <v/>
      </c>
      <c r="BW71" s="124" t="b">
        <f t="shared" si="52"/>
        <v>0</v>
      </c>
    </row>
    <row r="72" spans="3:75" ht="12.75" customHeight="1" x14ac:dyDescent="0.25">
      <c r="C72" s="539">
        <v>56</v>
      </c>
      <c r="D72" s="540"/>
      <c r="E72" s="540"/>
      <c r="F72" s="854"/>
      <c r="G72" s="542"/>
      <c r="H72" s="541"/>
      <c r="I72" s="543" t="str">
        <f t="shared" si="38"/>
        <v/>
      </c>
      <c r="J72" s="541"/>
      <c r="K72" s="544"/>
      <c r="L72" s="741"/>
      <c r="M72" s="545" t="str">
        <f t="shared" si="39"/>
        <v/>
      </c>
      <c r="N72" s="829"/>
      <c r="O72" s="993" t="s">
        <v>99</v>
      </c>
      <c r="P72" s="829"/>
      <c r="Q72" s="993" t="s">
        <v>99</v>
      </c>
      <c r="R72" s="829"/>
      <c r="S72" s="546" t="s">
        <v>99</v>
      </c>
      <c r="T72" s="547"/>
      <c r="U72" s="547" t="s">
        <v>99</v>
      </c>
      <c r="V72" s="548"/>
      <c r="W72" s="548"/>
      <c r="X72" s="548"/>
      <c r="Y72" s="548"/>
      <c r="Z72" s="548"/>
      <c r="AA72" s="548"/>
      <c r="AB72" s="547"/>
      <c r="AC72" s="547"/>
      <c r="AD72" s="548"/>
      <c r="AE72" s="548"/>
      <c r="AF72" s="548"/>
      <c r="AG72" s="548"/>
      <c r="AH72" s="548"/>
      <c r="AI72" s="548"/>
      <c r="AJ72" s="548"/>
      <c r="AK72" s="548"/>
      <c r="AL72" s="548"/>
      <c r="AM72" s="548"/>
      <c r="AN72" s="548"/>
      <c r="AO72" s="548"/>
      <c r="AP72" s="548"/>
      <c r="AQ72" s="548"/>
      <c r="AR72" s="548"/>
      <c r="AS72" s="548"/>
      <c r="AT72" s="548"/>
      <c r="AU72" s="549" t="str">
        <f t="shared" si="40"/>
        <v/>
      </c>
      <c r="AV72" s="549" t="str">
        <f t="shared" si="35"/>
        <v/>
      </c>
      <c r="AW72" s="547"/>
      <c r="AX72" s="550" t="str">
        <f t="shared" si="36"/>
        <v/>
      </c>
      <c r="AY72" s="550" t="str">
        <f t="shared" si="37"/>
        <v/>
      </c>
      <c r="BA72" s="102" t="str">
        <f t="shared" si="18"/>
        <v>SUM_CO2</v>
      </c>
      <c r="BD72" s="124" t="str">
        <f t="shared" si="41"/>
        <v/>
      </c>
      <c r="BE72" s="124" t="str">
        <f t="shared" si="42"/>
        <v/>
      </c>
      <c r="BF72" s="124" t="str">
        <f t="shared" si="43"/>
        <v/>
      </c>
      <c r="BH72" s="124" t="str">
        <f t="shared" si="44"/>
        <v/>
      </c>
      <c r="BI72" s="124" t="str">
        <f t="shared" si="45"/>
        <v/>
      </c>
      <c r="BJ72" s="124" t="str">
        <f t="shared" si="46"/>
        <v/>
      </c>
      <c r="BK72" s="125"/>
      <c r="BL72" s="124" t="str">
        <f t="shared" si="25"/>
        <v/>
      </c>
      <c r="BM72" s="124" t="str">
        <f t="shared" si="26"/>
        <v/>
      </c>
      <c r="BN72" s="124" t="str">
        <f t="shared" si="27"/>
        <v/>
      </c>
      <c r="BO72" s="124" t="str">
        <f t="shared" si="28"/>
        <v/>
      </c>
      <c r="BP72" s="102" t="b">
        <f t="shared" si="47"/>
        <v>1</v>
      </c>
      <c r="BQ72" s="125"/>
      <c r="BR72" s="102" t="str">
        <f t="shared" si="48"/>
        <v/>
      </c>
      <c r="BS72" s="102" t="str">
        <f t="shared" si="49"/>
        <v/>
      </c>
      <c r="BT72" s="102" t="str">
        <f t="shared" si="50"/>
        <v/>
      </c>
      <c r="BU72" s="102" t="str">
        <f t="shared" si="51"/>
        <v/>
      </c>
      <c r="BW72" s="124" t="b">
        <f t="shared" si="52"/>
        <v>0</v>
      </c>
    </row>
    <row r="73" spans="3:75" ht="12.75" customHeight="1" x14ac:dyDescent="0.25">
      <c r="C73" s="539">
        <v>57</v>
      </c>
      <c r="D73" s="540"/>
      <c r="E73" s="540"/>
      <c r="F73" s="854"/>
      <c r="G73" s="542"/>
      <c r="H73" s="541"/>
      <c r="I73" s="543" t="str">
        <f t="shared" si="38"/>
        <v/>
      </c>
      <c r="J73" s="541"/>
      <c r="K73" s="544"/>
      <c r="L73" s="741"/>
      <c r="M73" s="545" t="str">
        <f t="shared" si="39"/>
        <v/>
      </c>
      <c r="N73" s="829"/>
      <c r="O73" s="993" t="s">
        <v>99</v>
      </c>
      <c r="P73" s="829"/>
      <c r="Q73" s="993" t="s">
        <v>99</v>
      </c>
      <c r="R73" s="829"/>
      <c r="S73" s="546" t="s">
        <v>99</v>
      </c>
      <c r="T73" s="547"/>
      <c r="U73" s="547" t="s">
        <v>99</v>
      </c>
      <c r="V73" s="548"/>
      <c r="W73" s="548"/>
      <c r="X73" s="548"/>
      <c r="Y73" s="548"/>
      <c r="Z73" s="548"/>
      <c r="AA73" s="548"/>
      <c r="AB73" s="547"/>
      <c r="AC73" s="547"/>
      <c r="AD73" s="548"/>
      <c r="AE73" s="548"/>
      <c r="AF73" s="548"/>
      <c r="AG73" s="548"/>
      <c r="AH73" s="548"/>
      <c r="AI73" s="548"/>
      <c r="AJ73" s="548"/>
      <c r="AK73" s="548"/>
      <c r="AL73" s="548"/>
      <c r="AM73" s="548"/>
      <c r="AN73" s="548"/>
      <c r="AO73" s="548"/>
      <c r="AP73" s="548"/>
      <c r="AQ73" s="548"/>
      <c r="AR73" s="548"/>
      <c r="AS73" s="548"/>
      <c r="AT73" s="548"/>
      <c r="AU73" s="549" t="str">
        <f t="shared" si="40"/>
        <v/>
      </c>
      <c r="AV73" s="549" t="str">
        <f t="shared" si="35"/>
        <v/>
      </c>
      <c r="AW73" s="547"/>
      <c r="AX73" s="550" t="str">
        <f t="shared" si="36"/>
        <v/>
      </c>
      <c r="AY73" s="550" t="str">
        <f t="shared" si="37"/>
        <v/>
      </c>
      <c r="BA73" s="102" t="str">
        <f t="shared" si="18"/>
        <v>SUM_CO2</v>
      </c>
      <c r="BD73" s="124" t="str">
        <f t="shared" si="41"/>
        <v/>
      </c>
      <c r="BE73" s="124" t="str">
        <f t="shared" si="42"/>
        <v/>
      </c>
      <c r="BF73" s="124" t="str">
        <f t="shared" si="43"/>
        <v/>
      </c>
      <c r="BH73" s="124" t="str">
        <f t="shared" si="44"/>
        <v/>
      </c>
      <c r="BI73" s="124" t="str">
        <f t="shared" si="45"/>
        <v/>
      </c>
      <c r="BJ73" s="124" t="str">
        <f t="shared" si="46"/>
        <v/>
      </c>
      <c r="BK73" s="125"/>
      <c r="BL73" s="124" t="str">
        <f t="shared" si="25"/>
        <v/>
      </c>
      <c r="BM73" s="124" t="str">
        <f t="shared" si="26"/>
        <v/>
      </c>
      <c r="BN73" s="124" t="str">
        <f t="shared" si="27"/>
        <v/>
      </c>
      <c r="BO73" s="124" t="str">
        <f t="shared" si="28"/>
        <v/>
      </c>
      <c r="BP73" s="102" t="b">
        <f t="shared" si="47"/>
        <v>1</v>
      </c>
      <c r="BQ73" s="125"/>
      <c r="BR73" s="102" t="str">
        <f t="shared" si="48"/>
        <v/>
      </c>
      <c r="BS73" s="102" t="str">
        <f t="shared" si="49"/>
        <v/>
      </c>
      <c r="BT73" s="102" t="str">
        <f t="shared" si="50"/>
        <v/>
      </c>
      <c r="BU73" s="102" t="str">
        <f t="shared" si="51"/>
        <v/>
      </c>
      <c r="BW73" s="124" t="b">
        <f t="shared" si="52"/>
        <v>0</v>
      </c>
    </row>
    <row r="74" spans="3:75" ht="12.75" customHeight="1" x14ac:dyDescent="0.25">
      <c r="C74" s="539">
        <v>58</v>
      </c>
      <c r="D74" s="540"/>
      <c r="E74" s="540"/>
      <c r="F74" s="854"/>
      <c r="G74" s="542"/>
      <c r="H74" s="541"/>
      <c r="I74" s="543" t="str">
        <f t="shared" si="38"/>
        <v/>
      </c>
      <c r="J74" s="541"/>
      <c r="K74" s="544"/>
      <c r="L74" s="741"/>
      <c r="M74" s="545" t="str">
        <f t="shared" si="39"/>
        <v/>
      </c>
      <c r="N74" s="829"/>
      <c r="O74" s="993" t="s">
        <v>99</v>
      </c>
      <c r="P74" s="829"/>
      <c r="Q74" s="993" t="s">
        <v>99</v>
      </c>
      <c r="R74" s="829"/>
      <c r="S74" s="546" t="s">
        <v>99</v>
      </c>
      <c r="T74" s="547"/>
      <c r="U74" s="547" t="s">
        <v>99</v>
      </c>
      <c r="V74" s="548"/>
      <c r="W74" s="548"/>
      <c r="X74" s="548"/>
      <c r="Y74" s="548"/>
      <c r="Z74" s="548"/>
      <c r="AA74" s="548"/>
      <c r="AB74" s="547"/>
      <c r="AC74" s="547"/>
      <c r="AD74" s="548"/>
      <c r="AE74" s="548"/>
      <c r="AF74" s="548"/>
      <c r="AG74" s="548"/>
      <c r="AH74" s="548"/>
      <c r="AI74" s="548"/>
      <c r="AJ74" s="548"/>
      <c r="AK74" s="548"/>
      <c r="AL74" s="548"/>
      <c r="AM74" s="548"/>
      <c r="AN74" s="548"/>
      <c r="AO74" s="548"/>
      <c r="AP74" s="548"/>
      <c r="AQ74" s="548"/>
      <c r="AR74" s="548"/>
      <c r="AS74" s="548"/>
      <c r="AT74" s="548"/>
      <c r="AU74" s="549" t="str">
        <f t="shared" si="40"/>
        <v/>
      </c>
      <c r="AV74" s="549" t="str">
        <f t="shared" si="35"/>
        <v/>
      </c>
      <c r="AW74" s="547"/>
      <c r="AX74" s="550" t="str">
        <f t="shared" si="36"/>
        <v/>
      </c>
      <c r="AY74" s="550" t="str">
        <f t="shared" si="37"/>
        <v/>
      </c>
      <c r="BA74" s="102" t="str">
        <f t="shared" si="18"/>
        <v>SUM_CO2</v>
      </c>
      <c r="BD74" s="124" t="str">
        <f t="shared" si="41"/>
        <v/>
      </c>
      <c r="BE74" s="124" t="str">
        <f t="shared" si="42"/>
        <v/>
      </c>
      <c r="BF74" s="124" t="str">
        <f t="shared" si="43"/>
        <v/>
      </c>
      <c r="BH74" s="124" t="str">
        <f t="shared" si="44"/>
        <v/>
      </c>
      <c r="BI74" s="124" t="str">
        <f t="shared" si="45"/>
        <v/>
      </c>
      <c r="BJ74" s="124" t="str">
        <f t="shared" si="46"/>
        <v/>
      </c>
      <c r="BK74" s="125"/>
      <c r="BL74" s="124" t="str">
        <f t="shared" si="25"/>
        <v/>
      </c>
      <c r="BM74" s="124" t="str">
        <f t="shared" si="26"/>
        <v/>
      </c>
      <c r="BN74" s="124" t="str">
        <f t="shared" si="27"/>
        <v/>
      </c>
      <c r="BO74" s="124" t="str">
        <f t="shared" si="28"/>
        <v/>
      </c>
      <c r="BP74" s="102" t="b">
        <f t="shared" si="47"/>
        <v>1</v>
      </c>
      <c r="BQ74" s="125"/>
      <c r="BR74" s="102" t="str">
        <f t="shared" si="48"/>
        <v/>
      </c>
      <c r="BS74" s="102" t="str">
        <f t="shared" si="49"/>
        <v/>
      </c>
      <c r="BT74" s="102" t="str">
        <f t="shared" si="50"/>
        <v/>
      </c>
      <c r="BU74" s="102" t="str">
        <f t="shared" si="51"/>
        <v/>
      </c>
      <c r="BW74" s="124" t="b">
        <f t="shared" si="52"/>
        <v>0</v>
      </c>
    </row>
    <row r="75" spans="3:75" ht="12.75" customHeight="1" x14ac:dyDescent="0.25">
      <c r="C75" s="539">
        <v>59</v>
      </c>
      <c r="D75" s="540"/>
      <c r="E75" s="540"/>
      <c r="F75" s="854"/>
      <c r="G75" s="542"/>
      <c r="H75" s="541"/>
      <c r="I75" s="543" t="str">
        <f t="shared" si="38"/>
        <v/>
      </c>
      <c r="J75" s="541"/>
      <c r="K75" s="544"/>
      <c r="L75" s="741"/>
      <c r="M75" s="545" t="str">
        <f t="shared" si="39"/>
        <v/>
      </c>
      <c r="N75" s="829"/>
      <c r="O75" s="993" t="s">
        <v>99</v>
      </c>
      <c r="P75" s="829"/>
      <c r="Q75" s="993" t="s">
        <v>99</v>
      </c>
      <c r="R75" s="829"/>
      <c r="S75" s="546" t="s">
        <v>99</v>
      </c>
      <c r="T75" s="547"/>
      <c r="U75" s="547" t="s">
        <v>99</v>
      </c>
      <c r="V75" s="548"/>
      <c r="W75" s="548"/>
      <c r="X75" s="548"/>
      <c r="Y75" s="548"/>
      <c r="Z75" s="548"/>
      <c r="AA75" s="548"/>
      <c r="AB75" s="547"/>
      <c r="AC75" s="547"/>
      <c r="AD75" s="548"/>
      <c r="AE75" s="548"/>
      <c r="AF75" s="548"/>
      <c r="AG75" s="548"/>
      <c r="AH75" s="548"/>
      <c r="AI75" s="548"/>
      <c r="AJ75" s="548"/>
      <c r="AK75" s="548"/>
      <c r="AL75" s="548"/>
      <c r="AM75" s="548"/>
      <c r="AN75" s="548"/>
      <c r="AO75" s="548"/>
      <c r="AP75" s="548"/>
      <c r="AQ75" s="548"/>
      <c r="AR75" s="548"/>
      <c r="AS75" s="548"/>
      <c r="AT75" s="548"/>
      <c r="AU75" s="549" t="str">
        <f t="shared" si="40"/>
        <v/>
      </c>
      <c r="AV75" s="549" t="str">
        <f t="shared" si="35"/>
        <v/>
      </c>
      <c r="AW75" s="547"/>
      <c r="AX75" s="550" t="str">
        <f t="shared" si="36"/>
        <v/>
      </c>
      <c r="AY75" s="550" t="str">
        <f t="shared" si="37"/>
        <v/>
      </c>
      <c r="BA75" s="102" t="str">
        <f t="shared" si="18"/>
        <v>SUM_CO2</v>
      </c>
      <c r="BD75" s="124" t="str">
        <f t="shared" si="41"/>
        <v/>
      </c>
      <c r="BE75" s="124" t="str">
        <f t="shared" si="42"/>
        <v/>
      </c>
      <c r="BF75" s="124" t="str">
        <f t="shared" si="43"/>
        <v/>
      </c>
      <c r="BH75" s="124" t="str">
        <f t="shared" si="44"/>
        <v/>
      </c>
      <c r="BI75" s="124" t="str">
        <f t="shared" si="45"/>
        <v/>
      </c>
      <c r="BJ75" s="124" t="str">
        <f t="shared" si="46"/>
        <v/>
      </c>
      <c r="BK75" s="125"/>
      <c r="BL75" s="124" t="str">
        <f t="shared" si="25"/>
        <v/>
      </c>
      <c r="BM75" s="124" t="str">
        <f t="shared" si="26"/>
        <v/>
      </c>
      <c r="BN75" s="124" t="str">
        <f t="shared" si="27"/>
        <v/>
      </c>
      <c r="BO75" s="124" t="str">
        <f t="shared" si="28"/>
        <v/>
      </c>
      <c r="BP75" s="102" t="b">
        <f t="shared" si="47"/>
        <v>1</v>
      </c>
      <c r="BQ75" s="125"/>
      <c r="BR75" s="102" t="str">
        <f t="shared" si="48"/>
        <v/>
      </c>
      <c r="BS75" s="102" t="str">
        <f t="shared" si="49"/>
        <v/>
      </c>
      <c r="BT75" s="102" t="str">
        <f t="shared" si="50"/>
        <v/>
      </c>
      <c r="BU75" s="102" t="str">
        <f t="shared" si="51"/>
        <v/>
      </c>
      <c r="BW75" s="124" t="b">
        <f t="shared" si="52"/>
        <v>0</v>
      </c>
    </row>
    <row r="76" spans="3:75" ht="12.75" customHeight="1" x14ac:dyDescent="0.25">
      <c r="C76" s="539">
        <v>60</v>
      </c>
      <c r="D76" s="540"/>
      <c r="E76" s="540"/>
      <c r="F76" s="854"/>
      <c r="G76" s="542"/>
      <c r="H76" s="541"/>
      <c r="I76" s="543" t="str">
        <f t="shared" si="38"/>
        <v/>
      </c>
      <c r="J76" s="541"/>
      <c r="K76" s="544"/>
      <c r="L76" s="741"/>
      <c r="M76" s="545" t="str">
        <f t="shared" si="39"/>
        <v/>
      </c>
      <c r="N76" s="829"/>
      <c r="O76" s="993" t="s">
        <v>99</v>
      </c>
      <c r="P76" s="829"/>
      <c r="Q76" s="993" t="s">
        <v>99</v>
      </c>
      <c r="R76" s="829"/>
      <c r="S76" s="546" t="s">
        <v>99</v>
      </c>
      <c r="T76" s="547"/>
      <c r="U76" s="547" t="s">
        <v>99</v>
      </c>
      <c r="V76" s="548"/>
      <c r="W76" s="548"/>
      <c r="X76" s="548"/>
      <c r="Y76" s="548"/>
      <c r="Z76" s="548"/>
      <c r="AA76" s="548"/>
      <c r="AB76" s="547"/>
      <c r="AC76" s="547"/>
      <c r="AD76" s="548"/>
      <c r="AE76" s="548"/>
      <c r="AF76" s="548"/>
      <c r="AG76" s="548"/>
      <c r="AH76" s="548"/>
      <c r="AI76" s="548"/>
      <c r="AJ76" s="548"/>
      <c r="AK76" s="548"/>
      <c r="AL76" s="548"/>
      <c r="AM76" s="548"/>
      <c r="AN76" s="548"/>
      <c r="AO76" s="548"/>
      <c r="AP76" s="548"/>
      <c r="AQ76" s="548"/>
      <c r="AR76" s="548"/>
      <c r="AS76" s="548"/>
      <c r="AT76" s="548"/>
      <c r="AU76" s="549" t="str">
        <f t="shared" si="40"/>
        <v/>
      </c>
      <c r="AV76" s="549" t="str">
        <f t="shared" si="35"/>
        <v/>
      </c>
      <c r="AW76" s="547"/>
      <c r="AX76" s="550" t="str">
        <f t="shared" si="36"/>
        <v/>
      </c>
      <c r="AY76" s="550" t="str">
        <f t="shared" si="37"/>
        <v/>
      </c>
      <c r="BA76" s="102" t="str">
        <f t="shared" si="18"/>
        <v>SUM_CO2</v>
      </c>
      <c r="BD76" s="124" t="str">
        <f t="shared" si="41"/>
        <v/>
      </c>
      <c r="BE76" s="124" t="str">
        <f t="shared" si="42"/>
        <v/>
      </c>
      <c r="BF76" s="124" t="str">
        <f t="shared" si="43"/>
        <v/>
      </c>
      <c r="BH76" s="124" t="str">
        <f t="shared" si="44"/>
        <v/>
      </c>
      <c r="BI76" s="124" t="str">
        <f t="shared" si="45"/>
        <v/>
      </c>
      <c r="BJ76" s="124" t="str">
        <f t="shared" si="46"/>
        <v/>
      </c>
      <c r="BK76" s="125"/>
      <c r="BL76" s="124" t="str">
        <f t="shared" si="25"/>
        <v/>
      </c>
      <c r="BM76" s="124" t="str">
        <f t="shared" si="26"/>
        <v/>
      </c>
      <c r="BN76" s="124" t="str">
        <f t="shared" si="27"/>
        <v/>
      </c>
      <c r="BO76" s="124" t="str">
        <f t="shared" si="28"/>
        <v/>
      </c>
      <c r="BP76" s="102" t="b">
        <f t="shared" si="47"/>
        <v>1</v>
      </c>
      <c r="BQ76" s="125"/>
      <c r="BR76" s="102" t="str">
        <f t="shared" si="48"/>
        <v/>
      </c>
      <c r="BS76" s="102" t="str">
        <f t="shared" si="49"/>
        <v/>
      </c>
      <c r="BT76" s="102" t="str">
        <f t="shared" si="50"/>
        <v/>
      </c>
      <c r="BU76" s="102" t="str">
        <f t="shared" si="51"/>
        <v/>
      </c>
      <c r="BW76" s="124" t="b">
        <f t="shared" si="52"/>
        <v>0</v>
      </c>
    </row>
    <row r="77" spans="3:75" ht="12.75" customHeight="1" x14ac:dyDescent="0.25">
      <c r="C77" s="539">
        <v>61</v>
      </c>
      <c r="D77" s="540"/>
      <c r="E77" s="540"/>
      <c r="F77" s="854"/>
      <c r="G77" s="542"/>
      <c r="H77" s="541"/>
      <c r="I77" s="543" t="str">
        <f t="shared" si="38"/>
        <v/>
      </c>
      <c r="J77" s="541"/>
      <c r="K77" s="544"/>
      <c r="L77" s="741"/>
      <c r="M77" s="545" t="str">
        <f t="shared" si="39"/>
        <v/>
      </c>
      <c r="N77" s="829"/>
      <c r="O77" s="993" t="s">
        <v>99</v>
      </c>
      <c r="P77" s="829"/>
      <c r="Q77" s="993" t="s">
        <v>99</v>
      </c>
      <c r="R77" s="829"/>
      <c r="S77" s="546" t="s">
        <v>99</v>
      </c>
      <c r="T77" s="547"/>
      <c r="U77" s="547" t="s">
        <v>99</v>
      </c>
      <c r="V77" s="548"/>
      <c r="W77" s="548"/>
      <c r="X77" s="548"/>
      <c r="Y77" s="548"/>
      <c r="Z77" s="548"/>
      <c r="AA77" s="548"/>
      <c r="AB77" s="547"/>
      <c r="AC77" s="547"/>
      <c r="AD77" s="548"/>
      <c r="AE77" s="548"/>
      <c r="AF77" s="548"/>
      <c r="AG77" s="548"/>
      <c r="AH77" s="548"/>
      <c r="AI77" s="548"/>
      <c r="AJ77" s="548"/>
      <c r="AK77" s="548"/>
      <c r="AL77" s="548"/>
      <c r="AM77" s="548"/>
      <c r="AN77" s="548"/>
      <c r="AO77" s="548"/>
      <c r="AP77" s="548"/>
      <c r="AQ77" s="548"/>
      <c r="AR77" s="548"/>
      <c r="AS77" s="548"/>
      <c r="AT77" s="548"/>
      <c r="AU77" s="549" t="str">
        <f t="shared" si="40"/>
        <v/>
      </c>
      <c r="AV77" s="549" t="str">
        <f t="shared" si="35"/>
        <v/>
      </c>
      <c r="AW77" s="547"/>
      <c r="AX77" s="550" t="str">
        <f t="shared" si="36"/>
        <v/>
      </c>
      <c r="AY77" s="550" t="str">
        <f t="shared" si="37"/>
        <v/>
      </c>
      <c r="BA77" s="102" t="str">
        <f t="shared" si="18"/>
        <v>SUM_CO2</v>
      </c>
      <c r="BD77" s="124" t="str">
        <f t="shared" si="41"/>
        <v/>
      </c>
      <c r="BE77" s="124" t="str">
        <f t="shared" si="42"/>
        <v/>
      </c>
      <c r="BF77" s="124" t="str">
        <f t="shared" si="43"/>
        <v/>
      </c>
      <c r="BH77" s="124" t="str">
        <f t="shared" si="44"/>
        <v/>
      </c>
      <c r="BI77" s="124" t="str">
        <f t="shared" si="45"/>
        <v/>
      </c>
      <c r="BJ77" s="124" t="str">
        <f t="shared" si="46"/>
        <v/>
      </c>
      <c r="BK77" s="125"/>
      <c r="BL77" s="124" t="str">
        <f t="shared" si="25"/>
        <v/>
      </c>
      <c r="BM77" s="124" t="str">
        <f t="shared" si="26"/>
        <v/>
      </c>
      <c r="BN77" s="124" t="str">
        <f t="shared" si="27"/>
        <v/>
      </c>
      <c r="BO77" s="124" t="str">
        <f t="shared" si="28"/>
        <v/>
      </c>
      <c r="BP77" s="102" t="b">
        <f t="shared" si="47"/>
        <v>1</v>
      </c>
      <c r="BQ77" s="125"/>
      <c r="BR77" s="102" t="str">
        <f t="shared" si="48"/>
        <v/>
      </c>
      <c r="BS77" s="102" t="str">
        <f t="shared" si="49"/>
        <v/>
      </c>
      <c r="BT77" s="102" t="str">
        <f t="shared" si="50"/>
        <v/>
      </c>
      <c r="BU77" s="102" t="str">
        <f t="shared" si="51"/>
        <v/>
      </c>
      <c r="BW77" s="124" t="b">
        <f t="shared" si="52"/>
        <v>0</v>
      </c>
    </row>
    <row r="78" spans="3:75" ht="12.75" customHeight="1" x14ac:dyDescent="0.25">
      <c r="C78" s="539">
        <v>62</v>
      </c>
      <c r="D78" s="540"/>
      <c r="E78" s="540"/>
      <c r="F78" s="854"/>
      <c r="G78" s="542"/>
      <c r="H78" s="541"/>
      <c r="I78" s="543" t="str">
        <f t="shared" si="38"/>
        <v/>
      </c>
      <c r="J78" s="541"/>
      <c r="K78" s="544"/>
      <c r="L78" s="741"/>
      <c r="M78" s="545" t="str">
        <f t="shared" si="39"/>
        <v/>
      </c>
      <c r="N78" s="829"/>
      <c r="O78" s="993" t="s">
        <v>99</v>
      </c>
      <c r="P78" s="829"/>
      <c r="Q78" s="993" t="s">
        <v>99</v>
      </c>
      <c r="R78" s="829"/>
      <c r="S78" s="546" t="s">
        <v>99</v>
      </c>
      <c r="T78" s="547"/>
      <c r="U78" s="547" t="s">
        <v>99</v>
      </c>
      <c r="V78" s="548"/>
      <c r="W78" s="548"/>
      <c r="X78" s="548"/>
      <c r="Y78" s="548"/>
      <c r="Z78" s="548"/>
      <c r="AA78" s="548"/>
      <c r="AB78" s="547"/>
      <c r="AC78" s="547"/>
      <c r="AD78" s="548"/>
      <c r="AE78" s="548"/>
      <c r="AF78" s="548"/>
      <c r="AG78" s="548"/>
      <c r="AH78" s="548"/>
      <c r="AI78" s="548"/>
      <c r="AJ78" s="548"/>
      <c r="AK78" s="548"/>
      <c r="AL78" s="548"/>
      <c r="AM78" s="548"/>
      <c r="AN78" s="548"/>
      <c r="AO78" s="548"/>
      <c r="AP78" s="548"/>
      <c r="AQ78" s="548"/>
      <c r="AR78" s="548"/>
      <c r="AS78" s="548"/>
      <c r="AT78" s="548"/>
      <c r="AU78" s="549" t="str">
        <f t="shared" si="40"/>
        <v/>
      </c>
      <c r="AV78" s="549" t="str">
        <f t="shared" si="35"/>
        <v/>
      </c>
      <c r="AW78" s="547"/>
      <c r="AX78" s="550" t="str">
        <f t="shared" si="36"/>
        <v/>
      </c>
      <c r="AY78" s="550" t="str">
        <f t="shared" si="37"/>
        <v/>
      </c>
      <c r="BA78" s="102" t="str">
        <f t="shared" si="18"/>
        <v>SUM_CO2</v>
      </c>
      <c r="BD78" s="124" t="str">
        <f t="shared" si="41"/>
        <v/>
      </c>
      <c r="BE78" s="124" t="str">
        <f t="shared" si="42"/>
        <v/>
      </c>
      <c r="BF78" s="124" t="str">
        <f t="shared" si="43"/>
        <v/>
      </c>
      <c r="BH78" s="124" t="str">
        <f t="shared" si="44"/>
        <v/>
      </c>
      <c r="BI78" s="124" t="str">
        <f t="shared" si="45"/>
        <v/>
      </c>
      <c r="BJ78" s="124" t="str">
        <f t="shared" si="46"/>
        <v/>
      </c>
      <c r="BK78" s="125"/>
      <c r="BL78" s="124" t="str">
        <f t="shared" si="25"/>
        <v/>
      </c>
      <c r="BM78" s="124" t="str">
        <f t="shared" si="26"/>
        <v/>
      </c>
      <c r="BN78" s="124" t="str">
        <f t="shared" si="27"/>
        <v/>
      </c>
      <c r="BO78" s="124" t="str">
        <f t="shared" si="28"/>
        <v/>
      </c>
      <c r="BP78" s="102" t="b">
        <f t="shared" si="47"/>
        <v>1</v>
      </c>
      <c r="BQ78" s="125"/>
      <c r="BR78" s="102" t="str">
        <f t="shared" si="48"/>
        <v/>
      </c>
      <c r="BS78" s="102" t="str">
        <f t="shared" si="49"/>
        <v/>
      </c>
      <c r="BT78" s="102" t="str">
        <f t="shared" si="50"/>
        <v/>
      </c>
      <c r="BU78" s="102" t="str">
        <f t="shared" si="51"/>
        <v/>
      </c>
      <c r="BW78" s="124" t="b">
        <f t="shared" si="52"/>
        <v>0</v>
      </c>
    </row>
    <row r="79" spans="3:75" ht="12.75" customHeight="1" x14ac:dyDescent="0.25">
      <c r="C79" s="539">
        <v>63</v>
      </c>
      <c r="D79" s="540"/>
      <c r="E79" s="540"/>
      <c r="F79" s="854"/>
      <c r="G79" s="542"/>
      <c r="H79" s="541"/>
      <c r="I79" s="543" t="str">
        <f t="shared" si="38"/>
        <v/>
      </c>
      <c r="J79" s="541"/>
      <c r="K79" s="544"/>
      <c r="L79" s="741"/>
      <c r="M79" s="545" t="str">
        <f t="shared" si="39"/>
        <v/>
      </c>
      <c r="N79" s="829"/>
      <c r="O79" s="993" t="s">
        <v>99</v>
      </c>
      <c r="P79" s="829"/>
      <c r="Q79" s="993" t="s">
        <v>99</v>
      </c>
      <c r="R79" s="829"/>
      <c r="S79" s="546" t="s">
        <v>99</v>
      </c>
      <c r="T79" s="547"/>
      <c r="U79" s="547" t="s">
        <v>99</v>
      </c>
      <c r="V79" s="548"/>
      <c r="W79" s="548"/>
      <c r="X79" s="548"/>
      <c r="Y79" s="548"/>
      <c r="Z79" s="548"/>
      <c r="AA79" s="548"/>
      <c r="AB79" s="547"/>
      <c r="AC79" s="547"/>
      <c r="AD79" s="548"/>
      <c r="AE79" s="548"/>
      <c r="AF79" s="548"/>
      <c r="AG79" s="548"/>
      <c r="AH79" s="548"/>
      <c r="AI79" s="548"/>
      <c r="AJ79" s="548"/>
      <c r="AK79" s="548"/>
      <c r="AL79" s="548"/>
      <c r="AM79" s="548"/>
      <c r="AN79" s="548"/>
      <c r="AO79" s="548"/>
      <c r="AP79" s="548"/>
      <c r="AQ79" s="548"/>
      <c r="AR79" s="548"/>
      <c r="AS79" s="548"/>
      <c r="AT79" s="548"/>
      <c r="AU79" s="549" t="str">
        <f t="shared" si="40"/>
        <v/>
      </c>
      <c r="AV79" s="549" t="str">
        <f t="shared" si="35"/>
        <v/>
      </c>
      <c r="AW79" s="547"/>
      <c r="AX79" s="550" t="str">
        <f t="shared" si="36"/>
        <v/>
      </c>
      <c r="AY79" s="550" t="str">
        <f t="shared" si="37"/>
        <v/>
      </c>
      <c r="BA79" s="102" t="str">
        <f t="shared" si="18"/>
        <v>SUM_CO2</v>
      </c>
      <c r="BD79" s="124" t="str">
        <f t="shared" si="41"/>
        <v/>
      </c>
      <c r="BE79" s="124" t="str">
        <f t="shared" si="42"/>
        <v/>
      </c>
      <c r="BF79" s="124" t="str">
        <f t="shared" si="43"/>
        <v/>
      </c>
      <c r="BH79" s="124" t="str">
        <f t="shared" si="44"/>
        <v/>
      </c>
      <c r="BI79" s="124" t="str">
        <f t="shared" si="45"/>
        <v/>
      </c>
      <c r="BJ79" s="124" t="str">
        <f t="shared" si="46"/>
        <v/>
      </c>
      <c r="BK79" s="125"/>
      <c r="BL79" s="124" t="str">
        <f t="shared" si="25"/>
        <v/>
      </c>
      <c r="BM79" s="124" t="str">
        <f t="shared" si="26"/>
        <v/>
      </c>
      <c r="BN79" s="124" t="str">
        <f t="shared" si="27"/>
        <v/>
      </c>
      <c r="BO79" s="124" t="str">
        <f t="shared" si="28"/>
        <v/>
      </c>
      <c r="BP79" s="102" t="b">
        <f t="shared" si="47"/>
        <v>1</v>
      </c>
      <c r="BQ79" s="125"/>
      <c r="BR79" s="102" t="str">
        <f t="shared" si="48"/>
        <v/>
      </c>
      <c r="BS79" s="102" t="str">
        <f t="shared" si="49"/>
        <v/>
      </c>
      <c r="BT79" s="102" t="str">
        <f t="shared" si="50"/>
        <v/>
      </c>
      <c r="BU79" s="102" t="str">
        <f t="shared" si="51"/>
        <v/>
      </c>
      <c r="BW79" s="124" t="b">
        <f t="shared" si="52"/>
        <v>0</v>
      </c>
    </row>
    <row r="80" spans="3:75" ht="12.75" customHeight="1" x14ac:dyDescent="0.25">
      <c r="C80" s="539">
        <v>64</v>
      </c>
      <c r="D80" s="540"/>
      <c r="E80" s="540"/>
      <c r="F80" s="854"/>
      <c r="G80" s="542"/>
      <c r="H80" s="541"/>
      <c r="I80" s="543" t="str">
        <f t="shared" si="38"/>
        <v/>
      </c>
      <c r="J80" s="541"/>
      <c r="K80" s="544"/>
      <c r="L80" s="741"/>
      <c r="M80" s="545" t="str">
        <f t="shared" si="39"/>
        <v/>
      </c>
      <c r="N80" s="829"/>
      <c r="O80" s="993" t="s">
        <v>99</v>
      </c>
      <c r="P80" s="829"/>
      <c r="Q80" s="993" t="s">
        <v>99</v>
      </c>
      <c r="R80" s="829"/>
      <c r="S80" s="546" t="s">
        <v>99</v>
      </c>
      <c r="T80" s="547"/>
      <c r="U80" s="547" t="s">
        <v>99</v>
      </c>
      <c r="V80" s="548"/>
      <c r="W80" s="548"/>
      <c r="X80" s="548"/>
      <c r="Y80" s="548"/>
      <c r="Z80" s="548"/>
      <c r="AA80" s="548"/>
      <c r="AB80" s="547"/>
      <c r="AC80" s="547"/>
      <c r="AD80" s="548"/>
      <c r="AE80" s="548"/>
      <c r="AF80" s="548"/>
      <c r="AG80" s="548"/>
      <c r="AH80" s="548"/>
      <c r="AI80" s="548"/>
      <c r="AJ80" s="548"/>
      <c r="AK80" s="548"/>
      <c r="AL80" s="548"/>
      <c r="AM80" s="548"/>
      <c r="AN80" s="548"/>
      <c r="AO80" s="548"/>
      <c r="AP80" s="548"/>
      <c r="AQ80" s="548"/>
      <c r="AR80" s="548"/>
      <c r="AS80" s="548"/>
      <c r="AT80" s="548"/>
      <c r="AU80" s="549" t="str">
        <f t="shared" si="40"/>
        <v/>
      </c>
      <c r="AV80" s="549" t="str">
        <f t="shared" si="35"/>
        <v/>
      </c>
      <c r="AW80" s="547"/>
      <c r="AX80" s="550" t="str">
        <f t="shared" si="36"/>
        <v/>
      </c>
      <c r="AY80" s="550" t="str">
        <f t="shared" si="37"/>
        <v/>
      </c>
      <c r="BA80" s="102" t="str">
        <f t="shared" si="18"/>
        <v>SUM_CO2</v>
      </c>
      <c r="BD80" s="124" t="str">
        <f t="shared" si="41"/>
        <v/>
      </c>
      <c r="BE80" s="124" t="str">
        <f t="shared" si="42"/>
        <v/>
      </c>
      <c r="BF80" s="124" t="str">
        <f t="shared" si="43"/>
        <v/>
      </c>
      <c r="BH80" s="124" t="str">
        <f t="shared" si="44"/>
        <v/>
      </c>
      <c r="BI80" s="124" t="str">
        <f t="shared" si="45"/>
        <v/>
      </c>
      <c r="BJ80" s="124" t="str">
        <f t="shared" si="46"/>
        <v/>
      </c>
      <c r="BK80" s="125"/>
      <c r="BL80" s="124" t="str">
        <f t="shared" si="25"/>
        <v/>
      </c>
      <c r="BM80" s="124" t="str">
        <f t="shared" si="26"/>
        <v/>
      </c>
      <c r="BN80" s="124" t="str">
        <f t="shared" si="27"/>
        <v/>
      </c>
      <c r="BO80" s="124" t="str">
        <f t="shared" si="28"/>
        <v/>
      </c>
      <c r="BP80" s="102" t="b">
        <f t="shared" si="47"/>
        <v>1</v>
      </c>
      <c r="BQ80" s="125"/>
      <c r="BR80" s="102" t="str">
        <f t="shared" si="48"/>
        <v/>
      </c>
      <c r="BS80" s="102" t="str">
        <f t="shared" si="49"/>
        <v/>
      </c>
      <c r="BT80" s="102" t="str">
        <f t="shared" si="50"/>
        <v/>
      </c>
      <c r="BU80" s="102" t="str">
        <f t="shared" si="51"/>
        <v/>
      </c>
      <c r="BW80" s="124" t="b">
        <f t="shared" si="52"/>
        <v>0</v>
      </c>
    </row>
    <row r="81" spans="1:75" ht="12.75" customHeight="1" x14ac:dyDescent="0.25">
      <c r="C81" s="539">
        <v>65</v>
      </c>
      <c r="D81" s="540"/>
      <c r="E81" s="540"/>
      <c r="F81" s="854"/>
      <c r="G81" s="542"/>
      <c r="H81" s="541"/>
      <c r="I81" s="543" t="str">
        <f t="shared" ref="I81:I91" si="53">IF(E81="","",IF(G81="","", IF(G81=CONST_kNm3,CONST_GJpkNm3,CONST_GJpt)))</f>
        <v/>
      </c>
      <c r="J81" s="541"/>
      <c r="K81" s="544"/>
      <c r="L81" s="741"/>
      <c r="M81" s="545" t="str">
        <f t="shared" ref="M81:M91" si="54">IF(D81&lt;&gt;INDEX(CONST_MonitoringApproach,3),"", IF(G81="","", CONST_tC&amp;"/"&amp;IF(G81="",CONST_t,G81)))</f>
        <v/>
      </c>
      <c r="N81" s="829"/>
      <c r="O81" s="993" t="s">
        <v>99</v>
      </c>
      <c r="P81" s="829"/>
      <c r="Q81" s="993" t="s">
        <v>99</v>
      </c>
      <c r="R81" s="829"/>
      <c r="S81" s="546" t="s">
        <v>99</v>
      </c>
      <c r="T81" s="547"/>
      <c r="U81" s="547" t="s">
        <v>99</v>
      </c>
      <c r="V81" s="548"/>
      <c r="W81" s="548"/>
      <c r="X81" s="548"/>
      <c r="Y81" s="548"/>
      <c r="Z81" s="548"/>
      <c r="AA81" s="548"/>
      <c r="AB81" s="547"/>
      <c r="AC81" s="547"/>
      <c r="AD81" s="548"/>
      <c r="AE81" s="548"/>
      <c r="AF81" s="548"/>
      <c r="AG81" s="548"/>
      <c r="AH81" s="548"/>
      <c r="AI81" s="548"/>
      <c r="AJ81" s="548"/>
      <c r="AK81" s="548"/>
      <c r="AL81" s="548"/>
      <c r="AM81" s="548"/>
      <c r="AN81" s="548"/>
      <c r="AO81" s="548"/>
      <c r="AP81" s="548"/>
      <c r="AQ81" s="548"/>
      <c r="AR81" s="548"/>
      <c r="AS81" s="548"/>
      <c r="AT81" s="548"/>
      <c r="AU81" s="549" t="str">
        <f t="shared" ref="AU81:AU91" si="55">IF($D81="","",IF(BR81=FALSE,CONST_ERR_Inconsistent,IF(COUNTIF(BS81:BU81,FALSE)&gt;0,CONST_ERR_Incomplete,SUM(BD81:BF81))))</f>
        <v/>
      </c>
      <c r="AV81" s="549" t="str">
        <f t="shared" si="35"/>
        <v/>
      </c>
      <c r="AW81" s="547"/>
      <c r="AX81" s="550" t="str">
        <f t="shared" si="36"/>
        <v/>
      </c>
      <c r="AY81" s="550" t="str">
        <f t="shared" si="37"/>
        <v/>
      </c>
      <c r="BA81" s="102" t="str">
        <f t="shared" ref="BA81:BA91" si="56">CONST_CNTR_SUM_CO2</f>
        <v>SUM_CO2</v>
      </c>
      <c r="BD81" s="124" t="str">
        <f t="shared" ref="BD81:BD91" si="57">IF($D81&lt;&gt;INDEX(CONST_MonitoringApproach,1),"",$F81*IF($K81=CONST_tCO2pTJ,$H81/1000,1)*$J81*IF($N81="",1,$N81/100)*(1-$R81/100))</f>
        <v/>
      </c>
      <c r="BE81" s="124" t="str">
        <f t="shared" ref="BE81:BE91" si="58">IF($D81&lt;&gt;INDEX(CONST_MonitoringApproach,2),"",$F81*IF($K81=CONST_tCO2pTJ,$H81/1000,1)*$J81*IF($P81="",1,$P81/100)*(1-$R81/100))</f>
        <v/>
      </c>
      <c r="BF81" s="124" t="str">
        <f t="shared" ref="BF81:BF91" si="59">IF($D81&lt;&gt;INDEX(CONST_MonitoringApproach,3),"",$F81*$L81*3.664*(1-$R81/100))</f>
        <v/>
      </c>
      <c r="BH81" s="124" t="str">
        <f t="shared" ref="BH81:BH91" si="60">IF($D81&lt;&gt;INDEX(CONST_MonitoringApproach,1),"",$F81*IF($K81=CONST_tCO2pTJ,$H81/1000,1)*$J81*IF($N81="",1,$N81/100)*($R81/100))</f>
        <v/>
      </c>
      <c r="BI81" s="124" t="str">
        <f t="shared" ref="BI81:BI91" si="61">IF($D81&lt;&gt;INDEX(CONST_MonitoringApproach,2),"",$F81*IF($K81=CONST_tCO2pTJ,$H81/1000,1)*$J81*IF($P81="",1,$P81/100)*($R81/100))</f>
        <v/>
      </c>
      <c r="BJ81" s="124" t="str">
        <f t="shared" ref="BJ81:BJ91" si="62">IF($D81&lt;&gt;INDEX(CONST_MonitoringApproach,3),"",$F81*$L81*3.664*($R81/100))</f>
        <v/>
      </c>
      <c r="BK81" s="125"/>
      <c r="BL81" s="124" t="str">
        <f t="shared" ref="BL81:BL91" si="63">IF($D81="","",MATCH($D81,CONST_MonitoringApproach,0)=3)</f>
        <v/>
      </c>
      <c r="BM81" s="124" t="str">
        <f t="shared" ref="BM81:BM91" si="64">IF($D81="","",MATCH($D81,CONST_MonitoringApproach,0)&lt;&gt;3)</f>
        <v/>
      </c>
      <c r="BN81" s="124" t="str">
        <f t="shared" ref="BN81:BN91" si="65">IF($D81="","",MATCH($D81,CONST_MonitoringApproach,0)&lt;&gt;1)</f>
        <v/>
      </c>
      <c r="BO81" s="124" t="str">
        <f t="shared" ref="BO81:BO91" si="66">IF($D81="","",MATCH($D81,CONST_MonitoringApproach,0)&lt;&gt;2)</f>
        <v/>
      </c>
      <c r="BP81" s="102" t="b">
        <f t="shared" ref="BP81:BP91" si="67">OR($K81&lt;&gt;CONST_tCO2pTJ,$D81=INDEX(CONST_MonitoringApproach,3))</f>
        <v>1</v>
      </c>
      <c r="BQ81" s="125"/>
      <c r="BR81" s="102" t="str">
        <f t="shared" ref="BR81:BR91" si="68">IF($D81="","",OR(AND($G81 = INDEX(CONST_torkNm3,1), $K81=INDEX(CONST_tCO2pTJOrtCO2pt,2)),AND($G81 = INDEX(CONST_torkNm3,2),$K81=INDEX(CONST_tCO2pTJOrtCO2pt,3)),$K81=INDEX(CONST_tCO2pTJOrtCO2pt,1),$D81=INDEX(CONST_MonitoringApproach,3)))</f>
        <v/>
      </c>
      <c r="BS81" s="102" t="str">
        <f t="shared" ref="BS81:BS91" si="69">IF($D81&lt;&gt;INDEX(CONST_MonitoringApproach,1),"", AND(COUNTA($E81,$G81,$K81)=3,COUNT($F81,$J81)=2,IF($K81=CONST_tCO2pTJ,ISNUMBER($H81),TRUE)))</f>
        <v/>
      </c>
      <c r="BT81" s="102" t="str">
        <f t="shared" ref="BT81:BT91" si="70">IF($D81&lt;&gt;INDEX(CONST_MonitoringApproach,2),"", AND(COUNTA($E81,$G81,$K81)=3,COUNT($F81,$J81)=2,IF($K81=CONST_tCO2pTJ,ISNUMBER($H81),TRUE)))</f>
        <v/>
      </c>
      <c r="BU81" s="102" t="str">
        <f t="shared" ref="BU81:BU91" si="71">IF($D81&lt;&gt;INDEX(CONST_MonitoringApproach,3),"",AND(COUNTA($E81,$G81)=2,COUNT($F81,$L81)=2))</f>
        <v/>
      </c>
      <c r="BW81" s="124" t="b">
        <f t="shared" ref="BW81:BW91" si="72">AND(CNTR_HasEntriesA,D81="")</f>
        <v>0</v>
      </c>
    </row>
    <row r="82" spans="1:75" ht="12.75" customHeight="1" x14ac:dyDescent="0.25">
      <c r="C82" s="539">
        <v>66</v>
      </c>
      <c r="D82" s="540"/>
      <c r="E82" s="540"/>
      <c r="F82" s="854"/>
      <c r="G82" s="542"/>
      <c r="H82" s="541"/>
      <c r="I82" s="543" t="str">
        <f t="shared" si="53"/>
        <v/>
      </c>
      <c r="J82" s="541"/>
      <c r="K82" s="544"/>
      <c r="L82" s="741"/>
      <c r="M82" s="545" t="str">
        <f t="shared" si="54"/>
        <v/>
      </c>
      <c r="N82" s="829"/>
      <c r="O82" s="993" t="s">
        <v>99</v>
      </c>
      <c r="P82" s="829"/>
      <c r="Q82" s="993" t="s">
        <v>99</v>
      </c>
      <c r="R82" s="829"/>
      <c r="S82" s="546" t="s">
        <v>99</v>
      </c>
      <c r="T82" s="547"/>
      <c r="U82" s="547" t="s">
        <v>99</v>
      </c>
      <c r="V82" s="548"/>
      <c r="W82" s="548"/>
      <c r="X82" s="548"/>
      <c r="Y82" s="548"/>
      <c r="Z82" s="548"/>
      <c r="AA82" s="548"/>
      <c r="AB82" s="547"/>
      <c r="AC82" s="547"/>
      <c r="AD82" s="548"/>
      <c r="AE82" s="548"/>
      <c r="AF82" s="548"/>
      <c r="AG82" s="548"/>
      <c r="AH82" s="548"/>
      <c r="AI82" s="548"/>
      <c r="AJ82" s="548"/>
      <c r="AK82" s="548"/>
      <c r="AL82" s="548"/>
      <c r="AM82" s="548"/>
      <c r="AN82" s="548"/>
      <c r="AO82" s="548"/>
      <c r="AP82" s="548"/>
      <c r="AQ82" s="548"/>
      <c r="AR82" s="548"/>
      <c r="AS82" s="548"/>
      <c r="AT82" s="548"/>
      <c r="AU82" s="549" t="str">
        <f t="shared" si="55"/>
        <v/>
      </c>
      <c r="AV82" s="549" t="str">
        <f t="shared" ref="AV82:AV91" si="73">IF(ISNUMBER(AU82),SUM(BH82:BJ82),"")</f>
        <v/>
      </c>
      <c r="AW82" s="547"/>
      <c r="AX82" s="550" t="str">
        <f t="shared" ref="AX82:AX91" si="74">IF($D82="","",$F82*$H82/1000*(1-$R82/100))</f>
        <v/>
      </c>
      <c r="AY82" s="550" t="str">
        <f t="shared" ref="AY82:AY91" si="75">IF($D82="","",$F82*$H82/1000*($R82/100))</f>
        <v/>
      </c>
      <c r="BA82" s="102" t="str">
        <f t="shared" si="56"/>
        <v>SUM_CO2</v>
      </c>
      <c r="BD82" s="124" t="str">
        <f t="shared" si="57"/>
        <v/>
      </c>
      <c r="BE82" s="124" t="str">
        <f t="shared" si="58"/>
        <v/>
      </c>
      <c r="BF82" s="124" t="str">
        <f t="shared" si="59"/>
        <v/>
      </c>
      <c r="BH82" s="124" t="str">
        <f t="shared" si="60"/>
        <v/>
      </c>
      <c r="BI82" s="124" t="str">
        <f t="shared" si="61"/>
        <v/>
      </c>
      <c r="BJ82" s="124" t="str">
        <f t="shared" si="62"/>
        <v/>
      </c>
      <c r="BK82" s="125"/>
      <c r="BL82" s="124" t="str">
        <f t="shared" si="63"/>
        <v/>
      </c>
      <c r="BM82" s="124" t="str">
        <f t="shared" si="64"/>
        <v/>
      </c>
      <c r="BN82" s="124" t="str">
        <f t="shared" si="65"/>
        <v/>
      </c>
      <c r="BO82" s="124" t="str">
        <f t="shared" si="66"/>
        <v/>
      </c>
      <c r="BP82" s="102" t="b">
        <f t="shared" si="67"/>
        <v>1</v>
      </c>
      <c r="BQ82" s="125"/>
      <c r="BR82" s="102" t="str">
        <f t="shared" si="68"/>
        <v/>
      </c>
      <c r="BS82" s="102" t="str">
        <f t="shared" si="69"/>
        <v/>
      </c>
      <c r="BT82" s="102" t="str">
        <f t="shared" si="70"/>
        <v/>
      </c>
      <c r="BU82" s="102" t="str">
        <f t="shared" si="71"/>
        <v/>
      </c>
      <c r="BW82" s="124" t="b">
        <f t="shared" si="72"/>
        <v>0</v>
      </c>
    </row>
    <row r="83" spans="1:75" ht="12.75" customHeight="1" x14ac:dyDescent="0.25">
      <c r="C83" s="539">
        <v>67</v>
      </c>
      <c r="D83" s="540"/>
      <c r="E83" s="540"/>
      <c r="F83" s="854"/>
      <c r="G83" s="542"/>
      <c r="H83" s="541"/>
      <c r="I83" s="543" t="str">
        <f t="shared" si="53"/>
        <v/>
      </c>
      <c r="J83" s="541"/>
      <c r="K83" s="544"/>
      <c r="L83" s="741"/>
      <c r="M83" s="545" t="str">
        <f t="shared" si="54"/>
        <v/>
      </c>
      <c r="N83" s="829"/>
      <c r="O83" s="993" t="s">
        <v>99</v>
      </c>
      <c r="P83" s="829"/>
      <c r="Q83" s="993" t="s">
        <v>99</v>
      </c>
      <c r="R83" s="829"/>
      <c r="S83" s="546" t="s">
        <v>99</v>
      </c>
      <c r="T83" s="547"/>
      <c r="U83" s="547" t="s">
        <v>99</v>
      </c>
      <c r="V83" s="548"/>
      <c r="W83" s="548"/>
      <c r="X83" s="548"/>
      <c r="Y83" s="548"/>
      <c r="Z83" s="548"/>
      <c r="AA83" s="548"/>
      <c r="AB83" s="547"/>
      <c r="AC83" s="547"/>
      <c r="AD83" s="548"/>
      <c r="AE83" s="548"/>
      <c r="AF83" s="548"/>
      <c r="AG83" s="548"/>
      <c r="AH83" s="548"/>
      <c r="AI83" s="548"/>
      <c r="AJ83" s="548"/>
      <c r="AK83" s="548"/>
      <c r="AL83" s="548"/>
      <c r="AM83" s="548"/>
      <c r="AN83" s="548"/>
      <c r="AO83" s="548"/>
      <c r="AP83" s="548"/>
      <c r="AQ83" s="548"/>
      <c r="AR83" s="548"/>
      <c r="AS83" s="548"/>
      <c r="AT83" s="548"/>
      <c r="AU83" s="549" t="str">
        <f t="shared" si="55"/>
        <v/>
      </c>
      <c r="AV83" s="549" t="str">
        <f t="shared" si="73"/>
        <v/>
      </c>
      <c r="AW83" s="547"/>
      <c r="AX83" s="550" t="str">
        <f t="shared" si="74"/>
        <v/>
      </c>
      <c r="AY83" s="550" t="str">
        <f t="shared" si="75"/>
        <v/>
      </c>
      <c r="BA83" s="102" t="str">
        <f t="shared" si="56"/>
        <v>SUM_CO2</v>
      </c>
      <c r="BD83" s="124" t="str">
        <f t="shared" si="57"/>
        <v/>
      </c>
      <c r="BE83" s="124" t="str">
        <f t="shared" si="58"/>
        <v/>
      </c>
      <c r="BF83" s="124" t="str">
        <f t="shared" si="59"/>
        <v/>
      </c>
      <c r="BH83" s="124" t="str">
        <f t="shared" si="60"/>
        <v/>
      </c>
      <c r="BI83" s="124" t="str">
        <f t="shared" si="61"/>
        <v/>
      </c>
      <c r="BJ83" s="124" t="str">
        <f t="shared" si="62"/>
        <v/>
      </c>
      <c r="BK83" s="125"/>
      <c r="BL83" s="124" t="str">
        <f t="shared" si="63"/>
        <v/>
      </c>
      <c r="BM83" s="124" t="str">
        <f t="shared" si="64"/>
        <v/>
      </c>
      <c r="BN83" s="124" t="str">
        <f t="shared" si="65"/>
        <v/>
      </c>
      <c r="BO83" s="124" t="str">
        <f t="shared" si="66"/>
        <v/>
      </c>
      <c r="BP83" s="102" t="b">
        <f t="shared" si="67"/>
        <v>1</v>
      </c>
      <c r="BQ83" s="125"/>
      <c r="BR83" s="102" t="str">
        <f t="shared" si="68"/>
        <v/>
      </c>
      <c r="BS83" s="102" t="str">
        <f t="shared" si="69"/>
        <v/>
      </c>
      <c r="BT83" s="102" t="str">
        <f t="shared" si="70"/>
        <v/>
      </c>
      <c r="BU83" s="102" t="str">
        <f t="shared" si="71"/>
        <v/>
      </c>
      <c r="BW83" s="124" t="b">
        <f t="shared" si="72"/>
        <v>0</v>
      </c>
    </row>
    <row r="84" spans="1:75" ht="12.75" customHeight="1" x14ac:dyDescent="0.25">
      <c r="C84" s="539">
        <v>68</v>
      </c>
      <c r="D84" s="540"/>
      <c r="E84" s="540"/>
      <c r="F84" s="854"/>
      <c r="G84" s="542"/>
      <c r="H84" s="541"/>
      <c r="I84" s="543" t="str">
        <f t="shared" si="53"/>
        <v/>
      </c>
      <c r="J84" s="541"/>
      <c r="K84" s="544"/>
      <c r="L84" s="741"/>
      <c r="M84" s="545" t="str">
        <f t="shared" si="54"/>
        <v/>
      </c>
      <c r="N84" s="829"/>
      <c r="O84" s="993" t="s">
        <v>99</v>
      </c>
      <c r="P84" s="829"/>
      <c r="Q84" s="993" t="s">
        <v>99</v>
      </c>
      <c r="R84" s="829"/>
      <c r="S84" s="546" t="s">
        <v>99</v>
      </c>
      <c r="T84" s="547"/>
      <c r="U84" s="547" t="s">
        <v>99</v>
      </c>
      <c r="V84" s="548"/>
      <c r="W84" s="548"/>
      <c r="X84" s="548"/>
      <c r="Y84" s="548"/>
      <c r="Z84" s="548"/>
      <c r="AA84" s="548"/>
      <c r="AB84" s="547"/>
      <c r="AC84" s="547"/>
      <c r="AD84" s="548"/>
      <c r="AE84" s="548"/>
      <c r="AF84" s="548"/>
      <c r="AG84" s="548"/>
      <c r="AH84" s="548"/>
      <c r="AI84" s="548"/>
      <c r="AJ84" s="548"/>
      <c r="AK84" s="548"/>
      <c r="AL84" s="548"/>
      <c r="AM84" s="548"/>
      <c r="AN84" s="548"/>
      <c r="AO84" s="548"/>
      <c r="AP84" s="548"/>
      <c r="AQ84" s="548"/>
      <c r="AR84" s="548"/>
      <c r="AS84" s="548"/>
      <c r="AT84" s="548"/>
      <c r="AU84" s="549" t="str">
        <f t="shared" si="55"/>
        <v/>
      </c>
      <c r="AV84" s="549" t="str">
        <f t="shared" si="73"/>
        <v/>
      </c>
      <c r="AW84" s="547"/>
      <c r="AX84" s="550" t="str">
        <f t="shared" si="74"/>
        <v/>
      </c>
      <c r="AY84" s="550" t="str">
        <f t="shared" si="75"/>
        <v/>
      </c>
      <c r="BA84" s="102" t="str">
        <f t="shared" si="56"/>
        <v>SUM_CO2</v>
      </c>
      <c r="BD84" s="124" t="str">
        <f t="shared" si="57"/>
        <v/>
      </c>
      <c r="BE84" s="124" t="str">
        <f t="shared" si="58"/>
        <v/>
      </c>
      <c r="BF84" s="124" t="str">
        <f t="shared" si="59"/>
        <v/>
      </c>
      <c r="BH84" s="124" t="str">
        <f t="shared" si="60"/>
        <v/>
      </c>
      <c r="BI84" s="124" t="str">
        <f t="shared" si="61"/>
        <v/>
      </c>
      <c r="BJ84" s="124" t="str">
        <f t="shared" si="62"/>
        <v/>
      </c>
      <c r="BK84" s="125"/>
      <c r="BL84" s="124" t="str">
        <f t="shared" si="63"/>
        <v/>
      </c>
      <c r="BM84" s="124" t="str">
        <f t="shared" si="64"/>
        <v/>
      </c>
      <c r="BN84" s="124" t="str">
        <f t="shared" si="65"/>
        <v/>
      </c>
      <c r="BO84" s="124" t="str">
        <f t="shared" si="66"/>
        <v/>
      </c>
      <c r="BP84" s="102" t="b">
        <f t="shared" si="67"/>
        <v>1</v>
      </c>
      <c r="BQ84" s="125"/>
      <c r="BR84" s="102" t="str">
        <f t="shared" si="68"/>
        <v/>
      </c>
      <c r="BS84" s="102" t="str">
        <f t="shared" si="69"/>
        <v/>
      </c>
      <c r="BT84" s="102" t="str">
        <f t="shared" si="70"/>
        <v/>
      </c>
      <c r="BU84" s="102" t="str">
        <f t="shared" si="71"/>
        <v/>
      </c>
      <c r="BW84" s="124" t="b">
        <f t="shared" si="72"/>
        <v>0</v>
      </c>
    </row>
    <row r="85" spans="1:75" ht="12.75" customHeight="1" x14ac:dyDescent="0.25">
      <c r="C85" s="539">
        <v>69</v>
      </c>
      <c r="D85" s="540"/>
      <c r="E85" s="540"/>
      <c r="F85" s="854"/>
      <c r="G85" s="542"/>
      <c r="H85" s="541"/>
      <c r="I85" s="543" t="str">
        <f t="shared" si="53"/>
        <v/>
      </c>
      <c r="J85" s="541"/>
      <c r="K85" s="544"/>
      <c r="L85" s="741"/>
      <c r="M85" s="545" t="str">
        <f t="shared" si="54"/>
        <v/>
      </c>
      <c r="N85" s="829"/>
      <c r="O85" s="993" t="s">
        <v>99</v>
      </c>
      <c r="P85" s="829"/>
      <c r="Q85" s="993" t="s">
        <v>99</v>
      </c>
      <c r="R85" s="829"/>
      <c r="S85" s="546" t="s">
        <v>99</v>
      </c>
      <c r="T85" s="547"/>
      <c r="U85" s="547" t="s">
        <v>99</v>
      </c>
      <c r="V85" s="548"/>
      <c r="W85" s="548"/>
      <c r="X85" s="548"/>
      <c r="Y85" s="548"/>
      <c r="Z85" s="548"/>
      <c r="AA85" s="548"/>
      <c r="AB85" s="547"/>
      <c r="AC85" s="547"/>
      <c r="AD85" s="548"/>
      <c r="AE85" s="548"/>
      <c r="AF85" s="548"/>
      <c r="AG85" s="548"/>
      <c r="AH85" s="548"/>
      <c r="AI85" s="548"/>
      <c r="AJ85" s="548"/>
      <c r="AK85" s="548"/>
      <c r="AL85" s="548"/>
      <c r="AM85" s="548"/>
      <c r="AN85" s="548"/>
      <c r="AO85" s="548"/>
      <c r="AP85" s="548"/>
      <c r="AQ85" s="548"/>
      <c r="AR85" s="548"/>
      <c r="AS85" s="548"/>
      <c r="AT85" s="548"/>
      <c r="AU85" s="549" t="str">
        <f t="shared" si="55"/>
        <v/>
      </c>
      <c r="AV85" s="549" t="str">
        <f t="shared" si="73"/>
        <v/>
      </c>
      <c r="AW85" s="547"/>
      <c r="AX85" s="550" t="str">
        <f t="shared" si="74"/>
        <v/>
      </c>
      <c r="AY85" s="550" t="str">
        <f t="shared" si="75"/>
        <v/>
      </c>
      <c r="BA85" s="102" t="str">
        <f t="shared" si="56"/>
        <v>SUM_CO2</v>
      </c>
      <c r="BD85" s="124" t="str">
        <f t="shared" si="57"/>
        <v/>
      </c>
      <c r="BE85" s="124" t="str">
        <f t="shared" si="58"/>
        <v/>
      </c>
      <c r="BF85" s="124" t="str">
        <f t="shared" si="59"/>
        <v/>
      </c>
      <c r="BH85" s="124" t="str">
        <f t="shared" si="60"/>
        <v/>
      </c>
      <c r="BI85" s="124" t="str">
        <f t="shared" si="61"/>
        <v/>
      </c>
      <c r="BJ85" s="124" t="str">
        <f t="shared" si="62"/>
        <v/>
      </c>
      <c r="BK85" s="125"/>
      <c r="BL85" s="124" t="str">
        <f t="shared" si="63"/>
        <v/>
      </c>
      <c r="BM85" s="124" t="str">
        <f t="shared" si="64"/>
        <v/>
      </c>
      <c r="BN85" s="124" t="str">
        <f t="shared" si="65"/>
        <v/>
      </c>
      <c r="BO85" s="124" t="str">
        <f t="shared" si="66"/>
        <v/>
      </c>
      <c r="BP85" s="102" t="b">
        <f t="shared" si="67"/>
        <v>1</v>
      </c>
      <c r="BQ85" s="125"/>
      <c r="BR85" s="102" t="str">
        <f t="shared" si="68"/>
        <v/>
      </c>
      <c r="BS85" s="102" t="str">
        <f t="shared" si="69"/>
        <v/>
      </c>
      <c r="BT85" s="102" t="str">
        <f t="shared" si="70"/>
        <v/>
      </c>
      <c r="BU85" s="102" t="str">
        <f t="shared" si="71"/>
        <v/>
      </c>
      <c r="BW85" s="124" t="b">
        <f t="shared" si="72"/>
        <v>0</v>
      </c>
    </row>
    <row r="86" spans="1:75" ht="12.75" customHeight="1" x14ac:dyDescent="0.25">
      <c r="C86" s="539">
        <v>70</v>
      </c>
      <c r="D86" s="540"/>
      <c r="E86" s="540"/>
      <c r="F86" s="854"/>
      <c r="G86" s="542"/>
      <c r="H86" s="541"/>
      <c r="I86" s="543" t="str">
        <f t="shared" si="53"/>
        <v/>
      </c>
      <c r="J86" s="541"/>
      <c r="K86" s="544"/>
      <c r="L86" s="741"/>
      <c r="M86" s="545" t="str">
        <f t="shared" si="54"/>
        <v/>
      </c>
      <c r="N86" s="829"/>
      <c r="O86" s="993" t="s">
        <v>99</v>
      </c>
      <c r="P86" s="829"/>
      <c r="Q86" s="993" t="s">
        <v>99</v>
      </c>
      <c r="R86" s="829"/>
      <c r="S86" s="546" t="s">
        <v>99</v>
      </c>
      <c r="T86" s="547"/>
      <c r="U86" s="547" t="s">
        <v>99</v>
      </c>
      <c r="V86" s="548"/>
      <c r="W86" s="548"/>
      <c r="X86" s="548"/>
      <c r="Y86" s="548"/>
      <c r="Z86" s="548"/>
      <c r="AA86" s="548"/>
      <c r="AB86" s="547"/>
      <c r="AC86" s="547"/>
      <c r="AD86" s="548"/>
      <c r="AE86" s="548"/>
      <c r="AF86" s="548"/>
      <c r="AG86" s="548"/>
      <c r="AH86" s="548"/>
      <c r="AI86" s="548"/>
      <c r="AJ86" s="548"/>
      <c r="AK86" s="548"/>
      <c r="AL86" s="548"/>
      <c r="AM86" s="548"/>
      <c r="AN86" s="548"/>
      <c r="AO86" s="548"/>
      <c r="AP86" s="548"/>
      <c r="AQ86" s="548"/>
      <c r="AR86" s="548"/>
      <c r="AS86" s="548"/>
      <c r="AT86" s="548"/>
      <c r="AU86" s="549" t="str">
        <f t="shared" si="55"/>
        <v/>
      </c>
      <c r="AV86" s="549" t="str">
        <f t="shared" si="73"/>
        <v/>
      </c>
      <c r="AW86" s="547"/>
      <c r="AX86" s="550" t="str">
        <f t="shared" si="74"/>
        <v/>
      </c>
      <c r="AY86" s="550" t="str">
        <f t="shared" si="75"/>
        <v/>
      </c>
      <c r="BA86" s="102" t="str">
        <f t="shared" si="56"/>
        <v>SUM_CO2</v>
      </c>
      <c r="BD86" s="124" t="str">
        <f t="shared" si="57"/>
        <v/>
      </c>
      <c r="BE86" s="124" t="str">
        <f t="shared" si="58"/>
        <v/>
      </c>
      <c r="BF86" s="124" t="str">
        <f t="shared" si="59"/>
        <v/>
      </c>
      <c r="BH86" s="124" t="str">
        <f t="shared" si="60"/>
        <v/>
      </c>
      <c r="BI86" s="124" t="str">
        <f t="shared" si="61"/>
        <v/>
      </c>
      <c r="BJ86" s="124" t="str">
        <f t="shared" si="62"/>
        <v/>
      </c>
      <c r="BK86" s="125"/>
      <c r="BL86" s="124" t="str">
        <f t="shared" si="63"/>
        <v/>
      </c>
      <c r="BM86" s="124" t="str">
        <f t="shared" si="64"/>
        <v/>
      </c>
      <c r="BN86" s="124" t="str">
        <f t="shared" si="65"/>
        <v/>
      </c>
      <c r="BO86" s="124" t="str">
        <f t="shared" si="66"/>
        <v/>
      </c>
      <c r="BP86" s="102" t="b">
        <f t="shared" si="67"/>
        <v>1</v>
      </c>
      <c r="BQ86" s="125"/>
      <c r="BR86" s="102" t="str">
        <f t="shared" si="68"/>
        <v/>
      </c>
      <c r="BS86" s="102" t="str">
        <f t="shared" si="69"/>
        <v/>
      </c>
      <c r="BT86" s="102" t="str">
        <f t="shared" si="70"/>
        <v/>
      </c>
      <c r="BU86" s="102" t="str">
        <f t="shared" si="71"/>
        <v/>
      </c>
      <c r="BW86" s="124" t="b">
        <f t="shared" si="72"/>
        <v>0</v>
      </c>
    </row>
    <row r="87" spans="1:75" ht="12.75" customHeight="1" x14ac:dyDescent="0.25">
      <c r="C87" s="539">
        <v>71</v>
      </c>
      <c r="D87" s="540"/>
      <c r="E87" s="540"/>
      <c r="F87" s="854"/>
      <c r="G87" s="542"/>
      <c r="H87" s="541"/>
      <c r="I87" s="543" t="str">
        <f t="shared" si="53"/>
        <v/>
      </c>
      <c r="J87" s="541"/>
      <c r="K87" s="544"/>
      <c r="L87" s="741"/>
      <c r="M87" s="545" t="str">
        <f t="shared" si="54"/>
        <v/>
      </c>
      <c r="N87" s="829"/>
      <c r="O87" s="993" t="s">
        <v>99</v>
      </c>
      <c r="P87" s="829"/>
      <c r="Q87" s="993" t="s">
        <v>99</v>
      </c>
      <c r="R87" s="829"/>
      <c r="S87" s="546" t="s">
        <v>99</v>
      </c>
      <c r="T87" s="547"/>
      <c r="U87" s="547" t="s">
        <v>99</v>
      </c>
      <c r="V87" s="548"/>
      <c r="W87" s="548"/>
      <c r="X87" s="548"/>
      <c r="Y87" s="548"/>
      <c r="Z87" s="548"/>
      <c r="AA87" s="548"/>
      <c r="AB87" s="547"/>
      <c r="AC87" s="547"/>
      <c r="AD87" s="548"/>
      <c r="AE87" s="548"/>
      <c r="AF87" s="548"/>
      <c r="AG87" s="548"/>
      <c r="AH87" s="548"/>
      <c r="AI87" s="548"/>
      <c r="AJ87" s="548"/>
      <c r="AK87" s="548"/>
      <c r="AL87" s="548"/>
      <c r="AM87" s="548"/>
      <c r="AN87" s="548"/>
      <c r="AO87" s="548"/>
      <c r="AP87" s="548"/>
      <c r="AQ87" s="548"/>
      <c r="AR87" s="548"/>
      <c r="AS87" s="548"/>
      <c r="AT87" s="548"/>
      <c r="AU87" s="549" t="str">
        <f t="shared" si="55"/>
        <v/>
      </c>
      <c r="AV87" s="549" t="str">
        <f t="shared" si="73"/>
        <v/>
      </c>
      <c r="AW87" s="547"/>
      <c r="AX87" s="550" t="str">
        <f t="shared" si="74"/>
        <v/>
      </c>
      <c r="AY87" s="550" t="str">
        <f t="shared" si="75"/>
        <v/>
      </c>
      <c r="BA87" s="102" t="str">
        <f t="shared" si="56"/>
        <v>SUM_CO2</v>
      </c>
      <c r="BD87" s="124" t="str">
        <f t="shared" si="57"/>
        <v/>
      </c>
      <c r="BE87" s="124" t="str">
        <f t="shared" si="58"/>
        <v/>
      </c>
      <c r="BF87" s="124" t="str">
        <f t="shared" si="59"/>
        <v/>
      </c>
      <c r="BH87" s="124" t="str">
        <f t="shared" si="60"/>
        <v/>
      </c>
      <c r="BI87" s="124" t="str">
        <f t="shared" si="61"/>
        <v/>
      </c>
      <c r="BJ87" s="124" t="str">
        <f t="shared" si="62"/>
        <v/>
      </c>
      <c r="BK87" s="125"/>
      <c r="BL87" s="124" t="str">
        <f t="shared" si="63"/>
        <v/>
      </c>
      <c r="BM87" s="124" t="str">
        <f t="shared" si="64"/>
        <v/>
      </c>
      <c r="BN87" s="124" t="str">
        <f t="shared" si="65"/>
        <v/>
      </c>
      <c r="BO87" s="124" t="str">
        <f t="shared" si="66"/>
        <v/>
      </c>
      <c r="BP87" s="102" t="b">
        <f t="shared" si="67"/>
        <v>1</v>
      </c>
      <c r="BQ87" s="125"/>
      <c r="BR87" s="102" t="str">
        <f t="shared" si="68"/>
        <v/>
      </c>
      <c r="BS87" s="102" t="str">
        <f t="shared" si="69"/>
        <v/>
      </c>
      <c r="BT87" s="102" t="str">
        <f t="shared" si="70"/>
        <v/>
      </c>
      <c r="BU87" s="102" t="str">
        <f t="shared" si="71"/>
        <v/>
      </c>
      <c r="BW87" s="124" t="b">
        <f t="shared" si="72"/>
        <v>0</v>
      </c>
    </row>
    <row r="88" spans="1:75" ht="12.75" customHeight="1" x14ac:dyDescent="0.25">
      <c r="C88" s="539">
        <v>72</v>
      </c>
      <c r="D88" s="540"/>
      <c r="E88" s="540"/>
      <c r="F88" s="854"/>
      <c r="G88" s="542"/>
      <c r="H88" s="541"/>
      <c r="I88" s="543" t="str">
        <f t="shared" si="53"/>
        <v/>
      </c>
      <c r="J88" s="541"/>
      <c r="K88" s="544"/>
      <c r="L88" s="741"/>
      <c r="M88" s="545" t="str">
        <f t="shared" si="54"/>
        <v/>
      </c>
      <c r="N88" s="829"/>
      <c r="O88" s="993" t="s">
        <v>99</v>
      </c>
      <c r="P88" s="829"/>
      <c r="Q88" s="993" t="s">
        <v>99</v>
      </c>
      <c r="R88" s="829"/>
      <c r="S88" s="546" t="s">
        <v>99</v>
      </c>
      <c r="T88" s="547"/>
      <c r="U88" s="547" t="s">
        <v>99</v>
      </c>
      <c r="V88" s="548"/>
      <c r="W88" s="548"/>
      <c r="X88" s="548"/>
      <c r="Y88" s="548"/>
      <c r="Z88" s="548"/>
      <c r="AA88" s="548"/>
      <c r="AB88" s="547"/>
      <c r="AC88" s="547"/>
      <c r="AD88" s="548"/>
      <c r="AE88" s="548"/>
      <c r="AF88" s="548"/>
      <c r="AG88" s="548"/>
      <c r="AH88" s="548"/>
      <c r="AI88" s="548"/>
      <c r="AJ88" s="548"/>
      <c r="AK88" s="548"/>
      <c r="AL88" s="548"/>
      <c r="AM88" s="548"/>
      <c r="AN88" s="548"/>
      <c r="AO88" s="548"/>
      <c r="AP88" s="548"/>
      <c r="AQ88" s="548"/>
      <c r="AR88" s="548"/>
      <c r="AS88" s="548"/>
      <c r="AT88" s="548"/>
      <c r="AU88" s="549" t="str">
        <f t="shared" si="55"/>
        <v/>
      </c>
      <c r="AV88" s="549" t="str">
        <f t="shared" si="73"/>
        <v/>
      </c>
      <c r="AW88" s="547"/>
      <c r="AX88" s="550" t="str">
        <f t="shared" si="74"/>
        <v/>
      </c>
      <c r="AY88" s="550" t="str">
        <f t="shared" si="75"/>
        <v/>
      </c>
      <c r="BA88" s="102" t="str">
        <f t="shared" si="56"/>
        <v>SUM_CO2</v>
      </c>
      <c r="BD88" s="124" t="str">
        <f t="shared" si="57"/>
        <v/>
      </c>
      <c r="BE88" s="124" t="str">
        <f t="shared" si="58"/>
        <v/>
      </c>
      <c r="BF88" s="124" t="str">
        <f t="shared" si="59"/>
        <v/>
      </c>
      <c r="BH88" s="124" t="str">
        <f t="shared" si="60"/>
        <v/>
      </c>
      <c r="BI88" s="124" t="str">
        <f t="shared" si="61"/>
        <v/>
      </c>
      <c r="BJ88" s="124" t="str">
        <f t="shared" si="62"/>
        <v/>
      </c>
      <c r="BK88" s="125"/>
      <c r="BL88" s="124" t="str">
        <f t="shared" si="63"/>
        <v/>
      </c>
      <c r="BM88" s="124" t="str">
        <f t="shared" si="64"/>
        <v/>
      </c>
      <c r="BN88" s="124" t="str">
        <f t="shared" si="65"/>
        <v/>
      </c>
      <c r="BO88" s="124" t="str">
        <f t="shared" si="66"/>
        <v/>
      </c>
      <c r="BP88" s="102" t="b">
        <f t="shared" si="67"/>
        <v>1</v>
      </c>
      <c r="BQ88" s="125"/>
      <c r="BR88" s="102" t="str">
        <f t="shared" si="68"/>
        <v/>
      </c>
      <c r="BS88" s="102" t="str">
        <f t="shared" si="69"/>
        <v/>
      </c>
      <c r="BT88" s="102" t="str">
        <f t="shared" si="70"/>
        <v/>
      </c>
      <c r="BU88" s="102" t="str">
        <f t="shared" si="71"/>
        <v/>
      </c>
      <c r="BW88" s="124" t="b">
        <f t="shared" si="72"/>
        <v>0</v>
      </c>
    </row>
    <row r="89" spans="1:75" ht="12.75" customHeight="1" x14ac:dyDescent="0.25">
      <c r="C89" s="539">
        <v>73</v>
      </c>
      <c r="D89" s="540"/>
      <c r="E89" s="540"/>
      <c r="F89" s="854"/>
      <c r="G89" s="542"/>
      <c r="H89" s="541"/>
      <c r="I89" s="543" t="str">
        <f t="shared" si="53"/>
        <v/>
      </c>
      <c r="J89" s="541"/>
      <c r="K89" s="544"/>
      <c r="L89" s="741"/>
      <c r="M89" s="545" t="str">
        <f t="shared" si="54"/>
        <v/>
      </c>
      <c r="N89" s="829"/>
      <c r="O89" s="993" t="s">
        <v>99</v>
      </c>
      <c r="P89" s="829"/>
      <c r="Q89" s="993" t="s">
        <v>99</v>
      </c>
      <c r="R89" s="829"/>
      <c r="S89" s="546" t="s">
        <v>99</v>
      </c>
      <c r="T89" s="547"/>
      <c r="U89" s="547" t="s">
        <v>99</v>
      </c>
      <c r="V89" s="548"/>
      <c r="W89" s="548"/>
      <c r="X89" s="548"/>
      <c r="Y89" s="548"/>
      <c r="Z89" s="548"/>
      <c r="AA89" s="548"/>
      <c r="AB89" s="547"/>
      <c r="AC89" s="547"/>
      <c r="AD89" s="548"/>
      <c r="AE89" s="548"/>
      <c r="AF89" s="548"/>
      <c r="AG89" s="548"/>
      <c r="AH89" s="548"/>
      <c r="AI89" s="548"/>
      <c r="AJ89" s="548"/>
      <c r="AK89" s="548"/>
      <c r="AL89" s="548"/>
      <c r="AM89" s="548"/>
      <c r="AN89" s="548"/>
      <c r="AO89" s="548"/>
      <c r="AP89" s="548"/>
      <c r="AQ89" s="548"/>
      <c r="AR89" s="548"/>
      <c r="AS89" s="548"/>
      <c r="AT89" s="548"/>
      <c r="AU89" s="549" t="str">
        <f t="shared" si="55"/>
        <v/>
      </c>
      <c r="AV89" s="549" t="str">
        <f t="shared" si="73"/>
        <v/>
      </c>
      <c r="AW89" s="547"/>
      <c r="AX89" s="550" t="str">
        <f t="shared" si="74"/>
        <v/>
      </c>
      <c r="AY89" s="550" t="str">
        <f t="shared" si="75"/>
        <v/>
      </c>
      <c r="BA89" s="102" t="str">
        <f t="shared" si="56"/>
        <v>SUM_CO2</v>
      </c>
      <c r="BD89" s="124" t="str">
        <f t="shared" si="57"/>
        <v/>
      </c>
      <c r="BE89" s="124" t="str">
        <f t="shared" si="58"/>
        <v/>
      </c>
      <c r="BF89" s="124" t="str">
        <f t="shared" si="59"/>
        <v/>
      </c>
      <c r="BH89" s="124" t="str">
        <f t="shared" si="60"/>
        <v/>
      </c>
      <c r="BI89" s="124" t="str">
        <f t="shared" si="61"/>
        <v/>
      </c>
      <c r="BJ89" s="124" t="str">
        <f t="shared" si="62"/>
        <v/>
      </c>
      <c r="BK89" s="125"/>
      <c r="BL89" s="124" t="str">
        <f t="shared" si="63"/>
        <v/>
      </c>
      <c r="BM89" s="124" t="str">
        <f t="shared" si="64"/>
        <v/>
      </c>
      <c r="BN89" s="124" t="str">
        <f t="shared" si="65"/>
        <v/>
      </c>
      <c r="BO89" s="124" t="str">
        <f t="shared" si="66"/>
        <v/>
      </c>
      <c r="BP89" s="102" t="b">
        <f t="shared" si="67"/>
        <v>1</v>
      </c>
      <c r="BQ89" s="125"/>
      <c r="BR89" s="102" t="str">
        <f t="shared" si="68"/>
        <v/>
      </c>
      <c r="BS89" s="102" t="str">
        <f t="shared" si="69"/>
        <v/>
      </c>
      <c r="BT89" s="102" t="str">
        <f t="shared" si="70"/>
        <v/>
      </c>
      <c r="BU89" s="102" t="str">
        <f t="shared" si="71"/>
        <v/>
      </c>
      <c r="BW89" s="124" t="b">
        <f t="shared" si="72"/>
        <v>0</v>
      </c>
    </row>
    <row r="90" spans="1:75" ht="12.75" customHeight="1" x14ac:dyDescent="0.25">
      <c r="C90" s="539">
        <v>74</v>
      </c>
      <c r="D90" s="540"/>
      <c r="E90" s="540"/>
      <c r="F90" s="854"/>
      <c r="G90" s="542"/>
      <c r="H90" s="541"/>
      <c r="I90" s="543" t="str">
        <f t="shared" si="53"/>
        <v/>
      </c>
      <c r="J90" s="541"/>
      <c r="K90" s="544"/>
      <c r="L90" s="741"/>
      <c r="M90" s="545" t="str">
        <f t="shared" si="54"/>
        <v/>
      </c>
      <c r="N90" s="829"/>
      <c r="O90" s="993" t="s">
        <v>99</v>
      </c>
      <c r="P90" s="829"/>
      <c r="Q90" s="993" t="s">
        <v>99</v>
      </c>
      <c r="R90" s="829"/>
      <c r="S90" s="546" t="s">
        <v>99</v>
      </c>
      <c r="T90" s="547"/>
      <c r="U90" s="547" t="s">
        <v>99</v>
      </c>
      <c r="V90" s="548"/>
      <c r="W90" s="548"/>
      <c r="X90" s="548"/>
      <c r="Y90" s="548"/>
      <c r="Z90" s="548"/>
      <c r="AA90" s="548"/>
      <c r="AB90" s="547"/>
      <c r="AC90" s="547"/>
      <c r="AD90" s="548"/>
      <c r="AE90" s="548"/>
      <c r="AF90" s="548"/>
      <c r="AG90" s="548"/>
      <c r="AH90" s="548"/>
      <c r="AI90" s="548"/>
      <c r="AJ90" s="548"/>
      <c r="AK90" s="548"/>
      <c r="AL90" s="548"/>
      <c r="AM90" s="548"/>
      <c r="AN90" s="548"/>
      <c r="AO90" s="548"/>
      <c r="AP90" s="548"/>
      <c r="AQ90" s="548"/>
      <c r="AR90" s="548"/>
      <c r="AS90" s="548"/>
      <c r="AT90" s="548"/>
      <c r="AU90" s="549" t="str">
        <f t="shared" si="55"/>
        <v/>
      </c>
      <c r="AV90" s="549" t="str">
        <f t="shared" si="73"/>
        <v/>
      </c>
      <c r="AW90" s="547"/>
      <c r="AX90" s="550" t="str">
        <f t="shared" si="74"/>
        <v/>
      </c>
      <c r="AY90" s="550" t="str">
        <f t="shared" si="75"/>
        <v/>
      </c>
      <c r="BA90" s="102" t="str">
        <f t="shared" si="56"/>
        <v>SUM_CO2</v>
      </c>
      <c r="BD90" s="124" t="str">
        <f t="shared" si="57"/>
        <v/>
      </c>
      <c r="BE90" s="124" t="str">
        <f t="shared" si="58"/>
        <v/>
      </c>
      <c r="BF90" s="124" t="str">
        <f t="shared" si="59"/>
        <v/>
      </c>
      <c r="BH90" s="124" t="str">
        <f t="shared" si="60"/>
        <v/>
      </c>
      <c r="BI90" s="124" t="str">
        <f t="shared" si="61"/>
        <v/>
      </c>
      <c r="BJ90" s="124" t="str">
        <f t="shared" si="62"/>
        <v/>
      </c>
      <c r="BK90" s="125"/>
      <c r="BL90" s="124" t="str">
        <f t="shared" si="63"/>
        <v/>
      </c>
      <c r="BM90" s="124" t="str">
        <f t="shared" si="64"/>
        <v/>
      </c>
      <c r="BN90" s="124" t="str">
        <f t="shared" si="65"/>
        <v/>
      </c>
      <c r="BO90" s="124" t="str">
        <f t="shared" si="66"/>
        <v/>
      </c>
      <c r="BP90" s="102" t="b">
        <f t="shared" si="67"/>
        <v>1</v>
      </c>
      <c r="BQ90" s="125"/>
      <c r="BR90" s="102" t="str">
        <f t="shared" si="68"/>
        <v/>
      </c>
      <c r="BS90" s="102" t="str">
        <f t="shared" si="69"/>
        <v/>
      </c>
      <c r="BT90" s="102" t="str">
        <f t="shared" si="70"/>
        <v/>
      </c>
      <c r="BU90" s="102" t="str">
        <f t="shared" si="71"/>
        <v/>
      </c>
      <c r="BW90" s="124" t="b">
        <f t="shared" si="72"/>
        <v>0</v>
      </c>
    </row>
    <row r="91" spans="1:75" ht="12.75" customHeight="1" x14ac:dyDescent="0.25">
      <c r="C91" s="551">
        <v>75</v>
      </c>
      <c r="D91" s="552"/>
      <c r="E91" s="552"/>
      <c r="F91" s="855"/>
      <c r="G91" s="554"/>
      <c r="H91" s="553"/>
      <c r="I91" s="555" t="str">
        <f t="shared" si="53"/>
        <v/>
      </c>
      <c r="J91" s="553"/>
      <c r="K91" s="556"/>
      <c r="L91" s="742"/>
      <c r="M91" s="557" t="str">
        <f t="shared" si="54"/>
        <v/>
      </c>
      <c r="N91" s="830"/>
      <c r="O91" s="994" t="s">
        <v>99</v>
      </c>
      <c r="P91" s="830"/>
      <c r="Q91" s="994" t="s">
        <v>99</v>
      </c>
      <c r="R91" s="830"/>
      <c r="S91" s="558" t="s">
        <v>99</v>
      </c>
      <c r="T91" s="559"/>
      <c r="U91" s="559" t="s">
        <v>99</v>
      </c>
      <c r="V91" s="560"/>
      <c r="W91" s="560"/>
      <c r="X91" s="560"/>
      <c r="Y91" s="560"/>
      <c r="Z91" s="560"/>
      <c r="AA91" s="560"/>
      <c r="AB91" s="559"/>
      <c r="AC91" s="559"/>
      <c r="AD91" s="560"/>
      <c r="AE91" s="560"/>
      <c r="AF91" s="560"/>
      <c r="AG91" s="560"/>
      <c r="AH91" s="560"/>
      <c r="AI91" s="560"/>
      <c r="AJ91" s="560"/>
      <c r="AK91" s="560"/>
      <c r="AL91" s="560"/>
      <c r="AM91" s="560"/>
      <c r="AN91" s="560"/>
      <c r="AO91" s="560"/>
      <c r="AP91" s="560"/>
      <c r="AQ91" s="560"/>
      <c r="AR91" s="560"/>
      <c r="AS91" s="560"/>
      <c r="AT91" s="560"/>
      <c r="AU91" s="561" t="str">
        <f t="shared" si="55"/>
        <v/>
      </c>
      <c r="AV91" s="561" t="str">
        <f t="shared" si="73"/>
        <v/>
      </c>
      <c r="AW91" s="559"/>
      <c r="AX91" s="562" t="str">
        <f t="shared" si="74"/>
        <v/>
      </c>
      <c r="AY91" s="562" t="str">
        <f t="shared" si="75"/>
        <v/>
      </c>
      <c r="BA91" s="102" t="str">
        <f t="shared" si="56"/>
        <v>SUM_CO2</v>
      </c>
      <c r="BD91" s="124" t="str">
        <f t="shared" si="57"/>
        <v/>
      </c>
      <c r="BE91" s="124" t="str">
        <f t="shared" si="58"/>
        <v/>
      </c>
      <c r="BF91" s="124" t="str">
        <f t="shared" si="59"/>
        <v/>
      </c>
      <c r="BH91" s="124" t="str">
        <f t="shared" si="60"/>
        <v/>
      </c>
      <c r="BI91" s="124" t="str">
        <f t="shared" si="61"/>
        <v/>
      </c>
      <c r="BJ91" s="124" t="str">
        <f t="shared" si="62"/>
        <v/>
      </c>
      <c r="BK91" s="125"/>
      <c r="BL91" s="124" t="str">
        <f t="shared" si="63"/>
        <v/>
      </c>
      <c r="BM91" s="124" t="str">
        <f t="shared" si="64"/>
        <v/>
      </c>
      <c r="BN91" s="124" t="str">
        <f t="shared" si="65"/>
        <v/>
      </c>
      <c r="BO91" s="124" t="str">
        <f t="shared" si="66"/>
        <v/>
      </c>
      <c r="BP91" s="102" t="b">
        <f t="shared" si="67"/>
        <v>1</v>
      </c>
      <c r="BQ91" s="125"/>
      <c r="BR91" s="102" t="str">
        <f t="shared" si="68"/>
        <v/>
      </c>
      <c r="BS91" s="102" t="str">
        <f t="shared" si="69"/>
        <v/>
      </c>
      <c r="BT91" s="102" t="str">
        <f t="shared" si="70"/>
        <v/>
      </c>
      <c r="BU91" s="102" t="str">
        <f t="shared" si="71"/>
        <v/>
      </c>
      <c r="BW91" s="124" t="b">
        <f t="shared" si="72"/>
        <v>0</v>
      </c>
    </row>
    <row r="92" spans="1:75" ht="12.75" customHeight="1" x14ac:dyDescent="0.35"/>
    <row r="93" spans="1:75" ht="12.75" customHeight="1" x14ac:dyDescent="0.35"/>
    <row r="94" spans="1:75" ht="12.75" customHeight="1" x14ac:dyDescent="0.35"/>
    <row r="95" spans="1:75" s="122" customFormat="1" ht="20.149999999999999" customHeight="1" thickBot="1" x14ac:dyDescent="0.4">
      <c r="A95" s="105">
        <v>2</v>
      </c>
      <c r="C95" s="15" t="s">
        <v>48</v>
      </c>
      <c r="D95" s="15" t="str">
        <f>Translations!$B$1962</f>
        <v>PFC (perfluorocarbon) emissions</v>
      </c>
      <c r="E95" s="16"/>
      <c r="F95" s="16"/>
      <c r="G95" s="16"/>
      <c r="H95" s="16"/>
      <c r="I95" s="16"/>
      <c r="J95" s="16"/>
      <c r="K95" s="16"/>
      <c r="L95" s="14"/>
      <c r="M95" s="14"/>
      <c r="N95" s="14"/>
      <c r="O95" s="14"/>
      <c r="P95" s="14"/>
      <c r="Q95" s="14"/>
      <c r="R95" s="16"/>
      <c r="S95" s="16"/>
      <c r="T95" s="14"/>
      <c r="U95" s="14"/>
      <c r="V95" s="16"/>
      <c r="W95" s="16"/>
      <c r="X95" s="16"/>
      <c r="Y95" s="16"/>
      <c r="Z95" s="16"/>
      <c r="AA95" s="16"/>
      <c r="AB95" s="14"/>
      <c r="AC95" s="14"/>
      <c r="AD95" s="16"/>
      <c r="AE95" s="16"/>
      <c r="AF95" s="16"/>
      <c r="AG95" s="16"/>
      <c r="AH95" s="16"/>
      <c r="AI95" s="16"/>
      <c r="AJ95" s="16"/>
      <c r="AK95" s="16"/>
      <c r="AL95" s="16"/>
      <c r="AM95" s="16"/>
      <c r="AN95" s="16"/>
      <c r="AO95" s="16"/>
      <c r="AP95" s="16"/>
      <c r="AQ95" s="16"/>
      <c r="AR95" s="16"/>
      <c r="AS95" s="16"/>
      <c r="AT95" s="16"/>
      <c r="AU95" s="16"/>
      <c r="AV95" s="16"/>
      <c r="AW95" s="14"/>
      <c r="AX95" s="16"/>
      <c r="AY95" s="16"/>
      <c r="BA95" s="102" t="str">
        <f>D95</f>
        <v>PFC (perfluorocarbon) emissions</v>
      </c>
      <c r="BB95" s="91"/>
      <c r="BC95" s="121"/>
      <c r="BD95" s="121"/>
      <c r="BE95" s="126" t="s">
        <v>346</v>
      </c>
      <c r="BF95" s="126"/>
      <c r="BG95" s="126"/>
      <c r="BH95" s="126" t="s">
        <v>347</v>
      </c>
      <c r="BI95" s="25"/>
      <c r="BJ95" s="121"/>
      <c r="BK95" s="126" t="s">
        <v>3917</v>
      </c>
      <c r="BL95" s="121"/>
      <c r="BM95" s="121"/>
      <c r="BN95" s="121"/>
      <c r="BO95" s="121"/>
      <c r="BP95" s="121"/>
      <c r="BQ95" s="121"/>
      <c r="BR95" s="121"/>
      <c r="BS95" s="121"/>
      <c r="BT95" s="121"/>
      <c r="BU95" s="121"/>
      <c r="BV95" s="121"/>
      <c r="BW95" s="121"/>
    </row>
    <row r="96" spans="1:75" ht="50.15" customHeight="1" thickBot="1" x14ac:dyDescent="0.35">
      <c r="C96" s="17" t="str">
        <f>Translations!$B$131</f>
        <v>#</v>
      </c>
      <c r="D96" s="18" t="str">
        <f>Translations!$B$132</f>
        <v>Method</v>
      </c>
      <c r="E96" s="18" t="str">
        <f>Translations!$B$1963</f>
        <v>Technology type</v>
      </c>
      <c r="F96" s="19" t="str">
        <f>Translations!$B$134</f>
        <v>Activity data (AD)</v>
      </c>
      <c r="G96" s="19" t="str">
        <f>Translations!$B$135</f>
        <v>AD Unit</v>
      </c>
      <c r="H96" s="22" t="str">
        <f>Translations!$B$136</f>
        <v>Net calorific value (NCV)</v>
      </c>
      <c r="I96" s="22" t="str">
        <f>Translations!$B$137</f>
        <v>NCV Unit</v>
      </c>
      <c r="J96" s="22" t="str">
        <f>Translations!$B$138</f>
        <v>Emission factor (EF)</v>
      </c>
      <c r="K96" s="22" t="str">
        <f>Translations!$B$139</f>
        <v>EF Unit</v>
      </c>
      <c r="L96" s="22" t="str">
        <f>Translations!$B$140</f>
        <v>Carbon content</v>
      </c>
      <c r="M96" s="22" t="str">
        <f>Translations!$B$141</f>
        <v>C-Content Unit</v>
      </c>
      <c r="N96" s="22" t="str">
        <f>Translations!$B$142</f>
        <v>Oxidation factor (OxF)</v>
      </c>
      <c r="O96" s="22" t="str">
        <f>Translations!$B$143</f>
        <v>OxF Unit</v>
      </c>
      <c r="P96" s="22" t="str">
        <f>Translations!$B$144</f>
        <v>Conversion factor (ConvF)</v>
      </c>
      <c r="Q96" s="22" t="str">
        <f>Translations!$B$145</f>
        <v>ConvF Unit</v>
      </c>
      <c r="R96" s="22" t="str">
        <f>Translations!$B$146</f>
        <v>Biomass content (BioC)</v>
      </c>
      <c r="S96" s="22" t="str">
        <f>Translations!$B$147</f>
        <v>BioC Unit</v>
      </c>
      <c r="T96" s="20" t="s">
        <v>63</v>
      </c>
      <c r="U96" s="20" t="s">
        <v>64</v>
      </c>
      <c r="V96" s="22" t="str">
        <f>Translations!$B$150</f>
        <v>hourly GHG conc. Average</v>
      </c>
      <c r="W96" s="22" t="str">
        <f>Translations!$B$151</f>
        <v>hourly GHG conc. Unit</v>
      </c>
      <c r="X96" s="22" t="str">
        <f>Translations!$B$152</f>
        <v>hours operating</v>
      </c>
      <c r="Y96" s="22" t="str">
        <f>Translations!$B$153</f>
        <v>hours operating Unit</v>
      </c>
      <c r="Z96" s="22" t="str">
        <f>Translations!$B$1959</f>
        <v>Flue gas flow (average)</v>
      </c>
      <c r="AA96" s="22" t="str">
        <f>Translations!$B$1960</f>
        <v>Flue gas flow (average), Unit</v>
      </c>
      <c r="AB96" s="20" t="s">
        <v>69</v>
      </c>
      <c r="AC96" s="20" t="s">
        <v>70</v>
      </c>
      <c r="AD96" s="22" t="str">
        <f>Translations!$B$158</f>
        <v>Annual amount of GHG</v>
      </c>
      <c r="AE96" s="22" t="str">
        <f>Translations!$B$159</f>
        <v>Annual amount of GHG Unit</v>
      </c>
      <c r="AF96" s="22" t="str">
        <f>Translations!$B$1961</f>
        <v>GWP (tCO2e/t)</v>
      </c>
      <c r="AG96" s="19" t="str">
        <f>Translations!$B$161</f>
        <v>A: Frequency</v>
      </c>
      <c r="AH96" s="19" t="str">
        <f>Translations!$B$162</f>
        <v>A: Duration</v>
      </c>
      <c r="AI96" s="19" t="str">
        <f>Translations!$B$163</f>
        <v>A: SEF(CF4)</v>
      </c>
      <c r="AJ96" s="19" t="str">
        <f>Translations!$B$164</f>
        <v>B: AEO</v>
      </c>
      <c r="AK96" s="19" t="str">
        <f>Translations!$B$165</f>
        <v>B: CE</v>
      </c>
      <c r="AL96" s="19" t="str">
        <f>Translations!$B$166</f>
        <v>B: OVC</v>
      </c>
      <c r="AM96" s="19" t="str">
        <f>Translations!$B$167</f>
        <v>F(C2F6)</v>
      </c>
      <c r="AN96" s="19" t="str">
        <f>Translations!$B$168</f>
        <v>CF4 Emissions (t CF4)</v>
      </c>
      <c r="AO96" s="19" t="str">
        <f>Translations!$B$169</f>
        <v>C2F6 Emissions (t C2F6)</v>
      </c>
      <c r="AP96" s="19" t="str">
        <f>Translations!$B$170</f>
        <v>GWP (CF4) (tCO2e/t)</v>
      </c>
      <c r="AQ96" s="19" t="str">
        <f>Translations!$B$171</f>
        <v>GWP (C2F6) (tCO2e/t)</v>
      </c>
      <c r="AR96" s="19" t="str">
        <f>Translations!$B$172</f>
        <v>CF4 Emissions (t CO2e)</v>
      </c>
      <c r="AS96" s="19" t="str">
        <f>Translations!$B$173</f>
        <v>C2F6 Emissions (t CO2e)</v>
      </c>
      <c r="AT96" s="19" t="str">
        <f>Translations!$B$174</f>
        <v>Collection efficiency, %</v>
      </c>
      <c r="AU96" s="19" t="str">
        <f>Translations!$B$175</f>
        <v>CO2e fossil (t)</v>
      </c>
      <c r="AV96" s="22" t="str">
        <f>Translations!$B$176</f>
        <v>CO2e bio (t)</v>
      </c>
      <c r="AW96" s="22" t="s">
        <v>89</v>
      </c>
      <c r="AX96" s="22" t="str">
        <f>Translations!$B$178</f>
        <v>Energy content (fossil), TJ</v>
      </c>
      <c r="AY96" s="23" t="str">
        <f>Translations!$B$179</f>
        <v>Energy content (bio), TJ</v>
      </c>
      <c r="AZ96" s="24"/>
      <c r="BA96" s="25"/>
      <c r="BC96" s="25"/>
      <c r="BD96" s="25"/>
      <c r="BE96" s="123" t="s">
        <v>348</v>
      </c>
      <c r="BF96" s="850" t="s">
        <v>349</v>
      </c>
      <c r="BH96" s="123" t="s">
        <v>348</v>
      </c>
      <c r="BI96" s="850" t="s">
        <v>349</v>
      </c>
      <c r="BJ96" s="25"/>
      <c r="BK96" s="123" t="s">
        <v>348</v>
      </c>
      <c r="BL96" s="123" t="s">
        <v>4068</v>
      </c>
      <c r="BM96" s="25"/>
      <c r="BN96" s="25"/>
      <c r="BO96" s="25"/>
      <c r="BP96" s="25"/>
      <c r="BQ96" s="25"/>
      <c r="BR96" s="25"/>
      <c r="BS96" s="25"/>
      <c r="BT96" s="25"/>
      <c r="BU96" s="25"/>
      <c r="BV96" s="25"/>
      <c r="BW96" s="25"/>
    </row>
    <row r="97" spans="1:75" ht="12.75" customHeight="1" x14ac:dyDescent="0.3">
      <c r="C97" s="321" t="str">
        <f>Translations!$B$202</f>
        <v>Ex.</v>
      </c>
      <c r="D97" s="322" t="str">
        <f>Translations!$B$647</f>
        <v>Slope method</v>
      </c>
      <c r="E97" s="322" t="str">
        <f>Translations!$B$204</f>
        <v>Centre Worked Pre-Bake (CWPB)</v>
      </c>
      <c r="F97" s="323">
        <v>500000</v>
      </c>
      <c r="G97" s="324" t="str">
        <f t="shared" ref="G97:G107" si="76">CONST_t</f>
        <v>t</v>
      </c>
      <c r="H97" s="786"/>
      <c r="I97" s="787"/>
      <c r="J97" s="786"/>
      <c r="K97" s="787"/>
      <c r="L97" s="787"/>
      <c r="M97" s="787"/>
      <c r="N97" s="786"/>
      <c r="O97" s="787"/>
      <c r="P97" s="786"/>
      <c r="Q97" s="787"/>
      <c r="R97" s="786"/>
      <c r="S97" s="787"/>
      <c r="T97" s="325"/>
      <c r="U97" s="325"/>
      <c r="V97" s="787"/>
      <c r="W97" s="787"/>
      <c r="X97" s="787"/>
      <c r="Y97" s="787"/>
      <c r="Z97" s="787"/>
      <c r="AA97" s="787"/>
      <c r="AB97" s="325"/>
      <c r="AC97" s="325"/>
      <c r="AD97" s="787"/>
      <c r="AE97" s="787"/>
      <c r="AF97" s="787"/>
      <c r="AG97" s="323">
        <v>2.17</v>
      </c>
      <c r="AH97" s="323">
        <v>1.23</v>
      </c>
      <c r="AI97" s="323">
        <v>0.14599999999999999</v>
      </c>
      <c r="AJ97" s="323"/>
      <c r="AK97" s="752"/>
      <c r="AL97" s="323"/>
      <c r="AM97" s="323">
        <v>0.122</v>
      </c>
      <c r="AN97" s="323">
        <f t="shared" ref="AN97:AN107" si="77">IF($D97="","",IF(MATCH($D97,CONST_PFCSlopeOrOvervoltage,0)=1,BE97,BH97))</f>
        <v>194.84429999999998</v>
      </c>
      <c r="AO97" s="323">
        <f t="shared" ref="AO97:AO107" si="78">IF(AN97="","",SUM(AN97)*AM97)</f>
        <v>23.771004599999998</v>
      </c>
      <c r="AP97" s="326">
        <f t="shared" ref="AP97:AP107" si="79">IF($D97="","",CONST_GWP_CF4)</f>
        <v>6630</v>
      </c>
      <c r="AQ97" s="326">
        <f t="shared" ref="AQ97:AQ107" si="80">IF($D97="","",CONST_GWP_C2F6)</f>
        <v>11100</v>
      </c>
      <c r="AR97" s="326">
        <f t="shared" ref="AR97:AR107" si="81">IF($D97="","",SUM(AN97)*AP97)</f>
        <v>1291817.7089999998</v>
      </c>
      <c r="AS97" s="326">
        <f t="shared" ref="AS97:AS107" si="82">IF($D97="","",AO97*AQ97)</f>
        <v>263858.15105999995</v>
      </c>
      <c r="AT97" s="752">
        <v>0.98</v>
      </c>
      <c r="AU97" s="326">
        <f>IF($D97="","",SUM(AR97:AS97)/IF(AT97="",1,AT97))</f>
        <v>1587424.3469999998</v>
      </c>
      <c r="AV97" s="794"/>
      <c r="AW97" s="787"/>
      <c r="AX97" s="786"/>
      <c r="AY97" s="786"/>
      <c r="AZ97" s="24"/>
      <c r="BA97" s="25"/>
      <c r="BC97" s="25"/>
      <c r="BD97" s="25"/>
      <c r="BE97" s="127">
        <f>F97*AG97*AH97*AI97/1000</f>
        <v>194.84429999999998</v>
      </c>
      <c r="BF97" s="851">
        <f>IF(BE97="","",$AM97)</f>
        <v>0.122</v>
      </c>
      <c r="BG97" s="128"/>
      <c r="BH97" s="127" t="str">
        <f t="shared" ref="BH97:BH107" si="83">IFERROR(F97*(AJ97/AK97)*AL97/1000,CONST_ERR_Incomplete)</f>
        <v>Incomplete!</v>
      </c>
      <c r="BI97" s="852">
        <f>IF(BH97="","",$AM97)</f>
        <v>0.122</v>
      </c>
      <c r="BJ97" s="25"/>
      <c r="BK97" s="25"/>
      <c r="BL97" s="25"/>
      <c r="BM97" s="25"/>
      <c r="BN97" s="25"/>
      <c r="BO97" s="25"/>
      <c r="BP97" s="25"/>
      <c r="BQ97" s="25"/>
      <c r="BR97" s="25"/>
      <c r="BS97" s="25"/>
      <c r="BT97" s="25"/>
      <c r="BU97" s="25"/>
      <c r="BV97" s="25"/>
      <c r="BW97" s="25"/>
    </row>
    <row r="98" spans="1:75" ht="12.75" customHeight="1" x14ac:dyDescent="0.3">
      <c r="C98" s="563">
        <v>1</v>
      </c>
      <c r="D98" s="528"/>
      <c r="E98" s="528"/>
      <c r="F98" s="529"/>
      <c r="G98" s="527" t="str">
        <f t="shared" si="76"/>
        <v>t</v>
      </c>
      <c r="H98" s="788"/>
      <c r="I98" s="789"/>
      <c r="J98" s="788"/>
      <c r="K98" s="789"/>
      <c r="L98" s="789"/>
      <c r="M98" s="789"/>
      <c r="N98" s="788"/>
      <c r="O98" s="789"/>
      <c r="P98" s="788"/>
      <c r="Q98" s="789"/>
      <c r="R98" s="788"/>
      <c r="S98" s="789"/>
      <c r="T98" s="535"/>
      <c r="U98" s="535"/>
      <c r="V98" s="789"/>
      <c r="W98" s="789"/>
      <c r="X98" s="789"/>
      <c r="Y98" s="789"/>
      <c r="Z98" s="789"/>
      <c r="AA98" s="789"/>
      <c r="AB98" s="535"/>
      <c r="AC98" s="535"/>
      <c r="AD98" s="789"/>
      <c r="AE98" s="789"/>
      <c r="AF98" s="789"/>
      <c r="AG98" s="529"/>
      <c r="AH98" s="529"/>
      <c r="AI98" s="529"/>
      <c r="AJ98" s="529"/>
      <c r="AK98" s="564"/>
      <c r="AL98" s="529"/>
      <c r="AM98" s="529"/>
      <c r="AN98" s="996" t="str">
        <f t="shared" ref="AN98" si="84">IF($D98="","",IF(MATCH($D98,CONST_PFCSlopeOrOvervoltage,0)=1,BE98,BH98))</f>
        <v/>
      </c>
      <c r="AO98" s="566" t="str">
        <f t="shared" si="78"/>
        <v/>
      </c>
      <c r="AP98" s="549" t="str">
        <f t="shared" si="79"/>
        <v/>
      </c>
      <c r="AQ98" s="549" t="str">
        <f t="shared" si="80"/>
        <v/>
      </c>
      <c r="AR98" s="549" t="str">
        <f t="shared" si="81"/>
        <v/>
      </c>
      <c r="AS98" s="549" t="str">
        <f t="shared" si="82"/>
        <v/>
      </c>
      <c r="AT98" s="856"/>
      <c r="AU98" s="537" t="str">
        <f t="shared" ref="AU98:AU107" si="85">IF($D98="","",SUM(AR98:AS98)/IF(AT98="",1,AT98))</f>
        <v/>
      </c>
      <c r="AV98" s="795"/>
      <c r="AW98" s="789"/>
      <c r="AX98" s="788"/>
      <c r="AY98" s="788"/>
      <c r="AZ98" s="24"/>
      <c r="BA98" s="102" t="str">
        <f t="shared" ref="BA98:BA107" si="86">CONST_CNTR_SUM_PFC</f>
        <v>SUM_PFC</v>
      </c>
      <c r="BC98" s="25"/>
      <c r="BD98" s="25"/>
      <c r="BE98" s="127">
        <f>F98*AG98*AH98*AI98/1000</f>
        <v>0</v>
      </c>
      <c r="BF98" s="851">
        <f>IF(BE98="","",$AM98)</f>
        <v>0</v>
      </c>
      <c r="BG98" s="128"/>
      <c r="BH98" s="127" t="str">
        <f t="shared" si="83"/>
        <v>Incomplete!</v>
      </c>
      <c r="BI98" s="851">
        <f>IF(BH98="","",$AM98)</f>
        <v>0</v>
      </c>
      <c r="BJ98" s="25"/>
      <c r="BK98" s="753" t="str">
        <f t="shared" ref="BK98:BK107" si="87">IF(D98="","",MATCH(D98,CONST_PFCSlopeOrOvervoltage,0))</f>
        <v/>
      </c>
      <c r="BL98" s="753" t="b">
        <f>D98=""</f>
        <v>1</v>
      </c>
      <c r="BM98" s="25"/>
      <c r="BN98" s="25"/>
      <c r="BO98" s="25"/>
      <c r="BP98" s="25"/>
      <c r="BQ98" s="25"/>
      <c r="BR98" s="25"/>
      <c r="BS98" s="25"/>
      <c r="BT98" s="25"/>
      <c r="BU98" s="25"/>
      <c r="BV98" s="25"/>
      <c r="BW98" s="124" t="b">
        <f>AND(CNTR_HasEntriesA,COUNTIF(A_InstData!$AH$62:$AH$71,TRUE)=0)</f>
        <v>0</v>
      </c>
    </row>
    <row r="99" spans="1:75" ht="12.75" customHeight="1" x14ac:dyDescent="0.3">
      <c r="C99" s="565">
        <v>2</v>
      </c>
      <c r="D99" s="540"/>
      <c r="E99" s="540"/>
      <c r="F99" s="541"/>
      <c r="G99" s="539" t="str">
        <f t="shared" si="76"/>
        <v>t</v>
      </c>
      <c r="H99" s="790"/>
      <c r="I99" s="791"/>
      <c r="J99" s="790"/>
      <c r="K99" s="791"/>
      <c r="L99" s="791"/>
      <c r="M99" s="791"/>
      <c r="N99" s="790"/>
      <c r="O99" s="791"/>
      <c r="P99" s="790"/>
      <c r="Q99" s="791"/>
      <c r="R99" s="790"/>
      <c r="S99" s="791"/>
      <c r="T99" s="547"/>
      <c r="U99" s="547"/>
      <c r="V99" s="791"/>
      <c r="W99" s="791"/>
      <c r="X99" s="791"/>
      <c r="Y99" s="791"/>
      <c r="Z99" s="791"/>
      <c r="AA99" s="791"/>
      <c r="AB99" s="547"/>
      <c r="AC99" s="547"/>
      <c r="AD99" s="791"/>
      <c r="AE99" s="791"/>
      <c r="AF99" s="791"/>
      <c r="AG99" s="541"/>
      <c r="AH99" s="541"/>
      <c r="AI99" s="541"/>
      <c r="AJ99" s="541"/>
      <c r="AK99" s="567"/>
      <c r="AL99" s="541"/>
      <c r="AM99" s="541"/>
      <c r="AN99" s="996" t="str">
        <f t="shared" si="77"/>
        <v/>
      </c>
      <c r="AO99" s="566" t="str">
        <f t="shared" si="78"/>
        <v/>
      </c>
      <c r="AP99" s="549" t="str">
        <f t="shared" si="79"/>
        <v/>
      </c>
      <c r="AQ99" s="549" t="str">
        <f t="shared" si="80"/>
        <v/>
      </c>
      <c r="AR99" s="549" t="str">
        <f t="shared" si="81"/>
        <v/>
      </c>
      <c r="AS99" s="549" t="str">
        <f t="shared" si="82"/>
        <v/>
      </c>
      <c r="AT99" s="857"/>
      <c r="AU99" s="549" t="str">
        <f t="shared" si="85"/>
        <v/>
      </c>
      <c r="AV99" s="796"/>
      <c r="AW99" s="791"/>
      <c r="AX99" s="790"/>
      <c r="AY99" s="790"/>
      <c r="AZ99" s="24"/>
      <c r="BA99" s="102" t="str">
        <f t="shared" si="86"/>
        <v>SUM_PFC</v>
      </c>
      <c r="BC99" s="25"/>
      <c r="BD99" s="25"/>
      <c r="BE99" s="127">
        <f t="shared" ref="BE99:BE107" si="88">F99*AG99*AH99*AI99/1000</f>
        <v>0</v>
      </c>
      <c r="BF99" s="851">
        <f t="shared" ref="BF99:BF107" si="89">IF(BE99="","",$AM99)</f>
        <v>0</v>
      </c>
      <c r="BG99" s="128"/>
      <c r="BH99" s="127" t="str">
        <f t="shared" si="83"/>
        <v>Incomplete!</v>
      </c>
      <c r="BI99" s="851">
        <f t="shared" ref="BI99:BI107" si="90">IF(BH99="","",$AM99)</f>
        <v>0</v>
      </c>
      <c r="BJ99" s="25"/>
      <c r="BK99" s="753" t="str">
        <f t="shared" si="87"/>
        <v/>
      </c>
      <c r="BL99" s="753" t="b">
        <f t="shared" ref="BL99:BL107" si="91">D99=""</f>
        <v>1</v>
      </c>
      <c r="BM99" s="25"/>
      <c r="BN99" s="25"/>
      <c r="BO99" s="25"/>
      <c r="BP99" s="25"/>
      <c r="BQ99" s="25"/>
      <c r="BR99" s="25"/>
      <c r="BS99" s="25"/>
      <c r="BT99" s="25"/>
      <c r="BU99" s="25"/>
      <c r="BV99" s="25"/>
      <c r="BW99" s="124" t="b">
        <f>AND(CNTR_HasEntriesA,COUNTIF(A_InstData!$AH$62:$AH$71,TRUE)=0)</f>
        <v>0</v>
      </c>
    </row>
    <row r="100" spans="1:75" ht="12.75" customHeight="1" x14ac:dyDescent="0.3">
      <c r="C100" s="565">
        <v>3</v>
      </c>
      <c r="D100" s="540"/>
      <c r="E100" s="540"/>
      <c r="F100" s="541"/>
      <c r="G100" s="539" t="str">
        <f t="shared" si="76"/>
        <v>t</v>
      </c>
      <c r="H100" s="790"/>
      <c r="I100" s="791"/>
      <c r="J100" s="790"/>
      <c r="K100" s="791"/>
      <c r="L100" s="791"/>
      <c r="M100" s="791"/>
      <c r="N100" s="790"/>
      <c r="O100" s="791"/>
      <c r="P100" s="790"/>
      <c r="Q100" s="791"/>
      <c r="R100" s="790"/>
      <c r="S100" s="791"/>
      <c r="T100" s="547"/>
      <c r="U100" s="547"/>
      <c r="V100" s="791"/>
      <c r="W100" s="791"/>
      <c r="X100" s="791"/>
      <c r="Y100" s="791"/>
      <c r="Z100" s="791"/>
      <c r="AA100" s="791"/>
      <c r="AB100" s="547"/>
      <c r="AC100" s="547"/>
      <c r="AD100" s="791"/>
      <c r="AE100" s="791"/>
      <c r="AF100" s="791"/>
      <c r="AG100" s="541"/>
      <c r="AH100" s="541"/>
      <c r="AI100" s="541"/>
      <c r="AJ100" s="541"/>
      <c r="AK100" s="567"/>
      <c r="AL100" s="541"/>
      <c r="AM100" s="541"/>
      <c r="AN100" s="996" t="str">
        <f t="shared" ref="AN100:AN101" si="92">IF($D100="","",IF(MATCH($D100,CONST_PFCSlopeOrOvervoltage,0)=1,BE100,BH100))</f>
        <v/>
      </c>
      <c r="AO100" s="566" t="str">
        <f t="shared" si="78"/>
        <v/>
      </c>
      <c r="AP100" s="549" t="str">
        <f t="shared" si="79"/>
        <v/>
      </c>
      <c r="AQ100" s="549" t="str">
        <f t="shared" si="80"/>
        <v/>
      </c>
      <c r="AR100" s="549" t="str">
        <f t="shared" si="81"/>
        <v/>
      </c>
      <c r="AS100" s="549" t="str">
        <f t="shared" si="82"/>
        <v/>
      </c>
      <c r="AT100" s="857"/>
      <c r="AU100" s="549" t="str">
        <f t="shared" si="85"/>
        <v/>
      </c>
      <c r="AV100" s="796"/>
      <c r="AW100" s="791"/>
      <c r="AX100" s="790"/>
      <c r="AY100" s="790"/>
      <c r="AZ100" s="24"/>
      <c r="BA100" s="102" t="str">
        <f t="shared" si="86"/>
        <v>SUM_PFC</v>
      </c>
      <c r="BC100" s="25"/>
      <c r="BD100" s="25"/>
      <c r="BE100" s="127">
        <f t="shared" si="88"/>
        <v>0</v>
      </c>
      <c r="BF100" s="851">
        <f t="shared" si="89"/>
        <v>0</v>
      </c>
      <c r="BG100" s="128"/>
      <c r="BH100" s="127" t="str">
        <f t="shared" si="83"/>
        <v>Incomplete!</v>
      </c>
      <c r="BI100" s="851">
        <f t="shared" si="90"/>
        <v>0</v>
      </c>
      <c r="BJ100" s="25"/>
      <c r="BK100" s="753" t="str">
        <f t="shared" si="87"/>
        <v/>
      </c>
      <c r="BL100" s="753" t="b">
        <f t="shared" si="91"/>
        <v>1</v>
      </c>
      <c r="BM100" s="25"/>
      <c r="BN100" s="25"/>
      <c r="BO100" s="25"/>
      <c r="BP100" s="25"/>
      <c r="BQ100" s="25"/>
      <c r="BR100" s="25"/>
      <c r="BS100" s="25"/>
      <c r="BT100" s="25"/>
      <c r="BU100" s="25"/>
      <c r="BV100" s="25"/>
      <c r="BW100" s="124" t="b">
        <f>AND(CNTR_HasEntriesA,COUNTIF(A_InstData!$AH$62:$AH$71,TRUE)=0)</f>
        <v>0</v>
      </c>
    </row>
    <row r="101" spans="1:75" ht="12.75" customHeight="1" x14ac:dyDescent="0.3">
      <c r="C101" s="565">
        <v>4</v>
      </c>
      <c r="D101" s="540"/>
      <c r="E101" s="540"/>
      <c r="F101" s="541"/>
      <c r="G101" s="539" t="str">
        <f t="shared" si="76"/>
        <v>t</v>
      </c>
      <c r="H101" s="790"/>
      <c r="I101" s="791"/>
      <c r="J101" s="790"/>
      <c r="K101" s="791"/>
      <c r="L101" s="791"/>
      <c r="M101" s="791"/>
      <c r="N101" s="790"/>
      <c r="O101" s="791"/>
      <c r="P101" s="790"/>
      <c r="Q101" s="791"/>
      <c r="R101" s="790"/>
      <c r="S101" s="791"/>
      <c r="T101" s="547"/>
      <c r="U101" s="547"/>
      <c r="V101" s="791"/>
      <c r="W101" s="791"/>
      <c r="X101" s="791"/>
      <c r="Y101" s="791"/>
      <c r="Z101" s="791"/>
      <c r="AA101" s="791"/>
      <c r="AB101" s="547"/>
      <c r="AC101" s="547"/>
      <c r="AD101" s="791"/>
      <c r="AE101" s="791"/>
      <c r="AF101" s="791"/>
      <c r="AG101" s="541"/>
      <c r="AH101" s="541"/>
      <c r="AI101" s="541"/>
      <c r="AJ101" s="541"/>
      <c r="AK101" s="567"/>
      <c r="AL101" s="541"/>
      <c r="AM101" s="541"/>
      <c r="AN101" s="996" t="str">
        <f t="shared" si="92"/>
        <v/>
      </c>
      <c r="AO101" s="566" t="str">
        <f t="shared" si="78"/>
        <v/>
      </c>
      <c r="AP101" s="549" t="str">
        <f t="shared" si="79"/>
        <v/>
      </c>
      <c r="AQ101" s="549" t="str">
        <f t="shared" si="80"/>
        <v/>
      </c>
      <c r="AR101" s="549" t="str">
        <f t="shared" si="81"/>
        <v/>
      </c>
      <c r="AS101" s="549" t="str">
        <f t="shared" si="82"/>
        <v/>
      </c>
      <c r="AT101" s="857"/>
      <c r="AU101" s="549" t="str">
        <f t="shared" si="85"/>
        <v/>
      </c>
      <c r="AV101" s="796"/>
      <c r="AW101" s="791"/>
      <c r="AX101" s="790"/>
      <c r="AY101" s="790"/>
      <c r="AZ101" s="24"/>
      <c r="BA101" s="102" t="str">
        <f t="shared" si="86"/>
        <v>SUM_PFC</v>
      </c>
      <c r="BC101" s="25"/>
      <c r="BD101" s="25"/>
      <c r="BE101" s="127">
        <f t="shared" si="88"/>
        <v>0</v>
      </c>
      <c r="BF101" s="851">
        <f t="shared" si="89"/>
        <v>0</v>
      </c>
      <c r="BG101" s="128"/>
      <c r="BH101" s="127" t="str">
        <f t="shared" si="83"/>
        <v>Incomplete!</v>
      </c>
      <c r="BI101" s="851">
        <f t="shared" si="90"/>
        <v>0</v>
      </c>
      <c r="BJ101" s="25"/>
      <c r="BK101" s="753" t="str">
        <f t="shared" si="87"/>
        <v/>
      </c>
      <c r="BL101" s="753" t="b">
        <f t="shared" si="91"/>
        <v>1</v>
      </c>
      <c r="BM101" s="25"/>
      <c r="BN101" s="25"/>
      <c r="BO101" s="25"/>
      <c r="BP101" s="25"/>
      <c r="BQ101" s="25"/>
      <c r="BR101" s="25"/>
      <c r="BS101" s="25"/>
      <c r="BT101" s="25"/>
      <c r="BU101" s="25"/>
      <c r="BV101" s="25"/>
      <c r="BW101" s="124" t="b">
        <f>AND(CNTR_HasEntriesA,COUNTIF(A_InstData!$AH$62:$AH$71,TRUE)=0)</f>
        <v>0</v>
      </c>
    </row>
    <row r="102" spans="1:75" ht="12.75" customHeight="1" x14ac:dyDescent="0.3">
      <c r="C102" s="565">
        <v>5</v>
      </c>
      <c r="D102" s="540"/>
      <c r="E102" s="540"/>
      <c r="F102" s="541"/>
      <c r="G102" s="539" t="str">
        <f t="shared" si="76"/>
        <v>t</v>
      </c>
      <c r="H102" s="790"/>
      <c r="I102" s="791"/>
      <c r="J102" s="790"/>
      <c r="K102" s="791"/>
      <c r="L102" s="791"/>
      <c r="M102" s="791"/>
      <c r="N102" s="790"/>
      <c r="O102" s="791"/>
      <c r="P102" s="790"/>
      <c r="Q102" s="791"/>
      <c r="R102" s="790"/>
      <c r="S102" s="791"/>
      <c r="T102" s="547"/>
      <c r="U102" s="547"/>
      <c r="V102" s="791"/>
      <c r="W102" s="791"/>
      <c r="X102" s="791"/>
      <c r="Y102" s="791"/>
      <c r="Z102" s="791"/>
      <c r="AA102" s="791"/>
      <c r="AB102" s="547"/>
      <c r="AC102" s="547"/>
      <c r="AD102" s="791"/>
      <c r="AE102" s="791"/>
      <c r="AF102" s="791"/>
      <c r="AG102" s="541"/>
      <c r="AH102" s="541"/>
      <c r="AI102" s="541"/>
      <c r="AJ102" s="541"/>
      <c r="AK102" s="567"/>
      <c r="AL102" s="541"/>
      <c r="AM102" s="541"/>
      <c r="AN102" s="996" t="str">
        <f t="shared" si="77"/>
        <v/>
      </c>
      <c r="AO102" s="566" t="str">
        <f t="shared" si="78"/>
        <v/>
      </c>
      <c r="AP102" s="549" t="str">
        <f t="shared" si="79"/>
        <v/>
      </c>
      <c r="AQ102" s="549" t="str">
        <f t="shared" si="80"/>
        <v/>
      </c>
      <c r="AR102" s="549" t="str">
        <f t="shared" si="81"/>
        <v/>
      </c>
      <c r="AS102" s="549" t="str">
        <f t="shared" si="82"/>
        <v/>
      </c>
      <c r="AT102" s="857"/>
      <c r="AU102" s="549" t="str">
        <f t="shared" si="85"/>
        <v/>
      </c>
      <c r="AV102" s="796"/>
      <c r="AW102" s="791"/>
      <c r="AX102" s="790"/>
      <c r="AY102" s="790"/>
      <c r="AZ102" s="24"/>
      <c r="BA102" s="102" t="str">
        <f t="shared" si="86"/>
        <v>SUM_PFC</v>
      </c>
      <c r="BC102" s="25"/>
      <c r="BD102" s="25"/>
      <c r="BE102" s="127">
        <f t="shared" si="88"/>
        <v>0</v>
      </c>
      <c r="BF102" s="851">
        <f t="shared" si="89"/>
        <v>0</v>
      </c>
      <c r="BG102" s="128"/>
      <c r="BH102" s="127" t="str">
        <f t="shared" si="83"/>
        <v>Incomplete!</v>
      </c>
      <c r="BI102" s="851">
        <f t="shared" si="90"/>
        <v>0</v>
      </c>
      <c r="BJ102" s="25"/>
      <c r="BK102" s="753" t="str">
        <f t="shared" si="87"/>
        <v/>
      </c>
      <c r="BL102" s="753" t="b">
        <f t="shared" si="91"/>
        <v>1</v>
      </c>
      <c r="BM102" s="25"/>
      <c r="BN102" s="25"/>
      <c r="BO102" s="25"/>
      <c r="BP102" s="25"/>
      <c r="BQ102" s="25"/>
      <c r="BR102" s="25"/>
      <c r="BS102" s="25"/>
      <c r="BT102" s="25"/>
      <c r="BU102" s="25"/>
      <c r="BV102" s="25"/>
      <c r="BW102" s="124" t="b">
        <f>AND(CNTR_HasEntriesA,COUNTIF(A_InstData!$AH$62:$AH$71,TRUE)=0)</f>
        <v>0</v>
      </c>
    </row>
    <row r="103" spans="1:75" ht="12.75" customHeight="1" x14ac:dyDescent="0.3">
      <c r="C103" s="565">
        <v>6</v>
      </c>
      <c r="D103" s="540"/>
      <c r="E103" s="540"/>
      <c r="F103" s="541"/>
      <c r="G103" s="539" t="str">
        <f t="shared" si="76"/>
        <v>t</v>
      </c>
      <c r="H103" s="790"/>
      <c r="I103" s="791"/>
      <c r="J103" s="790"/>
      <c r="K103" s="791"/>
      <c r="L103" s="791"/>
      <c r="M103" s="791"/>
      <c r="N103" s="790"/>
      <c r="O103" s="791"/>
      <c r="P103" s="790"/>
      <c r="Q103" s="791"/>
      <c r="R103" s="790"/>
      <c r="S103" s="791"/>
      <c r="T103" s="547"/>
      <c r="U103" s="547"/>
      <c r="V103" s="791"/>
      <c r="W103" s="791"/>
      <c r="X103" s="791"/>
      <c r="Y103" s="791"/>
      <c r="Z103" s="791"/>
      <c r="AA103" s="791"/>
      <c r="AB103" s="547"/>
      <c r="AC103" s="547"/>
      <c r="AD103" s="791"/>
      <c r="AE103" s="791"/>
      <c r="AF103" s="791"/>
      <c r="AG103" s="541"/>
      <c r="AH103" s="541"/>
      <c r="AI103" s="541"/>
      <c r="AJ103" s="541"/>
      <c r="AK103" s="567"/>
      <c r="AL103" s="541"/>
      <c r="AM103" s="541"/>
      <c r="AN103" s="996" t="str">
        <f t="shared" si="77"/>
        <v/>
      </c>
      <c r="AO103" s="566" t="str">
        <f t="shared" si="78"/>
        <v/>
      </c>
      <c r="AP103" s="549" t="str">
        <f t="shared" si="79"/>
        <v/>
      </c>
      <c r="AQ103" s="549" t="str">
        <f t="shared" si="80"/>
        <v/>
      </c>
      <c r="AR103" s="549" t="str">
        <f t="shared" si="81"/>
        <v/>
      </c>
      <c r="AS103" s="549" t="str">
        <f t="shared" si="82"/>
        <v/>
      </c>
      <c r="AT103" s="857"/>
      <c r="AU103" s="549" t="str">
        <f t="shared" si="85"/>
        <v/>
      </c>
      <c r="AV103" s="796"/>
      <c r="AW103" s="791"/>
      <c r="AX103" s="790"/>
      <c r="AY103" s="790"/>
      <c r="AZ103" s="24"/>
      <c r="BA103" s="102" t="str">
        <f t="shared" si="86"/>
        <v>SUM_PFC</v>
      </c>
      <c r="BC103" s="25"/>
      <c r="BD103" s="25"/>
      <c r="BE103" s="127">
        <f t="shared" si="88"/>
        <v>0</v>
      </c>
      <c r="BF103" s="851">
        <f t="shared" si="89"/>
        <v>0</v>
      </c>
      <c r="BG103" s="128"/>
      <c r="BH103" s="127" t="str">
        <f t="shared" si="83"/>
        <v>Incomplete!</v>
      </c>
      <c r="BI103" s="851">
        <f t="shared" si="90"/>
        <v>0</v>
      </c>
      <c r="BJ103" s="25"/>
      <c r="BK103" s="753" t="str">
        <f t="shared" si="87"/>
        <v/>
      </c>
      <c r="BL103" s="753" t="b">
        <f t="shared" si="91"/>
        <v>1</v>
      </c>
      <c r="BM103" s="25"/>
      <c r="BN103" s="25"/>
      <c r="BO103" s="25"/>
      <c r="BP103" s="25"/>
      <c r="BQ103" s="25"/>
      <c r="BR103" s="25"/>
      <c r="BS103" s="25"/>
      <c r="BT103" s="25"/>
      <c r="BU103" s="25"/>
      <c r="BV103" s="25"/>
      <c r="BW103" s="124" t="b">
        <f>AND(CNTR_HasEntriesA,COUNTIF(A_InstData!$AH$62:$AH$71,TRUE)=0)</f>
        <v>0</v>
      </c>
    </row>
    <row r="104" spans="1:75" ht="12.75" customHeight="1" x14ac:dyDescent="0.3">
      <c r="C104" s="565">
        <v>7</v>
      </c>
      <c r="D104" s="540"/>
      <c r="E104" s="540"/>
      <c r="F104" s="541"/>
      <c r="G104" s="539" t="str">
        <f t="shared" si="76"/>
        <v>t</v>
      </c>
      <c r="H104" s="790"/>
      <c r="I104" s="791"/>
      <c r="J104" s="790"/>
      <c r="K104" s="791"/>
      <c r="L104" s="791"/>
      <c r="M104" s="791"/>
      <c r="N104" s="790"/>
      <c r="O104" s="791"/>
      <c r="P104" s="790"/>
      <c r="Q104" s="791"/>
      <c r="R104" s="790"/>
      <c r="S104" s="791"/>
      <c r="T104" s="547"/>
      <c r="U104" s="547"/>
      <c r="V104" s="791"/>
      <c r="W104" s="791"/>
      <c r="X104" s="791"/>
      <c r="Y104" s="791"/>
      <c r="Z104" s="791"/>
      <c r="AA104" s="791"/>
      <c r="AB104" s="547"/>
      <c r="AC104" s="547"/>
      <c r="AD104" s="791"/>
      <c r="AE104" s="791"/>
      <c r="AF104" s="791"/>
      <c r="AG104" s="541"/>
      <c r="AH104" s="541"/>
      <c r="AI104" s="541"/>
      <c r="AJ104" s="541"/>
      <c r="AK104" s="567"/>
      <c r="AL104" s="541"/>
      <c r="AM104" s="541"/>
      <c r="AN104" s="996" t="str">
        <f t="shared" si="77"/>
        <v/>
      </c>
      <c r="AO104" s="566" t="str">
        <f t="shared" si="78"/>
        <v/>
      </c>
      <c r="AP104" s="549" t="str">
        <f t="shared" si="79"/>
        <v/>
      </c>
      <c r="AQ104" s="549" t="str">
        <f t="shared" si="80"/>
        <v/>
      </c>
      <c r="AR104" s="549" t="str">
        <f t="shared" si="81"/>
        <v/>
      </c>
      <c r="AS104" s="549" t="str">
        <f t="shared" si="82"/>
        <v/>
      </c>
      <c r="AT104" s="857"/>
      <c r="AU104" s="549" t="str">
        <f t="shared" si="85"/>
        <v/>
      </c>
      <c r="AV104" s="796"/>
      <c r="AW104" s="791"/>
      <c r="AX104" s="790"/>
      <c r="AY104" s="790"/>
      <c r="AZ104" s="24"/>
      <c r="BA104" s="102" t="str">
        <f t="shared" si="86"/>
        <v>SUM_PFC</v>
      </c>
      <c r="BC104" s="25"/>
      <c r="BD104" s="25"/>
      <c r="BE104" s="127">
        <f t="shared" si="88"/>
        <v>0</v>
      </c>
      <c r="BF104" s="851">
        <f t="shared" si="89"/>
        <v>0</v>
      </c>
      <c r="BG104" s="128"/>
      <c r="BH104" s="127" t="str">
        <f t="shared" si="83"/>
        <v>Incomplete!</v>
      </c>
      <c r="BI104" s="851">
        <f t="shared" si="90"/>
        <v>0</v>
      </c>
      <c r="BJ104" s="25"/>
      <c r="BK104" s="753" t="str">
        <f t="shared" si="87"/>
        <v/>
      </c>
      <c r="BL104" s="753" t="b">
        <f t="shared" si="91"/>
        <v>1</v>
      </c>
      <c r="BM104" s="25"/>
      <c r="BN104" s="25"/>
      <c r="BO104" s="25"/>
      <c r="BP104" s="25"/>
      <c r="BQ104" s="25"/>
      <c r="BR104" s="25"/>
      <c r="BS104" s="25"/>
      <c r="BT104" s="25"/>
      <c r="BU104" s="25"/>
      <c r="BV104" s="25"/>
      <c r="BW104" s="124" t="b">
        <f>AND(CNTR_HasEntriesA,COUNTIF(A_InstData!$AH$62:$AH$71,TRUE)=0)</f>
        <v>0</v>
      </c>
    </row>
    <row r="105" spans="1:75" ht="12.75" customHeight="1" x14ac:dyDescent="0.3">
      <c r="C105" s="565">
        <v>8</v>
      </c>
      <c r="D105" s="540"/>
      <c r="E105" s="540"/>
      <c r="F105" s="541"/>
      <c r="G105" s="539" t="str">
        <f t="shared" si="76"/>
        <v>t</v>
      </c>
      <c r="H105" s="790"/>
      <c r="I105" s="791"/>
      <c r="J105" s="790"/>
      <c r="K105" s="791"/>
      <c r="L105" s="791"/>
      <c r="M105" s="791"/>
      <c r="N105" s="790"/>
      <c r="O105" s="791"/>
      <c r="P105" s="790"/>
      <c r="Q105" s="791"/>
      <c r="R105" s="790"/>
      <c r="S105" s="791"/>
      <c r="T105" s="547"/>
      <c r="U105" s="547"/>
      <c r="V105" s="791"/>
      <c r="W105" s="791"/>
      <c r="X105" s="791"/>
      <c r="Y105" s="791"/>
      <c r="Z105" s="791"/>
      <c r="AA105" s="791"/>
      <c r="AB105" s="547"/>
      <c r="AC105" s="547"/>
      <c r="AD105" s="791"/>
      <c r="AE105" s="791"/>
      <c r="AF105" s="791"/>
      <c r="AG105" s="541"/>
      <c r="AH105" s="541"/>
      <c r="AI105" s="541"/>
      <c r="AJ105" s="541"/>
      <c r="AK105" s="567"/>
      <c r="AL105" s="541"/>
      <c r="AM105" s="541"/>
      <c r="AN105" s="996" t="str">
        <f t="shared" si="77"/>
        <v/>
      </c>
      <c r="AO105" s="566" t="str">
        <f t="shared" si="78"/>
        <v/>
      </c>
      <c r="AP105" s="549" t="str">
        <f t="shared" si="79"/>
        <v/>
      </c>
      <c r="AQ105" s="549" t="str">
        <f t="shared" si="80"/>
        <v/>
      </c>
      <c r="AR105" s="549" t="str">
        <f t="shared" si="81"/>
        <v/>
      </c>
      <c r="AS105" s="549" t="str">
        <f t="shared" si="82"/>
        <v/>
      </c>
      <c r="AT105" s="857"/>
      <c r="AU105" s="549" t="str">
        <f t="shared" si="85"/>
        <v/>
      </c>
      <c r="AV105" s="796"/>
      <c r="AW105" s="791"/>
      <c r="AX105" s="790"/>
      <c r="AY105" s="790"/>
      <c r="AZ105" s="24"/>
      <c r="BA105" s="102" t="str">
        <f t="shared" si="86"/>
        <v>SUM_PFC</v>
      </c>
      <c r="BC105" s="25"/>
      <c r="BD105" s="25"/>
      <c r="BE105" s="127">
        <f t="shared" si="88"/>
        <v>0</v>
      </c>
      <c r="BF105" s="851">
        <f t="shared" si="89"/>
        <v>0</v>
      </c>
      <c r="BG105" s="128"/>
      <c r="BH105" s="127" t="str">
        <f t="shared" si="83"/>
        <v>Incomplete!</v>
      </c>
      <c r="BI105" s="851">
        <f t="shared" si="90"/>
        <v>0</v>
      </c>
      <c r="BJ105" s="25"/>
      <c r="BK105" s="753" t="str">
        <f t="shared" si="87"/>
        <v/>
      </c>
      <c r="BL105" s="753" t="b">
        <f t="shared" si="91"/>
        <v>1</v>
      </c>
      <c r="BM105" s="25"/>
      <c r="BN105" s="25"/>
      <c r="BO105" s="25"/>
      <c r="BP105" s="25"/>
      <c r="BQ105" s="25"/>
      <c r="BR105" s="25"/>
      <c r="BS105" s="25"/>
      <c r="BT105" s="25"/>
      <c r="BU105" s="25"/>
      <c r="BV105" s="25"/>
      <c r="BW105" s="124" t="b">
        <f>AND(CNTR_HasEntriesA,COUNTIF(A_InstData!$AH$62:$AH$71,TRUE)=0)</f>
        <v>0</v>
      </c>
    </row>
    <row r="106" spans="1:75" ht="12.75" customHeight="1" x14ac:dyDescent="0.3">
      <c r="C106" s="565">
        <v>9</v>
      </c>
      <c r="D106" s="540"/>
      <c r="E106" s="540"/>
      <c r="F106" s="541"/>
      <c r="G106" s="539" t="str">
        <f t="shared" si="76"/>
        <v>t</v>
      </c>
      <c r="H106" s="790"/>
      <c r="I106" s="791"/>
      <c r="J106" s="790"/>
      <c r="K106" s="791"/>
      <c r="L106" s="791"/>
      <c r="M106" s="791"/>
      <c r="N106" s="790"/>
      <c r="O106" s="791"/>
      <c r="P106" s="790"/>
      <c r="Q106" s="791"/>
      <c r="R106" s="790"/>
      <c r="S106" s="791"/>
      <c r="T106" s="547"/>
      <c r="U106" s="547"/>
      <c r="V106" s="791"/>
      <c r="W106" s="791"/>
      <c r="X106" s="791"/>
      <c r="Y106" s="791"/>
      <c r="Z106" s="791"/>
      <c r="AA106" s="791"/>
      <c r="AB106" s="547"/>
      <c r="AC106" s="547"/>
      <c r="AD106" s="791"/>
      <c r="AE106" s="791"/>
      <c r="AF106" s="791"/>
      <c r="AG106" s="541"/>
      <c r="AH106" s="541"/>
      <c r="AI106" s="541"/>
      <c r="AJ106" s="541"/>
      <c r="AK106" s="567"/>
      <c r="AL106" s="541"/>
      <c r="AM106" s="541"/>
      <c r="AN106" s="996" t="str">
        <f t="shared" si="77"/>
        <v/>
      </c>
      <c r="AO106" s="566" t="str">
        <f t="shared" si="78"/>
        <v/>
      </c>
      <c r="AP106" s="549" t="str">
        <f t="shared" si="79"/>
        <v/>
      </c>
      <c r="AQ106" s="549" t="str">
        <f t="shared" si="80"/>
        <v/>
      </c>
      <c r="AR106" s="549" t="str">
        <f t="shared" si="81"/>
        <v/>
      </c>
      <c r="AS106" s="549" t="str">
        <f t="shared" si="82"/>
        <v/>
      </c>
      <c r="AT106" s="857"/>
      <c r="AU106" s="549" t="str">
        <f t="shared" si="85"/>
        <v/>
      </c>
      <c r="AV106" s="796"/>
      <c r="AW106" s="791"/>
      <c r="AX106" s="790"/>
      <c r="AY106" s="790"/>
      <c r="AZ106" s="24"/>
      <c r="BA106" s="102" t="str">
        <f t="shared" si="86"/>
        <v>SUM_PFC</v>
      </c>
      <c r="BC106" s="25"/>
      <c r="BD106" s="25"/>
      <c r="BE106" s="127">
        <f t="shared" si="88"/>
        <v>0</v>
      </c>
      <c r="BF106" s="851">
        <f t="shared" si="89"/>
        <v>0</v>
      </c>
      <c r="BG106" s="128"/>
      <c r="BH106" s="127" t="str">
        <f t="shared" si="83"/>
        <v>Incomplete!</v>
      </c>
      <c r="BI106" s="851">
        <f t="shared" si="90"/>
        <v>0</v>
      </c>
      <c r="BJ106" s="25"/>
      <c r="BK106" s="753" t="str">
        <f t="shared" si="87"/>
        <v/>
      </c>
      <c r="BL106" s="753" t="b">
        <f t="shared" si="91"/>
        <v>1</v>
      </c>
      <c r="BM106" s="25"/>
      <c r="BN106" s="25"/>
      <c r="BO106" s="25"/>
      <c r="BP106" s="25"/>
      <c r="BQ106" s="25"/>
      <c r="BR106" s="25"/>
      <c r="BS106" s="25"/>
      <c r="BT106" s="25"/>
      <c r="BU106" s="25"/>
      <c r="BV106" s="25"/>
      <c r="BW106" s="124" t="b">
        <f>AND(CNTR_HasEntriesA,COUNTIF(A_InstData!$AH$62:$AH$71,TRUE)=0)</f>
        <v>0</v>
      </c>
    </row>
    <row r="107" spans="1:75" ht="12.75" customHeight="1" x14ac:dyDescent="0.3">
      <c r="C107" s="568">
        <v>10</v>
      </c>
      <c r="D107" s="552"/>
      <c r="E107" s="552"/>
      <c r="F107" s="553"/>
      <c r="G107" s="551" t="str">
        <f t="shared" si="76"/>
        <v>t</v>
      </c>
      <c r="H107" s="792"/>
      <c r="I107" s="793"/>
      <c r="J107" s="792"/>
      <c r="K107" s="793"/>
      <c r="L107" s="793"/>
      <c r="M107" s="793"/>
      <c r="N107" s="792"/>
      <c r="O107" s="793"/>
      <c r="P107" s="792"/>
      <c r="Q107" s="793"/>
      <c r="R107" s="792"/>
      <c r="S107" s="793"/>
      <c r="T107" s="559"/>
      <c r="U107" s="559"/>
      <c r="V107" s="793"/>
      <c r="W107" s="793"/>
      <c r="X107" s="793"/>
      <c r="Y107" s="793"/>
      <c r="Z107" s="793"/>
      <c r="AA107" s="793"/>
      <c r="AB107" s="559"/>
      <c r="AC107" s="559"/>
      <c r="AD107" s="793"/>
      <c r="AE107" s="793"/>
      <c r="AF107" s="793"/>
      <c r="AG107" s="553"/>
      <c r="AH107" s="553"/>
      <c r="AI107" s="553"/>
      <c r="AJ107" s="553"/>
      <c r="AK107" s="570"/>
      <c r="AL107" s="553"/>
      <c r="AM107" s="553"/>
      <c r="AN107" s="997" t="str">
        <f t="shared" si="77"/>
        <v/>
      </c>
      <c r="AO107" s="569" t="str">
        <f t="shared" si="78"/>
        <v/>
      </c>
      <c r="AP107" s="561" t="str">
        <f t="shared" si="79"/>
        <v/>
      </c>
      <c r="AQ107" s="561" t="str">
        <f t="shared" si="80"/>
        <v/>
      </c>
      <c r="AR107" s="561" t="str">
        <f t="shared" si="81"/>
        <v/>
      </c>
      <c r="AS107" s="561" t="str">
        <f t="shared" si="82"/>
        <v/>
      </c>
      <c r="AT107" s="858"/>
      <c r="AU107" s="561" t="str">
        <f t="shared" si="85"/>
        <v/>
      </c>
      <c r="AV107" s="797"/>
      <c r="AW107" s="793"/>
      <c r="AX107" s="792"/>
      <c r="AY107" s="792"/>
      <c r="AZ107" s="24"/>
      <c r="BA107" s="102" t="str">
        <f t="shared" si="86"/>
        <v>SUM_PFC</v>
      </c>
      <c r="BC107" s="25"/>
      <c r="BD107" s="25"/>
      <c r="BE107" s="127">
        <f t="shared" si="88"/>
        <v>0</v>
      </c>
      <c r="BF107" s="851">
        <f t="shared" si="89"/>
        <v>0</v>
      </c>
      <c r="BG107" s="128"/>
      <c r="BH107" s="127" t="str">
        <f t="shared" si="83"/>
        <v>Incomplete!</v>
      </c>
      <c r="BI107" s="851">
        <f t="shared" si="90"/>
        <v>0</v>
      </c>
      <c r="BJ107" s="25"/>
      <c r="BK107" s="753" t="str">
        <f t="shared" si="87"/>
        <v/>
      </c>
      <c r="BL107" s="753" t="b">
        <f t="shared" si="91"/>
        <v>1</v>
      </c>
      <c r="BM107" s="25"/>
      <c r="BN107" s="25"/>
      <c r="BO107" s="25"/>
      <c r="BP107" s="25"/>
      <c r="BQ107" s="25"/>
      <c r="BR107" s="25"/>
      <c r="BS107" s="25"/>
      <c r="BT107" s="25"/>
      <c r="BU107" s="25"/>
      <c r="BV107" s="25"/>
      <c r="BW107" s="124" t="b">
        <f>AND(CNTR_HasEntriesA,COUNTIF(A_InstData!$AH$62:$AH$71,TRUE)=0)</f>
        <v>0</v>
      </c>
    </row>
    <row r="108" spans="1:75" ht="12.75" customHeight="1" x14ac:dyDescent="0.3">
      <c r="C108" s="26"/>
      <c r="D108" s="27"/>
      <c r="E108" s="27"/>
      <c r="F108" s="28"/>
      <c r="G108" s="26"/>
      <c r="H108" s="28"/>
      <c r="I108" s="26"/>
      <c r="J108" s="28"/>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4"/>
      <c r="BA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row>
    <row r="109" spans="1:75" s="122" customFormat="1" ht="20.149999999999999" customHeight="1" thickBot="1" x14ac:dyDescent="0.4">
      <c r="A109" s="105">
        <v>3</v>
      </c>
      <c r="C109" s="15" t="s">
        <v>49</v>
      </c>
      <c r="D109" s="15" t="str">
        <f>Translations!$B$1964</f>
        <v>Measurement-Based Approaches: Emissions Sources</v>
      </c>
      <c r="E109" s="16"/>
      <c r="F109" s="16"/>
      <c r="G109" s="16"/>
      <c r="H109" s="16"/>
      <c r="I109" s="16"/>
      <c r="J109" s="16"/>
      <c r="K109" s="16"/>
      <c r="L109" s="14"/>
      <c r="M109" s="14"/>
      <c r="N109" s="14"/>
      <c r="O109" s="14"/>
      <c r="P109" s="14"/>
      <c r="Q109" s="14"/>
      <c r="R109" s="16"/>
      <c r="S109" s="16"/>
      <c r="T109" s="14"/>
      <c r="U109" s="14"/>
      <c r="V109" s="16"/>
      <c r="W109" s="16"/>
      <c r="X109" s="16"/>
      <c r="Y109" s="16"/>
      <c r="Z109" s="16"/>
      <c r="AA109" s="16"/>
      <c r="AB109" s="14"/>
      <c r="AC109" s="14"/>
      <c r="AD109" s="16"/>
      <c r="AE109" s="16"/>
      <c r="AF109" s="16"/>
      <c r="AG109" s="16"/>
      <c r="AH109" s="16"/>
      <c r="AI109" s="16"/>
      <c r="AJ109" s="16"/>
      <c r="AK109" s="16"/>
      <c r="AL109" s="16"/>
      <c r="AM109" s="16"/>
      <c r="AN109" s="16"/>
      <c r="AO109" s="16"/>
      <c r="AP109" s="16"/>
      <c r="AQ109" s="16"/>
      <c r="AR109" s="16"/>
      <c r="AS109" s="16"/>
      <c r="AT109" s="16"/>
      <c r="AU109" s="16"/>
      <c r="AV109" s="16"/>
      <c r="AW109" s="14"/>
      <c r="AX109" s="16"/>
      <c r="AY109" s="16"/>
      <c r="BA109" s="102" t="s">
        <v>2813</v>
      </c>
      <c r="BB109" s="91"/>
      <c r="BC109" s="121"/>
      <c r="BD109" s="121"/>
      <c r="BE109" s="121"/>
      <c r="BF109" s="121"/>
      <c r="BG109" s="121"/>
      <c r="BH109" s="121"/>
      <c r="BI109" s="121"/>
      <c r="BJ109" s="121"/>
      <c r="BK109" s="121"/>
      <c r="BL109" s="121"/>
      <c r="BM109" s="121"/>
      <c r="BN109" s="121"/>
      <c r="BO109" s="121"/>
      <c r="BP109" s="121"/>
      <c r="BQ109" s="121"/>
      <c r="BR109" s="121"/>
      <c r="BS109" s="121"/>
      <c r="BT109" s="121"/>
      <c r="BU109" s="121"/>
      <c r="BV109" s="121"/>
      <c r="BW109" s="121"/>
    </row>
    <row r="110" spans="1:75" ht="50.15" customHeight="1" thickBot="1" x14ac:dyDescent="0.35">
      <c r="C110" s="17" t="str">
        <f>Translations!$B$131</f>
        <v>#</v>
      </c>
      <c r="D110" s="18" t="str">
        <f>Translations!$B$122</f>
        <v>Name</v>
      </c>
      <c r="E110" s="18" t="str">
        <f>Translations!$B$209</f>
        <v>Type of GHG</v>
      </c>
      <c r="F110" s="22" t="str">
        <f>Translations!$B$134</f>
        <v>Activity data (AD)</v>
      </c>
      <c r="G110" s="22" t="str">
        <f>Translations!$B$135</f>
        <v>AD Unit</v>
      </c>
      <c r="H110" s="22" t="str">
        <f>Translations!$B$136</f>
        <v>Net calorific value (NCV)</v>
      </c>
      <c r="I110" s="22" t="str">
        <f>Translations!$B$137</f>
        <v>NCV Unit</v>
      </c>
      <c r="J110" s="22" t="str">
        <f>Translations!$B$138</f>
        <v>Emission factor (EF)</v>
      </c>
      <c r="K110" s="22" t="str">
        <f>Translations!$B$139</f>
        <v>EF Unit</v>
      </c>
      <c r="L110" s="22" t="str">
        <f>Translations!$B$140</f>
        <v>Carbon content</v>
      </c>
      <c r="M110" s="22" t="str">
        <f>Translations!$B$141</f>
        <v>C-Content Unit</v>
      </c>
      <c r="N110" s="22" t="str">
        <f>Translations!$B$142</f>
        <v>Oxidation factor (OxF)</v>
      </c>
      <c r="O110" s="22" t="str">
        <f>Translations!$B$143</f>
        <v>OxF Unit</v>
      </c>
      <c r="P110" s="22" t="str">
        <f>Translations!$B$144</f>
        <v>Conversion factor (ConvF)</v>
      </c>
      <c r="Q110" s="22" t="str">
        <f>Translations!$B$145</f>
        <v>ConvF Unit</v>
      </c>
      <c r="R110" s="19" t="str">
        <f>Translations!$B$210</f>
        <v>Biomass fraction</v>
      </c>
      <c r="S110" s="19" t="str">
        <f>Translations!$B$147</f>
        <v>BioC Unit</v>
      </c>
      <c r="T110" s="20" t="s">
        <v>63</v>
      </c>
      <c r="U110" s="20" t="s">
        <v>64</v>
      </c>
      <c r="V110" s="19" t="str">
        <f>Translations!$B$150</f>
        <v>hourly GHG conc. Average</v>
      </c>
      <c r="W110" s="19" t="str">
        <f>Translations!$B$151</f>
        <v>hourly GHG conc. Unit</v>
      </c>
      <c r="X110" s="19" t="str">
        <f>Translations!$B$152</f>
        <v>hours operating</v>
      </c>
      <c r="Y110" s="19" t="str">
        <f>Translations!$B$153</f>
        <v>hours operating Unit</v>
      </c>
      <c r="Z110" s="19" t="str">
        <f>Translations!$B$1959</f>
        <v>Flue gas flow (average)</v>
      </c>
      <c r="AA110" s="19" t="str">
        <f>Translations!$B$1960</f>
        <v>Flue gas flow (average), Unit</v>
      </c>
      <c r="AB110" s="20" t="s">
        <v>69</v>
      </c>
      <c r="AC110" s="20" t="s">
        <v>70</v>
      </c>
      <c r="AD110" s="19" t="str">
        <f>Translations!$B$158</f>
        <v>Annual amount of GHG</v>
      </c>
      <c r="AE110" s="19" t="str">
        <f>Translations!$B$159</f>
        <v>Annual amount of GHG Unit</v>
      </c>
      <c r="AF110" s="19" t="str">
        <f>Translations!$B$1961</f>
        <v>GWP (tCO2e/t)</v>
      </c>
      <c r="AG110" s="19" t="str">
        <f>Translations!$B$161</f>
        <v>A: Frequency</v>
      </c>
      <c r="AH110" s="19" t="str">
        <f>Translations!$B$162</f>
        <v>A: Duration</v>
      </c>
      <c r="AI110" s="19" t="str">
        <f>Translations!$B$163</f>
        <v>A: SEF(CF4)</v>
      </c>
      <c r="AJ110" s="19" t="str">
        <f>Translations!$B$164</f>
        <v>B: AEO</v>
      </c>
      <c r="AK110" s="19" t="str">
        <f>Translations!$B$165</f>
        <v>B: CE</v>
      </c>
      <c r="AL110" s="19" t="str">
        <f>Translations!$B$166</f>
        <v>B: OVC</v>
      </c>
      <c r="AM110" s="19" t="str">
        <f>Translations!$B$167</f>
        <v>F(C2F6)</v>
      </c>
      <c r="AN110" s="19" t="str">
        <f>Translations!$B$168</f>
        <v>CF4 Emissions (t CF4)</v>
      </c>
      <c r="AO110" s="19" t="str">
        <f>Translations!$B$169</f>
        <v>C2F6 Emissions (t C2F6)</v>
      </c>
      <c r="AP110" s="19" t="str">
        <f>Translations!$B$170</f>
        <v>GWP (CF4) (tCO2e/t)</v>
      </c>
      <c r="AQ110" s="19" t="str">
        <f>Translations!$B$171</f>
        <v>GWP (C2F6) (tCO2e/t)</v>
      </c>
      <c r="AR110" s="19" t="str">
        <f>Translations!$B$172</f>
        <v>CF4 Emissions (t CO2e)</v>
      </c>
      <c r="AS110" s="19" t="str">
        <f>Translations!$B$173</f>
        <v>C2F6 Emissions (t CO2e)</v>
      </c>
      <c r="AT110" s="19" t="str">
        <f>Translations!$B$174</f>
        <v>Collection efficiency, %</v>
      </c>
      <c r="AU110" s="19" t="str">
        <f>Translations!$B$175</f>
        <v>CO2e fossil (t)</v>
      </c>
      <c r="AV110" s="19" t="str">
        <f>Translations!$B$176</f>
        <v>CO2e bio (t)</v>
      </c>
      <c r="AW110" s="20" t="s">
        <v>89</v>
      </c>
      <c r="AX110" s="19" t="str">
        <f>Translations!$B$178</f>
        <v>Energy content (fossil), TJ</v>
      </c>
      <c r="AY110" s="21" t="str">
        <f>Translations!$B$179</f>
        <v>Energy content (bio), TJ</v>
      </c>
      <c r="AZ110" s="24"/>
      <c r="BA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row>
    <row r="111" spans="1:75" ht="14" x14ac:dyDescent="0.3">
      <c r="C111" s="321" t="str">
        <f>Translations!$B$180</f>
        <v>Ex.1</v>
      </c>
      <c r="D111" s="322" t="s">
        <v>108</v>
      </c>
      <c r="E111" s="322" t="s">
        <v>108</v>
      </c>
      <c r="F111" s="786"/>
      <c r="G111" s="787"/>
      <c r="H111" s="786"/>
      <c r="I111" s="787"/>
      <c r="J111" s="786"/>
      <c r="K111" s="787"/>
      <c r="L111" s="787"/>
      <c r="M111" s="787"/>
      <c r="N111" s="786"/>
      <c r="O111" s="787"/>
      <c r="P111" s="786"/>
      <c r="Q111" s="787"/>
      <c r="R111" s="326">
        <v>0</v>
      </c>
      <c r="S111" s="324" t="s">
        <v>99</v>
      </c>
      <c r="T111" s="325"/>
      <c r="U111" s="325"/>
      <c r="V111" s="600">
        <v>64.292500000000004</v>
      </c>
      <c r="W111" s="324" t="str">
        <f t="shared" ref="W111:W122" si="93">CONST_gpNm3</f>
        <v>g/Nm3</v>
      </c>
      <c r="X111" s="326">
        <v>4</v>
      </c>
      <c r="Y111" s="324" t="str">
        <f t="shared" ref="Y111:Y122" si="94">CONST_hpa</f>
        <v>h/period</v>
      </c>
      <c r="Z111" s="326">
        <v>265</v>
      </c>
      <c r="AA111" s="324" t="str">
        <f t="shared" ref="AA111:AA122" si="95">CONST_Nm3ph</f>
        <v>1000Nm3/h</v>
      </c>
      <c r="AB111" s="325"/>
      <c r="AC111" s="325"/>
      <c r="AD111" s="326">
        <f>IF(E111="","",V111*X111*Z111/1000*(1-R111/100))</f>
        <v>68.150050000000007</v>
      </c>
      <c r="AE111" s="324" t="str">
        <f t="shared" ref="AE111:AE122" si="96">CONST_t</f>
        <v>t</v>
      </c>
      <c r="AF111" s="326">
        <f t="shared" ref="AF111:AF122" si="97">IF(E111="","",IF(E111=INDEX(CONST_CEMSType,2),CONST_GWP_N2O,1))</f>
        <v>265</v>
      </c>
      <c r="AG111" s="601"/>
      <c r="AH111" s="601"/>
      <c r="AI111" s="601"/>
      <c r="AJ111" s="601"/>
      <c r="AK111" s="601"/>
      <c r="AL111" s="601"/>
      <c r="AM111" s="601"/>
      <c r="AN111" s="601"/>
      <c r="AO111" s="601"/>
      <c r="AP111" s="601"/>
      <c r="AQ111" s="601"/>
      <c r="AR111" s="601"/>
      <c r="AS111" s="601"/>
      <c r="AT111" s="601"/>
      <c r="AU111" s="326">
        <f t="shared" ref="AU111:AU112" si="98">IF(E111="","",V111*X111*Z111/1000*(1-R111/100)*AF111)</f>
        <v>18059.763250000004</v>
      </c>
      <c r="AV111" s="326">
        <f t="shared" ref="AV111:AV112" si="99">IF(E111="","",V111*X111*Z111/1000*(R111/100)*AF111)</f>
        <v>0</v>
      </c>
      <c r="AW111" s="325">
        <v>0</v>
      </c>
      <c r="AX111" s="326">
        <v>0</v>
      </c>
      <c r="AY111" s="326">
        <v>0</v>
      </c>
      <c r="AZ111" s="24"/>
      <c r="BA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row>
    <row r="112" spans="1:75" ht="14" x14ac:dyDescent="0.3">
      <c r="C112" s="321" t="str">
        <f>Translations!$B$185</f>
        <v>Ex.2</v>
      </c>
      <c r="D112" s="322" t="str">
        <f>Translations!$B$211</f>
        <v>CO2 transfer</v>
      </c>
      <c r="E112" s="322" t="s">
        <v>31</v>
      </c>
      <c r="F112" s="786"/>
      <c r="G112" s="787"/>
      <c r="H112" s="786"/>
      <c r="I112" s="787"/>
      <c r="J112" s="786"/>
      <c r="K112" s="787"/>
      <c r="L112" s="787"/>
      <c r="M112" s="787"/>
      <c r="N112" s="786"/>
      <c r="O112" s="787"/>
      <c r="P112" s="786"/>
      <c r="Q112" s="787"/>
      <c r="R112" s="326">
        <v>15</v>
      </c>
      <c r="S112" s="324" t="s">
        <v>99</v>
      </c>
      <c r="T112" s="325"/>
      <c r="U112" s="325"/>
      <c r="V112" s="600">
        <v>1820</v>
      </c>
      <c r="W112" s="324" t="str">
        <f t="shared" si="93"/>
        <v>g/Nm3</v>
      </c>
      <c r="X112" s="326">
        <v>5000</v>
      </c>
      <c r="Y112" s="324" t="str">
        <f t="shared" si="94"/>
        <v>h/period</v>
      </c>
      <c r="Z112" s="326">
        <v>50</v>
      </c>
      <c r="AA112" s="324" t="str">
        <f t="shared" si="95"/>
        <v>1000Nm3/h</v>
      </c>
      <c r="AB112" s="325"/>
      <c r="AC112" s="325"/>
      <c r="AD112" s="326">
        <f>IF(E112="","",V112*X112*Z112/1000*(1-R112/100))</f>
        <v>386750</v>
      </c>
      <c r="AE112" s="324" t="str">
        <f t="shared" si="96"/>
        <v>t</v>
      </c>
      <c r="AF112" s="326">
        <f t="shared" si="97"/>
        <v>1</v>
      </c>
      <c r="AG112" s="601"/>
      <c r="AH112" s="601"/>
      <c r="AI112" s="601"/>
      <c r="AJ112" s="601"/>
      <c r="AK112" s="601"/>
      <c r="AL112" s="601"/>
      <c r="AM112" s="601"/>
      <c r="AN112" s="601"/>
      <c r="AO112" s="601"/>
      <c r="AP112" s="601"/>
      <c r="AQ112" s="601"/>
      <c r="AR112" s="601"/>
      <c r="AS112" s="601"/>
      <c r="AT112" s="601"/>
      <c r="AU112" s="326">
        <f t="shared" si="98"/>
        <v>386750</v>
      </c>
      <c r="AV112" s="326">
        <f t="shared" si="99"/>
        <v>68250</v>
      </c>
      <c r="AW112" s="325">
        <v>0</v>
      </c>
      <c r="AX112" s="326">
        <v>0</v>
      </c>
      <c r="AY112" s="326">
        <v>0</v>
      </c>
      <c r="AZ112" s="24"/>
      <c r="BA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row>
    <row r="113" spans="1:75" ht="14" x14ac:dyDescent="0.3">
      <c r="C113" s="563">
        <v>1</v>
      </c>
      <c r="D113" s="528"/>
      <c r="E113" s="528"/>
      <c r="F113" s="788"/>
      <c r="G113" s="789"/>
      <c r="H113" s="788"/>
      <c r="I113" s="789"/>
      <c r="J113" s="788"/>
      <c r="K113" s="789"/>
      <c r="L113" s="789"/>
      <c r="M113" s="789"/>
      <c r="N113" s="788"/>
      <c r="O113" s="789"/>
      <c r="P113" s="788"/>
      <c r="Q113" s="789"/>
      <c r="R113" s="574"/>
      <c r="S113" s="534" t="s">
        <v>99</v>
      </c>
      <c r="T113" s="535"/>
      <c r="U113" s="535"/>
      <c r="V113" s="572"/>
      <c r="W113" s="534" t="str">
        <f t="shared" si="93"/>
        <v>g/Nm3</v>
      </c>
      <c r="X113" s="571"/>
      <c r="Y113" s="534" t="str">
        <f t="shared" si="94"/>
        <v>h/period</v>
      </c>
      <c r="Z113" s="571"/>
      <c r="AA113" s="534" t="str">
        <f t="shared" si="95"/>
        <v>1000Nm3/h</v>
      </c>
      <c r="AB113" s="535"/>
      <c r="AC113" s="535"/>
      <c r="AD113" s="537" t="str">
        <f>IF(E113="","",V113*X113*Z113/1000*(1-R113/100))</f>
        <v/>
      </c>
      <c r="AE113" s="534" t="str">
        <f t="shared" si="96"/>
        <v>t</v>
      </c>
      <c r="AF113" s="537" t="str">
        <f t="shared" si="97"/>
        <v/>
      </c>
      <c r="AG113" s="573"/>
      <c r="AH113" s="573"/>
      <c r="AI113" s="573"/>
      <c r="AJ113" s="573"/>
      <c r="AK113" s="573"/>
      <c r="AL113" s="573"/>
      <c r="AM113" s="573"/>
      <c r="AN113" s="573"/>
      <c r="AO113" s="573"/>
      <c r="AP113" s="573"/>
      <c r="AQ113" s="573"/>
      <c r="AR113" s="573"/>
      <c r="AS113" s="573"/>
      <c r="AT113" s="573"/>
      <c r="AU113" s="537" t="str">
        <f>IF(E113="","",V113*X113*Z113/1000*(1-R113/100)*AF113)</f>
        <v/>
      </c>
      <c r="AV113" s="537" t="str">
        <f>IF(E113="","",V113*X113*Z113/1000*(R113/100)*AF113)</f>
        <v/>
      </c>
      <c r="AW113" s="535"/>
      <c r="AX113" s="574"/>
      <c r="AY113" s="574"/>
      <c r="AZ113" s="24"/>
      <c r="BA113" s="102" t="str">
        <f t="shared" ref="BA113:BA122" si="100">IF(E113=INDEX(CONST_CEMSType,2),CONST_CNTR_SUM_N2O,CONST_CNTR_SUM_CO2)</f>
        <v>SUM_CO2</v>
      </c>
      <c r="BC113" s="25"/>
      <c r="BD113" s="25"/>
      <c r="BE113" s="25"/>
      <c r="BF113" s="25"/>
      <c r="BG113" s="25"/>
      <c r="BH113" s="25"/>
      <c r="BI113" s="25"/>
      <c r="BJ113" s="25"/>
      <c r="BK113" s="25"/>
      <c r="BL113" s="25"/>
      <c r="BM113" s="25"/>
      <c r="BN113" s="25"/>
      <c r="BO113" s="25"/>
      <c r="BP113" s="25"/>
      <c r="BQ113" s="25"/>
      <c r="BR113" s="25"/>
      <c r="BS113" s="25"/>
      <c r="BT113" s="25"/>
      <c r="BU113" s="25"/>
      <c r="BV113" s="25"/>
      <c r="BW113" s="124" t="b">
        <f t="shared" ref="BW113:BW122" si="101">AND(CNTR_HasEntriesA,D113="")</f>
        <v>0</v>
      </c>
    </row>
    <row r="114" spans="1:75" ht="14" x14ac:dyDescent="0.3">
      <c r="C114" s="565">
        <v>2</v>
      </c>
      <c r="D114" s="540"/>
      <c r="E114" s="540"/>
      <c r="F114" s="790"/>
      <c r="G114" s="791"/>
      <c r="H114" s="790"/>
      <c r="I114" s="791"/>
      <c r="J114" s="790"/>
      <c r="K114" s="791"/>
      <c r="L114" s="791"/>
      <c r="M114" s="791"/>
      <c r="N114" s="790"/>
      <c r="O114" s="791"/>
      <c r="P114" s="790"/>
      <c r="Q114" s="791"/>
      <c r="R114" s="578"/>
      <c r="S114" s="546" t="s">
        <v>99</v>
      </c>
      <c r="T114" s="547"/>
      <c r="U114" s="547"/>
      <c r="V114" s="576"/>
      <c r="W114" s="546" t="str">
        <f t="shared" si="93"/>
        <v>g/Nm3</v>
      </c>
      <c r="X114" s="575"/>
      <c r="Y114" s="546" t="str">
        <f t="shared" si="94"/>
        <v>h/period</v>
      </c>
      <c r="Z114" s="575"/>
      <c r="AA114" s="546" t="str">
        <f t="shared" si="95"/>
        <v>1000Nm3/h</v>
      </c>
      <c r="AB114" s="547"/>
      <c r="AC114" s="547"/>
      <c r="AD114" s="549" t="str">
        <f>IF(E114="","",V114*X114*Z114/1000*(1-R114/100))</f>
        <v/>
      </c>
      <c r="AE114" s="546" t="str">
        <f t="shared" si="96"/>
        <v>t</v>
      </c>
      <c r="AF114" s="549" t="str">
        <f t="shared" si="97"/>
        <v/>
      </c>
      <c r="AG114" s="577"/>
      <c r="AH114" s="577"/>
      <c r="AI114" s="577"/>
      <c r="AJ114" s="577"/>
      <c r="AK114" s="577"/>
      <c r="AL114" s="577"/>
      <c r="AM114" s="577"/>
      <c r="AN114" s="577"/>
      <c r="AO114" s="577"/>
      <c r="AP114" s="577"/>
      <c r="AQ114" s="577"/>
      <c r="AR114" s="577"/>
      <c r="AS114" s="577"/>
      <c r="AT114" s="577"/>
      <c r="AU114" s="549" t="str">
        <f>IF(E114="","",V114*X114*Z114/1000*(1-R114/100)*AF114)</f>
        <v/>
      </c>
      <c r="AV114" s="549" t="str">
        <f>IF(E114="","",V114*X114*Z114/1000*(R114/100)*AF114)</f>
        <v/>
      </c>
      <c r="AW114" s="547"/>
      <c r="AX114" s="578"/>
      <c r="AY114" s="578"/>
      <c r="AZ114" s="24"/>
      <c r="BA114" s="102" t="str">
        <f t="shared" si="100"/>
        <v>SUM_CO2</v>
      </c>
      <c r="BC114" s="25"/>
      <c r="BD114" s="25"/>
      <c r="BE114" s="25"/>
      <c r="BF114" s="25"/>
      <c r="BG114" s="25"/>
      <c r="BH114" s="25"/>
      <c r="BI114" s="25"/>
      <c r="BJ114" s="25"/>
      <c r="BK114" s="25"/>
      <c r="BL114" s="25"/>
      <c r="BM114" s="25"/>
      <c r="BN114" s="25"/>
      <c r="BO114" s="25"/>
      <c r="BP114" s="25"/>
      <c r="BQ114" s="25"/>
      <c r="BR114" s="25"/>
      <c r="BS114" s="25"/>
      <c r="BT114" s="25"/>
      <c r="BU114" s="25"/>
      <c r="BV114" s="25"/>
      <c r="BW114" s="124" t="b">
        <f t="shared" si="101"/>
        <v>0</v>
      </c>
    </row>
    <row r="115" spans="1:75" ht="14" x14ac:dyDescent="0.3">
      <c r="C115" s="565">
        <v>3</v>
      </c>
      <c r="D115" s="540"/>
      <c r="E115" s="540"/>
      <c r="F115" s="790"/>
      <c r="G115" s="791"/>
      <c r="H115" s="790"/>
      <c r="I115" s="791"/>
      <c r="J115" s="790"/>
      <c r="K115" s="791"/>
      <c r="L115" s="791"/>
      <c r="M115" s="791"/>
      <c r="N115" s="790"/>
      <c r="O115" s="791"/>
      <c r="P115" s="790"/>
      <c r="Q115" s="791"/>
      <c r="R115" s="578"/>
      <c r="S115" s="546" t="s">
        <v>99</v>
      </c>
      <c r="T115" s="547"/>
      <c r="U115" s="547"/>
      <c r="V115" s="576"/>
      <c r="W115" s="546" t="str">
        <f t="shared" si="93"/>
        <v>g/Nm3</v>
      </c>
      <c r="X115" s="575"/>
      <c r="Y115" s="546" t="str">
        <f t="shared" si="94"/>
        <v>h/period</v>
      </c>
      <c r="Z115" s="575"/>
      <c r="AA115" s="546" t="str">
        <f t="shared" si="95"/>
        <v>1000Nm3/h</v>
      </c>
      <c r="AB115" s="547"/>
      <c r="AC115" s="547"/>
      <c r="AD115" s="549" t="str">
        <f t="shared" ref="AD115:AD122" si="102">IF(E115="","",V115*X115*Z115/1000*(1-R115/100))</f>
        <v/>
      </c>
      <c r="AE115" s="546" t="str">
        <f t="shared" si="96"/>
        <v>t</v>
      </c>
      <c r="AF115" s="549" t="str">
        <f t="shared" si="97"/>
        <v/>
      </c>
      <c r="AG115" s="577"/>
      <c r="AH115" s="577"/>
      <c r="AI115" s="577"/>
      <c r="AJ115" s="577"/>
      <c r="AK115" s="577"/>
      <c r="AL115" s="577"/>
      <c r="AM115" s="577"/>
      <c r="AN115" s="577"/>
      <c r="AO115" s="577"/>
      <c r="AP115" s="577"/>
      <c r="AQ115" s="577"/>
      <c r="AR115" s="577"/>
      <c r="AS115" s="577"/>
      <c r="AT115" s="577"/>
      <c r="AU115" s="549" t="str">
        <f t="shared" ref="AU115:AU122" si="103">IF(E115="","",V115*X115*Z115/1000*(1-R115/100)*AF115)</f>
        <v/>
      </c>
      <c r="AV115" s="549" t="str">
        <f t="shared" ref="AV115:AV122" si="104">IF(E115="","",V115*X115*Z115/1000*(R115/100)*AF115)</f>
        <v/>
      </c>
      <c r="AW115" s="547"/>
      <c r="AX115" s="578"/>
      <c r="AY115" s="578"/>
      <c r="AZ115" s="24"/>
      <c r="BA115" s="102" t="str">
        <f t="shared" si="100"/>
        <v>SUM_CO2</v>
      </c>
      <c r="BC115" s="25"/>
      <c r="BD115" s="25"/>
      <c r="BE115" s="25"/>
      <c r="BF115" s="25"/>
      <c r="BG115" s="25"/>
      <c r="BH115" s="25"/>
      <c r="BI115" s="25"/>
      <c r="BJ115" s="25"/>
      <c r="BK115" s="25"/>
      <c r="BL115" s="25"/>
      <c r="BM115" s="25"/>
      <c r="BN115" s="25"/>
      <c r="BO115" s="25"/>
      <c r="BP115" s="25"/>
      <c r="BQ115" s="25"/>
      <c r="BR115" s="25"/>
      <c r="BS115" s="25"/>
      <c r="BT115" s="25"/>
      <c r="BU115" s="25"/>
      <c r="BV115" s="25"/>
      <c r="BW115" s="124" t="b">
        <f t="shared" si="101"/>
        <v>0</v>
      </c>
    </row>
    <row r="116" spans="1:75" ht="14" x14ac:dyDescent="0.3">
      <c r="C116" s="565">
        <v>4</v>
      </c>
      <c r="D116" s="540"/>
      <c r="E116" s="540"/>
      <c r="F116" s="790"/>
      <c r="G116" s="791"/>
      <c r="H116" s="790"/>
      <c r="I116" s="791"/>
      <c r="J116" s="790"/>
      <c r="K116" s="791"/>
      <c r="L116" s="791"/>
      <c r="M116" s="791"/>
      <c r="N116" s="790"/>
      <c r="O116" s="791"/>
      <c r="P116" s="790"/>
      <c r="Q116" s="791"/>
      <c r="R116" s="578"/>
      <c r="S116" s="546" t="s">
        <v>99</v>
      </c>
      <c r="T116" s="547"/>
      <c r="U116" s="547"/>
      <c r="V116" s="576"/>
      <c r="W116" s="546" t="str">
        <f t="shared" si="93"/>
        <v>g/Nm3</v>
      </c>
      <c r="X116" s="575"/>
      <c r="Y116" s="546" t="str">
        <f t="shared" si="94"/>
        <v>h/period</v>
      </c>
      <c r="Z116" s="575"/>
      <c r="AA116" s="546" t="str">
        <f t="shared" si="95"/>
        <v>1000Nm3/h</v>
      </c>
      <c r="AB116" s="547"/>
      <c r="AC116" s="547"/>
      <c r="AD116" s="549" t="str">
        <f t="shared" si="102"/>
        <v/>
      </c>
      <c r="AE116" s="546" t="str">
        <f t="shared" si="96"/>
        <v>t</v>
      </c>
      <c r="AF116" s="549" t="str">
        <f t="shared" si="97"/>
        <v/>
      </c>
      <c r="AG116" s="577"/>
      <c r="AH116" s="577"/>
      <c r="AI116" s="577"/>
      <c r="AJ116" s="577"/>
      <c r="AK116" s="577"/>
      <c r="AL116" s="577"/>
      <c r="AM116" s="577"/>
      <c r="AN116" s="577"/>
      <c r="AO116" s="577"/>
      <c r="AP116" s="577"/>
      <c r="AQ116" s="577"/>
      <c r="AR116" s="577"/>
      <c r="AS116" s="577"/>
      <c r="AT116" s="577"/>
      <c r="AU116" s="549" t="str">
        <f t="shared" si="103"/>
        <v/>
      </c>
      <c r="AV116" s="549" t="str">
        <f t="shared" si="104"/>
        <v/>
      </c>
      <c r="AW116" s="547"/>
      <c r="AX116" s="578"/>
      <c r="AY116" s="578"/>
      <c r="AZ116" s="24"/>
      <c r="BA116" s="102" t="str">
        <f t="shared" si="100"/>
        <v>SUM_CO2</v>
      </c>
      <c r="BC116" s="25"/>
      <c r="BD116" s="25"/>
      <c r="BE116" s="25"/>
      <c r="BF116" s="25"/>
      <c r="BG116" s="25"/>
      <c r="BH116" s="25"/>
      <c r="BI116" s="25"/>
      <c r="BJ116" s="25"/>
      <c r="BK116" s="25"/>
      <c r="BL116" s="25"/>
      <c r="BM116" s="25"/>
      <c r="BN116" s="25"/>
      <c r="BO116" s="25"/>
      <c r="BP116" s="25"/>
      <c r="BQ116" s="25"/>
      <c r="BR116" s="25"/>
      <c r="BS116" s="25"/>
      <c r="BT116" s="25"/>
      <c r="BU116" s="25"/>
      <c r="BV116" s="25"/>
      <c r="BW116" s="124" t="b">
        <f t="shared" si="101"/>
        <v>0</v>
      </c>
    </row>
    <row r="117" spans="1:75" ht="14" x14ac:dyDescent="0.3">
      <c r="C117" s="565">
        <v>5</v>
      </c>
      <c r="D117" s="540"/>
      <c r="E117" s="540"/>
      <c r="F117" s="790"/>
      <c r="G117" s="791"/>
      <c r="H117" s="790"/>
      <c r="I117" s="791"/>
      <c r="J117" s="790"/>
      <c r="K117" s="791"/>
      <c r="L117" s="791"/>
      <c r="M117" s="791"/>
      <c r="N117" s="790"/>
      <c r="O117" s="791"/>
      <c r="P117" s="790"/>
      <c r="Q117" s="791"/>
      <c r="R117" s="578"/>
      <c r="S117" s="546" t="s">
        <v>99</v>
      </c>
      <c r="T117" s="547"/>
      <c r="U117" s="547"/>
      <c r="V117" s="576"/>
      <c r="W117" s="546" t="str">
        <f t="shared" si="93"/>
        <v>g/Nm3</v>
      </c>
      <c r="X117" s="575"/>
      <c r="Y117" s="546" t="str">
        <f t="shared" si="94"/>
        <v>h/period</v>
      </c>
      <c r="Z117" s="575"/>
      <c r="AA117" s="546" t="str">
        <f t="shared" si="95"/>
        <v>1000Nm3/h</v>
      </c>
      <c r="AB117" s="547"/>
      <c r="AC117" s="547"/>
      <c r="AD117" s="549" t="str">
        <f t="shared" si="102"/>
        <v/>
      </c>
      <c r="AE117" s="546" t="str">
        <f t="shared" si="96"/>
        <v>t</v>
      </c>
      <c r="AF117" s="549" t="str">
        <f t="shared" si="97"/>
        <v/>
      </c>
      <c r="AG117" s="577"/>
      <c r="AH117" s="577"/>
      <c r="AI117" s="577"/>
      <c r="AJ117" s="577"/>
      <c r="AK117" s="577"/>
      <c r="AL117" s="577"/>
      <c r="AM117" s="577"/>
      <c r="AN117" s="577"/>
      <c r="AO117" s="577"/>
      <c r="AP117" s="577"/>
      <c r="AQ117" s="577"/>
      <c r="AR117" s="577"/>
      <c r="AS117" s="577"/>
      <c r="AT117" s="577"/>
      <c r="AU117" s="549" t="str">
        <f t="shared" si="103"/>
        <v/>
      </c>
      <c r="AV117" s="549" t="str">
        <f t="shared" si="104"/>
        <v/>
      </c>
      <c r="AW117" s="547"/>
      <c r="AX117" s="578"/>
      <c r="AY117" s="578"/>
      <c r="AZ117" s="24"/>
      <c r="BA117" s="102" t="str">
        <f t="shared" si="100"/>
        <v>SUM_CO2</v>
      </c>
      <c r="BC117" s="25"/>
      <c r="BD117" s="25"/>
      <c r="BE117" s="25"/>
      <c r="BF117" s="25"/>
      <c r="BG117" s="25"/>
      <c r="BH117" s="25"/>
      <c r="BI117" s="25"/>
      <c r="BJ117" s="25"/>
      <c r="BK117" s="25"/>
      <c r="BL117" s="25"/>
      <c r="BM117" s="25"/>
      <c r="BN117" s="25"/>
      <c r="BO117" s="25"/>
      <c r="BP117" s="25"/>
      <c r="BQ117" s="25"/>
      <c r="BR117" s="25"/>
      <c r="BS117" s="25"/>
      <c r="BT117" s="25"/>
      <c r="BU117" s="25"/>
      <c r="BV117" s="25"/>
      <c r="BW117" s="124" t="b">
        <f t="shared" si="101"/>
        <v>0</v>
      </c>
    </row>
    <row r="118" spans="1:75" ht="14" x14ac:dyDescent="0.3">
      <c r="C118" s="565">
        <v>6</v>
      </c>
      <c r="D118" s="540"/>
      <c r="E118" s="540"/>
      <c r="F118" s="790"/>
      <c r="G118" s="791"/>
      <c r="H118" s="790"/>
      <c r="I118" s="791"/>
      <c r="J118" s="790"/>
      <c r="K118" s="791"/>
      <c r="L118" s="791"/>
      <c r="M118" s="791"/>
      <c r="N118" s="790"/>
      <c r="O118" s="791"/>
      <c r="P118" s="790"/>
      <c r="Q118" s="791"/>
      <c r="R118" s="578"/>
      <c r="S118" s="546" t="s">
        <v>99</v>
      </c>
      <c r="T118" s="547"/>
      <c r="U118" s="547"/>
      <c r="V118" s="576"/>
      <c r="W118" s="546" t="str">
        <f t="shared" si="93"/>
        <v>g/Nm3</v>
      </c>
      <c r="X118" s="575"/>
      <c r="Y118" s="546" t="str">
        <f t="shared" si="94"/>
        <v>h/period</v>
      </c>
      <c r="Z118" s="575"/>
      <c r="AA118" s="546" t="str">
        <f t="shared" si="95"/>
        <v>1000Nm3/h</v>
      </c>
      <c r="AB118" s="547"/>
      <c r="AC118" s="547"/>
      <c r="AD118" s="549" t="str">
        <f t="shared" si="102"/>
        <v/>
      </c>
      <c r="AE118" s="546" t="str">
        <f t="shared" si="96"/>
        <v>t</v>
      </c>
      <c r="AF118" s="549" t="str">
        <f t="shared" si="97"/>
        <v/>
      </c>
      <c r="AG118" s="577"/>
      <c r="AH118" s="577"/>
      <c r="AI118" s="577"/>
      <c r="AJ118" s="577"/>
      <c r="AK118" s="577"/>
      <c r="AL118" s="577"/>
      <c r="AM118" s="577"/>
      <c r="AN118" s="577"/>
      <c r="AO118" s="577"/>
      <c r="AP118" s="577"/>
      <c r="AQ118" s="577"/>
      <c r="AR118" s="577"/>
      <c r="AS118" s="577"/>
      <c r="AT118" s="577"/>
      <c r="AU118" s="549" t="str">
        <f t="shared" si="103"/>
        <v/>
      </c>
      <c r="AV118" s="549" t="str">
        <f t="shared" si="104"/>
        <v/>
      </c>
      <c r="AW118" s="547"/>
      <c r="AX118" s="578"/>
      <c r="AY118" s="578"/>
      <c r="AZ118" s="24"/>
      <c r="BA118" s="102" t="str">
        <f t="shared" si="100"/>
        <v>SUM_CO2</v>
      </c>
      <c r="BC118" s="25"/>
      <c r="BD118" s="25"/>
      <c r="BE118" s="25"/>
      <c r="BF118" s="25"/>
      <c r="BG118" s="25"/>
      <c r="BH118" s="25"/>
      <c r="BI118" s="25"/>
      <c r="BJ118" s="25"/>
      <c r="BK118" s="25"/>
      <c r="BL118" s="25"/>
      <c r="BM118" s="25"/>
      <c r="BN118" s="25"/>
      <c r="BO118" s="25"/>
      <c r="BP118" s="25"/>
      <c r="BQ118" s="25"/>
      <c r="BR118" s="25"/>
      <c r="BS118" s="25"/>
      <c r="BT118" s="25"/>
      <c r="BU118" s="25"/>
      <c r="BV118" s="25"/>
      <c r="BW118" s="124" t="b">
        <f t="shared" si="101"/>
        <v>0</v>
      </c>
    </row>
    <row r="119" spans="1:75" ht="14" x14ac:dyDescent="0.3">
      <c r="C119" s="565">
        <v>7</v>
      </c>
      <c r="D119" s="540"/>
      <c r="E119" s="540"/>
      <c r="F119" s="790"/>
      <c r="G119" s="791"/>
      <c r="H119" s="790"/>
      <c r="I119" s="791"/>
      <c r="J119" s="790"/>
      <c r="K119" s="791"/>
      <c r="L119" s="791"/>
      <c r="M119" s="791"/>
      <c r="N119" s="790"/>
      <c r="O119" s="791"/>
      <c r="P119" s="790"/>
      <c r="Q119" s="791"/>
      <c r="R119" s="578"/>
      <c r="S119" s="546" t="s">
        <v>99</v>
      </c>
      <c r="T119" s="547"/>
      <c r="U119" s="547"/>
      <c r="V119" s="576"/>
      <c r="W119" s="546" t="str">
        <f t="shared" si="93"/>
        <v>g/Nm3</v>
      </c>
      <c r="X119" s="575"/>
      <c r="Y119" s="546" t="str">
        <f t="shared" si="94"/>
        <v>h/period</v>
      </c>
      <c r="Z119" s="575"/>
      <c r="AA119" s="546" t="str">
        <f t="shared" si="95"/>
        <v>1000Nm3/h</v>
      </c>
      <c r="AB119" s="547"/>
      <c r="AC119" s="547"/>
      <c r="AD119" s="549" t="str">
        <f t="shared" si="102"/>
        <v/>
      </c>
      <c r="AE119" s="546" t="str">
        <f t="shared" si="96"/>
        <v>t</v>
      </c>
      <c r="AF119" s="549" t="str">
        <f t="shared" si="97"/>
        <v/>
      </c>
      <c r="AG119" s="577"/>
      <c r="AH119" s="577"/>
      <c r="AI119" s="577"/>
      <c r="AJ119" s="577"/>
      <c r="AK119" s="577"/>
      <c r="AL119" s="577"/>
      <c r="AM119" s="577"/>
      <c r="AN119" s="577"/>
      <c r="AO119" s="577"/>
      <c r="AP119" s="577"/>
      <c r="AQ119" s="577"/>
      <c r="AR119" s="577"/>
      <c r="AS119" s="577"/>
      <c r="AT119" s="577"/>
      <c r="AU119" s="549" t="str">
        <f t="shared" si="103"/>
        <v/>
      </c>
      <c r="AV119" s="549" t="str">
        <f t="shared" si="104"/>
        <v/>
      </c>
      <c r="AW119" s="547"/>
      <c r="AX119" s="578"/>
      <c r="AY119" s="578"/>
      <c r="AZ119" s="24"/>
      <c r="BA119" s="102" t="str">
        <f t="shared" si="100"/>
        <v>SUM_CO2</v>
      </c>
      <c r="BC119" s="25"/>
      <c r="BD119" s="25"/>
      <c r="BE119" s="25"/>
      <c r="BF119" s="25"/>
      <c r="BG119" s="25"/>
      <c r="BH119" s="25"/>
      <c r="BI119" s="25"/>
      <c r="BJ119" s="25"/>
      <c r="BK119" s="25"/>
      <c r="BL119" s="25"/>
      <c r="BM119" s="25"/>
      <c r="BN119" s="25"/>
      <c r="BO119" s="25"/>
      <c r="BP119" s="25"/>
      <c r="BQ119" s="25"/>
      <c r="BR119" s="25"/>
      <c r="BS119" s="25"/>
      <c r="BT119" s="25"/>
      <c r="BU119" s="25"/>
      <c r="BV119" s="25"/>
      <c r="BW119" s="124" t="b">
        <f t="shared" si="101"/>
        <v>0</v>
      </c>
    </row>
    <row r="120" spans="1:75" ht="14" x14ac:dyDescent="0.3">
      <c r="C120" s="565">
        <v>8</v>
      </c>
      <c r="D120" s="540"/>
      <c r="E120" s="540"/>
      <c r="F120" s="790"/>
      <c r="G120" s="791"/>
      <c r="H120" s="790"/>
      <c r="I120" s="791"/>
      <c r="J120" s="790"/>
      <c r="K120" s="791"/>
      <c r="L120" s="791"/>
      <c r="M120" s="791"/>
      <c r="N120" s="790"/>
      <c r="O120" s="791"/>
      <c r="P120" s="790"/>
      <c r="Q120" s="791"/>
      <c r="R120" s="578"/>
      <c r="S120" s="546" t="s">
        <v>99</v>
      </c>
      <c r="T120" s="547"/>
      <c r="U120" s="547"/>
      <c r="V120" s="576"/>
      <c r="W120" s="546" t="str">
        <f t="shared" si="93"/>
        <v>g/Nm3</v>
      </c>
      <c r="X120" s="575"/>
      <c r="Y120" s="546" t="str">
        <f t="shared" si="94"/>
        <v>h/period</v>
      </c>
      <c r="Z120" s="575"/>
      <c r="AA120" s="546" t="str">
        <f t="shared" si="95"/>
        <v>1000Nm3/h</v>
      </c>
      <c r="AB120" s="547"/>
      <c r="AC120" s="547"/>
      <c r="AD120" s="549" t="str">
        <f t="shared" si="102"/>
        <v/>
      </c>
      <c r="AE120" s="546" t="str">
        <f t="shared" si="96"/>
        <v>t</v>
      </c>
      <c r="AF120" s="549" t="str">
        <f t="shared" si="97"/>
        <v/>
      </c>
      <c r="AG120" s="577"/>
      <c r="AH120" s="577"/>
      <c r="AI120" s="577"/>
      <c r="AJ120" s="577"/>
      <c r="AK120" s="577"/>
      <c r="AL120" s="577"/>
      <c r="AM120" s="577"/>
      <c r="AN120" s="577"/>
      <c r="AO120" s="577"/>
      <c r="AP120" s="577"/>
      <c r="AQ120" s="577"/>
      <c r="AR120" s="577"/>
      <c r="AS120" s="577"/>
      <c r="AT120" s="577"/>
      <c r="AU120" s="549" t="str">
        <f t="shared" si="103"/>
        <v/>
      </c>
      <c r="AV120" s="549" t="str">
        <f t="shared" si="104"/>
        <v/>
      </c>
      <c r="AW120" s="547"/>
      <c r="AX120" s="578"/>
      <c r="AY120" s="578"/>
      <c r="AZ120" s="24"/>
      <c r="BA120" s="102" t="str">
        <f t="shared" si="100"/>
        <v>SUM_CO2</v>
      </c>
      <c r="BC120" s="25"/>
      <c r="BD120" s="25"/>
      <c r="BE120" s="25"/>
      <c r="BF120" s="25"/>
      <c r="BG120" s="25"/>
      <c r="BH120" s="25"/>
      <c r="BI120" s="25"/>
      <c r="BJ120" s="25"/>
      <c r="BK120" s="25"/>
      <c r="BL120" s="25"/>
      <c r="BM120" s="25"/>
      <c r="BN120" s="25"/>
      <c r="BO120" s="25"/>
      <c r="BP120" s="25"/>
      <c r="BQ120" s="25"/>
      <c r="BR120" s="25"/>
      <c r="BS120" s="25"/>
      <c r="BT120" s="25"/>
      <c r="BU120" s="25"/>
      <c r="BV120" s="25"/>
      <c r="BW120" s="124" t="b">
        <f t="shared" si="101"/>
        <v>0</v>
      </c>
    </row>
    <row r="121" spans="1:75" ht="14" x14ac:dyDescent="0.3">
      <c r="C121" s="565">
        <v>9</v>
      </c>
      <c r="D121" s="540"/>
      <c r="E121" s="540"/>
      <c r="F121" s="790"/>
      <c r="G121" s="791"/>
      <c r="H121" s="790"/>
      <c r="I121" s="791"/>
      <c r="J121" s="790"/>
      <c r="K121" s="791"/>
      <c r="L121" s="791"/>
      <c r="M121" s="791"/>
      <c r="N121" s="790"/>
      <c r="O121" s="791"/>
      <c r="P121" s="790"/>
      <c r="Q121" s="791"/>
      <c r="R121" s="578"/>
      <c r="S121" s="546" t="s">
        <v>99</v>
      </c>
      <c r="T121" s="547"/>
      <c r="U121" s="547"/>
      <c r="V121" s="576"/>
      <c r="W121" s="546" t="str">
        <f t="shared" si="93"/>
        <v>g/Nm3</v>
      </c>
      <c r="X121" s="575"/>
      <c r="Y121" s="546" t="str">
        <f t="shared" si="94"/>
        <v>h/period</v>
      </c>
      <c r="Z121" s="575"/>
      <c r="AA121" s="546" t="str">
        <f t="shared" si="95"/>
        <v>1000Nm3/h</v>
      </c>
      <c r="AB121" s="547"/>
      <c r="AC121" s="547"/>
      <c r="AD121" s="549" t="str">
        <f t="shared" si="102"/>
        <v/>
      </c>
      <c r="AE121" s="546" t="str">
        <f t="shared" si="96"/>
        <v>t</v>
      </c>
      <c r="AF121" s="549" t="str">
        <f t="shared" si="97"/>
        <v/>
      </c>
      <c r="AG121" s="577"/>
      <c r="AH121" s="577"/>
      <c r="AI121" s="577"/>
      <c r="AJ121" s="577"/>
      <c r="AK121" s="577"/>
      <c r="AL121" s="577"/>
      <c r="AM121" s="577"/>
      <c r="AN121" s="577"/>
      <c r="AO121" s="577"/>
      <c r="AP121" s="577"/>
      <c r="AQ121" s="577"/>
      <c r="AR121" s="577"/>
      <c r="AS121" s="577"/>
      <c r="AT121" s="577"/>
      <c r="AU121" s="549" t="str">
        <f t="shared" si="103"/>
        <v/>
      </c>
      <c r="AV121" s="549" t="str">
        <f t="shared" si="104"/>
        <v/>
      </c>
      <c r="AW121" s="547"/>
      <c r="AX121" s="578"/>
      <c r="AY121" s="578"/>
      <c r="AZ121" s="24"/>
      <c r="BA121" s="102" t="str">
        <f t="shared" si="100"/>
        <v>SUM_CO2</v>
      </c>
      <c r="BC121" s="25"/>
      <c r="BD121" s="25"/>
      <c r="BE121" s="25"/>
      <c r="BF121" s="25"/>
      <c r="BG121" s="25"/>
      <c r="BH121" s="25"/>
      <c r="BI121" s="25"/>
      <c r="BJ121" s="25"/>
      <c r="BK121" s="25"/>
      <c r="BL121" s="25"/>
      <c r="BM121" s="25"/>
      <c r="BN121" s="25"/>
      <c r="BO121" s="25"/>
      <c r="BP121" s="25"/>
      <c r="BQ121" s="25"/>
      <c r="BR121" s="25"/>
      <c r="BS121" s="25"/>
      <c r="BT121" s="25"/>
      <c r="BU121" s="25"/>
      <c r="BV121" s="25"/>
      <c r="BW121" s="124" t="b">
        <f t="shared" si="101"/>
        <v>0</v>
      </c>
    </row>
    <row r="122" spans="1:75" ht="14" x14ac:dyDescent="0.3">
      <c r="C122" s="568">
        <v>10</v>
      </c>
      <c r="D122" s="552"/>
      <c r="E122" s="552"/>
      <c r="F122" s="792"/>
      <c r="G122" s="793"/>
      <c r="H122" s="792"/>
      <c r="I122" s="793"/>
      <c r="J122" s="792"/>
      <c r="K122" s="793"/>
      <c r="L122" s="793"/>
      <c r="M122" s="793"/>
      <c r="N122" s="792"/>
      <c r="O122" s="793"/>
      <c r="P122" s="792"/>
      <c r="Q122" s="793"/>
      <c r="R122" s="582"/>
      <c r="S122" s="558" t="s">
        <v>99</v>
      </c>
      <c r="T122" s="559"/>
      <c r="U122" s="559"/>
      <c r="V122" s="580"/>
      <c r="W122" s="558" t="str">
        <f t="shared" si="93"/>
        <v>g/Nm3</v>
      </c>
      <c r="X122" s="579"/>
      <c r="Y122" s="558" t="str">
        <f t="shared" si="94"/>
        <v>h/period</v>
      </c>
      <c r="Z122" s="579"/>
      <c r="AA122" s="558" t="str">
        <f t="shared" si="95"/>
        <v>1000Nm3/h</v>
      </c>
      <c r="AB122" s="559"/>
      <c r="AC122" s="559"/>
      <c r="AD122" s="561" t="str">
        <f t="shared" si="102"/>
        <v/>
      </c>
      <c r="AE122" s="558" t="str">
        <f t="shared" si="96"/>
        <v>t</v>
      </c>
      <c r="AF122" s="561" t="str">
        <f t="shared" si="97"/>
        <v/>
      </c>
      <c r="AG122" s="581"/>
      <c r="AH122" s="581"/>
      <c r="AI122" s="581"/>
      <c r="AJ122" s="581"/>
      <c r="AK122" s="581"/>
      <c r="AL122" s="581"/>
      <c r="AM122" s="581"/>
      <c r="AN122" s="581"/>
      <c r="AO122" s="581"/>
      <c r="AP122" s="581"/>
      <c r="AQ122" s="581"/>
      <c r="AR122" s="581"/>
      <c r="AS122" s="581"/>
      <c r="AT122" s="581"/>
      <c r="AU122" s="561" t="str">
        <f t="shared" si="103"/>
        <v/>
      </c>
      <c r="AV122" s="561" t="str">
        <f t="shared" si="104"/>
        <v/>
      </c>
      <c r="AW122" s="559"/>
      <c r="AX122" s="582"/>
      <c r="AY122" s="582"/>
      <c r="AZ122" s="24"/>
      <c r="BA122" s="102" t="str">
        <f t="shared" si="100"/>
        <v>SUM_CO2</v>
      </c>
      <c r="BC122" s="25"/>
      <c r="BD122" s="25"/>
      <c r="BE122" s="25"/>
      <c r="BF122" s="25"/>
      <c r="BG122" s="25"/>
      <c r="BH122" s="25"/>
      <c r="BI122" s="25"/>
      <c r="BJ122" s="25"/>
      <c r="BK122" s="25"/>
      <c r="BL122" s="25"/>
      <c r="BM122" s="25"/>
      <c r="BN122" s="25"/>
      <c r="BO122" s="25"/>
      <c r="BP122" s="25"/>
      <c r="BQ122" s="25"/>
      <c r="BR122" s="25"/>
      <c r="BS122" s="25"/>
      <c r="BT122" s="25"/>
      <c r="BU122" s="25"/>
      <c r="BV122" s="25"/>
      <c r="BW122" s="124" t="b">
        <f t="shared" si="101"/>
        <v>0</v>
      </c>
    </row>
    <row r="124" spans="1:75" s="91" customFormat="1" hidden="1" x14ac:dyDescent="0.35">
      <c r="A124" s="91" t="s">
        <v>3</v>
      </c>
      <c r="AZ124" s="91" t="s">
        <v>116</v>
      </c>
    </row>
  </sheetData>
  <sheetProtection sheet="1" objects="1" scenarios="1" formatCells="0" formatColumns="0" formatRows="0"/>
  <mergeCells count="19">
    <mergeCell ref="D10:N10"/>
    <mergeCell ref="M4:N4"/>
    <mergeCell ref="D8:N8"/>
    <mergeCell ref="M2:N2"/>
    <mergeCell ref="E3:F3"/>
    <mergeCell ref="G3:H3"/>
    <mergeCell ref="M3:N3"/>
    <mergeCell ref="D9:K9"/>
    <mergeCell ref="B2:D4"/>
    <mergeCell ref="E2:F2"/>
    <mergeCell ref="G2:H2"/>
    <mergeCell ref="I2:J2"/>
    <mergeCell ref="K2:L2"/>
    <mergeCell ref="E4:F4"/>
    <mergeCell ref="G4:H4"/>
    <mergeCell ref="I4:J4"/>
    <mergeCell ref="K4:L4"/>
    <mergeCell ref="I3:J3"/>
    <mergeCell ref="K3:L3"/>
  </mergeCells>
  <conditionalFormatting sqref="L17:M91">
    <cfRule type="expression" dxfId="545" priority="14">
      <formula>$BM17</formula>
    </cfRule>
  </conditionalFormatting>
  <conditionalFormatting sqref="N17:O91">
    <cfRule type="expression" dxfId="544" priority="13">
      <formula>$BN17</formula>
    </cfRule>
  </conditionalFormatting>
  <conditionalFormatting sqref="P17:Q91">
    <cfRule type="expression" dxfId="543" priority="12">
      <formula>$BO17</formula>
    </cfRule>
  </conditionalFormatting>
  <conditionalFormatting sqref="E17:AY91">
    <cfRule type="expression" dxfId="542" priority="4">
      <formula>$BW17</formula>
    </cfRule>
  </conditionalFormatting>
  <conditionalFormatting sqref="J17:K91">
    <cfRule type="expression" dxfId="541" priority="11">
      <formula>$BL17</formula>
    </cfRule>
  </conditionalFormatting>
  <conditionalFormatting sqref="D98:AY107">
    <cfRule type="expression" dxfId="540" priority="8">
      <formula>$BW98</formula>
    </cfRule>
  </conditionalFormatting>
  <conditionalFormatting sqref="AJ98:AL107">
    <cfRule type="expression" dxfId="539" priority="7">
      <formula>$BK98=1</formula>
    </cfRule>
  </conditionalFormatting>
  <conditionalFormatting sqref="AG98:AI107">
    <cfRule type="expression" dxfId="538" priority="6">
      <formula>$BK98=2</formula>
    </cfRule>
  </conditionalFormatting>
  <conditionalFormatting sqref="AU17:AU91">
    <cfRule type="expression" dxfId="537" priority="5">
      <formula>NOT(ISNUMBER(AU17))</formula>
    </cfRule>
  </conditionalFormatting>
  <conditionalFormatting sqref="H17:H91">
    <cfRule type="expression" dxfId="536" priority="10">
      <formula>$BP17</formula>
    </cfRule>
  </conditionalFormatting>
  <conditionalFormatting sqref="E98:AY107">
    <cfRule type="expression" dxfId="535" priority="3">
      <formula>$BL98=TRUE</formula>
    </cfRule>
  </conditionalFormatting>
  <conditionalFormatting sqref="AN98:AN107">
    <cfRule type="expression" dxfId="534" priority="2">
      <formula>NOT(ISNUMBER(AN98))</formula>
    </cfRule>
  </conditionalFormatting>
  <conditionalFormatting sqref="E113:AY122">
    <cfRule type="expression" dxfId="533" priority="1">
      <formula>$BW113</formula>
    </cfRule>
  </conditionalFormatting>
  <dataValidations count="7">
    <dataValidation type="list" allowBlank="1" showInputMessage="1" showErrorMessage="1" sqref="G17:G91" xr:uid="{00000000-0002-0000-0500-000000000000}">
      <formula1>CONST_torkNm3</formula1>
    </dataValidation>
    <dataValidation type="list" allowBlank="1" showInputMessage="1" showErrorMessage="1" sqref="K17:K91" xr:uid="{00000000-0002-0000-0500-000001000000}">
      <formula1>CONST_tCO2pTJOrtCO2pt</formula1>
    </dataValidation>
    <dataValidation type="list" allowBlank="1" showInputMessage="1" showErrorMessage="1" sqref="E113:E122" xr:uid="{00000000-0002-0000-0500-000002000000}">
      <formula1>CONST_CEMSType</formula1>
    </dataValidation>
    <dataValidation type="list" allowBlank="1" showInputMessage="1" showErrorMessage="1" sqref="D17:D91" xr:uid="{00000000-0002-0000-0500-000003000000}">
      <formula1>CONST_MonitoringApproach</formula1>
    </dataValidation>
    <dataValidation type="list" allowBlank="1" showInputMessage="1" showErrorMessage="1" sqref="D98:D107" xr:uid="{00000000-0002-0000-0500-000004000000}">
      <formula1>CONST_PFCSlopeOrOvervoltage</formula1>
    </dataValidation>
    <dataValidation type="decimal" operator="greaterThanOrEqual" allowBlank="1" showInputMessage="1" showErrorMessage="1" sqref="F98:F107 AG98:AM107 J17:J91 L17:L91 AT98:AT107 X113:X122 V113:V122 H17:H91 Z113:Z122" xr:uid="{00000000-0002-0000-0500-000005000000}">
      <formula1>0</formula1>
    </dataValidation>
    <dataValidation type="decimal" allowBlank="1" showInputMessage="1" showErrorMessage="1" sqref="N17:N91 P17:P91 R113:R122 R17:R91" xr:uid="{00000000-0002-0000-0500-000006000000}">
      <formula1>0</formula1>
      <formula2>100</formula2>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X47"/>
  <sheetViews>
    <sheetView workbookViewId="0">
      <pane ySplit="4" topLeftCell="A5" activePane="bottomLeft" state="frozen"/>
      <selection pane="bottomLeft" activeCell="B5" sqref="B5"/>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4" width="11.453125" style="91" hidden="1" customWidth="1"/>
    <col min="25" max="16384" width="11.453125" style="93"/>
  </cols>
  <sheetData>
    <row r="1" spans="1:24" s="91" customFormat="1" ht="14.15" hidden="1" customHeight="1" thickBot="1" x14ac:dyDescent="0.4">
      <c r="A1" s="905" t="s">
        <v>3</v>
      </c>
      <c r="B1" s="922"/>
      <c r="C1" s="922"/>
      <c r="D1" s="922"/>
      <c r="E1" s="922"/>
      <c r="F1" s="922"/>
      <c r="G1" s="922"/>
      <c r="H1" s="922"/>
      <c r="I1" s="922"/>
      <c r="J1" s="922"/>
      <c r="K1" s="922"/>
      <c r="L1" s="922"/>
      <c r="M1" s="922"/>
      <c r="N1" s="922"/>
      <c r="O1" s="924"/>
      <c r="P1" s="91" t="s">
        <v>3</v>
      </c>
      <c r="Q1" s="91" t="s">
        <v>3</v>
      </c>
      <c r="R1" s="91" t="s">
        <v>3</v>
      </c>
      <c r="S1" s="91" t="s">
        <v>3</v>
      </c>
      <c r="T1" s="91" t="s">
        <v>3</v>
      </c>
      <c r="U1" s="91" t="s">
        <v>3</v>
      </c>
      <c r="V1" s="91" t="s">
        <v>3</v>
      </c>
      <c r="W1" s="91" t="s">
        <v>3</v>
      </c>
      <c r="X1" s="91" t="s">
        <v>3</v>
      </c>
    </row>
    <row r="2" spans="1:24" ht="14.15" customHeight="1" thickBot="1" x14ac:dyDescent="0.4">
      <c r="A2" s="92"/>
      <c r="B2" s="1178" t="str">
        <f>Translations!$B$212</f>
        <v>Energy &amp; Emissions</v>
      </c>
      <c r="C2" s="1179"/>
      <c r="D2" s="1180"/>
      <c r="E2" s="1187" t="str">
        <f>Translations!$B$11</f>
        <v>Navigation Area:</v>
      </c>
      <c r="F2" s="1188"/>
      <c r="G2" s="1189" t="str">
        <f ca="1">HYPERLINK("#"&amp;ADDRESS(2,3,,,a_Contents!$U$2),a_Contents!$B$2)</f>
        <v>Table of contents</v>
      </c>
      <c r="H2" s="1190"/>
      <c r="I2" s="1189" t="str">
        <f ca="1">HYPERLINK("#"&amp;ADDRESS(2,3,,,G_FurtherGuidance!$U$2),G_FurtherGuidance!$B$2)</f>
        <v>Further Guidance</v>
      </c>
      <c r="J2" s="1190"/>
      <c r="K2" s="1189" t="str">
        <f ca="1">HYPERLINK("#"&amp;ADDRESS(2,3,,,Summary_Processes!$Y$2),Summary_Processes!$Y$2)</f>
        <v>Summary_Processes</v>
      </c>
      <c r="L2" s="1190"/>
      <c r="M2" s="1189" t="str">
        <f ca="1">HYPERLINK("#"&amp;ADDRESS(2,3,,,Summary_Products!$BF$2),Summary_Products!$BF$2)</f>
        <v>Summary_Products</v>
      </c>
      <c r="N2" s="1190"/>
      <c r="O2" s="428"/>
      <c r="P2" s="144"/>
      <c r="R2" s="91" t="s">
        <v>114</v>
      </c>
      <c r="S2" s="301" t="str">
        <f>ADDRESS(ROW($B$2),COLUMN($B$2)) &amp; ":" &amp; ADDRESS(MATCH("PRINT",$P:$P,0),COLUMN($O$19))</f>
        <v>$B$2:$O$45</v>
      </c>
      <c r="T2" s="91" t="s">
        <v>25</v>
      </c>
      <c r="U2" s="887" t="str">
        <f ca="1">IF(ISERROR(CELL("filename",V2)),"C_Emissions&amp;Energy",MID(CELL("filename",V2),FIND("]",CELL("filename",V2))+1,1024))</f>
        <v>C_Emissions&amp;Energy</v>
      </c>
    </row>
    <row r="3" spans="1:24" ht="14.15" customHeight="1" x14ac:dyDescent="0.35">
      <c r="A3" s="92"/>
      <c r="B3" s="1181"/>
      <c r="C3" s="1182"/>
      <c r="D3" s="1183"/>
      <c r="E3" s="1174"/>
      <c r="F3" s="1174"/>
      <c r="G3" s="1174" t="str">
        <f>IFERROR(HYPERLINK("#"&amp;ADDRESS(ROW($A$1)+MATCH(R3,$A:$A,0)-1,3),INDEX($R:$R,MATCH(R3,$A:$A,0))),"")</f>
        <v>Fuel balance</v>
      </c>
      <c r="H3" s="1174"/>
      <c r="I3" s="1174" t="str">
        <f>IFERROR(HYPERLINK("#"&amp;ADDRESS(ROW($A$1)+MATCH(T3,$A:$A,0)-1,3),INDEX($R:$R,MATCH(T3,$A:$A,0))),"")</f>
        <v>GHG balance &amp; data quality</v>
      </c>
      <c r="J3" s="1174"/>
      <c r="K3" s="1174"/>
      <c r="L3" s="1174"/>
      <c r="M3" s="1174"/>
      <c r="N3" s="1174"/>
      <c r="O3" s="428"/>
      <c r="P3" s="144"/>
      <c r="R3" s="302">
        <v>1</v>
      </c>
      <c r="S3" s="303"/>
      <c r="T3" s="303">
        <v>2</v>
      </c>
      <c r="U3" s="303"/>
      <c r="V3" s="303"/>
      <c r="W3" s="303"/>
      <c r="X3" s="304"/>
    </row>
    <row r="4" spans="1:24" ht="14.15" customHeight="1" thickBot="1" x14ac:dyDescent="0.4">
      <c r="A4" s="92"/>
      <c r="B4" s="1184"/>
      <c r="C4" s="1185"/>
      <c r="D4" s="1186"/>
      <c r="E4" s="1174"/>
      <c r="F4" s="1174"/>
      <c r="G4" s="1174"/>
      <c r="H4" s="1174"/>
      <c r="I4" s="1174"/>
      <c r="J4" s="1174"/>
      <c r="K4" s="1174"/>
      <c r="L4" s="1174"/>
      <c r="M4" s="1174"/>
      <c r="N4" s="1174"/>
      <c r="O4" s="428"/>
      <c r="P4" s="144"/>
      <c r="R4" s="307"/>
      <c r="S4" s="308"/>
      <c r="T4" s="308"/>
      <c r="U4" s="308"/>
      <c r="V4" s="308"/>
      <c r="W4" s="308"/>
      <c r="X4" s="309"/>
    </row>
    <row r="5" spans="1:24" ht="5.15" customHeight="1" x14ac:dyDescent="0.35">
      <c r="A5" s="92"/>
      <c r="B5" s="144"/>
      <c r="C5" s="144"/>
      <c r="D5" s="144"/>
      <c r="E5" s="144"/>
      <c r="F5" s="144"/>
      <c r="G5" s="144"/>
      <c r="H5" s="144"/>
      <c r="I5" s="144"/>
      <c r="J5" s="144"/>
      <c r="K5" s="144"/>
      <c r="L5" s="144"/>
      <c r="M5" s="144"/>
      <c r="N5" s="144"/>
      <c r="O5" s="428"/>
      <c r="P5" s="144"/>
    </row>
    <row r="6" spans="1:24" ht="25.5" customHeight="1" x14ac:dyDescent="0.35">
      <c r="A6" s="92"/>
      <c r="B6" s="144"/>
      <c r="C6" s="907" t="s">
        <v>434</v>
      </c>
      <c r="D6" s="144"/>
      <c r="E6" s="907" t="str">
        <f>Translations!$B$213</f>
        <v>Sheet "C_Emissions&amp;Energy" - Installation-level GHG emissions and energy consumption</v>
      </c>
      <c r="F6" s="144"/>
      <c r="G6" s="144"/>
      <c r="H6" s="144"/>
      <c r="I6" s="144"/>
      <c r="J6" s="144"/>
      <c r="K6" s="144"/>
      <c r="L6" s="144"/>
      <c r="M6" s="144"/>
      <c r="N6" s="144"/>
      <c r="O6" s="428"/>
      <c r="P6" s="144"/>
      <c r="R6" s="105" t="s">
        <v>153</v>
      </c>
      <c r="S6" s="105" t="s">
        <v>152</v>
      </c>
      <c r="T6" s="123"/>
      <c r="U6" s="123"/>
      <c r="V6" s="105" t="s">
        <v>154</v>
      </c>
      <c r="W6" s="123"/>
      <c r="X6" s="105" t="s">
        <v>138</v>
      </c>
    </row>
    <row r="7" spans="1:24" ht="12.75" customHeight="1" x14ac:dyDescent="0.35">
      <c r="A7" s="92"/>
      <c r="B7" s="144"/>
      <c r="C7" s="144"/>
      <c r="D7" s="144"/>
      <c r="E7" s="144"/>
      <c r="F7" s="144"/>
      <c r="G7" s="144"/>
      <c r="H7" s="144"/>
      <c r="I7" s="144"/>
      <c r="J7" s="144"/>
      <c r="K7" s="144"/>
      <c r="L7" s="144"/>
      <c r="M7" s="144"/>
      <c r="N7" s="144"/>
      <c r="O7" s="428"/>
      <c r="P7" s="144"/>
    </row>
    <row r="8" spans="1:24" ht="18" customHeight="1" x14ac:dyDescent="0.35">
      <c r="A8" s="912">
        <f>C8</f>
        <v>1</v>
      </c>
      <c r="B8" s="144"/>
      <c r="C8" s="908">
        <v>1</v>
      </c>
      <c r="D8" s="909" t="str">
        <f>Translations!$B$215</f>
        <v>Fuel balance</v>
      </c>
      <c r="E8" s="909"/>
      <c r="F8" s="910"/>
      <c r="G8" s="910"/>
      <c r="H8" s="910"/>
      <c r="I8" s="910"/>
      <c r="J8" s="910"/>
      <c r="K8" s="910"/>
      <c r="L8" s="910"/>
      <c r="M8" s="910"/>
      <c r="N8" s="910"/>
      <c r="O8" s="428"/>
      <c r="P8" s="144"/>
      <c r="R8" s="102" t="str">
        <f>D8</f>
        <v>Fuel balance</v>
      </c>
    </row>
    <row r="9" spans="1:24" ht="5.15" customHeight="1" x14ac:dyDescent="0.35">
      <c r="A9" s="92"/>
      <c r="B9" s="144"/>
      <c r="C9" s="144"/>
      <c r="D9" s="144"/>
      <c r="E9" s="144"/>
      <c r="F9" s="144"/>
      <c r="G9" s="144"/>
      <c r="H9" s="144"/>
      <c r="I9" s="144"/>
      <c r="J9" s="144"/>
      <c r="K9" s="144"/>
      <c r="L9" s="144"/>
      <c r="M9" s="144"/>
      <c r="N9" s="144"/>
      <c r="O9" s="428"/>
      <c r="P9" s="144"/>
    </row>
    <row r="10" spans="1:24" ht="12.75" customHeight="1" x14ac:dyDescent="0.35">
      <c r="A10" s="92"/>
      <c r="B10" s="144"/>
      <c r="C10" s="144"/>
      <c r="D10" s="938" t="str">
        <f>Translations!$B$216</f>
        <v>Please enter in the table below the amount of energy consumed for each use type:</v>
      </c>
      <c r="E10" s="938"/>
      <c r="F10" s="938"/>
      <c r="G10" s="938"/>
      <c r="H10" s="938"/>
      <c r="I10" s="938"/>
      <c r="J10" s="938"/>
      <c r="K10" s="938"/>
      <c r="L10" s="938"/>
      <c r="M10" s="938"/>
      <c r="N10" s="938"/>
      <c r="O10" s="428"/>
      <c r="P10" s="144"/>
    </row>
    <row r="11" spans="1:24" ht="25.5" customHeight="1" x14ac:dyDescent="0.35">
      <c r="A11" s="92"/>
      <c r="B11" s="144"/>
      <c r="C11" s="144"/>
      <c r="D11" s="939" t="s">
        <v>206</v>
      </c>
      <c r="E11" s="1292" t="str">
        <f>Translations!$B$217</f>
        <v>Fuel input to all CBAM production processes (including precursors produced within the installation), either directly or via the production of measurable heat (e.g. steam) with the exception of fuel for electricity.</v>
      </c>
      <c r="F11" s="1292"/>
      <c r="G11" s="1292"/>
      <c r="H11" s="1292"/>
      <c r="I11" s="1292"/>
      <c r="J11" s="1292"/>
      <c r="K11" s="1292"/>
      <c r="L11" s="1292"/>
      <c r="M11" s="1292"/>
      <c r="N11" s="1292"/>
      <c r="O11" s="428"/>
      <c r="P11" s="144"/>
    </row>
    <row r="12" spans="1:24" ht="12.75" customHeight="1" x14ac:dyDescent="0.35">
      <c r="A12" s="92"/>
      <c r="B12" s="144"/>
      <c r="C12" s="144"/>
      <c r="D12" s="939" t="s">
        <v>206</v>
      </c>
      <c r="E12" s="1293" t="str">
        <f>Translations!$B$218</f>
        <v>Fuel input for electricity production</v>
      </c>
      <c r="F12" s="1294"/>
      <c r="G12" s="1294"/>
      <c r="H12" s="1294"/>
      <c r="I12" s="1294"/>
      <c r="J12" s="1294"/>
      <c r="K12" s="1294"/>
      <c r="L12" s="1294"/>
      <c r="M12" s="1294"/>
      <c r="N12" s="1294"/>
      <c r="O12" s="428"/>
      <c r="P12" s="144"/>
    </row>
    <row r="13" spans="1:24" ht="12.75" customHeight="1" x14ac:dyDescent="0.35">
      <c r="A13" s="92"/>
      <c r="B13" s="144"/>
      <c r="C13" s="144"/>
      <c r="D13" s="939" t="s">
        <v>206</v>
      </c>
      <c r="E13" s="1293" t="str">
        <f>Translations!$B$219</f>
        <v>Fuel input to all non-CBAM production processes, either directly or via the production of measurable heat (e.g. steam).</v>
      </c>
      <c r="F13" s="1294"/>
      <c r="G13" s="1294"/>
      <c r="H13" s="1294"/>
      <c r="I13" s="1294"/>
      <c r="J13" s="1294"/>
      <c r="K13" s="1294"/>
      <c r="L13" s="1294"/>
      <c r="M13" s="1294"/>
      <c r="N13" s="1294"/>
      <c r="O13" s="428"/>
      <c r="P13" s="144"/>
    </row>
    <row r="14" spans="1:24" s="130" customFormat="1" ht="52.9" customHeight="1" x14ac:dyDescent="0.3">
      <c r="A14" s="940"/>
      <c r="B14" s="937"/>
      <c r="C14" s="937"/>
      <c r="D14" s="941"/>
      <c r="E14" s="942" t="str">
        <f>Translations!$B$220</f>
        <v>Fuel balance:</v>
      </c>
      <c r="F14" s="937"/>
      <c r="G14" s="310" t="str">
        <f>Translations!$B$221</f>
        <v>Unit</v>
      </c>
      <c r="H14" s="310" t="str">
        <f>Translations!$B$222</f>
        <v>Total fuel input</v>
      </c>
      <c r="I14" s="310" t="str">
        <f>Translations!$B$223</f>
        <v>Direct fuel for CBAM goods</v>
      </c>
      <c r="J14" s="310" t="str">
        <f>Translations!$B$224</f>
        <v>Fuel for electricity</v>
      </c>
      <c r="K14" s="310" t="str">
        <f>Translations!$B$225</f>
        <v>Direct fuel for non-CBAM goods</v>
      </c>
      <c r="L14" s="310" t="str">
        <f>Translations!$B$226</f>
        <v>Rest</v>
      </c>
      <c r="M14" s="144"/>
      <c r="N14" s="937"/>
      <c r="O14" s="429"/>
      <c r="P14" s="937"/>
      <c r="R14" s="129"/>
      <c r="S14" s="129"/>
      <c r="T14" s="129"/>
      <c r="U14" s="129"/>
      <c r="V14" s="129"/>
      <c r="W14" s="129"/>
      <c r="X14" s="129"/>
    </row>
    <row r="15" spans="1:24" ht="12.75" customHeight="1" x14ac:dyDescent="0.35">
      <c r="A15" s="92"/>
      <c r="B15" s="144"/>
      <c r="C15" s="144"/>
      <c r="D15" s="166" t="s">
        <v>41</v>
      </c>
      <c r="E15" s="133" t="str">
        <f>Translations!$B$227</f>
        <v>from sheet "B_EmInst"</v>
      </c>
      <c r="F15" s="133"/>
      <c r="G15" s="134" t="str">
        <f>CONST_TJ</f>
        <v>TJ</v>
      </c>
      <c r="H15" s="294" t="str">
        <f>IF(CNTR_HasEntriesA,SUMIFS(B_EmInst!$AX:$AX,B_EmInst!$BA:$BA,CONST_CNTR_SUM_CO2)+SUMIFS(B_EmInst!$AY:$AY,B_EmInst!$BA:$BA,CONST_CNTR_SUM_CO2),"")</f>
        <v/>
      </c>
      <c r="I15" s="295"/>
      <c r="J15" s="295"/>
      <c r="K15" s="295"/>
      <c r="L15" s="743"/>
      <c r="M15" s="144"/>
      <c r="N15" s="144"/>
      <c r="O15" s="428"/>
      <c r="P15" s="144"/>
    </row>
    <row r="16" spans="1:24" ht="12.75" customHeight="1" x14ac:dyDescent="0.35">
      <c r="A16" s="92"/>
      <c r="B16" s="144"/>
      <c r="C16" s="144"/>
      <c r="D16" s="166" t="s">
        <v>42</v>
      </c>
      <c r="E16" s="136" t="str">
        <f>Translations!$B$228</f>
        <v>manual entries</v>
      </c>
      <c r="F16" s="136"/>
      <c r="G16" s="137" t="str">
        <f>CONST_TJ</f>
        <v>TJ</v>
      </c>
      <c r="H16" s="146"/>
      <c r="I16" s="146"/>
      <c r="J16" s="146"/>
      <c r="K16" s="146"/>
      <c r="L16" s="744"/>
      <c r="M16" s="144"/>
      <c r="N16" s="144"/>
      <c r="O16" s="428"/>
      <c r="P16" s="144"/>
    </row>
    <row r="17" spans="1:24" ht="12.75" customHeight="1" x14ac:dyDescent="0.35">
      <c r="A17" s="92"/>
      <c r="B17" s="144"/>
      <c r="C17" s="144"/>
      <c r="D17" s="166" t="s">
        <v>43</v>
      </c>
      <c r="E17" s="138" t="str">
        <f>Translations!$B$229</f>
        <v>Results:</v>
      </c>
      <c r="F17" s="138"/>
      <c r="G17" s="139" t="str">
        <f>CONST_TJ</f>
        <v>TJ</v>
      </c>
      <c r="H17" s="296" t="str">
        <f>IF(H16="",H15,H16)</f>
        <v/>
      </c>
      <c r="I17" s="296" t="str">
        <f>IF(I16="","",I16)</f>
        <v/>
      </c>
      <c r="J17" s="296" t="str">
        <f>IF(J16="","",J16)</f>
        <v/>
      </c>
      <c r="K17" s="296" t="str">
        <f>IF(K16="","",K16)</f>
        <v/>
      </c>
      <c r="L17" s="296" t="str">
        <f>IF(COUNT(H17:K17)&gt;0,SUM(H17)-SUM(I17:K17),"")</f>
        <v/>
      </c>
      <c r="M17" s="144"/>
      <c r="N17" s="144"/>
      <c r="O17" s="428"/>
      <c r="P17" s="144"/>
    </row>
    <row r="18" spans="1:24" ht="12.75" customHeight="1" x14ac:dyDescent="0.35">
      <c r="A18" s="92"/>
      <c r="B18" s="144"/>
      <c r="C18" s="144"/>
      <c r="D18" s="144"/>
      <c r="E18" s="144"/>
      <c r="F18" s="144"/>
      <c r="G18" s="144"/>
      <c r="H18" s="144"/>
      <c r="I18" s="144"/>
      <c r="J18" s="144"/>
      <c r="K18" s="144"/>
      <c r="L18" s="144"/>
      <c r="M18" s="144"/>
      <c r="N18" s="144"/>
      <c r="O18" s="428"/>
      <c r="P18" s="144"/>
    </row>
    <row r="19" spans="1:24" ht="18" customHeight="1" x14ac:dyDescent="0.35">
      <c r="A19" s="912">
        <f>C19</f>
        <v>2</v>
      </c>
      <c r="B19" s="144"/>
      <c r="C19" s="908">
        <v>2</v>
      </c>
      <c r="D19" s="909" t="str">
        <f>Translations!$B$230</f>
        <v>Greenhouse gas emissions balance &amp; information on data quality</v>
      </c>
      <c r="E19" s="909"/>
      <c r="F19" s="910"/>
      <c r="G19" s="910"/>
      <c r="H19" s="910"/>
      <c r="I19" s="910"/>
      <c r="J19" s="910"/>
      <c r="K19" s="910"/>
      <c r="L19" s="910"/>
      <c r="M19" s="910"/>
      <c r="N19" s="910"/>
      <c r="O19" s="428"/>
      <c r="P19" s="144"/>
      <c r="R19" s="102" t="s">
        <v>3052</v>
      </c>
    </row>
    <row r="20" spans="1:24" ht="5.15" customHeight="1" x14ac:dyDescent="0.35">
      <c r="A20" s="92"/>
      <c r="B20" s="144"/>
      <c r="C20" s="144"/>
      <c r="D20" s="144"/>
      <c r="E20" s="144"/>
      <c r="F20" s="144"/>
      <c r="G20" s="144"/>
      <c r="H20" s="144"/>
      <c r="I20" s="144"/>
      <c r="J20" s="144"/>
      <c r="K20" s="144"/>
      <c r="L20" s="144"/>
      <c r="M20" s="144"/>
      <c r="N20" s="144"/>
      <c r="O20" s="428"/>
      <c r="P20" s="144"/>
    </row>
    <row r="21" spans="1:24" ht="12.75" customHeight="1" x14ac:dyDescent="0.35">
      <c r="A21" s="92"/>
      <c r="B21" s="144"/>
      <c r="C21" s="144"/>
      <c r="D21" s="10" t="s">
        <v>4</v>
      </c>
      <c r="E21" s="1234" t="str">
        <f>Translations!$B$1850</f>
        <v>GHG balance by type of GHG</v>
      </c>
      <c r="F21" s="1234"/>
      <c r="G21" s="1234"/>
      <c r="H21" s="1234"/>
      <c r="I21" s="1234"/>
      <c r="J21" s="1234"/>
      <c r="K21" s="1234"/>
      <c r="L21" s="1234"/>
      <c r="M21" s="1234"/>
      <c r="N21" s="1234"/>
      <c r="O21" s="428"/>
      <c r="P21" s="144"/>
    </row>
    <row r="22" spans="1:24" ht="25.5" customHeight="1" x14ac:dyDescent="0.35">
      <c r="A22" s="92"/>
      <c r="B22" s="144"/>
      <c r="C22" s="144"/>
      <c r="D22" s="144"/>
      <c r="E22" s="1237" t="str">
        <f>Translations!$B$231</f>
        <v>Values below are taken automatically from entries in sheet "B_EmInst". If entries made in that sheet are incomplete, please enter the total emissions figures manually under ii. to override automatic results displayed under i.</v>
      </c>
      <c r="F22" s="1237"/>
      <c r="G22" s="1237"/>
      <c r="H22" s="1237"/>
      <c r="I22" s="1237"/>
      <c r="J22" s="1237"/>
      <c r="K22" s="1237"/>
      <c r="L22" s="1237"/>
      <c r="M22" s="1237"/>
      <c r="N22" s="1237"/>
      <c r="O22" s="428"/>
      <c r="P22" s="144"/>
    </row>
    <row r="23" spans="1:24" ht="13.15" customHeight="1" x14ac:dyDescent="0.35">
      <c r="A23" s="92"/>
      <c r="B23" s="144"/>
      <c r="C23" s="144"/>
      <c r="D23" s="144"/>
      <c r="E23" s="1237" t="str">
        <f>Translations!$B$1965</f>
        <v>The entry of total indirect emissions must always be entered manually.</v>
      </c>
      <c r="F23" s="1237"/>
      <c r="G23" s="1237"/>
      <c r="H23" s="1237"/>
      <c r="I23" s="1237"/>
      <c r="J23" s="1237"/>
      <c r="K23" s="1237"/>
      <c r="L23" s="1237"/>
      <c r="M23" s="1237"/>
      <c r="N23" s="1237"/>
      <c r="O23" s="428"/>
      <c r="P23" s="144"/>
    </row>
    <row r="24" spans="1:24" s="130" customFormat="1" ht="38.25" customHeight="1" x14ac:dyDescent="0.3">
      <c r="A24" s="940"/>
      <c r="B24" s="937"/>
      <c r="C24" s="937"/>
      <c r="D24" s="941"/>
      <c r="E24" s="943" t="str">
        <f>Translations!$B$232</f>
        <v>Installation level data:</v>
      </c>
      <c r="F24" s="937"/>
      <c r="G24" s="141" t="str">
        <f>Translations!$B$221</f>
        <v>Unit</v>
      </c>
      <c r="H24" s="310" t="str">
        <f>Translations!$B$233</f>
        <v>Total CO2 emissions</v>
      </c>
      <c r="I24" s="310" t="str">
        <f>Translations!$B$234</f>
        <v>Biomass emissions</v>
      </c>
      <c r="J24" s="310" t="str">
        <f>Translations!$B$235</f>
        <v>Total N2O emissions</v>
      </c>
      <c r="K24" s="310" t="str">
        <f>Translations!$B$236</f>
        <v>Total PFC emissions</v>
      </c>
      <c r="L24" s="310" t="str">
        <f>Translations!$B$237</f>
        <v>Total direct emissions</v>
      </c>
      <c r="M24" s="310" t="str">
        <f>Translations!$B$238</f>
        <v>Total indirect emissions</v>
      </c>
      <c r="N24" s="310" t="str">
        <f>Translations!$B$239</f>
        <v>Total emissions</v>
      </c>
      <c r="O24" s="429"/>
      <c r="P24" s="937"/>
      <c r="R24" s="129"/>
      <c r="S24" s="129"/>
      <c r="T24" s="129"/>
      <c r="U24" s="129"/>
      <c r="V24" s="129"/>
      <c r="W24" s="129"/>
      <c r="X24" s="129"/>
    </row>
    <row r="25" spans="1:24" ht="12.75" customHeight="1" x14ac:dyDescent="0.35">
      <c r="A25" s="92"/>
      <c r="B25" s="144"/>
      <c r="C25" s="144"/>
      <c r="D25" s="166" t="s">
        <v>41</v>
      </c>
      <c r="E25" s="133" t="str">
        <f>Translations!$B$227</f>
        <v>from sheet "B_EmInst"</v>
      </c>
      <c r="F25" s="133"/>
      <c r="G25" s="134" t="str">
        <f>CONST_tCO2eq</f>
        <v>tCO2e</v>
      </c>
      <c r="H25" s="135" t="str">
        <f>IF(CNTR_HasEntriesA,SUMIFS(B_EmInst!$AU:$AU,B_EmInst!$BA:$BA,CONST_CNTR_SUM_CO2),"")</f>
        <v/>
      </c>
      <c r="I25" s="135" t="str">
        <f>IF(CNTR_HasEntriesA,SUMIFS(B_EmInst!AV:AV,B_EmInst!$BA:$BA,CONST_CNTR_SUM_CO2),"")</f>
        <v/>
      </c>
      <c r="J25" s="135" t="str">
        <f>IF(CNTR_HasEntriesA,SUMIFS(B_EmInst!$AU:$AU,B_EmInst!$BA:$BA,CONST_CNTR_SUM_N2O),"")</f>
        <v/>
      </c>
      <c r="K25" s="135" t="str">
        <f>IF(CNTR_HasEntriesA,SUMIFS(B_EmInst!$AU:$AU,B_EmInst!$BA:$BA,CONST_CNTR_SUM_PFC),"")</f>
        <v/>
      </c>
      <c r="L25" s="135" t="str">
        <f>IF(COUNT(H25:K25)&gt;0,SUM(H25,J25:K25),"")</f>
        <v/>
      </c>
      <c r="M25" s="624"/>
      <c r="N25" s="624"/>
      <c r="O25" s="428"/>
      <c r="P25" s="144"/>
    </row>
    <row r="26" spans="1:24" ht="12.75" customHeight="1" x14ac:dyDescent="0.35">
      <c r="A26" s="92"/>
      <c r="B26" s="144"/>
      <c r="C26" s="144"/>
      <c r="D26" s="166" t="s">
        <v>42</v>
      </c>
      <c r="E26" s="142" t="str">
        <f>Translations!$B$228</f>
        <v>manual entries</v>
      </c>
      <c r="F26" s="142"/>
      <c r="G26" s="143" t="str">
        <f>CONST_tCO2eq</f>
        <v>tCO2e</v>
      </c>
      <c r="H26" s="33"/>
      <c r="I26" s="33"/>
      <c r="J26" s="33"/>
      <c r="K26" s="33"/>
      <c r="L26" s="625"/>
      <c r="M26" s="31"/>
      <c r="N26" s="625"/>
      <c r="O26" s="428"/>
      <c r="P26" s="144"/>
    </row>
    <row r="27" spans="1:24" ht="12.75" customHeight="1" x14ac:dyDescent="0.35">
      <c r="A27" s="92"/>
      <c r="B27" s="144"/>
      <c r="C27" s="144"/>
      <c r="D27" s="166" t="s">
        <v>43</v>
      </c>
      <c r="E27" s="138" t="str">
        <f>Translations!$B$229</f>
        <v>Results:</v>
      </c>
      <c r="F27" s="138"/>
      <c r="G27" s="139" t="str">
        <f>CONST_tCO2eq</f>
        <v>tCO2e</v>
      </c>
      <c r="H27" s="140" t="str">
        <f>IF(CNTR_HasEntriesA,IF(H26="",H25,H26),"")</f>
        <v/>
      </c>
      <c r="I27" s="140" t="str">
        <f>IF(CNTR_HasEntriesA,IF(I26="",I25,I26),"")</f>
        <v/>
      </c>
      <c r="J27" s="140" t="str">
        <f>IF(CNTR_HasEntriesA,IF(J26="",J25,J26),"")</f>
        <v/>
      </c>
      <c r="K27" s="140" t="str">
        <f>IF(CNTR_HasEntriesA,IF(K26="",K25,K26),"")</f>
        <v/>
      </c>
      <c r="L27" s="140" t="str">
        <f>IF(CNTR_HasEntriesA,SUM(H27,J27:K27),"")</f>
        <v/>
      </c>
      <c r="M27" s="140" t="str">
        <f>IF(M26="","",M26)</f>
        <v/>
      </c>
      <c r="N27" s="140" t="str">
        <f>IF(COUNT(L27:M27)&gt;0,SUM(L27:M27),"")</f>
        <v/>
      </c>
      <c r="O27" s="428"/>
      <c r="P27" s="144"/>
    </row>
    <row r="28" spans="1:24" ht="5.15" customHeight="1" x14ac:dyDescent="0.35">
      <c r="A28" s="92"/>
      <c r="B28" s="144"/>
      <c r="C28" s="144"/>
      <c r="D28" s="166"/>
      <c r="E28" s="167"/>
      <c r="F28" s="167"/>
      <c r="G28" s="168"/>
      <c r="H28" s="144"/>
      <c r="I28" s="144"/>
      <c r="J28" s="144"/>
      <c r="K28" s="144"/>
      <c r="L28" s="144"/>
      <c r="M28" s="144"/>
      <c r="N28" s="144"/>
      <c r="O28" s="428"/>
      <c r="P28" s="144"/>
    </row>
    <row r="29" spans="1:24" ht="12.75" customHeight="1" x14ac:dyDescent="0.35">
      <c r="A29" s="92"/>
      <c r="B29" s="144"/>
      <c r="C29" s="144"/>
      <c r="D29" s="10" t="s">
        <v>48</v>
      </c>
      <c r="E29" s="1234" t="str">
        <f>Translations!$B$1851</f>
        <v>GHG balance by type of monitoring methodology</v>
      </c>
      <c r="F29" s="1234"/>
      <c r="G29" s="1234"/>
      <c r="H29" s="1234"/>
      <c r="I29" s="1234"/>
      <c r="J29" s="1234"/>
      <c r="K29" s="1234"/>
      <c r="L29" s="1234"/>
      <c r="M29" s="1234"/>
      <c r="N29" s="1234"/>
      <c r="O29" s="428"/>
      <c r="P29" s="144"/>
    </row>
    <row r="30" spans="1:24" ht="12.75" customHeight="1" x14ac:dyDescent="0.35">
      <c r="A30" s="92"/>
      <c r="B30" s="144"/>
      <c r="C30" s="144"/>
      <c r="D30" s="144"/>
      <c r="E30" s="1292" t="str">
        <f>Translations!$B$1852</f>
        <v>Values below are taken automatically from entries in sheet "B_EmInst" and point (a) above.</v>
      </c>
      <c r="F30" s="1292"/>
      <c r="G30" s="1292"/>
      <c r="H30" s="1292"/>
      <c r="I30" s="1292"/>
      <c r="J30" s="1292"/>
      <c r="K30" s="1292"/>
      <c r="L30" s="1292"/>
      <c r="M30" s="1292"/>
      <c r="N30" s="1292"/>
      <c r="O30" s="428"/>
      <c r="P30" s="144"/>
    </row>
    <row r="31" spans="1:24" ht="38.9" customHeight="1" x14ac:dyDescent="0.3">
      <c r="A31" s="92"/>
      <c r="B31" s="144"/>
      <c r="C31" s="144"/>
      <c r="D31" s="166"/>
      <c r="E31" s="167"/>
      <c r="F31" s="167"/>
      <c r="G31" s="141" t="str">
        <f>Translations!$B$221</f>
        <v>Unit</v>
      </c>
      <c r="H31" s="310" t="str">
        <f>Translations!$B$1853</f>
        <v>Calculation - based (excl. PFC emissions)</v>
      </c>
      <c r="I31" s="310" t="str">
        <f>Translations!$B$236</f>
        <v>Total PFC emissions</v>
      </c>
      <c r="J31" s="310" t="str">
        <f>Translations!$B$1854</f>
        <v>Measurement - based</v>
      </c>
      <c r="K31" s="310" t="str">
        <f>Translations!$B$638</f>
        <v>Other</v>
      </c>
      <c r="L31" s="144"/>
      <c r="M31" s="144"/>
      <c r="N31" s="144"/>
      <c r="O31" s="428"/>
      <c r="P31" s="144"/>
    </row>
    <row r="32" spans="1:24" ht="12.75" customHeight="1" x14ac:dyDescent="0.35">
      <c r="A32" s="92"/>
      <c r="B32" s="144"/>
      <c r="C32" s="144"/>
      <c r="D32" s="166"/>
      <c r="E32" s="170" t="str">
        <f>Translations!$B$561</f>
        <v>Emissions</v>
      </c>
      <c r="F32" s="138"/>
      <c r="G32" s="848" t="str">
        <f>CONST_tCO2eq</f>
        <v>tCO2e</v>
      </c>
      <c r="H32" s="140" t="str">
        <f>IF(CNTR_HasEntriesA,SUM(B_EmInst!AU17:AU91),"")</f>
        <v/>
      </c>
      <c r="I32" s="140" t="str">
        <f>IF(CNTR_HasEntriesA,K27,"")</f>
        <v/>
      </c>
      <c r="J32" s="140" t="str">
        <f>IF(CNTR_HasEntriesA,SUM(B_EmInst!AU113:AU122),"")</f>
        <v/>
      </c>
      <c r="K32" s="140" t="str">
        <f>IF(CNTR_HasEntriesA,SUM(L27)-SUM(H32:J32),"")</f>
        <v/>
      </c>
      <c r="L32" s="144"/>
      <c r="M32" s="144"/>
      <c r="N32" s="144"/>
      <c r="O32" s="428"/>
      <c r="P32" s="144"/>
    </row>
    <row r="33" spans="1:24" ht="5.15" customHeight="1" x14ac:dyDescent="0.35">
      <c r="A33" s="92"/>
      <c r="B33" s="144"/>
      <c r="C33" s="144"/>
      <c r="D33" s="166"/>
      <c r="E33" s="167"/>
      <c r="F33" s="167"/>
      <c r="G33" s="168"/>
      <c r="H33" s="144"/>
      <c r="I33" s="144"/>
      <c r="J33" s="144"/>
      <c r="K33" s="144"/>
      <c r="L33" s="144"/>
      <c r="M33" s="144"/>
      <c r="N33" s="144"/>
      <c r="O33" s="428"/>
      <c r="P33" s="144"/>
    </row>
    <row r="34" spans="1:24" ht="12.75" customHeight="1" x14ac:dyDescent="0.35">
      <c r="A34" s="92"/>
      <c r="B34" s="144"/>
      <c r="C34" s="144"/>
      <c r="D34" s="10" t="s">
        <v>49</v>
      </c>
      <c r="E34" s="1234" t="str">
        <f>Translations!$B$1855</f>
        <v>Information on the data quality and quality assurance</v>
      </c>
      <c r="F34" s="1234"/>
      <c r="G34" s="1234"/>
      <c r="H34" s="1234"/>
      <c r="I34" s="1234"/>
      <c r="J34" s="1234"/>
      <c r="K34" s="1234"/>
      <c r="L34" s="1234"/>
      <c r="M34" s="1234"/>
      <c r="N34" s="1234"/>
      <c r="O34" s="428"/>
      <c r="P34" s="144"/>
    </row>
    <row r="35" spans="1:24" ht="5.15" customHeight="1" x14ac:dyDescent="0.35">
      <c r="A35" s="92"/>
      <c r="B35" s="144"/>
      <c r="C35" s="144"/>
      <c r="D35" s="144"/>
      <c r="E35" s="1295"/>
      <c r="F35" s="1295"/>
      <c r="G35" s="1295"/>
      <c r="H35" s="1295"/>
      <c r="I35" s="1295"/>
      <c r="J35" s="1295"/>
      <c r="K35" s="1295"/>
      <c r="L35" s="1295"/>
      <c r="M35" s="1295"/>
      <c r="N35" s="1295"/>
      <c r="O35" s="428"/>
      <c r="P35" s="144"/>
    </row>
    <row r="36" spans="1:24" ht="25.5" customHeight="1" x14ac:dyDescent="0.25">
      <c r="A36" s="92"/>
      <c r="B36" s="144"/>
      <c r="C36" s="144"/>
      <c r="D36" s="144"/>
      <c r="E36" s="804" t="str">
        <f>Translations!$B$1856</f>
        <v>General information on data quality:</v>
      </c>
      <c r="F36" s="1304" t="str">
        <f>Translations!$B$1857</f>
        <v>Please select from the hierarchical order (descending order) in the drop-down list the predominant approach for determining the installation's direct emissions.</v>
      </c>
      <c r="G36" s="1304"/>
      <c r="H36" s="1304"/>
      <c r="I36" s="1304"/>
      <c r="J36" s="1304"/>
      <c r="K36" s="1304"/>
      <c r="L36" s="1304"/>
      <c r="M36" s="1305"/>
      <c r="N36" s="1305"/>
      <c r="O36" s="428"/>
      <c r="P36" s="144"/>
      <c r="S36" s="110"/>
    </row>
    <row r="37" spans="1:24" ht="25.5" customHeight="1" x14ac:dyDescent="0.25">
      <c r="A37" s="92"/>
      <c r="B37" s="144"/>
      <c r="C37" s="144"/>
      <c r="D37" s="144"/>
      <c r="E37" s="805" t="str">
        <f>Translations!$B$1858</f>
        <v>Justification for use of default values (if relevant):</v>
      </c>
      <c r="F37" s="1306" t="str">
        <f>Translations!$B$1859</f>
        <v>If the predominant method was to use default values published by the European Commission, please select from the drop-down list the most appropriate justification for not achieving higher data quality.</v>
      </c>
      <c r="G37" s="1307"/>
      <c r="H37" s="1307"/>
      <c r="I37" s="1307"/>
      <c r="J37" s="1307"/>
      <c r="K37" s="1307"/>
      <c r="L37" s="1307"/>
      <c r="M37" s="1307"/>
      <c r="N37" s="1307"/>
      <c r="O37" s="428"/>
      <c r="P37" s="144"/>
      <c r="S37" s="110"/>
    </row>
    <row r="38" spans="1:24" ht="25.5" customHeight="1" x14ac:dyDescent="0.25">
      <c r="A38" s="92"/>
      <c r="B38" s="144"/>
      <c r="C38" s="144"/>
      <c r="D38" s="144"/>
      <c r="E38" s="806" t="str">
        <f>Translations!$B$1860</f>
        <v>Information on quality assurance:</v>
      </c>
      <c r="F38" s="1308" t="str">
        <f>Translations!$B$1886</f>
        <v>Please select from the hierarchical order (descending order) in the drop-down list the approach for quality assurance of emissions data.</v>
      </c>
      <c r="G38" s="1309"/>
      <c r="H38" s="1309"/>
      <c r="I38" s="1309"/>
      <c r="J38" s="1309"/>
      <c r="K38" s="1309"/>
      <c r="L38" s="1309"/>
      <c r="M38" s="1309"/>
      <c r="N38" s="1309"/>
      <c r="O38" s="428"/>
      <c r="P38" s="144"/>
      <c r="S38" s="110"/>
    </row>
    <row r="39" spans="1:24" ht="5.15" customHeight="1" x14ac:dyDescent="0.25">
      <c r="A39" s="92"/>
      <c r="B39" s="144"/>
      <c r="C39" s="144"/>
      <c r="D39" s="144"/>
      <c r="E39" s="144"/>
      <c r="F39" s="144"/>
      <c r="G39" s="144"/>
      <c r="H39" s="144"/>
      <c r="I39" s="144"/>
      <c r="J39" s="144"/>
      <c r="K39" s="144"/>
      <c r="L39" s="144"/>
      <c r="M39" s="144"/>
      <c r="N39" s="144"/>
      <c r="O39" s="428"/>
      <c r="P39" s="144"/>
      <c r="S39" s="110"/>
    </row>
    <row r="40" spans="1:24" ht="12.75" customHeight="1" x14ac:dyDescent="0.35">
      <c r="A40" s="92"/>
      <c r="B40" s="144"/>
      <c r="C40" s="144"/>
      <c r="D40" s="166" t="s">
        <v>41</v>
      </c>
      <c r="E40" s="133" t="str">
        <f>Translations!$B$1856</f>
        <v>General information on data quality:</v>
      </c>
      <c r="F40" s="133"/>
      <c r="G40" s="133"/>
      <c r="H40" s="1296"/>
      <c r="I40" s="1297"/>
      <c r="J40" s="1297"/>
      <c r="K40" s="1297"/>
      <c r="L40" s="1297"/>
      <c r="M40" s="1297"/>
      <c r="N40" s="1298"/>
      <c r="O40" s="428"/>
      <c r="P40" s="144"/>
      <c r="R40" s="105" t="str">
        <f>IF(H40="","",MATCH(H40,CONST_DataQuality,0))</f>
        <v/>
      </c>
    </row>
    <row r="41" spans="1:24" ht="12.75" customHeight="1" x14ac:dyDescent="0.35">
      <c r="A41" s="92"/>
      <c r="B41" s="144"/>
      <c r="C41" s="144"/>
      <c r="D41" s="166" t="s">
        <v>42</v>
      </c>
      <c r="E41" s="136" t="str">
        <f>Translations!$B$1858</f>
        <v>Justification for use of default values (if relevant):</v>
      </c>
      <c r="F41" s="136"/>
      <c r="G41" s="136"/>
      <c r="H41" s="1299"/>
      <c r="I41" s="1300"/>
      <c r="J41" s="1300"/>
      <c r="K41" s="1300"/>
      <c r="L41" s="1300"/>
      <c r="M41" s="1300"/>
      <c r="N41" s="1301"/>
      <c r="O41" s="428"/>
      <c r="P41" s="144"/>
      <c r="R41" s="105" t="str">
        <f>IF(H41="","",MATCH(H41,CONST_DataQualityJustification,0))</f>
        <v/>
      </c>
      <c r="X41" s="102" t="b">
        <f>IF(H40="",FALSE,H40&lt;&gt;INDEX(CONST_DataQuality,5))</f>
        <v>0</v>
      </c>
    </row>
    <row r="42" spans="1:24" ht="12.75" customHeight="1" x14ac:dyDescent="0.35">
      <c r="A42" s="92"/>
      <c r="B42" s="144"/>
      <c r="C42" s="144"/>
      <c r="D42" s="166" t="s">
        <v>43</v>
      </c>
      <c r="E42" s="170" t="str">
        <f>Translations!$B$1860</f>
        <v>Information on quality assurance:</v>
      </c>
      <c r="F42" s="138"/>
      <c r="G42" s="138"/>
      <c r="H42" s="1302"/>
      <c r="I42" s="1303"/>
      <c r="J42" s="1303"/>
      <c r="K42" s="1303"/>
      <c r="L42" s="1303"/>
      <c r="M42" s="1303"/>
      <c r="N42" s="1303"/>
      <c r="O42" s="428"/>
      <c r="P42" s="144"/>
      <c r="R42" s="105" t="str">
        <f>IF(H42="","",MATCH(H42,CONST_DataVerification,0))</f>
        <v/>
      </c>
    </row>
    <row r="43" spans="1:24" s="144" customFormat="1" ht="12.75" customHeight="1" thickBot="1" x14ac:dyDescent="0.4">
      <c r="A43" s="918"/>
      <c r="B43" s="747"/>
      <c r="C43" s="747"/>
      <c r="D43" s="747"/>
      <c r="E43" s="747"/>
      <c r="F43" s="747"/>
      <c r="G43" s="747"/>
      <c r="H43" s="747"/>
      <c r="I43" s="747"/>
      <c r="J43" s="747"/>
      <c r="K43" s="747"/>
      <c r="L43" s="747"/>
      <c r="M43" s="747"/>
      <c r="N43" s="747"/>
      <c r="O43" s="748"/>
      <c r="Q43" s="93"/>
      <c r="R43" s="91"/>
      <c r="S43" s="91"/>
      <c r="T43" s="91"/>
      <c r="U43" s="91"/>
      <c r="V43" s="91"/>
      <c r="W43" s="91"/>
      <c r="X43" s="91"/>
    </row>
    <row r="44" spans="1:24" s="144" customFormat="1" ht="12.75" customHeight="1" x14ac:dyDescent="0.35">
      <c r="A44" s="91"/>
      <c r="P44" s="94"/>
      <c r="Q44" s="93"/>
      <c r="R44" s="91"/>
      <c r="S44" s="91"/>
      <c r="T44" s="91"/>
      <c r="U44" s="91"/>
      <c r="V44" s="91"/>
      <c r="W44" s="91"/>
      <c r="X44" s="91"/>
    </row>
    <row r="45" spans="1:24" s="91" customFormat="1" ht="12.75" hidden="1" customHeight="1" x14ac:dyDescent="0.35">
      <c r="A45" s="91" t="s">
        <v>3</v>
      </c>
      <c r="P45" s="92" t="s">
        <v>116</v>
      </c>
    </row>
    <row r="46" spans="1:24" s="91" customFormat="1" ht="12.75" hidden="1" customHeight="1" x14ac:dyDescent="0.35">
      <c r="A46" s="91" t="s">
        <v>3</v>
      </c>
      <c r="P46" s="92"/>
    </row>
    <row r="47" spans="1:24" s="91" customFormat="1" ht="12.75" hidden="1" customHeight="1" x14ac:dyDescent="0.35">
      <c r="A47" s="91" t="s">
        <v>3</v>
      </c>
      <c r="P47" s="92"/>
    </row>
  </sheetData>
  <sheetProtection sheet="1" objects="1" scenarios="1" formatCells="0" formatColumns="0" formatRows="0"/>
  <mergeCells count="32">
    <mergeCell ref="E34:N34"/>
    <mergeCell ref="E35:N35"/>
    <mergeCell ref="H40:N40"/>
    <mergeCell ref="H41:N41"/>
    <mergeCell ref="H42:N42"/>
    <mergeCell ref="F36:N36"/>
    <mergeCell ref="F37:N37"/>
    <mergeCell ref="F38:N38"/>
    <mergeCell ref="M2:N2"/>
    <mergeCell ref="E11:N11"/>
    <mergeCell ref="E12:N12"/>
    <mergeCell ref="E13:N13"/>
    <mergeCell ref="E3:F3"/>
    <mergeCell ref="B2:D4"/>
    <mergeCell ref="E2:F2"/>
    <mergeCell ref="G2:H2"/>
    <mergeCell ref="I2:J2"/>
    <mergeCell ref="K2:L2"/>
    <mergeCell ref="E4:F4"/>
    <mergeCell ref="G4:H4"/>
    <mergeCell ref="I4:J4"/>
    <mergeCell ref="K4:L4"/>
    <mergeCell ref="E22:N22"/>
    <mergeCell ref="E29:N29"/>
    <mergeCell ref="E30:N30"/>
    <mergeCell ref="G3:H3"/>
    <mergeCell ref="I3:J3"/>
    <mergeCell ref="K3:L3"/>
    <mergeCell ref="M3:N3"/>
    <mergeCell ref="E21:N21"/>
    <mergeCell ref="M4:N4"/>
    <mergeCell ref="E23:N23"/>
  </mergeCells>
  <conditionalFormatting sqref="H41:N41">
    <cfRule type="expression" dxfId="532" priority="1">
      <formula>$X41</formula>
    </cfRule>
  </conditionalFormatting>
  <dataValidations count="4">
    <dataValidation type="decimal" operator="greaterThanOrEqual" allowBlank="1" showInputMessage="1" showErrorMessage="1" sqref="H16:K16 H26:M26" xr:uid="{00000000-0002-0000-0600-000000000000}">
      <formula1>0</formula1>
    </dataValidation>
    <dataValidation type="list" allowBlank="1" showInputMessage="1" showErrorMessage="1" sqref="H40" xr:uid="{00000000-0002-0000-0600-000001000000}">
      <formula1>CONST_DataQuality</formula1>
    </dataValidation>
    <dataValidation type="list" operator="greaterThanOrEqual" allowBlank="1" showInputMessage="1" showErrorMessage="1" sqref="H41:K41" xr:uid="{00000000-0002-0000-0600-000002000000}">
      <formula1>CONST_DataQualityJustification</formula1>
    </dataValidation>
    <dataValidation type="list" allowBlank="1" showInputMessage="1" showErrorMessage="1" sqref="H42:N42" xr:uid="{00000000-0002-0000-0600-000003000000}">
      <formula1>CONST_DataVerification</formula1>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
  <dimension ref="A1:X664"/>
  <sheetViews>
    <sheetView workbookViewId="0">
      <pane ySplit="5" topLeftCell="A6" activePane="bottomLeft" state="frozen"/>
      <selection pane="bottomLeft" activeCell="B2" sqref="B2:D5"/>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2" width="11.453125" style="91" hidden="1" customWidth="1"/>
    <col min="23" max="23" width="11.453125" style="104" hidden="1" customWidth="1"/>
    <col min="24" max="24" width="11.453125" style="91" hidden="1" customWidth="1"/>
    <col min="25" max="16384" width="11.453125" style="93"/>
  </cols>
  <sheetData>
    <row r="1" spans="1:24" s="91" customFormat="1" ht="14.15" hidden="1" customHeight="1" thickBot="1" x14ac:dyDescent="0.4">
      <c r="A1" s="91" t="s">
        <v>3</v>
      </c>
      <c r="P1" s="91" t="s">
        <v>3</v>
      </c>
      <c r="Q1" s="91" t="s">
        <v>3</v>
      </c>
      <c r="R1" s="91" t="s">
        <v>3</v>
      </c>
      <c r="S1" s="91" t="s">
        <v>3</v>
      </c>
      <c r="T1" s="91" t="s">
        <v>3</v>
      </c>
      <c r="U1" s="91" t="s">
        <v>3</v>
      </c>
      <c r="V1" s="91" t="s">
        <v>3</v>
      </c>
      <c r="W1" s="91" t="s">
        <v>3</v>
      </c>
      <c r="X1" s="91" t="s">
        <v>3</v>
      </c>
    </row>
    <row r="2" spans="1:24" ht="14.15" customHeight="1" thickBot="1" x14ac:dyDescent="0.4">
      <c r="B2" s="1178" t="str">
        <f>Translations!$B$240</f>
        <v>Production processes</v>
      </c>
      <c r="C2" s="1179"/>
      <c r="D2" s="1180"/>
      <c r="E2" s="1323" t="str">
        <f>Translations!$B$11</f>
        <v>Navigation Area:</v>
      </c>
      <c r="F2" s="1188"/>
      <c r="G2" s="1189" t="str">
        <f ca="1">HYPERLINK("#"&amp;ADDRESS(2,3,,,a_Contents!$U$2),a_Contents!$B$2)</f>
        <v>Table of contents</v>
      </c>
      <c r="H2" s="1190"/>
      <c r="I2" s="1189" t="str">
        <f ca="1">HYPERLINK("#"&amp;ADDRESS(MATCH($S13,G_FurtherGuidance!$S:$S,0),3,,,G_FurtherGuidance!$U$2),G_FurtherGuidance!$B$2)</f>
        <v>Further Guidance</v>
      </c>
      <c r="J2" s="1190"/>
      <c r="K2" s="1189" t="str">
        <f ca="1">HYPERLINK("#"&amp;ADDRESS(2,3,,,Summary_Processes!$Y$2),Summary_Processes!$Y$2)</f>
        <v>Summary_Processes</v>
      </c>
      <c r="L2" s="1190"/>
      <c r="M2" s="1189" t="str">
        <f ca="1">HYPERLINK("#"&amp;ADDRESS(2,3,,,Summary_Products!$BF$2),Summary_Products!$BF$2)</f>
        <v>Summary_Products</v>
      </c>
      <c r="N2" s="1190"/>
      <c r="O2" s="901"/>
      <c r="P2" s="144"/>
      <c r="R2" s="91" t="s">
        <v>114</v>
      </c>
      <c r="S2" s="301" t="str">
        <f>ADDRESS(ROW($B$2),COLUMN($B$50)) &amp; ":" &amp; ADDRESS(MATCH("PRINT",$P:$P,0),COLUMN($O$50))</f>
        <v>$B$2:$O$662</v>
      </c>
      <c r="T2" s="91" t="s">
        <v>25</v>
      </c>
      <c r="U2" s="887" t="str">
        <f ca="1">IF(ISERROR(CELL("filename",V2)),"D_Processes",MID(CELL("filename",V2),FIND("]",CELL("filename",V2))+1,1024))</f>
        <v>D_Processes</v>
      </c>
    </row>
    <row r="3" spans="1:24" ht="14.15" customHeight="1" x14ac:dyDescent="0.35">
      <c r="B3" s="1181"/>
      <c r="C3" s="1182"/>
      <c r="D3" s="1183"/>
      <c r="E3" s="1320"/>
      <c r="F3" s="1321"/>
      <c r="G3" s="1322" t="str">
        <f>IF(INDEX(CNTR_List_ExistProdProcNames,R3)=CONST_NA,"",HYPERLINK("#"&amp;ADDRESS(ROW($C$11)+MATCH(R3,$C$11:$C$662,0)-1,COLUMN($C$11)),INDEX(CNTR_List_ExistProdProcNames,R3)))</f>
        <v/>
      </c>
      <c r="H3" s="1321"/>
      <c r="I3" s="1322" t="str">
        <f>IF(INDEX(CNTR_List_ExistProdProcNames,T3)=CONST_NA,"",HYPERLINK("#"&amp;ADDRESS(ROW($C$11)+MATCH(T3,$C$11:$C$662,0)-1,COLUMN($C$11)),INDEX(CNTR_List_ExistProdProcNames,T3)))</f>
        <v/>
      </c>
      <c r="J3" s="1321"/>
      <c r="K3" s="1321" t="str">
        <f>IF(INDEX(CNTR_List_ExistProdProcNames,V3)=CONST_NA,"",HYPERLINK("#"&amp;ADDRESS(ROW($C$11)+MATCH(V3,$C$11:$C$662,0)-1,COLUMN($C$11)),INDEX(CNTR_List_ExistProdProcNames,V3)))</f>
        <v/>
      </c>
      <c r="L3" s="1321"/>
      <c r="M3" s="1321" t="str">
        <f>IF(INDEX(CNTR_List_ExistProdProcNames,X3)=CONST_NA,"",HYPERLINK("#"&amp;ADDRESS(ROW($C$11)+MATCH(X3,$C$11:$C$662,0)-1,COLUMN($C$11)),INDEX(CNTR_List_ExistProdProcNames,X3)))</f>
        <v/>
      </c>
      <c r="N3" s="1321"/>
      <c r="O3" s="901"/>
      <c r="P3" s="144"/>
      <c r="R3" s="302">
        <v>1</v>
      </c>
      <c r="S3" s="303"/>
      <c r="T3" s="303">
        <v>2</v>
      </c>
      <c r="U3" s="303"/>
      <c r="V3" s="303">
        <v>3</v>
      </c>
      <c r="W3" s="303"/>
      <c r="X3" s="304">
        <v>4</v>
      </c>
    </row>
    <row r="4" spans="1:24" ht="14.15" customHeight="1" x14ac:dyDescent="0.35">
      <c r="B4" s="1181"/>
      <c r="C4" s="1182"/>
      <c r="D4" s="1183"/>
      <c r="E4" s="1324"/>
      <c r="F4" s="1174"/>
      <c r="G4" s="1174" t="str">
        <f>IF(INDEX(CNTR_List_ExistProdProcNames,R4)=CONST_NA,"",HYPERLINK("#"&amp;ADDRESS(ROW($C$11)+MATCH(R4,$C$11:$C$662,0)-1,COLUMN($C$11)),INDEX(CNTR_List_ExistProdProcNames,R4)))</f>
        <v/>
      </c>
      <c r="H4" s="1174"/>
      <c r="I4" s="1174" t="str">
        <f>IF(INDEX(CNTR_List_ExistProdProcNames,T4)=CONST_NA,"",HYPERLINK("#"&amp;ADDRESS(ROW($C$11)+MATCH(T4,$C$11:$C$662,0)-1,COLUMN($C$11)),INDEX(CNTR_List_ExistProdProcNames,T4)))</f>
        <v/>
      </c>
      <c r="J4" s="1174"/>
      <c r="K4" s="1174" t="str">
        <f>IF(INDEX(CNTR_List_ExistProdProcNames,V4)=CONST_NA,"",HYPERLINK("#"&amp;ADDRESS(ROW($C$11)+MATCH(V4,$C$11:$C$662,0)-1,COLUMN($C$11)),INDEX(CNTR_List_ExistProdProcNames,V4)))</f>
        <v/>
      </c>
      <c r="L4" s="1174"/>
      <c r="M4" s="1174" t="str">
        <f>IF(INDEX(CNTR_List_ExistProdProcNames,X4)=CONST_NA,"",HYPERLINK("#"&amp;ADDRESS(ROW($C$11)+MATCH(X4,$C$11:$C$662,0)-1,COLUMN($C$11)),INDEX(CNTR_List_ExistProdProcNames,X4)))</f>
        <v/>
      </c>
      <c r="N4" s="1174"/>
      <c r="O4" s="901"/>
      <c r="P4" s="144"/>
      <c r="R4" s="305">
        <v>5</v>
      </c>
      <c r="S4" s="156"/>
      <c r="T4" s="156">
        <v>6</v>
      </c>
      <c r="U4" s="156"/>
      <c r="V4" s="156">
        <v>7</v>
      </c>
      <c r="W4" s="156"/>
      <c r="X4" s="306">
        <v>8</v>
      </c>
    </row>
    <row r="5" spans="1:24" ht="14.15" customHeight="1" thickBot="1" x14ac:dyDescent="0.4">
      <c r="B5" s="1184"/>
      <c r="C5" s="1185"/>
      <c r="D5" s="1186"/>
      <c r="E5" s="1324"/>
      <c r="F5" s="1174"/>
      <c r="G5" s="1174" t="str">
        <f>IF(INDEX(CNTR_List_ExistProdProcNames,R5)=CONST_NA,"",HYPERLINK("#"&amp;ADDRESS(ROW($C$11)+MATCH(R5,$C$11:$C$662,0)-1,COLUMN($C$11)),INDEX(CNTR_List_ExistProdProcNames,R5)))</f>
        <v/>
      </c>
      <c r="H5" s="1174"/>
      <c r="I5" s="1174" t="str">
        <f>IF(INDEX(CNTR_List_ExistProdProcNames,T5)=CONST_NA,"",HYPERLINK("#"&amp;ADDRESS(ROW($C$11)+MATCH(T5,$C$11:$C$662,0)-1,COLUMN($C$11)),INDEX(CNTR_List_ExistProdProcNames,T5)))</f>
        <v/>
      </c>
      <c r="J5" s="1174"/>
      <c r="K5" s="1174"/>
      <c r="L5" s="1174"/>
      <c r="M5" s="1174"/>
      <c r="N5" s="1174"/>
      <c r="O5" s="901"/>
      <c r="P5" s="144"/>
      <c r="R5" s="307">
        <v>9</v>
      </c>
      <c r="S5" s="308"/>
      <c r="T5" s="308">
        <v>10</v>
      </c>
      <c r="U5" s="308"/>
      <c r="V5" s="308"/>
      <c r="W5" s="308"/>
      <c r="X5" s="309"/>
    </row>
    <row r="6" spans="1:24" ht="5.15" customHeight="1" x14ac:dyDescent="0.35">
      <c r="O6" s="901"/>
      <c r="P6" s="144"/>
    </row>
    <row r="7" spans="1:24" ht="25.5" customHeight="1" x14ac:dyDescent="0.35">
      <c r="C7" s="312" t="s">
        <v>407</v>
      </c>
      <c r="E7" s="106" t="str">
        <f>Translations!$B$241</f>
        <v>Sheet "D_Processes" - Production level and attributed emissions for SEE calculation</v>
      </c>
      <c r="O7" s="901"/>
      <c r="P7" s="144"/>
      <c r="R7" s="105" t="s">
        <v>328</v>
      </c>
      <c r="S7" s="105" t="s">
        <v>152</v>
      </c>
      <c r="T7" s="123"/>
      <c r="U7" s="123"/>
      <c r="V7" s="105" t="s">
        <v>154</v>
      </c>
      <c r="X7" s="105" t="s">
        <v>138</v>
      </c>
    </row>
    <row r="8" spans="1:24" ht="5.15" customHeight="1" x14ac:dyDescent="0.35">
      <c r="O8" s="901"/>
      <c r="P8" s="144"/>
    </row>
    <row r="9" spans="1:24" ht="18" customHeight="1" x14ac:dyDescent="0.35">
      <c r="A9" s="105">
        <v>1</v>
      </c>
      <c r="C9" s="311"/>
      <c r="D9" s="108" t="str">
        <f>Translations!$B$242</f>
        <v>Data input for the determination of the specific embedded emissions</v>
      </c>
      <c r="E9" s="108"/>
      <c r="F9" s="109"/>
      <c r="G9" s="109"/>
      <c r="H9" s="109"/>
      <c r="I9" s="109"/>
      <c r="J9" s="109"/>
      <c r="K9" s="109"/>
      <c r="L9" s="109"/>
      <c r="M9" s="109"/>
      <c r="N9" s="109"/>
      <c r="O9" s="901"/>
      <c r="P9" s="144"/>
    </row>
    <row r="10" spans="1:24" ht="12.75" customHeight="1" thickBot="1" x14ac:dyDescent="0.4">
      <c r="O10" s="901"/>
      <c r="P10" s="144"/>
    </row>
    <row r="11" spans="1:24" ht="18" customHeight="1" thickBot="1" x14ac:dyDescent="0.4">
      <c r="C11" s="147">
        <v>1</v>
      </c>
      <c r="D11" s="148" t="str">
        <f>CONST_ProductionProcess &amp; " " &amp; C11 &amp; ":"</f>
        <v>Production process 1:</v>
      </c>
      <c r="G11" s="1313" t="str">
        <f>IF(INDEX(CNTR_List_ExistProdProcNames,R11)=CONST_NA,"",INDEX(CNTR_List_ExistProdProcNames,R11))</f>
        <v/>
      </c>
      <c r="H11" s="1314"/>
      <c r="I11" s="1314"/>
      <c r="J11" s="1314"/>
      <c r="K11" s="1315"/>
      <c r="L11" s="1316" t="str">
        <f>IF(INDEX(CNTR_List_ExistProdProc,R11)=CONST_NA,"",INDEX(CNTR_List_ExistProdProc,R11))</f>
        <v/>
      </c>
      <c r="M11" s="1317"/>
      <c r="N11" s="1318"/>
      <c r="O11" s="901"/>
      <c r="P11" s="144"/>
      <c r="R11" s="149">
        <f>C11</f>
        <v>1</v>
      </c>
      <c r="W11" s="104" t="s">
        <v>2748</v>
      </c>
      <c r="X11" s="150" t="b">
        <f>AND(CNTR_HasEntriesA,G11="")</f>
        <v>0</v>
      </c>
    </row>
    <row r="12" spans="1:24" ht="5.15" customHeight="1" x14ac:dyDescent="0.35">
      <c r="D12" s="103"/>
      <c r="E12" s="100"/>
      <c r="O12" s="901"/>
      <c r="P12" s="144"/>
    </row>
    <row r="13" spans="1:24" ht="12.75" customHeight="1" x14ac:dyDescent="0.35">
      <c r="D13" s="103"/>
      <c r="E13" s="1290" t="str">
        <f ca="1">HYPERLINK("#"&amp;ADDRESS(MATCH($S13,G_FurtherGuidance!$S:$S,0),3,,,G_FurtherGuidance!$U$2),CONST_LinkToGuidanceSheet)</f>
        <v>Please click on this link for further guidance on how to complete this section.</v>
      </c>
      <c r="F13" s="1319"/>
      <c r="G13" s="1319"/>
      <c r="H13" s="1319"/>
      <c r="I13" s="1319"/>
      <c r="J13" s="1319"/>
      <c r="K13" s="1319"/>
      <c r="L13" s="1319"/>
      <c r="M13" s="1319"/>
      <c r="O13" s="901"/>
      <c r="P13" s="144"/>
      <c r="R13" s="104" t="s">
        <v>2771</v>
      </c>
      <c r="S13" s="105">
        <v>3</v>
      </c>
    </row>
    <row r="14" spans="1:24" ht="5.15" customHeight="1" x14ac:dyDescent="0.35">
      <c r="D14" s="103"/>
      <c r="E14" s="100"/>
      <c r="O14" s="901"/>
      <c r="P14" s="144"/>
    </row>
    <row r="15" spans="1:24" ht="12.75" customHeight="1" x14ac:dyDescent="0.35">
      <c r="D15" s="117" t="s">
        <v>135</v>
      </c>
      <c r="E15" s="100" t="str">
        <f>Translations!$B$243</f>
        <v>Total production levels:</v>
      </c>
      <c r="H15" s="151" t="str">
        <f>Translations!$B$244</f>
        <v>Production route</v>
      </c>
      <c r="J15" s="144"/>
      <c r="K15" s="152" t="str">
        <f>Translations!$B$221</f>
        <v>Unit</v>
      </c>
      <c r="L15" s="152" t="str">
        <f>Translations!$B$245</f>
        <v>Amounts</v>
      </c>
      <c r="O15" s="901"/>
      <c r="P15" s="144"/>
    </row>
    <row r="16" spans="1:24" ht="12.75" customHeight="1" x14ac:dyDescent="0.35">
      <c r="D16" s="173">
        <v>1</v>
      </c>
      <c r="E16" s="153" t="str">
        <f>IF(G11="","",G11) &amp; IF(L11="",""," | " &amp; L11)</f>
        <v/>
      </c>
      <c r="F16" s="153"/>
      <c r="G16" s="153"/>
      <c r="H16" s="154" t="str">
        <f>IF(L11="","",INDEX(CONST_MATRIX_ProductionRoute,MATCH(L11,CONST_LIST_Goods,0),D16))</f>
        <v/>
      </c>
      <c r="I16" s="153"/>
      <c r="J16" s="153"/>
      <c r="K16" s="155" t="str">
        <f>IF(L11="","",INDEX(CONST_LIST_GoodsUnit,MATCH(L11,CONST_LIST_Goods,0)))</f>
        <v/>
      </c>
      <c r="L16" s="29"/>
      <c r="O16" s="902"/>
      <c r="P16" s="144"/>
      <c r="S16" s="105">
        <v>1</v>
      </c>
      <c r="T16" s="156"/>
      <c r="V16" s="157" t="str">
        <f>IF(AND(G11&lt;&gt;"",E16&lt;&gt;"",L16&lt;&gt;""),TRUE,IF(AND(G11&lt;&gt;"",OR(AND(E16&lt;&gt;"",L16=""),AND(E16="",L16&lt;&gt;""))),CONST_ErrorOrMissing&amp;C11,CONST_NA))</f>
        <v>n.a.</v>
      </c>
    </row>
    <row r="17" spans="1:24" ht="12.75" customHeight="1" x14ac:dyDescent="0.35">
      <c r="D17" s="173">
        <v>2</v>
      </c>
      <c r="E17" s="158" t="str">
        <f t="shared" ref="E17:E23" si="0">IF(H17=CONST_NA,"",E16)</f>
        <v/>
      </c>
      <c r="F17" s="158"/>
      <c r="G17" s="158"/>
      <c r="H17" s="159" t="str">
        <f>IF(L11="","",INDEX(CONST_MATRIX_ProductionRoute,MATCH(L11,CONST_LIST_Goods,0),D17))</f>
        <v/>
      </c>
      <c r="I17" s="158"/>
      <c r="J17" s="158"/>
      <c r="K17" s="160" t="str">
        <f t="shared" ref="K17:K23" si="1">IF(H17=CONST_NA,"",K16)</f>
        <v/>
      </c>
      <c r="L17" s="30"/>
      <c r="O17" s="902"/>
      <c r="P17" s="144"/>
      <c r="S17" s="105">
        <v>2</v>
      </c>
      <c r="T17" s="156"/>
      <c r="V17" s="157" t="str">
        <f>IF(AND(G11&lt;&gt;"",E17&lt;&gt;"",L17&lt;&gt;""),TRUE,IF(AND(G11&lt;&gt;"",OR(AND(E17&lt;&gt;"",L17=""),AND(E17="",L17&lt;&gt;""))),CONST_ErrorOrMissing&amp;C11,CONST_NA))</f>
        <v>n.a.</v>
      </c>
    </row>
    <row r="18" spans="1:24" ht="12.75" customHeight="1" x14ac:dyDescent="0.35">
      <c r="D18" s="173">
        <v>3</v>
      </c>
      <c r="E18" s="158" t="str">
        <f t="shared" si="0"/>
        <v/>
      </c>
      <c r="F18" s="158"/>
      <c r="G18" s="158"/>
      <c r="H18" s="159" t="str">
        <f>IF(L11="","",INDEX(CONST_MATRIX_ProductionRoute,MATCH(L11,CONST_LIST_Goods,0),D18))</f>
        <v/>
      </c>
      <c r="I18" s="158"/>
      <c r="J18" s="158"/>
      <c r="K18" s="160" t="str">
        <f t="shared" si="1"/>
        <v/>
      </c>
      <c r="L18" s="30"/>
      <c r="O18" s="902"/>
      <c r="P18" s="144"/>
      <c r="S18" s="105">
        <v>3</v>
      </c>
      <c r="T18" s="156"/>
      <c r="V18" s="157" t="str">
        <f>IF(AND(G11&lt;&gt;"",E18&lt;&gt;"",L18&lt;&gt;""),TRUE,IF(AND(G11&lt;&gt;"",OR(AND(E18&lt;&gt;"",L18=""),AND(E18="",L18&lt;&gt;""))),CONST_ErrorOrMissing&amp;C11,CONST_NA))</f>
        <v>n.a.</v>
      </c>
    </row>
    <row r="19" spans="1:24" ht="12.75" customHeight="1" x14ac:dyDescent="0.35">
      <c r="D19" s="173">
        <v>4</v>
      </c>
      <c r="E19" s="158" t="str">
        <f t="shared" si="0"/>
        <v/>
      </c>
      <c r="F19" s="158"/>
      <c r="G19" s="158"/>
      <c r="H19" s="159" t="str">
        <f>IF(L11="","",INDEX(CONST_MATRIX_ProductionRoute,MATCH(L11,CONST_LIST_Goods,0),D19))</f>
        <v/>
      </c>
      <c r="I19" s="158"/>
      <c r="J19" s="158"/>
      <c r="K19" s="160" t="str">
        <f t="shared" si="1"/>
        <v/>
      </c>
      <c r="L19" s="30"/>
      <c r="O19" s="902"/>
      <c r="P19" s="144"/>
      <c r="S19" s="105">
        <v>4</v>
      </c>
      <c r="T19" s="156"/>
      <c r="V19" s="157" t="str">
        <f>IF(AND(G11&lt;&gt;"",E19&lt;&gt;"",L19&lt;&gt;""),TRUE,IF(AND(G11&lt;&gt;"",OR(AND(E19&lt;&gt;"",L19=""),AND(E19="",L19&lt;&gt;""))),CONST_ErrorOrMissing&amp;C11,CONST_NA))</f>
        <v>n.a.</v>
      </c>
    </row>
    <row r="20" spans="1:24" ht="12.75" customHeight="1" x14ac:dyDescent="0.35">
      <c r="D20" s="173">
        <v>5</v>
      </c>
      <c r="E20" s="158" t="str">
        <f t="shared" si="0"/>
        <v/>
      </c>
      <c r="F20" s="158"/>
      <c r="G20" s="158"/>
      <c r="H20" s="159" t="str">
        <f>IF(L11="","",INDEX(CONST_MATRIX_ProductionRoute,MATCH(L11,CONST_LIST_Goods,0),D20))</f>
        <v/>
      </c>
      <c r="I20" s="158"/>
      <c r="J20" s="158"/>
      <c r="K20" s="160" t="str">
        <f t="shared" si="1"/>
        <v/>
      </c>
      <c r="L20" s="30"/>
      <c r="O20" s="902"/>
      <c r="P20" s="144"/>
      <c r="S20" s="105">
        <v>5</v>
      </c>
      <c r="T20" s="156"/>
      <c r="V20" s="157" t="str">
        <f>IF(AND(G11&lt;&gt;"",E20&lt;&gt;"",L20&lt;&gt;""),TRUE,IF(AND(G11&lt;&gt;"",OR(AND(E20&lt;&gt;"",L20=""),AND(E20="",L20&lt;&gt;""))),CONST_ErrorOrMissing&amp;C11,CONST_NA))</f>
        <v>n.a.</v>
      </c>
    </row>
    <row r="21" spans="1:24" ht="12.75" customHeight="1" x14ac:dyDescent="0.35">
      <c r="D21" s="173">
        <v>6</v>
      </c>
      <c r="E21" s="158" t="str">
        <f t="shared" si="0"/>
        <v/>
      </c>
      <c r="F21" s="158"/>
      <c r="G21" s="158"/>
      <c r="H21" s="159" t="str">
        <f>IF(L11="","",INDEX(CONST_MATRIX_ProductionRoute,MATCH(L11,CONST_LIST_Goods,0),D21))</f>
        <v/>
      </c>
      <c r="I21" s="158"/>
      <c r="J21" s="158"/>
      <c r="K21" s="160" t="str">
        <f t="shared" si="1"/>
        <v/>
      </c>
      <c r="L21" s="30"/>
      <c r="O21" s="902"/>
      <c r="P21" s="144"/>
      <c r="S21" s="105">
        <v>6</v>
      </c>
      <c r="T21" s="156"/>
      <c r="V21" s="157" t="str">
        <f>IF(AND(G11&lt;&gt;"",E21&lt;&gt;"",L21&lt;&gt;""),TRUE,IF(AND(G11&lt;&gt;"",OR(AND(E21&lt;&gt;"",L21=""),AND(E21="",L21&lt;&gt;""))),CONST_ErrorOrMissing&amp;C11,CONST_NA))</f>
        <v>n.a.</v>
      </c>
    </row>
    <row r="22" spans="1:24" ht="12.75" customHeight="1" x14ac:dyDescent="0.35">
      <c r="D22" s="173">
        <v>7</v>
      </c>
      <c r="E22" s="158" t="str">
        <f t="shared" si="0"/>
        <v/>
      </c>
      <c r="F22" s="158"/>
      <c r="G22" s="158"/>
      <c r="H22" s="159" t="str">
        <f>IF(L11="","",INDEX(CONST_MATRIX_ProductionRoute,MATCH(L11,CONST_LIST_Goods,0),D22))</f>
        <v/>
      </c>
      <c r="I22" s="158"/>
      <c r="J22" s="158"/>
      <c r="K22" s="160" t="str">
        <f t="shared" si="1"/>
        <v/>
      </c>
      <c r="L22" s="30"/>
      <c r="O22" s="902"/>
      <c r="P22" s="144"/>
      <c r="S22" s="105">
        <v>7</v>
      </c>
      <c r="T22" s="156"/>
      <c r="V22" s="157" t="str">
        <f>IF(AND(G11&lt;&gt;"",E22&lt;&gt;"",L22&lt;&gt;""),TRUE,IF(AND(G11&lt;&gt;"",OR(AND(E22&lt;&gt;"",L22=""),AND(E22="",L22&lt;&gt;""))),CONST_ErrorOrMissing&amp;C11,CONST_NA))</f>
        <v>n.a.</v>
      </c>
    </row>
    <row r="23" spans="1:24" ht="12.75" customHeight="1" x14ac:dyDescent="0.35">
      <c r="D23" s="173">
        <v>8</v>
      </c>
      <c r="E23" s="161" t="str">
        <f t="shared" si="0"/>
        <v/>
      </c>
      <c r="F23" s="161"/>
      <c r="G23" s="161"/>
      <c r="H23" s="162" t="str">
        <f>IF(L11="","",INDEX(CONST_MATRIX_ProductionRoute,MATCH(L11,CONST_LIST_Goods,0),D23))</f>
        <v/>
      </c>
      <c r="I23" s="161"/>
      <c r="J23" s="161"/>
      <c r="K23" s="163" t="str">
        <f t="shared" si="1"/>
        <v/>
      </c>
      <c r="L23" s="31"/>
      <c r="O23" s="902"/>
      <c r="P23" s="144"/>
      <c r="S23" s="105">
        <v>8</v>
      </c>
      <c r="T23" s="156"/>
      <c r="V23" s="157" t="str">
        <f>IF(AND(G11&lt;&gt;"",E23&lt;&gt;"",L23&lt;&gt;""),TRUE,IF(AND(G11&lt;&gt;"",OR(AND(E23&lt;&gt;"",L23=""),AND(E23="",L23&lt;&gt;""))),CONST_ErrorOrMissing&amp;C11,CONST_NA))</f>
        <v>n.a.</v>
      </c>
    </row>
    <row r="24" spans="1:24" ht="12.75" customHeight="1" x14ac:dyDescent="0.35">
      <c r="D24" s="103"/>
      <c r="E24" s="138" t="str">
        <f>Translations!$B$246</f>
        <v>Total production within installation (= denominator for SEE calculation):</v>
      </c>
      <c r="F24" s="138"/>
      <c r="G24" s="138"/>
      <c r="H24" s="164"/>
      <c r="I24" s="138"/>
      <c r="J24" s="138"/>
      <c r="K24" s="165" t="str">
        <f>K16</f>
        <v/>
      </c>
      <c r="L24" s="140" t="str">
        <f>IF(G11="","",SUM(L16:L23))</f>
        <v/>
      </c>
      <c r="O24" s="901"/>
      <c r="P24" s="144"/>
      <c r="R24" s="102" t="str">
        <f>CONST_CNTR_TotProd&amp;G11</f>
        <v>TotProd_</v>
      </c>
      <c r="T24" s="124" t="str">
        <f>IF(G11="","",L24)</f>
        <v/>
      </c>
    </row>
    <row r="25" spans="1:24" s="144" customFormat="1" ht="5.15" customHeight="1" x14ac:dyDescent="0.35">
      <c r="A25" s="91"/>
      <c r="B25" s="93"/>
      <c r="C25" s="93"/>
      <c r="D25" s="166"/>
      <c r="E25" s="167"/>
      <c r="N25" s="93"/>
      <c r="O25" s="901"/>
      <c r="Q25" s="93"/>
      <c r="R25" s="91"/>
      <c r="S25" s="91"/>
      <c r="T25" s="712"/>
      <c r="U25" s="91"/>
      <c r="V25" s="91"/>
      <c r="W25" s="104"/>
      <c r="X25" s="91"/>
    </row>
    <row r="26" spans="1:24" s="144" customFormat="1" ht="12.75" customHeight="1" x14ac:dyDescent="0.35">
      <c r="A26" s="91"/>
      <c r="B26" s="93"/>
      <c r="C26" s="93"/>
      <c r="D26" s="168" t="s">
        <v>48</v>
      </c>
      <c r="E26" s="167" t="str">
        <f>Translations!$B$247</f>
        <v>Production details</v>
      </c>
      <c r="F26" s="167"/>
      <c r="G26" s="167"/>
      <c r="H26" s="168"/>
      <c r="K26" s="168" t="str">
        <f>Translations!$B$221</f>
        <v>Unit</v>
      </c>
      <c r="L26" s="168" t="str">
        <f>Translations!$B$245</f>
        <v>Amounts</v>
      </c>
      <c r="N26" s="93"/>
      <c r="O26" s="901"/>
      <c r="Q26" s="93"/>
      <c r="R26" s="91"/>
      <c r="S26" s="91"/>
      <c r="T26" s="712"/>
      <c r="U26" s="91"/>
      <c r="V26" s="91"/>
      <c r="W26" s="104"/>
      <c r="X26" s="91"/>
    </row>
    <row r="27" spans="1:24" s="144" customFormat="1" ht="12.75" customHeight="1" x14ac:dyDescent="0.35">
      <c r="A27" s="91"/>
      <c r="B27" s="93"/>
      <c r="C27" s="93"/>
      <c r="D27" s="132" t="s">
        <v>41</v>
      </c>
      <c r="E27" s="138" t="str">
        <f>Translations!$B$248</f>
        <v>Produced for the market</v>
      </c>
      <c r="F27" s="138"/>
      <c r="G27" s="138"/>
      <c r="H27" s="138"/>
      <c r="I27" s="138"/>
      <c r="J27" s="138"/>
      <c r="K27" s="169" t="str">
        <f>K16</f>
        <v/>
      </c>
      <c r="L27" s="211"/>
      <c r="N27" s="93"/>
      <c r="O27" s="902"/>
      <c r="Q27" s="93"/>
      <c r="R27" s="102" t="str">
        <f>CONST_GoodToMarket&amp;G11</f>
        <v>ToMarket_</v>
      </c>
      <c r="S27" s="91"/>
      <c r="T27" s="124" t="str">
        <f>IF($G$11="","",L27)</f>
        <v/>
      </c>
      <c r="U27" s="91"/>
      <c r="V27" s="157" t="str">
        <f>IF(AND(G11&lt;&gt;"",L27&lt;&gt;""),TRUE,IF(AND(G11&lt;&gt;"",OR(L27="",L16&lt;&gt;"")),CONST_ErrorOrMissing&amp;C11,CONST_NA))</f>
        <v>n.a.</v>
      </c>
      <c r="W27" s="104"/>
      <c r="X27" s="91"/>
    </row>
    <row r="28" spans="1:24" s="144" customFormat="1" ht="12.75" customHeight="1" x14ac:dyDescent="0.35">
      <c r="A28" s="91"/>
      <c r="B28" s="93"/>
      <c r="C28" s="93"/>
      <c r="D28" s="132" t="s">
        <v>42</v>
      </c>
      <c r="E28" s="133" t="str">
        <f>Translations!$B$249</f>
        <v>Share of total under (a) produced for the market</v>
      </c>
      <c r="F28" s="288"/>
      <c r="G28" s="288"/>
      <c r="H28" s="288"/>
      <c r="I28" s="288"/>
      <c r="J28" s="288"/>
      <c r="K28" s="288"/>
      <c r="L28" s="289" t="str">
        <f>IF(AND(COUNT(L24,L27)=2,SUM(L24&gt;0)),SUM(L27)/SUM(L24),"")</f>
        <v/>
      </c>
      <c r="N28" s="93"/>
      <c r="O28" s="901"/>
      <c r="Q28" s="93"/>
      <c r="R28" s="171"/>
      <c r="S28" s="91"/>
      <c r="T28" s="712"/>
      <c r="U28" s="91"/>
      <c r="V28" s="172"/>
      <c r="W28" s="104"/>
      <c r="X28" s="91"/>
    </row>
    <row r="29" spans="1:24" s="144" customFormat="1" ht="12.75" customHeight="1" x14ac:dyDescent="0.35">
      <c r="A29" s="91"/>
      <c r="B29" s="93"/>
      <c r="C29" s="93"/>
      <c r="D29" s="132" t="s">
        <v>43</v>
      </c>
      <c r="E29" s="136" t="str">
        <f>Translations!$B$250</f>
        <v>Total production only for the market?</v>
      </c>
      <c r="F29" s="290"/>
      <c r="G29" s="290"/>
      <c r="H29" s="290"/>
      <c r="I29" s="290"/>
      <c r="J29" s="290"/>
      <c r="K29" s="290"/>
      <c r="L29" s="291" t="str">
        <f>IF(G11="","",AND(SUM(L24)&gt;0,SUM(L24)=SUM(L27)))</f>
        <v/>
      </c>
      <c r="N29" s="93"/>
      <c r="O29" s="901"/>
      <c r="Q29" s="93"/>
      <c r="R29" s="171"/>
      <c r="S29" s="91"/>
      <c r="T29" s="712"/>
      <c r="U29" s="91"/>
      <c r="V29" s="91"/>
      <c r="W29" s="104"/>
      <c r="X29" s="91"/>
    </row>
    <row r="30" spans="1:24" s="144" customFormat="1" ht="5.15" customHeight="1" x14ac:dyDescent="0.35">
      <c r="A30" s="91"/>
      <c r="B30" s="93"/>
      <c r="C30" s="93"/>
      <c r="D30" s="166"/>
      <c r="E30" s="167"/>
      <c r="N30" s="93"/>
      <c r="O30" s="901"/>
      <c r="Q30" s="93"/>
      <c r="R30" s="91"/>
      <c r="S30" s="91"/>
      <c r="T30" s="712"/>
      <c r="U30" s="91"/>
      <c r="V30" s="91"/>
      <c r="W30" s="104"/>
      <c r="X30" s="91"/>
    </row>
    <row r="31" spans="1:24" s="144" customFormat="1" ht="12.75" customHeight="1" x14ac:dyDescent="0.35">
      <c r="A31" s="91"/>
      <c r="B31" s="93"/>
      <c r="C31" s="93"/>
      <c r="D31" s="168" t="s">
        <v>49</v>
      </c>
      <c r="E31" s="167" t="str">
        <f>Translations!$B$251</f>
        <v>Consumed in other 'production processes' within the installation:</v>
      </c>
      <c r="F31" s="167"/>
      <c r="G31" s="167"/>
      <c r="H31" s="167"/>
      <c r="I31" s="167"/>
      <c r="J31" s="167"/>
      <c r="K31" s="168" t="str">
        <f>Translations!$B$221</f>
        <v>Unit</v>
      </c>
      <c r="L31" s="168" t="str">
        <f>Translations!$B$245</f>
        <v>Amounts</v>
      </c>
      <c r="N31" s="93"/>
      <c r="O31" s="901"/>
      <c r="Q31" s="93"/>
      <c r="R31" s="91"/>
      <c r="S31" s="123" t="s">
        <v>195</v>
      </c>
      <c r="T31" s="712"/>
      <c r="U31" s="91"/>
      <c r="V31" s="91"/>
      <c r="W31" s="104" t="s">
        <v>34</v>
      </c>
      <c r="X31" s="102" t="b">
        <f>IF(G11="",FALSE,L29)</f>
        <v>0</v>
      </c>
    </row>
    <row r="32" spans="1:24" s="144" customFormat="1" ht="12.75" customHeight="1" x14ac:dyDescent="0.35">
      <c r="A32" s="91"/>
      <c r="B32" s="93"/>
      <c r="C32" s="93"/>
      <c r="D32" s="173">
        <v>1</v>
      </c>
      <c r="E32" s="174" t="str">
        <f t="shared" ref="E32:E40" si="2">IF(INDEX(CNTR_List_ExistProdProcNames,S32)=CONST_NA,"",INDEX(CNTR_List_ExistProdProcNames,S32))</f>
        <v/>
      </c>
      <c r="F32" s="175"/>
      <c r="G32" s="175"/>
      <c r="H32" s="175"/>
      <c r="I32" s="175"/>
      <c r="J32" s="176"/>
      <c r="K32" s="155" t="str">
        <f>K16</f>
        <v/>
      </c>
      <c r="L32" s="29"/>
      <c r="N32" s="93"/>
      <c r="O32" s="902"/>
      <c r="Q32" s="93"/>
      <c r="R32" s="102" t="str">
        <f>CONST_PrecursorToGoodInput&amp;G11 &amp;"_"&amp;E32</f>
        <v>PrecToGood__</v>
      </c>
      <c r="S32" s="105">
        <f>MAX(S31:S31)+IF(D32=C11,2,1)</f>
        <v>2</v>
      </c>
      <c r="T32" s="124" t="str">
        <f>IF(G11="","",L32)</f>
        <v/>
      </c>
      <c r="U32" s="91"/>
      <c r="V32" s="157" t="str">
        <f>IF(AND(G11&lt;&gt;"",E32&lt;&gt;"",L32&lt;&gt;""),TRUE,IF(AND(G11&lt;&gt;"",E32&lt;&gt;"",L32="",X32=FALSE),CONST_ErrorOrMissing&amp;C11,CONST_NA))</f>
        <v>n.a.</v>
      </c>
      <c r="W32" s="104" t="s">
        <v>34</v>
      </c>
      <c r="X32" s="102" t="b">
        <f>IF(G11="",FALSE,OR(L29,E32=""))</f>
        <v>0</v>
      </c>
    </row>
    <row r="33" spans="1:24" s="144" customFormat="1" ht="12.75" customHeight="1" x14ac:dyDescent="0.35">
      <c r="A33" s="91"/>
      <c r="B33" s="93"/>
      <c r="C33" s="93"/>
      <c r="D33" s="173">
        <v>2</v>
      </c>
      <c r="E33" s="177" t="str">
        <f t="shared" si="2"/>
        <v/>
      </c>
      <c r="F33" s="178"/>
      <c r="G33" s="178"/>
      <c r="H33" s="178"/>
      <c r="I33" s="178"/>
      <c r="J33" s="179"/>
      <c r="K33" s="160" t="str">
        <f>K32</f>
        <v/>
      </c>
      <c r="L33" s="30"/>
      <c r="N33" s="93"/>
      <c r="O33" s="902"/>
      <c r="Q33" s="93"/>
      <c r="R33" s="102" t="str">
        <f>CONST_PrecursorToGoodInput&amp;G11 &amp;"_"&amp;E33</f>
        <v>PrecToGood__</v>
      </c>
      <c r="S33" s="105">
        <f>MAX(S31:S32)+IF(D33=C11,2,1)</f>
        <v>3</v>
      </c>
      <c r="T33" s="124" t="str">
        <f>IF(G11="","",L33)</f>
        <v/>
      </c>
      <c r="U33" s="91"/>
      <c r="V33" s="157" t="str">
        <f>IF(AND(G11&lt;&gt;"",E33&lt;&gt;"",L33&lt;&gt;""),TRUE,IF(AND(G11&lt;&gt;"",E33&lt;&gt;"",L33="",X33=FALSE),CONST_ErrorOrMissing&amp;C11,CONST_NA))</f>
        <v>n.a.</v>
      </c>
      <c r="W33" s="104"/>
      <c r="X33" s="102" t="b">
        <f>IF(G11="",FALSE,OR(L29,E33=""))</f>
        <v>0</v>
      </c>
    </row>
    <row r="34" spans="1:24" s="144" customFormat="1" ht="12.75" customHeight="1" x14ac:dyDescent="0.35">
      <c r="A34" s="91"/>
      <c r="B34" s="93"/>
      <c r="C34" s="93"/>
      <c r="D34" s="173">
        <v>3</v>
      </c>
      <c r="E34" s="177" t="str">
        <f t="shared" si="2"/>
        <v/>
      </c>
      <c r="F34" s="178"/>
      <c r="G34" s="178"/>
      <c r="H34" s="178"/>
      <c r="I34" s="178"/>
      <c r="J34" s="179"/>
      <c r="K34" s="160" t="str">
        <f t="shared" ref="K34:K42" si="3">K33</f>
        <v/>
      </c>
      <c r="L34" s="30"/>
      <c r="N34" s="93"/>
      <c r="O34" s="902"/>
      <c r="Q34" s="93"/>
      <c r="R34" s="102" t="str">
        <f>CONST_PrecursorToGoodInput&amp;G11 &amp;"_"&amp;E34</f>
        <v>PrecToGood__</v>
      </c>
      <c r="S34" s="105">
        <f>MAX(S31:S33)+IF(D34=C11,2,1)</f>
        <v>4</v>
      </c>
      <c r="T34" s="124" t="str">
        <f>IF(G11="","",L34)</f>
        <v/>
      </c>
      <c r="U34" s="91"/>
      <c r="V34" s="157" t="str">
        <f>IF(AND(G11&lt;&gt;"",E34&lt;&gt;"",L34&lt;&gt;""),TRUE,IF(AND(G11&lt;&gt;"",E34&lt;&gt;"",L34="",X34=FALSE),CONST_ErrorOrMissing&amp;C11,CONST_NA))</f>
        <v>n.a.</v>
      </c>
      <c r="W34" s="104"/>
      <c r="X34" s="102" t="b">
        <f>IF(G11="",FALSE,OR(L29,E34=""))</f>
        <v>0</v>
      </c>
    </row>
    <row r="35" spans="1:24" s="144" customFormat="1" ht="12.75" customHeight="1" x14ac:dyDescent="0.35">
      <c r="A35" s="91"/>
      <c r="B35" s="93"/>
      <c r="C35" s="93"/>
      <c r="D35" s="173">
        <v>4</v>
      </c>
      <c r="E35" s="177" t="str">
        <f t="shared" si="2"/>
        <v/>
      </c>
      <c r="F35" s="178"/>
      <c r="G35" s="178"/>
      <c r="H35" s="178"/>
      <c r="I35" s="178"/>
      <c r="J35" s="179"/>
      <c r="K35" s="160" t="str">
        <f t="shared" si="3"/>
        <v/>
      </c>
      <c r="L35" s="30"/>
      <c r="N35" s="93"/>
      <c r="O35" s="902"/>
      <c r="Q35" s="93"/>
      <c r="R35" s="102" t="str">
        <f>CONST_PrecursorToGoodInput&amp;G11 &amp;"_"&amp;E35</f>
        <v>PrecToGood__</v>
      </c>
      <c r="S35" s="105">
        <f>MAX(S31:S34)+IF(D35=C11,2,1)</f>
        <v>5</v>
      </c>
      <c r="T35" s="124" t="str">
        <f>IF(G11="","",L35)</f>
        <v/>
      </c>
      <c r="U35" s="91"/>
      <c r="V35" s="157" t="str">
        <f>IF(AND(G11&lt;&gt;"",E35&lt;&gt;"",L35&lt;&gt;""),TRUE,IF(AND(G11&lt;&gt;"",E35&lt;&gt;"",L35="",X35=FALSE),CONST_ErrorOrMissing&amp;C11,CONST_NA))</f>
        <v>n.a.</v>
      </c>
      <c r="W35" s="104"/>
      <c r="X35" s="102" t="b">
        <f>IF(G11="",FALSE,OR(L29,E35=""))</f>
        <v>0</v>
      </c>
    </row>
    <row r="36" spans="1:24" s="144" customFormat="1" ht="12.75" customHeight="1" x14ac:dyDescent="0.35">
      <c r="A36" s="91"/>
      <c r="B36" s="93"/>
      <c r="C36" s="93"/>
      <c r="D36" s="173">
        <v>5</v>
      </c>
      <c r="E36" s="180" t="str">
        <f t="shared" si="2"/>
        <v/>
      </c>
      <c r="F36" s="181"/>
      <c r="G36" s="181"/>
      <c r="H36" s="181"/>
      <c r="I36" s="181"/>
      <c r="J36" s="182"/>
      <c r="K36" s="183" t="str">
        <f t="shared" si="3"/>
        <v/>
      </c>
      <c r="L36" s="212"/>
      <c r="N36" s="93"/>
      <c r="O36" s="902"/>
      <c r="Q36" s="93"/>
      <c r="R36" s="102" t="str">
        <f>CONST_PrecursorToGoodInput&amp;G11 &amp;"_"&amp;E36</f>
        <v>PrecToGood__</v>
      </c>
      <c r="S36" s="105">
        <f>MAX(S31:S35)+IF(D36=C11,2,1)</f>
        <v>6</v>
      </c>
      <c r="T36" s="124" t="str">
        <f>IF(G11="","",L36)</f>
        <v/>
      </c>
      <c r="U36" s="91"/>
      <c r="V36" s="157" t="str">
        <f>IF(AND(G11&lt;&gt;"",E36&lt;&gt;"",L36&lt;&gt;""),TRUE,IF(AND(G11&lt;&gt;"",E36&lt;&gt;"",L36="",X36=FALSE),CONST_ErrorOrMissing&amp;C11,CONST_NA))</f>
        <v>n.a.</v>
      </c>
      <c r="W36" s="104"/>
      <c r="X36" s="102" t="b">
        <f>IF(G11="",FALSE,OR(L29,E36=""))</f>
        <v>0</v>
      </c>
    </row>
    <row r="37" spans="1:24" s="144" customFormat="1" ht="12.75" customHeight="1" x14ac:dyDescent="0.35">
      <c r="A37" s="91"/>
      <c r="B37" s="93"/>
      <c r="C37" s="93"/>
      <c r="D37" s="173">
        <v>6</v>
      </c>
      <c r="E37" s="180" t="str">
        <f t="shared" si="2"/>
        <v/>
      </c>
      <c r="F37" s="181"/>
      <c r="G37" s="181"/>
      <c r="H37" s="181"/>
      <c r="I37" s="181"/>
      <c r="J37" s="182"/>
      <c r="K37" s="183" t="str">
        <f t="shared" si="3"/>
        <v/>
      </c>
      <c r="L37" s="212"/>
      <c r="N37" s="93"/>
      <c r="O37" s="902"/>
      <c r="Q37" s="93"/>
      <c r="R37" s="102" t="str">
        <f>CONST_PrecursorToGoodInput&amp;G11 &amp;"_"&amp;E37</f>
        <v>PrecToGood__</v>
      </c>
      <c r="S37" s="105">
        <f>MAX(S31:S36)+IF(D37=C11,2,1)</f>
        <v>7</v>
      </c>
      <c r="T37" s="124" t="str">
        <f>IF(G11="","",L37)</f>
        <v/>
      </c>
      <c r="U37" s="91"/>
      <c r="V37" s="157" t="str">
        <f>IF(AND(G11&lt;&gt;"",E37&lt;&gt;"",L37&lt;&gt;""),TRUE,IF(AND(G11&lt;&gt;"",E37&lt;&gt;"",L37="",X37=FALSE),CONST_ErrorOrMissing&amp;C11,CONST_NA))</f>
        <v>n.a.</v>
      </c>
      <c r="W37" s="104"/>
      <c r="X37" s="102" t="b">
        <f>IF(G11="",FALSE,OR(L29,E37=""))</f>
        <v>0</v>
      </c>
    </row>
    <row r="38" spans="1:24" s="144" customFormat="1" ht="12.75" customHeight="1" x14ac:dyDescent="0.35">
      <c r="A38" s="91"/>
      <c r="B38" s="93"/>
      <c r="C38" s="93"/>
      <c r="D38" s="173">
        <v>7</v>
      </c>
      <c r="E38" s="180" t="str">
        <f t="shared" si="2"/>
        <v/>
      </c>
      <c r="F38" s="181"/>
      <c r="G38" s="181"/>
      <c r="H38" s="181"/>
      <c r="I38" s="181"/>
      <c r="J38" s="182"/>
      <c r="K38" s="183" t="str">
        <f t="shared" si="3"/>
        <v/>
      </c>
      <c r="L38" s="212"/>
      <c r="N38" s="93"/>
      <c r="O38" s="902"/>
      <c r="Q38" s="93"/>
      <c r="R38" s="102" t="str">
        <f>CONST_PrecursorToGoodInput&amp;G11 &amp;"_"&amp;E38</f>
        <v>PrecToGood__</v>
      </c>
      <c r="S38" s="105">
        <f>MAX(S31:S37)+IF(D38=C11,2,1)</f>
        <v>8</v>
      </c>
      <c r="T38" s="124" t="str">
        <f>IF(G11="","",L38)</f>
        <v/>
      </c>
      <c r="U38" s="91"/>
      <c r="V38" s="157" t="str">
        <f>IF(AND(G11&lt;&gt;"",E38&lt;&gt;"",L38&lt;&gt;""),TRUE,IF(AND(G11&lt;&gt;"",E38&lt;&gt;"",L38="",X38=FALSE),CONST_ErrorOrMissing&amp;C11,CONST_NA))</f>
        <v>n.a.</v>
      </c>
      <c r="W38" s="104"/>
      <c r="X38" s="102" t="b">
        <f>IF(G11="",FALSE,OR(L29,E38=""))</f>
        <v>0</v>
      </c>
    </row>
    <row r="39" spans="1:24" s="144" customFormat="1" ht="12.75" customHeight="1" x14ac:dyDescent="0.35">
      <c r="A39" s="91"/>
      <c r="B39" s="93"/>
      <c r="C39" s="93"/>
      <c r="D39" s="173">
        <v>8</v>
      </c>
      <c r="E39" s="180" t="str">
        <f t="shared" si="2"/>
        <v/>
      </c>
      <c r="F39" s="181"/>
      <c r="G39" s="181"/>
      <c r="H39" s="181"/>
      <c r="I39" s="181"/>
      <c r="J39" s="182"/>
      <c r="K39" s="183" t="str">
        <f t="shared" si="3"/>
        <v/>
      </c>
      <c r="L39" s="212"/>
      <c r="N39" s="93"/>
      <c r="O39" s="902"/>
      <c r="Q39" s="93"/>
      <c r="R39" s="102" t="str">
        <f>CONST_PrecursorToGoodInput&amp;G11 &amp;"_"&amp;E39</f>
        <v>PrecToGood__</v>
      </c>
      <c r="S39" s="105">
        <f>MAX(S31:S38)+IF(D39=C11,2,1)</f>
        <v>9</v>
      </c>
      <c r="T39" s="124" t="str">
        <f>IF(G11="","",L39)</f>
        <v/>
      </c>
      <c r="U39" s="91"/>
      <c r="V39" s="157" t="str">
        <f>IF(AND(G11&lt;&gt;"",E39&lt;&gt;"",L39&lt;&gt;""),TRUE,IF(AND(G11&lt;&gt;"",E39&lt;&gt;"",L39="",X39=FALSE),CONST_ErrorOrMissing&amp;C11,CONST_NA))</f>
        <v>n.a.</v>
      </c>
      <c r="W39" s="104"/>
      <c r="X39" s="102" t="b">
        <f>IF(G11="",FALSE,OR(L29,E39=""))</f>
        <v>0</v>
      </c>
    </row>
    <row r="40" spans="1:24" s="144" customFormat="1" ht="12.75" customHeight="1" x14ac:dyDescent="0.35">
      <c r="A40" s="91"/>
      <c r="B40" s="93"/>
      <c r="C40" s="93"/>
      <c r="D40" s="173">
        <v>9</v>
      </c>
      <c r="E40" s="184" t="str">
        <f t="shared" si="2"/>
        <v/>
      </c>
      <c r="F40" s="185"/>
      <c r="G40" s="185"/>
      <c r="H40" s="185"/>
      <c r="I40" s="185"/>
      <c r="J40" s="186"/>
      <c r="K40" s="163" t="str">
        <f t="shared" si="3"/>
        <v/>
      </c>
      <c r="L40" s="31"/>
      <c r="N40" s="93"/>
      <c r="O40" s="902"/>
      <c r="Q40" s="93"/>
      <c r="R40" s="102" t="str">
        <f>CONST_PrecursorToGoodInput&amp;G11 &amp;"_"&amp;E40</f>
        <v>PrecToGood__</v>
      </c>
      <c r="S40" s="105">
        <f>MAX(S31:S39)+IF(D40=C11,2,1)</f>
        <v>10</v>
      </c>
      <c r="T40" s="124" t="str">
        <f>IF(G11="","",L40)</f>
        <v/>
      </c>
      <c r="U40" s="91"/>
      <c r="V40" s="157" t="str">
        <f>IF(AND(G11&lt;&gt;"",E40&lt;&gt;"",L40&lt;&gt;""),TRUE,IF(AND(G11&lt;&gt;"",E40&lt;&gt;"",L40="",X40=FALSE),CONST_ErrorOrMissing&amp;C11,CONST_NA))</f>
        <v>n.a.</v>
      </c>
      <c r="W40" s="104"/>
      <c r="X40" s="102" t="b">
        <f>IF(G11="",FALSE,OR(L29,E40=""))</f>
        <v>0</v>
      </c>
    </row>
    <row r="41" spans="1:24" s="144" customFormat="1" ht="12.75" customHeight="1" x14ac:dyDescent="0.35">
      <c r="A41" s="91"/>
      <c r="B41" s="93"/>
      <c r="C41" s="93"/>
      <c r="D41" s="168" t="s">
        <v>377</v>
      </c>
      <c r="E41" s="167" t="str">
        <f>Translations!$B$252</f>
        <v>Consumed for non-CBAM goods within the installation:</v>
      </c>
      <c r="F41" s="167"/>
      <c r="G41" s="167"/>
      <c r="H41" s="167"/>
      <c r="I41" s="167"/>
      <c r="J41" s="167"/>
      <c r="K41" s="297" t="str">
        <f t="shared" si="3"/>
        <v/>
      </c>
      <c r="L41" s="298"/>
      <c r="N41" s="93"/>
      <c r="O41" s="902"/>
      <c r="Q41" s="93"/>
      <c r="R41" s="91"/>
      <c r="S41" s="91"/>
      <c r="T41" s="712"/>
      <c r="U41" s="91"/>
      <c r="V41" s="157" t="str">
        <f>IF(AND(G11&lt;&gt;"",L41&lt;&gt;""),TRUE,IF(AND(G11&lt;&gt;"",L41="",X41=FALSE),CONST_ErrorOrMissing&amp;C11,CONST_NA))</f>
        <v>n.a.</v>
      </c>
      <c r="W41" s="104" t="s">
        <v>34</v>
      </c>
      <c r="X41" s="102" t="b">
        <f>IF(G11="",FALSE,L29)</f>
        <v>0</v>
      </c>
    </row>
    <row r="42" spans="1:24" s="144" customFormat="1" ht="12.75" customHeight="1" x14ac:dyDescent="0.35">
      <c r="A42" s="91"/>
      <c r="B42" s="93"/>
      <c r="C42" s="93"/>
      <c r="D42" s="168" t="s">
        <v>411</v>
      </c>
      <c r="E42" s="138" t="str">
        <f>Translations!$B$253</f>
        <v>Control:</v>
      </c>
      <c r="F42" s="170"/>
      <c r="G42" s="170"/>
      <c r="H42" s="170"/>
      <c r="I42" s="170"/>
      <c r="J42" s="170"/>
      <c r="K42" s="169" t="str">
        <f t="shared" si="3"/>
        <v/>
      </c>
      <c r="L42" s="386" t="str">
        <f>IF(G11="","",SUM(L24)-SUM(L27,L32:L41))</f>
        <v/>
      </c>
      <c r="N42" s="93"/>
      <c r="O42" s="902"/>
      <c r="Q42" s="93"/>
      <c r="R42" s="91"/>
      <c r="S42" s="91"/>
      <c r="T42" s="712"/>
      <c r="U42" s="91"/>
      <c r="V42" s="157" t="str">
        <f>IF(AND(G11&lt;&gt;"",L42=0),TRUE,IF(AND(G11&lt;&gt;"",L42&lt;&gt;0,X42=FALSE),CONST_ErrorOrMissing&amp;C11,CONST_NA))</f>
        <v>n.a.</v>
      </c>
      <c r="W42" s="104"/>
      <c r="X42" s="102" t="b">
        <f>IF(G11="",FALSE,L29)</f>
        <v>0</v>
      </c>
    </row>
    <row r="43" spans="1:24" s="144" customFormat="1" ht="12.75" customHeight="1" thickBot="1" x14ac:dyDescent="0.4">
      <c r="A43" s="91"/>
      <c r="B43" s="93"/>
      <c r="C43" s="93"/>
      <c r="D43" s="93"/>
      <c r="E43" s="93"/>
      <c r="F43" s="93"/>
      <c r="G43" s="93"/>
      <c r="H43" s="93"/>
      <c r="I43" s="93"/>
      <c r="J43" s="93"/>
      <c r="K43" s="93"/>
      <c r="L43" s="93"/>
      <c r="M43" s="93"/>
      <c r="N43" s="93"/>
      <c r="O43" s="901"/>
      <c r="Q43" s="93"/>
      <c r="R43" s="91"/>
      <c r="S43" s="91"/>
      <c r="T43" s="712"/>
      <c r="U43" s="91"/>
      <c r="V43" s="91"/>
      <c r="W43" s="104"/>
      <c r="X43" s="91"/>
    </row>
    <row r="44" spans="1:24" ht="12.75" customHeight="1" x14ac:dyDescent="0.35">
      <c r="C44" s="187"/>
      <c r="D44" s="188"/>
      <c r="E44" s="189"/>
      <c r="F44" s="190"/>
      <c r="G44" s="190"/>
      <c r="H44" s="190"/>
      <c r="I44" s="190"/>
      <c r="J44" s="190"/>
      <c r="K44" s="190"/>
      <c r="L44" s="190"/>
      <c r="M44" s="190"/>
      <c r="N44" s="191"/>
      <c r="O44" s="901"/>
      <c r="P44" s="144"/>
      <c r="T44" s="712"/>
    </row>
    <row r="45" spans="1:24" ht="15" customHeight="1" x14ac:dyDescent="0.35">
      <c r="C45" s="192"/>
      <c r="D45" s="193" t="str">
        <f>Translations!$B$254</f>
        <v>Calculation of the attributed emissions:</v>
      </c>
      <c r="E45" s="194"/>
      <c r="F45" s="195"/>
      <c r="G45" s="195"/>
      <c r="H45" s="195"/>
      <c r="I45" s="195"/>
      <c r="J45" s="1310" t="str">
        <f>IF(G11="","",G11)</f>
        <v/>
      </c>
      <c r="K45" s="1310"/>
      <c r="L45" s="1310"/>
      <c r="M45" s="1310"/>
      <c r="N45" s="196"/>
      <c r="O45" s="901"/>
      <c r="P45" s="144"/>
      <c r="T45" s="712"/>
    </row>
    <row r="46" spans="1:24" ht="5.15" customHeight="1" x14ac:dyDescent="0.35">
      <c r="C46" s="192"/>
      <c r="D46" s="197"/>
      <c r="E46" s="198"/>
      <c r="F46" s="195"/>
      <c r="G46" s="195"/>
      <c r="H46" s="195"/>
      <c r="I46" s="195"/>
      <c r="J46" s="195"/>
      <c r="K46" s="195"/>
      <c r="L46" s="195"/>
      <c r="M46" s="195"/>
      <c r="N46" s="196"/>
      <c r="O46" s="901"/>
      <c r="P46" s="144"/>
      <c r="T46" s="712"/>
    </row>
    <row r="47" spans="1:24" ht="12.75" customHeight="1" x14ac:dyDescent="0.35">
      <c r="C47" s="192"/>
      <c r="D47" s="199"/>
      <c r="E47" s="1311" t="str">
        <f ca="1">HYPERLINK("#"&amp;ADDRESS(MATCH($S47,G_FurtherGuidance!$S:$S,0),3,,,G_FurtherGuidance!$U$2),CONST_LinkToGuidanceSheet)</f>
        <v>Please click on this link for further guidance on how to complete this section.</v>
      </c>
      <c r="F47" s="1312"/>
      <c r="G47" s="1312"/>
      <c r="H47" s="1312"/>
      <c r="I47" s="1312"/>
      <c r="J47" s="1312"/>
      <c r="K47" s="1312"/>
      <c r="L47" s="1312"/>
      <c r="M47" s="1312"/>
      <c r="N47" s="202"/>
      <c r="O47" s="901"/>
      <c r="P47" s="144"/>
      <c r="R47" s="104" t="s">
        <v>2771</v>
      </c>
      <c r="S47" s="105">
        <v>3</v>
      </c>
      <c r="T47" s="712"/>
    </row>
    <row r="48" spans="1:24" ht="5.15" customHeight="1" x14ac:dyDescent="0.35">
      <c r="C48" s="192"/>
      <c r="D48" s="197"/>
      <c r="E48" s="198"/>
      <c r="F48" s="195"/>
      <c r="G48" s="195"/>
      <c r="H48" s="195"/>
      <c r="I48" s="195"/>
      <c r="J48" s="198"/>
      <c r="K48" s="195"/>
      <c r="L48" s="195"/>
      <c r="M48" s="195"/>
      <c r="N48" s="196"/>
      <c r="O48" s="901"/>
      <c r="P48" s="144"/>
      <c r="T48" s="712"/>
      <c r="X48" s="104"/>
    </row>
    <row r="49" spans="3:24" ht="25.5" customHeight="1" x14ac:dyDescent="0.3">
      <c r="C49" s="192"/>
      <c r="D49" s="197"/>
      <c r="E49" s="198"/>
      <c r="F49" s="195"/>
      <c r="G49" s="195"/>
      <c r="H49" s="195"/>
      <c r="I49" s="195"/>
      <c r="J49" s="195"/>
      <c r="K49" s="203" t="str">
        <f>Translations!$B$255</f>
        <v>Measurable heat</v>
      </c>
      <c r="L49" s="203" t="str">
        <f>Translations!$B$256</f>
        <v>Waste gases</v>
      </c>
      <c r="M49" s="203" t="str">
        <f>Translations!$B$257</f>
        <v>Indirect emissions</v>
      </c>
      <c r="N49" s="196"/>
      <c r="O49" s="901"/>
      <c r="P49" s="144"/>
      <c r="T49" s="712"/>
      <c r="X49" s="104"/>
    </row>
    <row r="50" spans="3:24" ht="12.75" customHeight="1" x14ac:dyDescent="0.35">
      <c r="C50" s="192"/>
      <c r="D50" s="199" t="s">
        <v>412</v>
      </c>
      <c r="E50" s="200" t="str">
        <f>Translations!$B$258</f>
        <v>Please select which elements are applicable</v>
      </c>
      <c r="F50" s="201"/>
      <c r="G50" s="201"/>
      <c r="H50" s="201"/>
      <c r="I50" s="201"/>
      <c r="J50" s="201"/>
      <c r="K50" s="120"/>
      <c r="L50" s="120"/>
      <c r="M50" s="169" t="str">
        <f>IF(L11="","",INDEX(CONST_LIST_GoodsIndRel,MATCH(L11,CONST_LIST_Goods,0)))</f>
        <v/>
      </c>
      <c r="N50" s="196"/>
      <c r="O50" s="902"/>
      <c r="P50" s="144"/>
      <c r="T50" s="712"/>
      <c r="V50" s="157" t="str">
        <f>IF(AND(L11&lt;&gt;"",X50=FALSE),IF(COUNTA(K50:L50)=2,TRUE,CONST_ErrorOrMissing&amp;C11),CONST_NA)</f>
        <v>n.a.</v>
      </c>
      <c r="X50" s="104"/>
    </row>
    <row r="51" spans="3:24" ht="12.75" customHeight="1" x14ac:dyDescent="0.35">
      <c r="C51" s="192"/>
      <c r="D51" s="204"/>
      <c r="E51" s="401" t="str">
        <f>Translations!$B$259</f>
        <v>Based on your selection, related sections below might become irrelevant and greyed out below.</v>
      </c>
      <c r="F51" s="195"/>
      <c r="G51" s="195"/>
      <c r="H51" s="195"/>
      <c r="I51" s="195"/>
      <c r="J51" s="195"/>
      <c r="K51" s="198"/>
      <c r="L51" s="195"/>
      <c r="M51" s="195"/>
      <c r="N51" s="196"/>
      <c r="O51" s="901"/>
      <c r="P51" s="144"/>
      <c r="T51" s="712"/>
      <c r="X51" s="104"/>
    </row>
    <row r="52" spans="3:24" ht="5.15" customHeight="1" x14ac:dyDescent="0.35">
      <c r="C52" s="192"/>
      <c r="D52" s="204"/>
      <c r="E52" s="198"/>
      <c r="F52" s="195"/>
      <c r="G52" s="195"/>
      <c r="H52" s="195"/>
      <c r="I52" s="195"/>
      <c r="J52" s="195"/>
      <c r="K52" s="198"/>
      <c r="L52" s="195"/>
      <c r="M52" s="195"/>
      <c r="N52" s="196"/>
      <c r="O52" s="901"/>
      <c r="P52" s="144"/>
      <c r="T52" s="712"/>
      <c r="X52" s="104"/>
    </row>
    <row r="53" spans="3:24" ht="12.75" customHeight="1" x14ac:dyDescent="0.35">
      <c r="C53" s="192"/>
      <c r="D53" s="204"/>
      <c r="E53" s="198"/>
      <c r="F53" s="195"/>
      <c r="G53" s="195"/>
      <c r="H53" s="195"/>
      <c r="I53" s="195"/>
      <c r="J53" s="195"/>
      <c r="K53" s="199" t="str">
        <f>Translations!$B$221</f>
        <v>Unit</v>
      </c>
      <c r="L53" s="199" t="str">
        <f>Translations!$B$260</f>
        <v>Value</v>
      </c>
      <c r="M53" s="195"/>
      <c r="N53" s="196"/>
      <c r="O53" s="901"/>
      <c r="P53" s="144"/>
      <c r="T53" s="712"/>
      <c r="X53" s="104"/>
    </row>
    <row r="54" spans="3:24" ht="12.75" customHeight="1" x14ac:dyDescent="0.35">
      <c r="C54" s="192"/>
      <c r="D54" s="199" t="s">
        <v>413</v>
      </c>
      <c r="E54" s="200" t="str">
        <f>Translations!$B$261</f>
        <v>Directly attributable emissions (DirEm*)</v>
      </c>
      <c r="F54" s="201"/>
      <c r="G54" s="201"/>
      <c r="H54" s="201"/>
      <c r="I54" s="201"/>
      <c r="J54" s="201"/>
      <c r="K54" s="205" t="str">
        <f>CONST_tCO2eq</f>
        <v>tCO2e</v>
      </c>
      <c r="L54" s="213"/>
      <c r="M54" s="195"/>
      <c r="N54" s="196"/>
      <c r="O54" s="902"/>
      <c r="P54" s="144"/>
      <c r="R54" s="102" t="str">
        <f>CONST_EmDir&amp;G11</f>
        <v>EmDir_</v>
      </c>
      <c r="S54" s="102" t="str">
        <f>CONST_CNTR_EmbedEmDir&amp;G11</f>
        <v>EmbedEmDir_</v>
      </c>
      <c r="T54" s="124" t="str">
        <f>IF(G11="","",L54)</f>
        <v/>
      </c>
      <c r="V54" s="157" t="str">
        <f>IF(L11&lt;&gt;"",IF(L54&lt;&gt;"",TRUE,CONST_ErrorOrMissing&amp;C11),CONST_NA)</f>
        <v>n.a.</v>
      </c>
      <c r="X54" s="104"/>
    </row>
    <row r="55" spans="3:24" ht="5.15" customHeight="1" x14ac:dyDescent="0.35">
      <c r="C55" s="192"/>
      <c r="D55" s="204"/>
      <c r="E55" s="198"/>
      <c r="F55" s="195"/>
      <c r="G55" s="195"/>
      <c r="H55" s="195"/>
      <c r="I55" s="195"/>
      <c r="J55" s="195"/>
      <c r="K55" s="195"/>
      <c r="L55" s="199"/>
      <c r="M55" s="199"/>
      <c r="N55" s="196"/>
      <c r="O55" s="901"/>
      <c r="P55" s="144"/>
      <c r="T55" s="712"/>
    </row>
    <row r="56" spans="3:24" ht="12.75" customHeight="1" x14ac:dyDescent="0.35">
      <c r="C56" s="192"/>
      <c r="D56" s="199" t="s">
        <v>414</v>
      </c>
      <c r="E56" s="198" t="str">
        <f>Translations!$B$262</f>
        <v>Import and export of measurable heat</v>
      </c>
      <c r="F56" s="195"/>
      <c r="G56" s="195"/>
      <c r="H56" s="195"/>
      <c r="I56" s="195"/>
      <c r="J56" s="195"/>
      <c r="K56" s="199" t="str">
        <f>Translations!$B$221</f>
        <v>Unit</v>
      </c>
      <c r="L56" s="199" t="str">
        <f>Translations!$B$263</f>
        <v>Imported</v>
      </c>
      <c r="M56" s="199" t="str">
        <f>Translations!$B$264</f>
        <v>Exported</v>
      </c>
      <c r="N56" s="196"/>
      <c r="O56" s="901"/>
      <c r="P56" s="144"/>
      <c r="T56" s="712"/>
      <c r="W56" s="104" t="s">
        <v>34</v>
      </c>
      <c r="X56" s="102" t="b">
        <f>AND(K50&lt;&gt;"",K50=FALSE)</f>
        <v>0</v>
      </c>
    </row>
    <row r="57" spans="3:24" ht="12.75" customHeight="1" x14ac:dyDescent="0.35">
      <c r="C57" s="192"/>
      <c r="D57" s="197" t="s">
        <v>41</v>
      </c>
      <c r="E57" s="201" t="str">
        <f>Translations!$B$265</f>
        <v>Amount of net measurable heat</v>
      </c>
      <c r="F57" s="201"/>
      <c r="G57" s="201"/>
      <c r="H57" s="201"/>
      <c r="I57" s="201"/>
      <c r="J57" s="201"/>
      <c r="K57" s="205" t="s">
        <v>118</v>
      </c>
      <c r="L57" s="213"/>
      <c r="M57" s="213"/>
      <c r="N57" s="196"/>
      <c r="O57" s="902"/>
      <c r="P57" s="144"/>
      <c r="T57" s="712"/>
      <c r="V57" s="157" t="str">
        <f>IF(AND(L11&lt;&gt;"",X57=FALSE),IF(COUNTA(L57:M57)=2,TRUE,CONST_ErrorOrMissing&amp;C11),CONST_NA)</f>
        <v>n.a.</v>
      </c>
      <c r="X57" s="102" t="b">
        <f>X56</f>
        <v>0</v>
      </c>
    </row>
    <row r="58" spans="3:24" ht="12.75" customHeight="1" x14ac:dyDescent="0.35">
      <c r="C58" s="192"/>
      <c r="D58" s="197" t="s">
        <v>42</v>
      </c>
      <c r="E58" s="201" t="str">
        <f>Translations!$B$266</f>
        <v>Emissions factor</v>
      </c>
      <c r="F58" s="201"/>
      <c r="G58" s="201"/>
      <c r="H58" s="201"/>
      <c r="I58" s="201"/>
      <c r="J58" s="201"/>
      <c r="K58" s="205" t="str">
        <f>CONST_tCO2pTJ</f>
        <v>tCO2/TJ</v>
      </c>
      <c r="L58" s="214"/>
      <c r="M58" s="214"/>
      <c r="N58" s="196"/>
      <c r="O58" s="902"/>
      <c r="P58" s="144"/>
      <c r="R58" s="102" t="str">
        <f>CONST_EmDirHeat&amp;G11</f>
        <v>EmDirHeat_</v>
      </c>
      <c r="S58" s="102" t="str">
        <f>CONST_CNTR_EmbedEmDir&amp;G11</f>
        <v>EmbedEmDir_</v>
      </c>
      <c r="T58" s="124" t="str">
        <f>IF(G11="","",SUM(L57*L58-M57*M58))</f>
        <v/>
      </c>
      <c r="V58" s="157" t="str">
        <f>IF(AND(L11&lt;&gt;"",X58=FALSE),IF(COUNTA(L58:M58)=2,TRUE,CONST_ErrorOrMissing&amp;C11),CONST_NA)</f>
        <v>n.a.</v>
      </c>
      <c r="X58" s="102" t="b">
        <f>X57</f>
        <v>0</v>
      </c>
    </row>
    <row r="59" spans="3:24" ht="5.15" customHeight="1" x14ac:dyDescent="0.35">
      <c r="C59" s="192"/>
      <c r="D59" s="204"/>
      <c r="E59" s="198"/>
      <c r="F59" s="195"/>
      <c r="G59" s="195"/>
      <c r="H59" s="195"/>
      <c r="I59" s="195"/>
      <c r="J59" s="195"/>
      <c r="K59" s="195"/>
      <c r="L59" s="199"/>
      <c r="M59" s="199"/>
      <c r="N59" s="196"/>
      <c r="O59" s="901"/>
      <c r="P59" s="144"/>
      <c r="T59" s="712"/>
    </row>
    <row r="60" spans="3:24" ht="12.75" customHeight="1" x14ac:dyDescent="0.35">
      <c r="C60" s="192"/>
      <c r="D60" s="199" t="s">
        <v>415</v>
      </c>
      <c r="E60" s="198" t="str">
        <f>Translations!$B$256</f>
        <v>Waste gases</v>
      </c>
      <c r="F60" s="195"/>
      <c r="G60" s="195"/>
      <c r="H60" s="195"/>
      <c r="I60" s="195"/>
      <c r="J60" s="195"/>
      <c r="K60" s="199" t="str">
        <f>Translations!$B$221</f>
        <v>Unit</v>
      </c>
      <c r="L60" s="199" t="str">
        <f>Translations!$B$263</f>
        <v>Imported</v>
      </c>
      <c r="M60" s="199" t="str">
        <f>Translations!$B$264</f>
        <v>Exported</v>
      </c>
      <c r="N60" s="196"/>
      <c r="O60" s="901"/>
      <c r="P60" s="144"/>
      <c r="T60" s="712"/>
      <c r="W60" s="104" t="s">
        <v>34</v>
      </c>
      <c r="X60" s="102" t="b">
        <f>AND(L50&lt;&gt;"",L50=FALSE)</f>
        <v>0</v>
      </c>
    </row>
    <row r="61" spans="3:24" ht="12.75" customHeight="1" x14ac:dyDescent="0.35">
      <c r="C61" s="192"/>
      <c r="D61" s="197" t="s">
        <v>41</v>
      </c>
      <c r="E61" s="201" t="str">
        <f>Translations!$B$267</f>
        <v>Amount of waste gas</v>
      </c>
      <c r="F61" s="201"/>
      <c r="G61" s="201"/>
      <c r="H61" s="201"/>
      <c r="I61" s="201"/>
      <c r="J61" s="201"/>
      <c r="K61" s="205" t="str">
        <f>CONST_TJ</f>
        <v>TJ</v>
      </c>
      <c r="L61" s="213"/>
      <c r="M61" s="213"/>
      <c r="N61" s="196"/>
      <c r="O61" s="902"/>
      <c r="P61" s="144"/>
      <c r="T61" s="712"/>
      <c r="V61" s="157" t="str">
        <f>IF(AND(L11&lt;&gt;"",X61=FALSE),IF(COUNTA(L61:M61)=2,TRUE,CONST_ErrorOrMissing&amp;C11),CONST_NA)</f>
        <v>n.a.</v>
      </c>
      <c r="X61" s="102" t="b">
        <f>X60</f>
        <v>0</v>
      </c>
    </row>
    <row r="62" spans="3:24" ht="12.75" customHeight="1" x14ac:dyDescent="0.35">
      <c r="C62" s="192"/>
      <c r="D62" s="197" t="s">
        <v>42</v>
      </c>
      <c r="E62" s="201" t="str">
        <f>Translations!$B$268</f>
        <v>Emission factor</v>
      </c>
      <c r="F62" s="201"/>
      <c r="G62" s="201"/>
      <c r="H62" s="201"/>
      <c r="I62" s="201"/>
      <c r="J62" s="201"/>
      <c r="K62" s="205" t="str">
        <f>CONST_tCO2pTJ</f>
        <v>tCO2/TJ</v>
      </c>
      <c r="L62" s="300"/>
      <c r="M62" s="300"/>
      <c r="N62" s="196"/>
      <c r="O62" s="901"/>
      <c r="P62" s="144"/>
      <c r="R62" s="102" t="str">
        <f>CONST_EmDirWasteGases&amp;G11</f>
        <v>EmDirWG_</v>
      </c>
      <c r="S62" s="102" t="str">
        <f>CONST_CNTR_EmbedEmDir&amp;G11</f>
        <v>EmbedEmDir_</v>
      </c>
      <c r="T62" s="124" t="str">
        <f>IF(G11="","",SUM(L61*CONST_EFNatGas-M61*CONST_EFNatGas*0.667))</f>
        <v/>
      </c>
      <c r="X62" s="102" t="b">
        <f>X61</f>
        <v>0</v>
      </c>
    </row>
    <row r="63" spans="3:24" ht="5.15" customHeight="1" x14ac:dyDescent="0.35">
      <c r="C63" s="192"/>
      <c r="D63" s="204"/>
      <c r="E63" s="198"/>
      <c r="F63" s="195"/>
      <c r="G63" s="195"/>
      <c r="H63" s="195"/>
      <c r="I63" s="195"/>
      <c r="J63" s="195"/>
      <c r="K63" s="195"/>
      <c r="L63" s="195"/>
      <c r="M63" s="195"/>
      <c r="N63" s="196"/>
      <c r="O63" s="901"/>
      <c r="P63" s="144"/>
      <c r="T63" s="712"/>
    </row>
    <row r="64" spans="3:24" ht="12.75" customHeight="1" x14ac:dyDescent="0.35">
      <c r="C64" s="192"/>
      <c r="D64" s="199" t="s">
        <v>416</v>
      </c>
      <c r="E64" s="198" t="str">
        <f>Translations!$B$269</f>
        <v>Indirect emissions from electricity consumption</v>
      </c>
      <c r="F64" s="195"/>
      <c r="G64" s="195"/>
      <c r="H64" s="195"/>
      <c r="I64" s="195"/>
      <c r="J64" s="195"/>
      <c r="K64" s="199" t="str">
        <f>Translations!$B$221</f>
        <v>Unit</v>
      </c>
      <c r="L64" s="199" t="str">
        <f>Translations!$B$260</f>
        <v>Value</v>
      </c>
      <c r="M64" s="195"/>
      <c r="N64" s="196"/>
      <c r="O64" s="901"/>
      <c r="P64" s="144"/>
      <c r="T64" s="712"/>
      <c r="W64" s="104" t="s">
        <v>34</v>
      </c>
      <c r="X64" s="102" t="b">
        <f>M50=FALSE</f>
        <v>0</v>
      </c>
    </row>
    <row r="65" spans="1:24" ht="12.75" customHeight="1" x14ac:dyDescent="0.35">
      <c r="C65" s="192"/>
      <c r="D65" s="197" t="s">
        <v>41</v>
      </c>
      <c r="E65" s="201" t="str">
        <f>Translations!$B$270</f>
        <v>Electricity consumption</v>
      </c>
      <c r="F65" s="201"/>
      <c r="G65" s="201"/>
      <c r="H65" s="201"/>
      <c r="I65" s="201"/>
      <c r="J65" s="201"/>
      <c r="K65" s="205" t="str">
        <f>CONST_MWh</f>
        <v>MWh</v>
      </c>
      <c r="L65" s="213"/>
      <c r="M65" s="195"/>
      <c r="N65" s="196"/>
      <c r="O65" s="902"/>
      <c r="P65" s="144"/>
      <c r="R65" s="102" t="str">
        <f>CONST_ElecConsumption&amp;G11</f>
        <v>ElecCons_</v>
      </c>
      <c r="T65" s="124" t="str">
        <f>IF(G11="","",L65)</f>
        <v/>
      </c>
      <c r="V65" s="157" t="str">
        <f>IF(AND(L11&lt;&gt;"",X65=FALSE),IF(L65&lt;&gt;"",TRUE,CONST_ErrorOrMissing&amp;C11),CONST_NA)</f>
        <v>n.a.</v>
      </c>
      <c r="X65" s="102" t="b">
        <f>X64</f>
        <v>0</v>
      </c>
    </row>
    <row r="66" spans="1:24" ht="12.75" customHeight="1" x14ac:dyDescent="0.35">
      <c r="C66" s="192"/>
      <c r="D66" s="197" t="s">
        <v>42</v>
      </c>
      <c r="E66" s="201" t="str">
        <f>Translations!$B$271</f>
        <v>Emission factor of the electricity</v>
      </c>
      <c r="F66" s="201"/>
      <c r="G66" s="201"/>
      <c r="H66" s="201"/>
      <c r="I66" s="201"/>
      <c r="J66" s="201"/>
      <c r="K66" s="205" t="str">
        <f>CONST_tCO2&amp;"/"&amp;CONST_MWh</f>
        <v>tCO2/MWh</v>
      </c>
      <c r="L66" s="215"/>
      <c r="M66" s="195"/>
      <c r="N66" s="196"/>
      <c r="O66" s="902"/>
      <c r="P66" s="144"/>
      <c r="S66" s="102" t="str">
        <f>CONST_CNTR_EmbedEmInDir&amp;G11</f>
        <v>EmbedEmInDir_</v>
      </c>
      <c r="T66" s="124" t="str">
        <f>IF(G11="","",SUM(L65)*SUM(L66))</f>
        <v/>
      </c>
      <c r="V66" s="157" t="str">
        <f>IF(AND(L11&lt;&gt;"",X66=FALSE),IF(L66&lt;&gt;"",TRUE,CONST_ErrorOrMissing&amp;C11),CONST_NA)</f>
        <v>n.a.</v>
      </c>
      <c r="X66" s="102" t="b">
        <f>X65</f>
        <v>0</v>
      </c>
    </row>
    <row r="67" spans="1:24" ht="12.75" customHeight="1" x14ac:dyDescent="0.35">
      <c r="C67" s="192"/>
      <c r="D67" s="197" t="s">
        <v>43</v>
      </c>
      <c r="E67" s="201" t="str">
        <f>Translations!$B$272</f>
        <v>Source of the emission factor</v>
      </c>
      <c r="F67" s="201"/>
      <c r="G67" s="201"/>
      <c r="H67" s="201"/>
      <c r="I67" s="201"/>
      <c r="J67" s="201"/>
      <c r="K67" s="299" t="s">
        <v>206</v>
      </c>
      <c r="L67" s="215"/>
      <c r="M67" s="195"/>
      <c r="N67" s="196"/>
      <c r="O67" s="902"/>
      <c r="P67" s="144"/>
      <c r="R67" s="102" t="str">
        <f>CONST_CNTR_ElecEFMethod&amp;G11</f>
        <v>ElecEFMeth_</v>
      </c>
      <c r="T67" s="714" t="str">
        <f>IF(L67="","",L67)</f>
        <v/>
      </c>
      <c r="V67" s="157" t="str">
        <f>IF(AND(L11&lt;&gt;"",X67=FALSE),IF(L67&lt;&gt;"",TRUE,CONST_ErrorOrMissing&amp;C11),CONST_NA)</f>
        <v>n.a.</v>
      </c>
      <c r="X67" s="102" t="b">
        <f>X66</f>
        <v>0</v>
      </c>
    </row>
    <row r="68" spans="1:24" ht="5.15" customHeight="1" x14ac:dyDescent="0.35">
      <c r="C68" s="192"/>
      <c r="D68" s="204"/>
      <c r="E68" s="198"/>
      <c r="F68" s="195"/>
      <c r="G68" s="195"/>
      <c r="H68" s="195"/>
      <c r="I68" s="195"/>
      <c r="J68" s="195"/>
      <c r="K68" s="195"/>
      <c r="L68" s="195"/>
      <c r="M68" s="195"/>
      <c r="N68" s="196"/>
      <c r="O68" s="901"/>
      <c r="P68" s="144"/>
      <c r="T68" s="712"/>
    </row>
    <row r="69" spans="1:24" ht="12.75" customHeight="1" x14ac:dyDescent="0.35">
      <c r="C69" s="192"/>
      <c r="D69" s="204"/>
      <c r="E69" s="198"/>
      <c r="F69" s="195"/>
      <c r="G69" s="195"/>
      <c r="H69" s="195"/>
      <c r="I69" s="195"/>
      <c r="J69" s="195"/>
      <c r="K69" s="195"/>
      <c r="L69" s="195"/>
      <c r="M69" s="195"/>
      <c r="N69" s="196"/>
      <c r="O69" s="901"/>
      <c r="P69" s="144"/>
      <c r="T69" s="712"/>
      <c r="X69" s="171"/>
    </row>
    <row r="70" spans="1:24" ht="12.75" customHeight="1" x14ac:dyDescent="0.35">
      <c r="C70" s="192"/>
      <c r="D70" s="199" t="s">
        <v>417</v>
      </c>
      <c r="E70" s="198" t="str">
        <f>Translations!$B$273</f>
        <v>Electricity exported from the production process</v>
      </c>
      <c r="F70" s="195"/>
      <c r="G70" s="195"/>
      <c r="H70" s="195"/>
      <c r="I70" s="195"/>
      <c r="J70" s="195"/>
      <c r="K70" s="199" t="str">
        <f>Translations!$B$221</f>
        <v>Unit</v>
      </c>
      <c r="L70" s="199" t="str">
        <f>Translations!$B$260</f>
        <v>Value</v>
      </c>
      <c r="M70" s="195"/>
      <c r="N70" s="196"/>
      <c r="O70" s="901"/>
      <c r="P70" s="144"/>
      <c r="T70" s="712"/>
      <c r="X70" s="171"/>
    </row>
    <row r="71" spans="1:24" ht="12.75" customHeight="1" x14ac:dyDescent="0.35">
      <c r="C71" s="192"/>
      <c r="D71" s="197" t="s">
        <v>41</v>
      </c>
      <c r="E71" s="201" t="str">
        <f>Translations!$B$274</f>
        <v>Amounts exported</v>
      </c>
      <c r="F71" s="201"/>
      <c r="G71" s="201"/>
      <c r="H71" s="201"/>
      <c r="I71" s="201"/>
      <c r="J71" s="201"/>
      <c r="K71" s="205" t="s">
        <v>51</v>
      </c>
      <c r="L71" s="213"/>
      <c r="M71" s="195"/>
      <c r="N71" s="196"/>
      <c r="O71" s="902"/>
      <c r="P71" s="144"/>
      <c r="T71" s="712"/>
      <c r="V71" s="157" t="str">
        <f>IF(L11&lt;&gt;"",IF(L71&lt;&gt;"",TRUE,CONST_ErrorOrMissing&amp;C11),CONST_NA)</f>
        <v>n.a.</v>
      </c>
      <c r="X71" s="171"/>
    </row>
    <row r="72" spans="1:24" ht="12.75" customHeight="1" x14ac:dyDescent="0.35">
      <c r="C72" s="192"/>
      <c r="D72" s="197" t="s">
        <v>42</v>
      </c>
      <c r="E72" s="201" t="str">
        <f>Translations!$B$271</f>
        <v>Emission factor of the electricity</v>
      </c>
      <c r="F72" s="201"/>
      <c r="G72" s="201"/>
      <c r="H72" s="201"/>
      <c r="I72" s="201"/>
      <c r="J72" s="201"/>
      <c r="K72" s="205" t="str">
        <f>CONST_tCO2&amp;"/"&amp;CONST_MWh</f>
        <v>tCO2/MWh</v>
      </c>
      <c r="L72" s="215"/>
      <c r="M72" s="195"/>
      <c r="N72" s="196"/>
      <c r="O72" s="902"/>
      <c r="P72" s="144"/>
      <c r="S72" s="102" t="str">
        <f>CONST_CNTR_EmbedEmDir&amp;G11</f>
        <v>EmbedEmDir_</v>
      </c>
      <c r="T72" s="124" t="str">
        <f>IF(G11="","",-SUM(L71)*SUM(L72))</f>
        <v/>
      </c>
      <c r="V72" s="157" t="str">
        <f>IF(AND(L11&lt;&gt;"",SUM(L71)&gt;0),IF(L72&lt;&gt;"",TRUE,CONST_ErrorOrMissing&amp;C11),CONST_NA)</f>
        <v>n.a.</v>
      </c>
      <c r="X72" s="171"/>
    </row>
    <row r="73" spans="1:24" s="144" customFormat="1" ht="12.75" customHeight="1" thickBot="1" x14ac:dyDescent="0.4">
      <c r="A73" s="91"/>
      <c r="B73" s="93"/>
      <c r="C73" s="206"/>
      <c r="D73" s="207"/>
      <c r="E73" s="208"/>
      <c r="F73" s="209"/>
      <c r="G73" s="209"/>
      <c r="H73" s="209"/>
      <c r="I73" s="209"/>
      <c r="J73" s="209"/>
      <c r="K73" s="209"/>
      <c r="L73" s="209"/>
      <c r="M73" s="209"/>
      <c r="N73" s="210"/>
      <c r="O73" s="901"/>
      <c r="Q73" s="93"/>
      <c r="R73" s="91"/>
      <c r="S73" s="91"/>
      <c r="T73" s="712"/>
      <c r="U73" s="91"/>
      <c r="V73" s="91"/>
      <c r="W73" s="104"/>
      <c r="X73" s="91"/>
    </row>
    <row r="74" spans="1:24" s="144" customFormat="1" ht="12.75" customHeight="1" thickBot="1" x14ac:dyDescent="0.4">
      <c r="A74" s="91"/>
      <c r="B74" s="93"/>
      <c r="C74" s="93"/>
      <c r="D74" s="93"/>
      <c r="E74" s="93"/>
      <c r="F74" s="93"/>
      <c r="G74" s="93"/>
      <c r="H74" s="93"/>
      <c r="I74" s="93"/>
      <c r="J74" s="93"/>
      <c r="K74" s="93"/>
      <c r="L74" s="93"/>
      <c r="M74" s="93"/>
      <c r="N74" s="93"/>
      <c r="O74" s="901"/>
      <c r="Q74" s="93"/>
      <c r="R74" s="91"/>
      <c r="S74" s="91"/>
      <c r="T74" s="712"/>
      <c r="U74" s="91"/>
      <c r="V74" s="91"/>
      <c r="W74" s="104"/>
      <c r="X74" s="91"/>
    </row>
    <row r="75" spans="1:24" ht="12.75" customHeight="1" thickBot="1" x14ac:dyDescent="0.4">
      <c r="B75" s="145"/>
      <c r="C75" s="145"/>
      <c r="D75" s="145"/>
      <c r="E75" s="145"/>
      <c r="F75" s="145"/>
      <c r="G75" s="145"/>
      <c r="H75" s="145"/>
      <c r="I75" s="145"/>
      <c r="J75" s="145"/>
      <c r="K75" s="145"/>
      <c r="L75" s="145"/>
      <c r="M75" s="145"/>
      <c r="N75" s="145"/>
      <c r="O75" s="903"/>
      <c r="P75" s="144"/>
      <c r="T75" s="712"/>
    </row>
    <row r="76" spans="1:24" ht="18" customHeight="1" thickBot="1" x14ac:dyDescent="0.4">
      <c r="C76" s="147">
        <f>C11+1</f>
        <v>2</v>
      </c>
      <c r="D76" s="148" t="str">
        <f>CONST_ProductionProcess &amp; " " &amp; C76 &amp; ":"</f>
        <v>Production process 2:</v>
      </c>
      <c r="G76" s="1313" t="str">
        <f>IF(INDEX(CNTR_List_ExistProdProcNames,R76)=CONST_NA,"",INDEX(CNTR_List_ExistProdProcNames,R76))</f>
        <v/>
      </c>
      <c r="H76" s="1314"/>
      <c r="I76" s="1314"/>
      <c r="J76" s="1314"/>
      <c r="K76" s="1315"/>
      <c r="L76" s="1316" t="str">
        <f>IF(INDEX(CNTR_List_ExistProdProc,R76)=CONST_NA,"",INDEX(CNTR_List_ExistProdProc,R76))</f>
        <v/>
      </c>
      <c r="M76" s="1317"/>
      <c r="N76" s="1318"/>
      <c r="O76" s="901"/>
      <c r="P76" s="144"/>
      <c r="R76" s="149">
        <f>C76</f>
        <v>2</v>
      </c>
      <c r="T76" s="712"/>
      <c r="W76" s="104" t="s">
        <v>2748</v>
      </c>
      <c r="X76" s="150" t="b">
        <f>AND(CNTR_HasEntriesA,G76="")</f>
        <v>0</v>
      </c>
    </row>
    <row r="77" spans="1:24" ht="5.15" customHeight="1" x14ac:dyDescent="0.35">
      <c r="D77" s="103"/>
      <c r="E77" s="100"/>
      <c r="O77" s="901"/>
      <c r="P77" s="144"/>
      <c r="T77" s="712"/>
    </row>
    <row r="78" spans="1:24" ht="12.75" customHeight="1" x14ac:dyDescent="0.35">
      <c r="D78" s="103"/>
      <c r="E78" s="1290" t="str">
        <f ca="1">HYPERLINK("#"&amp;ADDRESS(MATCH($S78,G_FurtherGuidance!$S:$S,0),3,,,G_FurtherGuidance!$U$2),CONST_LinkToGuidanceSheet)</f>
        <v>Please click on this link for further guidance on how to complete this section.</v>
      </c>
      <c r="F78" s="1319"/>
      <c r="G78" s="1319"/>
      <c r="H78" s="1319"/>
      <c r="I78" s="1319"/>
      <c r="J78" s="1319"/>
      <c r="K78" s="1319"/>
      <c r="L78" s="1319"/>
      <c r="M78" s="1319"/>
      <c r="O78" s="901"/>
      <c r="P78" s="144"/>
      <c r="R78" s="104" t="s">
        <v>2771</v>
      </c>
      <c r="S78" s="105">
        <v>3</v>
      </c>
      <c r="T78" s="712"/>
    </row>
    <row r="79" spans="1:24" ht="5.15" customHeight="1" x14ac:dyDescent="0.35">
      <c r="D79" s="103"/>
      <c r="E79" s="100"/>
      <c r="O79" s="901"/>
      <c r="P79" s="144"/>
      <c r="T79" s="712"/>
    </row>
    <row r="80" spans="1:24" ht="12.75" customHeight="1" x14ac:dyDescent="0.35">
      <c r="D80" s="117" t="s">
        <v>135</v>
      </c>
      <c r="E80" s="100" t="str">
        <f>Translations!$B$243</f>
        <v>Total production levels:</v>
      </c>
      <c r="H80" s="151" t="str">
        <f>Translations!$B$244</f>
        <v>Production route</v>
      </c>
      <c r="J80" s="144"/>
      <c r="K80" s="152" t="str">
        <f>Translations!$B$221</f>
        <v>Unit</v>
      </c>
      <c r="L80" s="152" t="str">
        <f>Translations!$B$245</f>
        <v>Amounts</v>
      </c>
      <c r="O80" s="901"/>
      <c r="P80" s="144"/>
      <c r="T80" s="712"/>
    </row>
    <row r="81" spans="1:24" ht="12.75" customHeight="1" x14ac:dyDescent="0.35">
      <c r="D81" s="173">
        <v>1</v>
      </c>
      <c r="E81" s="153" t="str">
        <f>IF(G76="","",G76) &amp; IF(L76="",""," | " &amp; L76)</f>
        <v/>
      </c>
      <c r="F81" s="153"/>
      <c r="G81" s="153"/>
      <c r="H81" s="154" t="str">
        <f>IF(L76="","",INDEX(CONST_MATRIX_ProductionRoute,MATCH(L76,CONST_LIST_Goods,0),D81))</f>
        <v/>
      </c>
      <c r="I81" s="153"/>
      <c r="J81" s="153"/>
      <c r="K81" s="155" t="str">
        <f>IF(L76="","",INDEX(CONST_LIST_GoodsUnit,MATCH(L76,CONST_LIST_Goods,0)))</f>
        <v/>
      </c>
      <c r="L81" s="29"/>
      <c r="O81" s="902"/>
      <c r="P81" s="144"/>
      <c r="S81" s="105">
        <v>1</v>
      </c>
      <c r="T81" s="713"/>
      <c r="V81" s="157" t="str">
        <f>IF(AND(G76&lt;&gt;"",E81&lt;&gt;"",L81&lt;&gt;""),TRUE,IF(AND(G76&lt;&gt;"",OR(AND(E81&lt;&gt;"",L81=""),AND(E81="",L81&lt;&gt;""))),CONST_ErrorOrMissing&amp;C76,CONST_NA))</f>
        <v>n.a.</v>
      </c>
    </row>
    <row r="82" spans="1:24" ht="12.75" customHeight="1" x14ac:dyDescent="0.35">
      <c r="D82" s="173">
        <v>2</v>
      </c>
      <c r="E82" s="158" t="str">
        <f t="shared" ref="E82:E88" si="4">IF(H82=CONST_NA,"",E81)</f>
        <v/>
      </c>
      <c r="F82" s="158"/>
      <c r="G82" s="158"/>
      <c r="H82" s="159" t="str">
        <f>IF(L76="","",INDEX(CONST_MATRIX_ProductionRoute,MATCH(L76,CONST_LIST_Goods,0),D82))</f>
        <v/>
      </c>
      <c r="I82" s="158"/>
      <c r="J82" s="158"/>
      <c r="K82" s="160" t="str">
        <f t="shared" ref="K82:K88" si="5">IF(H82=CONST_NA,"",K81)</f>
        <v/>
      </c>
      <c r="L82" s="30"/>
      <c r="O82" s="902"/>
      <c r="P82" s="144"/>
      <c r="S82" s="105">
        <v>2</v>
      </c>
      <c r="T82" s="713"/>
      <c r="V82" s="157" t="str">
        <f>IF(AND(G76&lt;&gt;"",E82&lt;&gt;"",L82&lt;&gt;""),TRUE,IF(AND(G76&lt;&gt;"",OR(AND(E82&lt;&gt;"",L82=""),AND(E82="",L82&lt;&gt;""))),CONST_ErrorOrMissing&amp;C76,CONST_NA))</f>
        <v>n.a.</v>
      </c>
    </row>
    <row r="83" spans="1:24" ht="12.75" customHeight="1" x14ac:dyDescent="0.35">
      <c r="D83" s="173">
        <v>3</v>
      </c>
      <c r="E83" s="158" t="str">
        <f t="shared" si="4"/>
        <v/>
      </c>
      <c r="F83" s="158"/>
      <c r="G83" s="158"/>
      <c r="H83" s="159" t="str">
        <f>IF(L76="","",INDEX(CONST_MATRIX_ProductionRoute,MATCH(L76,CONST_LIST_Goods,0),D83))</f>
        <v/>
      </c>
      <c r="I83" s="158"/>
      <c r="J83" s="158"/>
      <c r="K83" s="160" t="str">
        <f t="shared" si="5"/>
        <v/>
      </c>
      <c r="L83" s="30"/>
      <c r="O83" s="902"/>
      <c r="P83" s="144"/>
      <c r="S83" s="105">
        <v>3</v>
      </c>
      <c r="T83" s="713"/>
      <c r="V83" s="157" t="str">
        <f>IF(AND(G76&lt;&gt;"",E83&lt;&gt;"",L83&lt;&gt;""),TRUE,IF(AND(G76&lt;&gt;"",OR(AND(E83&lt;&gt;"",L83=""),AND(E83="",L83&lt;&gt;""))),CONST_ErrorOrMissing&amp;C76,CONST_NA))</f>
        <v>n.a.</v>
      </c>
    </row>
    <row r="84" spans="1:24" ht="12.75" customHeight="1" x14ac:dyDescent="0.35">
      <c r="D84" s="173">
        <v>4</v>
      </c>
      <c r="E84" s="158" t="str">
        <f t="shared" si="4"/>
        <v/>
      </c>
      <c r="F84" s="158"/>
      <c r="G84" s="158"/>
      <c r="H84" s="159" t="str">
        <f>IF(L76="","",INDEX(CONST_MATRIX_ProductionRoute,MATCH(L76,CONST_LIST_Goods,0),D84))</f>
        <v/>
      </c>
      <c r="I84" s="158"/>
      <c r="J84" s="158"/>
      <c r="K84" s="160" t="str">
        <f t="shared" si="5"/>
        <v/>
      </c>
      <c r="L84" s="30"/>
      <c r="O84" s="902"/>
      <c r="P84" s="144"/>
      <c r="S84" s="105">
        <v>4</v>
      </c>
      <c r="T84" s="713"/>
      <c r="V84" s="157" t="str">
        <f>IF(AND(G76&lt;&gt;"",E84&lt;&gt;"",L84&lt;&gt;""),TRUE,IF(AND(G76&lt;&gt;"",OR(AND(E84&lt;&gt;"",L84=""),AND(E84="",L84&lt;&gt;""))),CONST_ErrorOrMissing&amp;C76,CONST_NA))</f>
        <v>n.a.</v>
      </c>
    </row>
    <row r="85" spans="1:24" ht="12.75" customHeight="1" x14ac:dyDescent="0.35">
      <c r="D85" s="173">
        <v>5</v>
      </c>
      <c r="E85" s="158" t="str">
        <f t="shared" si="4"/>
        <v/>
      </c>
      <c r="F85" s="158"/>
      <c r="G85" s="158"/>
      <c r="H85" s="159" t="str">
        <f>IF(L76="","",INDEX(CONST_MATRIX_ProductionRoute,MATCH(L76,CONST_LIST_Goods,0),D85))</f>
        <v/>
      </c>
      <c r="I85" s="158"/>
      <c r="J85" s="158"/>
      <c r="K85" s="160" t="str">
        <f t="shared" si="5"/>
        <v/>
      </c>
      <c r="L85" s="30"/>
      <c r="O85" s="902"/>
      <c r="P85" s="144"/>
      <c r="S85" s="105">
        <v>5</v>
      </c>
      <c r="T85" s="713"/>
      <c r="V85" s="157" t="str">
        <f>IF(AND(G76&lt;&gt;"",E85&lt;&gt;"",L85&lt;&gt;""),TRUE,IF(AND(G76&lt;&gt;"",OR(AND(E85&lt;&gt;"",L85=""),AND(E85="",L85&lt;&gt;""))),CONST_ErrorOrMissing&amp;C76,CONST_NA))</f>
        <v>n.a.</v>
      </c>
    </row>
    <row r="86" spans="1:24" ht="12.75" customHeight="1" x14ac:dyDescent="0.35">
      <c r="D86" s="173">
        <v>6</v>
      </c>
      <c r="E86" s="158" t="str">
        <f t="shared" si="4"/>
        <v/>
      </c>
      <c r="F86" s="158"/>
      <c r="G86" s="158"/>
      <c r="H86" s="159" t="str">
        <f>IF(L76="","",INDEX(CONST_MATRIX_ProductionRoute,MATCH(L76,CONST_LIST_Goods,0),D86))</f>
        <v/>
      </c>
      <c r="I86" s="158"/>
      <c r="J86" s="158"/>
      <c r="K86" s="160" t="str">
        <f t="shared" si="5"/>
        <v/>
      </c>
      <c r="L86" s="30"/>
      <c r="O86" s="902"/>
      <c r="P86" s="144"/>
      <c r="S86" s="105">
        <v>6</v>
      </c>
      <c r="T86" s="713"/>
      <c r="V86" s="157" t="str">
        <f>IF(AND(G76&lt;&gt;"",E86&lt;&gt;"",L86&lt;&gt;""),TRUE,IF(AND(G76&lt;&gt;"",OR(AND(E86&lt;&gt;"",L86=""),AND(E86="",L86&lt;&gt;""))),CONST_ErrorOrMissing&amp;C76,CONST_NA))</f>
        <v>n.a.</v>
      </c>
    </row>
    <row r="87" spans="1:24" ht="12.75" customHeight="1" x14ac:dyDescent="0.35">
      <c r="D87" s="173">
        <v>7</v>
      </c>
      <c r="E87" s="158" t="str">
        <f t="shared" si="4"/>
        <v/>
      </c>
      <c r="F87" s="158"/>
      <c r="G87" s="158"/>
      <c r="H87" s="159" t="str">
        <f>IF(L76="","",INDEX(CONST_MATRIX_ProductionRoute,MATCH(L76,CONST_LIST_Goods,0),D87))</f>
        <v/>
      </c>
      <c r="I87" s="158"/>
      <c r="J87" s="158"/>
      <c r="K87" s="160" t="str">
        <f t="shared" si="5"/>
        <v/>
      </c>
      <c r="L87" s="30"/>
      <c r="O87" s="902"/>
      <c r="P87" s="144"/>
      <c r="S87" s="105">
        <v>7</v>
      </c>
      <c r="T87" s="713"/>
      <c r="V87" s="157" t="str">
        <f>IF(AND(G76&lt;&gt;"",E87&lt;&gt;"",L87&lt;&gt;""),TRUE,IF(AND(G76&lt;&gt;"",OR(AND(E87&lt;&gt;"",L87=""),AND(E87="",L87&lt;&gt;""))),CONST_ErrorOrMissing&amp;C76,CONST_NA))</f>
        <v>n.a.</v>
      </c>
    </row>
    <row r="88" spans="1:24" ht="12.75" customHeight="1" x14ac:dyDescent="0.35">
      <c r="D88" s="173">
        <v>8</v>
      </c>
      <c r="E88" s="161" t="str">
        <f t="shared" si="4"/>
        <v/>
      </c>
      <c r="F88" s="161"/>
      <c r="G88" s="161"/>
      <c r="H88" s="162" t="str">
        <f>IF(L76="","",INDEX(CONST_MATRIX_ProductionRoute,MATCH(L76,CONST_LIST_Goods,0),D88))</f>
        <v/>
      </c>
      <c r="I88" s="161"/>
      <c r="J88" s="161"/>
      <c r="K88" s="163" t="str">
        <f t="shared" si="5"/>
        <v/>
      </c>
      <c r="L88" s="31"/>
      <c r="O88" s="902"/>
      <c r="P88" s="144"/>
      <c r="S88" s="105">
        <v>8</v>
      </c>
      <c r="T88" s="713"/>
      <c r="V88" s="157" t="str">
        <f>IF(AND(G76&lt;&gt;"",E88&lt;&gt;"",L88&lt;&gt;""),TRUE,IF(AND(G76&lt;&gt;"",OR(AND(E88&lt;&gt;"",L88=""),AND(E88="",L88&lt;&gt;""))),CONST_ErrorOrMissing&amp;C76,CONST_NA))</f>
        <v>n.a.</v>
      </c>
    </row>
    <row r="89" spans="1:24" ht="12.75" customHeight="1" x14ac:dyDescent="0.35">
      <c r="D89" s="103"/>
      <c r="E89" s="138" t="str">
        <f>Translations!$B$246</f>
        <v>Total production within installation (= denominator for SEE calculation):</v>
      </c>
      <c r="F89" s="138"/>
      <c r="G89" s="138"/>
      <c r="H89" s="164"/>
      <c r="I89" s="138"/>
      <c r="J89" s="138"/>
      <c r="K89" s="165" t="str">
        <f>K81</f>
        <v/>
      </c>
      <c r="L89" s="140" t="str">
        <f>IF(G76="","",SUM(L81:L88))</f>
        <v/>
      </c>
      <c r="O89" s="901"/>
      <c r="P89" s="144"/>
      <c r="R89" s="102" t="str">
        <f>CONST_CNTR_TotProd&amp;G76</f>
        <v>TotProd_</v>
      </c>
      <c r="T89" s="124" t="str">
        <f>IF(G76="","",L89)</f>
        <v/>
      </c>
    </row>
    <row r="90" spans="1:24" s="144" customFormat="1" ht="5.15" customHeight="1" x14ac:dyDescent="0.35">
      <c r="A90" s="91"/>
      <c r="B90" s="93"/>
      <c r="C90" s="93"/>
      <c r="D90" s="166"/>
      <c r="E90" s="167"/>
      <c r="N90" s="93"/>
      <c r="O90" s="901"/>
      <c r="Q90" s="93"/>
      <c r="R90" s="91"/>
      <c r="S90" s="91"/>
      <c r="T90" s="712"/>
      <c r="U90" s="91"/>
      <c r="V90" s="91"/>
      <c r="W90" s="104"/>
      <c r="X90" s="91"/>
    </row>
    <row r="91" spans="1:24" s="144" customFormat="1" ht="12.75" customHeight="1" x14ac:dyDescent="0.35">
      <c r="A91" s="91"/>
      <c r="B91" s="93"/>
      <c r="C91" s="93"/>
      <c r="D91" s="168" t="s">
        <v>48</v>
      </c>
      <c r="E91" s="167" t="str">
        <f>Translations!$B$247</f>
        <v>Production details</v>
      </c>
      <c r="F91" s="167"/>
      <c r="G91" s="167"/>
      <c r="H91" s="168"/>
      <c r="K91" s="168" t="str">
        <f>Translations!$B$221</f>
        <v>Unit</v>
      </c>
      <c r="L91" s="168" t="str">
        <f>Translations!$B$245</f>
        <v>Amounts</v>
      </c>
      <c r="N91" s="93"/>
      <c r="O91" s="901"/>
      <c r="Q91" s="93"/>
      <c r="R91" s="91"/>
      <c r="S91" s="91"/>
      <c r="T91" s="712"/>
      <c r="U91" s="91"/>
      <c r="V91" s="91"/>
      <c r="W91" s="104"/>
      <c r="X91" s="91"/>
    </row>
    <row r="92" spans="1:24" s="144" customFormat="1" ht="12.75" customHeight="1" x14ac:dyDescent="0.35">
      <c r="A92" s="91"/>
      <c r="B92" s="93"/>
      <c r="C92" s="93"/>
      <c r="D92" s="132" t="s">
        <v>41</v>
      </c>
      <c r="E92" s="138" t="str">
        <f>Translations!$B$248</f>
        <v>Produced for the market</v>
      </c>
      <c r="F92" s="138"/>
      <c r="G92" s="138"/>
      <c r="H92" s="138"/>
      <c r="I92" s="138"/>
      <c r="J92" s="138"/>
      <c r="K92" s="169" t="str">
        <f>K81</f>
        <v/>
      </c>
      <c r="L92" s="211"/>
      <c r="N92" s="93"/>
      <c r="O92" s="902"/>
      <c r="Q92" s="93"/>
      <c r="R92" s="102" t="str">
        <f>CONST_GoodToMarket&amp;G76</f>
        <v>ToMarket_</v>
      </c>
      <c r="S92" s="91"/>
      <c r="T92" s="124" t="str">
        <f>IF($G$11="","",L92)</f>
        <v/>
      </c>
      <c r="U92" s="91"/>
      <c r="V92" s="157" t="str">
        <f>IF(AND(G76&lt;&gt;"",L92&lt;&gt;""),TRUE,IF(AND(G76&lt;&gt;"",OR(L92="",L81&lt;&gt;"")),CONST_ErrorOrMissing&amp;C76,CONST_NA))</f>
        <v>n.a.</v>
      </c>
      <c r="W92" s="104"/>
      <c r="X92" s="91"/>
    </row>
    <row r="93" spans="1:24" s="144" customFormat="1" ht="12.75" customHeight="1" x14ac:dyDescent="0.35">
      <c r="A93" s="91"/>
      <c r="B93" s="93"/>
      <c r="C93" s="93"/>
      <c r="D93" s="132" t="s">
        <v>42</v>
      </c>
      <c r="E93" s="133" t="str">
        <f>Translations!$B$249</f>
        <v>Share of total under (a) produced for the market</v>
      </c>
      <c r="F93" s="288"/>
      <c r="G93" s="288"/>
      <c r="H93" s="288"/>
      <c r="I93" s="288"/>
      <c r="J93" s="288"/>
      <c r="K93" s="288"/>
      <c r="L93" s="289" t="str">
        <f>IF(AND(COUNT(L89,L92)=2,SUM(L89&gt;0)),SUM(L92)/SUM(L89),"")</f>
        <v/>
      </c>
      <c r="N93" s="93"/>
      <c r="O93" s="901"/>
      <c r="Q93" s="93"/>
      <c r="R93" s="171"/>
      <c r="S93" s="91"/>
      <c r="T93" s="712"/>
      <c r="U93" s="91"/>
      <c r="V93" s="172"/>
      <c r="W93" s="104"/>
      <c r="X93" s="91"/>
    </row>
    <row r="94" spans="1:24" s="144" customFormat="1" ht="12.75" customHeight="1" x14ac:dyDescent="0.35">
      <c r="A94" s="91"/>
      <c r="B94" s="93"/>
      <c r="C94" s="93"/>
      <c r="D94" s="132" t="s">
        <v>43</v>
      </c>
      <c r="E94" s="136" t="str">
        <f>Translations!$B$250</f>
        <v>Total production only for the market?</v>
      </c>
      <c r="F94" s="290"/>
      <c r="G94" s="290"/>
      <c r="H94" s="290"/>
      <c r="I94" s="290"/>
      <c r="J94" s="290"/>
      <c r="K94" s="290"/>
      <c r="L94" s="291" t="str">
        <f>IF(G76="","",AND(SUM(L89)&gt;0,SUM(L89)=SUM(L92)))</f>
        <v/>
      </c>
      <c r="N94" s="93"/>
      <c r="O94" s="901"/>
      <c r="Q94" s="93"/>
      <c r="R94" s="171"/>
      <c r="S94" s="91"/>
      <c r="T94" s="712"/>
      <c r="U94" s="91"/>
      <c r="V94" s="91"/>
      <c r="W94" s="104"/>
      <c r="X94" s="91"/>
    </row>
    <row r="95" spans="1:24" s="144" customFormat="1" ht="5.15" customHeight="1" x14ac:dyDescent="0.35">
      <c r="A95" s="91"/>
      <c r="B95" s="93"/>
      <c r="C95" s="93"/>
      <c r="D95" s="166"/>
      <c r="E95" s="167"/>
      <c r="N95" s="93"/>
      <c r="O95" s="901"/>
      <c r="Q95" s="93"/>
      <c r="R95" s="91"/>
      <c r="S95" s="91"/>
      <c r="T95" s="712"/>
      <c r="U95" s="91"/>
      <c r="V95" s="91"/>
      <c r="W95" s="104"/>
      <c r="X95" s="91"/>
    </row>
    <row r="96" spans="1:24" s="144" customFormat="1" ht="12.75" customHeight="1" x14ac:dyDescent="0.35">
      <c r="A96" s="91"/>
      <c r="B96" s="93"/>
      <c r="C96" s="93"/>
      <c r="D96" s="168" t="s">
        <v>49</v>
      </c>
      <c r="E96" s="167" t="str">
        <f>Translations!$B$251</f>
        <v>Consumed in other 'production processes' within the installation:</v>
      </c>
      <c r="F96" s="167"/>
      <c r="G96" s="167"/>
      <c r="H96" s="167"/>
      <c r="I96" s="167"/>
      <c r="J96" s="167"/>
      <c r="K96" s="168" t="str">
        <f>Translations!$B$221</f>
        <v>Unit</v>
      </c>
      <c r="L96" s="168" t="str">
        <f>Translations!$B$245</f>
        <v>Amounts</v>
      </c>
      <c r="N96" s="93"/>
      <c r="O96" s="901"/>
      <c r="Q96" s="93"/>
      <c r="R96" s="91"/>
      <c r="S96" s="123" t="s">
        <v>195</v>
      </c>
      <c r="T96" s="712"/>
      <c r="U96" s="91"/>
      <c r="V96" s="91"/>
      <c r="W96" s="104" t="s">
        <v>34</v>
      </c>
      <c r="X96" s="102" t="b">
        <f>IF(G76="",FALSE,L94)</f>
        <v>0</v>
      </c>
    </row>
    <row r="97" spans="1:24" s="144" customFormat="1" ht="12.75" customHeight="1" x14ac:dyDescent="0.35">
      <c r="A97" s="91"/>
      <c r="B97" s="93"/>
      <c r="C97" s="93"/>
      <c r="D97" s="173">
        <v>1</v>
      </c>
      <c r="E97" s="174" t="str">
        <f t="shared" ref="E97:E105" si="6">IF(INDEX(CNTR_List_ExistProdProcNames,S97)=CONST_NA,"",INDEX(CNTR_List_ExistProdProcNames,S97))</f>
        <v/>
      </c>
      <c r="F97" s="175"/>
      <c r="G97" s="175"/>
      <c r="H97" s="175"/>
      <c r="I97" s="175"/>
      <c r="J97" s="176"/>
      <c r="K97" s="155" t="str">
        <f>K81</f>
        <v/>
      </c>
      <c r="L97" s="29"/>
      <c r="N97" s="93"/>
      <c r="O97" s="902"/>
      <c r="Q97" s="93"/>
      <c r="R97" s="102" t="str">
        <f>CONST_PrecursorToGoodInput&amp;G76 &amp;"_"&amp;E97</f>
        <v>PrecToGood__</v>
      </c>
      <c r="S97" s="105">
        <f>MAX(S96:S96)+IF(D97=C76,2,1)</f>
        <v>1</v>
      </c>
      <c r="T97" s="124" t="str">
        <f>IF(G76="","",L97)</f>
        <v/>
      </c>
      <c r="U97" s="91"/>
      <c r="V97" s="157" t="str">
        <f>IF(AND(G76&lt;&gt;"",E97&lt;&gt;"",L97&lt;&gt;""),TRUE,IF(AND(G76&lt;&gt;"",E97&lt;&gt;"",L97="",X97=FALSE),CONST_ErrorOrMissing&amp;C76,CONST_NA))</f>
        <v>n.a.</v>
      </c>
      <c r="W97" s="104" t="s">
        <v>34</v>
      </c>
      <c r="X97" s="102" t="b">
        <f>IF(G76="",FALSE,OR(L94,E97=""))</f>
        <v>0</v>
      </c>
    </row>
    <row r="98" spans="1:24" s="144" customFormat="1" ht="12.75" customHeight="1" x14ac:dyDescent="0.35">
      <c r="A98" s="91"/>
      <c r="B98" s="93"/>
      <c r="C98" s="93"/>
      <c r="D98" s="173">
        <v>2</v>
      </c>
      <c r="E98" s="177" t="str">
        <f t="shared" si="6"/>
        <v/>
      </c>
      <c r="F98" s="178"/>
      <c r="G98" s="178"/>
      <c r="H98" s="178"/>
      <c r="I98" s="178"/>
      <c r="J98" s="179"/>
      <c r="K98" s="160" t="str">
        <f>K97</f>
        <v/>
      </c>
      <c r="L98" s="30"/>
      <c r="N98" s="93"/>
      <c r="O98" s="902"/>
      <c r="Q98" s="93"/>
      <c r="R98" s="102" t="str">
        <f>CONST_PrecursorToGoodInput&amp;G76 &amp;"_"&amp;E98</f>
        <v>PrecToGood__</v>
      </c>
      <c r="S98" s="105">
        <f>MAX(S96:S97)+IF(D98=C76,2,1)</f>
        <v>3</v>
      </c>
      <c r="T98" s="124" t="str">
        <f>IF(G76="","",L98)</f>
        <v/>
      </c>
      <c r="U98" s="91"/>
      <c r="V98" s="157" t="str">
        <f>IF(AND(G76&lt;&gt;"",E98&lt;&gt;"",L98&lt;&gt;""),TRUE,IF(AND(G76&lt;&gt;"",E98&lt;&gt;"",L98="",X98=FALSE),CONST_ErrorOrMissing&amp;C76,CONST_NA))</f>
        <v>n.a.</v>
      </c>
      <c r="W98" s="104"/>
      <c r="X98" s="102" t="b">
        <f>IF(G76="",FALSE,OR(L94,E98=""))</f>
        <v>0</v>
      </c>
    </row>
    <row r="99" spans="1:24" s="144" customFormat="1" ht="12.75" customHeight="1" x14ac:dyDescent="0.35">
      <c r="A99" s="91"/>
      <c r="B99" s="93"/>
      <c r="C99" s="93"/>
      <c r="D99" s="173">
        <v>3</v>
      </c>
      <c r="E99" s="177" t="str">
        <f t="shared" si="6"/>
        <v/>
      </c>
      <c r="F99" s="178"/>
      <c r="G99" s="178"/>
      <c r="H99" s="178"/>
      <c r="I99" s="178"/>
      <c r="J99" s="179"/>
      <c r="K99" s="160" t="str">
        <f t="shared" ref="K99:K107" si="7">K98</f>
        <v/>
      </c>
      <c r="L99" s="30"/>
      <c r="N99" s="93"/>
      <c r="O99" s="902"/>
      <c r="Q99" s="93"/>
      <c r="R99" s="102" t="str">
        <f>CONST_PrecursorToGoodInput&amp;G76 &amp;"_"&amp;E99</f>
        <v>PrecToGood__</v>
      </c>
      <c r="S99" s="105">
        <f>MAX(S96:S98)+IF(D99=C76,2,1)</f>
        <v>4</v>
      </c>
      <c r="T99" s="124" t="str">
        <f>IF(G76="","",L99)</f>
        <v/>
      </c>
      <c r="U99" s="91"/>
      <c r="V99" s="157" t="str">
        <f>IF(AND(G76&lt;&gt;"",E99&lt;&gt;"",L99&lt;&gt;""),TRUE,IF(AND(G76&lt;&gt;"",E99&lt;&gt;"",L99="",X99=FALSE),CONST_ErrorOrMissing&amp;C76,CONST_NA))</f>
        <v>n.a.</v>
      </c>
      <c r="W99" s="104"/>
      <c r="X99" s="102" t="b">
        <f>IF(G76="",FALSE,OR(L94,E99=""))</f>
        <v>0</v>
      </c>
    </row>
    <row r="100" spans="1:24" s="144" customFormat="1" ht="12.75" customHeight="1" x14ac:dyDescent="0.35">
      <c r="A100" s="91"/>
      <c r="B100" s="93"/>
      <c r="C100" s="93"/>
      <c r="D100" s="173">
        <v>4</v>
      </c>
      <c r="E100" s="177" t="str">
        <f t="shared" si="6"/>
        <v/>
      </c>
      <c r="F100" s="178"/>
      <c r="G100" s="178"/>
      <c r="H100" s="178"/>
      <c r="I100" s="178"/>
      <c r="J100" s="179"/>
      <c r="K100" s="160" t="str">
        <f t="shared" si="7"/>
        <v/>
      </c>
      <c r="L100" s="30"/>
      <c r="N100" s="93"/>
      <c r="O100" s="902"/>
      <c r="Q100" s="93"/>
      <c r="R100" s="102" t="str">
        <f>CONST_PrecursorToGoodInput&amp;G76 &amp;"_"&amp;E100</f>
        <v>PrecToGood__</v>
      </c>
      <c r="S100" s="105">
        <f>MAX(S96:S99)+IF(D100=C76,2,1)</f>
        <v>5</v>
      </c>
      <c r="T100" s="124" t="str">
        <f>IF(G76="","",L100)</f>
        <v/>
      </c>
      <c r="U100" s="91"/>
      <c r="V100" s="157" t="str">
        <f>IF(AND(G76&lt;&gt;"",E100&lt;&gt;"",L100&lt;&gt;""),TRUE,IF(AND(G76&lt;&gt;"",E100&lt;&gt;"",L100="",X100=FALSE),CONST_ErrorOrMissing&amp;C76,CONST_NA))</f>
        <v>n.a.</v>
      </c>
      <c r="W100" s="104"/>
      <c r="X100" s="102" t="b">
        <f>IF(G76="",FALSE,OR(L94,E100=""))</f>
        <v>0</v>
      </c>
    </row>
    <row r="101" spans="1:24" s="144" customFormat="1" ht="12.75" customHeight="1" x14ac:dyDescent="0.35">
      <c r="A101" s="91"/>
      <c r="B101" s="93"/>
      <c r="C101" s="93"/>
      <c r="D101" s="173">
        <v>5</v>
      </c>
      <c r="E101" s="180" t="str">
        <f t="shared" si="6"/>
        <v/>
      </c>
      <c r="F101" s="181"/>
      <c r="G101" s="181"/>
      <c r="H101" s="181"/>
      <c r="I101" s="181"/>
      <c r="J101" s="182"/>
      <c r="K101" s="183" t="str">
        <f t="shared" si="7"/>
        <v/>
      </c>
      <c r="L101" s="212"/>
      <c r="N101" s="93"/>
      <c r="O101" s="902"/>
      <c r="Q101" s="93"/>
      <c r="R101" s="102" t="str">
        <f>CONST_PrecursorToGoodInput&amp;G76 &amp;"_"&amp;E101</f>
        <v>PrecToGood__</v>
      </c>
      <c r="S101" s="105">
        <f>MAX(S96:S100)+IF(D101=C76,2,1)</f>
        <v>6</v>
      </c>
      <c r="T101" s="124" t="str">
        <f>IF(G76="","",L101)</f>
        <v/>
      </c>
      <c r="U101" s="91"/>
      <c r="V101" s="157" t="str">
        <f>IF(AND(G76&lt;&gt;"",E101&lt;&gt;"",L101&lt;&gt;""),TRUE,IF(AND(G76&lt;&gt;"",E101&lt;&gt;"",L101="",X101=FALSE),CONST_ErrorOrMissing&amp;C76,CONST_NA))</f>
        <v>n.a.</v>
      </c>
      <c r="W101" s="104"/>
      <c r="X101" s="102" t="b">
        <f>IF(G76="",FALSE,OR(L94,E101=""))</f>
        <v>0</v>
      </c>
    </row>
    <row r="102" spans="1:24" s="144" customFormat="1" ht="12.75" customHeight="1" x14ac:dyDescent="0.35">
      <c r="A102" s="91"/>
      <c r="B102" s="93"/>
      <c r="C102" s="93"/>
      <c r="D102" s="173">
        <v>6</v>
      </c>
      <c r="E102" s="180" t="str">
        <f t="shared" si="6"/>
        <v/>
      </c>
      <c r="F102" s="181"/>
      <c r="G102" s="181"/>
      <c r="H102" s="181"/>
      <c r="I102" s="181"/>
      <c r="J102" s="182"/>
      <c r="K102" s="183" t="str">
        <f t="shared" si="7"/>
        <v/>
      </c>
      <c r="L102" s="212"/>
      <c r="N102" s="93"/>
      <c r="O102" s="902"/>
      <c r="Q102" s="93"/>
      <c r="R102" s="102" t="str">
        <f>CONST_PrecursorToGoodInput&amp;G76 &amp;"_"&amp;E102</f>
        <v>PrecToGood__</v>
      </c>
      <c r="S102" s="105">
        <f>MAX(S96:S101)+IF(D102=C76,2,1)</f>
        <v>7</v>
      </c>
      <c r="T102" s="124" t="str">
        <f>IF(G76="","",L102)</f>
        <v/>
      </c>
      <c r="U102" s="91"/>
      <c r="V102" s="157" t="str">
        <f>IF(AND(G76&lt;&gt;"",E102&lt;&gt;"",L102&lt;&gt;""),TRUE,IF(AND(G76&lt;&gt;"",E102&lt;&gt;"",L102="",X102=FALSE),CONST_ErrorOrMissing&amp;C76,CONST_NA))</f>
        <v>n.a.</v>
      </c>
      <c r="W102" s="104"/>
      <c r="X102" s="102" t="b">
        <f>IF(G76="",FALSE,OR(L94,E102=""))</f>
        <v>0</v>
      </c>
    </row>
    <row r="103" spans="1:24" s="144" customFormat="1" ht="12.75" customHeight="1" x14ac:dyDescent="0.35">
      <c r="A103" s="91"/>
      <c r="B103" s="93"/>
      <c r="C103" s="93"/>
      <c r="D103" s="173">
        <v>7</v>
      </c>
      <c r="E103" s="180" t="str">
        <f t="shared" si="6"/>
        <v/>
      </c>
      <c r="F103" s="181"/>
      <c r="G103" s="181"/>
      <c r="H103" s="181"/>
      <c r="I103" s="181"/>
      <c r="J103" s="182"/>
      <c r="K103" s="183" t="str">
        <f t="shared" si="7"/>
        <v/>
      </c>
      <c r="L103" s="212"/>
      <c r="N103" s="93"/>
      <c r="O103" s="902"/>
      <c r="Q103" s="93"/>
      <c r="R103" s="102" t="str">
        <f>CONST_PrecursorToGoodInput&amp;G76 &amp;"_"&amp;E103</f>
        <v>PrecToGood__</v>
      </c>
      <c r="S103" s="105">
        <f>MAX(S96:S102)+IF(D103=C76,2,1)</f>
        <v>8</v>
      </c>
      <c r="T103" s="124" t="str">
        <f>IF(G76="","",L103)</f>
        <v/>
      </c>
      <c r="U103" s="91"/>
      <c r="V103" s="157" t="str">
        <f>IF(AND(G76&lt;&gt;"",E103&lt;&gt;"",L103&lt;&gt;""),TRUE,IF(AND(G76&lt;&gt;"",E103&lt;&gt;"",L103="",X103=FALSE),CONST_ErrorOrMissing&amp;C76,CONST_NA))</f>
        <v>n.a.</v>
      </c>
      <c r="W103" s="104"/>
      <c r="X103" s="102" t="b">
        <f>IF(G76="",FALSE,OR(L94,E103=""))</f>
        <v>0</v>
      </c>
    </row>
    <row r="104" spans="1:24" s="144" customFormat="1" ht="12.75" customHeight="1" x14ac:dyDescent="0.35">
      <c r="A104" s="91"/>
      <c r="B104" s="93"/>
      <c r="C104" s="93"/>
      <c r="D104" s="173">
        <v>8</v>
      </c>
      <c r="E104" s="180" t="str">
        <f t="shared" si="6"/>
        <v/>
      </c>
      <c r="F104" s="181"/>
      <c r="G104" s="181"/>
      <c r="H104" s="181"/>
      <c r="I104" s="181"/>
      <c r="J104" s="182"/>
      <c r="K104" s="183" t="str">
        <f t="shared" si="7"/>
        <v/>
      </c>
      <c r="L104" s="212"/>
      <c r="N104" s="93"/>
      <c r="O104" s="902"/>
      <c r="Q104" s="93"/>
      <c r="R104" s="102" t="str">
        <f>CONST_PrecursorToGoodInput&amp;G76 &amp;"_"&amp;E104</f>
        <v>PrecToGood__</v>
      </c>
      <c r="S104" s="105">
        <f>MAX(S96:S103)+IF(D104=C76,2,1)</f>
        <v>9</v>
      </c>
      <c r="T104" s="124" t="str">
        <f>IF(G76="","",L104)</f>
        <v/>
      </c>
      <c r="U104" s="91"/>
      <c r="V104" s="157" t="str">
        <f>IF(AND(G76&lt;&gt;"",E104&lt;&gt;"",L104&lt;&gt;""),TRUE,IF(AND(G76&lt;&gt;"",E104&lt;&gt;"",L104="",X104=FALSE),CONST_ErrorOrMissing&amp;C76,CONST_NA))</f>
        <v>n.a.</v>
      </c>
      <c r="W104" s="104"/>
      <c r="X104" s="102" t="b">
        <f>IF(G76="",FALSE,OR(L94,E104=""))</f>
        <v>0</v>
      </c>
    </row>
    <row r="105" spans="1:24" s="144" customFormat="1" ht="12.75" customHeight="1" x14ac:dyDescent="0.35">
      <c r="A105" s="91"/>
      <c r="B105" s="93"/>
      <c r="C105" s="93"/>
      <c r="D105" s="173">
        <v>9</v>
      </c>
      <c r="E105" s="184" t="str">
        <f t="shared" si="6"/>
        <v/>
      </c>
      <c r="F105" s="185"/>
      <c r="G105" s="185"/>
      <c r="H105" s="185"/>
      <c r="I105" s="185"/>
      <c r="J105" s="186"/>
      <c r="K105" s="163" t="str">
        <f t="shared" si="7"/>
        <v/>
      </c>
      <c r="L105" s="31"/>
      <c r="N105" s="93"/>
      <c r="O105" s="902"/>
      <c r="Q105" s="93"/>
      <c r="R105" s="102" t="str">
        <f>CONST_PrecursorToGoodInput&amp;G76 &amp;"_"&amp;E105</f>
        <v>PrecToGood__</v>
      </c>
      <c r="S105" s="105">
        <f>MAX(S96:S104)+IF(D105=C76,2,1)</f>
        <v>10</v>
      </c>
      <c r="T105" s="124" t="str">
        <f>IF(G76="","",L105)</f>
        <v/>
      </c>
      <c r="U105" s="91"/>
      <c r="V105" s="157" t="str">
        <f>IF(AND(G76&lt;&gt;"",E105&lt;&gt;"",L105&lt;&gt;""),TRUE,IF(AND(G76&lt;&gt;"",E105&lt;&gt;"",L105="",X105=FALSE),CONST_ErrorOrMissing&amp;C76,CONST_NA))</f>
        <v>n.a.</v>
      </c>
      <c r="W105" s="104"/>
      <c r="X105" s="102" t="b">
        <f>IF(G76="",FALSE,OR(L94,E105=""))</f>
        <v>0</v>
      </c>
    </row>
    <row r="106" spans="1:24" s="144" customFormat="1" ht="12.75" customHeight="1" x14ac:dyDescent="0.35">
      <c r="A106" s="91"/>
      <c r="B106" s="93"/>
      <c r="C106" s="93"/>
      <c r="D106" s="168" t="s">
        <v>377</v>
      </c>
      <c r="E106" s="167" t="str">
        <f>Translations!$B$252</f>
        <v>Consumed for non-CBAM goods within the installation:</v>
      </c>
      <c r="F106" s="167"/>
      <c r="G106" s="167"/>
      <c r="H106" s="167"/>
      <c r="I106" s="167"/>
      <c r="J106" s="167"/>
      <c r="K106" s="297" t="str">
        <f t="shared" si="7"/>
        <v/>
      </c>
      <c r="L106" s="298"/>
      <c r="N106" s="93"/>
      <c r="O106" s="902"/>
      <c r="Q106" s="93"/>
      <c r="R106" s="91"/>
      <c r="S106" s="91"/>
      <c r="T106" s="712"/>
      <c r="U106" s="91"/>
      <c r="V106" s="157" t="str">
        <f>IF(AND(G76&lt;&gt;"",L106&lt;&gt;""),TRUE,IF(AND(G76&lt;&gt;"",L106="",X106=FALSE),CONST_ErrorOrMissing&amp;C76,CONST_NA))</f>
        <v>n.a.</v>
      </c>
      <c r="W106" s="104" t="s">
        <v>34</v>
      </c>
      <c r="X106" s="102" t="b">
        <f>IF(G76="",FALSE,L94)</f>
        <v>0</v>
      </c>
    </row>
    <row r="107" spans="1:24" s="144" customFormat="1" ht="12.75" customHeight="1" x14ac:dyDescent="0.35">
      <c r="A107" s="91"/>
      <c r="B107" s="93"/>
      <c r="C107" s="93"/>
      <c r="D107" s="168" t="s">
        <v>411</v>
      </c>
      <c r="E107" s="138" t="str">
        <f>Translations!$B$253</f>
        <v>Control:</v>
      </c>
      <c r="F107" s="170"/>
      <c r="G107" s="170"/>
      <c r="H107" s="170"/>
      <c r="I107" s="170"/>
      <c r="J107" s="170"/>
      <c r="K107" s="169" t="str">
        <f t="shared" si="7"/>
        <v/>
      </c>
      <c r="L107" s="118" t="str">
        <f>IF(G76="","",SUM(L89)-SUM(L92,L97:L106))</f>
        <v/>
      </c>
      <c r="N107" s="93"/>
      <c r="O107" s="902"/>
      <c r="Q107" s="93"/>
      <c r="R107" s="91"/>
      <c r="S107" s="91"/>
      <c r="T107" s="712"/>
      <c r="U107" s="91"/>
      <c r="V107" s="157" t="str">
        <f>IF(AND(G76&lt;&gt;"",L107=0),TRUE,IF(AND(G76&lt;&gt;"",L107&lt;&gt;0,X107=FALSE),CONST_ErrorOrMissing&amp;C76,CONST_NA))</f>
        <v>n.a.</v>
      </c>
      <c r="W107" s="104"/>
      <c r="X107" s="102" t="b">
        <f>IF(G76="",FALSE,L94)</f>
        <v>0</v>
      </c>
    </row>
    <row r="108" spans="1:24" s="144" customFormat="1" ht="12.75" customHeight="1" thickBot="1" x14ac:dyDescent="0.4">
      <c r="A108" s="91"/>
      <c r="B108" s="93"/>
      <c r="C108" s="93"/>
      <c r="D108" s="93"/>
      <c r="E108" s="93"/>
      <c r="F108" s="93"/>
      <c r="G108" s="93"/>
      <c r="H108" s="93"/>
      <c r="I108" s="93"/>
      <c r="J108" s="93"/>
      <c r="K108" s="93"/>
      <c r="L108" s="93"/>
      <c r="M108" s="93"/>
      <c r="N108" s="93"/>
      <c r="O108" s="901"/>
      <c r="Q108" s="93"/>
      <c r="R108" s="91"/>
      <c r="S108" s="91"/>
      <c r="T108" s="712"/>
      <c r="U108" s="91"/>
      <c r="V108" s="91"/>
      <c r="W108" s="104"/>
      <c r="X108" s="91"/>
    </row>
    <row r="109" spans="1:24" ht="12.75" customHeight="1" x14ac:dyDescent="0.35">
      <c r="C109" s="187"/>
      <c r="D109" s="188"/>
      <c r="E109" s="189"/>
      <c r="F109" s="190"/>
      <c r="G109" s="190"/>
      <c r="H109" s="190"/>
      <c r="I109" s="190"/>
      <c r="J109" s="190"/>
      <c r="K109" s="190"/>
      <c r="L109" s="190"/>
      <c r="M109" s="190"/>
      <c r="N109" s="191"/>
      <c r="O109" s="901"/>
      <c r="P109" s="144"/>
      <c r="T109" s="712"/>
    </row>
    <row r="110" spans="1:24" ht="15" customHeight="1" x14ac:dyDescent="0.35">
      <c r="C110" s="192"/>
      <c r="D110" s="193" t="str">
        <f>Translations!$B$254</f>
        <v>Calculation of the attributed emissions:</v>
      </c>
      <c r="E110" s="194"/>
      <c r="F110" s="195"/>
      <c r="G110" s="195"/>
      <c r="H110" s="195"/>
      <c r="I110" s="195"/>
      <c r="J110" s="1310" t="str">
        <f>IF(G76="","",G76)</f>
        <v/>
      </c>
      <c r="K110" s="1310"/>
      <c r="L110" s="1310"/>
      <c r="M110" s="1310"/>
      <c r="N110" s="196"/>
      <c r="O110" s="901"/>
      <c r="P110" s="144"/>
      <c r="T110" s="712"/>
    </row>
    <row r="111" spans="1:24" ht="5.15" customHeight="1" x14ac:dyDescent="0.35">
      <c r="C111" s="192"/>
      <c r="D111" s="197"/>
      <c r="E111" s="198"/>
      <c r="F111" s="195"/>
      <c r="G111" s="195"/>
      <c r="H111" s="195"/>
      <c r="I111" s="195"/>
      <c r="J111" s="195"/>
      <c r="K111" s="195"/>
      <c r="L111" s="195"/>
      <c r="M111" s="195"/>
      <c r="N111" s="196"/>
      <c r="O111" s="901"/>
      <c r="P111" s="144"/>
      <c r="T111" s="712"/>
    </row>
    <row r="112" spans="1:24" ht="12.75" customHeight="1" x14ac:dyDescent="0.35">
      <c r="C112" s="192"/>
      <c r="D112" s="199"/>
      <c r="E112" s="1311" t="str">
        <f ca="1">HYPERLINK("#"&amp;ADDRESS(MATCH($S112,G_FurtherGuidance!$S:$S,0),3,,,G_FurtherGuidance!$U$2),CONST_LinkToGuidanceSheet)</f>
        <v>Please click on this link for further guidance on how to complete this section.</v>
      </c>
      <c r="F112" s="1312"/>
      <c r="G112" s="1312"/>
      <c r="H112" s="1312"/>
      <c r="I112" s="1312"/>
      <c r="J112" s="1312"/>
      <c r="K112" s="1312"/>
      <c r="L112" s="1312"/>
      <c r="M112" s="1312"/>
      <c r="N112" s="202"/>
      <c r="O112" s="901"/>
      <c r="P112" s="144"/>
      <c r="R112" s="104" t="s">
        <v>2771</v>
      </c>
      <c r="S112" s="105">
        <v>3</v>
      </c>
      <c r="T112" s="712"/>
    </row>
    <row r="113" spans="3:24" ht="5.15" customHeight="1" x14ac:dyDescent="0.35">
      <c r="C113" s="192"/>
      <c r="D113" s="197"/>
      <c r="E113" s="198"/>
      <c r="F113" s="195"/>
      <c r="G113" s="195"/>
      <c r="H113" s="195"/>
      <c r="I113" s="195"/>
      <c r="J113" s="198"/>
      <c r="K113" s="195"/>
      <c r="L113" s="195"/>
      <c r="M113" s="195"/>
      <c r="N113" s="196"/>
      <c r="O113" s="901"/>
      <c r="P113" s="144"/>
      <c r="T113" s="712"/>
      <c r="X113" s="104"/>
    </row>
    <row r="114" spans="3:24" ht="25" customHeight="1" x14ac:dyDescent="0.3">
      <c r="C114" s="192"/>
      <c r="D114" s="197"/>
      <c r="E114" s="198"/>
      <c r="F114" s="195"/>
      <c r="G114" s="195"/>
      <c r="H114" s="195"/>
      <c r="I114" s="195"/>
      <c r="J114" s="195"/>
      <c r="K114" s="203" t="str">
        <f>Translations!$B$255</f>
        <v>Measurable heat</v>
      </c>
      <c r="L114" s="203" t="str">
        <f>Translations!$B$256</f>
        <v>Waste gases</v>
      </c>
      <c r="M114" s="203" t="str">
        <f>Translations!$B$257</f>
        <v>Indirect emissions</v>
      </c>
      <c r="N114" s="196"/>
      <c r="O114" s="901"/>
      <c r="P114" s="144"/>
      <c r="T114" s="712"/>
      <c r="X114" s="104"/>
    </row>
    <row r="115" spans="3:24" ht="12.75" customHeight="1" x14ac:dyDescent="0.35">
      <c r="C115" s="192"/>
      <c r="D115" s="199" t="s">
        <v>412</v>
      </c>
      <c r="E115" s="200" t="str">
        <f>Translations!$B$258</f>
        <v>Please select which elements are applicable</v>
      </c>
      <c r="F115" s="201"/>
      <c r="G115" s="201"/>
      <c r="H115" s="201"/>
      <c r="I115" s="201"/>
      <c r="J115" s="201"/>
      <c r="K115" s="120"/>
      <c r="L115" s="120"/>
      <c r="M115" s="169" t="str">
        <f>IF(L76="","",INDEX(CONST_LIST_GoodsIndRel,MATCH(L76,CONST_LIST_Goods,0)))</f>
        <v/>
      </c>
      <c r="N115" s="196"/>
      <c r="O115" s="902"/>
      <c r="P115" s="144"/>
      <c r="T115" s="712"/>
      <c r="V115" s="157" t="str">
        <f>IF(AND(L76&lt;&gt;"",X115=FALSE),IF(COUNTA(K115:L115)=2,TRUE,CONST_ErrorOrMissing&amp;C76),CONST_NA)</f>
        <v>n.a.</v>
      </c>
      <c r="X115" s="104"/>
    </row>
    <row r="116" spans="3:24" ht="12.75" customHeight="1" x14ac:dyDescent="0.35">
      <c r="C116" s="192"/>
      <c r="D116" s="204"/>
      <c r="E116" s="401" t="str">
        <f>Translations!$B$259</f>
        <v>Based on your selection, related sections below might become irrelevant and greyed out below.</v>
      </c>
      <c r="F116" s="195"/>
      <c r="G116" s="195"/>
      <c r="H116" s="195"/>
      <c r="I116" s="195"/>
      <c r="J116" s="195"/>
      <c r="K116" s="198"/>
      <c r="L116" s="195"/>
      <c r="M116" s="195"/>
      <c r="N116" s="196"/>
      <c r="O116" s="901"/>
      <c r="P116" s="144"/>
      <c r="T116" s="712"/>
      <c r="X116" s="104"/>
    </row>
    <row r="117" spans="3:24" ht="5.15" customHeight="1" x14ac:dyDescent="0.35">
      <c r="C117" s="192"/>
      <c r="D117" s="204"/>
      <c r="E117" s="198"/>
      <c r="F117" s="195"/>
      <c r="G117" s="195"/>
      <c r="H117" s="195"/>
      <c r="I117" s="195"/>
      <c r="J117" s="195"/>
      <c r="K117" s="198"/>
      <c r="L117" s="195"/>
      <c r="M117" s="195"/>
      <c r="N117" s="196"/>
      <c r="O117" s="901"/>
      <c r="P117" s="144"/>
      <c r="T117" s="712"/>
      <c r="X117" s="104"/>
    </row>
    <row r="118" spans="3:24" ht="12.75" customHeight="1" x14ac:dyDescent="0.35">
      <c r="C118" s="192"/>
      <c r="D118" s="204"/>
      <c r="E118" s="198"/>
      <c r="F118" s="195"/>
      <c r="G118" s="195"/>
      <c r="H118" s="195"/>
      <c r="I118" s="195"/>
      <c r="J118" s="195"/>
      <c r="K118" s="199" t="str">
        <f>Translations!$B$221</f>
        <v>Unit</v>
      </c>
      <c r="L118" s="199" t="str">
        <f>Translations!$B$260</f>
        <v>Value</v>
      </c>
      <c r="M118" s="195"/>
      <c r="N118" s="196"/>
      <c r="O118" s="901"/>
      <c r="P118" s="144"/>
      <c r="T118" s="712"/>
      <c r="X118" s="104"/>
    </row>
    <row r="119" spans="3:24" ht="12.75" customHeight="1" x14ac:dyDescent="0.35">
      <c r="C119" s="192"/>
      <c r="D119" s="199" t="s">
        <v>413</v>
      </c>
      <c r="E119" s="200" t="str">
        <f>Translations!$B$261</f>
        <v>Directly attributable emissions (DirEm*)</v>
      </c>
      <c r="F119" s="201"/>
      <c r="G119" s="201"/>
      <c r="H119" s="201"/>
      <c r="I119" s="201"/>
      <c r="J119" s="201"/>
      <c r="K119" s="205" t="str">
        <f>CONST_tCO2eq</f>
        <v>tCO2e</v>
      </c>
      <c r="L119" s="213"/>
      <c r="M119" s="195"/>
      <c r="N119" s="196"/>
      <c r="O119" s="902"/>
      <c r="P119" s="144"/>
      <c r="R119" s="102" t="str">
        <f>CONST_EmDir&amp;G76</f>
        <v>EmDir_</v>
      </c>
      <c r="S119" s="102" t="str">
        <f>CONST_CNTR_EmbedEmDir&amp;G76</f>
        <v>EmbedEmDir_</v>
      </c>
      <c r="T119" s="124" t="str">
        <f>IF(G76="","",L119)</f>
        <v/>
      </c>
      <c r="V119" s="157" t="str">
        <f>IF(L76&lt;&gt;"",IF(L119&lt;&gt;"",TRUE,CONST_ErrorOrMissing&amp;C76),CONST_NA)</f>
        <v>n.a.</v>
      </c>
      <c r="X119" s="104"/>
    </row>
    <row r="120" spans="3:24" ht="5.15" customHeight="1" x14ac:dyDescent="0.35">
      <c r="C120" s="192"/>
      <c r="D120" s="204"/>
      <c r="E120" s="198"/>
      <c r="F120" s="195"/>
      <c r="G120" s="195"/>
      <c r="H120" s="195"/>
      <c r="I120" s="195"/>
      <c r="J120" s="195"/>
      <c r="K120" s="195"/>
      <c r="L120" s="199"/>
      <c r="M120" s="199"/>
      <c r="N120" s="196"/>
      <c r="O120" s="901"/>
      <c r="P120" s="144"/>
      <c r="T120" s="712"/>
    </row>
    <row r="121" spans="3:24" ht="12.75" customHeight="1" x14ac:dyDescent="0.35">
      <c r="C121" s="192"/>
      <c r="D121" s="199" t="s">
        <v>414</v>
      </c>
      <c r="E121" s="198" t="str">
        <f>Translations!$B$262</f>
        <v>Import and export of measurable heat</v>
      </c>
      <c r="F121" s="195"/>
      <c r="G121" s="195"/>
      <c r="H121" s="195"/>
      <c r="I121" s="195"/>
      <c r="J121" s="195"/>
      <c r="K121" s="199" t="str">
        <f>Translations!$B$221</f>
        <v>Unit</v>
      </c>
      <c r="L121" s="199" t="str">
        <f>Translations!$B$263</f>
        <v>Imported</v>
      </c>
      <c r="M121" s="199" t="str">
        <f>Translations!$B$264</f>
        <v>Exported</v>
      </c>
      <c r="N121" s="196"/>
      <c r="O121" s="901"/>
      <c r="P121" s="144"/>
      <c r="T121" s="712"/>
      <c r="W121" s="104" t="s">
        <v>34</v>
      </c>
      <c r="X121" s="102" t="b">
        <f>AND(K115&lt;&gt;"",K115=FALSE)</f>
        <v>0</v>
      </c>
    </row>
    <row r="122" spans="3:24" ht="12.75" customHeight="1" x14ac:dyDescent="0.35">
      <c r="C122" s="192"/>
      <c r="D122" s="197" t="s">
        <v>41</v>
      </c>
      <c r="E122" s="201" t="str">
        <f>Translations!$B$265</f>
        <v>Amount of net measurable heat</v>
      </c>
      <c r="F122" s="201"/>
      <c r="G122" s="201"/>
      <c r="H122" s="201"/>
      <c r="I122" s="201"/>
      <c r="J122" s="201"/>
      <c r="K122" s="205" t="s">
        <v>118</v>
      </c>
      <c r="L122" s="213"/>
      <c r="M122" s="213"/>
      <c r="N122" s="196"/>
      <c r="O122" s="902"/>
      <c r="P122" s="144"/>
      <c r="T122" s="712"/>
      <c r="V122" s="157" t="str">
        <f>IF(AND(L76&lt;&gt;"",X122=FALSE),IF(COUNTA(L122:M122)=2,TRUE,CONST_ErrorOrMissing&amp;C76),CONST_NA)</f>
        <v>n.a.</v>
      </c>
      <c r="X122" s="102" t="b">
        <f>X121</f>
        <v>0</v>
      </c>
    </row>
    <row r="123" spans="3:24" ht="12.75" customHeight="1" x14ac:dyDescent="0.35">
      <c r="C123" s="192"/>
      <c r="D123" s="197" t="s">
        <v>42</v>
      </c>
      <c r="E123" s="201" t="str">
        <f>Translations!$B$266</f>
        <v>Emissions factor</v>
      </c>
      <c r="F123" s="201"/>
      <c r="G123" s="201"/>
      <c r="H123" s="201"/>
      <c r="I123" s="201"/>
      <c r="J123" s="201"/>
      <c r="K123" s="205" t="str">
        <f>CONST_tCO2pTJ</f>
        <v>tCO2/TJ</v>
      </c>
      <c r="L123" s="214"/>
      <c r="M123" s="214"/>
      <c r="N123" s="196"/>
      <c r="O123" s="902"/>
      <c r="P123" s="144"/>
      <c r="R123" s="102" t="str">
        <f>CONST_EmDirHeat&amp;G76</f>
        <v>EmDirHeat_</v>
      </c>
      <c r="S123" s="102" t="str">
        <f>CONST_CNTR_EmbedEmDir&amp;G76</f>
        <v>EmbedEmDir_</v>
      </c>
      <c r="T123" s="124" t="str">
        <f>IF(G76="","",SUM(L122*L123-M122*M123))</f>
        <v/>
      </c>
      <c r="V123" s="157" t="str">
        <f>IF(AND(L76&lt;&gt;"",X123=FALSE),IF(COUNTA(L123:M123)=2,TRUE,CONST_ErrorOrMissing&amp;C76),CONST_NA)</f>
        <v>n.a.</v>
      </c>
      <c r="X123" s="102" t="b">
        <f>X122</f>
        <v>0</v>
      </c>
    </row>
    <row r="124" spans="3:24" ht="5.15" customHeight="1" x14ac:dyDescent="0.35">
      <c r="C124" s="192"/>
      <c r="D124" s="204"/>
      <c r="E124" s="198"/>
      <c r="F124" s="195"/>
      <c r="G124" s="195"/>
      <c r="H124" s="195"/>
      <c r="I124" s="195"/>
      <c r="J124" s="195"/>
      <c r="K124" s="195"/>
      <c r="L124" s="199"/>
      <c r="M124" s="199"/>
      <c r="N124" s="196"/>
      <c r="O124" s="901"/>
      <c r="P124" s="144"/>
      <c r="T124" s="712"/>
    </row>
    <row r="125" spans="3:24" ht="12.75" customHeight="1" x14ac:dyDescent="0.35">
      <c r="C125" s="192"/>
      <c r="D125" s="199" t="s">
        <v>415</v>
      </c>
      <c r="E125" s="198" t="str">
        <f>Translations!$B$256</f>
        <v>Waste gases</v>
      </c>
      <c r="F125" s="195"/>
      <c r="G125" s="195"/>
      <c r="H125" s="195"/>
      <c r="I125" s="195"/>
      <c r="J125" s="195"/>
      <c r="K125" s="199" t="str">
        <f>Translations!$B$221</f>
        <v>Unit</v>
      </c>
      <c r="L125" s="199" t="str">
        <f>Translations!$B$263</f>
        <v>Imported</v>
      </c>
      <c r="M125" s="199" t="str">
        <f>Translations!$B$264</f>
        <v>Exported</v>
      </c>
      <c r="N125" s="196"/>
      <c r="O125" s="901"/>
      <c r="P125" s="144"/>
      <c r="T125" s="712"/>
      <c r="W125" s="104" t="s">
        <v>34</v>
      </c>
      <c r="X125" s="102" t="b">
        <f>AND(L115&lt;&gt;"",L115=FALSE)</f>
        <v>0</v>
      </c>
    </row>
    <row r="126" spans="3:24" ht="12.75" customHeight="1" x14ac:dyDescent="0.35">
      <c r="C126" s="192"/>
      <c r="D126" s="197" t="s">
        <v>41</v>
      </c>
      <c r="E126" s="201" t="str">
        <f>Translations!$B$267</f>
        <v>Amount of waste gas</v>
      </c>
      <c r="F126" s="201"/>
      <c r="G126" s="201"/>
      <c r="H126" s="201"/>
      <c r="I126" s="201"/>
      <c r="J126" s="201"/>
      <c r="K126" s="205" t="str">
        <f>CONST_TJ</f>
        <v>TJ</v>
      </c>
      <c r="L126" s="213"/>
      <c r="M126" s="213"/>
      <c r="N126" s="196"/>
      <c r="O126" s="902"/>
      <c r="P126" s="144"/>
      <c r="T126" s="712"/>
      <c r="V126" s="157" t="str">
        <f>IF(AND(L76&lt;&gt;"",X126=FALSE),IF(COUNTA(L126:M126)=2,TRUE,CONST_ErrorOrMissing&amp;C76),CONST_NA)</f>
        <v>n.a.</v>
      </c>
      <c r="X126" s="102" t="b">
        <f>X125</f>
        <v>0</v>
      </c>
    </row>
    <row r="127" spans="3:24" ht="12.75" customHeight="1" x14ac:dyDescent="0.35">
      <c r="C127" s="192"/>
      <c r="D127" s="197" t="s">
        <v>42</v>
      </c>
      <c r="E127" s="201" t="str">
        <f>Translations!$B$268</f>
        <v>Emission factor</v>
      </c>
      <c r="F127" s="201"/>
      <c r="G127" s="201"/>
      <c r="H127" s="201"/>
      <c r="I127" s="201"/>
      <c r="J127" s="201"/>
      <c r="K127" s="205" t="str">
        <f>CONST_tCO2pTJ</f>
        <v>tCO2/TJ</v>
      </c>
      <c r="L127" s="300"/>
      <c r="M127" s="300"/>
      <c r="N127" s="196"/>
      <c r="O127" s="901"/>
      <c r="P127" s="144"/>
      <c r="R127" s="102" t="str">
        <f>CONST_EmDirWasteGases&amp;G76</f>
        <v>EmDirWG_</v>
      </c>
      <c r="S127" s="102" t="str">
        <f>CONST_CNTR_EmbedEmDir&amp;G76</f>
        <v>EmbedEmDir_</v>
      </c>
      <c r="T127" s="124" t="str">
        <f>IF(G76="","",SUM(L126*CONST_EFNatGas-M126*CONST_EFNatGas*0.667))</f>
        <v/>
      </c>
      <c r="X127" s="102" t="b">
        <f>X126</f>
        <v>0</v>
      </c>
    </row>
    <row r="128" spans="3:24" ht="5.15" customHeight="1" x14ac:dyDescent="0.35">
      <c r="C128" s="192"/>
      <c r="D128" s="204"/>
      <c r="E128" s="198"/>
      <c r="F128" s="195"/>
      <c r="G128" s="195"/>
      <c r="H128" s="195"/>
      <c r="I128" s="195"/>
      <c r="J128" s="195"/>
      <c r="K128" s="195"/>
      <c r="L128" s="195"/>
      <c r="M128" s="195"/>
      <c r="N128" s="196"/>
      <c r="O128" s="901"/>
      <c r="P128" s="144"/>
      <c r="T128" s="712"/>
    </row>
    <row r="129" spans="1:24" ht="12.75" customHeight="1" x14ac:dyDescent="0.35">
      <c r="C129" s="192"/>
      <c r="D129" s="199" t="s">
        <v>416</v>
      </c>
      <c r="E129" s="198" t="str">
        <f>Translations!$B$269</f>
        <v>Indirect emissions from electricity consumption</v>
      </c>
      <c r="F129" s="195"/>
      <c r="G129" s="195"/>
      <c r="H129" s="195"/>
      <c r="I129" s="195"/>
      <c r="J129" s="195"/>
      <c r="K129" s="199" t="str">
        <f>Translations!$B$221</f>
        <v>Unit</v>
      </c>
      <c r="L129" s="199" t="str">
        <f>Translations!$B$260</f>
        <v>Value</v>
      </c>
      <c r="M129" s="195"/>
      <c r="N129" s="196"/>
      <c r="O129" s="901"/>
      <c r="P129" s="144"/>
      <c r="T129" s="712"/>
      <c r="W129" s="104" t="s">
        <v>34</v>
      </c>
      <c r="X129" s="102" t="b">
        <f>M115=FALSE</f>
        <v>0</v>
      </c>
    </row>
    <row r="130" spans="1:24" ht="12.75" customHeight="1" x14ac:dyDescent="0.35">
      <c r="C130" s="192"/>
      <c r="D130" s="197" t="s">
        <v>41</v>
      </c>
      <c r="E130" s="201" t="str">
        <f>Translations!$B$270</f>
        <v>Electricity consumption</v>
      </c>
      <c r="F130" s="201"/>
      <c r="G130" s="201"/>
      <c r="H130" s="201"/>
      <c r="I130" s="201"/>
      <c r="J130" s="201"/>
      <c r="K130" s="205" t="str">
        <f>CONST_MWh</f>
        <v>MWh</v>
      </c>
      <c r="L130" s="213"/>
      <c r="M130" s="195"/>
      <c r="N130" s="196"/>
      <c r="O130" s="902"/>
      <c r="P130" s="144"/>
      <c r="R130" s="102" t="str">
        <f>CONST_ElecConsumption&amp;G76</f>
        <v>ElecCons_</v>
      </c>
      <c r="T130" s="124" t="str">
        <f>IF(G76="","",L130)</f>
        <v/>
      </c>
      <c r="V130" s="157" t="str">
        <f>IF(AND(L76&lt;&gt;"",X130=FALSE),IF(L130&lt;&gt;"",TRUE,CONST_ErrorOrMissing&amp;C76),CONST_NA)</f>
        <v>n.a.</v>
      </c>
      <c r="X130" s="102" t="b">
        <f>X129</f>
        <v>0</v>
      </c>
    </row>
    <row r="131" spans="1:24" ht="12.75" customHeight="1" x14ac:dyDescent="0.35">
      <c r="C131" s="192"/>
      <c r="D131" s="197" t="s">
        <v>42</v>
      </c>
      <c r="E131" s="201" t="str">
        <f>Translations!$B$271</f>
        <v>Emission factor of the electricity</v>
      </c>
      <c r="F131" s="201"/>
      <c r="G131" s="201"/>
      <c r="H131" s="201"/>
      <c r="I131" s="201"/>
      <c r="J131" s="201"/>
      <c r="K131" s="205" t="str">
        <f>CONST_tCO2&amp;"/"&amp;CONST_MWh</f>
        <v>tCO2/MWh</v>
      </c>
      <c r="L131" s="215"/>
      <c r="M131" s="195"/>
      <c r="N131" s="196"/>
      <c r="O131" s="902"/>
      <c r="P131" s="144"/>
      <c r="S131" s="102" t="str">
        <f>CONST_CNTR_EmbedEmInDir&amp;G76</f>
        <v>EmbedEmInDir_</v>
      </c>
      <c r="T131" s="124" t="str">
        <f>IF(G76="","",SUM(L130)*SUM(L131))</f>
        <v/>
      </c>
      <c r="V131" s="157" t="str">
        <f>IF(AND(L76&lt;&gt;"",X131=FALSE),IF(L131&lt;&gt;"",TRUE,CONST_ErrorOrMissing&amp;C76),CONST_NA)</f>
        <v>n.a.</v>
      </c>
      <c r="X131" s="102" t="b">
        <f>X130</f>
        <v>0</v>
      </c>
    </row>
    <row r="132" spans="1:24" ht="12.75" customHeight="1" x14ac:dyDescent="0.35">
      <c r="C132" s="192"/>
      <c r="D132" s="197" t="s">
        <v>43</v>
      </c>
      <c r="E132" s="201" t="str">
        <f>Translations!$B$272</f>
        <v>Source of the emission factor</v>
      </c>
      <c r="F132" s="201"/>
      <c r="G132" s="201"/>
      <c r="H132" s="201"/>
      <c r="I132" s="201"/>
      <c r="J132" s="201"/>
      <c r="K132" s="299" t="s">
        <v>206</v>
      </c>
      <c r="L132" s="215"/>
      <c r="M132" s="195"/>
      <c r="N132" s="196"/>
      <c r="O132" s="902"/>
      <c r="P132" s="144"/>
      <c r="R132" s="102" t="str">
        <f>CONST_CNTR_ElecEFMethod&amp;G76</f>
        <v>ElecEFMeth_</v>
      </c>
      <c r="T132" s="714" t="str">
        <f>IF(L132="","",L132)</f>
        <v/>
      </c>
      <c r="V132" s="157" t="str">
        <f>IF(AND(L76&lt;&gt;"",X132=FALSE),IF(L132&lt;&gt;"",TRUE,CONST_ErrorOrMissing&amp;C76),CONST_NA)</f>
        <v>n.a.</v>
      </c>
      <c r="X132" s="102" t="b">
        <f>X131</f>
        <v>0</v>
      </c>
    </row>
    <row r="133" spans="1:24" ht="5.15" customHeight="1" x14ac:dyDescent="0.35">
      <c r="C133" s="192"/>
      <c r="D133" s="204"/>
      <c r="E133" s="198"/>
      <c r="F133" s="195"/>
      <c r="G133" s="195"/>
      <c r="H133" s="195"/>
      <c r="I133" s="195"/>
      <c r="J133" s="195"/>
      <c r="K133" s="195"/>
      <c r="L133" s="195"/>
      <c r="M133" s="195"/>
      <c r="N133" s="196"/>
      <c r="O133" s="901"/>
      <c r="P133" s="144"/>
      <c r="T133" s="712"/>
    </row>
    <row r="134" spans="1:24" ht="12.75" customHeight="1" x14ac:dyDescent="0.35">
      <c r="C134" s="192"/>
      <c r="D134" s="204"/>
      <c r="E134" s="198"/>
      <c r="F134" s="195"/>
      <c r="G134" s="195"/>
      <c r="H134" s="195"/>
      <c r="I134" s="195"/>
      <c r="J134" s="195"/>
      <c r="K134" s="195"/>
      <c r="L134" s="195"/>
      <c r="M134" s="195"/>
      <c r="N134" s="196"/>
      <c r="O134" s="901"/>
      <c r="P134" s="144"/>
      <c r="T134" s="712"/>
      <c r="X134" s="171"/>
    </row>
    <row r="135" spans="1:24" ht="12.75" customHeight="1" x14ac:dyDescent="0.35">
      <c r="C135" s="192"/>
      <c r="D135" s="199" t="s">
        <v>417</v>
      </c>
      <c r="E135" s="198" t="str">
        <f>Translations!$B$273</f>
        <v>Electricity exported from the production process</v>
      </c>
      <c r="F135" s="195"/>
      <c r="G135" s="195"/>
      <c r="H135" s="195"/>
      <c r="I135" s="195"/>
      <c r="J135" s="195"/>
      <c r="K135" s="199" t="str">
        <f>Translations!$B$221</f>
        <v>Unit</v>
      </c>
      <c r="L135" s="199" t="str">
        <f>Translations!$B$260</f>
        <v>Value</v>
      </c>
      <c r="M135" s="195"/>
      <c r="N135" s="196"/>
      <c r="O135" s="901"/>
      <c r="P135" s="144"/>
      <c r="T135" s="712"/>
      <c r="X135" s="171"/>
    </row>
    <row r="136" spans="1:24" ht="12.75" customHeight="1" x14ac:dyDescent="0.35">
      <c r="C136" s="192"/>
      <c r="D136" s="197" t="s">
        <v>41</v>
      </c>
      <c r="E136" s="201" t="str">
        <f>Translations!$B$274</f>
        <v>Amounts exported</v>
      </c>
      <c r="F136" s="201"/>
      <c r="G136" s="201"/>
      <c r="H136" s="201"/>
      <c r="I136" s="201"/>
      <c r="J136" s="201"/>
      <c r="K136" s="205" t="s">
        <v>51</v>
      </c>
      <c r="L136" s="213"/>
      <c r="M136" s="195"/>
      <c r="N136" s="196"/>
      <c r="O136" s="902"/>
      <c r="P136" s="144"/>
      <c r="T136" s="712"/>
      <c r="V136" s="157" t="str">
        <f>IF(L76&lt;&gt;"",IF(L136&lt;&gt;"",TRUE,CONST_ErrorOrMissing&amp;C76),CONST_NA)</f>
        <v>n.a.</v>
      </c>
      <c r="X136" s="171"/>
    </row>
    <row r="137" spans="1:24" ht="12.75" customHeight="1" x14ac:dyDescent="0.35">
      <c r="C137" s="192"/>
      <c r="D137" s="197" t="s">
        <v>42</v>
      </c>
      <c r="E137" s="201" t="str">
        <f>Translations!$B$271</f>
        <v>Emission factor of the electricity</v>
      </c>
      <c r="F137" s="201"/>
      <c r="G137" s="201"/>
      <c r="H137" s="201"/>
      <c r="I137" s="201"/>
      <c r="J137" s="201"/>
      <c r="K137" s="205" t="str">
        <f>CONST_tCO2&amp;"/"&amp;CONST_MWh</f>
        <v>tCO2/MWh</v>
      </c>
      <c r="L137" s="215"/>
      <c r="M137" s="195"/>
      <c r="N137" s="196"/>
      <c r="O137" s="902"/>
      <c r="P137" s="144"/>
      <c r="S137" s="102" t="str">
        <f>CONST_CNTR_EmbedEmDir&amp;G76</f>
        <v>EmbedEmDir_</v>
      </c>
      <c r="T137" s="124" t="str">
        <f>IF(G76="","",-SUM(L136)*SUM(L137))</f>
        <v/>
      </c>
      <c r="V137" s="157" t="str">
        <f>IF(AND(L76&lt;&gt;"",SUM(L136)&gt;0),IF(L137&lt;&gt;"",TRUE,CONST_ErrorOrMissing&amp;C76),CONST_NA)</f>
        <v>n.a.</v>
      </c>
      <c r="X137" s="171"/>
    </row>
    <row r="138" spans="1:24" s="144" customFormat="1" ht="12.75" customHeight="1" thickBot="1" x14ac:dyDescent="0.4">
      <c r="A138" s="91"/>
      <c r="B138" s="93"/>
      <c r="C138" s="206"/>
      <c r="D138" s="207"/>
      <c r="E138" s="208"/>
      <c r="F138" s="209"/>
      <c r="G138" s="209"/>
      <c r="H138" s="209"/>
      <c r="I138" s="209"/>
      <c r="J138" s="209"/>
      <c r="K138" s="209"/>
      <c r="L138" s="209"/>
      <c r="M138" s="209"/>
      <c r="N138" s="210"/>
      <c r="O138" s="901"/>
      <c r="Q138" s="93"/>
      <c r="R138" s="91"/>
      <c r="S138" s="91"/>
      <c r="T138" s="712"/>
      <c r="U138" s="91"/>
      <c r="V138" s="91"/>
      <c r="W138" s="104"/>
      <c r="X138" s="91"/>
    </row>
    <row r="139" spans="1:24" s="144" customFormat="1" ht="12.75" customHeight="1" thickBot="1" x14ac:dyDescent="0.4">
      <c r="A139" s="91"/>
      <c r="B139" s="93"/>
      <c r="C139" s="93"/>
      <c r="D139" s="93"/>
      <c r="E139" s="93"/>
      <c r="F139" s="93"/>
      <c r="G139" s="93"/>
      <c r="H139" s="93"/>
      <c r="I139" s="93"/>
      <c r="J139" s="93"/>
      <c r="K139" s="93"/>
      <c r="L139" s="93"/>
      <c r="M139" s="93"/>
      <c r="N139" s="93"/>
      <c r="O139" s="901"/>
      <c r="Q139" s="93"/>
      <c r="R139" s="91"/>
      <c r="S139" s="91"/>
      <c r="T139" s="712"/>
      <c r="U139" s="91"/>
      <c r="V139" s="91"/>
      <c r="W139" s="104"/>
      <c r="X139" s="91"/>
    </row>
    <row r="140" spans="1:24" ht="12.75" customHeight="1" thickBot="1" x14ac:dyDescent="0.4">
      <c r="B140" s="145"/>
      <c r="C140" s="145"/>
      <c r="D140" s="145"/>
      <c r="E140" s="145"/>
      <c r="F140" s="145"/>
      <c r="G140" s="145"/>
      <c r="H140" s="145"/>
      <c r="I140" s="145"/>
      <c r="J140" s="145"/>
      <c r="K140" s="145"/>
      <c r="L140" s="145"/>
      <c r="M140" s="145"/>
      <c r="N140" s="145"/>
      <c r="O140" s="903"/>
      <c r="P140" s="144"/>
      <c r="T140" s="712"/>
    </row>
    <row r="141" spans="1:24" ht="18" customHeight="1" thickBot="1" x14ac:dyDescent="0.4">
      <c r="C141" s="147">
        <f>C76+1</f>
        <v>3</v>
      </c>
      <c r="D141" s="148" t="str">
        <f>CONST_ProductionProcess &amp; " " &amp; C141 &amp; ":"</f>
        <v>Production process 3:</v>
      </c>
      <c r="G141" s="1313" t="str">
        <f>IF(INDEX(CNTR_List_ExistProdProcNames,R141)=CONST_NA,"",INDEX(CNTR_List_ExistProdProcNames,R141))</f>
        <v/>
      </c>
      <c r="H141" s="1314"/>
      <c r="I141" s="1314"/>
      <c r="J141" s="1314"/>
      <c r="K141" s="1315"/>
      <c r="L141" s="1316" t="str">
        <f>IF(INDEX(CNTR_List_ExistProdProc,R141)=CONST_NA,"",INDEX(CNTR_List_ExistProdProc,R141))</f>
        <v/>
      </c>
      <c r="M141" s="1317"/>
      <c r="N141" s="1318"/>
      <c r="O141" s="901"/>
      <c r="P141" s="144"/>
      <c r="R141" s="149">
        <f>C141</f>
        <v>3</v>
      </c>
      <c r="T141" s="712"/>
      <c r="W141" s="104" t="s">
        <v>2748</v>
      </c>
      <c r="X141" s="150" t="b">
        <f>AND(CNTR_HasEntriesA,G141="")</f>
        <v>0</v>
      </c>
    </row>
    <row r="142" spans="1:24" ht="5.15" customHeight="1" x14ac:dyDescent="0.35">
      <c r="D142" s="103"/>
      <c r="E142" s="100"/>
      <c r="O142" s="901"/>
      <c r="P142" s="144"/>
      <c r="T142" s="712"/>
    </row>
    <row r="143" spans="1:24" ht="12.75" customHeight="1" x14ac:dyDescent="0.35">
      <c r="D143" s="103"/>
      <c r="E143" s="1290" t="str">
        <f ca="1">HYPERLINK("#"&amp;ADDRESS(MATCH($S143,G_FurtherGuidance!$S:$S,0),3,,,G_FurtherGuidance!$U$2),CONST_LinkToGuidanceSheet)</f>
        <v>Please click on this link for further guidance on how to complete this section.</v>
      </c>
      <c r="F143" s="1319"/>
      <c r="G143" s="1319"/>
      <c r="H143" s="1319"/>
      <c r="I143" s="1319"/>
      <c r="J143" s="1319"/>
      <c r="K143" s="1319"/>
      <c r="L143" s="1319"/>
      <c r="M143" s="1319"/>
      <c r="O143" s="901"/>
      <c r="P143" s="144"/>
      <c r="R143" s="104" t="s">
        <v>2771</v>
      </c>
      <c r="S143" s="105">
        <v>3</v>
      </c>
      <c r="T143" s="712"/>
    </row>
    <row r="144" spans="1:24" ht="5.15" customHeight="1" x14ac:dyDescent="0.35">
      <c r="D144" s="103"/>
      <c r="E144" s="100"/>
      <c r="O144" s="901"/>
      <c r="P144" s="144"/>
      <c r="T144" s="712"/>
    </row>
    <row r="145" spans="1:24" ht="12.75" customHeight="1" x14ac:dyDescent="0.35">
      <c r="D145" s="117" t="s">
        <v>135</v>
      </c>
      <c r="E145" s="100" t="str">
        <f>Translations!$B$243</f>
        <v>Total production levels:</v>
      </c>
      <c r="H145" s="151" t="str">
        <f>Translations!$B$244</f>
        <v>Production route</v>
      </c>
      <c r="J145" s="144"/>
      <c r="K145" s="152" t="str">
        <f>Translations!$B$221</f>
        <v>Unit</v>
      </c>
      <c r="L145" s="152" t="str">
        <f>Translations!$B$245</f>
        <v>Amounts</v>
      </c>
      <c r="O145" s="901"/>
      <c r="P145" s="144"/>
      <c r="T145" s="712"/>
    </row>
    <row r="146" spans="1:24" ht="12.75" customHeight="1" x14ac:dyDescent="0.35">
      <c r="D146" s="173">
        <v>1</v>
      </c>
      <c r="E146" s="153" t="str">
        <f>IF(G141="","",G141) &amp; IF(L141="",""," | " &amp; L141)</f>
        <v/>
      </c>
      <c r="F146" s="153"/>
      <c r="G146" s="153"/>
      <c r="H146" s="154" t="str">
        <f>IF(L141="","",INDEX(CONST_MATRIX_ProductionRoute,MATCH(L141,CONST_LIST_Goods,0),D146))</f>
        <v/>
      </c>
      <c r="I146" s="153"/>
      <c r="J146" s="153"/>
      <c r="K146" s="155" t="str">
        <f>IF(L141="","",INDEX(CONST_LIST_GoodsUnit,MATCH(L141,CONST_LIST_Goods,0)))</f>
        <v/>
      </c>
      <c r="L146" s="29"/>
      <c r="O146" s="902"/>
      <c r="P146" s="144"/>
      <c r="S146" s="105">
        <v>1</v>
      </c>
      <c r="T146" s="713"/>
      <c r="V146" s="157" t="str">
        <f>IF(AND(G141&lt;&gt;"",E146&lt;&gt;"",L146&lt;&gt;""),TRUE,IF(AND(G141&lt;&gt;"",OR(AND(E146&lt;&gt;"",L146=""),AND(E146="",L146&lt;&gt;""))),CONST_ErrorOrMissing&amp;C141,CONST_NA))</f>
        <v>n.a.</v>
      </c>
    </row>
    <row r="147" spans="1:24" ht="12.75" customHeight="1" x14ac:dyDescent="0.35">
      <c r="D147" s="173">
        <v>2</v>
      </c>
      <c r="E147" s="158" t="str">
        <f t="shared" ref="E147:E153" si="8">IF(H147=CONST_NA,"",E146)</f>
        <v/>
      </c>
      <c r="F147" s="158"/>
      <c r="G147" s="158"/>
      <c r="H147" s="159" t="str">
        <f>IF(L141="","",INDEX(CONST_MATRIX_ProductionRoute,MATCH(L141,CONST_LIST_Goods,0),D147))</f>
        <v/>
      </c>
      <c r="I147" s="158"/>
      <c r="J147" s="158"/>
      <c r="K147" s="160" t="str">
        <f t="shared" ref="K147:K153" si="9">IF(H147=CONST_NA,"",K146)</f>
        <v/>
      </c>
      <c r="L147" s="30"/>
      <c r="O147" s="902"/>
      <c r="P147" s="144"/>
      <c r="S147" s="105">
        <v>2</v>
      </c>
      <c r="T147" s="713"/>
      <c r="V147" s="157" t="str">
        <f>IF(AND(G141&lt;&gt;"",E147&lt;&gt;"",L147&lt;&gt;""),TRUE,IF(AND(G141&lt;&gt;"",OR(AND(E147&lt;&gt;"",L147=""),AND(E147="",L147&lt;&gt;""))),CONST_ErrorOrMissing&amp;C141,CONST_NA))</f>
        <v>n.a.</v>
      </c>
    </row>
    <row r="148" spans="1:24" ht="12.75" customHeight="1" x14ac:dyDescent="0.35">
      <c r="D148" s="173">
        <v>3</v>
      </c>
      <c r="E148" s="158" t="str">
        <f t="shared" si="8"/>
        <v/>
      </c>
      <c r="F148" s="158"/>
      <c r="G148" s="158"/>
      <c r="H148" s="159" t="str">
        <f>IF(L141="","",INDEX(CONST_MATRIX_ProductionRoute,MATCH(L141,CONST_LIST_Goods,0),D148))</f>
        <v/>
      </c>
      <c r="I148" s="158"/>
      <c r="J148" s="158"/>
      <c r="K148" s="160" t="str">
        <f t="shared" si="9"/>
        <v/>
      </c>
      <c r="L148" s="30"/>
      <c r="O148" s="902"/>
      <c r="P148" s="144"/>
      <c r="S148" s="105">
        <v>3</v>
      </c>
      <c r="T148" s="713"/>
      <c r="V148" s="157" t="str">
        <f>IF(AND(G141&lt;&gt;"",E148&lt;&gt;"",L148&lt;&gt;""),TRUE,IF(AND(G141&lt;&gt;"",OR(AND(E148&lt;&gt;"",L148=""),AND(E148="",L148&lt;&gt;""))),CONST_ErrorOrMissing&amp;C141,CONST_NA))</f>
        <v>n.a.</v>
      </c>
    </row>
    <row r="149" spans="1:24" ht="12.75" customHeight="1" x14ac:dyDescent="0.35">
      <c r="D149" s="173">
        <v>4</v>
      </c>
      <c r="E149" s="158" t="str">
        <f t="shared" si="8"/>
        <v/>
      </c>
      <c r="F149" s="158"/>
      <c r="G149" s="158"/>
      <c r="H149" s="159" t="str">
        <f>IF(L141="","",INDEX(CONST_MATRIX_ProductionRoute,MATCH(L141,CONST_LIST_Goods,0),D149))</f>
        <v/>
      </c>
      <c r="I149" s="158"/>
      <c r="J149" s="158"/>
      <c r="K149" s="160" t="str">
        <f t="shared" si="9"/>
        <v/>
      </c>
      <c r="L149" s="30"/>
      <c r="O149" s="902"/>
      <c r="P149" s="144"/>
      <c r="S149" s="105">
        <v>4</v>
      </c>
      <c r="T149" s="713"/>
      <c r="V149" s="157" t="str">
        <f>IF(AND(G141&lt;&gt;"",E149&lt;&gt;"",L149&lt;&gt;""),TRUE,IF(AND(G141&lt;&gt;"",OR(AND(E149&lt;&gt;"",L149=""),AND(E149="",L149&lt;&gt;""))),CONST_ErrorOrMissing&amp;C141,CONST_NA))</f>
        <v>n.a.</v>
      </c>
    </row>
    <row r="150" spans="1:24" ht="12.75" customHeight="1" x14ac:dyDescent="0.35">
      <c r="D150" s="173">
        <v>5</v>
      </c>
      <c r="E150" s="158" t="str">
        <f t="shared" si="8"/>
        <v/>
      </c>
      <c r="F150" s="158"/>
      <c r="G150" s="158"/>
      <c r="H150" s="159" t="str">
        <f>IF(L141="","",INDEX(CONST_MATRIX_ProductionRoute,MATCH(L141,CONST_LIST_Goods,0),D150))</f>
        <v/>
      </c>
      <c r="I150" s="158"/>
      <c r="J150" s="158"/>
      <c r="K150" s="160" t="str">
        <f t="shared" si="9"/>
        <v/>
      </c>
      <c r="L150" s="30"/>
      <c r="O150" s="902"/>
      <c r="P150" s="144"/>
      <c r="S150" s="105">
        <v>5</v>
      </c>
      <c r="T150" s="713"/>
      <c r="V150" s="157" t="str">
        <f>IF(AND(G141&lt;&gt;"",E150&lt;&gt;"",L150&lt;&gt;""),TRUE,IF(AND(G141&lt;&gt;"",OR(AND(E150&lt;&gt;"",L150=""),AND(E150="",L150&lt;&gt;""))),CONST_ErrorOrMissing&amp;C141,CONST_NA))</f>
        <v>n.a.</v>
      </c>
    </row>
    <row r="151" spans="1:24" ht="12.75" customHeight="1" x14ac:dyDescent="0.35">
      <c r="D151" s="173">
        <v>6</v>
      </c>
      <c r="E151" s="158" t="str">
        <f t="shared" si="8"/>
        <v/>
      </c>
      <c r="F151" s="158"/>
      <c r="G151" s="158"/>
      <c r="H151" s="159" t="str">
        <f>IF(L141="","",INDEX(CONST_MATRIX_ProductionRoute,MATCH(L141,CONST_LIST_Goods,0),D151))</f>
        <v/>
      </c>
      <c r="I151" s="158"/>
      <c r="J151" s="158"/>
      <c r="K151" s="160" t="str">
        <f t="shared" si="9"/>
        <v/>
      </c>
      <c r="L151" s="30"/>
      <c r="O151" s="902"/>
      <c r="P151" s="144"/>
      <c r="S151" s="105">
        <v>6</v>
      </c>
      <c r="T151" s="713"/>
      <c r="V151" s="157" t="str">
        <f>IF(AND(G141&lt;&gt;"",E151&lt;&gt;"",L151&lt;&gt;""),TRUE,IF(AND(G141&lt;&gt;"",OR(AND(E151&lt;&gt;"",L151=""),AND(E151="",L151&lt;&gt;""))),CONST_ErrorOrMissing&amp;C141,CONST_NA))</f>
        <v>n.a.</v>
      </c>
    </row>
    <row r="152" spans="1:24" ht="12.75" customHeight="1" x14ac:dyDescent="0.35">
      <c r="D152" s="173">
        <v>7</v>
      </c>
      <c r="E152" s="158" t="str">
        <f t="shared" si="8"/>
        <v/>
      </c>
      <c r="F152" s="158"/>
      <c r="G152" s="158"/>
      <c r="H152" s="159" t="str">
        <f>IF(L141="","",INDEX(CONST_MATRIX_ProductionRoute,MATCH(L141,CONST_LIST_Goods,0),D152))</f>
        <v/>
      </c>
      <c r="I152" s="158"/>
      <c r="J152" s="158"/>
      <c r="K152" s="160" t="str">
        <f t="shared" si="9"/>
        <v/>
      </c>
      <c r="L152" s="30"/>
      <c r="O152" s="902"/>
      <c r="P152" s="144"/>
      <c r="S152" s="105">
        <v>7</v>
      </c>
      <c r="T152" s="713"/>
      <c r="V152" s="157" t="str">
        <f>IF(AND(G141&lt;&gt;"",E152&lt;&gt;"",L152&lt;&gt;""),TRUE,IF(AND(G141&lt;&gt;"",OR(AND(E152&lt;&gt;"",L152=""),AND(E152="",L152&lt;&gt;""))),CONST_ErrorOrMissing&amp;C141,CONST_NA))</f>
        <v>n.a.</v>
      </c>
    </row>
    <row r="153" spans="1:24" ht="12.75" customHeight="1" x14ac:dyDescent="0.35">
      <c r="D153" s="173">
        <v>8</v>
      </c>
      <c r="E153" s="161" t="str">
        <f t="shared" si="8"/>
        <v/>
      </c>
      <c r="F153" s="161"/>
      <c r="G153" s="161"/>
      <c r="H153" s="162" t="str">
        <f>IF(L141="","",INDEX(CONST_MATRIX_ProductionRoute,MATCH(L141,CONST_LIST_Goods,0),D153))</f>
        <v/>
      </c>
      <c r="I153" s="161"/>
      <c r="J153" s="161"/>
      <c r="K153" s="163" t="str">
        <f t="shared" si="9"/>
        <v/>
      </c>
      <c r="L153" s="31"/>
      <c r="O153" s="902"/>
      <c r="P153" s="144"/>
      <c r="S153" s="105">
        <v>8</v>
      </c>
      <c r="T153" s="713"/>
      <c r="V153" s="157" t="str">
        <f>IF(AND(G141&lt;&gt;"",E153&lt;&gt;"",L153&lt;&gt;""),TRUE,IF(AND(G141&lt;&gt;"",OR(AND(E153&lt;&gt;"",L153=""),AND(E153="",L153&lt;&gt;""))),CONST_ErrorOrMissing&amp;C141,CONST_NA))</f>
        <v>n.a.</v>
      </c>
    </row>
    <row r="154" spans="1:24" ht="12.75" customHeight="1" x14ac:dyDescent="0.35">
      <c r="D154" s="103"/>
      <c r="E154" s="138" t="str">
        <f>Translations!$B$246</f>
        <v>Total production within installation (= denominator for SEE calculation):</v>
      </c>
      <c r="F154" s="138"/>
      <c r="G154" s="138"/>
      <c r="H154" s="164"/>
      <c r="I154" s="138"/>
      <c r="J154" s="138"/>
      <c r="K154" s="165" t="str">
        <f>K146</f>
        <v/>
      </c>
      <c r="L154" s="140" t="str">
        <f>IF(G141="","",SUM(L146:L153))</f>
        <v/>
      </c>
      <c r="O154" s="901"/>
      <c r="P154" s="144"/>
      <c r="R154" s="102" t="str">
        <f>CONST_CNTR_TotProd&amp;G141</f>
        <v>TotProd_</v>
      </c>
      <c r="T154" s="124" t="str">
        <f>IF(G141="","",L154)</f>
        <v/>
      </c>
    </row>
    <row r="155" spans="1:24" s="144" customFormat="1" ht="5.15" customHeight="1" x14ac:dyDescent="0.35">
      <c r="A155" s="91"/>
      <c r="B155" s="93"/>
      <c r="C155" s="93"/>
      <c r="D155" s="166"/>
      <c r="E155" s="167"/>
      <c r="N155" s="93"/>
      <c r="O155" s="901"/>
      <c r="Q155" s="93"/>
      <c r="R155" s="91"/>
      <c r="S155" s="91"/>
      <c r="T155" s="712"/>
      <c r="U155" s="91"/>
      <c r="V155" s="91"/>
      <c r="W155" s="104"/>
      <c r="X155" s="91"/>
    </row>
    <row r="156" spans="1:24" s="144" customFormat="1" ht="12.75" customHeight="1" x14ac:dyDescent="0.35">
      <c r="A156" s="91"/>
      <c r="B156" s="93"/>
      <c r="C156" s="93"/>
      <c r="D156" s="168" t="s">
        <v>48</v>
      </c>
      <c r="E156" s="167" t="str">
        <f>Translations!$B$247</f>
        <v>Production details</v>
      </c>
      <c r="F156" s="167"/>
      <c r="G156" s="167"/>
      <c r="H156" s="168"/>
      <c r="K156" s="168" t="str">
        <f>Translations!$B$221</f>
        <v>Unit</v>
      </c>
      <c r="L156" s="168" t="str">
        <f>Translations!$B$245</f>
        <v>Amounts</v>
      </c>
      <c r="N156" s="93"/>
      <c r="O156" s="901"/>
      <c r="Q156" s="93"/>
      <c r="R156" s="91"/>
      <c r="S156" s="91"/>
      <c r="T156" s="712"/>
      <c r="U156" s="91"/>
      <c r="V156" s="91"/>
      <c r="W156" s="104"/>
      <c r="X156" s="91"/>
    </row>
    <row r="157" spans="1:24" s="144" customFormat="1" ht="12.75" customHeight="1" x14ac:dyDescent="0.35">
      <c r="A157" s="91"/>
      <c r="B157" s="93"/>
      <c r="C157" s="93"/>
      <c r="D157" s="132" t="s">
        <v>41</v>
      </c>
      <c r="E157" s="138" t="str">
        <f>Translations!$B$248</f>
        <v>Produced for the market</v>
      </c>
      <c r="F157" s="138"/>
      <c r="G157" s="138"/>
      <c r="H157" s="138"/>
      <c r="I157" s="138"/>
      <c r="J157" s="138"/>
      <c r="K157" s="169" t="str">
        <f>K146</f>
        <v/>
      </c>
      <c r="L157" s="211"/>
      <c r="N157" s="93"/>
      <c r="O157" s="902"/>
      <c r="Q157" s="93"/>
      <c r="R157" s="102" t="str">
        <f>CONST_GoodToMarket&amp;G141</f>
        <v>ToMarket_</v>
      </c>
      <c r="S157" s="91"/>
      <c r="T157" s="124" t="str">
        <f>IF($G$11="","",L157)</f>
        <v/>
      </c>
      <c r="U157" s="91"/>
      <c r="V157" s="157" t="str">
        <f>IF(AND(G141&lt;&gt;"",L157&lt;&gt;""),TRUE,IF(AND(G141&lt;&gt;"",OR(L157="",L146&lt;&gt;"")),CONST_ErrorOrMissing&amp;C141,CONST_NA))</f>
        <v>n.a.</v>
      </c>
      <c r="W157" s="104"/>
      <c r="X157" s="91"/>
    </row>
    <row r="158" spans="1:24" s="144" customFormat="1" ht="12.75" customHeight="1" x14ac:dyDescent="0.35">
      <c r="A158" s="91"/>
      <c r="B158" s="93"/>
      <c r="C158" s="93"/>
      <c r="D158" s="132" t="s">
        <v>42</v>
      </c>
      <c r="E158" s="133" t="str">
        <f>Translations!$B$249</f>
        <v>Share of total under (a) produced for the market</v>
      </c>
      <c r="F158" s="288"/>
      <c r="G158" s="288"/>
      <c r="H158" s="288"/>
      <c r="I158" s="288"/>
      <c r="J158" s="288"/>
      <c r="K158" s="288"/>
      <c r="L158" s="289" t="str">
        <f>IF(AND(COUNT(L154,L157)=2,SUM(L154&gt;0)),SUM(L157)/SUM(L154),"")</f>
        <v/>
      </c>
      <c r="N158" s="93"/>
      <c r="O158" s="901"/>
      <c r="Q158" s="93"/>
      <c r="R158" s="171"/>
      <c r="S158" s="91"/>
      <c r="T158" s="712"/>
      <c r="U158" s="91"/>
      <c r="V158" s="172"/>
      <c r="W158" s="104"/>
      <c r="X158" s="91"/>
    </row>
    <row r="159" spans="1:24" s="144" customFormat="1" ht="12.75" customHeight="1" x14ac:dyDescent="0.35">
      <c r="A159" s="91"/>
      <c r="B159" s="93"/>
      <c r="C159" s="93"/>
      <c r="D159" s="132" t="s">
        <v>43</v>
      </c>
      <c r="E159" s="136" t="str">
        <f>Translations!$B$250</f>
        <v>Total production only for the market?</v>
      </c>
      <c r="F159" s="290"/>
      <c r="G159" s="290"/>
      <c r="H159" s="290"/>
      <c r="I159" s="290"/>
      <c r="J159" s="290"/>
      <c r="K159" s="290"/>
      <c r="L159" s="291" t="str">
        <f>IF(G141="","",AND(SUM(L154)&gt;0,SUM(L154)=SUM(L157)))</f>
        <v/>
      </c>
      <c r="N159" s="93"/>
      <c r="O159" s="901"/>
      <c r="Q159" s="93"/>
      <c r="R159" s="171"/>
      <c r="S159" s="91"/>
      <c r="T159" s="712"/>
      <c r="U159" s="91"/>
      <c r="V159" s="91"/>
      <c r="W159" s="104"/>
      <c r="X159" s="91"/>
    </row>
    <row r="160" spans="1:24" s="144" customFormat="1" ht="5.15" customHeight="1" x14ac:dyDescent="0.35">
      <c r="A160" s="91"/>
      <c r="B160" s="93"/>
      <c r="C160" s="93"/>
      <c r="D160" s="166"/>
      <c r="E160" s="167"/>
      <c r="N160" s="93"/>
      <c r="O160" s="901"/>
      <c r="Q160" s="93"/>
      <c r="R160" s="91"/>
      <c r="S160" s="91"/>
      <c r="T160" s="712"/>
      <c r="U160" s="91"/>
      <c r="V160" s="91"/>
      <c r="W160" s="104"/>
      <c r="X160" s="91"/>
    </row>
    <row r="161" spans="1:24" s="144" customFormat="1" ht="12.75" customHeight="1" x14ac:dyDescent="0.35">
      <c r="A161" s="91"/>
      <c r="B161" s="93"/>
      <c r="C161" s="93"/>
      <c r="D161" s="168" t="s">
        <v>49</v>
      </c>
      <c r="E161" s="167" t="str">
        <f>Translations!$B$251</f>
        <v>Consumed in other 'production processes' within the installation:</v>
      </c>
      <c r="F161" s="167"/>
      <c r="G161" s="167"/>
      <c r="H161" s="167"/>
      <c r="I161" s="167"/>
      <c r="J161" s="167"/>
      <c r="K161" s="168" t="str">
        <f>Translations!$B$221</f>
        <v>Unit</v>
      </c>
      <c r="L161" s="168" t="str">
        <f>Translations!$B$245</f>
        <v>Amounts</v>
      </c>
      <c r="N161" s="93"/>
      <c r="O161" s="901"/>
      <c r="Q161" s="93"/>
      <c r="R161" s="91"/>
      <c r="S161" s="123" t="s">
        <v>195</v>
      </c>
      <c r="T161" s="712"/>
      <c r="U161" s="91"/>
      <c r="V161" s="91"/>
      <c r="W161" s="104" t="s">
        <v>34</v>
      </c>
      <c r="X161" s="102" t="b">
        <f>IF(G141="",FALSE,L159)</f>
        <v>0</v>
      </c>
    </row>
    <row r="162" spans="1:24" s="144" customFormat="1" ht="12.75" customHeight="1" x14ac:dyDescent="0.35">
      <c r="A162" s="91"/>
      <c r="B162" s="93"/>
      <c r="C162" s="93"/>
      <c r="D162" s="173">
        <v>1</v>
      </c>
      <c r="E162" s="174" t="str">
        <f t="shared" ref="E162:E170" si="10">IF(INDEX(CNTR_List_ExistProdProcNames,S162)=CONST_NA,"",INDEX(CNTR_List_ExistProdProcNames,S162))</f>
        <v/>
      </c>
      <c r="F162" s="175"/>
      <c r="G162" s="175"/>
      <c r="H162" s="175"/>
      <c r="I162" s="175"/>
      <c r="J162" s="176"/>
      <c r="K162" s="155" t="str">
        <f>K146</f>
        <v/>
      </c>
      <c r="L162" s="29"/>
      <c r="N162" s="93"/>
      <c r="O162" s="902"/>
      <c r="Q162" s="93"/>
      <c r="R162" s="102" t="str">
        <f>CONST_PrecursorToGoodInput&amp;G141 &amp;"_"&amp;E162</f>
        <v>PrecToGood__</v>
      </c>
      <c r="S162" s="105">
        <f>MAX(S161:S161)+IF(D162=C141,2,1)</f>
        <v>1</v>
      </c>
      <c r="T162" s="124" t="str">
        <f>IF(G141="","",L162)</f>
        <v/>
      </c>
      <c r="U162" s="91"/>
      <c r="V162" s="157" t="str">
        <f>IF(AND(G141&lt;&gt;"",E162&lt;&gt;"",L162&lt;&gt;""),TRUE,IF(AND(G141&lt;&gt;"",E162&lt;&gt;"",L162="",X162=FALSE),CONST_ErrorOrMissing&amp;C141,CONST_NA))</f>
        <v>n.a.</v>
      </c>
      <c r="W162" s="104" t="s">
        <v>34</v>
      </c>
      <c r="X162" s="102" t="b">
        <f>IF(G141="",FALSE,OR(L159,E162=""))</f>
        <v>0</v>
      </c>
    </row>
    <row r="163" spans="1:24" s="144" customFormat="1" ht="12.75" customHeight="1" x14ac:dyDescent="0.35">
      <c r="A163" s="91"/>
      <c r="B163" s="93"/>
      <c r="C163" s="93"/>
      <c r="D163" s="173">
        <v>2</v>
      </c>
      <c r="E163" s="177" t="str">
        <f t="shared" si="10"/>
        <v/>
      </c>
      <c r="F163" s="178"/>
      <c r="G163" s="178"/>
      <c r="H163" s="178"/>
      <c r="I163" s="178"/>
      <c r="J163" s="179"/>
      <c r="K163" s="160" t="str">
        <f>K162</f>
        <v/>
      </c>
      <c r="L163" s="30"/>
      <c r="N163" s="93"/>
      <c r="O163" s="902"/>
      <c r="Q163" s="93"/>
      <c r="R163" s="102" t="str">
        <f>CONST_PrecursorToGoodInput&amp;G141 &amp;"_"&amp;E163</f>
        <v>PrecToGood__</v>
      </c>
      <c r="S163" s="105">
        <f>MAX(S161:S162)+IF(D163=C141,2,1)</f>
        <v>2</v>
      </c>
      <c r="T163" s="124" t="str">
        <f>IF(G141="","",L163)</f>
        <v/>
      </c>
      <c r="U163" s="91"/>
      <c r="V163" s="157" t="str">
        <f>IF(AND(G141&lt;&gt;"",E163&lt;&gt;"",L163&lt;&gt;""),TRUE,IF(AND(G141&lt;&gt;"",E163&lt;&gt;"",L163="",X163=FALSE),CONST_ErrorOrMissing&amp;C141,CONST_NA))</f>
        <v>n.a.</v>
      </c>
      <c r="W163" s="104"/>
      <c r="X163" s="102" t="b">
        <f>IF(G141="",FALSE,OR(L159,E163=""))</f>
        <v>0</v>
      </c>
    </row>
    <row r="164" spans="1:24" s="144" customFormat="1" ht="12.75" customHeight="1" x14ac:dyDescent="0.35">
      <c r="A164" s="91"/>
      <c r="B164" s="93"/>
      <c r="C164" s="93"/>
      <c r="D164" s="173">
        <v>3</v>
      </c>
      <c r="E164" s="177" t="str">
        <f t="shared" si="10"/>
        <v/>
      </c>
      <c r="F164" s="178"/>
      <c r="G164" s="178"/>
      <c r="H164" s="178"/>
      <c r="I164" s="178"/>
      <c r="J164" s="179"/>
      <c r="K164" s="160" t="str">
        <f t="shared" ref="K164:K172" si="11">K163</f>
        <v/>
      </c>
      <c r="L164" s="30"/>
      <c r="N164" s="93"/>
      <c r="O164" s="902"/>
      <c r="Q164" s="93"/>
      <c r="R164" s="102" t="str">
        <f>CONST_PrecursorToGoodInput&amp;G141 &amp;"_"&amp;E164</f>
        <v>PrecToGood__</v>
      </c>
      <c r="S164" s="105">
        <f>MAX(S161:S163)+IF(D164=C141,2,1)</f>
        <v>4</v>
      </c>
      <c r="T164" s="124" t="str">
        <f>IF(G141="","",L164)</f>
        <v/>
      </c>
      <c r="U164" s="91"/>
      <c r="V164" s="157" t="str">
        <f>IF(AND(G141&lt;&gt;"",E164&lt;&gt;"",L164&lt;&gt;""),TRUE,IF(AND(G141&lt;&gt;"",E164&lt;&gt;"",L164="",X164=FALSE),CONST_ErrorOrMissing&amp;C141,CONST_NA))</f>
        <v>n.a.</v>
      </c>
      <c r="W164" s="104"/>
      <c r="X164" s="102" t="b">
        <f>IF(G141="",FALSE,OR(L159,E164=""))</f>
        <v>0</v>
      </c>
    </row>
    <row r="165" spans="1:24" s="144" customFormat="1" ht="12.75" customHeight="1" x14ac:dyDescent="0.35">
      <c r="A165" s="91"/>
      <c r="B165" s="93"/>
      <c r="C165" s="93"/>
      <c r="D165" s="173">
        <v>4</v>
      </c>
      <c r="E165" s="177" t="str">
        <f t="shared" si="10"/>
        <v/>
      </c>
      <c r="F165" s="178"/>
      <c r="G165" s="178"/>
      <c r="H165" s="178"/>
      <c r="I165" s="178"/>
      <c r="J165" s="179"/>
      <c r="K165" s="160" t="str">
        <f t="shared" si="11"/>
        <v/>
      </c>
      <c r="L165" s="30"/>
      <c r="N165" s="93"/>
      <c r="O165" s="902"/>
      <c r="Q165" s="93"/>
      <c r="R165" s="102" t="str">
        <f>CONST_PrecursorToGoodInput&amp;G141 &amp;"_"&amp;E165</f>
        <v>PrecToGood__</v>
      </c>
      <c r="S165" s="105">
        <f>MAX(S161:S164)+IF(D165=C141,2,1)</f>
        <v>5</v>
      </c>
      <c r="T165" s="124" t="str">
        <f>IF(G141="","",L165)</f>
        <v/>
      </c>
      <c r="U165" s="91"/>
      <c r="V165" s="157" t="str">
        <f>IF(AND(G141&lt;&gt;"",E165&lt;&gt;"",L165&lt;&gt;""),TRUE,IF(AND(G141&lt;&gt;"",E165&lt;&gt;"",L165="",X165=FALSE),CONST_ErrorOrMissing&amp;C141,CONST_NA))</f>
        <v>n.a.</v>
      </c>
      <c r="W165" s="104"/>
      <c r="X165" s="102" t="b">
        <f>IF(G141="",FALSE,OR(L159,E165=""))</f>
        <v>0</v>
      </c>
    </row>
    <row r="166" spans="1:24" s="144" customFormat="1" ht="12.75" customHeight="1" x14ac:dyDescent="0.35">
      <c r="A166" s="91"/>
      <c r="B166" s="93"/>
      <c r="C166" s="93"/>
      <c r="D166" s="173">
        <v>5</v>
      </c>
      <c r="E166" s="180" t="str">
        <f t="shared" si="10"/>
        <v/>
      </c>
      <c r="F166" s="181"/>
      <c r="G166" s="181"/>
      <c r="H166" s="181"/>
      <c r="I166" s="181"/>
      <c r="J166" s="182"/>
      <c r="K166" s="183" t="str">
        <f t="shared" si="11"/>
        <v/>
      </c>
      <c r="L166" s="212"/>
      <c r="N166" s="93"/>
      <c r="O166" s="902"/>
      <c r="Q166" s="93"/>
      <c r="R166" s="102" t="str">
        <f>CONST_PrecursorToGoodInput&amp;G141 &amp;"_"&amp;E166</f>
        <v>PrecToGood__</v>
      </c>
      <c r="S166" s="105">
        <f>MAX(S161:S165)+IF(D166=C141,2,1)</f>
        <v>6</v>
      </c>
      <c r="T166" s="124" t="str">
        <f>IF(G141="","",L166)</f>
        <v/>
      </c>
      <c r="U166" s="91"/>
      <c r="V166" s="157" t="str">
        <f>IF(AND(G141&lt;&gt;"",E166&lt;&gt;"",L166&lt;&gt;""),TRUE,IF(AND(G141&lt;&gt;"",E166&lt;&gt;"",L166="",X166=FALSE),CONST_ErrorOrMissing&amp;C141,CONST_NA))</f>
        <v>n.a.</v>
      </c>
      <c r="W166" s="104"/>
      <c r="X166" s="102" t="b">
        <f>IF(G141="",FALSE,OR(L159,E166=""))</f>
        <v>0</v>
      </c>
    </row>
    <row r="167" spans="1:24" s="144" customFormat="1" ht="12.75" customHeight="1" x14ac:dyDescent="0.35">
      <c r="A167" s="91"/>
      <c r="B167" s="93"/>
      <c r="C167" s="93"/>
      <c r="D167" s="173">
        <v>6</v>
      </c>
      <c r="E167" s="180" t="str">
        <f t="shared" si="10"/>
        <v/>
      </c>
      <c r="F167" s="181"/>
      <c r="G167" s="181"/>
      <c r="H167" s="181"/>
      <c r="I167" s="181"/>
      <c r="J167" s="182"/>
      <c r="K167" s="183" t="str">
        <f t="shared" si="11"/>
        <v/>
      </c>
      <c r="L167" s="212"/>
      <c r="N167" s="93"/>
      <c r="O167" s="902"/>
      <c r="Q167" s="93"/>
      <c r="R167" s="102" t="str">
        <f>CONST_PrecursorToGoodInput&amp;G141 &amp;"_"&amp;E167</f>
        <v>PrecToGood__</v>
      </c>
      <c r="S167" s="105">
        <f>MAX(S161:S166)+IF(D167=C141,2,1)</f>
        <v>7</v>
      </c>
      <c r="T167" s="124" t="str">
        <f>IF(G141="","",L167)</f>
        <v/>
      </c>
      <c r="U167" s="91"/>
      <c r="V167" s="157" t="str">
        <f>IF(AND(G141&lt;&gt;"",E167&lt;&gt;"",L167&lt;&gt;""),TRUE,IF(AND(G141&lt;&gt;"",E167&lt;&gt;"",L167="",X167=FALSE),CONST_ErrorOrMissing&amp;C141,CONST_NA))</f>
        <v>n.a.</v>
      </c>
      <c r="W167" s="104"/>
      <c r="X167" s="102" t="b">
        <f>IF(G141="",FALSE,OR(L159,E167=""))</f>
        <v>0</v>
      </c>
    </row>
    <row r="168" spans="1:24" s="144" customFormat="1" ht="12.75" customHeight="1" x14ac:dyDescent="0.35">
      <c r="A168" s="91"/>
      <c r="B168" s="93"/>
      <c r="C168" s="93"/>
      <c r="D168" s="173">
        <v>7</v>
      </c>
      <c r="E168" s="180" t="str">
        <f t="shared" si="10"/>
        <v/>
      </c>
      <c r="F168" s="181"/>
      <c r="G168" s="181"/>
      <c r="H168" s="181"/>
      <c r="I168" s="181"/>
      <c r="J168" s="182"/>
      <c r="K168" s="183" t="str">
        <f t="shared" si="11"/>
        <v/>
      </c>
      <c r="L168" s="212"/>
      <c r="N168" s="93"/>
      <c r="O168" s="902"/>
      <c r="Q168" s="93"/>
      <c r="R168" s="102" t="str">
        <f>CONST_PrecursorToGoodInput&amp;G141 &amp;"_"&amp;E168</f>
        <v>PrecToGood__</v>
      </c>
      <c r="S168" s="105">
        <f>MAX(S161:S167)+IF(D168=C141,2,1)</f>
        <v>8</v>
      </c>
      <c r="T168" s="124" t="str">
        <f>IF(G141="","",L168)</f>
        <v/>
      </c>
      <c r="U168" s="91"/>
      <c r="V168" s="157" t="str">
        <f>IF(AND(G141&lt;&gt;"",E168&lt;&gt;"",L168&lt;&gt;""),TRUE,IF(AND(G141&lt;&gt;"",E168&lt;&gt;"",L168="",X168=FALSE),CONST_ErrorOrMissing&amp;C141,CONST_NA))</f>
        <v>n.a.</v>
      </c>
      <c r="W168" s="104"/>
      <c r="X168" s="102" t="b">
        <f>IF(G141="",FALSE,OR(L159,E168=""))</f>
        <v>0</v>
      </c>
    </row>
    <row r="169" spans="1:24" s="144" customFormat="1" ht="12.75" customHeight="1" x14ac:dyDescent="0.35">
      <c r="A169" s="91"/>
      <c r="B169" s="93"/>
      <c r="C169" s="93"/>
      <c r="D169" s="173">
        <v>8</v>
      </c>
      <c r="E169" s="180" t="str">
        <f t="shared" si="10"/>
        <v/>
      </c>
      <c r="F169" s="181"/>
      <c r="G169" s="181"/>
      <c r="H169" s="181"/>
      <c r="I169" s="181"/>
      <c r="J169" s="182"/>
      <c r="K169" s="183" t="str">
        <f t="shared" si="11"/>
        <v/>
      </c>
      <c r="L169" s="212"/>
      <c r="N169" s="93"/>
      <c r="O169" s="902"/>
      <c r="Q169" s="93"/>
      <c r="R169" s="102" t="str">
        <f>CONST_PrecursorToGoodInput&amp;G141 &amp;"_"&amp;E169</f>
        <v>PrecToGood__</v>
      </c>
      <c r="S169" s="105">
        <f>MAX(S161:S168)+IF(D169=C141,2,1)</f>
        <v>9</v>
      </c>
      <c r="T169" s="124" t="str">
        <f>IF(G141="","",L169)</f>
        <v/>
      </c>
      <c r="U169" s="91"/>
      <c r="V169" s="157" t="str">
        <f>IF(AND(G141&lt;&gt;"",E169&lt;&gt;"",L169&lt;&gt;""),TRUE,IF(AND(G141&lt;&gt;"",E169&lt;&gt;"",L169="",X169=FALSE),CONST_ErrorOrMissing&amp;C141,CONST_NA))</f>
        <v>n.a.</v>
      </c>
      <c r="W169" s="104"/>
      <c r="X169" s="102" t="b">
        <f>IF(G141="",FALSE,OR(L159,E169=""))</f>
        <v>0</v>
      </c>
    </row>
    <row r="170" spans="1:24" s="144" customFormat="1" ht="12.75" customHeight="1" x14ac:dyDescent="0.35">
      <c r="A170" s="91"/>
      <c r="B170" s="93"/>
      <c r="C170" s="93"/>
      <c r="D170" s="173">
        <v>9</v>
      </c>
      <c r="E170" s="184" t="str">
        <f t="shared" si="10"/>
        <v/>
      </c>
      <c r="F170" s="185"/>
      <c r="G170" s="185"/>
      <c r="H170" s="185"/>
      <c r="I170" s="185"/>
      <c r="J170" s="186"/>
      <c r="K170" s="163" t="str">
        <f t="shared" si="11"/>
        <v/>
      </c>
      <c r="L170" s="31"/>
      <c r="N170" s="93"/>
      <c r="O170" s="902"/>
      <c r="Q170" s="93"/>
      <c r="R170" s="102" t="str">
        <f>CONST_PrecursorToGoodInput&amp;G141 &amp;"_"&amp;E170</f>
        <v>PrecToGood__</v>
      </c>
      <c r="S170" s="105">
        <f>MAX(S161:S169)+IF(D170=C141,2,1)</f>
        <v>10</v>
      </c>
      <c r="T170" s="124" t="str">
        <f>IF(G141="","",L170)</f>
        <v/>
      </c>
      <c r="U170" s="91"/>
      <c r="V170" s="157" t="str">
        <f>IF(AND(G141&lt;&gt;"",E170&lt;&gt;"",L170&lt;&gt;""),TRUE,IF(AND(G141&lt;&gt;"",E170&lt;&gt;"",L170="",X170=FALSE),CONST_ErrorOrMissing&amp;C141,CONST_NA))</f>
        <v>n.a.</v>
      </c>
      <c r="W170" s="104"/>
      <c r="X170" s="102" t="b">
        <f>IF(G141="",FALSE,OR(L159,E170=""))</f>
        <v>0</v>
      </c>
    </row>
    <row r="171" spans="1:24" s="144" customFormat="1" ht="12.75" customHeight="1" x14ac:dyDescent="0.35">
      <c r="A171" s="91"/>
      <c r="B171" s="93"/>
      <c r="C171" s="93"/>
      <c r="D171" s="168" t="s">
        <v>377</v>
      </c>
      <c r="E171" s="167" t="str">
        <f>Translations!$B$252</f>
        <v>Consumed for non-CBAM goods within the installation:</v>
      </c>
      <c r="F171" s="167"/>
      <c r="G171" s="167"/>
      <c r="H171" s="167"/>
      <c r="I171" s="167"/>
      <c r="J171" s="167"/>
      <c r="K171" s="297" t="str">
        <f t="shared" si="11"/>
        <v/>
      </c>
      <c r="L171" s="298"/>
      <c r="N171" s="93"/>
      <c r="O171" s="902"/>
      <c r="Q171" s="93"/>
      <c r="R171" s="91"/>
      <c r="S171" s="91"/>
      <c r="T171" s="712"/>
      <c r="U171" s="91"/>
      <c r="V171" s="157" t="str">
        <f>IF(AND(G141&lt;&gt;"",L171&lt;&gt;""),TRUE,IF(AND(G141&lt;&gt;"",L171="",X171=FALSE),CONST_ErrorOrMissing&amp;C141,CONST_NA))</f>
        <v>n.a.</v>
      </c>
      <c r="W171" s="104" t="s">
        <v>34</v>
      </c>
      <c r="X171" s="102" t="b">
        <f>IF(G141="",FALSE,L159)</f>
        <v>0</v>
      </c>
    </row>
    <row r="172" spans="1:24" s="144" customFormat="1" ht="12.75" customHeight="1" x14ac:dyDescent="0.35">
      <c r="A172" s="91"/>
      <c r="B172" s="93"/>
      <c r="C172" s="93"/>
      <c r="D172" s="168" t="s">
        <v>411</v>
      </c>
      <c r="E172" s="138" t="str">
        <f>Translations!$B$253</f>
        <v>Control:</v>
      </c>
      <c r="F172" s="170"/>
      <c r="G172" s="170"/>
      <c r="H172" s="170"/>
      <c r="I172" s="170"/>
      <c r="J172" s="170"/>
      <c r="K172" s="169" t="str">
        <f t="shared" si="11"/>
        <v/>
      </c>
      <c r="L172" s="118" t="str">
        <f>IF(G141="","",SUM(L154)-SUM(L157,L162:L171))</f>
        <v/>
      </c>
      <c r="N172" s="93"/>
      <c r="O172" s="902"/>
      <c r="Q172" s="93"/>
      <c r="R172" s="91"/>
      <c r="S172" s="91"/>
      <c r="T172" s="712"/>
      <c r="U172" s="91"/>
      <c r="V172" s="157" t="str">
        <f>IF(AND(G141&lt;&gt;"",L172=0),TRUE,IF(AND(G141&lt;&gt;"",L172&lt;&gt;0,X172=FALSE),CONST_ErrorOrMissing&amp;C141,CONST_NA))</f>
        <v>n.a.</v>
      </c>
      <c r="W172" s="104"/>
      <c r="X172" s="102" t="b">
        <f>IF(G141="",FALSE,L159)</f>
        <v>0</v>
      </c>
    </row>
    <row r="173" spans="1:24" s="144" customFormat="1" ht="12.75" customHeight="1" thickBot="1" x14ac:dyDescent="0.4">
      <c r="A173" s="91"/>
      <c r="B173" s="93"/>
      <c r="C173" s="93"/>
      <c r="D173" s="93"/>
      <c r="E173" s="93"/>
      <c r="F173" s="93"/>
      <c r="G173" s="93"/>
      <c r="H173" s="93"/>
      <c r="I173" s="93"/>
      <c r="J173" s="93"/>
      <c r="K173" s="93"/>
      <c r="L173" s="93"/>
      <c r="M173" s="93"/>
      <c r="N173" s="93"/>
      <c r="O173" s="901"/>
      <c r="Q173" s="93"/>
      <c r="R173" s="91"/>
      <c r="S173" s="91"/>
      <c r="T173" s="712"/>
      <c r="U173" s="91"/>
      <c r="V173" s="91"/>
      <c r="W173" s="104"/>
      <c r="X173" s="91"/>
    </row>
    <row r="174" spans="1:24" ht="12.75" customHeight="1" x14ac:dyDescent="0.35">
      <c r="C174" s="187"/>
      <c r="D174" s="188"/>
      <c r="E174" s="189"/>
      <c r="F174" s="190"/>
      <c r="G174" s="190"/>
      <c r="H174" s="190"/>
      <c r="I174" s="190"/>
      <c r="J174" s="190"/>
      <c r="K174" s="190"/>
      <c r="L174" s="190"/>
      <c r="M174" s="190"/>
      <c r="N174" s="191"/>
      <c r="O174" s="901"/>
      <c r="P174" s="144"/>
      <c r="T174" s="712"/>
    </row>
    <row r="175" spans="1:24" ht="15" customHeight="1" x14ac:dyDescent="0.35">
      <c r="C175" s="192"/>
      <c r="D175" s="193" t="str">
        <f>Translations!$B$254</f>
        <v>Calculation of the attributed emissions:</v>
      </c>
      <c r="E175" s="194"/>
      <c r="F175" s="195"/>
      <c r="G175" s="195"/>
      <c r="H175" s="195"/>
      <c r="I175" s="195"/>
      <c r="J175" s="1310" t="str">
        <f>IF(G141="","",G141)</f>
        <v/>
      </c>
      <c r="K175" s="1310"/>
      <c r="L175" s="1310"/>
      <c r="M175" s="1310"/>
      <c r="N175" s="196"/>
      <c r="O175" s="901"/>
      <c r="P175" s="144"/>
      <c r="T175" s="712"/>
    </row>
    <row r="176" spans="1:24" ht="5.15" customHeight="1" x14ac:dyDescent="0.35">
      <c r="C176" s="192"/>
      <c r="D176" s="197"/>
      <c r="E176" s="198"/>
      <c r="F176" s="195"/>
      <c r="G176" s="195"/>
      <c r="H176" s="195"/>
      <c r="I176" s="195"/>
      <c r="J176" s="195"/>
      <c r="K176" s="195"/>
      <c r="L176" s="195"/>
      <c r="M176" s="195"/>
      <c r="N176" s="196"/>
      <c r="O176" s="901"/>
      <c r="P176" s="144"/>
      <c r="T176" s="712"/>
    </row>
    <row r="177" spans="3:24" ht="12.75" customHeight="1" x14ac:dyDescent="0.35">
      <c r="C177" s="192"/>
      <c r="D177" s="199"/>
      <c r="E177" s="1311" t="str">
        <f ca="1">HYPERLINK("#"&amp;ADDRESS(MATCH($S177,G_FurtherGuidance!$S:$S,0),3,,,G_FurtherGuidance!$U$2),CONST_LinkToGuidanceSheet)</f>
        <v>Please click on this link for further guidance on how to complete this section.</v>
      </c>
      <c r="F177" s="1312"/>
      <c r="G177" s="1312"/>
      <c r="H177" s="1312"/>
      <c r="I177" s="1312"/>
      <c r="J177" s="1312"/>
      <c r="K177" s="1312"/>
      <c r="L177" s="1312"/>
      <c r="M177" s="1312"/>
      <c r="N177" s="202"/>
      <c r="O177" s="901"/>
      <c r="P177" s="144"/>
      <c r="R177" s="104" t="s">
        <v>2771</v>
      </c>
      <c r="S177" s="105">
        <v>3</v>
      </c>
      <c r="T177" s="712"/>
    </row>
    <row r="178" spans="3:24" ht="5.15" customHeight="1" x14ac:dyDescent="0.35">
      <c r="C178" s="192"/>
      <c r="D178" s="197"/>
      <c r="E178" s="198"/>
      <c r="F178" s="195"/>
      <c r="G178" s="195"/>
      <c r="H178" s="195"/>
      <c r="I178" s="195"/>
      <c r="J178" s="198"/>
      <c r="K178" s="195"/>
      <c r="L178" s="195"/>
      <c r="M178" s="195"/>
      <c r="N178" s="196"/>
      <c r="O178" s="901"/>
      <c r="P178" s="144"/>
      <c r="T178" s="712"/>
      <c r="X178" s="104"/>
    </row>
    <row r="179" spans="3:24" ht="25" customHeight="1" x14ac:dyDescent="0.3">
      <c r="C179" s="192"/>
      <c r="D179" s="197"/>
      <c r="E179" s="198"/>
      <c r="F179" s="195"/>
      <c r="G179" s="195"/>
      <c r="H179" s="195"/>
      <c r="I179" s="195"/>
      <c r="J179" s="195"/>
      <c r="K179" s="203" t="str">
        <f>Translations!$B$255</f>
        <v>Measurable heat</v>
      </c>
      <c r="L179" s="203" t="str">
        <f>Translations!$B$256</f>
        <v>Waste gases</v>
      </c>
      <c r="M179" s="203" t="str">
        <f>Translations!$B$257</f>
        <v>Indirect emissions</v>
      </c>
      <c r="N179" s="196"/>
      <c r="O179" s="901"/>
      <c r="P179" s="144"/>
      <c r="T179" s="712"/>
      <c r="X179" s="104"/>
    </row>
    <row r="180" spans="3:24" ht="12.75" customHeight="1" x14ac:dyDescent="0.35">
      <c r="C180" s="192"/>
      <c r="D180" s="199" t="s">
        <v>412</v>
      </c>
      <c r="E180" s="200" t="str">
        <f>Translations!$B$258</f>
        <v>Please select which elements are applicable</v>
      </c>
      <c r="F180" s="201"/>
      <c r="G180" s="201"/>
      <c r="H180" s="201"/>
      <c r="I180" s="201"/>
      <c r="J180" s="201"/>
      <c r="K180" s="120"/>
      <c r="L180" s="120"/>
      <c r="M180" s="169" t="str">
        <f>IF(L141="","",INDEX(CONST_LIST_GoodsIndRel,MATCH(L141,CONST_LIST_Goods,0)))</f>
        <v/>
      </c>
      <c r="N180" s="196"/>
      <c r="O180" s="902"/>
      <c r="P180" s="144"/>
      <c r="T180" s="712"/>
      <c r="V180" s="157" t="str">
        <f>IF(AND(L141&lt;&gt;"",X180=FALSE),IF(COUNTA(K180:L180)=2,TRUE,CONST_ErrorOrMissing&amp;C141),CONST_NA)</f>
        <v>n.a.</v>
      </c>
      <c r="X180" s="104"/>
    </row>
    <row r="181" spans="3:24" ht="12.75" customHeight="1" x14ac:dyDescent="0.35">
      <c r="C181" s="192"/>
      <c r="D181" s="204"/>
      <c r="E181" s="401" t="str">
        <f>Translations!$B$259</f>
        <v>Based on your selection, related sections below might become irrelevant and greyed out below.</v>
      </c>
      <c r="F181" s="195"/>
      <c r="G181" s="195"/>
      <c r="H181" s="195"/>
      <c r="I181" s="195"/>
      <c r="J181" s="195"/>
      <c r="K181" s="198"/>
      <c r="L181" s="195"/>
      <c r="M181" s="195"/>
      <c r="N181" s="196"/>
      <c r="O181" s="901"/>
      <c r="P181" s="144"/>
      <c r="T181" s="712"/>
      <c r="X181" s="104"/>
    </row>
    <row r="182" spans="3:24" ht="5.15" customHeight="1" x14ac:dyDescent="0.35">
      <c r="C182" s="192"/>
      <c r="D182" s="204"/>
      <c r="E182" s="198"/>
      <c r="F182" s="195"/>
      <c r="G182" s="195"/>
      <c r="H182" s="195"/>
      <c r="I182" s="195"/>
      <c r="J182" s="195"/>
      <c r="K182" s="198"/>
      <c r="L182" s="195"/>
      <c r="M182" s="195"/>
      <c r="N182" s="196"/>
      <c r="O182" s="901"/>
      <c r="P182" s="144"/>
      <c r="T182" s="712"/>
      <c r="X182" s="104"/>
    </row>
    <row r="183" spans="3:24" ht="12.75" customHeight="1" x14ac:dyDescent="0.35">
      <c r="C183" s="192"/>
      <c r="D183" s="204"/>
      <c r="E183" s="198"/>
      <c r="F183" s="195"/>
      <c r="G183" s="195"/>
      <c r="H183" s="195"/>
      <c r="I183" s="195"/>
      <c r="J183" s="195"/>
      <c r="K183" s="199" t="str">
        <f>Translations!$B$221</f>
        <v>Unit</v>
      </c>
      <c r="L183" s="199" t="str">
        <f>Translations!$B$260</f>
        <v>Value</v>
      </c>
      <c r="M183" s="195"/>
      <c r="N183" s="196"/>
      <c r="O183" s="901"/>
      <c r="P183" s="144"/>
      <c r="T183" s="712"/>
      <c r="X183" s="104"/>
    </row>
    <row r="184" spans="3:24" ht="12.75" customHeight="1" x14ac:dyDescent="0.35">
      <c r="C184" s="192"/>
      <c r="D184" s="199" t="s">
        <v>413</v>
      </c>
      <c r="E184" s="200" t="str">
        <f>Translations!$B$261</f>
        <v>Directly attributable emissions (DirEm*)</v>
      </c>
      <c r="F184" s="201"/>
      <c r="G184" s="201"/>
      <c r="H184" s="201"/>
      <c r="I184" s="201"/>
      <c r="J184" s="201"/>
      <c r="K184" s="205" t="str">
        <f>CONST_tCO2eq</f>
        <v>tCO2e</v>
      </c>
      <c r="L184" s="213"/>
      <c r="M184" s="195"/>
      <c r="N184" s="196"/>
      <c r="O184" s="902"/>
      <c r="P184" s="144"/>
      <c r="R184" s="102" t="str">
        <f>CONST_EmDir&amp;G141</f>
        <v>EmDir_</v>
      </c>
      <c r="S184" s="102" t="str">
        <f>CONST_CNTR_EmbedEmDir&amp;G141</f>
        <v>EmbedEmDir_</v>
      </c>
      <c r="T184" s="124" t="str">
        <f>IF(G141="","",L184)</f>
        <v/>
      </c>
      <c r="V184" s="157" t="str">
        <f>IF(L141&lt;&gt;"",IF(L184&lt;&gt;"",TRUE,CONST_ErrorOrMissing&amp;C141),CONST_NA)</f>
        <v>n.a.</v>
      </c>
      <c r="X184" s="104"/>
    </row>
    <row r="185" spans="3:24" ht="5.15" customHeight="1" x14ac:dyDescent="0.35">
      <c r="C185" s="192"/>
      <c r="D185" s="204"/>
      <c r="E185" s="198"/>
      <c r="F185" s="195"/>
      <c r="G185" s="195"/>
      <c r="H185" s="195"/>
      <c r="I185" s="195"/>
      <c r="J185" s="195"/>
      <c r="K185" s="195"/>
      <c r="L185" s="199"/>
      <c r="M185" s="199"/>
      <c r="N185" s="196"/>
      <c r="O185" s="901"/>
      <c r="P185" s="144"/>
      <c r="T185" s="712"/>
    </row>
    <row r="186" spans="3:24" ht="12.75" customHeight="1" x14ac:dyDescent="0.35">
      <c r="C186" s="192"/>
      <c r="D186" s="199" t="s">
        <v>414</v>
      </c>
      <c r="E186" s="198" t="str">
        <f>Translations!$B$262</f>
        <v>Import and export of measurable heat</v>
      </c>
      <c r="F186" s="195"/>
      <c r="G186" s="195"/>
      <c r="H186" s="195"/>
      <c r="I186" s="195"/>
      <c r="J186" s="195"/>
      <c r="K186" s="199" t="str">
        <f>Translations!$B$221</f>
        <v>Unit</v>
      </c>
      <c r="L186" s="199" t="str">
        <f>Translations!$B$263</f>
        <v>Imported</v>
      </c>
      <c r="M186" s="199" t="str">
        <f>Translations!$B$264</f>
        <v>Exported</v>
      </c>
      <c r="N186" s="196"/>
      <c r="O186" s="901"/>
      <c r="P186" s="144"/>
      <c r="T186" s="712"/>
      <c r="W186" s="104" t="s">
        <v>34</v>
      </c>
      <c r="X186" s="102" t="b">
        <f>AND(K180&lt;&gt;"",K180=FALSE)</f>
        <v>0</v>
      </c>
    </row>
    <row r="187" spans="3:24" ht="12.75" customHeight="1" x14ac:dyDescent="0.35">
      <c r="C187" s="192"/>
      <c r="D187" s="197" t="s">
        <v>41</v>
      </c>
      <c r="E187" s="201" t="str">
        <f>Translations!$B$265</f>
        <v>Amount of net measurable heat</v>
      </c>
      <c r="F187" s="201"/>
      <c r="G187" s="201"/>
      <c r="H187" s="201"/>
      <c r="I187" s="201"/>
      <c r="J187" s="201"/>
      <c r="K187" s="205" t="s">
        <v>118</v>
      </c>
      <c r="L187" s="213"/>
      <c r="M187" s="213"/>
      <c r="N187" s="196"/>
      <c r="O187" s="902"/>
      <c r="P187" s="144"/>
      <c r="T187" s="712"/>
      <c r="V187" s="157" t="str">
        <f>IF(AND(L141&lt;&gt;"",X187=FALSE),IF(COUNTA(L187:M187)=2,TRUE,CONST_ErrorOrMissing&amp;C141),CONST_NA)</f>
        <v>n.a.</v>
      </c>
      <c r="X187" s="102" t="b">
        <f>X186</f>
        <v>0</v>
      </c>
    </row>
    <row r="188" spans="3:24" ht="12.75" customHeight="1" x14ac:dyDescent="0.35">
      <c r="C188" s="192"/>
      <c r="D188" s="197" t="s">
        <v>42</v>
      </c>
      <c r="E188" s="201" t="str">
        <f>Translations!$B$266</f>
        <v>Emissions factor</v>
      </c>
      <c r="F188" s="201"/>
      <c r="G188" s="201"/>
      <c r="H188" s="201"/>
      <c r="I188" s="201"/>
      <c r="J188" s="201"/>
      <c r="K188" s="205" t="str">
        <f>CONST_tCO2pTJ</f>
        <v>tCO2/TJ</v>
      </c>
      <c r="L188" s="214"/>
      <c r="M188" s="214"/>
      <c r="N188" s="196"/>
      <c r="O188" s="902"/>
      <c r="P188" s="144"/>
      <c r="R188" s="102" t="str">
        <f>CONST_EmDirHeat&amp;G141</f>
        <v>EmDirHeat_</v>
      </c>
      <c r="S188" s="102" t="str">
        <f>CONST_CNTR_EmbedEmDir&amp;G141</f>
        <v>EmbedEmDir_</v>
      </c>
      <c r="T188" s="124" t="str">
        <f>IF(G141="","",SUM(L187*L188-M187*M188))</f>
        <v/>
      </c>
      <c r="V188" s="157" t="str">
        <f>IF(AND(L141&lt;&gt;"",X188=FALSE),IF(COUNTA(L188:M188)=2,TRUE,CONST_ErrorOrMissing&amp;C141),CONST_NA)</f>
        <v>n.a.</v>
      </c>
      <c r="X188" s="102" t="b">
        <f>X187</f>
        <v>0</v>
      </c>
    </row>
    <row r="189" spans="3:24" ht="5.15" customHeight="1" x14ac:dyDescent="0.35">
      <c r="C189" s="192"/>
      <c r="D189" s="204"/>
      <c r="E189" s="198"/>
      <c r="F189" s="195"/>
      <c r="G189" s="195"/>
      <c r="H189" s="195"/>
      <c r="I189" s="195"/>
      <c r="J189" s="195"/>
      <c r="K189" s="195"/>
      <c r="L189" s="199"/>
      <c r="M189" s="199"/>
      <c r="N189" s="196"/>
      <c r="O189" s="901"/>
      <c r="P189" s="144"/>
      <c r="T189" s="712"/>
    </row>
    <row r="190" spans="3:24" ht="12.75" customHeight="1" x14ac:dyDescent="0.35">
      <c r="C190" s="192"/>
      <c r="D190" s="199" t="s">
        <v>415</v>
      </c>
      <c r="E190" s="198" t="str">
        <f>Translations!$B$256</f>
        <v>Waste gases</v>
      </c>
      <c r="F190" s="195"/>
      <c r="G190" s="195"/>
      <c r="H190" s="195"/>
      <c r="I190" s="195"/>
      <c r="J190" s="195"/>
      <c r="K190" s="199" t="str">
        <f>Translations!$B$221</f>
        <v>Unit</v>
      </c>
      <c r="L190" s="199" t="str">
        <f>Translations!$B$263</f>
        <v>Imported</v>
      </c>
      <c r="M190" s="199" t="str">
        <f>Translations!$B$264</f>
        <v>Exported</v>
      </c>
      <c r="N190" s="196"/>
      <c r="O190" s="901"/>
      <c r="P190" s="144"/>
      <c r="T190" s="712"/>
      <c r="W190" s="104" t="s">
        <v>34</v>
      </c>
      <c r="X190" s="102" t="b">
        <f>AND(L180&lt;&gt;"",L180=FALSE)</f>
        <v>0</v>
      </c>
    </row>
    <row r="191" spans="3:24" ht="12.75" customHeight="1" x14ac:dyDescent="0.35">
      <c r="C191" s="192"/>
      <c r="D191" s="197" t="s">
        <v>41</v>
      </c>
      <c r="E191" s="201" t="str">
        <f>Translations!$B$267</f>
        <v>Amount of waste gas</v>
      </c>
      <c r="F191" s="201"/>
      <c r="G191" s="201"/>
      <c r="H191" s="201"/>
      <c r="I191" s="201"/>
      <c r="J191" s="201"/>
      <c r="K191" s="205" t="str">
        <f>CONST_TJ</f>
        <v>TJ</v>
      </c>
      <c r="L191" s="213"/>
      <c r="M191" s="213"/>
      <c r="N191" s="196"/>
      <c r="O191" s="902"/>
      <c r="P191" s="144"/>
      <c r="T191" s="712"/>
      <c r="V191" s="157" t="str">
        <f>IF(AND(L141&lt;&gt;"",X191=FALSE),IF(COUNTA(L191:M191)=2,TRUE,CONST_ErrorOrMissing&amp;C141),CONST_NA)</f>
        <v>n.a.</v>
      </c>
      <c r="X191" s="102" t="b">
        <f>X190</f>
        <v>0</v>
      </c>
    </row>
    <row r="192" spans="3:24" ht="12.75" customHeight="1" x14ac:dyDescent="0.35">
      <c r="C192" s="192"/>
      <c r="D192" s="197" t="s">
        <v>42</v>
      </c>
      <c r="E192" s="201" t="str">
        <f>Translations!$B$268</f>
        <v>Emission factor</v>
      </c>
      <c r="F192" s="201"/>
      <c r="G192" s="201"/>
      <c r="H192" s="201"/>
      <c r="I192" s="201"/>
      <c r="J192" s="201"/>
      <c r="K192" s="205" t="str">
        <f>CONST_tCO2pTJ</f>
        <v>tCO2/TJ</v>
      </c>
      <c r="L192" s="300"/>
      <c r="M192" s="300"/>
      <c r="N192" s="196"/>
      <c r="O192" s="901"/>
      <c r="P192" s="144"/>
      <c r="R192" s="102" t="str">
        <f>CONST_EmDirWasteGases&amp;G141</f>
        <v>EmDirWG_</v>
      </c>
      <c r="S192" s="102" t="str">
        <f>CONST_CNTR_EmbedEmDir&amp;G141</f>
        <v>EmbedEmDir_</v>
      </c>
      <c r="T192" s="124" t="str">
        <f>IF(G141="","",SUM(L191*CONST_EFNatGas-M191*CONST_EFNatGas*0.667))</f>
        <v/>
      </c>
      <c r="X192" s="102" t="b">
        <f>X191</f>
        <v>0</v>
      </c>
    </row>
    <row r="193" spans="1:24" ht="5.15" customHeight="1" x14ac:dyDescent="0.35">
      <c r="C193" s="192"/>
      <c r="D193" s="204"/>
      <c r="E193" s="198"/>
      <c r="F193" s="195"/>
      <c r="G193" s="195"/>
      <c r="H193" s="195"/>
      <c r="I193" s="195"/>
      <c r="J193" s="195"/>
      <c r="K193" s="195"/>
      <c r="L193" s="195"/>
      <c r="M193" s="195"/>
      <c r="N193" s="196"/>
      <c r="O193" s="901"/>
      <c r="P193" s="144"/>
      <c r="T193" s="712"/>
    </row>
    <row r="194" spans="1:24" ht="12.75" customHeight="1" x14ac:dyDescent="0.35">
      <c r="C194" s="192"/>
      <c r="D194" s="199" t="s">
        <v>416</v>
      </c>
      <c r="E194" s="198" t="str">
        <f>Translations!$B$269</f>
        <v>Indirect emissions from electricity consumption</v>
      </c>
      <c r="F194" s="195"/>
      <c r="G194" s="195"/>
      <c r="H194" s="195"/>
      <c r="I194" s="195"/>
      <c r="J194" s="195"/>
      <c r="K194" s="199" t="str">
        <f>Translations!$B$221</f>
        <v>Unit</v>
      </c>
      <c r="L194" s="199" t="str">
        <f>Translations!$B$260</f>
        <v>Value</v>
      </c>
      <c r="M194" s="195"/>
      <c r="N194" s="196"/>
      <c r="O194" s="901"/>
      <c r="P194" s="144"/>
      <c r="T194" s="712"/>
      <c r="W194" s="104" t="s">
        <v>34</v>
      </c>
      <c r="X194" s="102" t="b">
        <f>M180=FALSE</f>
        <v>0</v>
      </c>
    </row>
    <row r="195" spans="1:24" ht="12.75" customHeight="1" x14ac:dyDescent="0.35">
      <c r="C195" s="192"/>
      <c r="D195" s="197" t="s">
        <v>41</v>
      </c>
      <c r="E195" s="201" t="str">
        <f>Translations!$B$270</f>
        <v>Electricity consumption</v>
      </c>
      <c r="F195" s="201"/>
      <c r="G195" s="201"/>
      <c r="H195" s="201"/>
      <c r="I195" s="201"/>
      <c r="J195" s="201"/>
      <c r="K195" s="205" t="str">
        <f>CONST_MWh</f>
        <v>MWh</v>
      </c>
      <c r="L195" s="213"/>
      <c r="M195" s="195"/>
      <c r="N195" s="196"/>
      <c r="O195" s="902"/>
      <c r="P195" s="144"/>
      <c r="R195" s="102" t="str">
        <f>CONST_ElecConsumption&amp;G141</f>
        <v>ElecCons_</v>
      </c>
      <c r="T195" s="124" t="str">
        <f>IF(G141="","",L195)</f>
        <v/>
      </c>
      <c r="V195" s="157" t="str">
        <f>IF(AND(L141&lt;&gt;"",X195=FALSE),IF(L195&lt;&gt;"",TRUE,CONST_ErrorOrMissing&amp;C141),CONST_NA)</f>
        <v>n.a.</v>
      </c>
      <c r="X195" s="102" t="b">
        <f>X194</f>
        <v>0</v>
      </c>
    </row>
    <row r="196" spans="1:24" ht="12.75" customHeight="1" x14ac:dyDescent="0.35">
      <c r="C196" s="192"/>
      <c r="D196" s="197" t="s">
        <v>42</v>
      </c>
      <c r="E196" s="201" t="str">
        <f>Translations!$B$271</f>
        <v>Emission factor of the electricity</v>
      </c>
      <c r="F196" s="201"/>
      <c r="G196" s="201"/>
      <c r="H196" s="201"/>
      <c r="I196" s="201"/>
      <c r="J196" s="201"/>
      <c r="K196" s="205" t="str">
        <f>CONST_tCO2&amp;"/"&amp;CONST_MWh</f>
        <v>tCO2/MWh</v>
      </c>
      <c r="L196" s="215"/>
      <c r="M196" s="195"/>
      <c r="N196" s="196"/>
      <c r="O196" s="902"/>
      <c r="P196" s="144"/>
      <c r="S196" s="102" t="str">
        <f>CONST_CNTR_EmbedEmInDir&amp;G141</f>
        <v>EmbedEmInDir_</v>
      </c>
      <c r="T196" s="124" t="str">
        <f>IF(G141="","",SUM(L195)*SUM(L196))</f>
        <v/>
      </c>
      <c r="V196" s="157" t="str">
        <f>IF(AND(L141&lt;&gt;"",X196=FALSE),IF(L196&lt;&gt;"",TRUE,CONST_ErrorOrMissing&amp;C141),CONST_NA)</f>
        <v>n.a.</v>
      </c>
      <c r="X196" s="102" t="b">
        <f>X195</f>
        <v>0</v>
      </c>
    </row>
    <row r="197" spans="1:24" ht="12.75" customHeight="1" x14ac:dyDescent="0.35">
      <c r="C197" s="192"/>
      <c r="D197" s="197" t="s">
        <v>43</v>
      </c>
      <c r="E197" s="201" t="str">
        <f>Translations!$B$272</f>
        <v>Source of the emission factor</v>
      </c>
      <c r="F197" s="201"/>
      <c r="G197" s="201"/>
      <c r="H197" s="201"/>
      <c r="I197" s="201"/>
      <c r="J197" s="201"/>
      <c r="K197" s="299" t="s">
        <v>206</v>
      </c>
      <c r="L197" s="215"/>
      <c r="M197" s="195"/>
      <c r="N197" s="196"/>
      <c r="O197" s="902"/>
      <c r="P197" s="144"/>
      <c r="R197" s="102" t="str">
        <f>CONST_CNTR_ElecEFMethod&amp;G141</f>
        <v>ElecEFMeth_</v>
      </c>
      <c r="T197" s="714" t="str">
        <f>IF(L197="","",L197)</f>
        <v/>
      </c>
      <c r="V197" s="157" t="str">
        <f>IF(AND(L141&lt;&gt;"",X197=FALSE),IF(L197&lt;&gt;"",TRUE,CONST_ErrorOrMissing&amp;C141),CONST_NA)</f>
        <v>n.a.</v>
      </c>
      <c r="X197" s="102" t="b">
        <f>X196</f>
        <v>0</v>
      </c>
    </row>
    <row r="198" spans="1:24" ht="5.15" customHeight="1" x14ac:dyDescent="0.35">
      <c r="C198" s="192"/>
      <c r="D198" s="204"/>
      <c r="E198" s="198"/>
      <c r="F198" s="195"/>
      <c r="G198" s="195"/>
      <c r="H198" s="195"/>
      <c r="I198" s="195"/>
      <c r="J198" s="195"/>
      <c r="K198" s="195"/>
      <c r="L198" s="195"/>
      <c r="M198" s="195"/>
      <c r="N198" s="196"/>
      <c r="O198" s="901"/>
      <c r="P198" s="144"/>
      <c r="T198" s="712"/>
    </row>
    <row r="199" spans="1:24" ht="12.75" customHeight="1" x14ac:dyDescent="0.35">
      <c r="C199" s="192"/>
      <c r="D199" s="204"/>
      <c r="E199" s="198"/>
      <c r="F199" s="195"/>
      <c r="G199" s="195"/>
      <c r="H199" s="195"/>
      <c r="I199" s="195"/>
      <c r="J199" s="195"/>
      <c r="K199" s="195"/>
      <c r="L199" s="195"/>
      <c r="M199" s="195"/>
      <c r="N199" s="196"/>
      <c r="O199" s="901"/>
      <c r="P199" s="144"/>
      <c r="T199" s="712"/>
      <c r="X199" s="171"/>
    </row>
    <row r="200" spans="1:24" ht="12.75" customHeight="1" x14ac:dyDescent="0.35">
      <c r="C200" s="192"/>
      <c r="D200" s="199" t="s">
        <v>417</v>
      </c>
      <c r="E200" s="198" t="str">
        <f>Translations!$B$273</f>
        <v>Electricity exported from the production process</v>
      </c>
      <c r="F200" s="195"/>
      <c r="G200" s="195"/>
      <c r="H200" s="195"/>
      <c r="I200" s="195"/>
      <c r="J200" s="195"/>
      <c r="K200" s="199" t="str">
        <f>Translations!$B$221</f>
        <v>Unit</v>
      </c>
      <c r="L200" s="199" t="str">
        <f>Translations!$B$260</f>
        <v>Value</v>
      </c>
      <c r="M200" s="195"/>
      <c r="N200" s="196"/>
      <c r="O200" s="901"/>
      <c r="P200" s="144"/>
      <c r="T200" s="712"/>
      <c r="X200" s="171"/>
    </row>
    <row r="201" spans="1:24" ht="12.75" customHeight="1" x14ac:dyDescent="0.35">
      <c r="C201" s="192"/>
      <c r="D201" s="197" t="s">
        <v>41</v>
      </c>
      <c r="E201" s="201" t="str">
        <f>Translations!$B$274</f>
        <v>Amounts exported</v>
      </c>
      <c r="F201" s="201"/>
      <c r="G201" s="201"/>
      <c r="H201" s="201"/>
      <c r="I201" s="201"/>
      <c r="J201" s="201"/>
      <c r="K201" s="205" t="s">
        <v>51</v>
      </c>
      <c r="L201" s="213"/>
      <c r="M201" s="195"/>
      <c r="N201" s="196"/>
      <c r="O201" s="902"/>
      <c r="P201" s="144"/>
      <c r="T201" s="712"/>
      <c r="V201" s="157" t="str">
        <f>IF(L141&lt;&gt;"",IF(L201&lt;&gt;"",TRUE,CONST_ErrorOrMissing&amp;C141),CONST_NA)</f>
        <v>n.a.</v>
      </c>
      <c r="X201" s="171"/>
    </row>
    <row r="202" spans="1:24" ht="12.75" customHeight="1" x14ac:dyDescent="0.35">
      <c r="C202" s="192"/>
      <c r="D202" s="197" t="s">
        <v>42</v>
      </c>
      <c r="E202" s="201" t="str">
        <f>Translations!$B$271</f>
        <v>Emission factor of the electricity</v>
      </c>
      <c r="F202" s="201"/>
      <c r="G202" s="201"/>
      <c r="H202" s="201"/>
      <c r="I202" s="201"/>
      <c r="J202" s="201"/>
      <c r="K202" s="205" t="str">
        <f>CONST_tCO2&amp;"/"&amp;CONST_MWh</f>
        <v>tCO2/MWh</v>
      </c>
      <c r="L202" s="215"/>
      <c r="M202" s="195"/>
      <c r="N202" s="196"/>
      <c r="O202" s="902"/>
      <c r="P202" s="144"/>
      <c r="S202" s="102" t="str">
        <f>CONST_CNTR_EmbedEmDir&amp;G141</f>
        <v>EmbedEmDir_</v>
      </c>
      <c r="T202" s="124" t="str">
        <f>IF(G141="","",-SUM(L201)*SUM(L202))</f>
        <v/>
      </c>
      <c r="V202" s="157" t="str">
        <f>IF(AND(L141&lt;&gt;"",SUM(L201)&gt;0),IF(L202&lt;&gt;"",TRUE,CONST_ErrorOrMissing&amp;C141),CONST_NA)</f>
        <v>n.a.</v>
      </c>
      <c r="X202" s="171"/>
    </row>
    <row r="203" spans="1:24" s="144" customFormat="1" ht="12.75" customHeight="1" thickBot="1" x14ac:dyDescent="0.4">
      <c r="A203" s="91"/>
      <c r="B203" s="93"/>
      <c r="C203" s="206"/>
      <c r="D203" s="207"/>
      <c r="E203" s="208"/>
      <c r="F203" s="209"/>
      <c r="G203" s="209"/>
      <c r="H203" s="209"/>
      <c r="I203" s="209"/>
      <c r="J203" s="209"/>
      <c r="K203" s="209"/>
      <c r="L203" s="209"/>
      <c r="M203" s="209"/>
      <c r="N203" s="210"/>
      <c r="O203" s="901"/>
      <c r="Q203" s="93"/>
      <c r="R203" s="91"/>
      <c r="S203" s="91"/>
      <c r="T203" s="712"/>
      <c r="U203" s="91"/>
      <c r="V203" s="91"/>
      <c r="W203" s="104"/>
      <c r="X203" s="91"/>
    </row>
    <row r="204" spans="1:24" s="144" customFormat="1" ht="12.75" customHeight="1" thickBot="1" x14ac:dyDescent="0.4">
      <c r="A204" s="91"/>
      <c r="B204" s="93"/>
      <c r="C204" s="93"/>
      <c r="D204" s="93"/>
      <c r="E204" s="93"/>
      <c r="F204" s="93"/>
      <c r="G204" s="93"/>
      <c r="H204" s="93"/>
      <c r="I204" s="93"/>
      <c r="J204" s="93"/>
      <c r="K204" s="93"/>
      <c r="L204" s="93"/>
      <c r="M204" s="93"/>
      <c r="N204" s="93"/>
      <c r="O204" s="901"/>
      <c r="Q204" s="93"/>
      <c r="R204" s="91"/>
      <c r="S204" s="91"/>
      <c r="T204" s="712"/>
      <c r="U204" s="91"/>
      <c r="V204" s="91"/>
      <c r="W204" s="104"/>
      <c r="X204" s="91"/>
    </row>
    <row r="205" spans="1:24" ht="12.75" customHeight="1" thickBot="1" x14ac:dyDescent="0.4">
      <c r="B205" s="145"/>
      <c r="C205" s="145"/>
      <c r="D205" s="145"/>
      <c r="E205" s="145"/>
      <c r="F205" s="145"/>
      <c r="G205" s="145"/>
      <c r="H205" s="145"/>
      <c r="I205" s="145"/>
      <c r="J205" s="145"/>
      <c r="K205" s="145"/>
      <c r="L205" s="145"/>
      <c r="M205" s="145"/>
      <c r="N205" s="145"/>
      <c r="O205" s="903"/>
      <c r="P205" s="144"/>
      <c r="T205" s="712"/>
    </row>
    <row r="206" spans="1:24" ht="18" customHeight="1" thickBot="1" x14ac:dyDescent="0.4">
      <c r="C206" s="147">
        <f>C141+1</f>
        <v>4</v>
      </c>
      <c r="D206" s="148" t="str">
        <f>CONST_ProductionProcess &amp; " " &amp; C206 &amp; ":"</f>
        <v>Production process 4:</v>
      </c>
      <c r="G206" s="1313" t="str">
        <f>IF(INDEX(CNTR_List_ExistProdProcNames,R206)=CONST_NA,"",INDEX(CNTR_List_ExistProdProcNames,R206))</f>
        <v/>
      </c>
      <c r="H206" s="1314"/>
      <c r="I206" s="1314"/>
      <c r="J206" s="1314"/>
      <c r="K206" s="1315"/>
      <c r="L206" s="1316" t="str">
        <f>IF(INDEX(CNTR_List_ExistProdProc,R206)=CONST_NA,"",INDEX(CNTR_List_ExistProdProc,R206))</f>
        <v/>
      </c>
      <c r="M206" s="1317"/>
      <c r="N206" s="1318"/>
      <c r="O206" s="901"/>
      <c r="P206" s="144"/>
      <c r="R206" s="149">
        <f>C206</f>
        <v>4</v>
      </c>
      <c r="T206" s="712"/>
      <c r="W206" s="104" t="s">
        <v>2748</v>
      </c>
      <c r="X206" s="150" t="b">
        <f>AND(CNTR_HasEntriesA,G206="")</f>
        <v>0</v>
      </c>
    </row>
    <row r="207" spans="1:24" ht="5.15" customHeight="1" x14ac:dyDescent="0.35">
      <c r="D207" s="103"/>
      <c r="E207" s="100"/>
      <c r="O207" s="901"/>
      <c r="P207" s="144"/>
      <c r="T207" s="712"/>
    </row>
    <row r="208" spans="1:24" ht="12.75" customHeight="1" x14ac:dyDescent="0.35">
      <c r="D208" s="103"/>
      <c r="E208" s="1290" t="str">
        <f ca="1">HYPERLINK("#"&amp;ADDRESS(MATCH($S208,G_FurtherGuidance!$S:$S,0),3,,,G_FurtherGuidance!$U$2),CONST_LinkToGuidanceSheet)</f>
        <v>Please click on this link for further guidance on how to complete this section.</v>
      </c>
      <c r="F208" s="1319"/>
      <c r="G208" s="1319"/>
      <c r="H208" s="1319"/>
      <c r="I208" s="1319"/>
      <c r="J208" s="1319"/>
      <c r="K208" s="1319"/>
      <c r="L208" s="1319"/>
      <c r="M208" s="1319"/>
      <c r="O208" s="901"/>
      <c r="P208" s="144"/>
      <c r="R208" s="104" t="s">
        <v>2771</v>
      </c>
      <c r="S208" s="105">
        <v>3</v>
      </c>
      <c r="T208" s="712"/>
    </row>
    <row r="209" spans="1:24" ht="5.15" customHeight="1" x14ac:dyDescent="0.35">
      <c r="D209" s="103"/>
      <c r="E209" s="100"/>
      <c r="O209" s="901"/>
      <c r="P209" s="144"/>
      <c r="T209" s="712"/>
    </row>
    <row r="210" spans="1:24" ht="12.75" customHeight="1" x14ac:dyDescent="0.35">
      <c r="D210" s="117" t="s">
        <v>135</v>
      </c>
      <c r="E210" s="100" t="str">
        <f>Translations!$B$243</f>
        <v>Total production levels:</v>
      </c>
      <c r="H210" s="151" t="str">
        <f>Translations!$B$244</f>
        <v>Production route</v>
      </c>
      <c r="J210" s="144"/>
      <c r="K210" s="152" t="str">
        <f>Translations!$B$221</f>
        <v>Unit</v>
      </c>
      <c r="L210" s="152" t="str">
        <f>Translations!$B$245</f>
        <v>Amounts</v>
      </c>
      <c r="O210" s="901"/>
      <c r="P210" s="144"/>
      <c r="T210" s="712"/>
    </row>
    <row r="211" spans="1:24" ht="12.75" customHeight="1" x14ac:dyDescent="0.35">
      <c r="D211" s="173">
        <v>1</v>
      </c>
      <c r="E211" s="153" t="str">
        <f>IF(G206="","",G206) &amp; IF(L206="",""," | " &amp; L206)</f>
        <v/>
      </c>
      <c r="F211" s="153"/>
      <c r="G211" s="153"/>
      <c r="H211" s="154" t="str">
        <f>IF(L206="","",INDEX(CONST_MATRIX_ProductionRoute,MATCH(L206,CONST_LIST_Goods,0),D211))</f>
        <v/>
      </c>
      <c r="I211" s="153"/>
      <c r="J211" s="153"/>
      <c r="K211" s="155" t="str">
        <f>IF(L206="","",INDEX(CONST_LIST_GoodsUnit,MATCH(L206,CONST_LIST_Goods,0)))</f>
        <v/>
      </c>
      <c r="L211" s="29"/>
      <c r="O211" s="902"/>
      <c r="P211" s="144"/>
      <c r="S211" s="105">
        <v>1</v>
      </c>
      <c r="T211" s="713"/>
      <c r="V211" s="157" t="str">
        <f>IF(AND(G206&lt;&gt;"",E211&lt;&gt;"",L211&lt;&gt;""),TRUE,IF(AND(G206&lt;&gt;"",OR(AND(E211&lt;&gt;"",L211=""),AND(E211="",L211&lt;&gt;""))),CONST_ErrorOrMissing&amp;C206,CONST_NA))</f>
        <v>n.a.</v>
      </c>
    </row>
    <row r="212" spans="1:24" ht="12.75" customHeight="1" x14ac:dyDescent="0.35">
      <c r="D212" s="173">
        <v>2</v>
      </c>
      <c r="E212" s="158" t="str">
        <f t="shared" ref="E212:E218" si="12">IF(H212=CONST_NA,"",E211)</f>
        <v/>
      </c>
      <c r="F212" s="158"/>
      <c r="G212" s="158"/>
      <c r="H212" s="159" t="str">
        <f>IF(L206="","",INDEX(CONST_MATRIX_ProductionRoute,MATCH(L206,CONST_LIST_Goods,0),D212))</f>
        <v/>
      </c>
      <c r="I212" s="158"/>
      <c r="J212" s="158"/>
      <c r="K212" s="160" t="str">
        <f t="shared" ref="K212:K218" si="13">IF(H212=CONST_NA,"",K211)</f>
        <v/>
      </c>
      <c r="L212" s="30"/>
      <c r="O212" s="902"/>
      <c r="P212" s="144"/>
      <c r="S212" s="105">
        <v>2</v>
      </c>
      <c r="T212" s="713"/>
      <c r="V212" s="157" t="str">
        <f>IF(AND(G206&lt;&gt;"",E212&lt;&gt;"",L212&lt;&gt;""),TRUE,IF(AND(G206&lt;&gt;"",OR(AND(E212&lt;&gt;"",L212=""),AND(E212="",L212&lt;&gt;""))),CONST_ErrorOrMissing&amp;C206,CONST_NA))</f>
        <v>n.a.</v>
      </c>
    </row>
    <row r="213" spans="1:24" ht="12.75" customHeight="1" x14ac:dyDescent="0.35">
      <c r="D213" s="173">
        <v>3</v>
      </c>
      <c r="E213" s="158" t="str">
        <f t="shared" si="12"/>
        <v/>
      </c>
      <c r="F213" s="158"/>
      <c r="G213" s="158"/>
      <c r="H213" s="159" t="str">
        <f>IF(L206="","",INDEX(CONST_MATRIX_ProductionRoute,MATCH(L206,CONST_LIST_Goods,0),D213))</f>
        <v/>
      </c>
      <c r="I213" s="158"/>
      <c r="J213" s="158"/>
      <c r="K213" s="160" t="str">
        <f t="shared" si="13"/>
        <v/>
      </c>
      <c r="L213" s="30"/>
      <c r="O213" s="902"/>
      <c r="P213" s="144"/>
      <c r="S213" s="105">
        <v>3</v>
      </c>
      <c r="T213" s="713"/>
      <c r="V213" s="157" t="str">
        <f>IF(AND(G206&lt;&gt;"",E213&lt;&gt;"",L213&lt;&gt;""),TRUE,IF(AND(G206&lt;&gt;"",OR(AND(E213&lt;&gt;"",L213=""),AND(E213="",L213&lt;&gt;""))),CONST_ErrorOrMissing&amp;C206,CONST_NA))</f>
        <v>n.a.</v>
      </c>
    </row>
    <row r="214" spans="1:24" ht="12.75" customHeight="1" x14ac:dyDescent="0.35">
      <c r="D214" s="173">
        <v>4</v>
      </c>
      <c r="E214" s="158" t="str">
        <f t="shared" si="12"/>
        <v/>
      </c>
      <c r="F214" s="158"/>
      <c r="G214" s="158"/>
      <c r="H214" s="159" t="str">
        <f>IF(L206="","",INDEX(CONST_MATRIX_ProductionRoute,MATCH(L206,CONST_LIST_Goods,0),D214))</f>
        <v/>
      </c>
      <c r="I214" s="158"/>
      <c r="J214" s="158"/>
      <c r="K214" s="160" t="str">
        <f t="shared" si="13"/>
        <v/>
      </c>
      <c r="L214" s="30"/>
      <c r="O214" s="902"/>
      <c r="P214" s="144"/>
      <c r="S214" s="105">
        <v>4</v>
      </c>
      <c r="T214" s="713"/>
      <c r="V214" s="157" t="str">
        <f>IF(AND(G206&lt;&gt;"",E214&lt;&gt;"",L214&lt;&gt;""),TRUE,IF(AND(G206&lt;&gt;"",OR(AND(E214&lt;&gt;"",L214=""),AND(E214="",L214&lt;&gt;""))),CONST_ErrorOrMissing&amp;C206,CONST_NA))</f>
        <v>n.a.</v>
      </c>
    </row>
    <row r="215" spans="1:24" ht="12.75" customHeight="1" x14ac:dyDescent="0.35">
      <c r="D215" s="173">
        <v>5</v>
      </c>
      <c r="E215" s="158" t="str">
        <f t="shared" si="12"/>
        <v/>
      </c>
      <c r="F215" s="158"/>
      <c r="G215" s="158"/>
      <c r="H215" s="159" t="str">
        <f>IF(L206="","",INDEX(CONST_MATRIX_ProductionRoute,MATCH(L206,CONST_LIST_Goods,0),D215))</f>
        <v/>
      </c>
      <c r="I215" s="158"/>
      <c r="J215" s="158"/>
      <c r="K215" s="160" t="str">
        <f t="shared" si="13"/>
        <v/>
      </c>
      <c r="L215" s="30"/>
      <c r="O215" s="902"/>
      <c r="P215" s="144"/>
      <c r="S215" s="105">
        <v>5</v>
      </c>
      <c r="T215" s="713"/>
      <c r="V215" s="157" t="str">
        <f>IF(AND(G206&lt;&gt;"",E215&lt;&gt;"",L215&lt;&gt;""),TRUE,IF(AND(G206&lt;&gt;"",OR(AND(E215&lt;&gt;"",L215=""),AND(E215="",L215&lt;&gt;""))),CONST_ErrorOrMissing&amp;C206,CONST_NA))</f>
        <v>n.a.</v>
      </c>
    </row>
    <row r="216" spans="1:24" ht="12.75" customHeight="1" x14ac:dyDescent="0.35">
      <c r="D216" s="173">
        <v>6</v>
      </c>
      <c r="E216" s="158" t="str">
        <f t="shared" si="12"/>
        <v/>
      </c>
      <c r="F216" s="158"/>
      <c r="G216" s="158"/>
      <c r="H216" s="159" t="str">
        <f>IF(L206="","",INDEX(CONST_MATRIX_ProductionRoute,MATCH(L206,CONST_LIST_Goods,0),D216))</f>
        <v/>
      </c>
      <c r="I216" s="158"/>
      <c r="J216" s="158"/>
      <c r="K216" s="160" t="str">
        <f t="shared" si="13"/>
        <v/>
      </c>
      <c r="L216" s="30"/>
      <c r="O216" s="902"/>
      <c r="P216" s="144"/>
      <c r="S216" s="105">
        <v>6</v>
      </c>
      <c r="T216" s="713"/>
      <c r="V216" s="157" t="str">
        <f>IF(AND(G206&lt;&gt;"",E216&lt;&gt;"",L216&lt;&gt;""),TRUE,IF(AND(G206&lt;&gt;"",OR(AND(E216&lt;&gt;"",L216=""),AND(E216="",L216&lt;&gt;""))),CONST_ErrorOrMissing&amp;C206,CONST_NA))</f>
        <v>n.a.</v>
      </c>
    </row>
    <row r="217" spans="1:24" ht="12.75" customHeight="1" x14ac:dyDescent="0.35">
      <c r="D217" s="173">
        <v>7</v>
      </c>
      <c r="E217" s="158" t="str">
        <f t="shared" si="12"/>
        <v/>
      </c>
      <c r="F217" s="158"/>
      <c r="G217" s="158"/>
      <c r="H217" s="159" t="str">
        <f>IF(L206="","",INDEX(CONST_MATRIX_ProductionRoute,MATCH(L206,CONST_LIST_Goods,0),D217))</f>
        <v/>
      </c>
      <c r="I217" s="158"/>
      <c r="J217" s="158"/>
      <c r="K217" s="160" t="str">
        <f t="shared" si="13"/>
        <v/>
      </c>
      <c r="L217" s="30"/>
      <c r="O217" s="902"/>
      <c r="P217" s="144"/>
      <c r="S217" s="105">
        <v>7</v>
      </c>
      <c r="T217" s="713"/>
      <c r="V217" s="157" t="str">
        <f>IF(AND(G206&lt;&gt;"",E217&lt;&gt;"",L217&lt;&gt;""),TRUE,IF(AND(G206&lt;&gt;"",OR(AND(E217&lt;&gt;"",L217=""),AND(E217="",L217&lt;&gt;""))),CONST_ErrorOrMissing&amp;C206,CONST_NA))</f>
        <v>n.a.</v>
      </c>
    </row>
    <row r="218" spans="1:24" ht="12.75" customHeight="1" x14ac:dyDescent="0.35">
      <c r="D218" s="173">
        <v>8</v>
      </c>
      <c r="E218" s="161" t="str">
        <f t="shared" si="12"/>
        <v/>
      </c>
      <c r="F218" s="161"/>
      <c r="G218" s="161"/>
      <c r="H218" s="162" t="str">
        <f>IF(L206="","",INDEX(CONST_MATRIX_ProductionRoute,MATCH(L206,CONST_LIST_Goods,0),D218))</f>
        <v/>
      </c>
      <c r="I218" s="161"/>
      <c r="J218" s="161"/>
      <c r="K218" s="163" t="str">
        <f t="shared" si="13"/>
        <v/>
      </c>
      <c r="L218" s="31"/>
      <c r="O218" s="902"/>
      <c r="P218" s="144"/>
      <c r="S218" s="105">
        <v>8</v>
      </c>
      <c r="T218" s="713"/>
      <c r="V218" s="157" t="str">
        <f>IF(AND(G206&lt;&gt;"",E218&lt;&gt;"",L218&lt;&gt;""),TRUE,IF(AND(G206&lt;&gt;"",OR(AND(E218&lt;&gt;"",L218=""),AND(E218="",L218&lt;&gt;""))),CONST_ErrorOrMissing&amp;C206,CONST_NA))</f>
        <v>n.a.</v>
      </c>
    </row>
    <row r="219" spans="1:24" ht="12.75" customHeight="1" x14ac:dyDescent="0.35">
      <c r="D219" s="103"/>
      <c r="E219" s="138" t="str">
        <f>Translations!$B$246</f>
        <v>Total production within installation (= denominator for SEE calculation):</v>
      </c>
      <c r="F219" s="138"/>
      <c r="G219" s="138"/>
      <c r="H219" s="164"/>
      <c r="I219" s="138"/>
      <c r="J219" s="138"/>
      <c r="K219" s="165" t="str">
        <f>K211</f>
        <v/>
      </c>
      <c r="L219" s="140" t="str">
        <f>IF(G206="","",SUM(L211:L218))</f>
        <v/>
      </c>
      <c r="O219" s="901"/>
      <c r="P219" s="144"/>
      <c r="R219" s="102" t="str">
        <f>CONST_CNTR_TotProd&amp;G206</f>
        <v>TotProd_</v>
      </c>
      <c r="T219" s="124" t="str">
        <f>IF(G206="","",L219)</f>
        <v/>
      </c>
    </row>
    <row r="220" spans="1:24" s="144" customFormat="1" ht="5.15" customHeight="1" x14ac:dyDescent="0.35">
      <c r="A220" s="91"/>
      <c r="B220" s="93"/>
      <c r="C220" s="93"/>
      <c r="D220" s="166"/>
      <c r="E220" s="167"/>
      <c r="N220" s="93"/>
      <c r="O220" s="901"/>
      <c r="Q220" s="93"/>
      <c r="R220" s="91"/>
      <c r="S220" s="91"/>
      <c r="T220" s="712"/>
      <c r="U220" s="91"/>
      <c r="V220" s="91"/>
      <c r="W220" s="104"/>
      <c r="X220" s="91"/>
    </row>
    <row r="221" spans="1:24" s="144" customFormat="1" ht="12.75" customHeight="1" x14ac:dyDescent="0.35">
      <c r="A221" s="91"/>
      <c r="B221" s="93"/>
      <c r="C221" s="93"/>
      <c r="D221" s="168" t="s">
        <v>48</v>
      </c>
      <c r="E221" s="167" t="str">
        <f>Translations!$B$247</f>
        <v>Production details</v>
      </c>
      <c r="F221" s="167"/>
      <c r="G221" s="167"/>
      <c r="H221" s="168"/>
      <c r="K221" s="168" t="str">
        <f>Translations!$B$221</f>
        <v>Unit</v>
      </c>
      <c r="L221" s="168" t="str">
        <f>Translations!$B$245</f>
        <v>Amounts</v>
      </c>
      <c r="N221" s="93"/>
      <c r="O221" s="901"/>
      <c r="Q221" s="93"/>
      <c r="R221" s="91"/>
      <c r="S221" s="91"/>
      <c r="T221" s="712"/>
      <c r="U221" s="91"/>
      <c r="V221" s="91"/>
      <c r="W221" s="104"/>
      <c r="X221" s="91"/>
    </row>
    <row r="222" spans="1:24" s="144" customFormat="1" ht="12.75" customHeight="1" x14ac:dyDescent="0.35">
      <c r="A222" s="91"/>
      <c r="B222" s="93"/>
      <c r="C222" s="93"/>
      <c r="D222" s="132" t="s">
        <v>41</v>
      </c>
      <c r="E222" s="138" t="str">
        <f>Translations!$B$248</f>
        <v>Produced for the market</v>
      </c>
      <c r="F222" s="138"/>
      <c r="G222" s="138"/>
      <c r="H222" s="138"/>
      <c r="I222" s="138"/>
      <c r="J222" s="138"/>
      <c r="K222" s="169" t="str">
        <f>K211</f>
        <v/>
      </c>
      <c r="L222" s="211"/>
      <c r="N222" s="93"/>
      <c r="O222" s="902"/>
      <c r="Q222" s="93"/>
      <c r="R222" s="102" t="str">
        <f>CONST_GoodToMarket&amp;G206</f>
        <v>ToMarket_</v>
      </c>
      <c r="S222" s="91"/>
      <c r="T222" s="124" t="str">
        <f>IF($G$11="","",L222)</f>
        <v/>
      </c>
      <c r="U222" s="91"/>
      <c r="V222" s="157" t="str">
        <f>IF(AND(G206&lt;&gt;"",L222&lt;&gt;""),TRUE,IF(AND(G206&lt;&gt;"",OR(L222="",L211&lt;&gt;"")),CONST_ErrorOrMissing&amp;C206,CONST_NA))</f>
        <v>n.a.</v>
      </c>
      <c r="W222" s="104"/>
      <c r="X222" s="91"/>
    </row>
    <row r="223" spans="1:24" s="144" customFormat="1" ht="12.75" customHeight="1" x14ac:dyDescent="0.35">
      <c r="A223" s="91"/>
      <c r="B223" s="93"/>
      <c r="C223" s="93"/>
      <c r="D223" s="132" t="s">
        <v>42</v>
      </c>
      <c r="E223" s="133" t="str">
        <f>Translations!$B$249</f>
        <v>Share of total under (a) produced for the market</v>
      </c>
      <c r="F223" s="288"/>
      <c r="G223" s="288"/>
      <c r="H223" s="288"/>
      <c r="I223" s="288"/>
      <c r="J223" s="288"/>
      <c r="K223" s="288"/>
      <c r="L223" s="289" t="str">
        <f>IF(AND(COUNT(L219,L222)=2,SUM(L219&gt;0)),SUM(L222)/SUM(L219),"")</f>
        <v/>
      </c>
      <c r="N223" s="93"/>
      <c r="O223" s="901"/>
      <c r="Q223" s="93"/>
      <c r="R223" s="171"/>
      <c r="S223" s="91"/>
      <c r="T223" s="712"/>
      <c r="U223" s="91"/>
      <c r="V223" s="172"/>
      <c r="W223" s="104"/>
      <c r="X223" s="91"/>
    </row>
    <row r="224" spans="1:24" s="144" customFormat="1" ht="12.75" customHeight="1" x14ac:dyDescent="0.35">
      <c r="A224" s="91"/>
      <c r="B224" s="93"/>
      <c r="C224" s="93"/>
      <c r="D224" s="132" t="s">
        <v>43</v>
      </c>
      <c r="E224" s="136" t="str">
        <f>Translations!$B$250</f>
        <v>Total production only for the market?</v>
      </c>
      <c r="F224" s="290"/>
      <c r="G224" s="290"/>
      <c r="H224" s="290"/>
      <c r="I224" s="290"/>
      <c r="J224" s="290"/>
      <c r="K224" s="290"/>
      <c r="L224" s="291" t="str">
        <f>IF(G206="","",AND(SUM(L219)&gt;0,SUM(L219)=SUM(L222)))</f>
        <v/>
      </c>
      <c r="N224" s="93"/>
      <c r="O224" s="901"/>
      <c r="Q224" s="93"/>
      <c r="R224" s="171"/>
      <c r="S224" s="91"/>
      <c r="T224" s="712"/>
      <c r="U224" s="91"/>
      <c r="V224" s="91"/>
      <c r="W224" s="104"/>
      <c r="X224" s="91"/>
    </row>
    <row r="225" spans="1:24" s="144" customFormat="1" ht="5.15" customHeight="1" x14ac:dyDescent="0.35">
      <c r="A225" s="91"/>
      <c r="B225" s="93"/>
      <c r="C225" s="93"/>
      <c r="D225" s="166"/>
      <c r="E225" s="167"/>
      <c r="N225" s="93"/>
      <c r="O225" s="901"/>
      <c r="Q225" s="93"/>
      <c r="R225" s="91"/>
      <c r="S225" s="91"/>
      <c r="T225" s="712"/>
      <c r="U225" s="91"/>
      <c r="V225" s="91"/>
      <c r="W225" s="104"/>
      <c r="X225" s="91"/>
    </row>
    <row r="226" spans="1:24" s="144" customFormat="1" ht="12.75" customHeight="1" x14ac:dyDescent="0.35">
      <c r="A226" s="91"/>
      <c r="B226" s="93"/>
      <c r="C226" s="93"/>
      <c r="D226" s="168" t="s">
        <v>49</v>
      </c>
      <c r="E226" s="167" t="str">
        <f>Translations!$B$251</f>
        <v>Consumed in other 'production processes' within the installation:</v>
      </c>
      <c r="F226" s="167"/>
      <c r="G226" s="167"/>
      <c r="H226" s="167"/>
      <c r="I226" s="167"/>
      <c r="J226" s="167"/>
      <c r="K226" s="168" t="str">
        <f>Translations!$B$221</f>
        <v>Unit</v>
      </c>
      <c r="L226" s="168" t="str">
        <f>Translations!$B$245</f>
        <v>Amounts</v>
      </c>
      <c r="N226" s="93"/>
      <c r="O226" s="901"/>
      <c r="Q226" s="93"/>
      <c r="R226" s="91"/>
      <c r="S226" s="123" t="s">
        <v>195</v>
      </c>
      <c r="T226" s="712"/>
      <c r="U226" s="91"/>
      <c r="V226" s="91"/>
      <c r="W226" s="104" t="s">
        <v>34</v>
      </c>
      <c r="X226" s="102" t="b">
        <f>IF(G206="",FALSE,L224)</f>
        <v>0</v>
      </c>
    </row>
    <row r="227" spans="1:24" s="144" customFormat="1" ht="12.75" customHeight="1" x14ac:dyDescent="0.35">
      <c r="A227" s="91"/>
      <c r="B227" s="93"/>
      <c r="C227" s="93"/>
      <c r="D227" s="173">
        <v>1</v>
      </c>
      <c r="E227" s="174" t="str">
        <f t="shared" ref="E227:E235" si="14">IF(INDEX(CNTR_List_ExistProdProcNames,S227)=CONST_NA,"",INDEX(CNTR_List_ExistProdProcNames,S227))</f>
        <v/>
      </c>
      <c r="F227" s="175"/>
      <c r="G227" s="175"/>
      <c r="H227" s="175"/>
      <c r="I227" s="175"/>
      <c r="J227" s="176"/>
      <c r="K227" s="155" t="str">
        <f>K211</f>
        <v/>
      </c>
      <c r="L227" s="29"/>
      <c r="N227" s="93"/>
      <c r="O227" s="902"/>
      <c r="Q227" s="93"/>
      <c r="R227" s="102" t="str">
        <f>CONST_PrecursorToGoodInput&amp;G206 &amp;"_"&amp;E227</f>
        <v>PrecToGood__</v>
      </c>
      <c r="S227" s="105">
        <f>MAX(S226:S226)+IF(D227=C206,2,1)</f>
        <v>1</v>
      </c>
      <c r="T227" s="124" t="str">
        <f>IF(G206="","",L227)</f>
        <v/>
      </c>
      <c r="U227" s="91"/>
      <c r="V227" s="157" t="str">
        <f>IF(AND(G206&lt;&gt;"",E227&lt;&gt;"",L227&lt;&gt;""),TRUE,IF(AND(G206&lt;&gt;"",E227&lt;&gt;"",L227="",X227=FALSE),CONST_ErrorOrMissing&amp;C206,CONST_NA))</f>
        <v>n.a.</v>
      </c>
      <c r="W227" s="104" t="s">
        <v>34</v>
      </c>
      <c r="X227" s="102" t="b">
        <f>IF(G206="",FALSE,OR(L224,E227=""))</f>
        <v>0</v>
      </c>
    </row>
    <row r="228" spans="1:24" s="144" customFormat="1" ht="12.75" customHeight="1" x14ac:dyDescent="0.35">
      <c r="A228" s="91"/>
      <c r="B228" s="93"/>
      <c r="C228" s="93"/>
      <c r="D228" s="173">
        <v>2</v>
      </c>
      <c r="E228" s="177" t="str">
        <f t="shared" si="14"/>
        <v/>
      </c>
      <c r="F228" s="178"/>
      <c r="G228" s="178"/>
      <c r="H228" s="178"/>
      <c r="I228" s="178"/>
      <c r="J228" s="179"/>
      <c r="K228" s="160" t="str">
        <f>K227</f>
        <v/>
      </c>
      <c r="L228" s="30"/>
      <c r="N228" s="93"/>
      <c r="O228" s="902"/>
      <c r="Q228" s="93"/>
      <c r="R228" s="102" t="str">
        <f>CONST_PrecursorToGoodInput&amp;G206 &amp;"_"&amp;E228</f>
        <v>PrecToGood__</v>
      </c>
      <c r="S228" s="105">
        <f>MAX(S226:S227)+IF(D228=C206,2,1)</f>
        <v>2</v>
      </c>
      <c r="T228" s="124" t="str">
        <f>IF(G206="","",L228)</f>
        <v/>
      </c>
      <c r="U228" s="91"/>
      <c r="V228" s="157" t="str">
        <f>IF(AND(G206&lt;&gt;"",E228&lt;&gt;"",L228&lt;&gt;""),TRUE,IF(AND(G206&lt;&gt;"",E228&lt;&gt;"",L228="",X228=FALSE),CONST_ErrorOrMissing&amp;C206,CONST_NA))</f>
        <v>n.a.</v>
      </c>
      <c r="W228" s="104"/>
      <c r="X228" s="102" t="b">
        <f>IF(G206="",FALSE,OR(L224,E228=""))</f>
        <v>0</v>
      </c>
    </row>
    <row r="229" spans="1:24" s="144" customFormat="1" ht="12.75" customHeight="1" x14ac:dyDescent="0.35">
      <c r="A229" s="91"/>
      <c r="B229" s="93"/>
      <c r="C229" s="93"/>
      <c r="D229" s="173">
        <v>3</v>
      </c>
      <c r="E229" s="177" t="str">
        <f t="shared" si="14"/>
        <v/>
      </c>
      <c r="F229" s="178"/>
      <c r="G229" s="178"/>
      <c r="H229" s="178"/>
      <c r="I229" s="178"/>
      <c r="J229" s="179"/>
      <c r="K229" s="160" t="str">
        <f t="shared" ref="K229:K237" si="15">K228</f>
        <v/>
      </c>
      <c r="L229" s="30"/>
      <c r="N229" s="93"/>
      <c r="O229" s="902"/>
      <c r="Q229" s="93"/>
      <c r="R229" s="102" t="str">
        <f>CONST_PrecursorToGoodInput&amp;G206 &amp;"_"&amp;E229</f>
        <v>PrecToGood__</v>
      </c>
      <c r="S229" s="105">
        <f>MAX(S226:S228)+IF(D229=C206,2,1)</f>
        <v>3</v>
      </c>
      <c r="T229" s="124" t="str">
        <f>IF(G206="","",L229)</f>
        <v/>
      </c>
      <c r="U229" s="91"/>
      <c r="V229" s="157" t="str">
        <f>IF(AND(G206&lt;&gt;"",E229&lt;&gt;"",L229&lt;&gt;""),TRUE,IF(AND(G206&lt;&gt;"",E229&lt;&gt;"",L229="",X229=FALSE),CONST_ErrorOrMissing&amp;C206,CONST_NA))</f>
        <v>n.a.</v>
      </c>
      <c r="W229" s="104"/>
      <c r="X229" s="102" t="b">
        <f>IF(G206="",FALSE,OR(L224,E229=""))</f>
        <v>0</v>
      </c>
    </row>
    <row r="230" spans="1:24" s="144" customFormat="1" ht="12.75" customHeight="1" x14ac:dyDescent="0.35">
      <c r="A230" s="91"/>
      <c r="B230" s="93"/>
      <c r="C230" s="93"/>
      <c r="D230" s="173">
        <v>4</v>
      </c>
      <c r="E230" s="177" t="str">
        <f t="shared" si="14"/>
        <v/>
      </c>
      <c r="F230" s="178"/>
      <c r="G230" s="178"/>
      <c r="H230" s="178"/>
      <c r="I230" s="178"/>
      <c r="J230" s="179"/>
      <c r="K230" s="160" t="str">
        <f t="shared" si="15"/>
        <v/>
      </c>
      <c r="L230" s="30"/>
      <c r="N230" s="93"/>
      <c r="O230" s="902"/>
      <c r="Q230" s="93"/>
      <c r="R230" s="102" t="str">
        <f>CONST_PrecursorToGoodInput&amp;G206 &amp;"_"&amp;E230</f>
        <v>PrecToGood__</v>
      </c>
      <c r="S230" s="105">
        <f>MAX(S226:S229)+IF(D230=C206,2,1)</f>
        <v>5</v>
      </c>
      <c r="T230" s="124" t="str">
        <f>IF(G206="","",L230)</f>
        <v/>
      </c>
      <c r="U230" s="91"/>
      <c r="V230" s="157" t="str">
        <f>IF(AND(G206&lt;&gt;"",E230&lt;&gt;"",L230&lt;&gt;""),TRUE,IF(AND(G206&lt;&gt;"",E230&lt;&gt;"",L230="",X230=FALSE),CONST_ErrorOrMissing&amp;C206,CONST_NA))</f>
        <v>n.a.</v>
      </c>
      <c r="W230" s="104"/>
      <c r="X230" s="102" t="b">
        <f>IF(G206="",FALSE,OR(L224,E230=""))</f>
        <v>0</v>
      </c>
    </row>
    <row r="231" spans="1:24" s="144" customFormat="1" ht="12.75" customHeight="1" x14ac:dyDescent="0.35">
      <c r="A231" s="91"/>
      <c r="B231" s="93"/>
      <c r="C231" s="93"/>
      <c r="D231" s="173">
        <v>5</v>
      </c>
      <c r="E231" s="180" t="str">
        <f t="shared" si="14"/>
        <v/>
      </c>
      <c r="F231" s="181"/>
      <c r="G231" s="181"/>
      <c r="H231" s="181"/>
      <c r="I231" s="181"/>
      <c r="J231" s="182"/>
      <c r="K231" s="183" t="str">
        <f t="shared" si="15"/>
        <v/>
      </c>
      <c r="L231" s="212"/>
      <c r="N231" s="93"/>
      <c r="O231" s="902"/>
      <c r="Q231" s="93"/>
      <c r="R231" s="102" t="str">
        <f>CONST_PrecursorToGoodInput&amp;G206 &amp;"_"&amp;E231</f>
        <v>PrecToGood__</v>
      </c>
      <c r="S231" s="105">
        <f>MAX(S226:S230)+IF(D231=C206,2,1)</f>
        <v>6</v>
      </c>
      <c r="T231" s="124" t="str">
        <f>IF(G206="","",L231)</f>
        <v/>
      </c>
      <c r="U231" s="91"/>
      <c r="V231" s="157" t="str">
        <f>IF(AND(G206&lt;&gt;"",E231&lt;&gt;"",L231&lt;&gt;""),TRUE,IF(AND(G206&lt;&gt;"",E231&lt;&gt;"",L231="",X231=FALSE),CONST_ErrorOrMissing&amp;C206,CONST_NA))</f>
        <v>n.a.</v>
      </c>
      <c r="W231" s="104"/>
      <c r="X231" s="102" t="b">
        <f>IF(G206="",FALSE,OR(L224,E231=""))</f>
        <v>0</v>
      </c>
    </row>
    <row r="232" spans="1:24" s="144" customFormat="1" ht="12.75" customHeight="1" x14ac:dyDescent="0.35">
      <c r="A232" s="91"/>
      <c r="B232" s="93"/>
      <c r="C232" s="93"/>
      <c r="D232" s="173">
        <v>6</v>
      </c>
      <c r="E232" s="180" t="str">
        <f t="shared" si="14"/>
        <v/>
      </c>
      <c r="F232" s="181"/>
      <c r="G232" s="181"/>
      <c r="H232" s="181"/>
      <c r="I232" s="181"/>
      <c r="J232" s="182"/>
      <c r="K232" s="183" t="str">
        <f t="shared" si="15"/>
        <v/>
      </c>
      <c r="L232" s="212"/>
      <c r="N232" s="93"/>
      <c r="O232" s="902"/>
      <c r="Q232" s="93"/>
      <c r="R232" s="102" t="str">
        <f>CONST_PrecursorToGoodInput&amp;G206 &amp;"_"&amp;E232</f>
        <v>PrecToGood__</v>
      </c>
      <c r="S232" s="105">
        <f>MAX(S226:S231)+IF(D232=C206,2,1)</f>
        <v>7</v>
      </c>
      <c r="T232" s="124" t="str">
        <f>IF(G206="","",L232)</f>
        <v/>
      </c>
      <c r="U232" s="91"/>
      <c r="V232" s="157" t="str">
        <f>IF(AND(G206&lt;&gt;"",E232&lt;&gt;"",L232&lt;&gt;""),TRUE,IF(AND(G206&lt;&gt;"",E232&lt;&gt;"",L232="",X232=FALSE),CONST_ErrorOrMissing&amp;C206,CONST_NA))</f>
        <v>n.a.</v>
      </c>
      <c r="W232" s="104"/>
      <c r="X232" s="102" t="b">
        <f>IF(G206="",FALSE,OR(L224,E232=""))</f>
        <v>0</v>
      </c>
    </row>
    <row r="233" spans="1:24" s="144" customFormat="1" ht="12.75" customHeight="1" x14ac:dyDescent="0.35">
      <c r="A233" s="91"/>
      <c r="B233" s="93"/>
      <c r="C233" s="93"/>
      <c r="D233" s="173">
        <v>7</v>
      </c>
      <c r="E233" s="180" t="str">
        <f t="shared" si="14"/>
        <v/>
      </c>
      <c r="F233" s="181"/>
      <c r="G233" s="181"/>
      <c r="H233" s="181"/>
      <c r="I233" s="181"/>
      <c r="J233" s="182"/>
      <c r="K233" s="183" t="str">
        <f t="shared" si="15"/>
        <v/>
      </c>
      <c r="L233" s="212"/>
      <c r="N233" s="93"/>
      <c r="O233" s="902"/>
      <c r="Q233" s="93"/>
      <c r="R233" s="102" t="str">
        <f>CONST_PrecursorToGoodInput&amp;G206 &amp;"_"&amp;E233</f>
        <v>PrecToGood__</v>
      </c>
      <c r="S233" s="105">
        <f>MAX(S226:S232)+IF(D233=C206,2,1)</f>
        <v>8</v>
      </c>
      <c r="T233" s="124" t="str">
        <f>IF(G206="","",L233)</f>
        <v/>
      </c>
      <c r="U233" s="91"/>
      <c r="V233" s="157" t="str">
        <f>IF(AND(G206&lt;&gt;"",E233&lt;&gt;"",L233&lt;&gt;""),TRUE,IF(AND(G206&lt;&gt;"",E233&lt;&gt;"",L233="",X233=FALSE),CONST_ErrorOrMissing&amp;C206,CONST_NA))</f>
        <v>n.a.</v>
      </c>
      <c r="W233" s="104"/>
      <c r="X233" s="102" t="b">
        <f>IF(G206="",FALSE,OR(L224,E233=""))</f>
        <v>0</v>
      </c>
    </row>
    <row r="234" spans="1:24" s="144" customFormat="1" ht="12.75" customHeight="1" x14ac:dyDescent="0.35">
      <c r="A234" s="91"/>
      <c r="B234" s="93"/>
      <c r="C234" s="93"/>
      <c r="D234" s="173">
        <v>8</v>
      </c>
      <c r="E234" s="180" t="str">
        <f t="shared" si="14"/>
        <v/>
      </c>
      <c r="F234" s="181"/>
      <c r="G234" s="181"/>
      <c r="H234" s="181"/>
      <c r="I234" s="181"/>
      <c r="J234" s="182"/>
      <c r="K234" s="183" t="str">
        <f t="shared" si="15"/>
        <v/>
      </c>
      <c r="L234" s="212"/>
      <c r="N234" s="93"/>
      <c r="O234" s="902"/>
      <c r="Q234" s="93"/>
      <c r="R234" s="102" t="str">
        <f>CONST_PrecursorToGoodInput&amp;G206 &amp;"_"&amp;E234</f>
        <v>PrecToGood__</v>
      </c>
      <c r="S234" s="105">
        <f>MAX(S226:S233)+IF(D234=C206,2,1)</f>
        <v>9</v>
      </c>
      <c r="T234" s="124" t="str">
        <f>IF(G206="","",L234)</f>
        <v/>
      </c>
      <c r="U234" s="91"/>
      <c r="V234" s="157" t="str">
        <f>IF(AND(G206&lt;&gt;"",E234&lt;&gt;"",L234&lt;&gt;""),TRUE,IF(AND(G206&lt;&gt;"",E234&lt;&gt;"",L234="",X234=FALSE),CONST_ErrorOrMissing&amp;C206,CONST_NA))</f>
        <v>n.a.</v>
      </c>
      <c r="W234" s="104"/>
      <c r="X234" s="102" t="b">
        <f>IF(G206="",FALSE,OR(L224,E234=""))</f>
        <v>0</v>
      </c>
    </row>
    <row r="235" spans="1:24" s="144" customFormat="1" ht="12.75" customHeight="1" x14ac:dyDescent="0.35">
      <c r="A235" s="91"/>
      <c r="B235" s="93"/>
      <c r="C235" s="93"/>
      <c r="D235" s="173">
        <v>9</v>
      </c>
      <c r="E235" s="184" t="str">
        <f t="shared" si="14"/>
        <v/>
      </c>
      <c r="F235" s="185"/>
      <c r="G235" s="185"/>
      <c r="H235" s="185"/>
      <c r="I235" s="185"/>
      <c r="J235" s="186"/>
      <c r="K235" s="163" t="str">
        <f t="shared" si="15"/>
        <v/>
      </c>
      <c r="L235" s="31"/>
      <c r="N235" s="93"/>
      <c r="O235" s="902"/>
      <c r="Q235" s="93"/>
      <c r="R235" s="102" t="str">
        <f>CONST_PrecursorToGoodInput&amp;G206 &amp;"_"&amp;E235</f>
        <v>PrecToGood__</v>
      </c>
      <c r="S235" s="105">
        <f>MAX(S226:S234)+IF(D235=C206,2,1)</f>
        <v>10</v>
      </c>
      <c r="T235" s="124" t="str">
        <f>IF(G206="","",L235)</f>
        <v/>
      </c>
      <c r="U235" s="91"/>
      <c r="V235" s="157" t="str">
        <f>IF(AND(G206&lt;&gt;"",E235&lt;&gt;"",L235&lt;&gt;""),TRUE,IF(AND(G206&lt;&gt;"",E235&lt;&gt;"",L235="",X235=FALSE),CONST_ErrorOrMissing&amp;C206,CONST_NA))</f>
        <v>n.a.</v>
      </c>
      <c r="W235" s="104"/>
      <c r="X235" s="102" t="b">
        <f>IF(G206="",FALSE,OR(L224,E235=""))</f>
        <v>0</v>
      </c>
    </row>
    <row r="236" spans="1:24" s="144" customFormat="1" ht="12.75" customHeight="1" x14ac:dyDescent="0.35">
      <c r="A236" s="91"/>
      <c r="B236" s="93"/>
      <c r="C236" s="93"/>
      <c r="D236" s="168" t="s">
        <v>377</v>
      </c>
      <c r="E236" s="167" t="str">
        <f>Translations!$B$252</f>
        <v>Consumed for non-CBAM goods within the installation:</v>
      </c>
      <c r="F236" s="167"/>
      <c r="G236" s="167"/>
      <c r="H236" s="167"/>
      <c r="I236" s="167"/>
      <c r="J236" s="167"/>
      <c r="K236" s="297" t="str">
        <f t="shared" si="15"/>
        <v/>
      </c>
      <c r="L236" s="298"/>
      <c r="N236" s="93"/>
      <c r="O236" s="902"/>
      <c r="Q236" s="93"/>
      <c r="R236" s="91"/>
      <c r="S236" s="91"/>
      <c r="T236" s="712"/>
      <c r="U236" s="91"/>
      <c r="V236" s="157" t="str">
        <f>IF(AND(G206&lt;&gt;"",L236&lt;&gt;""),TRUE,IF(AND(G206&lt;&gt;"",L236="",X236=FALSE),CONST_ErrorOrMissing&amp;C206,CONST_NA))</f>
        <v>n.a.</v>
      </c>
      <c r="W236" s="104" t="s">
        <v>34</v>
      </c>
      <c r="X236" s="102" t="b">
        <f>IF(G206="",FALSE,L224)</f>
        <v>0</v>
      </c>
    </row>
    <row r="237" spans="1:24" s="144" customFormat="1" ht="12.75" customHeight="1" x14ac:dyDescent="0.35">
      <c r="A237" s="91"/>
      <c r="B237" s="93"/>
      <c r="C237" s="93"/>
      <c r="D237" s="168" t="s">
        <v>411</v>
      </c>
      <c r="E237" s="138" t="str">
        <f>Translations!$B$253</f>
        <v>Control:</v>
      </c>
      <c r="F237" s="170"/>
      <c r="G237" s="170"/>
      <c r="H237" s="170"/>
      <c r="I237" s="170"/>
      <c r="J237" s="170"/>
      <c r="K237" s="169" t="str">
        <f t="shared" si="15"/>
        <v/>
      </c>
      <c r="L237" s="118" t="str">
        <f>IF(G206="","",SUM(L219)-SUM(L222,L227:L236))</f>
        <v/>
      </c>
      <c r="N237" s="93"/>
      <c r="O237" s="902"/>
      <c r="Q237" s="93"/>
      <c r="R237" s="91"/>
      <c r="S237" s="91"/>
      <c r="T237" s="712"/>
      <c r="U237" s="91"/>
      <c r="V237" s="157" t="str">
        <f>IF(AND(G206&lt;&gt;"",L237=0),TRUE,IF(AND(G206&lt;&gt;"",L237&lt;&gt;0,X237=FALSE),CONST_ErrorOrMissing&amp;C206,CONST_NA))</f>
        <v>n.a.</v>
      </c>
      <c r="W237" s="104"/>
      <c r="X237" s="102" t="b">
        <f>IF(G206="",FALSE,L224)</f>
        <v>0</v>
      </c>
    </row>
    <row r="238" spans="1:24" s="144" customFormat="1" ht="12.75" customHeight="1" thickBot="1" x14ac:dyDescent="0.4">
      <c r="A238" s="91"/>
      <c r="B238" s="93"/>
      <c r="C238" s="93"/>
      <c r="D238" s="93"/>
      <c r="E238" s="93"/>
      <c r="F238" s="93"/>
      <c r="G238" s="93"/>
      <c r="H238" s="93"/>
      <c r="I238" s="93"/>
      <c r="J238" s="93"/>
      <c r="K238" s="93"/>
      <c r="L238" s="93"/>
      <c r="M238" s="93"/>
      <c r="N238" s="93"/>
      <c r="O238" s="901"/>
      <c r="Q238" s="93"/>
      <c r="R238" s="91"/>
      <c r="S238" s="91"/>
      <c r="T238" s="712"/>
      <c r="U238" s="91"/>
      <c r="V238" s="91"/>
      <c r="W238" s="104"/>
      <c r="X238" s="91"/>
    </row>
    <row r="239" spans="1:24" ht="12.75" customHeight="1" x14ac:dyDescent="0.35">
      <c r="C239" s="187"/>
      <c r="D239" s="188"/>
      <c r="E239" s="189"/>
      <c r="F239" s="190"/>
      <c r="G239" s="190"/>
      <c r="H239" s="190"/>
      <c r="I239" s="190"/>
      <c r="J239" s="190"/>
      <c r="K239" s="190"/>
      <c r="L239" s="190"/>
      <c r="M239" s="190"/>
      <c r="N239" s="191"/>
      <c r="O239" s="901"/>
      <c r="P239" s="144"/>
      <c r="T239" s="712"/>
    </row>
    <row r="240" spans="1:24" ht="15" customHeight="1" x14ac:dyDescent="0.35">
      <c r="C240" s="192"/>
      <c r="D240" s="193" t="str">
        <f>Translations!$B$254</f>
        <v>Calculation of the attributed emissions:</v>
      </c>
      <c r="E240" s="194"/>
      <c r="F240" s="195"/>
      <c r="G240" s="195"/>
      <c r="H240" s="195"/>
      <c r="I240" s="195"/>
      <c r="J240" s="1310" t="str">
        <f>IF(G206="","",G206)</f>
        <v/>
      </c>
      <c r="K240" s="1310"/>
      <c r="L240" s="1310"/>
      <c r="M240" s="1310"/>
      <c r="N240" s="196"/>
      <c r="O240" s="901"/>
      <c r="P240" s="144"/>
      <c r="T240" s="712"/>
    </row>
    <row r="241" spans="3:24" ht="5.15" customHeight="1" x14ac:dyDescent="0.35">
      <c r="C241" s="192"/>
      <c r="D241" s="197"/>
      <c r="E241" s="198"/>
      <c r="F241" s="195"/>
      <c r="G241" s="195"/>
      <c r="H241" s="195"/>
      <c r="I241" s="195"/>
      <c r="J241" s="195"/>
      <c r="K241" s="195"/>
      <c r="L241" s="195"/>
      <c r="M241" s="195"/>
      <c r="N241" s="196"/>
      <c r="O241" s="901"/>
      <c r="P241" s="144"/>
      <c r="T241" s="712"/>
    </row>
    <row r="242" spans="3:24" ht="12.75" customHeight="1" x14ac:dyDescent="0.35">
      <c r="C242" s="192"/>
      <c r="D242" s="199"/>
      <c r="E242" s="1311" t="str">
        <f ca="1">HYPERLINK("#"&amp;ADDRESS(MATCH($S242,G_FurtherGuidance!$S:$S,0),3,,,G_FurtherGuidance!$U$2),CONST_LinkToGuidanceSheet)</f>
        <v>Please click on this link for further guidance on how to complete this section.</v>
      </c>
      <c r="F242" s="1312"/>
      <c r="G242" s="1312"/>
      <c r="H242" s="1312"/>
      <c r="I242" s="1312"/>
      <c r="J242" s="1312"/>
      <c r="K242" s="1312"/>
      <c r="L242" s="1312"/>
      <c r="M242" s="1312"/>
      <c r="N242" s="202"/>
      <c r="O242" s="901"/>
      <c r="P242" s="144"/>
      <c r="R242" s="104" t="s">
        <v>2771</v>
      </c>
      <c r="S242" s="105">
        <v>3</v>
      </c>
      <c r="T242" s="712"/>
    </row>
    <row r="243" spans="3:24" ht="5.15" customHeight="1" x14ac:dyDescent="0.35">
      <c r="C243" s="192"/>
      <c r="D243" s="197"/>
      <c r="E243" s="198"/>
      <c r="F243" s="195"/>
      <c r="G243" s="195"/>
      <c r="H243" s="195"/>
      <c r="I243" s="195"/>
      <c r="J243" s="198"/>
      <c r="K243" s="195"/>
      <c r="L243" s="195"/>
      <c r="M243" s="195"/>
      <c r="N243" s="196"/>
      <c r="O243" s="901"/>
      <c r="P243" s="144"/>
      <c r="T243" s="712"/>
      <c r="X243" s="104"/>
    </row>
    <row r="244" spans="3:24" ht="25" customHeight="1" x14ac:dyDescent="0.3">
      <c r="C244" s="192"/>
      <c r="D244" s="197"/>
      <c r="E244" s="198"/>
      <c r="F244" s="195"/>
      <c r="G244" s="195"/>
      <c r="H244" s="195"/>
      <c r="I244" s="195"/>
      <c r="J244" s="195"/>
      <c r="K244" s="203" t="str">
        <f>Translations!$B$255</f>
        <v>Measurable heat</v>
      </c>
      <c r="L244" s="203" t="str">
        <f>Translations!$B$256</f>
        <v>Waste gases</v>
      </c>
      <c r="M244" s="203" t="str">
        <f>Translations!$B$257</f>
        <v>Indirect emissions</v>
      </c>
      <c r="N244" s="196"/>
      <c r="O244" s="901"/>
      <c r="P244" s="144"/>
      <c r="T244" s="712"/>
      <c r="X244" s="104"/>
    </row>
    <row r="245" spans="3:24" ht="12.75" customHeight="1" x14ac:dyDescent="0.35">
      <c r="C245" s="192"/>
      <c r="D245" s="199" t="s">
        <v>412</v>
      </c>
      <c r="E245" s="200" t="str">
        <f>Translations!$B$258</f>
        <v>Please select which elements are applicable</v>
      </c>
      <c r="F245" s="201"/>
      <c r="G245" s="201"/>
      <c r="H245" s="201"/>
      <c r="I245" s="201"/>
      <c r="J245" s="201"/>
      <c r="K245" s="120"/>
      <c r="L245" s="120"/>
      <c r="M245" s="169" t="str">
        <f>IF(L206="","",INDEX(CONST_LIST_GoodsIndRel,MATCH(L206,CONST_LIST_Goods,0)))</f>
        <v/>
      </c>
      <c r="N245" s="196"/>
      <c r="O245" s="902"/>
      <c r="P245" s="144"/>
      <c r="T245" s="712"/>
      <c r="V245" s="157" t="str">
        <f>IF(AND(L206&lt;&gt;"",X245=FALSE),IF(COUNTA(K245:L245)=2,TRUE,CONST_ErrorOrMissing&amp;C206),CONST_NA)</f>
        <v>n.a.</v>
      </c>
      <c r="X245" s="104"/>
    </row>
    <row r="246" spans="3:24" ht="12.75" customHeight="1" x14ac:dyDescent="0.35">
      <c r="C246" s="192"/>
      <c r="D246" s="204"/>
      <c r="E246" s="401" t="str">
        <f>Translations!$B$259</f>
        <v>Based on your selection, related sections below might become irrelevant and greyed out below.</v>
      </c>
      <c r="F246" s="195"/>
      <c r="G246" s="195"/>
      <c r="H246" s="195"/>
      <c r="I246" s="195"/>
      <c r="J246" s="195"/>
      <c r="K246" s="198"/>
      <c r="L246" s="195"/>
      <c r="M246" s="195"/>
      <c r="N246" s="196"/>
      <c r="O246" s="901"/>
      <c r="P246" s="144"/>
      <c r="T246" s="712"/>
      <c r="X246" s="104"/>
    </row>
    <row r="247" spans="3:24" ht="5.15" customHeight="1" x14ac:dyDescent="0.35">
      <c r="C247" s="192"/>
      <c r="D247" s="204"/>
      <c r="E247" s="198"/>
      <c r="F247" s="195"/>
      <c r="G247" s="195"/>
      <c r="H247" s="195"/>
      <c r="I247" s="195"/>
      <c r="J247" s="195"/>
      <c r="K247" s="198"/>
      <c r="L247" s="195"/>
      <c r="M247" s="195"/>
      <c r="N247" s="196"/>
      <c r="O247" s="901"/>
      <c r="P247" s="144"/>
      <c r="T247" s="712"/>
      <c r="X247" s="104"/>
    </row>
    <row r="248" spans="3:24" ht="12.75" customHeight="1" x14ac:dyDescent="0.35">
      <c r="C248" s="192"/>
      <c r="D248" s="204"/>
      <c r="E248" s="198"/>
      <c r="F248" s="195"/>
      <c r="G248" s="195"/>
      <c r="H248" s="195"/>
      <c r="I248" s="195"/>
      <c r="J248" s="195"/>
      <c r="K248" s="199" t="str">
        <f>Translations!$B$221</f>
        <v>Unit</v>
      </c>
      <c r="L248" s="199" t="str">
        <f>Translations!$B$260</f>
        <v>Value</v>
      </c>
      <c r="M248" s="195"/>
      <c r="N248" s="196"/>
      <c r="O248" s="901"/>
      <c r="P248" s="144"/>
      <c r="T248" s="712"/>
      <c r="X248" s="104"/>
    </row>
    <row r="249" spans="3:24" ht="12.75" customHeight="1" x14ac:dyDescent="0.35">
      <c r="C249" s="192"/>
      <c r="D249" s="199" t="s">
        <v>413</v>
      </c>
      <c r="E249" s="200" t="str">
        <f>Translations!$B$261</f>
        <v>Directly attributable emissions (DirEm*)</v>
      </c>
      <c r="F249" s="201"/>
      <c r="G249" s="201"/>
      <c r="H249" s="201"/>
      <c r="I249" s="201"/>
      <c r="J249" s="201"/>
      <c r="K249" s="205" t="str">
        <f>CONST_tCO2eq</f>
        <v>tCO2e</v>
      </c>
      <c r="L249" s="213"/>
      <c r="M249" s="195"/>
      <c r="N249" s="196"/>
      <c r="O249" s="902"/>
      <c r="P249" s="144"/>
      <c r="R249" s="102" t="str">
        <f>CONST_EmDir&amp;G206</f>
        <v>EmDir_</v>
      </c>
      <c r="S249" s="102" t="str">
        <f>CONST_CNTR_EmbedEmDir&amp;G206</f>
        <v>EmbedEmDir_</v>
      </c>
      <c r="T249" s="124" t="str">
        <f>IF(G206="","",L249)</f>
        <v/>
      </c>
      <c r="V249" s="157" t="str">
        <f>IF(L206&lt;&gt;"",IF(L249&lt;&gt;"",TRUE,CONST_ErrorOrMissing&amp;C206),CONST_NA)</f>
        <v>n.a.</v>
      </c>
      <c r="X249" s="104"/>
    </row>
    <row r="250" spans="3:24" ht="5.15" customHeight="1" x14ac:dyDescent="0.35">
      <c r="C250" s="192"/>
      <c r="D250" s="204"/>
      <c r="E250" s="198"/>
      <c r="F250" s="195"/>
      <c r="G250" s="195"/>
      <c r="H250" s="195"/>
      <c r="I250" s="195"/>
      <c r="J250" s="195"/>
      <c r="K250" s="195"/>
      <c r="L250" s="199"/>
      <c r="M250" s="199"/>
      <c r="N250" s="196"/>
      <c r="O250" s="901"/>
      <c r="P250" s="144"/>
      <c r="T250" s="712"/>
    </row>
    <row r="251" spans="3:24" ht="12.75" customHeight="1" x14ac:dyDescent="0.35">
      <c r="C251" s="192"/>
      <c r="D251" s="199" t="s">
        <v>414</v>
      </c>
      <c r="E251" s="198" t="str">
        <f>Translations!$B$262</f>
        <v>Import and export of measurable heat</v>
      </c>
      <c r="F251" s="195"/>
      <c r="G251" s="195"/>
      <c r="H251" s="195"/>
      <c r="I251" s="195"/>
      <c r="J251" s="195"/>
      <c r="K251" s="199" t="str">
        <f>Translations!$B$221</f>
        <v>Unit</v>
      </c>
      <c r="L251" s="199" t="str">
        <f>Translations!$B$263</f>
        <v>Imported</v>
      </c>
      <c r="M251" s="199" t="str">
        <f>Translations!$B$264</f>
        <v>Exported</v>
      </c>
      <c r="N251" s="196"/>
      <c r="O251" s="901"/>
      <c r="P251" s="144"/>
      <c r="T251" s="712"/>
      <c r="W251" s="104" t="s">
        <v>34</v>
      </c>
      <c r="X251" s="102" t="b">
        <f>AND(K245&lt;&gt;"",K245=FALSE)</f>
        <v>0</v>
      </c>
    </row>
    <row r="252" spans="3:24" ht="12.75" customHeight="1" x14ac:dyDescent="0.35">
      <c r="C252" s="192"/>
      <c r="D252" s="197" t="s">
        <v>41</v>
      </c>
      <c r="E252" s="201" t="str">
        <f>Translations!$B$265</f>
        <v>Amount of net measurable heat</v>
      </c>
      <c r="F252" s="201"/>
      <c r="G252" s="201"/>
      <c r="H252" s="201"/>
      <c r="I252" s="201"/>
      <c r="J252" s="201"/>
      <c r="K252" s="205" t="s">
        <v>118</v>
      </c>
      <c r="L252" s="213"/>
      <c r="M252" s="213"/>
      <c r="N252" s="196"/>
      <c r="O252" s="902"/>
      <c r="P252" s="144"/>
      <c r="T252" s="712"/>
      <c r="V252" s="157" t="str">
        <f>IF(AND(L206&lt;&gt;"",X252=FALSE),IF(COUNTA(L252:M252)=2,TRUE,CONST_ErrorOrMissing&amp;C206),CONST_NA)</f>
        <v>n.a.</v>
      </c>
      <c r="X252" s="102" t="b">
        <f>X251</f>
        <v>0</v>
      </c>
    </row>
    <row r="253" spans="3:24" ht="12.75" customHeight="1" x14ac:dyDescent="0.35">
      <c r="C253" s="192"/>
      <c r="D253" s="197" t="s">
        <v>42</v>
      </c>
      <c r="E253" s="201" t="str">
        <f>Translations!$B$266</f>
        <v>Emissions factor</v>
      </c>
      <c r="F253" s="201"/>
      <c r="G253" s="201"/>
      <c r="H253" s="201"/>
      <c r="I253" s="201"/>
      <c r="J253" s="201"/>
      <c r="K253" s="205" t="str">
        <f>CONST_tCO2pTJ</f>
        <v>tCO2/TJ</v>
      </c>
      <c r="L253" s="214"/>
      <c r="M253" s="214"/>
      <c r="N253" s="196"/>
      <c r="O253" s="902"/>
      <c r="P253" s="144"/>
      <c r="R253" s="102" t="str">
        <f>CONST_EmDirHeat&amp;G206</f>
        <v>EmDirHeat_</v>
      </c>
      <c r="S253" s="102" t="str">
        <f>CONST_CNTR_EmbedEmDir&amp;G206</f>
        <v>EmbedEmDir_</v>
      </c>
      <c r="T253" s="124" t="str">
        <f>IF(G206="","",SUM(L252*L253-M252*M253))</f>
        <v/>
      </c>
      <c r="V253" s="157" t="str">
        <f>IF(AND(L206&lt;&gt;"",X253=FALSE),IF(COUNTA(L253:M253)=2,TRUE,CONST_ErrorOrMissing&amp;C206),CONST_NA)</f>
        <v>n.a.</v>
      </c>
      <c r="X253" s="102" t="b">
        <f>X252</f>
        <v>0</v>
      </c>
    </row>
    <row r="254" spans="3:24" ht="5.15" customHeight="1" x14ac:dyDescent="0.35">
      <c r="C254" s="192"/>
      <c r="D254" s="204"/>
      <c r="E254" s="198"/>
      <c r="F254" s="195"/>
      <c r="G254" s="195"/>
      <c r="H254" s="195"/>
      <c r="I254" s="195"/>
      <c r="J254" s="195"/>
      <c r="K254" s="195"/>
      <c r="L254" s="199"/>
      <c r="M254" s="199"/>
      <c r="N254" s="196"/>
      <c r="O254" s="901"/>
      <c r="P254" s="144"/>
      <c r="T254" s="712"/>
    </row>
    <row r="255" spans="3:24" ht="12.75" customHeight="1" x14ac:dyDescent="0.35">
      <c r="C255" s="192"/>
      <c r="D255" s="199" t="s">
        <v>415</v>
      </c>
      <c r="E255" s="198" t="str">
        <f>Translations!$B$256</f>
        <v>Waste gases</v>
      </c>
      <c r="F255" s="195"/>
      <c r="G255" s="195"/>
      <c r="H255" s="195"/>
      <c r="I255" s="195"/>
      <c r="J255" s="195"/>
      <c r="K255" s="199" t="str">
        <f>Translations!$B$221</f>
        <v>Unit</v>
      </c>
      <c r="L255" s="199" t="str">
        <f>Translations!$B$263</f>
        <v>Imported</v>
      </c>
      <c r="M255" s="199" t="str">
        <f>Translations!$B$264</f>
        <v>Exported</v>
      </c>
      <c r="N255" s="196"/>
      <c r="O255" s="901"/>
      <c r="P255" s="144"/>
      <c r="T255" s="712"/>
      <c r="W255" s="104" t="s">
        <v>34</v>
      </c>
      <c r="X255" s="102" t="b">
        <f>AND(L245&lt;&gt;"",L245=FALSE)</f>
        <v>0</v>
      </c>
    </row>
    <row r="256" spans="3:24" ht="12.75" customHeight="1" x14ac:dyDescent="0.35">
      <c r="C256" s="192"/>
      <c r="D256" s="197" t="s">
        <v>41</v>
      </c>
      <c r="E256" s="201" t="str">
        <f>Translations!$B$267</f>
        <v>Amount of waste gas</v>
      </c>
      <c r="F256" s="201"/>
      <c r="G256" s="201"/>
      <c r="H256" s="201"/>
      <c r="I256" s="201"/>
      <c r="J256" s="201"/>
      <c r="K256" s="205" t="str">
        <f>CONST_TJ</f>
        <v>TJ</v>
      </c>
      <c r="L256" s="213"/>
      <c r="M256" s="213"/>
      <c r="N256" s="196"/>
      <c r="O256" s="902"/>
      <c r="P256" s="144"/>
      <c r="T256" s="712"/>
      <c r="V256" s="157" t="str">
        <f>IF(AND(L206&lt;&gt;"",X256=FALSE),IF(COUNTA(L256:M256)=2,TRUE,CONST_ErrorOrMissing&amp;C206),CONST_NA)</f>
        <v>n.a.</v>
      </c>
      <c r="X256" s="102" t="b">
        <f>X255</f>
        <v>0</v>
      </c>
    </row>
    <row r="257" spans="1:24" ht="12.75" customHeight="1" x14ac:dyDescent="0.35">
      <c r="C257" s="192"/>
      <c r="D257" s="197" t="s">
        <v>42</v>
      </c>
      <c r="E257" s="201" t="str">
        <f>Translations!$B$268</f>
        <v>Emission factor</v>
      </c>
      <c r="F257" s="201"/>
      <c r="G257" s="201"/>
      <c r="H257" s="201"/>
      <c r="I257" s="201"/>
      <c r="J257" s="201"/>
      <c r="K257" s="205" t="str">
        <f>CONST_tCO2pTJ</f>
        <v>tCO2/TJ</v>
      </c>
      <c r="L257" s="300"/>
      <c r="M257" s="300"/>
      <c r="N257" s="196"/>
      <c r="O257" s="901"/>
      <c r="P257" s="144"/>
      <c r="R257" s="102" t="str">
        <f>CONST_EmDirWasteGases&amp;G206</f>
        <v>EmDirWG_</v>
      </c>
      <c r="S257" s="102" t="str">
        <f>CONST_CNTR_EmbedEmDir&amp;G206</f>
        <v>EmbedEmDir_</v>
      </c>
      <c r="T257" s="124" t="str">
        <f>IF(G206="","",SUM(L256*CONST_EFNatGas-M256*CONST_EFNatGas*0.667))</f>
        <v/>
      </c>
      <c r="X257" s="102" t="b">
        <f>X256</f>
        <v>0</v>
      </c>
    </row>
    <row r="258" spans="1:24" ht="5.15" customHeight="1" x14ac:dyDescent="0.35">
      <c r="C258" s="192"/>
      <c r="D258" s="204"/>
      <c r="E258" s="198"/>
      <c r="F258" s="195"/>
      <c r="G258" s="195"/>
      <c r="H258" s="195"/>
      <c r="I258" s="195"/>
      <c r="J258" s="195"/>
      <c r="K258" s="195"/>
      <c r="L258" s="195"/>
      <c r="M258" s="195"/>
      <c r="N258" s="196"/>
      <c r="O258" s="901"/>
      <c r="P258" s="144"/>
      <c r="T258" s="712"/>
    </row>
    <row r="259" spans="1:24" ht="12.75" customHeight="1" x14ac:dyDescent="0.35">
      <c r="C259" s="192"/>
      <c r="D259" s="199" t="s">
        <v>416</v>
      </c>
      <c r="E259" s="198" t="str">
        <f>Translations!$B$269</f>
        <v>Indirect emissions from electricity consumption</v>
      </c>
      <c r="F259" s="195"/>
      <c r="G259" s="195"/>
      <c r="H259" s="195"/>
      <c r="I259" s="195"/>
      <c r="J259" s="195"/>
      <c r="K259" s="199" t="str">
        <f>Translations!$B$221</f>
        <v>Unit</v>
      </c>
      <c r="L259" s="199" t="str">
        <f>Translations!$B$260</f>
        <v>Value</v>
      </c>
      <c r="M259" s="195"/>
      <c r="N259" s="196"/>
      <c r="O259" s="901"/>
      <c r="P259" s="144"/>
      <c r="T259" s="712"/>
      <c r="W259" s="104" t="s">
        <v>34</v>
      </c>
      <c r="X259" s="102" t="b">
        <f>M245=FALSE</f>
        <v>0</v>
      </c>
    </row>
    <row r="260" spans="1:24" ht="12.75" customHeight="1" x14ac:dyDescent="0.35">
      <c r="C260" s="192"/>
      <c r="D260" s="197" t="s">
        <v>41</v>
      </c>
      <c r="E260" s="201" t="str">
        <f>Translations!$B$270</f>
        <v>Electricity consumption</v>
      </c>
      <c r="F260" s="201"/>
      <c r="G260" s="201"/>
      <c r="H260" s="201"/>
      <c r="I260" s="201"/>
      <c r="J260" s="201"/>
      <c r="K260" s="205" t="str">
        <f>CONST_MWh</f>
        <v>MWh</v>
      </c>
      <c r="L260" s="213"/>
      <c r="M260" s="195"/>
      <c r="N260" s="196"/>
      <c r="O260" s="902"/>
      <c r="P260" s="144"/>
      <c r="R260" s="102" t="str">
        <f>CONST_ElecConsumption&amp;G206</f>
        <v>ElecCons_</v>
      </c>
      <c r="T260" s="124" t="str">
        <f>IF(G206="","",L260)</f>
        <v/>
      </c>
      <c r="V260" s="157" t="str">
        <f>IF(AND(L206&lt;&gt;"",X260=FALSE),IF(L260&lt;&gt;"",TRUE,CONST_ErrorOrMissing&amp;C206),CONST_NA)</f>
        <v>n.a.</v>
      </c>
      <c r="X260" s="102" t="b">
        <f>X259</f>
        <v>0</v>
      </c>
    </row>
    <row r="261" spans="1:24" ht="12.75" customHeight="1" x14ac:dyDescent="0.35">
      <c r="C261" s="192"/>
      <c r="D261" s="197" t="s">
        <v>42</v>
      </c>
      <c r="E261" s="201" t="str">
        <f>Translations!$B$271</f>
        <v>Emission factor of the electricity</v>
      </c>
      <c r="F261" s="201"/>
      <c r="G261" s="201"/>
      <c r="H261" s="201"/>
      <c r="I261" s="201"/>
      <c r="J261" s="201"/>
      <c r="K261" s="205" t="str">
        <f>CONST_tCO2&amp;"/"&amp;CONST_MWh</f>
        <v>tCO2/MWh</v>
      </c>
      <c r="L261" s="215"/>
      <c r="M261" s="195"/>
      <c r="N261" s="196"/>
      <c r="O261" s="902"/>
      <c r="P261" s="144"/>
      <c r="S261" s="102" t="str">
        <f>CONST_CNTR_EmbedEmInDir&amp;G206</f>
        <v>EmbedEmInDir_</v>
      </c>
      <c r="T261" s="124" t="str">
        <f>IF(G206="","",SUM(L260)*SUM(L261))</f>
        <v/>
      </c>
      <c r="V261" s="157" t="str">
        <f>IF(AND(L206&lt;&gt;"",X261=FALSE),IF(L261&lt;&gt;"",TRUE,CONST_ErrorOrMissing&amp;C206),CONST_NA)</f>
        <v>n.a.</v>
      </c>
      <c r="X261" s="102" t="b">
        <f>X260</f>
        <v>0</v>
      </c>
    </row>
    <row r="262" spans="1:24" ht="12.75" customHeight="1" x14ac:dyDescent="0.35">
      <c r="C262" s="192"/>
      <c r="D262" s="197" t="s">
        <v>43</v>
      </c>
      <c r="E262" s="201" t="str">
        <f>Translations!$B$272</f>
        <v>Source of the emission factor</v>
      </c>
      <c r="F262" s="201"/>
      <c r="G262" s="201"/>
      <c r="H262" s="201"/>
      <c r="I262" s="201"/>
      <c r="J262" s="201"/>
      <c r="K262" s="299" t="s">
        <v>206</v>
      </c>
      <c r="L262" s="215"/>
      <c r="M262" s="195"/>
      <c r="N262" s="196"/>
      <c r="O262" s="902"/>
      <c r="P262" s="144"/>
      <c r="R262" s="102" t="str">
        <f>CONST_CNTR_ElecEFMethod&amp;G206</f>
        <v>ElecEFMeth_</v>
      </c>
      <c r="T262" s="714" t="str">
        <f>IF(L262="","",L262)</f>
        <v/>
      </c>
      <c r="V262" s="157" t="str">
        <f>IF(AND(L206&lt;&gt;"",X262=FALSE),IF(L262&lt;&gt;"",TRUE,CONST_ErrorOrMissing&amp;C206),CONST_NA)</f>
        <v>n.a.</v>
      </c>
      <c r="X262" s="102" t="b">
        <f>X261</f>
        <v>0</v>
      </c>
    </row>
    <row r="263" spans="1:24" ht="5.15" customHeight="1" x14ac:dyDescent="0.35">
      <c r="C263" s="192"/>
      <c r="D263" s="204"/>
      <c r="E263" s="198"/>
      <c r="F263" s="195"/>
      <c r="G263" s="195"/>
      <c r="H263" s="195"/>
      <c r="I263" s="195"/>
      <c r="J263" s="195"/>
      <c r="K263" s="195"/>
      <c r="L263" s="195"/>
      <c r="M263" s="195"/>
      <c r="N263" s="196"/>
      <c r="O263" s="901"/>
      <c r="P263" s="144"/>
      <c r="T263" s="712"/>
    </row>
    <row r="264" spans="1:24" ht="12.75" customHeight="1" x14ac:dyDescent="0.35">
      <c r="C264" s="192"/>
      <c r="D264" s="204"/>
      <c r="E264" s="198"/>
      <c r="F264" s="195"/>
      <c r="G264" s="195"/>
      <c r="H264" s="195"/>
      <c r="I264" s="195"/>
      <c r="J264" s="195"/>
      <c r="K264" s="195"/>
      <c r="L264" s="195"/>
      <c r="M264" s="195"/>
      <c r="N264" s="196"/>
      <c r="O264" s="901"/>
      <c r="P264" s="144"/>
      <c r="T264" s="712"/>
      <c r="X264" s="171"/>
    </row>
    <row r="265" spans="1:24" ht="12.75" customHeight="1" x14ac:dyDescent="0.35">
      <c r="C265" s="192"/>
      <c r="D265" s="199" t="s">
        <v>417</v>
      </c>
      <c r="E265" s="198" t="str">
        <f>Translations!$B$273</f>
        <v>Electricity exported from the production process</v>
      </c>
      <c r="F265" s="195"/>
      <c r="G265" s="195"/>
      <c r="H265" s="195"/>
      <c r="I265" s="195"/>
      <c r="J265" s="195"/>
      <c r="K265" s="199" t="str">
        <f>Translations!$B$221</f>
        <v>Unit</v>
      </c>
      <c r="L265" s="199" t="str">
        <f>Translations!$B$260</f>
        <v>Value</v>
      </c>
      <c r="M265" s="195"/>
      <c r="N265" s="196"/>
      <c r="O265" s="901"/>
      <c r="P265" s="144"/>
      <c r="T265" s="712"/>
      <c r="X265" s="171"/>
    </row>
    <row r="266" spans="1:24" ht="12.75" customHeight="1" x14ac:dyDescent="0.35">
      <c r="C266" s="192"/>
      <c r="D266" s="197" t="s">
        <v>41</v>
      </c>
      <c r="E266" s="201" t="str">
        <f>Translations!$B$274</f>
        <v>Amounts exported</v>
      </c>
      <c r="F266" s="201"/>
      <c r="G266" s="201"/>
      <c r="H266" s="201"/>
      <c r="I266" s="201"/>
      <c r="J266" s="201"/>
      <c r="K266" s="205" t="s">
        <v>51</v>
      </c>
      <c r="L266" s="213"/>
      <c r="M266" s="195"/>
      <c r="N266" s="196"/>
      <c r="O266" s="902"/>
      <c r="P266" s="144"/>
      <c r="T266" s="712"/>
      <c r="V266" s="157" t="str">
        <f>IF(L206&lt;&gt;"",IF(L266&lt;&gt;"",TRUE,CONST_ErrorOrMissing&amp;C206),CONST_NA)</f>
        <v>n.a.</v>
      </c>
      <c r="X266" s="171"/>
    </row>
    <row r="267" spans="1:24" ht="12.75" customHeight="1" x14ac:dyDescent="0.35">
      <c r="C267" s="192"/>
      <c r="D267" s="197" t="s">
        <v>42</v>
      </c>
      <c r="E267" s="201" t="str">
        <f>Translations!$B$271</f>
        <v>Emission factor of the electricity</v>
      </c>
      <c r="F267" s="201"/>
      <c r="G267" s="201"/>
      <c r="H267" s="201"/>
      <c r="I267" s="201"/>
      <c r="J267" s="201"/>
      <c r="K267" s="205" t="str">
        <f>CONST_tCO2&amp;"/"&amp;CONST_MWh</f>
        <v>tCO2/MWh</v>
      </c>
      <c r="L267" s="215"/>
      <c r="M267" s="195"/>
      <c r="N267" s="196"/>
      <c r="O267" s="902"/>
      <c r="P267" s="144"/>
      <c r="S267" s="102" t="str">
        <f>CONST_CNTR_EmbedEmDir&amp;G206</f>
        <v>EmbedEmDir_</v>
      </c>
      <c r="T267" s="124" t="str">
        <f>IF(G206="","",-SUM(L266)*SUM(L267))</f>
        <v/>
      </c>
      <c r="V267" s="157" t="str">
        <f>IF(AND(L206&lt;&gt;"",SUM(L266)&gt;0),IF(L267&lt;&gt;"",TRUE,CONST_ErrorOrMissing&amp;C206),CONST_NA)</f>
        <v>n.a.</v>
      </c>
      <c r="X267" s="171"/>
    </row>
    <row r="268" spans="1:24" s="144" customFormat="1" ht="12.75" customHeight="1" thickBot="1" x14ac:dyDescent="0.4">
      <c r="A268" s="91"/>
      <c r="B268" s="93"/>
      <c r="C268" s="206"/>
      <c r="D268" s="207"/>
      <c r="E268" s="208"/>
      <c r="F268" s="209"/>
      <c r="G268" s="209"/>
      <c r="H268" s="209"/>
      <c r="I268" s="209"/>
      <c r="J268" s="209"/>
      <c r="K268" s="209"/>
      <c r="L268" s="209"/>
      <c r="M268" s="209"/>
      <c r="N268" s="210"/>
      <c r="O268" s="901"/>
      <c r="Q268" s="93"/>
      <c r="R268" s="91"/>
      <c r="S268" s="91"/>
      <c r="T268" s="712"/>
      <c r="U268" s="91"/>
      <c r="V268" s="91"/>
      <c r="W268" s="104"/>
      <c r="X268" s="91"/>
    </row>
    <row r="269" spans="1:24" s="144" customFormat="1" ht="12.75" customHeight="1" thickBot="1" x14ac:dyDescent="0.4">
      <c r="A269" s="91"/>
      <c r="B269" s="93"/>
      <c r="C269" s="93"/>
      <c r="D269" s="93"/>
      <c r="E269" s="93"/>
      <c r="F269" s="93"/>
      <c r="G269" s="93"/>
      <c r="H269" s="93"/>
      <c r="I269" s="93"/>
      <c r="J269" s="93"/>
      <c r="K269" s="93"/>
      <c r="L269" s="93"/>
      <c r="M269" s="93"/>
      <c r="N269" s="93"/>
      <c r="O269" s="901"/>
      <c r="Q269" s="93"/>
      <c r="R269" s="91"/>
      <c r="S269" s="91"/>
      <c r="T269" s="712"/>
      <c r="U269" s="91"/>
      <c r="V269" s="91"/>
      <c r="W269" s="104"/>
      <c r="X269" s="91"/>
    </row>
    <row r="270" spans="1:24" ht="12.75" customHeight="1" thickBot="1" x14ac:dyDescent="0.4">
      <c r="B270" s="145"/>
      <c r="C270" s="145"/>
      <c r="D270" s="145"/>
      <c r="E270" s="145"/>
      <c r="F270" s="145"/>
      <c r="G270" s="145"/>
      <c r="H270" s="145"/>
      <c r="I270" s="145"/>
      <c r="J270" s="145"/>
      <c r="K270" s="145"/>
      <c r="L270" s="145"/>
      <c r="M270" s="145"/>
      <c r="N270" s="145"/>
      <c r="O270" s="903"/>
      <c r="P270" s="144"/>
      <c r="T270" s="712"/>
    </row>
    <row r="271" spans="1:24" ht="18" customHeight="1" thickBot="1" x14ac:dyDescent="0.4">
      <c r="C271" s="147">
        <f>C206+1</f>
        <v>5</v>
      </c>
      <c r="D271" s="148" t="str">
        <f>CONST_ProductionProcess &amp; " " &amp; C271 &amp; ":"</f>
        <v>Production process 5:</v>
      </c>
      <c r="G271" s="1313" t="str">
        <f>IF(INDEX(CNTR_List_ExistProdProcNames,R271)=CONST_NA,"",INDEX(CNTR_List_ExistProdProcNames,R271))</f>
        <v/>
      </c>
      <c r="H271" s="1314"/>
      <c r="I271" s="1314"/>
      <c r="J271" s="1314"/>
      <c r="K271" s="1315"/>
      <c r="L271" s="1316" t="str">
        <f>IF(INDEX(CNTR_List_ExistProdProc,R271)=CONST_NA,"",INDEX(CNTR_List_ExistProdProc,R271))</f>
        <v/>
      </c>
      <c r="M271" s="1317"/>
      <c r="N271" s="1318"/>
      <c r="O271" s="901"/>
      <c r="P271" s="144"/>
      <c r="R271" s="149">
        <f>C271</f>
        <v>5</v>
      </c>
      <c r="T271" s="712"/>
      <c r="W271" s="104" t="s">
        <v>2748</v>
      </c>
      <c r="X271" s="150" t="b">
        <f>AND(CNTR_HasEntriesA,G271="")</f>
        <v>0</v>
      </c>
    </row>
    <row r="272" spans="1:24" ht="5.15" customHeight="1" x14ac:dyDescent="0.35">
      <c r="D272" s="103"/>
      <c r="E272" s="100"/>
      <c r="O272" s="901"/>
      <c r="P272" s="144"/>
      <c r="T272" s="712"/>
    </row>
    <row r="273" spans="1:24" ht="12.75" customHeight="1" x14ac:dyDescent="0.35">
      <c r="D273" s="103"/>
      <c r="E273" s="1290" t="str">
        <f ca="1">HYPERLINK("#"&amp;ADDRESS(MATCH($S273,G_FurtherGuidance!$S:$S,0),3,,,G_FurtherGuidance!$U$2),CONST_LinkToGuidanceSheet)</f>
        <v>Please click on this link for further guidance on how to complete this section.</v>
      </c>
      <c r="F273" s="1319"/>
      <c r="G273" s="1319"/>
      <c r="H273" s="1319"/>
      <c r="I273" s="1319"/>
      <c r="J273" s="1319"/>
      <c r="K273" s="1319"/>
      <c r="L273" s="1319"/>
      <c r="M273" s="1319"/>
      <c r="O273" s="901"/>
      <c r="P273" s="144"/>
      <c r="R273" s="104" t="s">
        <v>2771</v>
      </c>
      <c r="S273" s="105">
        <v>3</v>
      </c>
      <c r="T273" s="712"/>
    </row>
    <row r="274" spans="1:24" ht="5.15" customHeight="1" x14ac:dyDescent="0.35">
      <c r="D274" s="103"/>
      <c r="E274" s="100"/>
      <c r="O274" s="901"/>
      <c r="P274" s="144"/>
      <c r="T274" s="712"/>
    </row>
    <row r="275" spans="1:24" ht="12.75" customHeight="1" x14ac:dyDescent="0.35">
      <c r="D275" s="117" t="s">
        <v>135</v>
      </c>
      <c r="E275" s="100" t="str">
        <f>Translations!$B$243</f>
        <v>Total production levels:</v>
      </c>
      <c r="H275" s="151" t="str">
        <f>Translations!$B$244</f>
        <v>Production route</v>
      </c>
      <c r="J275" s="144"/>
      <c r="K275" s="152" t="str">
        <f>Translations!$B$221</f>
        <v>Unit</v>
      </c>
      <c r="L275" s="152" t="str">
        <f>Translations!$B$245</f>
        <v>Amounts</v>
      </c>
      <c r="O275" s="901"/>
      <c r="P275" s="144"/>
      <c r="T275" s="712"/>
    </row>
    <row r="276" spans="1:24" ht="12.75" customHeight="1" x14ac:dyDescent="0.35">
      <c r="D276" s="173">
        <v>1</v>
      </c>
      <c r="E276" s="153" t="str">
        <f>IF(G271="","",G271) &amp; IF(L271="",""," | " &amp; L271)</f>
        <v/>
      </c>
      <c r="F276" s="153"/>
      <c r="G276" s="153"/>
      <c r="H276" s="154" t="str">
        <f>IF(L271="","",INDEX(CONST_MATRIX_ProductionRoute,MATCH(L271,CONST_LIST_Goods,0),D276))</f>
        <v/>
      </c>
      <c r="I276" s="153"/>
      <c r="J276" s="153"/>
      <c r="K276" s="155" t="str">
        <f>IF(L271="","",INDEX(CONST_LIST_GoodsUnit,MATCH(L271,CONST_LIST_Goods,0)))</f>
        <v/>
      </c>
      <c r="L276" s="29"/>
      <c r="O276" s="902"/>
      <c r="P276" s="144"/>
      <c r="S276" s="105">
        <v>1</v>
      </c>
      <c r="T276" s="713"/>
      <c r="V276" s="157" t="str">
        <f>IF(AND(G271&lt;&gt;"",E276&lt;&gt;"",L276&lt;&gt;""),TRUE,IF(AND(G271&lt;&gt;"",OR(AND(E276&lt;&gt;"",L276=""),AND(E276="",L276&lt;&gt;""))),CONST_ErrorOrMissing&amp;C271,CONST_NA))</f>
        <v>n.a.</v>
      </c>
    </row>
    <row r="277" spans="1:24" ht="12.75" customHeight="1" x14ac:dyDescent="0.35">
      <c r="D277" s="173">
        <v>2</v>
      </c>
      <c r="E277" s="158" t="str">
        <f t="shared" ref="E277:E283" si="16">IF(H277=CONST_NA,"",E276)</f>
        <v/>
      </c>
      <c r="F277" s="158"/>
      <c r="G277" s="158"/>
      <c r="H277" s="159" t="str">
        <f>IF(L271="","",INDEX(CONST_MATRIX_ProductionRoute,MATCH(L271,CONST_LIST_Goods,0),D277))</f>
        <v/>
      </c>
      <c r="I277" s="158"/>
      <c r="J277" s="158"/>
      <c r="K277" s="160" t="str">
        <f t="shared" ref="K277:K283" si="17">IF(H277=CONST_NA,"",K276)</f>
        <v/>
      </c>
      <c r="L277" s="30"/>
      <c r="O277" s="902"/>
      <c r="P277" s="144"/>
      <c r="S277" s="105">
        <v>2</v>
      </c>
      <c r="T277" s="713"/>
      <c r="V277" s="157" t="str">
        <f>IF(AND(G271&lt;&gt;"",E277&lt;&gt;"",L277&lt;&gt;""),TRUE,IF(AND(G271&lt;&gt;"",OR(AND(E277&lt;&gt;"",L277=""),AND(E277="",L277&lt;&gt;""))),CONST_ErrorOrMissing&amp;C271,CONST_NA))</f>
        <v>n.a.</v>
      </c>
    </row>
    <row r="278" spans="1:24" ht="12.75" customHeight="1" x14ac:dyDescent="0.35">
      <c r="D278" s="173">
        <v>3</v>
      </c>
      <c r="E278" s="158" t="str">
        <f t="shared" si="16"/>
        <v/>
      </c>
      <c r="F278" s="158"/>
      <c r="G278" s="158"/>
      <c r="H278" s="159" t="str">
        <f>IF(L271="","",INDEX(CONST_MATRIX_ProductionRoute,MATCH(L271,CONST_LIST_Goods,0),D278))</f>
        <v/>
      </c>
      <c r="I278" s="158"/>
      <c r="J278" s="158"/>
      <c r="K278" s="160" t="str">
        <f t="shared" si="17"/>
        <v/>
      </c>
      <c r="L278" s="30"/>
      <c r="O278" s="902"/>
      <c r="P278" s="144"/>
      <c r="S278" s="105">
        <v>3</v>
      </c>
      <c r="T278" s="713"/>
      <c r="V278" s="157" t="str">
        <f>IF(AND(G271&lt;&gt;"",E278&lt;&gt;"",L278&lt;&gt;""),TRUE,IF(AND(G271&lt;&gt;"",OR(AND(E278&lt;&gt;"",L278=""),AND(E278="",L278&lt;&gt;""))),CONST_ErrorOrMissing&amp;C271,CONST_NA))</f>
        <v>n.a.</v>
      </c>
    </row>
    <row r="279" spans="1:24" ht="12.75" customHeight="1" x14ac:dyDescent="0.35">
      <c r="D279" s="173">
        <v>4</v>
      </c>
      <c r="E279" s="158" t="str">
        <f t="shared" si="16"/>
        <v/>
      </c>
      <c r="F279" s="158"/>
      <c r="G279" s="158"/>
      <c r="H279" s="159" t="str">
        <f>IF(L271="","",INDEX(CONST_MATRIX_ProductionRoute,MATCH(L271,CONST_LIST_Goods,0),D279))</f>
        <v/>
      </c>
      <c r="I279" s="158"/>
      <c r="J279" s="158"/>
      <c r="K279" s="160" t="str">
        <f t="shared" si="17"/>
        <v/>
      </c>
      <c r="L279" s="30"/>
      <c r="O279" s="902"/>
      <c r="P279" s="144"/>
      <c r="S279" s="105">
        <v>4</v>
      </c>
      <c r="T279" s="713"/>
      <c r="V279" s="157" t="str">
        <f>IF(AND(G271&lt;&gt;"",E279&lt;&gt;"",L279&lt;&gt;""),TRUE,IF(AND(G271&lt;&gt;"",OR(AND(E279&lt;&gt;"",L279=""),AND(E279="",L279&lt;&gt;""))),CONST_ErrorOrMissing&amp;C271,CONST_NA))</f>
        <v>n.a.</v>
      </c>
    </row>
    <row r="280" spans="1:24" ht="12.75" customHeight="1" x14ac:dyDescent="0.35">
      <c r="D280" s="173">
        <v>5</v>
      </c>
      <c r="E280" s="158" t="str">
        <f t="shared" si="16"/>
        <v/>
      </c>
      <c r="F280" s="158"/>
      <c r="G280" s="158"/>
      <c r="H280" s="159" t="str">
        <f>IF(L271="","",INDEX(CONST_MATRIX_ProductionRoute,MATCH(L271,CONST_LIST_Goods,0),D280))</f>
        <v/>
      </c>
      <c r="I280" s="158"/>
      <c r="J280" s="158"/>
      <c r="K280" s="160" t="str">
        <f t="shared" si="17"/>
        <v/>
      </c>
      <c r="L280" s="30"/>
      <c r="O280" s="902"/>
      <c r="P280" s="144"/>
      <c r="S280" s="105">
        <v>5</v>
      </c>
      <c r="T280" s="713"/>
      <c r="V280" s="157" t="str">
        <f>IF(AND(G271&lt;&gt;"",E280&lt;&gt;"",L280&lt;&gt;""),TRUE,IF(AND(G271&lt;&gt;"",OR(AND(E280&lt;&gt;"",L280=""),AND(E280="",L280&lt;&gt;""))),CONST_ErrorOrMissing&amp;C271,CONST_NA))</f>
        <v>n.a.</v>
      </c>
    </row>
    <row r="281" spans="1:24" ht="12.75" customHeight="1" x14ac:dyDescent="0.35">
      <c r="D281" s="173">
        <v>6</v>
      </c>
      <c r="E281" s="158" t="str">
        <f t="shared" si="16"/>
        <v/>
      </c>
      <c r="F281" s="158"/>
      <c r="G281" s="158"/>
      <c r="H281" s="159" t="str">
        <f>IF(L271="","",INDEX(CONST_MATRIX_ProductionRoute,MATCH(L271,CONST_LIST_Goods,0),D281))</f>
        <v/>
      </c>
      <c r="I281" s="158"/>
      <c r="J281" s="158"/>
      <c r="K281" s="160" t="str">
        <f t="shared" si="17"/>
        <v/>
      </c>
      <c r="L281" s="30"/>
      <c r="O281" s="902"/>
      <c r="P281" s="144"/>
      <c r="S281" s="105">
        <v>6</v>
      </c>
      <c r="T281" s="713"/>
      <c r="V281" s="157" t="str">
        <f>IF(AND(G271&lt;&gt;"",E281&lt;&gt;"",L281&lt;&gt;""),TRUE,IF(AND(G271&lt;&gt;"",OR(AND(E281&lt;&gt;"",L281=""),AND(E281="",L281&lt;&gt;""))),CONST_ErrorOrMissing&amp;C271,CONST_NA))</f>
        <v>n.a.</v>
      </c>
    </row>
    <row r="282" spans="1:24" ht="12.75" customHeight="1" x14ac:dyDescent="0.35">
      <c r="D282" s="173">
        <v>7</v>
      </c>
      <c r="E282" s="158" t="str">
        <f t="shared" si="16"/>
        <v/>
      </c>
      <c r="F282" s="158"/>
      <c r="G282" s="158"/>
      <c r="H282" s="159" t="str">
        <f>IF(L271="","",INDEX(CONST_MATRIX_ProductionRoute,MATCH(L271,CONST_LIST_Goods,0),D282))</f>
        <v/>
      </c>
      <c r="I282" s="158"/>
      <c r="J282" s="158"/>
      <c r="K282" s="160" t="str">
        <f t="shared" si="17"/>
        <v/>
      </c>
      <c r="L282" s="30"/>
      <c r="O282" s="902"/>
      <c r="P282" s="144"/>
      <c r="S282" s="105">
        <v>7</v>
      </c>
      <c r="T282" s="713"/>
      <c r="V282" s="157" t="str">
        <f>IF(AND(G271&lt;&gt;"",E282&lt;&gt;"",L282&lt;&gt;""),TRUE,IF(AND(G271&lt;&gt;"",OR(AND(E282&lt;&gt;"",L282=""),AND(E282="",L282&lt;&gt;""))),CONST_ErrorOrMissing&amp;C271,CONST_NA))</f>
        <v>n.a.</v>
      </c>
    </row>
    <row r="283" spans="1:24" ht="12.75" customHeight="1" x14ac:dyDescent="0.35">
      <c r="D283" s="173">
        <v>8</v>
      </c>
      <c r="E283" s="161" t="str">
        <f t="shared" si="16"/>
        <v/>
      </c>
      <c r="F283" s="161"/>
      <c r="G283" s="161"/>
      <c r="H283" s="162" t="str">
        <f>IF(L271="","",INDEX(CONST_MATRIX_ProductionRoute,MATCH(L271,CONST_LIST_Goods,0),D283))</f>
        <v/>
      </c>
      <c r="I283" s="161"/>
      <c r="J283" s="161"/>
      <c r="K283" s="163" t="str">
        <f t="shared" si="17"/>
        <v/>
      </c>
      <c r="L283" s="31"/>
      <c r="O283" s="902"/>
      <c r="P283" s="144"/>
      <c r="S283" s="105">
        <v>8</v>
      </c>
      <c r="T283" s="713"/>
      <c r="V283" s="157" t="str">
        <f>IF(AND(G271&lt;&gt;"",E283&lt;&gt;"",L283&lt;&gt;""),TRUE,IF(AND(G271&lt;&gt;"",OR(AND(E283&lt;&gt;"",L283=""),AND(E283="",L283&lt;&gt;""))),CONST_ErrorOrMissing&amp;C271,CONST_NA))</f>
        <v>n.a.</v>
      </c>
    </row>
    <row r="284" spans="1:24" ht="12.75" customHeight="1" x14ac:dyDescent="0.35">
      <c r="D284" s="103"/>
      <c r="E284" s="138" t="str">
        <f>Translations!$B$246</f>
        <v>Total production within installation (= denominator for SEE calculation):</v>
      </c>
      <c r="F284" s="138"/>
      <c r="G284" s="138"/>
      <c r="H284" s="164"/>
      <c r="I284" s="138"/>
      <c r="J284" s="138"/>
      <c r="K284" s="165" t="str">
        <f>K276</f>
        <v/>
      </c>
      <c r="L284" s="140" t="str">
        <f>IF(G271="","",SUM(L276:L283))</f>
        <v/>
      </c>
      <c r="O284" s="901"/>
      <c r="P284" s="144"/>
      <c r="R284" s="102" t="str">
        <f>CONST_CNTR_TotProd&amp;G271</f>
        <v>TotProd_</v>
      </c>
      <c r="T284" s="124" t="str">
        <f>IF(G271="","",L284)</f>
        <v/>
      </c>
    </row>
    <row r="285" spans="1:24" s="144" customFormat="1" ht="5.15" customHeight="1" x14ac:dyDescent="0.35">
      <c r="A285" s="91"/>
      <c r="B285" s="93"/>
      <c r="C285" s="93"/>
      <c r="D285" s="166"/>
      <c r="E285" s="167"/>
      <c r="N285" s="93"/>
      <c r="O285" s="901"/>
      <c r="Q285" s="93"/>
      <c r="R285" s="91"/>
      <c r="S285" s="91"/>
      <c r="T285" s="712"/>
      <c r="U285" s="91"/>
      <c r="V285" s="91"/>
      <c r="W285" s="104"/>
      <c r="X285" s="91"/>
    </row>
    <row r="286" spans="1:24" s="144" customFormat="1" ht="12.75" customHeight="1" x14ac:dyDescent="0.35">
      <c r="A286" s="91"/>
      <c r="B286" s="93"/>
      <c r="C286" s="93"/>
      <c r="D286" s="168" t="s">
        <v>48</v>
      </c>
      <c r="E286" s="167" t="str">
        <f>Translations!$B$247</f>
        <v>Production details</v>
      </c>
      <c r="F286" s="167"/>
      <c r="G286" s="167"/>
      <c r="H286" s="168"/>
      <c r="K286" s="168" t="str">
        <f>Translations!$B$221</f>
        <v>Unit</v>
      </c>
      <c r="L286" s="168" t="str">
        <f>Translations!$B$245</f>
        <v>Amounts</v>
      </c>
      <c r="N286" s="93"/>
      <c r="O286" s="901"/>
      <c r="Q286" s="93"/>
      <c r="R286" s="91"/>
      <c r="S286" s="91"/>
      <c r="T286" s="712"/>
      <c r="U286" s="91"/>
      <c r="V286" s="91"/>
      <c r="W286" s="104"/>
      <c r="X286" s="91"/>
    </row>
    <row r="287" spans="1:24" s="144" customFormat="1" ht="12.75" customHeight="1" x14ac:dyDescent="0.35">
      <c r="A287" s="91"/>
      <c r="B287" s="93"/>
      <c r="C287" s="93"/>
      <c r="D287" s="132" t="s">
        <v>41</v>
      </c>
      <c r="E287" s="138" t="str">
        <f>Translations!$B$248</f>
        <v>Produced for the market</v>
      </c>
      <c r="F287" s="138"/>
      <c r="G287" s="138"/>
      <c r="H287" s="138"/>
      <c r="I287" s="138"/>
      <c r="J287" s="138"/>
      <c r="K287" s="169" t="str">
        <f>K276</f>
        <v/>
      </c>
      <c r="L287" s="211"/>
      <c r="N287" s="93"/>
      <c r="O287" s="902"/>
      <c r="Q287" s="93"/>
      <c r="R287" s="102" t="str">
        <f>CONST_GoodToMarket&amp;G271</f>
        <v>ToMarket_</v>
      </c>
      <c r="S287" s="91"/>
      <c r="T287" s="124" t="str">
        <f>IF($G$11="","",L287)</f>
        <v/>
      </c>
      <c r="U287" s="91"/>
      <c r="V287" s="157" t="str">
        <f>IF(AND(G271&lt;&gt;"",L287&lt;&gt;""),TRUE,IF(AND(G271&lt;&gt;"",OR(L287="",L276&lt;&gt;"")),CONST_ErrorOrMissing&amp;C271,CONST_NA))</f>
        <v>n.a.</v>
      </c>
      <c r="W287" s="104"/>
      <c r="X287" s="91"/>
    </row>
    <row r="288" spans="1:24" s="144" customFormat="1" ht="12.75" customHeight="1" x14ac:dyDescent="0.35">
      <c r="A288" s="91"/>
      <c r="B288" s="93"/>
      <c r="C288" s="93"/>
      <c r="D288" s="132" t="s">
        <v>42</v>
      </c>
      <c r="E288" s="133" t="str">
        <f>Translations!$B$249</f>
        <v>Share of total under (a) produced for the market</v>
      </c>
      <c r="F288" s="288"/>
      <c r="G288" s="288"/>
      <c r="H288" s="288"/>
      <c r="I288" s="288"/>
      <c r="J288" s="288"/>
      <c r="K288" s="288"/>
      <c r="L288" s="289" t="str">
        <f>IF(AND(COUNT(L284,L287)=2,SUM(L284&gt;0)),SUM(L287)/SUM(L284),"")</f>
        <v/>
      </c>
      <c r="N288" s="93"/>
      <c r="O288" s="901"/>
      <c r="Q288" s="93"/>
      <c r="R288" s="171"/>
      <c r="S288" s="91"/>
      <c r="T288" s="712"/>
      <c r="U288" s="91"/>
      <c r="V288" s="172"/>
      <c r="W288" s="104"/>
      <c r="X288" s="91"/>
    </row>
    <row r="289" spans="1:24" s="144" customFormat="1" ht="12.75" customHeight="1" x14ac:dyDescent="0.35">
      <c r="A289" s="91"/>
      <c r="B289" s="93"/>
      <c r="C289" s="93"/>
      <c r="D289" s="132" t="s">
        <v>43</v>
      </c>
      <c r="E289" s="136" t="str">
        <f>Translations!$B$250</f>
        <v>Total production only for the market?</v>
      </c>
      <c r="F289" s="290"/>
      <c r="G289" s="290"/>
      <c r="H289" s="290"/>
      <c r="I289" s="290"/>
      <c r="J289" s="290"/>
      <c r="K289" s="290"/>
      <c r="L289" s="291" t="str">
        <f>IF(G271="","",AND(SUM(L284)&gt;0,SUM(L284)=SUM(L287)))</f>
        <v/>
      </c>
      <c r="N289" s="93"/>
      <c r="O289" s="901"/>
      <c r="Q289" s="93"/>
      <c r="R289" s="171"/>
      <c r="S289" s="91"/>
      <c r="T289" s="712"/>
      <c r="U289" s="91"/>
      <c r="V289" s="91"/>
      <c r="W289" s="104"/>
      <c r="X289" s="91"/>
    </row>
    <row r="290" spans="1:24" s="144" customFormat="1" ht="5.15" customHeight="1" x14ac:dyDescent="0.35">
      <c r="A290" s="91"/>
      <c r="B290" s="93"/>
      <c r="C290" s="93"/>
      <c r="D290" s="166"/>
      <c r="E290" s="167"/>
      <c r="N290" s="93"/>
      <c r="O290" s="901"/>
      <c r="Q290" s="93"/>
      <c r="R290" s="91"/>
      <c r="S290" s="91"/>
      <c r="T290" s="712"/>
      <c r="U290" s="91"/>
      <c r="V290" s="91"/>
      <c r="W290" s="104"/>
      <c r="X290" s="91"/>
    </row>
    <row r="291" spans="1:24" s="144" customFormat="1" ht="12.75" customHeight="1" x14ac:dyDescent="0.35">
      <c r="A291" s="91"/>
      <c r="B291" s="93"/>
      <c r="C291" s="93"/>
      <c r="D291" s="168" t="s">
        <v>49</v>
      </c>
      <c r="E291" s="167" t="str">
        <f>Translations!$B$251</f>
        <v>Consumed in other 'production processes' within the installation:</v>
      </c>
      <c r="F291" s="167"/>
      <c r="G291" s="167"/>
      <c r="H291" s="167"/>
      <c r="I291" s="167"/>
      <c r="J291" s="167"/>
      <c r="K291" s="168" t="str">
        <f>Translations!$B$221</f>
        <v>Unit</v>
      </c>
      <c r="L291" s="168" t="str">
        <f>Translations!$B$245</f>
        <v>Amounts</v>
      </c>
      <c r="N291" s="93"/>
      <c r="O291" s="901"/>
      <c r="Q291" s="93"/>
      <c r="R291" s="91"/>
      <c r="S291" s="123" t="s">
        <v>195</v>
      </c>
      <c r="T291" s="712"/>
      <c r="U291" s="91"/>
      <c r="V291" s="91"/>
      <c r="W291" s="104" t="s">
        <v>34</v>
      </c>
      <c r="X291" s="102" t="b">
        <f>IF(G271="",FALSE,L289)</f>
        <v>0</v>
      </c>
    </row>
    <row r="292" spans="1:24" s="144" customFormat="1" ht="12.75" customHeight="1" x14ac:dyDescent="0.35">
      <c r="A292" s="91"/>
      <c r="B292" s="93"/>
      <c r="C292" s="93"/>
      <c r="D292" s="173">
        <v>1</v>
      </c>
      <c r="E292" s="174" t="str">
        <f t="shared" ref="E292:E300" si="18">IF(INDEX(CNTR_List_ExistProdProcNames,S292)=CONST_NA,"",INDEX(CNTR_List_ExistProdProcNames,S292))</f>
        <v/>
      </c>
      <c r="F292" s="175"/>
      <c r="G292" s="175"/>
      <c r="H292" s="175"/>
      <c r="I292" s="175"/>
      <c r="J292" s="176"/>
      <c r="K292" s="155" t="str">
        <f>K276</f>
        <v/>
      </c>
      <c r="L292" s="29"/>
      <c r="N292" s="93"/>
      <c r="O292" s="902"/>
      <c r="Q292" s="93"/>
      <c r="R292" s="102" t="str">
        <f>CONST_PrecursorToGoodInput&amp;G271 &amp;"_"&amp;E292</f>
        <v>PrecToGood__</v>
      </c>
      <c r="S292" s="105">
        <f>MAX(S291:S291)+IF(D292=C271,2,1)</f>
        <v>1</v>
      </c>
      <c r="T292" s="124" t="str">
        <f>IF(G271="","",L292)</f>
        <v/>
      </c>
      <c r="U292" s="91"/>
      <c r="V292" s="157" t="str">
        <f>IF(AND(G271&lt;&gt;"",E292&lt;&gt;"",L292&lt;&gt;""),TRUE,IF(AND(G271&lt;&gt;"",E292&lt;&gt;"",L292="",X292=FALSE),CONST_ErrorOrMissing&amp;C271,CONST_NA))</f>
        <v>n.a.</v>
      </c>
      <c r="W292" s="104" t="s">
        <v>34</v>
      </c>
      <c r="X292" s="102" t="b">
        <f>IF(G271="",FALSE,OR(L289,E292=""))</f>
        <v>0</v>
      </c>
    </row>
    <row r="293" spans="1:24" s="144" customFormat="1" ht="12.75" customHeight="1" x14ac:dyDescent="0.35">
      <c r="A293" s="91"/>
      <c r="B293" s="93"/>
      <c r="C293" s="93"/>
      <c r="D293" s="173">
        <v>2</v>
      </c>
      <c r="E293" s="177" t="str">
        <f t="shared" si="18"/>
        <v/>
      </c>
      <c r="F293" s="178"/>
      <c r="G293" s="178"/>
      <c r="H293" s="178"/>
      <c r="I293" s="178"/>
      <c r="J293" s="179"/>
      <c r="K293" s="160" t="str">
        <f>K292</f>
        <v/>
      </c>
      <c r="L293" s="30"/>
      <c r="N293" s="93"/>
      <c r="O293" s="902"/>
      <c r="Q293" s="93"/>
      <c r="R293" s="102" t="str">
        <f>CONST_PrecursorToGoodInput&amp;G271 &amp;"_"&amp;E293</f>
        <v>PrecToGood__</v>
      </c>
      <c r="S293" s="105">
        <f>MAX(S291:S292)+IF(D293=C271,2,1)</f>
        <v>2</v>
      </c>
      <c r="T293" s="124" t="str">
        <f>IF(G271="","",L293)</f>
        <v/>
      </c>
      <c r="U293" s="91"/>
      <c r="V293" s="157" t="str">
        <f>IF(AND(G271&lt;&gt;"",E293&lt;&gt;"",L293&lt;&gt;""),TRUE,IF(AND(G271&lt;&gt;"",E293&lt;&gt;"",L293="",X293=FALSE),CONST_ErrorOrMissing&amp;C271,CONST_NA))</f>
        <v>n.a.</v>
      </c>
      <c r="W293" s="104"/>
      <c r="X293" s="102" t="b">
        <f>IF(G271="",FALSE,OR(L289,E293=""))</f>
        <v>0</v>
      </c>
    </row>
    <row r="294" spans="1:24" s="144" customFormat="1" ht="12.75" customHeight="1" x14ac:dyDescent="0.35">
      <c r="A294" s="91"/>
      <c r="B294" s="93"/>
      <c r="C294" s="93"/>
      <c r="D294" s="173">
        <v>3</v>
      </c>
      <c r="E294" s="177" t="str">
        <f t="shared" si="18"/>
        <v/>
      </c>
      <c r="F294" s="178"/>
      <c r="G294" s="178"/>
      <c r="H294" s="178"/>
      <c r="I294" s="178"/>
      <c r="J294" s="179"/>
      <c r="K294" s="160" t="str">
        <f t="shared" ref="K294:K302" si="19">K293</f>
        <v/>
      </c>
      <c r="L294" s="30"/>
      <c r="N294" s="93"/>
      <c r="O294" s="902"/>
      <c r="Q294" s="93"/>
      <c r="R294" s="102" t="str">
        <f>CONST_PrecursorToGoodInput&amp;G271 &amp;"_"&amp;E294</f>
        <v>PrecToGood__</v>
      </c>
      <c r="S294" s="105">
        <f>MAX(S291:S293)+IF(D294=C271,2,1)</f>
        <v>3</v>
      </c>
      <c r="T294" s="124" t="str">
        <f>IF(G271="","",L294)</f>
        <v/>
      </c>
      <c r="U294" s="91"/>
      <c r="V294" s="157" t="str">
        <f>IF(AND(G271&lt;&gt;"",E294&lt;&gt;"",L294&lt;&gt;""),TRUE,IF(AND(G271&lt;&gt;"",E294&lt;&gt;"",L294="",X294=FALSE),CONST_ErrorOrMissing&amp;C271,CONST_NA))</f>
        <v>n.a.</v>
      </c>
      <c r="W294" s="104"/>
      <c r="X294" s="102" t="b">
        <f>IF(G271="",FALSE,OR(L289,E294=""))</f>
        <v>0</v>
      </c>
    </row>
    <row r="295" spans="1:24" s="144" customFormat="1" ht="12.75" customHeight="1" x14ac:dyDescent="0.35">
      <c r="A295" s="91"/>
      <c r="B295" s="93"/>
      <c r="C295" s="93"/>
      <c r="D295" s="173">
        <v>4</v>
      </c>
      <c r="E295" s="177" t="str">
        <f t="shared" si="18"/>
        <v/>
      </c>
      <c r="F295" s="178"/>
      <c r="G295" s="178"/>
      <c r="H295" s="178"/>
      <c r="I295" s="178"/>
      <c r="J295" s="179"/>
      <c r="K295" s="160" t="str">
        <f t="shared" si="19"/>
        <v/>
      </c>
      <c r="L295" s="30"/>
      <c r="N295" s="93"/>
      <c r="O295" s="902"/>
      <c r="Q295" s="93"/>
      <c r="R295" s="102" t="str">
        <f>CONST_PrecursorToGoodInput&amp;G271 &amp;"_"&amp;E295</f>
        <v>PrecToGood__</v>
      </c>
      <c r="S295" s="105">
        <f>MAX(S291:S294)+IF(D295=C271,2,1)</f>
        <v>4</v>
      </c>
      <c r="T295" s="124" t="str">
        <f>IF(G271="","",L295)</f>
        <v/>
      </c>
      <c r="U295" s="91"/>
      <c r="V295" s="157" t="str">
        <f>IF(AND(G271&lt;&gt;"",E295&lt;&gt;"",L295&lt;&gt;""),TRUE,IF(AND(G271&lt;&gt;"",E295&lt;&gt;"",L295="",X295=FALSE),CONST_ErrorOrMissing&amp;C271,CONST_NA))</f>
        <v>n.a.</v>
      </c>
      <c r="W295" s="104"/>
      <c r="X295" s="102" t="b">
        <f>IF(G271="",FALSE,OR(L289,E295=""))</f>
        <v>0</v>
      </c>
    </row>
    <row r="296" spans="1:24" s="144" customFormat="1" ht="12.75" customHeight="1" x14ac:dyDescent="0.35">
      <c r="A296" s="91"/>
      <c r="B296" s="93"/>
      <c r="C296" s="93"/>
      <c r="D296" s="173">
        <v>5</v>
      </c>
      <c r="E296" s="180" t="str">
        <f t="shared" si="18"/>
        <v/>
      </c>
      <c r="F296" s="181"/>
      <c r="G296" s="181"/>
      <c r="H296" s="181"/>
      <c r="I296" s="181"/>
      <c r="J296" s="182"/>
      <c r="K296" s="183" t="str">
        <f t="shared" si="19"/>
        <v/>
      </c>
      <c r="L296" s="212"/>
      <c r="N296" s="93"/>
      <c r="O296" s="902"/>
      <c r="Q296" s="93"/>
      <c r="R296" s="102" t="str">
        <f>CONST_PrecursorToGoodInput&amp;G271 &amp;"_"&amp;E296</f>
        <v>PrecToGood__</v>
      </c>
      <c r="S296" s="105">
        <f>MAX(S291:S295)+IF(D296=C271,2,1)</f>
        <v>6</v>
      </c>
      <c r="T296" s="124" t="str">
        <f>IF(G271="","",L296)</f>
        <v/>
      </c>
      <c r="U296" s="91"/>
      <c r="V296" s="157" t="str">
        <f>IF(AND(G271&lt;&gt;"",E296&lt;&gt;"",L296&lt;&gt;""),TRUE,IF(AND(G271&lt;&gt;"",E296&lt;&gt;"",L296="",X296=FALSE),CONST_ErrorOrMissing&amp;C271,CONST_NA))</f>
        <v>n.a.</v>
      </c>
      <c r="W296" s="104"/>
      <c r="X296" s="102" t="b">
        <f>IF(G271="",FALSE,OR(L289,E296=""))</f>
        <v>0</v>
      </c>
    </row>
    <row r="297" spans="1:24" s="144" customFormat="1" ht="12.75" customHeight="1" x14ac:dyDescent="0.35">
      <c r="A297" s="91"/>
      <c r="B297" s="93"/>
      <c r="C297" s="93"/>
      <c r="D297" s="173">
        <v>6</v>
      </c>
      <c r="E297" s="180" t="str">
        <f t="shared" si="18"/>
        <v/>
      </c>
      <c r="F297" s="181"/>
      <c r="G297" s="181"/>
      <c r="H297" s="181"/>
      <c r="I297" s="181"/>
      <c r="J297" s="182"/>
      <c r="K297" s="183" t="str">
        <f t="shared" si="19"/>
        <v/>
      </c>
      <c r="L297" s="212"/>
      <c r="N297" s="93"/>
      <c r="O297" s="902"/>
      <c r="Q297" s="93"/>
      <c r="R297" s="102" t="str">
        <f>CONST_PrecursorToGoodInput&amp;G271 &amp;"_"&amp;E297</f>
        <v>PrecToGood__</v>
      </c>
      <c r="S297" s="105">
        <f>MAX(S291:S296)+IF(D297=C271,2,1)</f>
        <v>7</v>
      </c>
      <c r="T297" s="124" t="str">
        <f>IF(G271="","",L297)</f>
        <v/>
      </c>
      <c r="U297" s="91"/>
      <c r="V297" s="157" t="str">
        <f>IF(AND(G271&lt;&gt;"",E297&lt;&gt;"",L297&lt;&gt;""),TRUE,IF(AND(G271&lt;&gt;"",E297&lt;&gt;"",L297="",X297=FALSE),CONST_ErrorOrMissing&amp;C271,CONST_NA))</f>
        <v>n.a.</v>
      </c>
      <c r="W297" s="104"/>
      <c r="X297" s="102" t="b">
        <f>IF(G271="",FALSE,OR(L289,E297=""))</f>
        <v>0</v>
      </c>
    </row>
    <row r="298" spans="1:24" s="144" customFormat="1" ht="12.75" customHeight="1" x14ac:dyDescent="0.35">
      <c r="A298" s="91"/>
      <c r="B298" s="93"/>
      <c r="C298" s="93"/>
      <c r="D298" s="173">
        <v>7</v>
      </c>
      <c r="E298" s="180" t="str">
        <f t="shared" si="18"/>
        <v/>
      </c>
      <c r="F298" s="181"/>
      <c r="G298" s="181"/>
      <c r="H298" s="181"/>
      <c r="I298" s="181"/>
      <c r="J298" s="182"/>
      <c r="K298" s="183" t="str">
        <f t="shared" si="19"/>
        <v/>
      </c>
      <c r="L298" s="212"/>
      <c r="N298" s="93"/>
      <c r="O298" s="902"/>
      <c r="Q298" s="93"/>
      <c r="R298" s="102" t="str">
        <f>CONST_PrecursorToGoodInput&amp;G271 &amp;"_"&amp;E298</f>
        <v>PrecToGood__</v>
      </c>
      <c r="S298" s="105">
        <f>MAX(S291:S297)+IF(D298=C271,2,1)</f>
        <v>8</v>
      </c>
      <c r="T298" s="124" t="str">
        <f>IF(G271="","",L298)</f>
        <v/>
      </c>
      <c r="U298" s="91"/>
      <c r="V298" s="157" t="str">
        <f>IF(AND(G271&lt;&gt;"",E298&lt;&gt;"",L298&lt;&gt;""),TRUE,IF(AND(G271&lt;&gt;"",E298&lt;&gt;"",L298="",X298=FALSE),CONST_ErrorOrMissing&amp;C271,CONST_NA))</f>
        <v>n.a.</v>
      </c>
      <c r="W298" s="104"/>
      <c r="X298" s="102" t="b">
        <f>IF(G271="",FALSE,OR(L289,E298=""))</f>
        <v>0</v>
      </c>
    </row>
    <row r="299" spans="1:24" s="144" customFormat="1" ht="12.75" customHeight="1" x14ac:dyDescent="0.35">
      <c r="A299" s="91"/>
      <c r="B299" s="93"/>
      <c r="C299" s="93"/>
      <c r="D299" s="173">
        <v>8</v>
      </c>
      <c r="E299" s="180" t="str">
        <f t="shared" si="18"/>
        <v/>
      </c>
      <c r="F299" s="181"/>
      <c r="G299" s="181"/>
      <c r="H299" s="181"/>
      <c r="I299" s="181"/>
      <c r="J299" s="182"/>
      <c r="K299" s="183" t="str">
        <f t="shared" si="19"/>
        <v/>
      </c>
      <c r="L299" s="212"/>
      <c r="N299" s="93"/>
      <c r="O299" s="902"/>
      <c r="Q299" s="93"/>
      <c r="R299" s="102" t="str">
        <f>CONST_PrecursorToGoodInput&amp;G271 &amp;"_"&amp;E299</f>
        <v>PrecToGood__</v>
      </c>
      <c r="S299" s="105">
        <f>MAX(S291:S298)+IF(D299=C271,2,1)</f>
        <v>9</v>
      </c>
      <c r="T299" s="124" t="str">
        <f>IF(G271="","",L299)</f>
        <v/>
      </c>
      <c r="U299" s="91"/>
      <c r="V299" s="157" t="str">
        <f>IF(AND(G271&lt;&gt;"",E299&lt;&gt;"",L299&lt;&gt;""),TRUE,IF(AND(G271&lt;&gt;"",E299&lt;&gt;"",L299="",X299=FALSE),CONST_ErrorOrMissing&amp;C271,CONST_NA))</f>
        <v>n.a.</v>
      </c>
      <c r="W299" s="104"/>
      <c r="X299" s="102" t="b">
        <f>IF(G271="",FALSE,OR(L289,E299=""))</f>
        <v>0</v>
      </c>
    </row>
    <row r="300" spans="1:24" s="144" customFormat="1" ht="12.75" customHeight="1" x14ac:dyDescent="0.35">
      <c r="A300" s="91"/>
      <c r="B300" s="93"/>
      <c r="C300" s="93"/>
      <c r="D300" s="173">
        <v>9</v>
      </c>
      <c r="E300" s="184" t="str">
        <f t="shared" si="18"/>
        <v/>
      </c>
      <c r="F300" s="185"/>
      <c r="G300" s="185"/>
      <c r="H300" s="185"/>
      <c r="I300" s="185"/>
      <c r="J300" s="186"/>
      <c r="K300" s="163" t="str">
        <f t="shared" si="19"/>
        <v/>
      </c>
      <c r="L300" s="31"/>
      <c r="N300" s="93"/>
      <c r="O300" s="902"/>
      <c r="Q300" s="93"/>
      <c r="R300" s="102" t="str">
        <f>CONST_PrecursorToGoodInput&amp;G271 &amp;"_"&amp;E300</f>
        <v>PrecToGood__</v>
      </c>
      <c r="S300" s="105">
        <f>MAX(S291:S299)+IF(D300=C271,2,1)</f>
        <v>10</v>
      </c>
      <c r="T300" s="124" t="str">
        <f>IF(G271="","",L300)</f>
        <v/>
      </c>
      <c r="U300" s="91"/>
      <c r="V300" s="157" t="str">
        <f>IF(AND(G271&lt;&gt;"",E300&lt;&gt;"",L300&lt;&gt;""),TRUE,IF(AND(G271&lt;&gt;"",E300&lt;&gt;"",L300="",X300=FALSE),CONST_ErrorOrMissing&amp;C271,CONST_NA))</f>
        <v>n.a.</v>
      </c>
      <c r="W300" s="104"/>
      <c r="X300" s="102" t="b">
        <f>IF(G271="",FALSE,OR(L289,E300=""))</f>
        <v>0</v>
      </c>
    </row>
    <row r="301" spans="1:24" s="144" customFormat="1" ht="12.75" customHeight="1" x14ac:dyDescent="0.35">
      <c r="A301" s="91"/>
      <c r="B301" s="93"/>
      <c r="C301" s="93"/>
      <c r="D301" s="168" t="s">
        <v>377</v>
      </c>
      <c r="E301" s="167" t="str">
        <f>Translations!$B$252</f>
        <v>Consumed for non-CBAM goods within the installation:</v>
      </c>
      <c r="F301" s="167"/>
      <c r="G301" s="167"/>
      <c r="H301" s="167"/>
      <c r="I301" s="167"/>
      <c r="J301" s="167"/>
      <c r="K301" s="297" t="str">
        <f t="shared" si="19"/>
        <v/>
      </c>
      <c r="L301" s="298"/>
      <c r="N301" s="93"/>
      <c r="O301" s="902"/>
      <c r="Q301" s="93"/>
      <c r="R301" s="91"/>
      <c r="S301" s="91"/>
      <c r="T301" s="712"/>
      <c r="U301" s="91"/>
      <c r="V301" s="157" t="str">
        <f>IF(AND(G271&lt;&gt;"",L301&lt;&gt;""),TRUE,IF(AND(G271&lt;&gt;"",L301="",X301=FALSE),CONST_ErrorOrMissing&amp;C271,CONST_NA))</f>
        <v>n.a.</v>
      </c>
      <c r="W301" s="104" t="s">
        <v>34</v>
      </c>
      <c r="X301" s="102" t="b">
        <f>IF(G271="",FALSE,L289)</f>
        <v>0</v>
      </c>
    </row>
    <row r="302" spans="1:24" s="144" customFormat="1" ht="12.75" customHeight="1" x14ac:dyDescent="0.35">
      <c r="A302" s="91"/>
      <c r="B302" s="93"/>
      <c r="C302" s="93"/>
      <c r="D302" s="168" t="s">
        <v>411</v>
      </c>
      <c r="E302" s="138" t="str">
        <f>Translations!$B$253</f>
        <v>Control:</v>
      </c>
      <c r="F302" s="170"/>
      <c r="G302" s="170"/>
      <c r="H302" s="170"/>
      <c r="I302" s="170"/>
      <c r="J302" s="170"/>
      <c r="K302" s="169" t="str">
        <f t="shared" si="19"/>
        <v/>
      </c>
      <c r="L302" s="118" t="str">
        <f>IF(G271="","",SUM(L284)-SUM(L287,L292:L301))</f>
        <v/>
      </c>
      <c r="N302" s="93"/>
      <c r="O302" s="902"/>
      <c r="Q302" s="93"/>
      <c r="R302" s="91"/>
      <c r="S302" s="91"/>
      <c r="T302" s="712"/>
      <c r="U302" s="91"/>
      <c r="V302" s="157" t="str">
        <f>IF(AND(G271&lt;&gt;"",L302=0),TRUE,IF(AND(G271&lt;&gt;"",L302&lt;&gt;0,X302=FALSE),CONST_ErrorOrMissing&amp;C271,CONST_NA))</f>
        <v>n.a.</v>
      </c>
      <c r="W302" s="104"/>
      <c r="X302" s="102" t="b">
        <f>IF(G271="",FALSE,L289)</f>
        <v>0</v>
      </c>
    </row>
    <row r="303" spans="1:24" s="144" customFormat="1" ht="12.75" customHeight="1" thickBot="1" x14ac:dyDescent="0.4">
      <c r="A303" s="91"/>
      <c r="B303" s="93"/>
      <c r="C303" s="93"/>
      <c r="D303" s="93"/>
      <c r="E303" s="93"/>
      <c r="F303" s="93"/>
      <c r="G303" s="93"/>
      <c r="H303" s="93"/>
      <c r="I303" s="93"/>
      <c r="J303" s="93"/>
      <c r="K303" s="93"/>
      <c r="L303" s="93"/>
      <c r="M303" s="93"/>
      <c r="N303" s="93"/>
      <c r="O303" s="901"/>
      <c r="Q303" s="93"/>
      <c r="R303" s="91"/>
      <c r="S303" s="91"/>
      <c r="T303" s="712"/>
      <c r="U303" s="91"/>
      <c r="V303" s="91"/>
      <c r="W303" s="104"/>
      <c r="X303" s="91"/>
    </row>
    <row r="304" spans="1:24" ht="12.75" customHeight="1" x14ac:dyDescent="0.35">
      <c r="C304" s="187"/>
      <c r="D304" s="188"/>
      <c r="E304" s="189"/>
      <c r="F304" s="190"/>
      <c r="G304" s="190"/>
      <c r="H304" s="190"/>
      <c r="I304" s="190"/>
      <c r="J304" s="190"/>
      <c r="K304" s="190"/>
      <c r="L304" s="190"/>
      <c r="M304" s="190"/>
      <c r="N304" s="191"/>
      <c r="O304" s="901"/>
      <c r="P304" s="144"/>
      <c r="T304" s="712"/>
    </row>
    <row r="305" spans="3:24" ht="15" customHeight="1" x14ac:dyDescent="0.35">
      <c r="C305" s="192"/>
      <c r="D305" s="193" t="str">
        <f>Translations!$B$254</f>
        <v>Calculation of the attributed emissions:</v>
      </c>
      <c r="E305" s="194"/>
      <c r="F305" s="195"/>
      <c r="G305" s="195"/>
      <c r="H305" s="195"/>
      <c r="I305" s="195"/>
      <c r="J305" s="1310" t="str">
        <f>IF(G271="","",G271)</f>
        <v/>
      </c>
      <c r="K305" s="1310"/>
      <c r="L305" s="1310"/>
      <c r="M305" s="1310"/>
      <c r="N305" s="196"/>
      <c r="O305" s="901"/>
      <c r="P305" s="144"/>
      <c r="T305" s="712"/>
    </row>
    <row r="306" spans="3:24" ht="5.15" customHeight="1" x14ac:dyDescent="0.35">
      <c r="C306" s="192"/>
      <c r="D306" s="197"/>
      <c r="E306" s="198"/>
      <c r="F306" s="195"/>
      <c r="G306" s="195"/>
      <c r="H306" s="195"/>
      <c r="I306" s="195"/>
      <c r="J306" s="195"/>
      <c r="K306" s="195"/>
      <c r="L306" s="195"/>
      <c r="M306" s="195"/>
      <c r="N306" s="196"/>
      <c r="O306" s="901"/>
      <c r="P306" s="144"/>
      <c r="T306" s="712"/>
    </row>
    <row r="307" spans="3:24" ht="12.75" customHeight="1" x14ac:dyDescent="0.35">
      <c r="C307" s="192"/>
      <c r="D307" s="199"/>
      <c r="E307" s="1311" t="str">
        <f ca="1">HYPERLINK("#"&amp;ADDRESS(MATCH($S307,G_FurtherGuidance!$S:$S,0),3,,,G_FurtherGuidance!$U$2),CONST_LinkToGuidanceSheet)</f>
        <v>Please click on this link for further guidance on how to complete this section.</v>
      </c>
      <c r="F307" s="1312"/>
      <c r="G307" s="1312"/>
      <c r="H307" s="1312"/>
      <c r="I307" s="1312"/>
      <c r="J307" s="1312"/>
      <c r="K307" s="1312"/>
      <c r="L307" s="1312"/>
      <c r="M307" s="1312"/>
      <c r="N307" s="202"/>
      <c r="O307" s="901"/>
      <c r="P307" s="144"/>
      <c r="R307" s="104" t="s">
        <v>2771</v>
      </c>
      <c r="S307" s="105">
        <v>3</v>
      </c>
      <c r="T307" s="712"/>
    </row>
    <row r="308" spans="3:24" ht="5.15" customHeight="1" x14ac:dyDescent="0.35">
      <c r="C308" s="192"/>
      <c r="D308" s="197"/>
      <c r="E308" s="198"/>
      <c r="F308" s="195"/>
      <c r="G308" s="195"/>
      <c r="H308" s="195"/>
      <c r="I308" s="195"/>
      <c r="J308" s="198"/>
      <c r="K308" s="195"/>
      <c r="L308" s="195"/>
      <c r="M308" s="195"/>
      <c r="N308" s="196"/>
      <c r="O308" s="901"/>
      <c r="P308" s="144"/>
      <c r="T308" s="712"/>
      <c r="X308" s="104"/>
    </row>
    <row r="309" spans="3:24" ht="25" customHeight="1" x14ac:dyDescent="0.3">
      <c r="C309" s="192"/>
      <c r="D309" s="197"/>
      <c r="E309" s="198"/>
      <c r="F309" s="195"/>
      <c r="G309" s="195"/>
      <c r="H309" s="195"/>
      <c r="I309" s="195"/>
      <c r="J309" s="195"/>
      <c r="K309" s="203" t="str">
        <f>Translations!$B$255</f>
        <v>Measurable heat</v>
      </c>
      <c r="L309" s="203" t="str">
        <f>Translations!$B$256</f>
        <v>Waste gases</v>
      </c>
      <c r="M309" s="203" t="str">
        <f>Translations!$B$257</f>
        <v>Indirect emissions</v>
      </c>
      <c r="N309" s="196"/>
      <c r="O309" s="901"/>
      <c r="P309" s="144"/>
      <c r="T309" s="712"/>
      <c r="X309" s="104"/>
    </row>
    <row r="310" spans="3:24" ht="12.75" customHeight="1" x14ac:dyDescent="0.35">
      <c r="C310" s="192"/>
      <c r="D310" s="199" t="s">
        <v>412</v>
      </c>
      <c r="E310" s="200" t="str">
        <f>Translations!$B$258</f>
        <v>Please select which elements are applicable</v>
      </c>
      <c r="F310" s="201"/>
      <c r="G310" s="201"/>
      <c r="H310" s="201"/>
      <c r="I310" s="201"/>
      <c r="J310" s="201"/>
      <c r="K310" s="120"/>
      <c r="L310" s="120"/>
      <c r="M310" s="169" t="str">
        <f>IF(L271="","",INDEX(CONST_LIST_GoodsIndRel,MATCH(L271,CONST_LIST_Goods,0)))</f>
        <v/>
      </c>
      <c r="N310" s="196"/>
      <c r="O310" s="902"/>
      <c r="P310" s="144"/>
      <c r="T310" s="712"/>
      <c r="V310" s="157" t="str">
        <f>IF(AND(L271&lt;&gt;"",X310=FALSE),IF(COUNTA(K310:L310)=2,TRUE,CONST_ErrorOrMissing&amp;C271),CONST_NA)</f>
        <v>n.a.</v>
      </c>
      <c r="X310" s="104"/>
    </row>
    <row r="311" spans="3:24" ht="12.75" customHeight="1" x14ac:dyDescent="0.35">
      <c r="C311" s="192"/>
      <c r="D311" s="204"/>
      <c r="E311" s="401" t="str">
        <f>Translations!$B$259</f>
        <v>Based on your selection, related sections below might become irrelevant and greyed out below.</v>
      </c>
      <c r="F311" s="195"/>
      <c r="G311" s="195"/>
      <c r="H311" s="195"/>
      <c r="I311" s="195"/>
      <c r="J311" s="195"/>
      <c r="K311" s="198"/>
      <c r="L311" s="195"/>
      <c r="M311" s="195"/>
      <c r="N311" s="196"/>
      <c r="O311" s="901"/>
      <c r="P311" s="144"/>
      <c r="T311" s="712"/>
      <c r="X311" s="104"/>
    </row>
    <row r="312" spans="3:24" ht="5.15" customHeight="1" x14ac:dyDescent="0.35">
      <c r="C312" s="192"/>
      <c r="D312" s="204"/>
      <c r="E312" s="198"/>
      <c r="F312" s="195"/>
      <c r="G312" s="195"/>
      <c r="H312" s="195"/>
      <c r="I312" s="195"/>
      <c r="J312" s="195"/>
      <c r="K312" s="198"/>
      <c r="L312" s="195"/>
      <c r="M312" s="195"/>
      <c r="N312" s="196"/>
      <c r="O312" s="901"/>
      <c r="P312" s="144"/>
      <c r="T312" s="712"/>
      <c r="X312" s="104"/>
    </row>
    <row r="313" spans="3:24" ht="12.75" customHeight="1" x14ac:dyDescent="0.35">
      <c r="C313" s="192"/>
      <c r="D313" s="204"/>
      <c r="E313" s="198"/>
      <c r="F313" s="195"/>
      <c r="G313" s="195"/>
      <c r="H313" s="195"/>
      <c r="I313" s="195"/>
      <c r="J313" s="195"/>
      <c r="K313" s="199" t="str">
        <f>Translations!$B$221</f>
        <v>Unit</v>
      </c>
      <c r="L313" s="199" t="str">
        <f>Translations!$B$260</f>
        <v>Value</v>
      </c>
      <c r="M313" s="195"/>
      <c r="N313" s="196"/>
      <c r="O313" s="901"/>
      <c r="P313" s="144"/>
      <c r="T313" s="712"/>
      <c r="X313" s="104"/>
    </row>
    <row r="314" spans="3:24" ht="12.75" customHeight="1" x14ac:dyDescent="0.35">
      <c r="C314" s="192"/>
      <c r="D314" s="199" t="s">
        <v>413</v>
      </c>
      <c r="E314" s="200" t="str">
        <f>Translations!$B$261</f>
        <v>Directly attributable emissions (DirEm*)</v>
      </c>
      <c r="F314" s="201"/>
      <c r="G314" s="201"/>
      <c r="H314" s="201"/>
      <c r="I314" s="201"/>
      <c r="J314" s="201"/>
      <c r="K314" s="205" t="str">
        <f>CONST_tCO2eq</f>
        <v>tCO2e</v>
      </c>
      <c r="L314" s="213"/>
      <c r="M314" s="195"/>
      <c r="N314" s="196"/>
      <c r="O314" s="902"/>
      <c r="P314" s="144"/>
      <c r="R314" s="102" t="str">
        <f>CONST_EmDir&amp;G271</f>
        <v>EmDir_</v>
      </c>
      <c r="S314" s="102" t="str">
        <f>CONST_CNTR_EmbedEmDir&amp;G271</f>
        <v>EmbedEmDir_</v>
      </c>
      <c r="T314" s="124" t="str">
        <f>IF(G271="","",L314)</f>
        <v/>
      </c>
      <c r="V314" s="157" t="str">
        <f>IF(L271&lt;&gt;"",IF(L314&lt;&gt;"",TRUE,CONST_ErrorOrMissing&amp;C271),CONST_NA)</f>
        <v>n.a.</v>
      </c>
      <c r="X314" s="104"/>
    </row>
    <row r="315" spans="3:24" ht="5.15" customHeight="1" x14ac:dyDescent="0.35">
      <c r="C315" s="192"/>
      <c r="D315" s="204"/>
      <c r="E315" s="198"/>
      <c r="F315" s="195"/>
      <c r="G315" s="195"/>
      <c r="H315" s="195"/>
      <c r="I315" s="195"/>
      <c r="J315" s="195"/>
      <c r="K315" s="195"/>
      <c r="L315" s="199"/>
      <c r="M315" s="199"/>
      <c r="N315" s="196"/>
      <c r="O315" s="901"/>
      <c r="P315" s="144"/>
      <c r="T315" s="712"/>
    </row>
    <row r="316" spans="3:24" ht="12.75" customHeight="1" x14ac:dyDescent="0.35">
      <c r="C316" s="192"/>
      <c r="D316" s="199" t="s">
        <v>414</v>
      </c>
      <c r="E316" s="198" t="str">
        <f>Translations!$B$262</f>
        <v>Import and export of measurable heat</v>
      </c>
      <c r="F316" s="195"/>
      <c r="G316" s="195"/>
      <c r="H316" s="195"/>
      <c r="I316" s="195"/>
      <c r="J316" s="195"/>
      <c r="K316" s="199" t="str">
        <f>Translations!$B$221</f>
        <v>Unit</v>
      </c>
      <c r="L316" s="199" t="str">
        <f>Translations!$B$263</f>
        <v>Imported</v>
      </c>
      <c r="M316" s="199" t="str">
        <f>Translations!$B$264</f>
        <v>Exported</v>
      </c>
      <c r="N316" s="196"/>
      <c r="O316" s="901"/>
      <c r="P316" s="144"/>
      <c r="T316" s="712"/>
      <c r="W316" s="104" t="s">
        <v>34</v>
      </c>
      <c r="X316" s="102" t="b">
        <f>AND(K310&lt;&gt;"",K310=FALSE)</f>
        <v>0</v>
      </c>
    </row>
    <row r="317" spans="3:24" ht="12.75" customHeight="1" x14ac:dyDescent="0.35">
      <c r="C317" s="192"/>
      <c r="D317" s="197" t="s">
        <v>41</v>
      </c>
      <c r="E317" s="201" t="str">
        <f>Translations!$B$265</f>
        <v>Amount of net measurable heat</v>
      </c>
      <c r="F317" s="201"/>
      <c r="G317" s="201"/>
      <c r="H317" s="201"/>
      <c r="I317" s="201"/>
      <c r="J317" s="201"/>
      <c r="K317" s="205" t="s">
        <v>118</v>
      </c>
      <c r="L317" s="213"/>
      <c r="M317" s="213"/>
      <c r="N317" s="196"/>
      <c r="O317" s="902"/>
      <c r="P317" s="144"/>
      <c r="T317" s="712"/>
      <c r="V317" s="157" t="str">
        <f>IF(AND(L271&lt;&gt;"",X317=FALSE),IF(COUNTA(L317:M317)=2,TRUE,CONST_ErrorOrMissing&amp;C271),CONST_NA)</f>
        <v>n.a.</v>
      </c>
      <c r="X317" s="102" t="b">
        <f>X316</f>
        <v>0</v>
      </c>
    </row>
    <row r="318" spans="3:24" ht="12.75" customHeight="1" x14ac:dyDescent="0.35">
      <c r="C318" s="192"/>
      <c r="D318" s="197" t="s">
        <v>42</v>
      </c>
      <c r="E318" s="201" t="str">
        <f>Translations!$B$266</f>
        <v>Emissions factor</v>
      </c>
      <c r="F318" s="201"/>
      <c r="G318" s="201"/>
      <c r="H318" s="201"/>
      <c r="I318" s="201"/>
      <c r="J318" s="201"/>
      <c r="K318" s="205" t="str">
        <f>CONST_tCO2pTJ</f>
        <v>tCO2/TJ</v>
      </c>
      <c r="L318" s="214"/>
      <c r="M318" s="214"/>
      <c r="N318" s="196"/>
      <c r="O318" s="902"/>
      <c r="P318" s="144"/>
      <c r="R318" s="102" t="str">
        <f>CONST_EmDirHeat&amp;G271</f>
        <v>EmDirHeat_</v>
      </c>
      <c r="S318" s="102" t="str">
        <f>CONST_CNTR_EmbedEmDir&amp;G271</f>
        <v>EmbedEmDir_</v>
      </c>
      <c r="T318" s="124" t="str">
        <f>IF(G271="","",SUM(L317*L318-M317*M318))</f>
        <v/>
      </c>
      <c r="V318" s="157" t="str">
        <f>IF(AND(L271&lt;&gt;"",X318=FALSE),IF(COUNTA(L318:M318)=2,TRUE,CONST_ErrorOrMissing&amp;C271),CONST_NA)</f>
        <v>n.a.</v>
      </c>
      <c r="X318" s="102" t="b">
        <f>X317</f>
        <v>0</v>
      </c>
    </row>
    <row r="319" spans="3:24" ht="5.15" customHeight="1" x14ac:dyDescent="0.35">
      <c r="C319" s="192"/>
      <c r="D319" s="204"/>
      <c r="E319" s="198"/>
      <c r="F319" s="195"/>
      <c r="G319" s="195"/>
      <c r="H319" s="195"/>
      <c r="I319" s="195"/>
      <c r="J319" s="195"/>
      <c r="K319" s="195"/>
      <c r="L319" s="199"/>
      <c r="M319" s="199"/>
      <c r="N319" s="196"/>
      <c r="O319" s="901"/>
      <c r="P319" s="144"/>
      <c r="T319" s="712"/>
    </row>
    <row r="320" spans="3:24" ht="12.75" customHeight="1" x14ac:dyDescent="0.35">
      <c r="C320" s="192"/>
      <c r="D320" s="199" t="s">
        <v>415</v>
      </c>
      <c r="E320" s="198" t="str">
        <f>Translations!$B$256</f>
        <v>Waste gases</v>
      </c>
      <c r="F320" s="195"/>
      <c r="G320" s="195"/>
      <c r="H320" s="195"/>
      <c r="I320" s="195"/>
      <c r="J320" s="195"/>
      <c r="K320" s="199" t="str">
        <f>Translations!$B$221</f>
        <v>Unit</v>
      </c>
      <c r="L320" s="199" t="str">
        <f>Translations!$B$263</f>
        <v>Imported</v>
      </c>
      <c r="M320" s="199" t="str">
        <f>Translations!$B$264</f>
        <v>Exported</v>
      </c>
      <c r="N320" s="196"/>
      <c r="O320" s="901"/>
      <c r="P320" s="144"/>
      <c r="T320" s="712"/>
      <c r="W320" s="104" t="s">
        <v>34</v>
      </c>
      <c r="X320" s="102" t="b">
        <f>AND(L310&lt;&gt;"",L310=FALSE)</f>
        <v>0</v>
      </c>
    </row>
    <row r="321" spans="1:24" ht="12.75" customHeight="1" x14ac:dyDescent="0.35">
      <c r="C321" s="192"/>
      <c r="D321" s="197" t="s">
        <v>41</v>
      </c>
      <c r="E321" s="201" t="str">
        <f>Translations!$B$267</f>
        <v>Amount of waste gas</v>
      </c>
      <c r="F321" s="201"/>
      <c r="G321" s="201"/>
      <c r="H321" s="201"/>
      <c r="I321" s="201"/>
      <c r="J321" s="201"/>
      <c r="K321" s="205" t="str">
        <f>CONST_TJ</f>
        <v>TJ</v>
      </c>
      <c r="L321" s="213"/>
      <c r="M321" s="213"/>
      <c r="N321" s="196"/>
      <c r="O321" s="902"/>
      <c r="P321" s="144"/>
      <c r="T321" s="712"/>
      <c r="V321" s="157" t="str">
        <f>IF(AND(L271&lt;&gt;"",X321=FALSE),IF(COUNTA(L321:M321)=2,TRUE,CONST_ErrorOrMissing&amp;C271),CONST_NA)</f>
        <v>n.a.</v>
      </c>
      <c r="X321" s="102" t="b">
        <f>X320</f>
        <v>0</v>
      </c>
    </row>
    <row r="322" spans="1:24" ht="12.75" customHeight="1" x14ac:dyDescent="0.35">
      <c r="C322" s="192"/>
      <c r="D322" s="197" t="s">
        <v>42</v>
      </c>
      <c r="E322" s="201" t="str">
        <f>Translations!$B$268</f>
        <v>Emission factor</v>
      </c>
      <c r="F322" s="201"/>
      <c r="G322" s="201"/>
      <c r="H322" s="201"/>
      <c r="I322" s="201"/>
      <c r="J322" s="201"/>
      <c r="K322" s="205" t="str">
        <f>CONST_tCO2pTJ</f>
        <v>tCO2/TJ</v>
      </c>
      <c r="L322" s="300"/>
      <c r="M322" s="300"/>
      <c r="N322" s="196"/>
      <c r="O322" s="901"/>
      <c r="P322" s="144"/>
      <c r="R322" s="102" t="str">
        <f>CONST_EmDirWasteGases&amp;G271</f>
        <v>EmDirWG_</v>
      </c>
      <c r="S322" s="102" t="str">
        <f>CONST_CNTR_EmbedEmDir&amp;G271</f>
        <v>EmbedEmDir_</v>
      </c>
      <c r="T322" s="124" t="str">
        <f>IF(G271="","",SUM(L321*CONST_EFNatGas-M321*CONST_EFNatGas*0.667))</f>
        <v/>
      </c>
      <c r="X322" s="102" t="b">
        <f>X321</f>
        <v>0</v>
      </c>
    </row>
    <row r="323" spans="1:24" ht="5.15" customHeight="1" x14ac:dyDescent="0.35">
      <c r="C323" s="192"/>
      <c r="D323" s="204"/>
      <c r="E323" s="198"/>
      <c r="F323" s="195"/>
      <c r="G323" s="195"/>
      <c r="H323" s="195"/>
      <c r="I323" s="195"/>
      <c r="J323" s="195"/>
      <c r="K323" s="195"/>
      <c r="L323" s="195"/>
      <c r="M323" s="195"/>
      <c r="N323" s="196"/>
      <c r="O323" s="901"/>
      <c r="P323" s="144"/>
      <c r="T323" s="712"/>
    </row>
    <row r="324" spans="1:24" ht="12.75" customHeight="1" x14ac:dyDescent="0.35">
      <c r="C324" s="192"/>
      <c r="D324" s="199" t="s">
        <v>416</v>
      </c>
      <c r="E324" s="198" t="str">
        <f>Translations!$B$269</f>
        <v>Indirect emissions from electricity consumption</v>
      </c>
      <c r="F324" s="195"/>
      <c r="G324" s="195"/>
      <c r="H324" s="195"/>
      <c r="I324" s="195"/>
      <c r="J324" s="195"/>
      <c r="K324" s="199" t="str">
        <f>Translations!$B$221</f>
        <v>Unit</v>
      </c>
      <c r="L324" s="199" t="str">
        <f>Translations!$B$260</f>
        <v>Value</v>
      </c>
      <c r="M324" s="195"/>
      <c r="N324" s="196"/>
      <c r="O324" s="901"/>
      <c r="P324" s="144"/>
      <c r="T324" s="712"/>
      <c r="W324" s="104" t="s">
        <v>34</v>
      </c>
      <c r="X324" s="102" t="b">
        <f>M310=FALSE</f>
        <v>0</v>
      </c>
    </row>
    <row r="325" spans="1:24" ht="12.75" customHeight="1" x14ac:dyDescent="0.35">
      <c r="C325" s="192"/>
      <c r="D325" s="197" t="s">
        <v>41</v>
      </c>
      <c r="E325" s="201" t="str">
        <f>Translations!$B$270</f>
        <v>Electricity consumption</v>
      </c>
      <c r="F325" s="201"/>
      <c r="G325" s="201"/>
      <c r="H325" s="201"/>
      <c r="I325" s="201"/>
      <c r="J325" s="201"/>
      <c r="K325" s="205" t="str">
        <f>CONST_MWh</f>
        <v>MWh</v>
      </c>
      <c r="L325" s="213"/>
      <c r="M325" s="195"/>
      <c r="N325" s="196"/>
      <c r="O325" s="902"/>
      <c r="P325" s="144"/>
      <c r="R325" s="102" t="str">
        <f>CONST_ElecConsumption&amp;G271</f>
        <v>ElecCons_</v>
      </c>
      <c r="T325" s="124" t="str">
        <f>IF(G271="","",L325)</f>
        <v/>
      </c>
      <c r="V325" s="157" t="str">
        <f>IF(AND(L271&lt;&gt;"",X325=FALSE),IF(L325&lt;&gt;"",TRUE,CONST_ErrorOrMissing&amp;C271),CONST_NA)</f>
        <v>n.a.</v>
      </c>
      <c r="X325" s="102" t="b">
        <f>X324</f>
        <v>0</v>
      </c>
    </row>
    <row r="326" spans="1:24" ht="12.75" customHeight="1" x14ac:dyDescent="0.35">
      <c r="C326" s="192"/>
      <c r="D326" s="197" t="s">
        <v>42</v>
      </c>
      <c r="E326" s="201" t="str">
        <f>Translations!$B$271</f>
        <v>Emission factor of the electricity</v>
      </c>
      <c r="F326" s="201"/>
      <c r="G326" s="201"/>
      <c r="H326" s="201"/>
      <c r="I326" s="201"/>
      <c r="J326" s="201"/>
      <c r="K326" s="205" t="str">
        <f>CONST_tCO2&amp;"/"&amp;CONST_MWh</f>
        <v>tCO2/MWh</v>
      </c>
      <c r="L326" s="215"/>
      <c r="M326" s="195"/>
      <c r="N326" s="196"/>
      <c r="O326" s="902"/>
      <c r="P326" s="144"/>
      <c r="S326" s="102" t="str">
        <f>CONST_CNTR_EmbedEmInDir&amp;G271</f>
        <v>EmbedEmInDir_</v>
      </c>
      <c r="T326" s="124" t="str">
        <f>IF(G271="","",SUM(L325)*SUM(L326))</f>
        <v/>
      </c>
      <c r="V326" s="157" t="str">
        <f>IF(AND(L271&lt;&gt;"",X326=FALSE),IF(L326&lt;&gt;"",TRUE,CONST_ErrorOrMissing&amp;C271),CONST_NA)</f>
        <v>n.a.</v>
      </c>
      <c r="X326" s="102" t="b">
        <f>X325</f>
        <v>0</v>
      </c>
    </row>
    <row r="327" spans="1:24" ht="12.75" customHeight="1" x14ac:dyDescent="0.35">
      <c r="C327" s="192"/>
      <c r="D327" s="197" t="s">
        <v>43</v>
      </c>
      <c r="E327" s="201" t="str">
        <f>Translations!$B$272</f>
        <v>Source of the emission factor</v>
      </c>
      <c r="F327" s="201"/>
      <c r="G327" s="201"/>
      <c r="H327" s="201"/>
      <c r="I327" s="201"/>
      <c r="J327" s="201"/>
      <c r="K327" s="299" t="s">
        <v>206</v>
      </c>
      <c r="L327" s="215"/>
      <c r="M327" s="195"/>
      <c r="N327" s="196"/>
      <c r="O327" s="902"/>
      <c r="P327" s="144"/>
      <c r="R327" s="102" t="str">
        <f>CONST_CNTR_ElecEFMethod&amp;G271</f>
        <v>ElecEFMeth_</v>
      </c>
      <c r="T327" s="714" t="str">
        <f>IF(L327="","",L327)</f>
        <v/>
      </c>
      <c r="V327" s="157" t="str">
        <f>IF(AND(L271&lt;&gt;"",X327=FALSE),IF(L327&lt;&gt;"",TRUE,CONST_ErrorOrMissing&amp;C271),CONST_NA)</f>
        <v>n.a.</v>
      </c>
      <c r="X327" s="102" t="b">
        <f>X326</f>
        <v>0</v>
      </c>
    </row>
    <row r="328" spans="1:24" ht="5.15" customHeight="1" x14ac:dyDescent="0.35">
      <c r="C328" s="192"/>
      <c r="D328" s="204"/>
      <c r="E328" s="198"/>
      <c r="F328" s="195"/>
      <c r="G328" s="195"/>
      <c r="H328" s="195"/>
      <c r="I328" s="195"/>
      <c r="J328" s="195"/>
      <c r="K328" s="195"/>
      <c r="L328" s="195"/>
      <c r="M328" s="195"/>
      <c r="N328" s="196"/>
      <c r="O328" s="901"/>
      <c r="P328" s="144"/>
      <c r="T328" s="712"/>
    </row>
    <row r="329" spans="1:24" ht="12.75" customHeight="1" x14ac:dyDescent="0.35">
      <c r="C329" s="192"/>
      <c r="D329" s="204"/>
      <c r="E329" s="198"/>
      <c r="F329" s="195"/>
      <c r="G329" s="195"/>
      <c r="H329" s="195"/>
      <c r="I329" s="195"/>
      <c r="J329" s="195"/>
      <c r="K329" s="195"/>
      <c r="L329" s="195"/>
      <c r="M329" s="195"/>
      <c r="N329" s="196"/>
      <c r="O329" s="901"/>
      <c r="P329" s="144"/>
      <c r="T329" s="712"/>
      <c r="X329" s="171"/>
    </row>
    <row r="330" spans="1:24" ht="12.75" customHeight="1" x14ac:dyDescent="0.35">
      <c r="C330" s="192"/>
      <c r="D330" s="199" t="s">
        <v>417</v>
      </c>
      <c r="E330" s="198" t="str">
        <f>Translations!$B$273</f>
        <v>Electricity exported from the production process</v>
      </c>
      <c r="F330" s="195"/>
      <c r="G330" s="195"/>
      <c r="H330" s="195"/>
      <c r="I330" s="195"/>
      <c r="J330" s="195"/>
      <c r="K330" s="199" t="str">
        <f>Translations!$B$221</f>
        <v>Unit</v>
      </c>
      <c r="L330" s="199" t="str">
        <f>Translations!$B$260</f>
        <v>Value</v>
      </c>
      <c r="M330" s="195"/>
      <c r="N330" s="196"/>
      <c r="O330" s="901"/>
      <c r="P330" s="144"/>
      <c r="T330" s="712"/>
      <c r="X330" s="171"/>
    </row>
    <row r="331" spans="1:24" ht="12.75" customHeight="1" x14ac:dyDescent="0.35">
      <c r="C331" s="192"/>
      <c r="D331" s="197" t="s">
        <v>41</v>
      </c>
      <c r="E331" s="201" t="str">
        <f>Translations!$B$274</f>
        <v>Amounts exported</v>
      </c>
      <c r="F331" s="201"/>
      <c r="G331" s="201"/>
      <c r="H331" s="201"/>
      <c r="I331" s="201"/>
      <c r="J331" s="201"/>
      <c r="K331" s="205" t="s">
        <v>51</v>
      </c>
      <c r="L331" s="213"/>
      <c r="M331" s="195"/>
      <c r="N331" s="196"/>
      <c r="O331" s="902"/>
      <c r="P331" s="144"/>
      <c r="T331" s="712"/>
      <c r="V331" s="157" t="str">
        <f>IF(L271&lt;&gt;"",IF(L331&lt;&gt;"",TRUE,CONST_ErrorOrMissing&amp;C271),CONST_NA)</f>
        <v>n.a.</v>
      </c>
      <c r="X331" s="171"/>
    </row>
    <row r="332" spans="1:24" ht="12.75" customHeight="1" x14ac:dyDescent="0.35">
      <c r="C332" s="192"/>
      <c r="D332" s="197" t="s">
        <v>42</v>
      </c>
      <c r="E332" s="201" t="str">
        <f>Translations!$B$271</f>
        <v>Emission factor of the electricity</v>
      </c>
      <c r="F332" s="201"/>
      <c r="G332" s="201"/>
      <c r="H332" s="201"/>
      <c r="I332" s="201"/>
      <c r="J332" s="201"/>
      <c r="K332" s="205" t="str">
        <f>CONST_tCO2&amp;"/"&amp;CONST_MWh</f>
        <v>tCO2/MWh</v>
      </c>
      <c r="L332" s="215"/>
      <c r="M332" s="195"/>
      <c r="N332" s="196"/>
      <c r="O332" s="902"/>
      <c r="P332" s="144"/>
      <c r="S332" s="102" t="str">
        <f>CONST_CNTR_EmbedEmDir&amp;G271</f>
        <v>EmbedEmDir_</v>
      </c>
      <c r="T332" s="124" t="str">
        <f>IF(G271="","",-SUM(L331)*SUM(L332))</f>
        <v/>
      </c>
      <c r="V332" s="157" t="str">
        <f>IF(AND(L271&lt;&gt;"",SUM(L331)&gt;0),IF(L332&lt;&gt;"",TRUE,CONST_ErrorOrMissing&amp;C271),CONST_NA)</f>
        <v>n.a.</v>
      </c>
      <c r="X332" s="171"/>
    </row>
    <row r="333" spans="1:24" s="144" customFormat="1" ht="12.75" customHeight="1" thickBot="1" x14ac:dyDescent="0.4">
      <c r="A333" s="91"/>
      <c r="B333" s="93"/>
      <c r="C333" s="206"/>
      <c r="D333" s="207"/>
      <c r="E333" s="208"/>
      <c r="F333" s="209"/>
      <c r="G333" s="209"/>
      <c r="H333" s="209"/>
      <c r="I333" s="209"/>
      <c r="J333" s="209"/>
      <c r="K333" s="209"/>
      <c r="L333" s="209"/>
      <c r="M333" s="209"/>
      <c r="N333" s="210"/>
      <c r="O333" s="901"/>
      <c r="Q333" s="93"/>
      <c r="R333" s="91"/>
      <c r="S333" s="91"/>
      <c r="T333" s="712"/>
      <c r="U333" s="91"/>
      <c r="V333" s="91"/>
      <c r="W333" s="104"/>
      <c r="X333" s="91"/>
    </row>
    <row r="334" spans="1:24" s="144" customFormat="1" ht="12.75" customHeight="1" thickBot="1" x14ac:dyDescent="0.4">
      <c r="A334" s="91"/>
      <c r="B334" s="93"/>
      <c r="C334" s="93"/>
      <c r="D334" s="93"/>
      <c r="E334" s="93"/>
      <c r="F334" s="93"/>
      <c r="G334" s="93"/>
      <c r="H334" s="93"/>
      <c r="I334" s="93"/>
      <c r="J334" s="93"/>
      <c r="K334" s="93"/>
      <c r="L334" s="93"/>
      <c r="M334" s="93"/>
      <c r="N334" s="93"/>
      <c r="O334" s="901"/>
      <c r="Q334" s="93"/>
      <c r="R334" s="91"/>
      <c r="S334" s="91"/>
      <c r="T334" s="712"/>
      <c r="U334" s="91"/>
      <c r="V334" s="91"/>
      <c r="W334" s="104"/>
      <c r="X334" s="91"/>
    </row>
    <row r="335" spans="1:24" ht="12.75" customHeight="1" thickBot="1" x14ac:dyDescent="0.4">
      <c r="B335" s="145"/>
      <c r="C335" s="145"/>
      <c r="D335" s="145"/>
      <c r="E335" s="145"/>
      <c r="F335" s="145"/>
      <c r="G335" s="145"/>
      <c r="H335" s="145"/>
      <c r="I335" s="145"/>
      <c r="J335" s="145"/>
      <c r="K335" s="145"/>
      <c r="L335" s="145"/>
      <c r="M335" s="145"/>
      <c r="N335" s="145"/>
      <c r="O335" s="903"/>
      <c r="P335" s="144"/>
      <c r="T335" s="712"/>
    </row>
    <row r="336" spans="1:24" ht="18" customHeight="1" thickBot="1" x14ac:dyDescent="0.4">
      <c r="C336" s="147">
        <f>C271+1</f>
        <v>6</v>
      </c>
      <c r="D336" s="148" t="str">
        <f>CONST_ProductionProcess &amp; " " &amp; C336 &amp; ":"</f>
        <v>Production process 6:</v>
      </c>
      <c r="G336" s="1313" t="str">
        <f>IF(INDEX(CNTR_List_ExistProdProcNames,R336)=CONST_NA,"",INDEX(CNTR_List_ExistProdProcNames,R336))</f>
        <v/>
      </c>
      <c r="H336" s="1314"/>
      <c r="I336" s="1314"/>
      <c r="J336" s="1314"/>
      <c r="K336" s="1315"/>
      <c r="L336" s="1316" t="str">
        <f>IF(INDEX(CNTR_List_ExistProdProc,R336)=CONST_NA,"",INDEX(CNTR_List_ExistProdProc,R336))</f>
        <v/>
      </c>
      <c r="M336" s="1317"/>
      <c r="N336" s="1318"/>
      <c r="O336" s="901"/>
      <c r="P336" s="144"/>
      <c r="R336" s="149">
        <f>C336</f>
        <v>6</v>
      </c>
      <c r="T336" s="712"/>
      <c r="W336" s="104" t="s">
        <v>2748</v>
      </c>
      <c r="X336" s="150" t="b">
        <f>AND(CNTR_HasEntriesA,G336="")</f>
        <v>0</v>
      </c>
    </row>
    <row r="337" spans="1:24" ht="5.15" customHeight="1" x14ac:dyDescent="0.35">
      <c r="D337" s="103"/>
      <c r="E337" s="100"/>
      <c r="O337" s="901"/>
      <c r="P337" s="144"/>
      <c r="T337" s="712"/>
    </row>
    <row r="338" spans="1:24" ht="12.75" customHeight="1" x14ac:dyDescent="0.35">
      <c r="D338" s="103"/>
      <c r="E338" s="1290" t="str">
        <f ca="1">HYPERLINK("#"&amp;ADDRESS(MATCH($S338,G_FurtherGuidance!$S:$S,0),3,,,G_FurtherGuidance!$U$2),CONST_LinkToGuidanceSheet)</f>
        <v>Please click on this link for further guidance on how to complete this section.</v>
      </c>
      <c r="F338" s="1319"/>
      <c r="G338" s="1319"/>
      <c r="H338" s="1319"/>
      <c r="I338" s="1319"/>
      <c r="J338" s="1319"/>
      <c r="K338" s="1319"/>
      <c r="L338" s="1319"/>
      <c r="M338" s="1319"/>
      <c r="O338" s="901"/>
      <c r="P338" s="144"/>
      <c r="R338" s="104" t="s">
        <v>2771</v>
      </c>
      <c r="S338" s="105">
        <v>3</v>
      </c>
      <c r="T338" s="712"/>
    </row>
    <row r="339" spans="1:24" ht="5.15" customHeight="1" x14ac:dyDescent="0.35">
      <c r="D339" s="103"/>
      <c r="E339" s="100"/>
      <c r="O339" s="901"/>
      <c r="P339" s="144"/>
      <c r="T339" s="712"/>
    </row>
    <row r="340" spans="1:24" ht="12.75" customHeight="1" x14ac:dyDescent="0.35">
      <c r="D340" s="117" t="s">
        <v>135</v>
      </c>
      <c r="E340" s="100" t="str">
        <f>Translations!$B$243</f>
        <v>Total production levels:</v>
      </c>
      <c r="H340" s="151" t="str">
        <f>Translations!$B$244</f>
        <v>Production route</v>
      </c>
      <c r="J340" s="144"/>
      <c r="K340" s="152" t="str">
        <f>Translations!$B$221</f>
        <v>Unit</v>
      </c>
      <c r="L340" s="152" t="str">
        <f>Translations!$B$245</f>
        <v>Amounts</v>
      </c>
      <c r="O340" s="901"/>
      <c r="P340" s="144"/>
      <c r="T340" s="712"/>
    </row>
    <row r="341" spans="1:24" ht="12.75" customHeight="1" x14ac:dyDescent="0.35">
      <c r="D341" s="173">
        <v>1</v>
      </c>
      <c r="E341" s="153" t="str">
        <f>IF(G336="","",G336) &amp; IF(L336="",""," | " &amp; L336)</f>
        <v/>
      </c>
      <c r="F341" s="153"/>
      <c r="G341" s="153"/>
      <c r="H341" s="154" t="str">
        <f>IF(L336="","",INDEX(CONST_MATRIX_ProductionRoute,MATCH(L336,CONST_LIST_Goods,0),D341))</f>
        <v/>
      </c>
      <c r="I341" s="153"/>
      <c r="J341" s="153"/>
      <c r="K341" s="155" t="str">
        <f>IF(L336="","",INDEX(CONST_LIST_GoodsUnit,MATCH(L336,CONST_LIST_Goods,0)))</f>
        <v/>
      </c>
      <c r="L341" s="29"/>
      <c r="O341" s="902"/>
      <c r="P341" s="144"/>
      <c r="S341" s="105">
        <v>1</v>
      </c>
      <c r="T341" s="713"/>
      <c r="V341" s="157" t="str">
        <f>IF(AND(G336&lt;&gt;"",E341&lt;&gt;"",L341&lt;&gt;""),TRUE,IF(AND(G336&lt;&gt;"",OR(AND(E341&lt;&gt;"",L341=""),AND(E341="",L341&lt;&gt;""))),CONST_ErrorOrMissing&amp;C336,CONST_NA))</f>
        <v>n.a.</v>
      </c>
    </row>
    <row r="342" spans="1:24" ht="12.75" customHeight="1" x14ac:dyDescent="0.35">
      <c r="D342" s="173">
        <v>2</v>
      </c>
      <c r="E342" s="158" t="str">
        <f t="shared" ref="E342:E348" si="20">IF(H342=CONST_NA,"",E341)</f>
        <v/>
      </c>
      <c r="F342" s="158"/>
      <c r="G342" s="158"/>
      <c r="H342" s="159" t="str">
        <f>IF(L336="","",INDEX(CONST_MATRIX_ProductionRoute,MATCH(L336,CONST_LIST_Goods,0),D342))</f>
        <v/>
      </c>
      <c r="I342" s="158"/>
      <c r="J342" s="158"/>
      <c r="K342" s="160" t="str">
        <f t="shared" ref="K342:K348" si="21">IF(H342=CONST_NA,"",K341)</f>
        <v/>
      </c>
      <c r="L342" s="30"/>
      <c r="O342" s="902"/>
      <c r="P342" s="144"/>
      <c r="S342" s="105">
        <v>2</v>
      </c>
      <c r="T342" s="713"/>
      <c r="V342" s="157" t="str">
        <f>IF(AND(G336&lt;&gt;"",E342&lt;&gt;"",L342&lt;&gt;""),TRUE,IF(AND(G336&lt;&gt;"",OR(AND(E342&lt;&gt;"",L342=""),AND(E342="",L342&lt;&gt;""))),CONST_ErrorOrMissing&amp;C336,CONST_NA))</f>
        <v>n.a.</v>
      </c>
    </row>
    <row r="343" spans="1:24" ht="12.75" customHeight="1" x14ac:dyDescent="0.35">
      <c r="D343" s="173">
        <v>3</v>
      </c>
      <c r="E343" s="158" t="str">
        <f t="shared" si="20"/>
        <v/>
      </c>
      <c r="F343" s="158"/>
      <c r="G343" s="158"/>
      <c r="H343" s="159" t="str">
        <f>IF(L336="","",INDEX(CONST_MATRIX_ProductionRoute,MATCH(L336,CONST_LIST_Goods,0),D343))</f>
        <v/>
      </c>
      <c r="I343" s="158"/>
      <c r="J343" s="158"/>
      <c r="K343" s="160" t="str">
        <f t="shared" si="21"/>
        <v/>
      </c>
      <c r="L343" s="30"/>
      <c r="O343" s="902"/>
      <c r="P343" s="144"/>
      <c r="S343" s="105">
        <v>3</v>
      </c>
      <c r="T343" s="713"/>
      <c r="V343" s="157" t="str">
        <f>IF(AND(G336&lt;&gt;"",E343&lt;&gt;"",L343&lt;&gt;""),TRUE,IF(AND(G336&lt;&gt;"",OR(AND(E343&lt;&gt;"",L343=""),AND(E343="",L343&lt;&gt;""))),CONST_ErrorOrMissing&amp;C336,CONST_NA))</f>
        <v>n.a.</v>
      </c>
    </row>
    <row r="344" spans="1:24" ht="12.75" customHeight="1" x14ac:dyDescent="0.35">
      <c r="D344" s="173">
        <v>4</v>
      </c>
      <c r="E344" s="158" t="str">
        <f t="shared" si="20"/>
        <v/>
      </c>
      <c r="F344" s="158"/>
      <c r="G344" s="158"/>
      <c r="H344" s="159" t="str">
        <f>IF(L336="","",INDEX(CONST_MATRIX_ProductionRoute,MATCH(L336,CONST_LIST_Goods,0),D344))</f>
        <v/>
      </c>
      <c r="I344" s="158"/>
      <c r="J344" s="158"/>
      <c r="K344" s="160" t="str">
        <f t="shared" si="21"/>
        <v/>
      </c>
      <c r="L344" s="30"/>
      <c r="O344" s="902"/>
      <c r="P344" s="144"/>
      <c r="S344" s="105">
        <v>4</v>
      </c>
      <c r="T344" s="713"/>
      <c r="V344" s="157" t="str">
        <f>IF(AND(G336&lt;&gt;"",E344&lt;&gt;"",L344&lt;&gt;""),TRUE,IF(AND(G336&lt;&gt;"",OR(AND(E344&lt;&gt;"",L344=""),AND(E344="",L344&lt;&gt;""))),CONST_ErrorOrMissing&amp;C336,CONST_NA))</f>
        <v>n.a.</v>
      </c>
    </row>
    <row r="345" spans="1:24" ht="12.75" customHeight="1" x14ac:dyDescent="0.35">
      <c r="D345" s="173">
        <v>5</v>
      </c>
      <c r="E345" s="158" t="str">
        <f t="shared" si="20"/>
        <v/>
      </c>
      <c r="F345" s="158"/>
      <c r="G345" s="158"/>
      <c r="H345" s="159" t="str">
        <f>IF(L336="","",INDEX(CONST_MATRIX_ProductionRoute,MATCH(L336,CONST_LIST_Goods,0),D345))</f>
        <v/>
      </c>
      <c r="I345" s="158"/>
      <c r="J345" s="158"/>
      <c r="K345" s="160" t="str">
        <f t="shared" si="21"/>
        <v/>
      </c>
      <c r="L345" s="30"/>
      <c r="O345" s="902"/>
      <c r="P345" s="144"/>
      <c r="S345" s="105">
        <v>5</v>
      </c>
      <c r="T345" s="713"/>
      <c r="V345" s="157" t="str">
        <f>IF(AND(G336&lt;&gt;"",E345&lt;&gt;"",L345&lt;&gt;""),TRUE,IF(AND(G336&lt;&gt;"",OR(AND(E345&lt;&gt;"",L345=""),AND(E345="",L345&lt;&gt;""))),CONST_ErrorOrMissing&amp;C336,CONST_NA))</f>
        <v>n.a.</v>
      </c>
    </row>
    <row r="346" spans="1:24" ht="12.75" customHeight="1" x14ac:dyDescent="0.35">
      <c r="D346" s="173">
        <v>6</v>
      </c>
      <c r="E346" s="158" t="str">
        <f t="shared" si="20"/>
        <v/>
      </c>
      <c r="F346" s="158"/>
      <c r="G346" s="158"/>
      <c r="H346" s="159" t="str">
        <f>IF(L336="","",INDEX(CONST_MATRIX_ProductionRoute,MATCH(L336,CONST_LIST_Goods,0),D346))</f>
        <v/>
      </c>
      <c r="I346" s="158"/>
      <c r="J346" s="158"/>
      <c r="K346" s="160" t="str">
        <f t="shared" si="21"/>
        <v/>
      </c>
      <c r="L346" s="30"/>
      <c r="O346" s="902"/>
      <c r="P346" s="144"/>
      <c r="S346" s="105">
        <v>6</v>
      </c>
      <c r="T346" s="713"/>
      <c r="V346" s="157" t="str">
        <f>IF(AND(G336&lt;&gt;"",E346&lt;&gt;"",L346&lt;&gt;""),TRUE,IF(AND(G336&lt;&gt;"",OR(AND(E346&lt;&gt;"",L346=""),AND(E346="",L346&lt;&gt;""))),CONST_ErrorOrMissing&amp;C336,CONST_NA))</f>
        <v>n.a.</v>
      </c>
    </row>
    <row r="347" spans="1:24" ht="12.75" customHeight="1" x14ac:dyDescent="0.35">
      <c r="D347" s="173">
        <v>7</v>
      </c>
      <c r="E347" s="158" t="str">
        <f t="shared" si="20"/>
        <v/>
      </c>
      <c r="F347" s="158"/>
      <c r="G347" s="158"/>
      <c r="H347" s="159" t="str">
        <f>IF(L336="","",INDEX(CONST_MATRIX_ProductionRoute,MATCH(L336,CONST_LIST_Goods,0),D347))</f>
        <v/>
      </c>
      <c r="I347" s="158"/>
      <c r="J347" s="158"/>
      <c r="K347" s="160" t="str">
        <f t="shared" si="21"/>
        <v/>
      </c>
      <c r="L347" s="30"/>
      <c r="O347" s="902"/>
      <c r="P347" s="144"/>
      <c r="S347" s="105">
        <v>7</v>
      </c>
      <c r="T347" s="713"/>
      <c r="V347" s="157" t="str">
        <f>IF(AND(G336&lt;&gt;"",E347&lt;&gt;"",L347&lt;&gt;""),TRUE,IF(AND(G336&lt;&gt;"",OR(AND(E347&lt;&gt;"",L347=""),AND(E347="",L347&lt;&gt;""))),CONST_ErrorOrMissing&amp;C336,CONST_NA))</f>
        <v>n.a.</v>
      </c>
    </row>
    <row r="348" spans="1:24" ht="12.75" customHeight="1" x14ac:dyDescent="0.35">
      <c r="D348" s="173">
        <v>8</v>
      </c>
      <c r="E348" s="161" t="str">
        <f t="shared" si="20"/>
        <v/>
      </c>
      <c r="F348" s="161"/>
      <c r="G348" s="161"/>
      <c r="H348" s="162" t="str">
        <f>IF(L336="","",INDEX(CONST_MATRIX_ProductionRoute,MATCH(L336,CONST_LIST_Goods,0),D348))</f>
        <v/>
      </c>
      <c r="I348" s="161"/>
      <c r="J348" s="161"/>
      <c r="K348" s="163" t="str">
        <f t="shared" si="21"/>
        <v/>
      </c>
      <c r="L348" s="31"/>
      <c r="O348" s="902"/>
      <c r="P348" s="144"/>
      <c r="S348" s="105">
        <v>8</v>
      </c>
      <c r="T348" s="713"/>
      <c r="V348" s="157" t="str">
        <f>IF(AND(G336&lt;&gt;"",E348&lt;&gt;"",L348&lt;&gt;""),TRUE,IF(AND(G336&lt;&gt;"",OR(AND(E348&lt;&gt;"",L348=""),AND(E348="",L348&lt;&gt;""))),CONST_ErrorOrMissing&amp;C336,CONST_NA))</f>
        <v>n.a.</v>
      </c>
    </row>
    <row r="349" spans="1:24" ht="12.75" customHeight="1" x14ac:dyDescent="0.35">
      <c r="D349" s="103"/>
      <c r="E349" s="138" t="str">
        <f>Translations!$B$246</f>
        <v>Total production within installation (= denominator for SEE calculation):</v>
      </c>
      <c r="F349" s="138"/>
      <c r="G349" s="138"/>
      <c r="H349" s="164"/>
      <c r="I349" s="138"/>
      <c r="J349" s="138"/>
      <c r="K349" s="165" t="str">
        <f>K341</f>
        <v/>
      </c>
      <c r="L349" s="140" t="str">
        <f>IF(G336="","",SUM(L341:L348))</f>
        <v/>
      </c>
      <c r="O349" s="901"/>
      <c r="P349" s="144"/>
      <c r="R349" s="102" t="str">
        <f>CONST_CNTR_TotProd&amp;G336</f>
        <v>TotProd_</v>
      </c>
      <c r="T349" s="124" t="str">
        <f>IF(G336="","",L349)</f>
        <v/>
      </c>
    </row>
    <row r="350" spans="1:24" s="144" customFormat="1" ht="5.15" customHeight="1" x14ac:dyDescent="0.35">
      <c r="A350" s="91"/>
      <c r="B350" s="93"/>
      <c r="C350" s="93"/>
      <c r="D350" s="166"/>
      <c r="E350" s="167"/>
      <c r="N350" s="93"/>
      <c r="O350" s="901"/>
      <c r="Q350" s="93"/>
      <c r="R350" s="91"/>
      <c r="S350" s="91"/>
      <c r="T350" s="712"/>
      <c r="U350" s="91"/>
      <c r="V350" s="91"/>
      <c r="W350" s="104"/>
      <c r="X350" s="91"/>
    </row>
    <row r="351" spans="1:24" s="144" customFormat="1" ht="12.75" customHeight="1" x14ac:dyDescent="0.35">
      <c r="A351" s="91"/>
      <c r="B351" s="93"/>
      <c r="C351" s="93"/>
      <c r="D351" s="168" t="s">
        <v>48</v>
      </c>
      <c r="E351" s="167" t="str">
        <f>Translations!$B$247</f>
        <v>Production details</v>
      </c>
      <c r="F351" s="167"/>
      <c r="G351" s="167"/>
      <c r="H351" s="168"/>
      <c r="K351" s="168" t="str">
        <f>Translations!$B$221</f>
        <v>Unit</v>
      </c>
      <c r="L351" s="168" t="str">
        <f>Translations!$B$245</f>
        <v>Amounts</v>
      </c>
      <c r="N351" s="93"/>
      <c r="O351" s="901"/>
      <c r="Q351" s="93"/>
      <c r="R351" s="91"/>
      <c r="S351" s="91"/>
      <c r="T351" s="712"/>
      <c r="U351" s="91"/>
      <c r="V351" s="91"/>
      <c r="W351" s="104"/>
      <c r="X351" s="91"/>
    </row>
    <row r="352" spans="1:24" s="144" customFormat="1" ht="12.75" customHeight="1" x14ac:dyDescent="0.35">
      <c r="A352" s="91"/>
      <c r="B352" s="93"/>
      <c r="C352" s="93"/>
      <c r="D352" s="132" t="s">
        <v>41</v>
      </c>
      <c r="E352" s="138" t="str">
        <f>Translations!$B$248</f>
        <v>Produced for the market</v>
      </c>
      <c r="F352" s="138"/>
      <c r="G352" s="138"/>
      <c r="H352" s="138"/>
      <c r="I352" s="138"/>
      <c r="J352" s="138"/>
      <c r="K352" s="169" t="str">
        <f>K341</f>
        <v/>
      </c>
      <c r="L352" s="211"/>
      <c r="N352" s="93"/>
      <c r="O352" s="902"/>
      <c r="Q352" s="93"/>
      <c r="R352" s="102" t="str">
        <f>CONST_GoodToMarket&amp;G336</f>
        <v>ToMarket_</v>
      </c>
      <c r="S352" s="91"/>
      <c r="T352" s="124" t="str">
        <f>IF($G$11="","",L352)</f>
        <v/>
      </c>
      <c r="U352" s="91"/>
      <c r="V352" s="157" t="str">
        <f>IF(AND(G336&lt;&gt;"",L352&lt;&gt;""),TRUE,IF(AND(G336&lt;&gt;"",OR(L352="",L341&lt;&gt;"")),CONST_ErrorOrMissing&amp;C336,CONST_NA))</f>
        <v>n.a.</v>
      </c>
      <c r="W352" s="104"/>
      <c r="X352" s="91"/>
    </row>
    <row r="353" spans="1:24" s="144" customFormat="1" ht="12.75" customHeight="1" x14ac:dyDescent="0.35">
      <c r="A353" s="91"/>
      <c r="B353" s="93"/>
      <c r="C353" s="93"/>
      <c r="D353" s="132" t="s">
        <v>42</v>
      </c>
      <c r="E353" s="133" t="str">
        <f>Translations!$B$249</f>
        <v>Share of total under (a) produced for the market</v>
      </c>
      <c r="F353" s="288"/>
      <c r="G353" s="288"/>
      <c r="H353" s="288"/>
      <c r="I353" s="288"/>
      <c r="J353" s="288"/>
      <c r="K353" s="288"/>
      <c r="L353" s="289" t="str">
        <f>IF(AND(COUNT(L349,L352)=2,SUM(L349&gt;0)),SUM(L352)/SUM(L349),"")</f>
        <v/>
      </c>
      <c r="N353" s="93"/>
      <c r="O353" s="901"/>
      <c r="Q353" s="93"/>
      <c r="R353" s="171"/>
      <c r="S353" s="91"/>
      <c r="T353" s="712"/>
      <c r="U353" s="91"/>
      <c r="V353" s="172"/>
      <c r="W353" s="104"/>
      <c r="X353" s="91"/>
    </row>
    <row r="354" spans="1:24" s="144" customFormat="1" ht="12.75" customHeight="1" x14ac:dyDescent="0.35">
      <c r="A354" s="91"/>
      <c r="B354" s="93"/>
      <c r="C354" s="93"/>
      <c r="D354" s="132" t="s">
        <v>43</v>
      </c>
      <c r="E354" s="136" t="str">
        <f>Translations!$B$250</f>
        <v>Total production only for the market?</v>
      </c>
      <c r="F354" s="290"/>
      <c r="G354" s="290"/>
      <c r="H354" s="290"/>
      <c r="I354" s="290"/>
      <c r="J354" s="290"/>
      <c r="K354" s="290"/>
      <c r="L354" s="291" t="str">
        <f>IF(G336="","",AND(SUM(L349)&gt;0,SUM(L349)=SUM(L352)))</f>
        <v/>
      </c>
      <c r="N354" s="93"/>
      <c r="O354" s="901"/>
      <c r="Q354" s="93"/>
      <c r="R354" s="171"/>
      <c r="S354" s="91"/>
      <c r="T354" s="712"/>
      <c r="U354" s="91"/>
      <c r="V354" s="91"/>
      <c r="W354" s="104"/>
      <c r="X354" s="91"/>
    </row>
    <row r="355" spans="1:24" s="144" customFormat="1" ht="5.15" customHeight="1" x14ac:dyDescent="0.35">
      <c r="A355" s="91"/>
      <c r="B355" s="93"/>
      <c r="C355" s="93"/>
      <c r="D355" s="166"/>
      <c r="E355" s="167"/>
      <c r="N355" s="93"/>
      <c r="O355" s="901"/>
      <c r="Q355" s="93"/>
      <c r="R355" s="91"/>
      <c r="S355" s="91"/>
      <c r="T355" s="712"/>
      <c r="U355" s="91"/>
      <c r="V355" s="91"/>
      <c r="W355" s="104"/>
      <c r="X355" s="91"/>
    </row>
    <row r="356" spans="1:24" s="144" customFormat="1" ht="12.75" customHeight="1" x14ac:dyDescent="0.35">
      <c r="A356" s="91"/>
      <c r="B356" s="93"/>
      <c r="C356" s="93"/>
      <c r="D356" s="168" t="s">
        <v>49</v>
      </c>
      <c r="E356" s="167" t="str">
        <f>Translations!$B$251</f>
        <v>Consumed in other 'production processes' within the installation:</v>
      </c>
      <c r="F356" s="167"/>
      <c r="G356" s="167"/>
      <c r="H356" s="167"/>
      <c r="I356" s="167"/>
      <c r="J356" s="167"/>
      <c r="K356" s="168" t="str">
        <f>Translations!$B$221</f>
        <v>Unit</v>
      </c>
      <c r="L356" s="168" t="str">
        <f>Translations!$B$245</f>
        <v>Amounts</v>
      </c>
      <c r="N356" s="93"/>
      <c r="O356" s="901"/>
      <c r="Q356" s="93"/>
      <c r="R356" s="91"/>
      <c r="S356" s="123" t="s">
        <v>195</v>
      </c>
      <c r="T356" s="712"/>
      <c r="U356" s="91"/>
      <c r="V356" s="91"/>
      <c r="W356" s="104" t="s">
        <v>34</v>
      </c>
      <c r="X356" s="102" t="b">
        <f>IF(G336="",FALSE,L354)</f>
        <v>0</v>
      </c>
    </row>
    <row r="357" spans="1:24" s="144" customFormat="1" ht="12.75" customHeight="1" x14ac:dyDescent="0.35">
      <c r="A357" s="91"/>
      <c r="B357" s="93"/>
      <c r="C357" s="93"/>
      <c r="D357" s="173">
        <v>1</v>
      </c>
      <c r="E357" s="174" t="str">
        <f t="shared" ref="E357:E365" si="22">IF(INDEX(CNTR_List_ExistProdProcNames,S357)=CONST_NA,"",INDEX(CNTR_List_ExistProdProcNames,S357))</f>
        <v/>
      </c>
      <c r="F357" s="175"/>
      <c r="G357" s="175"/>
      <c r="H357" s="175"/>
      <c r="I357" s="175"/>
      <c r="J357" s="176"/>
      <c r="K357" s="155" t="str">
        <f>K341</f>
        <v/>
      </c>
      <c r="L357" s="29"/>
      <c r="N357" s="93"/>
      <c r="O357" s="902"/>
      <c r="Q357" s="93"/>
      <c r="R357" s="102" t="str">
        <f>CONST_PrecursorToGoodInput&amp;G336 &amp;"_"&amp;E357</f>
        <v>PrecToGood__</v>
      </c>
      <c r="S357" s="105">
        <f>MAX(S356:S356)+IF(D357=C336,2,1)</f>
        <v>1</v>
      </c>
      <c r="T357" s="124" t="str">
        <f>IF(G336="","",L357)</f>
        <v/>
      </c>
      <c r="U357" s="91"/>
      <c r="V357" s="157" t="str">
        <f>IF(AND(G336&lt;&gt;"",E357&lt;&gt;"",L357&lt;&gt;""),TRUE,IF(AND(G336&lt;&gt;"",E357&lt;&gt;"",L357="",X357=FALSE),CONST_ErrorOrMissing&amp;C336,CONST_NA))</f>
        <v>n.a.</v>
      </c>
      <c r="W357" s="104" t="s">
        <v>34</v>
      </c>
      <c r="X357" s="102" t="b">
        <f>IF(G336="",FALSE,OR(L354,E357=""))</f>
        <v>0</v>
      </c>
    </row>
    <row r="358" spans="1:24" s="144" customFormat="1" ht="12.75" customHeight="1" x14ac:dyDescent="0.35">
      <c r="A358" s="91"/>
      <c r="B358" s="93"/>
      <c r="C358" s="93"/>
      <c r="D358" s="173">
        <v>2</v>
      </c>
      <c r="E358" s="177" t="str">
        <f t="shared" si="22"/>
        <v/>
      </c>
      <c r="F358" s="178"/>
      <c r="G358" s="178"/>
      <c r="H358" s="178"/>
      <c r="I358" s="178"/>
      <c r="J358" s="179"/>
      <c r="K358" s="160" t="str">
        <f>K357</f>
        <v/>
      </c>
      <c r="L358" s="30"/>
      <c r="N358" s="93"/>
      <c r="O358" s="902"/>
      <c r="Q358" s="93"/>
      <c r="R358" s="102" t="str">
        <f>CONST_PrecursorToGoodInput&amp;G336 &amp;"_"&amp;E358</f>
        <v>PrecToGood__</v>
      </c>
      <c r="S358" s="105">
        <f>MAX(S356:S357)+IF(D358=C336,2,1)</f>
        <v>2</v>
      </c>
      <c r="T358" s="124" t="str">
        <f>IF(G336="","",L358)</f>
        <v/>
      </c>
      <c r="U358" s="91"/>
      <c r="V358" s="157" t="str">
        <f>IF(AND(G336&lt;&gt;"",E358&lt;&gt;"",L358&lt;&gt;""),TRUE,IF(AND(G336&lt;&gt;"",E358&lt;&gt;"",L358="",X358=FALSE),CONST_ErrorOrMissing&amp;C336,CONST_NA))</f>
        <v>n.a.</v>
      </c>
      <c r="W358" s="104"/>
      <c r="X358" s="102" t="b">
        <f>IF(G336="",FALSE,OR(L354,E358=""))</f>
        <v>0</v>
      </c>
    </row>
    <row r="359" spans="1:24" s="144" customFormat="1" ht="12.75" customHeight="1" x14ac:dyDescent="0.35">
      <c r="A359" s="91"/>
      <c r="B359" s="93"/>
      <c r="C359" s="93"/>
      <c r="D359" s="173">
        <v>3</v>
      </c>
      <c r="E359" s="177" t="str">
        <f t="shared" si="22"/>
        <v/>
      </c>
      <c r="F359" s="178"/>
      <c r="G359" s="178"/>
      <c r="H359" s="178"/>
      <c r="I359" s="178"/>
      <c r="J359" s="179"/>
      <c r="K359" s="160" t="str">
        <f t="shared" ref="K359:K367" si="23">K358</f>
        <v/>
      </c>
      <c r="L359" s="30"/>
      <c r="N359" s="93"/>
      <c r="O359" s="902"/>
      <c r="Q359" s="93"/>
      <c r="R359" s="102" t="str">
        <f>CONST_PrecursorToGoodInput&amp;G336 &amp;"_"&amp;E359</f>
        <v>PrecToGood__</v>
      </c>
      <c r="S359" s="105">
        <f>MAX(S356:S358)+IF(D359=C336,2,1)</f>
        <v>3</v>
      </c>
      <c r="T359" s="124" t="str">
        <f>IF(G336="","",L359)</f>
        <v/>
      </c>
      <c r="U359" s="91"/>
      <c r="V359" s="157" t="str">
        <f>IF(AND(G336&lt;&gt;"",E359&lt;&gt;"",L359&lt;&gt;""),TRUE,IF(AND(G336&lt;&gt;"",E359&lt;&gt;"",L359="",X359=FALSE),CONST_ErrorOrMissing&amp;C336,CONST_NA))</f>
        <v>n.a.</v>
      </c>
      <c r="W359" s="104"/>
      <c r="X359" s="102" t="b">
        <f>IF(G336="",FALSE,OR(L354,E359=""))</f>
        <v>0</v>
      </c>
    </row>
    <row r="360" spans="1:24" s="144" customFormat="1" ht="12.75" customHeight="1" x14ac:dyDescent="0.35">
      <c r="A360" s="91"/>
      <c r="B360" s="93"/>
      <c r="C360" s="93"/>
      <c r="D360" s="173">
        <v>4</v>
      </c>
      <c r="E360" s="177" t="str">
        <f t="shared" si="22"/>
        <v/>
      </c>
      <c r="F360" s="178"/>
      <c r="G360" s="178"/>
      <c r="H360" s="178"/>
      <c r="I360" s="178"/>
      <c r="J360" s="179"/>
      <c r="K360" s="160" t="str">
        <f t="shared" si="23"/>
        <v/>
      </c>
      <c r="L360" s="30"/>
      <c r="N360" s="93"/>
      <c r="O360" s="902"/>
      <c r="Q360" s="93"/>
      <c r="R360" s="102" t="str">
        <f>CONST_PrecursorToGoodInput&amp;G336 &amp;"_"&amp;E360</f>
        <v>PrecToGood__</v>
      </c>
      <c r="S360" s="105">
        <f>MAX(S356:S359)+IF(D360=C336,2,1)</f>
        <v>4</v>
      </c>
      <c r="T360" s="124" t="str">
        <f>IF(G336="","",L360)</f>
        <v/>
      </c>
      <c r="U360" s="91"/>
      <c r="V360" s="157" t="str">
        <f>IF(AND(G336&lt;&gt;"",E360&lt;&gt;"",L360&lt;&gt;""),TRUE,IF(AND(G336&lt;&gt;"",E360&lt;&gt;"",L360="",X360=FALSE),CONST_ErrorOrMissing&amp;C336,CONST_NA))</f>
        <v>n.a.</v>
      </c>
      <c r="W360" s="104"/>
      <c r="X360" s="102" t="b">
        <f>IF(G336="",FALSE,OR(L354,E360=""))</f>
        <v>0</v>
      </c>
    </row>
    <row r="361" spans="1:24" s="144" customFormat="1" ht="12.75" customHeight="1" x14ac:dyDescent="0.35">
      <c r="A361" s="91"/>
      <c r="B361" s="93"/>
      <c r="C361" s="93"/>
      <c r="D361" s="173">
        <v>5</v>
      </c>
      <c r="E361" s="180" t="str">
        <f t="shared" si="22"/>
        <v/>
      </c>
      <c r="F361" s="181"/>
      <c r="G361" s="181"/>
      <c r="H361" s="181"/>
      <c r="I361" s="181"/>
      <c r="J361" s="182"/>
      <c r="K361" s="183" t="str">
        <f t="shared" si="23"/>
        <v/>
      </c>
      <c r="L361" s="212"/>
      <c r="N361" s="93"/>
      <c r="O361" s="902"/>
      <c r="Q361" s="93"/>
      <c r="R361" s="102" t="str">
        <f>CONST_PrecursorToGoodInput&amp;G336 &amp;"_"&amp;E361</f>
        <v>PrecToGood__</v>
      </c>
      <c r="S361" s="105">
        <f>MAX(S356:S360)+IF(D361=C336,2,1)</f>
        <v>5</v>
      </c>
      <c r="T361" s="124" t="str">
        <f>IF(G336="","",L361)</f>
        <v/>
      </c>
      <c r="U361" s="91"/>
      <c r="V361" s="157" t="str">
        <f>IF(AND(G336&lt;&gt;"",E361&lt;&gt;"",L361&lt;&gt;""),TRUE,IF(AND(G336&lt;&gt;"",E361&lt;&gt;"",L361="",X361=FALSE),CONST_ErrorOrMissing&amp;C336,CONST_NA))</f>
        <v>n.a.</v>
      </c>
      <c r="W361" s="104"/>
      <c r="X361" s="102" t="b">
        <f>IF(G336="",FALSE,OR(L354,E361=""))</f>
        <v>0</v>
      </c>
    </row>
    <row r="362" spans="1:24" s="144" customFormat="1" ht="12.75" customHeight="1" x14ac:dyDescent="0.35">
      <c r="A362" s="91"/>
      <c r="B362" s="93"/>
      <c r="C362" s="93"/>
      <c r="D362" s="173">
        <v>6</v>
      </c>
      <c r="E362" s="180" t="str">
        <f t="shared" si="22"/>
        <v/>
      </c>
      <c r="F362" s="181"/>
      <c r="G362" s="181"/>
      <c r="H362" s="181"/>
      <c r="I362" s="181"/>
      <c r="J362" s="182"/>
      <c r="K362" s="183" t="str">
        <f t="shared" si="23"/>
        <v/>
      </c>
      <c r="L362" s="212"/>
      <c r="N362" s="93"/>
      <c r="O362" s="902"/>
      <c r="Q362" s="93"/>
      <c r="R362" s="102" t="str">
        <f>CONST_PrecursorToGoodInput&amp;G336 &amp;"_"&amp;E362</f>
        <v>PrecToGood__</v>
      </c>
      <c r="S362" s="105">
        <f>MAX(S356:S361)+IF(D362=C336,2,1)</f>
        <v>7</v>
      </c>
      <c r="T362" s="124" t="str">
        <f>IF(G336="","",L362)</f>
        <v/>
      </c>
      <c r="U362" s="91"/>
      <c r="V362" s="157" t="str">
        <f>IF(AND(G336&lt;&gt;"",E362&lt;&gt;"",L362&lt;&gt;""),TRUE,IF(AND(G336&lt;&gt;"",E362&lt;&gt;"",L362="",X362=FALSE),CONST_ErrorOrMissing&amp;C336,CONST_NA))</f>
        <v>n.a.</v>
      </c>
      <c r="W362" s="104"/>
      <c r="X362" s="102" t="b">
        <f>IF(G336="",FALSE,OR(L354,E362=""))</f>
        <v>0</v>
      </c>
    </row>
    <row r="363" spans="1:24" s="144" customFormat="1" ht="12.75" customHeight="1" x14ac:dyDescent="0.35">
      <c r="A363" s="91"/>
      <c r="B363" s="93"/>
      <c r="C363" s="93"/>
      <c r="D363" s="173">
        <v>7</v>
      </c>
      <c r="E363" s="180" t="str">
        <f t="shared" si="22"/>
        <v/>
      </c>
      <c r="F363" s="181"/>
      <c r="G363" s="181"/>
      <c r="H363" s="181"/>
      <c r="I363" s="181"/>
      <c r="J363" s="182"/>
      <c r="K363" s="183" t="str">
        <f t="shared" si="23"/>
        <v/>
      </c>
      <c r="L363" s="212"/>
      <c r="N363" s="93"/>
      <c r="O363" s="902"/>
      <c r="Q363" s="93"/>
      <c r="R363" s="102" t="str">
        <f>CONST_PrecursorToGoodInput&amp;G336 &amp;"_"&amp;E363</f>
        <v>PrecToGood__</v>
      </c>
      <c r="S363" s="105">
        <f>MAX(S356:S362)+IF(D363=C336,2,1)</f>
        <v>8</v>
      </c>
      <c r="T363" s="124" t="str">
        <f>IF(G336="","",L363)</f>
        <v/>
      </c>
      <c r="U363" s="91"/>
      <c r="V363" s="157" t="str">
        <f>IF(AND(G336&lt;&gt;"",E363&lt;&gt;"",L363&lt;&gt;""),TRUE,IF(AND(G336&lt;&gt;"",E363&lt;&gt;"",L363="",X363=FALSE),CONST_ErrorOrMissing&amp;C336,CONST_NA))</f>
        <v>n.a.</v>
      </c>
      <c r="W363" s="104"/>
      <c r="X363" s="102" t="b">
        <f>IF(G336="",FALSE,OR(L354,E363=""))</f>
        <v>0</v>
      </c>
    </row>
    <row r="364" spans="1:24" s="144" customFormat="1" ht="12.75" customHeight="1" x14ac:dyDescent="0.35">
      <c r="A364" s="91"/>
      <c r="B364" s="93"/>
      <c r="C364" s="93"/>
      <c r="D364" s="173">
        <v>8</v>
      </c>
      <c r="E364" s="180" t="str">
        <f t="shared" si="22"/>
        <v/>
      </c>
      <c r="F364" s="181"/>
      <c r="G364" s="181"/>
      <c r="H364" s="181"/>
      <c r="I364" s="181"/>
      <c r="J364" s="182"/>
      <c r="K364" s="183" t="str">
        <f t="shared" si="23"/>
        <v/>
      </c>
      <c r="L364" s="212"/>
      <c r="N364" s="93"/>
      <c r="O364" s="902"/>
      <c r="Q364" s="93"/>
      <c r="R364" s="102" t="str">
        <f>CONST_PrecursorToGoodInput&amp;G336 &amp;"_"&amp;E364</f>
        <v>PrecToGood__</v>
      </c>
      <c r="S364" s="105">
        <f>MAX(S356:S363)+IF(D364=C336,2,1)</f>
        <v>9</v>
      </c>
      <c r="T364" s="124" t="str">
        <f>IF(G336="","",L364)</f>
        <v/>
      </c>
      <c r="U364" s="91"/>
      <c r="V364" s="157" t="str">
        <f>IF(AND(G336&lt;&gt;"",E364&lt;&gt;"",L364&lt;&gt;""),TRUE,IF(AND(G336&lt;&gt;"",E364&lt;&gt;"",L364="",X364=FALSE),CONST_ErrorOrMissing&amp;C336,CONST_NA))</f>
        <v>n.a.</v>
      </c>
      <c r="W364" s="104"/>
      <c r="X364" s="102" t="b">
        <f>IF(G336="",FALSE,OR(L354,E364=""))</f>
        <v>0</v>
      </c>
    </row>
    <row r="365" spans="1:24" s="144" customFormat="1" ht="12.75" customHeight="1" x14ac:dyDescent="0.35">
      <c r="A365" s="91"/>
      <c r="B365" s="93"/>
      <c r="C365" s="93"/>
      <c r="D365" s="173">
        <v>9</v>
      </c>
      <c r="E365" s="184" t="str">
        <f t="shared" si="22"/>
        <v/>
      </c>
      <c r="F365" s="185"/>
      <c r="G365" s="185"/>
      <c r="H365" s="185"/>
      <c r="I365" s="185"/>
      <c r="J365" s="186"/>
      <c r="K365" s="163" t="str">
        <f t="shared" si="23"/>
        <v/>
      </c>
      <c r="L365" s="31"/>
      <c r="N365" s="93"/>
      <c r="O365" s="902"/>
      <c r="Q365" s="93"/>
      <c r="R365" s="102" t="str">
        <f>CONST_PrecursorToGoodInput&amp;G336 &amp;"_"&amp;E365</f>
        <v>PrecToGood__</v>
      </c>
      <c r="S365" s="105">
        <f>MAX(S356:S364)+IF(D365=C336,2,1)</f>
        <v>10</v>
      </c>
      <c r="T365" s="124" t="str">
        <f>IF(G336="","",L365)</f>
        <v/>
      </c>
      <c r="U365" s="91"/>
      <c r="V365" s="157" t="str">
        <f>IF(AND(G336&lt;&gt;"",E365&lt;&gt;"",L365&lt;&gt;""),TRUE,IF(AND(G336&lt;&gt;"",E365&lt;&gt;"",L365="",X365=FALSE),CONST_ErrorOrMissing&amp;C336,CONST_NA))</f>
        <v>n.a.</v>
      </c>
      <c r="W365" s="104"/>
      <c r="X365" s="102" t="b">
        <f>IF(G336="",FALSE,OR(L354,E365=""))</f>
        <v>0</v>
      </c>
    </row>
    <row r="366" spans="1:24" s="144" customFormat="1" ht="12.75" customHeight="1" x14ac:dyDescent="0.35">
      <c r="A366" s="91"/>
      <c r="B366" s="93"/>
      <c r="C366" s="93"/>
      <c r="D366" s="168" t="s">
        <v>377</v>
      </c>
      <c r="E366" s="167" t="str">
        <f>Translations!$B$252</f>
        <v>Consumed for non-CBAM goods within the installation:</v>
      </c>
      <c r="F366" s="167"/>
      <c r="G366" s="167"/>
      <c r="H366" s="167"/>
      <c r="I366" s="167"/>
      <c r="J366" s="167"/>
      <c r="K366" s="297" t="str">
        <f t="shared" si="23"/>
        <v/>
      </c>
      <c r="L366" s="298"/>
      <c r="N366" s="93"/>
      <c r="O366" s="902"/>
      <c r="Q366" s="93"/>
      <c r="R366" s="91"/>
      <c r="S366" s="91"/>
      <c r="T366" s="712"/>
      <c r="U366" s="91"/>
      <c r="V366" s="157" t="str">
        <f>IF(AND(G336&lt;&gt;"",L366&lt;&gt;""),TRUE,IF(AND(G336&lt;&gt;"",L366="",X366=FALSE),CONST_ErrorOrMissing&amp;C336,CONST_NA))</f>
        <v>n.a.</v>
      </c>
      <c r="W366" s="104" t="s">
        <v>34</v>
      </c>
      <c r="X366" s="102" t="b">
        <f>IF(G336="",FALSE,L354)</f>
        <v>0</v>
      </c>
    </row>
    <row r="367" spans="1:24" s="144" customFormat="1" ht="12.75" customHeight="1" x14ac:dyDescent="0.35">
      <c r="A367" s="91"/>
      <c r="B367" s="93"/>
      <c r="C367" s="93"/>
      <c r="D367" s="168" t="s">
        <v>411</v>
      </c>
      <c r="E367" s="138" t="str">
        <f>Translations!$B$253</f>
        <v>Control:</v>
      </c>
      <c r="F367" s="170"/>
      <c r="G367" s="170"/>
      <c r="H367" s="170"/>
      <c r="I367" s="170"/>
      <c r="J367" s="170"/>
      <c r="K367" s="169" t="str">
        <f t="shared" si="23"/>
        <v/>
      </c>
      <c r="L367" s="118" t="str">
        <f>IF(G336="","",SUM(L349)-SUM(L352,L357:L366))</f>
        <v/>
      </c>
      <c r="N367" s="93"/>
      <c r="O367" s="902"/>
      <c r="Q367" s="93"/>
      <c r="R367" s="91"/>
      <c r="S367" s="91"/>
      <c r="T367" s="712"/>
      <c r="U367" s="91"/>
      <c r="V367" s="157" t="str">
        <f>IF(AND(G336&lt;&gt;"",L367=0),TRUE,IF(AND(G336&lt;&gt;"",L367&lt;&gt;0,X367=FALSE),CONST_ErrorOrMissing&amp;C336,CONST_NA))</f>
        <v>n.a.</v>
      </c>
      <c r="W367" s="104"/>
      <c r="X367" s="102" t="b">
        <f>IF(G336="",FALSE,L354)</f>
        <v>0</v>
      </c>
    </row>
    <row r="368" spans="1:24" s="144" customFormat="1" ht="12.75" customHeight="1" thickBot="1" x14ac:dyDescent="0.4">
      <c r="A368" s="91"/>
      <c r="B368" s="93"/>
      <c r="C368" s="93"/>
      <c r="D368" s="93"/>
      <c r="E368" s="93"/>
      <c r="F368" s="93"/>
      <c r="G368" s="93"/>
      <c r="H368" s="93"/>
      <c r="I368" s="93"/>
      <c r="J368" s="93"/>
      <c r="K368" s="93"/>
      <c r="L368" s="93"/>
      <c r="M368" s="93"/>
      <c r="N368" s="93"/>
      <c r="O368" s="901"/>
      <c r="Q368" s="93"/>
      <c r="R368" s="91"/>
      <c r="S368" s="91"/>
      <c r="T368" s="712"/>
      <c r="U368" s="91"/>
      <c r="V368" s="91"/>
      <c r="W368" s="104"/>
      <c r="X368" s="91"/>
    </row>
    <row r="369" spans="3:24" ht="12.75" customHeight="1" x14ac:dyDescent="0.35">
      <c r="C369" s="187"/>
      <c r="D369" s="188"/>
      <c r="E369" s="189"/>
      <c r="F369" s="190"/>
      <c r="G369" s="190"/>
      <c r="H369" s="190"/>
      <c r="I369" s="190"/>
      <c r="J369" s="190"/>
      <c r="K369" s="190"/>
      <c r="L369" s="190"/>
      <c r="M369" s="190"/>
      <c r="N369" s="191"/>
      <c r="O369" s="901"/>
      <c r="P369" s="144"/>
      <c r="T369" s="712"/>
    </row>
    <row r="370" spans="3:24" ht="15" customHeight="1" x14ac:dyDescent="0.35">
      <c r="C370" s="192"/>
      <c r="D370" s="193" t="str">
        <f>Translations!$B$254</f>
        <v>Calculation of the attributed emissions:</v>
      </c>
      <c r="E370" s="194"/>
      <c r="F370" s="195"/>
      <c r="G370" s="195"/>
      <c r="H370" s="195"/>
      <c r="I370" s="195"/>
      <c r="J370" s="1310" t="str">
        <f>IF(G336="","",G336)</f>
        <v/>
      </c>
      <c r="K370" s="1310"/>
      <c r="L370" s="1310"/>
      <c r="M370" s="1310"/>
      <c r="N370" s="196"/>
      <c r="O370" s="901"/>
      <c r="P370" s="144"/>
      <c r="T370" s="712"/>
    </row>
    <row r="371" spans="3:24" ht="5.15" customHeight="1" x14ac:dyDescent="0.35">
      <c r="C371" s="192"/>
      <c r="D371" s="197"/>
      <c r="E371" s="198"/>
      <c r="F371" s="195"/>
      <c r="G371" s="195"/>
      <c r="H371" s="195"/>
      <c r="I371" s="195"/>
      <c r="J371" s="195"/>
      <c r="K371" s="195"/>
      <c r="L371" s="195"/>
      <c r="M371" s="195"/>
      <c r="N371" s="196"/>
      <c r="O371" s="901"/>
      <c r="P371" s="144"/>
      <c r="T371" s="712"/>
    </row>
    <row r="372" spans="3:24" ht="12.75" customHeight="1" x14ac:dyDescent="0.35">
      <c r="C372" s="192"/>
      <c r="D372" s="199"/>
      <c r="E372" s="1311" t="str">
        <f ca="1">HYPERLINK("#"&amp;ADDRESS(MATCH($S372,G_FurtherGuidance!$S:$S,0),3,,,G_FurtherGuidance!$U$2),CONST_LinkToGuidanceSheet)</f>
        <v>Please click on this link for further guidance on how to complete this section.</v>
      </c>
      <c r="F372" s="1312"/>
      <c r="G372" s="1312"/>
      <c r="H372" s="1312"/>
      <c r="I372" s="1312"/>
      <c r="J372" s="1312"/>
      <c r="K372" s="1312"/>
      <c r="L372" s="1312"/>
      <c r="M372" s="1312"/>
      <c r="N372" s="202"/>
      <c r="O372" s="901"/>
      <c r="P372" s="144"/>
      <c r="R372" s="104" t="s">
        <v>2771</v>
      </c>
      <c r="S372" s="105">
        <v>3</v>
      </c>
      <c r="T372" s="712"/>
    </row>
    <row r="373" spans="3:24" ht="5.15" customHeight="1" x14ac:dyDescent="0.35">
      <c r="C373" s="192"/>
      <c r="D373" s="197"/>
      <c r="E373" s="198"/>
      <c r="F373" s="195"/>
      <c r="G373" s="195"/>
      <c r="H373" s="195"/>
      <c r="I373" s="195"/>
      <c r="J373" s="198"/>
      <c r="K373" s="195"/>
      <c r="L373" s="195"/>
      <c r="M373" s="195"/>
      <c r="N373" s="196"/>
      <c r="O373" s="901"/>
      <c r="P373" s="144"/>
      <c r="T373" s="712"/>
      <c r="X373" s="104"/>
    </row>
    <row r="374" spans="3:24" ht="25" customHeight="1" x14ac:dyDescent="0.3">
      <c r="C374" s="192"/>
      <c r="D374" s="197"/>
      <c r="E374" s="198"/>
      <c r="F374" s="195"/>
      <c r="G374" s="195"/>
      <c r="H374" s="195"/>
      <c r="I374" s="195"/>
      <c r="J374" s="195"/>
      <c r="K374" s="203" t="str">
        <f>Translations!$B$255</f>
        <v>Measurable heat</v>
      </c>
      <c r="L374" s="203" t="str">
        <f>Translations!$B$255</f>
        <v>Measurable heat</v>
      </c>
      <c r="M374" s="203" t="str">
        <f>Translations!$B$257</f>
        <v>Indirect emissions</v>
      </c>
      <c r="N374" s="196"/>
      <c r="O374" s="901"/>
      <c r="P374" s="144"/>
      <c r="T374" s="712"/>
      <c r="X374" s="104"/>
    </row>
    <row r="375" spans="3:24" ht="12.75" customHeight="1" x14ac:dyDescent="0.35">
      <c r="C375" s="192"/>
      <c r="D375" s="199" t="s">
        <v>412</v>
      </c>
      <c r="E375" s="200" t="str">
        <f>Translations!$B$258</f>
        <v>Please select which elements are applicable</v>
      </c>
      <c r="F375" s="201"/>
      <c r="G375" s="201"/>
      <c r="H375" s="201"/>
      <c r="I375" s="201"/>
      <c r="J375" s="201"/>
      <c r="K375" s="120"/>
      <c r="L375" s="120"/>
      <c r="M375" s="169" t="str">
        <f>IF(L336="","",INDEX(CONST_LIST_GoodsIndRel,MATCH(L336,CONST_LIST_Goods,0)))</f>
        <v/>
      </c>
      <c r="N375" s="196"/>
      <c r="O375" s="902"/>
      <c r="P375" s="144"/>
      <c r="T375" s="712"/>
      <c r="V375" s="157" t="str">
        <f>IF(AND(L336&lt;&gt;"",X375=FALSE),IF(COUNTA(K375:L375)=2,TRUE,CONST_ErrorOrMissing&amp;C336),CONST_NA)</f>
        <v>n.a.</v>
      </c>
      <c r="X375" s="104"/>
    </row>
    <row r="376" spans="3:24" ht="12.75" customHeight="1" x14ac:dyDescent="0.35">
      <c r="C376" s="192"/>
      <c r="D376" s="204"/>
      <c r="E376" s="401" t="str">
        <f>Translations!$B$259</f>
        <v>Based on your selection, related sections below might become irrelevant and greyed out below.</v>
      </c>
      <c r="F376" s="195"/>
      <c r="G376" s="195"/>
      <c r="H376" s="195"/>
      <c r="I376" s="195"/>
      <c r="J376" s="195"/>
      <c r="K376" s="198"/>
      <c r="L376" s="195"/>
      <c r="M376" s="195"/>
      <c r="N376" s="196"/>
      <c r="O376" s="901"/>
      <c r="P376" s="144"/>
      <c r="T376" s="712"/>
      <c r="X376" s="104"/>
    </row>
    <row r="377" spans="3:24" ht="5.15" customHeight="1" x14ac:dyDescent="0.35">
      <c r="C377" s="192"/>
      <c r="D377" s="204"/>
      <c r="E377" s="198"/>
      <c r="F377" s="195"/>
      <c r="G377" s="195"/>
      <c r="H377" s="195"/>
      <c r="I377" s="195"/>
      <c r="J377" s="195"/>
      <c r="K377" s="198"/>
      <c r="L377" s="195"/>
      <c r="M377" s="195"/>
      <c r="N377" s="196"/>
      <c r="O377" s="901"/>
      <c r="P377" s="144"/>
      <c r="T377" s="712"/>
      <c r="X377" s="104"/>
    </row>
    <row r="378" spans="3:24" ht="12.75" customHeight="1" x14ac:dyDescent="0.35">
      <c r="C378" s="192"/>
      <c r="D378" s="204"/>
      <c r="E378" s="198"/>
      <c r="F378" s="195"/>
      <c r="G378" s="195"/>
      <c r="H378" s="195"/>
      <c r="I378" s="195"/>
      <c r="J378" s="195"/>
      <c r="K378" s="199" t="str">
        <f>Translations!$B$221</f>
        <v>Unit</v>
      </c>
      <c r="L378" s="199" t="str">
        <f>Translations!$B$260</f>
        <v>Value</v>
      </c>
      <c r="M378" s="195"/>
      <c r="N378" s="196"/>
      <c r="O378" s="901"/>
      <c r="P378" s="144"/>
      <c r="T378" s="712"/>
      <c r="X378" s="104"/>
    </row>
    <row r="379" spans="3:24" ht="12.75" customHeight="1" x14ac:dyDescent="0.35">
      <c r="C379" s="192"/>
      <c r="D379" s="199" t="s">
        <v>413</v>
      </c>
      <c r="E379" s="200" t="str">
        <f>Translations!$B$261</f>
        <v>Directly attributable emissions (DirEm*)</v>
      </c>
      <c r="F379" s="201"/>
      <c r="G379" s="201"/>
      <c r="H379" s="201"/>
      <c r="I379" s="201"/>
      <c r="J379" s="201"/>
      <c r="K379" s="205" t="str">
        <f>CONST_tCO2eq</f>
        <v>tCO2e</v>
      </c>
      <c r="L379" s="213"/>
      <c r="M379" s="195"/>
      <c r="N379" s="196"/>
      <c r="O379" s="902"/>
      <c r="P379" s="144"/>
      <c r="R379" s="102" t="str">
        <f>CONST_EmDir&amp;G336</f>
        <v>EmDir_</v>
      </c>
      <c r="S379" s="102" t="str">
        <f>CONST_CNTR_EmbedEmDir&amp;G336</f>
        <v>EmbedEmDir_</v>
      </c>
      <c r="T379" s="124" t="str">
        <f>IF(G336="","",L379)</f>
        <v/>
      </c>
      <c r="V379" s="157" t="str">
        <f>IF(L336&lt;&gt;"",IF(L379&lt;&gt;"",TRUE,CONST_ErrorOrMissing&amp;C336),CONST_NA)</f>
        <v>n.a.</v>
      </c>
      <c r="X379" s="104"/>
    </row>
    <row r="380" spans="3:24" ht="5.15" customHeight="1" x14ac:dyDescent="0.35">
      <c r="C380" s="192"/>
      <c r="D380" s="204"/>
      <c r="E380" s="198"/>
      <c r="F380" s="195"/>
      <c r="G380" s="195"/>
      <c r="H380" s="195"/>
      <c r="I380" s="195"/>
      <c r="J380" s="195"/>
      <c r="K380" s="195"/>
      <c r="L380" s="199"/>
      <c r="M380" s="199"/>
      <c r="N380" s="196"/>
      <c r="O380" s="901"/>
      <c r="P380" s="144"/>
      <c r="T380" s="712"/>
    </row>
    <row r="381" spans="3:24" ht="12.75" customHeight="1" x14ac:dyDescent="0.35">
      <c r="C381" s="192"/>
      <c r="D381" s="199" t="s">
        <v>414</v>
      </c>
      <c r="E381" s="198" t="str">
        <f>Translations!$B$262</f>
        <v>Import and export of measurable heat</v>
      </c>
      <c r="F381" s="195"/>
      <c r="G381" s="195"/>
      <c r="H381" s="195"/>
      <c r="I381" s="195"/>
      <c r="J381" s="195"/>
      <c r="K381" s="199" t="str">
        <f>Translations!$B$221</f>
        <v>Unit</v>
      </c>
      <c r="L381" s="199" t="str">
        <f>Translations!$B$263</f>
        <v>Imported</v>
      </c>
      <c r="M381" s="199" t="str">
        <f>Translations!$B$264</f>
        <v>Exported</v>
      </c>
      <c r="N381" s="196"/>
      <c r="O381" s="901"/>
      <c r="P381" s="144"/>
      <c r="T381" s="712"/>
      <c r="W381" s="104" t="s">
        <v>34</v>
      </c>
      <c r="X381" s="102" t="b">
        <f>AND(K375&lt;&gt;"",K375=FALSE)</f>
        <v>0</v>
      </c>
    </row>
    <row r="382" spans="3:24" ht="12.75" customHeight="1" x14ac:dyDescent="0.35">
      <c r="C382" s="192"/>
      <c r="D382" s="197" t="s">
        <v>41</v>
      </c>
      <c r="E382" s="201" t="str">
        <f>Translations!$B$265</f>
        <v>Amount of net measurable heat</v>
      </c>
      <c r="F382" s="201"/>
      <c r="G382" s="201"/>
      <c r="H382" s="201"/>
      <c r="I382" s="201"/>
      <c r="J382" s="201"/>
      <c r="K382" s="205" t="s">
        <v>118</v>
      </c>
      <c r="L382" s="213"/>
      <c r="M382" s="213"/>
      <c r="N382" s="196"/>
      <c r="O382" s="902"/>
      <c r="P382" s="144"/>
      <c r="T382" s="712"/>
      <c r="V382" s="157" t="str">
        <f>IF(AND(L336&lt;&gt;"",X382=FALSE),IF(COUNTA(L382:M382)=2,TRUE,CONST_ErrorOrMissing&amp;C336),CONST_NA)</f>
        <v>n.a.</v>
      </c>
      <c r="X382" s="102" t="b">
        <f>X381</f>
        <v>0</v>
      </c>
    </row>
    <row r="383" spans="3:24" ht="12.75" customHeight="1" x14ac:dyDescent="0.35">
      <c r="C383" s="192"/>
      <c r="D383" s="197" t="s">
        <v>42</v>
      </c>
      <c r="E383" s="201" t="str">
        <f>Translations!$B$266</f>
        <v>Emissions factor</v>
      </c>
      <c r="F383" s="201"/>
      <c r="G383" s="201"/>
      <c r="H383" s="201"/>
      <c r="I383" s="201"/>
      <c r="J383" s="201"/>
      <c r="K383" s="205" t="str">
        <f>CONST_tCO2pTJ</f>
        <v>tCO2/TJ</v>
      </c>
      <c r="L383" s="214"/>
      <c r="M383" s="214"/>
      <c r="N383" s="196"/>
      <c r="O383" s="902"/>
      <c r="P383" s="144"/>
      <c r="R383" s="102" t="str">
        <f>CONST_EmDirHeat&amp;G336</f>
        <v>EmDirHeat_</v>
      </c>
      <c r="S383" s="102" t="str">
        <f>CONST_CNTR_EmbedEmDir&amp;G336</f>
        <v>EmbedEmDir_</v>
      </c>
      <c r="T383" s="124" t="str">
        <f>IF(G336="","",SUM(L382*L383-M382*M383))</f>
        <v/>
      </c>
      <c r="V383" s="157" t="str">
        <f>IF(AND(L336&lt;&gt;"",X383=FALSE),IF(COUNTA(L383:M383)=2,TRUE,CONST_ErrorOrMissing&amp;C336),CONST_NA)</f>
        <v>n.a.</v>
      </c>
      <c r="X383" s="102" t="b">
        <f>X382</f>
        <v>0</v>
      </c>
    </row>
    <row r="384" spans="3:24" ht="5.15" customHeight="1" x14ac:dyDescent="0.35">
      <c r="C384" s="192"/>
      <c r="D384" s="204"/>
      <c r="E384" s="198"/>
      <c r="F384" s="195"/>
      <c r="G384" s="195"/>
      <c r="H384" s="195"/>
      <c r="I384" s="195"/>
      <c r="J384" s="195"/>
      <c r="K384" s="195"/>
      <c r="L384" s="199"/>
      <c r="M384" s="199"/>
      <c r="N384" s="196"/>
      <c r="O384" s="901"/>
      <c r="P384" s="144"/>
      <c r="T384" s="712"/>
    </row>
    <row r="385" spans="1:24" ht="12.75" customHeight="1" x14ac:dyDescent="0.35">
      <c r="C385" s="192"/>
      <c r="D385" s="199" t="s">
        <v>415</v>
      </c>
      <c r="E385" s="198" t="str">
        <f>Translations!$B$256</f>
        <v>Waste gases</v>
      </c>
      <c r="F385" s="195"/>
      <c r="G385" s="195"/>
      <c r="H385" s="195"/>
      <c r="I385" s="195"/>
      <c r="J385" s="195"/>
      <c r="K385" s="199" t="str">
        <f>Translations!$B$221</f>
        <v>Unit</v>
      </c>
      <c r="L385" s="199" t="str">
        <f>Translations!$B$263</f>
        <v>Imported</v>
      </c>
      <c r="M385" s="199" t="str">
        <f>Translations!$B$264</f>
        <v>Exported</v>
      </c>
      <c r="N385" s="196"/>
      <c r="O385" s="901"/>
      <c r="P385" s="144"/>
      <c r="T385" s="712"/>
      <c r="W385" s="104" t="s">
        <v>34</v>
      </c>
      <c r="X385" s="102" t="b">
        <f>AND(L375&lt;&gt;"",L375=FALSE)</f>
        <v>0</v>
      </c>
    </row>
    <row r="386" spans="1:24" ht="12.75" customHeight="1" x14ac:dyDescent="0.35">
      <c r="C386" s="192"/>
      <c r="D386" s="197" t="s">
        <v>41</v>
      </c>
      <c r="E386" s="201" t="str">
        <f>Translations!$B$267</f>
        <v>Amount of waste gas</v>
      </c>
      <c r="F386" s="201"/>
      <c r="G386" s="201"/>
      <c r="H386" s="201"/>
      <c r="I386" s="201"/>
      <c r="J386" s="201"/>
      <c r="K386" s="205" t="str">
        <f>CONST_TJ</f>
        <v>TJ</v>
      </c>
      <c r="L386" s="213"/>
      <c r="M386" s="213"/>
      <c r="N386" s="196"/>
      <c r="O386" s="902"/>
      <c r="P386" s="144"/>
      <c r="T386" s="712"/>
      <c r="V386" s="157" t="str">
        <f>IF(AND(L336&lt;&gt;"",X386=FALSE),IF(COUNTA(L386:M386)=2,TRUE,CONST_ErrorOrMissing&amp;C336),CONST_NA)</f>
        <v>n.a.</v>
      </c>
      <c r="X386" s="102" t="b">
        <f>X385</f>
        <v>0</v>
      </c>
    </row>
    <row r="387" spans="1:24" ht="12.75" customHeight="1" x14ac:dyDescent="0.35">
      <c r="C387" s="192"/>
      <c r="D387" s="197" t="s">
        <v>42</v>
      </c>
      <c r="E387" s="201" t="str">
        <f>Translations!$B$268</f>
        <v>Emission factor</v>
      </c>
      <c r="F387" s="201"/>
      <c r="G387" s="201"/>
      <c r="H387" s="201"/>
      <c r="I387" s="201"/>
      <c r="J387" s="201"/>
      <c r="K387" s="205" t="str">
        <f>CONST_tCO2pTJ</f>
        <v>tCO2/TJ</v>
      </c>
      <c r="L387" s="300"/>
      <c r="M387" s="300"/>
      <c r="N387" s="196"/>
      <c r="O387" s="901"/>
      <c r="P387" s="144"/>
      <c r="R387" s="102" t="str">
        <f>CONST_EmDirWasteGases&amp;G336</f>
        <v>EmDirWG_</v>
      </c>
      <c r="S387" s="102" t="str">
        <f>CONST_CNTR_EmbedEmDir&amp;G336</f>
        <v>EmbedEmDir_</v>
      </c>
      <c r="T387" s="124" t="str">
        <f>IF(G336="","",SUM(L386*CONST_EFNatGas-M386*CONST_EFNatGas*0.667))</f>
        <v/>
      </c>
      <c r="X387" s="102" t="b">
        <f>X386</f>
        <v>0</v>
      </c>
    </row>
    <row r="388" spans="1:24" ht="5.15" customHeight="1" x14ac:dyDescent="0.35">
      <c r="C388" s="192"/>
      <c r="D388" s="204"/>
      <c r="E388" s="198"/>
      <c r="F388" s="195"/>
      <c r="G388" s="195"/>
      <c r="H388" s="195"/>
      <c r="I388" s="195"/>
      <c r="J388" s="195"/>
      <c r="K388" s="195"/>
      <c r="L388" s="195"/>
      <c r="M388" s="195"/>
      <c r="N388" s="196"/>
      <c r="O388" s="901"/>
      <c r="P388" s="144"/>
      <c r="T388" s="712"/>
    </row>
    <row r="389" spans="1:24" ht="12.75" customHeight="1" x14ac:dyDescent="0.35">
      <c r="C389" s="192"/>
      <c r="D389" s="199" t="s">
        <v>416</v>
      </c>
      <c r="E389" s="198" t="str">
        <f>Translations!$B$269</f>
        <v>Indirect emissions from electricity consumption</v>
      </c>
      <c r="F389" s="195"/>
      <c r="G389" s="195"/>
      <c r="H389" s="195"/>
      <c r="I389" s="195"/>
      <c r="J389" s="195"/>
      <c r="K389" s="199" t="str">
        <f>Translations!$B$221</f>
        <v>Unit</v>
      </c>
      <c r="L389" s="199" t="str">
        <f>Translations!$B$260</f>
        <v>Value</v>
      </c>
      <c r="M389" s="195"/>
      <c r="N389" s="196"/>
      <c r="O389" s="901"/>
      <c r="P389" s="144"/>
      <c r="T389" s="712"/>
      <c r="W389" s="104" t="s">
        <v>34</v>
      </c>
      <c r="X389" s="102" t="b">
        <f>M375=FALSE</f>
        <v>0</v>
      </c>
    </row>
    <row r="390" spans="1:24" ht="12.75" customHeight="1" x14ac:dyDescent="0.35">
      <c r="C390" s="192"/>
      <c r="D390" s="197" t="s">
        <v>41</v>
      </c>
      <c r="E390" s="201" t="str">
        <f>Translations!$B$270</f>
        <v>Electricity consumption</v>
      </c>
      <c r="F390" s="201"/>
      <c r="G390" s="201"/>
      <c r="H390" s="201"/>
      <c r="I390" s="201"/>
      <c r="J390" s="201"/>
      <c r="K390" s="205" t="str">
        <f>CONST_MWh</f>
        <v>MWh</v>
      </c>
      <c r="L390" s="213"/>
      <c r="M390" s="195"/>
      <c r="N390" s="196"/>
      <c r="O390" s="902"/>
      <c r="P390" s="144"/>
      <c r="R390" s="102" t="str">
        <f>CONST_ElecConsumption&amp;G336</f>
        <v>ElecCons_</v>
      </c>
      <c r="T390" s="124" t="str">
        <f>IF(G336="","",L390)</f>
        <v/>
      </c>
      <c r="V390" s="157" t="str">
        <f>IF(AND(L336&lt;&gt;"",X390=FALSE),IF(L390&lt;&gt;"",TRUE,CONST_ErrorOrMissing&amp;C336),CONST_NA)</f>
        <v>n.a.</v>
      </c>
      <c r="X390" s="102" t="b">
        <f>X389</f>
        <v>0</v>
      </c>
    </row>
    <row r="391" spans="1:24" ht="12.75" customHeight="1" x14ac:dyDescent="0.35">
      <c r="C391" s="192"/>
      <c r="D391" s="197" t="s">
        <v>42</v>
      </c>
      <c r="E391" s="201" t="str">
        <f>Translations!$B$271</f>
        <v>Emission factor of the electricity</v>
      </c>
      <c r="F391" s="201"/>
      <c r="G391" s="201"/>
      <c r="H391" s="201"/>
      <c r="I391" s="201"/>
      <c r="J391" s="201"/>
      <c r="K391" s="205" t="str">
        <f>CONST_tCO2&amp;"/"&amp;CONST_MWh</f>
        <v>tCO2/MWh</v>
      </c>
      <c r="L391" s="215"/>
      <c r="M391" s="195"/>
      <c r="N391" s="196"/>
      <c r="O391" s="902"/>
      <c r="P391" s="144"/>
      <c r="S391" s="102" t="str">
        <f>CONST_CNTR_EmbedEmInDir&amp;G336</f>
        <v>EmbedEmInDir_</v>
      </c>
      <c r="T391" s="124" t="str">
        <f>IF(G336="","",SUM(L390)*SUM(L391))</f>
        <v/>
      </c>
      <c r="V391" s="157" t="str">
        <f>IF(AND(L336&lt;&gt;"",X391=FALSE),IF(L391&lt;&gt;"",TRUE,CONST_ErrorOrMissing&amp;C336),CONST_NA)</f>
        <v>n.a.</v>
      </c>
      <c r="X391" s="102" t="b">
        <f>X390</f>
        <v>0</v>
      </c>
    </row>
    <row r="392" spans="1:24" ht="12.75" customHeight="1" x14ac:dyDescent="0.35">
      <c r="C392" s="192"/>
      <c r="D392" s="197" t="s">
        <v>43</v>
      </c>
      <c r="E392" s="201" t="str">
        <f>Translations!$B$272</f>
        <v>Source of the emission factor</v>
      </c>
      <c r="F392" s="201"/>
      <c r="G392" s="201"/>
      <c r="H392" s="201"/>
      <c r="I392" s="201"/>
      <c r="J392" s="201"/>
      <c r="K392" s="299" t="s">
        <v>206</v>
      </c>
      <c r="L392" s="215"/>
      <c r="M392" s="195"/>
      <c r="N392" s="196"/>
      <c r="O392" s="902"/>
      <c r="P392" s="144"/>
      <c r="R392" s="102" t="str">
        <f>CONST_CNTR_ElecEFMethod&amp;G336</f>
        <v>ElecEFMeth_</v>
      </c>
      <c r="T392" s="714" t="str">
        <f>IF(L392="","",L392)</f>
        <v/>
      </c>
      <c r="V392" s="157" t="str">
        <f>IF(AND(L336&lt;&gt;"",X392=FALSE),IF(L392&lt;&gt;"",TRUE,CONST_ErrorOrMissing&amp;C336),CONST_NA)</f>
        <v>n.a.</v>
      </c>
      <c r="X392" s="102" t="b">
        <f>X391</f>
        <v>0</v>
      </c>
    </row>
    <row r="393" spans="1:24" ht="5.15" customHeight="1" x14ac:dyDescent="0.35">
      <c r="C393" s="192"/>
      <c r="D393" s="204"/>
      <c r="E393" s="198"/>
      <c r="F393" s="195"/>
      <c r="G393" s="195"/>
      <c r="H393" s="195"/>
      <c r="I393" s="195"/>
      <c r="J393" s="195"/>
      <c r="K393" s="195"/>
      <c r="L393" s="195"/>
      <c r="M393" s="195"/>
      <c r="N393" s="196"/>
      <c r="O393" s="901"/>
      <c r="P393" s="144"/>
      <c r="T393" s="712"/>
    </row>
    <row r="394" spans="1:24" ht="12.75" customHeight="1" x14ac:dyDescent="0.35">
      <c r="C394" s="192"/>
      <c r="D394" s="204"/>
      <c r="E394" s="198"/>
      <c r="F394" s="195"/>
      <c r="G394" s="195"/>
      <c r="H394" s="195"/>
      <c r="I394" s="195"/>
      <c r="J394" s="195"/>
      <c r="K394" s="195"/>
      <c r="L394" s="195"/>
      <c r="M394" s="195"/>
      <c r="N394" s="196"/>
      <c r="O394" s="901"/>
      <c r="P394" s="144"/>
      <c r="T394" s="712"/>
      <c r="X394" s="171"/>
    </row>
    <row r="395" spans="1:24" ht="12.75" customHeight="1" x14ac:dyDescent="0.35">
      <c r="C395" s="192"/>
      <c r="D395" s="199" t="s">
        <v>417</v>
      </c>
      <c r="E395" s="198" t="str">
        <f>Translations!$B$273</f>
        <v>Electricity exported from the production process</v>
      </c>
      <c r="F395" s="195"/>
      <c r="G395" s="195"/>
      <c r="H395" s="195"/>
      <c r="I395" s="195"/>
      <c r="J395" s="195"/>
      <c r="K395" s="199" t="str">
        <f>Translations!$B$221</f>
        <v>Unit</v>
      </c>
      <c r="L395" s="199" t="str">
        <f>Translations!$B$260</f>
        <v>Value</v>
      </c>
      <c r="M395" s="195"/>
      <c r="N395" s="196"/>
      <c r="O395" s="901"/>
      <c r="P395" s="144"/>
      <c r="T395" s="712"/>
      <c r="X395" s="171"/>
    </row>
    <row r="396" spans="1:24" ht="12.75" customHeight="1" x14ac:dyDescent="0.35">
      <c r="C396" s="192"/>
      <c r="D396" s="197" t="s">
        <v>41</v>
      </c>
      <c r="E396" s="201" t="str">
        <f>Translations!$B$274</f>
        <v>Amounts exported</v>
      </c>
      <c r="F396" s="201"/>
      <c r="G396" s="201"/>
      <c r="H396" s="201"/>
      <c r="I396" s="201"/>
      <c r="J396" s="201"/>
      <c r="K396" s="205" t="s">
        <v>51</v>
      </c>
      <c r="L396" s="213"/>
      <c r="M396" s="195"/>
      <c r="N396" s="196"/>
      <c r="O396" s="902"/>
      <c r="P396" s="144"/>
      <c r="T396" s="712"/>
      <c r="V396" s="157" t="str">
        <f>IF(L336&lt;&gt;"",IF(L396&lt;&gt;"",TRUE,CONST_ErrorOrMissing&amp;C336),CONST_NA)</f>
        <v>n.a.</v>
      </c>
      <c r="X396" s="171"/>
    </row>
    <row r="397" spans="1:24" ht="12.75" customHeight="1" x14ac:dyDescent="0.35">
      <c r="C397" s="192"/>
      <c r="D397" s="197" t="s">
        <v>42</v>
      </c>
      <c r="E397" s="201" t="str">
        <f>Translations!$B$271</f>
        <v>Emission factor of the electricity</v>
      </c>
      <c r="F397" s="201"/>
      <c r="G397" s="201"/>
      <c r="H397" s="201"/>
      <c r="I397" s="201"/>
      <c r="J397" s="201"/>
      <c r="K397" s="205" t="str">
        <f>CONST_tCO2&amp;"/"&amp;CONST_MWh</f>
        <v>tCO2/MWh</v>
      </c>
      <c r="L397" s="215"/>
      <c r="M397" s="195"/>
      <c r="N397" s="196"/>
      <c r="O397" s="902"/>
      <c r="P397" s="144"/>
      <c r="S397" s="102" t="str">
        <f>CONST_CNTR_EmbedEmDir&amp;G336</f>
        <v>EmbedEmDir_</v>
      </c>
      <c r="T397" s="124" t="str">
        <f>IF(G336="","",-SUM(L396)*SUM(L397))</f>
        <v/>
      </c>
      <c r="V397" s="157" t="str">
        <f>IF(AND(L336&lt;&gt;"",SUM(L396)&gt;0),IF(L397&lt;&gt;"",TRUE,CONST_ErrorOrMissing&amp;C336),CONST_NA)</f>
        <v>n.a.</v>
      </c>
      <c r="X397" s="171"/>
    </row>
    <row r="398" spans="1:24" s="144" customFormat="1" ht="12.75" customHeight="1" thickBot="1" x14ac:dyDescent="0.4">
      <c r="A398" s="91"/>
      <c r="B398" s="93"/>
      <c r="C398" s="206"/>
      <c r="D398" s="207"/>
      <c r="E398" s="208"/>
      <c r="F398" s="209"/>
      <c r="G398" s="209"/>
      <c r="H398" s="209"/>
      <c r="I398" s="209"/>
      <c r="J398" s="209"/>
      <c r="K398" s="209"/>
      <c r="L398" s="209"/>
      <c r="M398" s="209"/>
      <c r="N398" s="210"/>
      <c r="O398" s="901"/>
      <c r="Q398" s="93"/>
      <c r="R398" s="91"/>
      <c r="S398" s="91"/>
      <c r="T398" s="712"/>
      <c r="U398" s="91"/>
      <c r="V398" s="91"/>
      <c r="W398" s="104"/>
      <c r="X398" s="91"/>
    </row>
    <row r="399" spans="1:24" s="144" customFormat="1" ht="12.75" customHeight="1" thickBot="1" x14ac:dyDescent="0.4">
      <c r="A399" s="91"/>
      <c r="B399" s="93"/>
      <c r="C399" s="93"/>
      <c r="D399" s="93"/>
      <c r="E399" s="93"/>
      <c r="F399" s="93"/>
      <c r="G399" s="93"/>
      <c r="H399" s="93"/>
      <c r="I399" s="93"/>
      <c r="J399" s="93"/>
      <c r="K399" s="93"/>
      <c r="L399" s="93"/>
      <c r="M399" s="93"/>
      <c r="N399" s="93"/>
      <c r="O399" s="901"/>
      <c r="Q399" s="93"/>
      <c r="R399" s="91"/>
      <c r="S399" s="91"/>
      <c r="T399" s="712"/>
      <c r="U399" s="91"/>
      <c r="V399" s="91"/>
      <c r="W399" s="104"/>
      <c r="X399" s="91"/>
    </row>
    <row r="400" spans="1:24" ht="12.75" customHeight="1" thickBot="1" x14ac:dyDescent="0.4">
      <c r="B400" s="145"/>
      <c r="C400" s="145"/>
      <c r="D400" s="145"/>
      <c r="E400" s="145"/>
      <c r="F400" s="145"/>
      <c r="G400" s="145"/>
      <c r="H400" s="145"/>
      <c r="I400" s="145"/>
      <c r="J400" s="145"/>
      <c r="K400" s="145"/>
      <c r="L400" s="145"/>
      <c r="M400" s="145"/>
      <c r="N400" s="145"/>
      <c r="O400" s="903"/>
      <c r="P400" s="144"/>
      <c r="T400" s="712"/>
    </row>
    <row r="401" spans="1:24" ht="18" customHeight="1" thickBot="1" x14ac:dyDescent="0.4">
      <c r="C401" s="147">
        <f>C336+1</f>
        <v>7</v>
      </c>
      <c r="D401" s="148" t="str">
        <f>CONST_ProductionProcess &amp; " " &amp; C401 &amp; ":"</f>
        <v>Production process 7:</v>
      </c>
      <c r="G401" s="1313" t="str">
        <f>IF(INDEX(CNTR_List_ExistProdProcNames,R401)=CONST_NA,"",INDEX(CNTR_List_ExistProdProcNames,R401))</f>
        <v/>
      </c>
      <c r="H401" s="1314"/>
      <c r="I401" s="1314"/>
      <c r="J401" s="1314"/>
      <c r="K401" s="1315"/>
      <c r="L401" s="1316" t="str">
        <f>IF(INDEX(CNTR_List_ExistProdProc,R401)=CONST_NA,"",INDEX(CNTR_List_ExistProdProc,R401))</f>
        <v/>
      </c>
      <c r="M401" s="1317"/>
      <c r="N401" s="1318"/>
      <c r="O401" s="901"/>
      <c r="P401" s="144"/>
      <c r="R401" s="149">
        <f>C401</f>
        <v>7</v>
      </c>
      <c r="T401" s="712"/>
      <c r="W401" s="104" t="s">
        <v>2748</v>
      </c>
      <c r="X401" s="150" t="b">
        <f>AND(CNTR_HasEntriesA,G401="")</f>
        <v>0</v>
      </c>
    </row>
    <row r="402" spans="1:24" ht="5.15" customHeight="1" x14ac:dyDescent="0.35">
      <c r="D402" s="103"/>
      <c r="E402" s="100"/>
      <c r="O402" s="901"/>
      <c r="P402" s="144"/>
      <c r="T402" s="712"/>
    </row>
    <row r="403" spans="1:24" ht="12.75" customHeight="1" x14ac:dyDescent="0.35">
      <c r="D403" s="103"/>
      <c r="E403" s="1290" t="str">
        <f ca="1">HYPERLINK("#"&amp;ADDRESS(MATCH($S403,G_FurtherGuidance!$S:$S,0),3,,,G_FurtherGuidance!$U$2),CONST_LinkToGuidanceSheet)</f>
        <v>Please click on this link for further guidance on how to complete this section.</v>
      </c>
      <c r="F403" s="1319"/>
      <c r="G403" s="1319"/>
      <c r="H403" s="1319"/>
      <c r="I403" s="1319"/>
      <c r="J403" s="1319"/>
      <c r="K403" s="1319"/>
      <c r="L403" s="1319"/>
      <c r="M403" s="1319"/>
      <c r="O403" s="901"/>
      <c r="P403" s="144"/>
      <c r="R403" s="104" t="s">
        <v>2771</v>
      </c>
      <c r="S403" s="105">
        <v>3</v>
      </c>
      <c r="T403" s="712"/>
    </row>
    <row r="404" spans="1:24" ht="5.15" customHeight="1" x14ac:dyDescent="0.35">
      <c r="D404" s="103"/>
      <c r="E404" s="100"/>
      <c r="O404" s="901"/>
      <c r="P404" s="144"/>
      <c r="T404" s="712"/>
    </row>
    <row r="405" spans="1:24" ht="12.75" customHeight="1" x14ac:dyDescent="0.35">
      <c r="D405" s="117" t="s">
        <v>135</v>
      </c>
      <c r="E405" s="100" t="str">
        <f>Translations!$B$243</f>
        <v>Total production levels:</v>
      </c>
      <c r="H405" s="151" t="str">
        <f>Translations!$B$244</f>
        <v>Production route</v>
      </c>
      <c r="J405" s="144"/>
      <c r="K405" s="152" t="str">
        <f>Translations!$B$221</f>
        <v>Unit</v>
      </c>
      <c r="L405" s="152" t="str">
        <f>Translations!$B$245</f>
        <v>Amounts</v>
      </c>
      <c r="O405" s="901"/>
      <c r="P405" s="144"/>
      <c r="T405" s="712"/>
    </row>
    <row r="406" spans="1:24" ht="12.75" customHeight="1" x14ac:dyDescent="0.35">
      <c r="D406" s="173">
        <v>1</v>
      </c>
      <c r="E406" s="153" t="str">
        <f>IF(G401="","",G401) &amp; IF(L401="",""," | " &amp; L401)</f>
        <v/>
      </c>
      <c r="F406" s="153"/>
      <c r="G406" s="153"/>
      <c r="H406" s="154" t="str">
        <f>IF(L401="","",INDEX(CONST_MATRIX_ProductionRoute,MATCH(L401,CONST_LIST_Goods,0),D406))</f>
        <v/>
      </c>
      <c r="I406" s="153"/>
      <c r="J406" s="153"/>
      <c r="K406" s="155" t="str">
        <f>IF(L401="","",INDEX(CONST_LIST_GoodsUnit,MATCH(L401,CONST_LIST_Goods,0)))</f>
        <v/>
      </c>
      <c r="L406" s="29"/>
      <c r="O406" s="902"/>
      <c r="P406" s="144"/>
      <c r="S406" s="105">
        <v>1</v>
      </c>
      <c r="T406" s="713"/>
      <c r="V406" s="157" t="str">
        <f>IF(AND(G401&lt;&gt;"",E406&lt;&gt;"",L406&lt;&gt;""),TRUE,IF(AND(G401&lt;&gt;"",OR(AND(E406&lt;&gt;"",L406=""),AND(E406="",L406&lt;&gt;""))),CONST_ErrorOrMissing&amp;C401,CONST_NA))</f>
        <v>n.a.</v>
      </c>
    </row>
    <row r="407" spans="1:24" ht="12.75" customHeight="1" x14ac:dyDescent="0.35">
      <c r="D407" s="173">
        <v>2</v>
      </c>
      <c r="E407" s="158" t="str">
        <f t="shared" ref="E407:E413" si="24">IF(H407=CONST_NA,"",E406)</f>
        <v/>
      </c>
      <c r="F407" s="158"/>
      <c r="G407" s="158"/>
      <c r="H407" s="159" t="str">
        <f>IF(L401="","",INDEX(CONST_MATRIX_ProductionRoute,MATCH(L401,CONST_LIST_Goods,0),D407))</f>
        <v/>
      </c>
      <c r="I407" s="158"/>
      <c r="J407" s="158"/>
      <c r="K407" s="160" t="str">
        <f t="shared" ref="K407:K413" si="25">IF(H407=CONST_NA,"",K406)</f>
        <v/>
      </c>
      <c r="L407" s="30"/>
      <c r="O407" s="902"/>
      <c r="P407" s="144"/>
      <c r="S407" s="105">
        <v>2</v>
      </c>
      <c r="T407" s="713"/>
      <c r="V407" s="157" t="str">
        <f>IF(AND(G401&lt;&gt;"",E407&lt;&gt;"",L407&lt;&gt;""),TRUE,IF(AND(G401&lt;&gt;"",OR(AND(E407&lt;&gt;"",L407=""),AND(E407="",L407&lt;&gt;""))),CONST_ErrorOrMissing&amp;C401,CONST_NA))</f>
        <v>n.a.</v>
      </c>
    </row>
    <row r="408" spans="1:24" ht="12.75" customHeight="1" x14ac:dyDescent="0.35">
      <c r="D408" s="173">
        <v>3</v>
      </c>
      <c r="E408" s="158" t="str">
        <f t="shared" si="24"/>
        <v/>
      </c>
      <c r="F408" s="158"/>
      <c r="G408" s="158"/>
      <c r="H408" s="159" t="str">
        <f>IF(L401="","",INDEX(CONST_MATRIX_ProductionRoute,MATCH(L401,CONST_LIST_Goods,0),D408))</f>
        <v/>
      </c>
      <c r="I408" s="158"/>
      <c r="J408" s="158"/>
      <c r="K408" s="160" t="str">
        <f t="shared" si="25"/>
        <v/>
      </c>
      <c r="L408" s="30"/>
      <c r="O408" s="902"/>
      <c r="P408" s="144"/>
      <c r="S408" s="105">
        <v>3</v>
      </c>
      <c r="T408" s="713"/>
      <c r="V408" s="157" t="str">
        <f>IF(AND(G401&lt;&gt;"",E408&lt;&gt;"",L408&lt;&gt;""),TRUE,IF(AND(G401&lt;&gt;"",OR(AND(E408&lt;&gt;"",L408=""),AND(E408="",L408&lt;&gt;""))),CONST_ErrorOrMissing&amp;C401,CONST_NA))</f>
        <v>n.a.</v>
      </c>
    </row>
    <row r="409" spans="1:24" ht="12.75" customHeight="1" x14ac:dyDescent="0.35">
      <c r="D409" s="173">
        <v>4</v>
      </c>
      <c r="E409" s="158" t="str">
        <f t="shared" si="24"/>
        <v/>
      </c>
      <c r="F409" s="158"/>
      <c r="G409" s="158"/>
      <c r="H409" s="159" t="str">
        <f>IF(L401="","",INDEX(CONST_MATRIX_ProductionRoute,MATCH(L401,CONST_LIST_Goods,0),D409))</f>
        <v/>
      </c>
      <c r="I409" s="158"/>
      <c r="J409" s="158"/>
      <c r="K409" s="160" t="str">
        <f t="shared" si="25"/>
        <v/>
      </c>
      <c r="L409" s="30"/>
      <c r="O409" s="902"/>
      <c r="P409" s="144"/>
      <c r="S409" s="105">
        <v>4</v>
      </c>
      <c r="T409" s="713"/>
      <c r="V409" s="157" t="str">
        <f>IF(AND(G401&lt;&gt;"",E409&lt;&gt;"",L409&lt;&gt;""),TRUE,IF(AND(G401&lt;&gt;"",OR(AND(E409&lt;&gt;"",L409=""),AND(E409="",L409&lt;&gt;""))),CONST_ErrorOrMissing&amp;C401,CONST_NA))</f>
        <v>n.a.</v>
      </c>
    </row>
    <row r="410" spans="1:24" ht="12.75" customHeight="1" x14ac:dyDescent="0.35">
      <c r="D410" s="173">
        <v>5</v>
      </c>
      <c r="E410" s="158" t="str">
        <f t="shared" si="24"/>
        <v/>
      </c>
      <c r="F410" s="158"/>
      <c r="G410" s="158"/>
      <c r="H410" s="159" t="str">
        <f>IF(L401="","",INDEX(CONST_MATRIX_ProductionRoute,MATCH(L401,CONST_LIST_Goods,0),D410))</f>
        <v/>
      </c>
      <c r="I410" s="158"/>
      <c r="J410" s="158"/>
      <c r="K410" s="160" t="str">
        <f t="shared" si="25"/>
        <v/>
      </c>
      <c r="L410" s="30"/>
      <c r="O410" s="902"/>
      <c r="P410" s="144"/>
      <c r="S410" s="105">
        <v>5</v>
      </c>
      <c r="T410" s="713"/>
      <c r="V410" s="157" t="str">
        <f>IF(AND(G401&lt;&gt;"",E410&lt;&gt;"",L410&lt;&gt;""),TRUE,IF(AND(G401&lt;&gt;"",OR(AND(E410&lt;&gt;"",L410=""),AND(E410="",L410&lt;&gt;""))),CONST_ErrorOrMissing&amp;C401,CONST_NA))</f>
        <v>n.a.</v>
      </c>
    </row>
    <row r="411" spans="1:24" ht="12.75" customHeight="1" x14ac:dyDescent="0.35">
      <c r="D411" s="173">
        <v>6</v>
      </c>
      <c r="E411" s="158" t="str">
        <f t="shared" si="24"/>
        <v/>
      </c>
      <c r="F411" s="158"/>
      <c r="G411" s="158"/>
      <c r="H411" s="159" t="str">
        <f>IF(L401="","",INDEX(CONST_MATRIX_ProductionRoute,MATCH(L401,CONST_LIST_Goods,0),D411))</f>
        <v/>
      </c>
      <c r="I411" s="158"/>
      <c r="J411" s="158"/>
      <c r="K411" s="160" t="str">
        <f t="shared" si="25"/>
        <v/>
      </c>
      <c r="L411" s="30"/>
      <c r="O411" s="902"/>
      <c r="P411" s="144"/>
      <c r="S411" s="105">
        <v>6</v>
      </c>
      <c r="T411" s="713"/>
      <c r="V411" s="157" t="str">
        <f>IF(AND(G401&lt;&gt;"",E411&lt;&gt;"",L411&lt;&gt;""),TRUE,IF(AND(G401&lt;&gt;"",OR(AND(E411&lt;&gt;"",L411=""),AND(E411="",L411&lt;&gt;""))),CONST_ErrorOrMissing&amp;C401,CONST_NA))</f>
        <v>n.a.</v>
      </c>
    </row>
    <row r="412" spans="1:24" ht="12.75" customHeight="1" x14ac:dyDescent="0.35">
      <c r="D412" s="173">
        <v>7</v>
      </c>
      <c r="E412" s="158" t="str">
        <f t="shared" si="24"/>
        <v/>
      </c>
      <c r="F412" s="158"/>
      <c r="G412" s="158"/>
      <c r="H412" s="159" t="str">
        <f>IF(L401="","",INDEX(CONST_MATRIX_ProductionRoute,MATCH(L401,CONST_LIST_Goods,0),D412))</f>
        <v/>
      </c>
      <c r="I412" s="158"/>
      <c r="J412" s="158"/>
      <c r="K412" s="160" t="str">
        <f t="shared" si="25"/>
        <v/>
      </c>
      <c r="L412" s="30"/>
      <c r="O412" s="902"/>
      <c r="P412" s="144"/>
      <c r="S412" s="105">
        <v>7</v>
      </c>
      <c r="T412" s="713"/>
      <c r="V412" s="157" t="str">
        <f>IF(AND(G401&lt;&gt;"",E412&lt;&gt;"",L412&lt;&gt;""),TRUE,IF(AND(G401&lt;&gt;"",OR(AND(E412&lt;&gt;"",L412=""),AND(E412="",L412&lt;&gt;""))),CONST_ErrorOrMissing&amp;C401,CONST_NA))</f>
        <v>n.a.</v>
      </c>
    </row>
    <row r="413" spans="1:24" ht="12.75" customHeight="1" x14ac:dyDescent="0.35">
      <c r="D413" s="173">
        <v>8</v>
      </c>
      <c r="E413" s="161" t="str">
        <f t="shared" si="24"/>
        <v/>
      </c>
      <c r="F413" s="161"/>
      <c r="G413" s="161"/>
      <c r="H413" s="162" t="str">
        <f>IF(L401="","",INDEX(CONST_MATRIX_ProductionRoute,MATCH(L401,CONST_LIST_Goods,0),D413))</f>
        <v/>
      </c>
      <c r="I413" s="161"/>
      <c r="J413" s="161"/>
      <c r="K413" s="163" t="str">
        <f t="shared" si="25"/>
        <v/>
      </c>
      <c r="L413" s="31"/>
      <c r="O413" s="902"/>
      <c r="P413" s="144"/>
      <c r="S413" s="105">
        <v>8</v>
      </c>
      <c r="T413" s="713"/>
      <c r="V413" s="157" t="str">
        <f>IF(AND(G401&lt;&gt;"",E413&lt;&gt;"",L413&lt;&gt;""),TRUE,IF(AND(G401&lt;&gt;"",OR(AND(E413&lt;&gt;"",L413=""),AND(E413="",L413&lt;&gt;""))),CONST_ErrorOrMissing&amp;C401,CONST_NA))</f>
        <v>n.a.</v>
      </c>
    </row>
    <row r="414" spans="1:24" ht="12.75" customHeight="1" x14ac:dyDescent="0.35">
      <c r="D414" s="103"/>
      <c r="E414" s="138" t="str">
        <f>Translations!$B$246</f>
        <v>Total production within installation (= denominator for SEE calculation):</v>
      </c>
      <c r="F414" s="138"/>
      <c r="G414" s="138"/>
      <c r="H414" s="164"/>
      <c r="I414" s="138"/>
      <c r="J414" s="138"/>
      <c r="K414" s="165" t="str">
        <f>K406</f>
        <v/>
      </c>
      <c r="L414" s="140" t="str">
        <f>IF(G401="","",SUM(L406:L413))</f>
        <v/>
      </c>
      <c r="O414" s="901"/>
      <c r="P414" s="144"/>
      <c r="R414" s="102" t="str">
        <f>CONST_CNTR_TotProd&amp;G401</f>
        <v>TotProd_</v>
      </c>
      <c r="T414" s="124" t="str">
        <f>IF(G401="","",L414)</f>
        <v/>
      </c>
    </row>
    <row r="415" spans="1:24" s="144" customFormat="1" ht="5.15" customHeight="1" x14ac:dyDescent="0.35">
      <c r="A415" s="91"/>
      <c r="B415" s="93"/>
      <c r="C415" s="93"/>
      <c r="D415" s="166"/>
      <c r="E415" s="167"/>
      <c r="N415" s="93"/>
      <c r="O415" s="901"/>
      <c r="Q415" s="93"/>
      <c r="R415" s="91"/>
      <c r="S415" s="91"/>
      <c r="T415" s="712"/>
      <c r="U415" s="91"/>
      <c r="V415" s="91"/>
      <c r="W415" s="104"/>
      <c r="X415" s="91"/>
    </row>
    <row r="416" spans="1:24" s="144" customFormat="1" ht="12.75" customHeight="1" x14ac:dyDescent="0.35">
      <c r="A416" s="91"/>
      <c r="B416" s="93"/>
      <c r="C416" s="93"/>
      <c r="D416" s="168" t="s">
        <v>48</v>
      </c>
      <c r="E416" s="167" t="str">
        <f>Translations!$B$247</f>
        <v>Production details</v>
      </c>
      <c r="F416" s="167"/>
      <c r="G416" s="167"/>
      <c r="H416" s="168"/>
      <c r="K416" s="168" t="str">
        <f>Translations!$B$221</f>
        <v>Unit</v>
      </c>
      <c r="L416" s="168" t="str">
        <f>Translations!$B$245</f>
        <v>Amounts</v>
      </c>
      <c r="N416" s="93"/>
      <c r="O416" s="901"/>
      <c r="Q416" s="93"/>
      <c r="R416" s="91"/>
      <c r="S416" s="91"/>
      <c r="T416" s="712"/>
      <c r="U416" s="91"/>
      <c r="V416" s="91"/>
      <c r="W416" s="104"/>
      <c r="X416" s="91"/>
    </row>
    <row r="417" spans="1:24" s="144" customFormat="1" ht="12.75" customHeight="1" x14ac:dyDescent="0.35">
      <c r="A417" s="91"/>
      <c r="B417" s="93"/>
      <c r="C417" s="93"/>
      <c r="D417" s="132" t="s">
        <v>41</v>
      </c>
      <c r="E417" s="138" t="str">
        <f>Translations!$B$248</f>
        <v>Produced for the market</v>
      </c>
      <c r="F417" s="138"/>
      <c r="G417" s="138"/>
      <c r="H417" s="138"/>
      <c r="I417" s="138"/>
      <c r="J417" s="138"/>
      <c r="K417" s="169" t="str">
        <f>K406</f>
        <v/>
      </c>
      <c r="L417" s="211"/>
      <c r="N417" s="93"/>
      <c r="O417" s="902"/>
      <c r="Q417" s="93"/>
      <c r="R417" s="102" t="str">
        <f>CONST_GoodToMarket&amp;G401</f>
        <v>ToMarket_</v>
      </c>
      <c r="S417" s="91"/>
      <c r="T417" s="124" t="str">
        <f>IF($G$11="","",L417)</f>
        <v/>
      </c>
      <c r="U417" s="91"/>
      <c r="V417" s="157" t="str">
        <f>IF(AND(G401&lt;&gt;"",L417&lt;&gt;""),TRUE,IF(AND(G401&lt;&gt;"",OR(L417="",L406&lt;&gt;"")),CONST_ErrorOrMissing&amp;C401,CONST_NA))</f>
        <v>n.a.</v>
      </c>
      <c r="W417" s="104"/>
      <c r="X417" s="91"/>
    </row>
    <row r="418" spans="1:24" s="144" customFormat="1" ht="12.75" customHeight="1" x14ac:dyDescent="0.35">
      <c r="A418" s="91"/>
      <c r="B418" s="93"/>
      <c r="C418" s="93"/>
      <c r="D418" s="132" t="s">
        <v>42</v>
      </c>
      <c r="E418" s="133" t="str">
        <f>Translations!$B$249</f>
        <v>Share of total under (a) produced for the market</v>
      </c>
      <c r="F418" s="288"/>
      <c r="G418" s="288"/>
      <c r="H418" s="288"/>
      <c r="I418" s="288"/>
      <c r="J418" s="288"/>
      <c r="K418" s="288"/>
      <c r="L418" s="289" t="str">
        <f>IF(AND(COUNT(L414,L417)=2,SUM(L414&gt;0)),SUM(L417)/SUM(L414),"")</f>
        <v/>
      </c>
      <c r="N418" s="93"/>
      <c r="O418" s="901"/>
      <c r="Q418" s="93"/>
      <c r="R418" s="171"/>
      <c r="S418" s="91"/>
      <c r="T418" s="712"/>
      <c r="U418" s="91"/>
      <c r="V418" s="172"/>
      <c r="W418" s="104"/>
      <c r="X418" s="91"/>
    </row>
    <row r="419" spans="1:24" s="144" customFormat="1" ht="12.75" customHeight="1" x14ac:dyDescent="0.35">
      <c r="A419" s="91"/>
      <c r="B419" s="93"/>
      <c r="C419" s="93"/>
      <c r="D419" s="132" t="s">
        <v>43</v>
      </c>
      <c r="E419" s="136" t="str">
        <f>Translations!$B$250</f>
        <v>Total production only for the market?</v>
      </c>
      <c r="F419" s="290"/>
      <c r="G419" s="290"/>
      <c r="H419" s="290"/>
      <c r="I419" s="290"/>
      <c r="J419" s="290"/>
      <c r="K419" s="290"/>
      <c r="L419" s="291" t="str">
        <f>IF(G401="","",AND(SUM(L414)&gt;0,SUM(L414)=SUM(L417)))</f>
        <v/>
      </c>
      <c r="N419" s="93"/>
      <c r="O419" s="901"/>
      <c r="Q419" s="93"/>
      <c r="R419" s="171"/>
      <c r="S419" s="91"/>
      <c r="T419" s="712"/>
      <c r="U419" s="91"/>
      <c r="V419" s="91"/>
      <c r="W419" s="104"/>
      <c r="X419" s="91"/>
    </row>
    <row r="420" spans="1:24" s="144" customFormat="1" ht="5.15" customHeight="1" x14ac:dyDescent="0.35">
      <c r="A420" s="91"/>
      <c r="B420" s="93"/>
      <c r="C420" s="93"/>
      <c r="D420" s="166"/>
      <c r="E420" s="167"/>
      <c r="N420" s="93"/>
      <c r="O420" s="901"/>
      <c r="Q420" s="93"/>
      <c r="R420" s="91"/>
      <c r="S420" s="91"/>
      <c r="T420" s="712"/>
      <c r="U420" s="91"/>
      <c r="V420" s="91"/>
      <c r="W420" s="104"/>
      <c r="X420" s="91"/>
    </row>
    <row r="421" spans="1:24" s="144" customFormat="1" ht="12.75" customHeight="1" x14ac:dyDescent="0.35">
      <c r="A421" s="91"/>
      <c r="B421" s="93"/>
      <c r="C421" s="93"/>
      <c r="D421" s="168" t="s">
        <v>49</v>
      </c>
      <c r="E421" s="167" t="str">
        <f>Translations!$B$251</f>
        <v>Consumed in other 'production processes' within the installation:</v>
      </c>
      <c r="F421" s="167"/>
      <c r="G421" s="167"/>
      <c r="H421" s="167"/>
      <c r="I421" s="167"/>
      <c r="J421" s="167"/>
      <c r="K421" s="168" t="str">
        <f>Translations!$B$221</f>
        <v>Unit</v>
      </c>
      <c r="L421" s="168" t="str">
        <f>Translations!$B$245</f>
        <v>Amounts</v>
      </c>
      <c r="N421" s="93"/>
      <c r="O421" s="901"/>
      <c r="Q421" s="93"/>
      <c r="R421" s="91"/>
      <c r="S421" s="123" t="s">
        <v>195</v>
      </c>
      <c r="T421" s="712"/>
      <c r="U421" s="91"/>
      <c r="V421" s="91"/>
      <c r="W421" s="104" t="s">
        <v>34</v>
      </c>
      <c r="X421" s="102" t="b">
        <f>IF(G401="",FALSE,L419)</f>
        <v>0</v>
      </c>
    </row>
    <row r="422" spans="1:24" s="144" customFormat="1" ht="12.75" customHeight="1" x14ac:dyDescent="0.35">
      <c r="A422" s="91"/>
      <c r="B422" s="93"/>
      <c r="C422" s="93"/>
      <c r="D422" s="173">
        <v>1</v>
      </c>
      <c r="E422" s="174" t="str">
        <f t="shared" ref="E422:E430" si="26">IF(INDEX(CNTR_List_ExistProdProcNames,S422)=CONST_NA,"",INDEX(CNTR_List_ExistProdProcNames,S422))</f>
        <v/>
      </c>
      <c r="F422" s="175"/>
      <c r="G422" s="175"/>
      <c r="H422" s="175"/>
      <c r="I422" s="175"/>
      <c r="J422" s="176"/>
      <c r="K422" s="155" t="str">
        <f>K406</f>
        <v/>
      </c>
      <c r="L422" s="29"/>
      <c r="N422" s="93"/>
      <c r="O422" s="902"/>
      <c r="Q422" s="93"/>
      <c r="R422" s="102" t="str">
        <f>CONST_PrecursorToGoodInput&amp;G401 &amp;"_"&amp;E422</f>
        <v>PrecToGood__</v>
      </c>
      <c r="S422" s="105">
        <f>MAX(S421:S421)+IF(D422=C401,2,1)</f>
        <v>1</v>
      </c>
      <c r="T422" s="124" t="str">
        <f>IF(G401="","",L422)</f>
        <v/>
      </c>
      <c r="U422" s="91"/>
      <c r="V422" s="157" t="str">
        <f>IF(AND(G401&lt;&gt;"",E422&lt;&gt;"",L422&lt;&gt;""),TRUE,IF(AND(G401&lt;&gt;"",E422&lt;&gt;"",L422="",X422=FALSE),CONST_ErrorOrMissing&amp;C401,CONST_NA))</f>
        <v>n.a.</v>
      </c>
      <c r="W422" s="104" t="s">
        <v>34</v>
      </c>
      <c r="X422" s="102" t="b">
        <f>IF(G401="",FALSE,OR(L419,E422=""))</f>
        <v>0</v>
      </c>
    </row>
    <row r="423" spans="1:24" s="144" customFormat="1" ht="12.75" customHeight="1" x14ac:dyDescent="0.35">
      <c r="A423" s="91"/>
      <c r="B423" s="93"/>
      <c r="C423" s="93"/>
      <c r="D423" s="173">
        <v>2</v>
      </c>
      <c r="E423" s="177" t="str">
        <f t="shared" si="26"/>
        <v/>
      </c>
      <c r="F423" s="178"/>
      <c r="G423" s="178"/>
      <c r="H423" s="178"/>
      <c r="I423" s="178"/>
      <c r="J423" s="179"/>
      <c r="K423" s="160" t="str">
        <f>K422</f>
        <v/>
      </c>
      <c r="L423" s="30"/>
      <c r="N423" s="93"/>
      <c r="O423" s="902"/>
      <c r="Q423" s="93"/>
      <c r="R423" s="102" t="str">
        <f>CONST_PrecursorToGoodInput&amp;G401 &amp;"_"&amp;E423</f>
        <v>PrecToGood__</v>
      </c>
      <c r="S423" s="105">
        <f>MAX(S421:S422)+IF(D423=C401,2,1)</f>
        <v>2</v>
      </c>
      <c r="T423" s="124" t="str">
        <f>IF(G401="","",L423)</f>
        <v/>
      </c>
      <c r="U423" s="91"/>
      <c r="V423" s="157" t="str">
        <f>IF(AND(G401&lt;&gt;"",E423&lt;&gt;"",L423&lt;&gt;""),TRUE,IF(AND(G401&lt;&gt;"",E423&lt;&gt;"",L423="",X423=FALSE),CONST_ErrorOrMissing&amp;C401,CONST_NA))</f>
        <v>n.a.</v>
      </c>
      <c r="W423" s="104"/>
      <c r="X423" s="102" t="b">
        <f>IF(G401="",FALSE,OR(L419,E423=""))</f>
        <v>0</v>
      </c>
    </row>
    <row r="424" spans="1:24" s="144" customFormat="1" ht="12.75" customHeight="1" x14ac:dyDescent="0.35">
      <c r="A424" s="91"/>
      <c r="B424" s="93"/>
      <c r="C424" s="93"/>
      <c r="D424" s="173">
        <v>3</v>
      </c>
      <c r="E424" s="177" t="str">
        <f t="shared" si="26"/>
        <v/>
      </c>
      <c r="F424" s="178"/>
      <c r="G424" s="178"/>
      <c r="H424" s="178"/>
      <c r="I424" s="178"/>
      <c r="J424" s="179"/>
      <c r="K424" s="160" t="str">
        <f t="shared" ref="K424:K432" si="27">K423</f>
        <v/>
      </c>
      <c r="L424" s="30"/>
      <c r="N424" s="93"/>
      <c r="O424" s="902"/>
      <c r="Q424" s="93"/>
      <c r="R424" s="102" t="str">
        <f>CONST_PrecursorToGoodInput&amp;G401 &amp;"_"&amp;E424</f>
        <v>PrecToGood__</v>
      </c>
      <c r="S424" s="105">
        <f>MAX(S421:S423)+IF(D424=C401,2,1)</f>
        <v>3</v>
      </c>
      <c r="T424" s="124" t="str">
        <f>IF(G401="","",L424)</f>
        <v/>
      </c>
      <c r="U424" s="91"/>
      <c r="V424" s="157" t="str">
        <f>IF(AND(G401&lt;&gt;"",E424&lt;&gt;"",L424&lt;&gt;""),TRUE,IF(AND(G401&lt;&gt;"",E424&lt;&gt;"",L424="",X424=FALSE),CONST_ErrorOrMissing&amp;C401,CONST_NA))</f>
        <v>n.a.</v>
      </c>
      <c r="W424" s="104"/>
      <c r="X424" s="102" t="b">
        <f>IF(G401="",FALSE,OR(L419,E424=""))</f>
        <v>0</v>
      </c>
    </row>
    <row r="425" spans="1:24" s="144" customFormat="1" ht="12.75" customHeight="1" x14ac:dyDescent="0.35">
      <c r="A425" s="91"/>
      <c r="B425" s="93"/>
      <c r="C425" s="93"/>
      <c r="D425" s="173">
        <v>4</v>
      </c>
      <c r="E425" s="177" t="str">
        <f t="shared" si="26"/>
        <v/>
      </c>
      <c r="F425" s="178"/>
      <c r="G425" s="178"/>
      <c r="H425" s="178"/>
      <c r="I425" s="178"/>
      <c r="J425" s="179"/>
      <c r="K425" s="160" t="str">
        <f t="shared" si="27"/>
        <v/>
      </c>
      <c r="L425" s="30"/>
      <c r="N425" s="93"/>
      <c r="O425" s="902"/>
      <c r="Q425" s="93"/>
      <c r="R425" s="102" t="str">
        <f>CONST_PrecursorToGoodInput&amp;G401 &amp;"_"&amp;E425</f>
        <v>PrecToGood__</v>
      </c>
      <c r="S425" s="105">
        <f>MAX(S421:S424)+IF(D425=C401,2,1)</f>
        <v>4</v>
      </c>
      <c r="T425" s="124" t="str">
        <f>IF(G401="","",L425)</f>
        <v/>
      </c>
      <c r="U425" s="91"/>
      <c r="V425" s="157" t="str">
        <f>IF(AND(G401&lt;&gt;"",E425&lt;&gt;"",L425&lt;&gt;""),TRUE,IF(AND(G401&lt;&gt;"",E425&lt;&gt;"",L425="",X425=FALSE),CONST_ErrorOrMissing&amp;C401,CONST_NA))</f>
        <v>n.a.</v>
      </c>
      <c r="W425" s="104"/>
      <c r="X425" s="102" t="b">
        <f>IF(G401="",FALSE,OR(L419,E425=""))</f>
        <v>0</v>
      </c>
    </row>
    <row r="426" spans="1:24" s="144" customFormat="1" ht="12.75" customHeight="1" x14ac:dyDescent="0.35">
      <c r="A426" s="91"/>
      <c r="B426" s="93"/>
      <c r="C426" s="93"/>
      <c r="D426" s="173">
        <v>5</v>
      </c>
      <c r="E426" s="180" t="str">
        <f t="shared" si="26"/>
        <v/>
      </c>
      <c r="F426" s="181"/>
      <c r="G426" s="181"/>
      <c r="H426" s="181"/>
      <c r="I426" s="181"/>
      <c r="J426" s="182"/>
      <c r="K426" s="183" t="str">
        <f t="shared" si="27"/>
        <v/>
      </c>
      <c r="L426" s="212"/>
      <c r="N426" s="93"/>
      <c r="O426" s="902"/>
      <c r="Q426" s="93"/>
      <c r="R426" s="102" t="str">
        <f>CONST_PrecursorToGoodInput&amp;G401 &amp;"_"&amp;E426</f>
        <v>PrecToGood__</v>
      </c>
      <c r="S426" s="105">
        <f>MAX(S421:S425)+IF(D426=C401,2,1)</f>
        <v>5</v>
      </c>
      <c r="T426" s="124" t="str">
        <f>IF(G401="","",L426)</f>
        <v/>
      </c>
      <c r="U426" s="91"/>
      <c r="V426" s="157" t="str">
        <f>IF(AND(G401&lt;&gt;"",E426&lt;&gt;"",L426&lt;&gt;""),TRUE,IF(AND(G401&lt;&gt;"",E426&lt;&gt;"",L426="",X426=FALSE),CONST_ErrorOrMissing&amp;C401,CONST_NA))</f>
        <v>n.a.</v>
      </c>
      <c r="W426" s="104"/>
      <c r="X426" s="102" t="b">
        <f>IF(G401="",FALSE,OR(L419,E426=""))</f>
        <v>0</v>
      </c>
    </row>
    <row r="427" spans="1:24" s="144" customFormat="1" ht="12.75" customHeight="1" x14ac:dyDescent="0.35">
      <c r="A427" s="91"/>
      <c r="B427" s="93"/>
      <c r="C427" s="93"/>
      <c r="D427" s="173">
        <v>6</v>
      </c>
      <c r="E427" s="180" t="str">
        <f t="shared" si="26"/>
        <v/>
      </c>
      <c r="F427" s="181"/>
      <c r="G427" s="181"/>
      <c r="H427" s="181"/>
      <c r="I427" s="181"/>
      <c r="J427" s="182"/>
      <c r="K427" s="183" t="str">
        <f t="shared" si="27"/>
        <v/>
      </c>
      <c r="L427" s="212"/>
      <c r="N427" s="93"/>
      <c r="O427" s="902"/>
      <c r="Q427" s="93"/>
      <c r="R427" s="102" t="str">
        <f>CONST_PrecursorToGoodInput&amp;G401 &amp;"_"&amp;E427</f>
        <v>PrecToGood__</v>
      </c>
      <c r="S427" s="105">
        <f>MAX(S421:S426)+IF(D427=C401,2,1)</f>
        <v>6</v>
      </c>
      <c r="T427" s="124" t="str">
        <f>IF(G401="","",L427)</f>
        <v/>
      </c>
      <c r="U427" s="91"/>
      <c r="V427" s="157" t="str">
        <f>IF(AND(G401&lt;&gt;"",E427&lt;&gt;"",L427&lt;&gt;""),TRUE,IF(AND(G401&lt;&gt;"",E427&lt;&gt;"",L427="",X427=FALSE),CONST_ErrorOrMissing&amp;C401,CONST_NA))</f>
        <v>n.a.</v>
      </c>
      <c r="W427" s="104"/>
      <c r="X427" s="102" t="b">
        <f>IF(G401="",FALSE,OR(L419,E427=""))</f>
        <v>0</v>
      </c>
    </row>
    <row r="428" spans="1:24" s="144" customFormat="1" ht="12.75" customHeight="1" x14ac:dyDescent="0.35">
      <c r="A428" s="91"/>
      <c r="B428" s="93"/>
      <c r="C428" s="93"/>
      <c r="D428" s="173">
        <v>7</v>
      </c>
      <c r="E428" s="180" t="str">
        <f t="shared" si="26"/>
        <v/>
      </c>
      <c r="F428" s="181"/>
      <c r="G428" s="181"/>
      <c r="H428" s="181"/>
      <c r="I428" s="181"/>
      <c r="J428" s="182"/>
      <c r="K428" s="183" t="str">
        <f t="shared" si="27"/>
        <v/>
      </c>
      <c r="L428" s="212"/>
      <c r="N428" s="93"/>
      <c r="O428" s="902"/>
      <c r="Q428" s="93"/>
      <c r="R428" s="102" t="str">
        <f>CONST_PrecursorToGoodInput&amp;G401 &amp;"_"&amp;E428</f>
        <v>PrecToGood__</v>
      </c>
      <c r="S428" s="105">
        <f>MAX(S421:S427)+IF(D428=C401,2,1)</f>
        <v>8</v>
      </c>
      <c r="T428" s="124" t="str">
        <f>IF(G401="","",L428)</f>
        <v/>
      </c>
      <c r="U428" s="91"/>
      <c r="V428" s="157" t="str">
        <f>IF(AND(G401&lt;&gt;"",E428&lt;&gt;"",L428&lt;&gt;""),TRUE,IF(AND(G401&lt;&gt;"",E428&lt;&gt;"",L428="",X428=FALSE),CONST_ErrorOrMissing&amp;C401,CONST_NA))</f>
        <v>n.a.</v>
      </c>
      <c r="W428" s="104"/>
      <c r="X428" s="102" t="b">
        <f>IF(G401="",FALSE,OR(L419,E428=""))</f>
        <v>0</v>
      </c>
    </row>
    <row r="429" spans="1:24" s="144" customFormat="1" ht="12.75" customHeight="1" x14ac:dyDescent="0.35">
      <c r="A429" s="91"/>
      <c r="B429" s="93"/>
      <c r="C429" s="93"/>
      <c r="D429" s="173">
        <v>8</v>
      </c>
      <c r="E429" s="180" t="str">
        <f t="shared" si="26"/>
        <v/>
      </c>
      <c r="F429" s="181"/>
      <c r="G429" s="181"/>
      <c r="H429" s="181"/>
      <c r="I429" s="181"/>
      <c r="J429" s="182"/>
      <c r="K429" s="183" t="str">
        <f t="shared" si="27"/>
        <v/>
      </c>
      <c r="L429" s="212"/>
      <c r="N429" s="93"/>
      <c r="O429" s="902"/>
      <c r="Q429" s="93"/>
      <c r="R429" s="102" t="str">
        <f>CONST_PrecursorToGoodInput&amp;G401 &amp;"_"&amp;E429</f>
        <v>PrecToGood__</v>
      </c>
      <c r="S429" s="105">
        <f>MAX(S421:S428)+IF(D429=C401,2,1)</f>
        <v>9</v>
      </c>
      <c r="T429" s="124" t="str">
        <f>IF(G401="","",L429)</f>
        <v/>
      </c>
      <c r="U429" s="91"/>
      <c r="V429" s="157" t="str">
        <f>IF(AND(G401&lt;&gt;"",E429&lt;&gt;"",L429&lt;&gt;""),TRUE,IF(AND(G401&lt;&gt;"",E429&lt;&gt;"",L429="",X429=FALSE),CONST_ErrorOrMissing&amp;C401,CONST_NA))</f>
        <v>n.a.</v>
      </c>
      <c r="W429" s="104"/>
      <c r="X429" s="102" t="b">
        <f>IF(G401="",FALSE,OR(L419,E429=""))</f>
        <v>0</v>
      </c>
    </row>
    <row r="430" spans="1:24" s="144" customFormat="1" ht="12.75" customHeight="1" x14ac:dyDescent="0.35">
      <c r="A430" s="91"/>
      <c r="B430" s="93"/>
      <c r="C430" s="93"/>
      <c r="D430" s="173">
        <v>9</v>
      </c>
      <c r="E430" s="184" t="str">
        <f t="shared" si="26"/>
        <v/>
      </c>
      <c r="F430" s="185"/>
      <c r="G430" s="185"/>
      <c r="H430" s="185"/>
      <c r="I430" s="185"/>
      <c r="J430" s="186"/>
      <c r="K430" s="163" t="str">
        <f t="shared" si="27"/>
        <v/>
      </c>
      <c r="L430" s="31"/>
      <c r="N430" s="93"/>
      <c r="O430" s="902"/>
      <c r="Q430" s="93"/>
      <c r="R430" s="102" t="str">
        <f>CONST_PrecursorToGoodInput&amp;G401 &amp;"_"&amp;E430</f>
        <v>PrecToGood__</v>
      </c>
      <c r="S430" s="105">
        <f>MAX(S421:S429)+IF(D430=C401,2,1)</f>
        <v>10</v>
      </c>
      <c r="T430" s="124" t="str">
        <f>IF(G401="","",L430)</f>
        <v/>
      </c>
      <c r="U430" s="91"/>
      <c r="V430" s="157" t="str">
        <f>IF(AND(G401&lt;&gt;"",E430&lt;&gt;"",L430&lt;&gt;""),TRUE,IF(AND(G401&lt;&gt;"",E430&lt;&gt;"",L430="",X430=FALSE),CONST_ErrorOrMissing&amp;C401,CONST_NA))</f>
        <v>n.a.</v>
      </c>
      <c r="W430" s="104"/>
      <c r="X430" s="102" t="b">
        <f>IF(G401="",FALSE,OR(L419,E430=""))</f>
        <v>0</v>
      </c>
    </row>
    <row r="431" spans="1:24" s="144" customFormat="1" ht="12.75" customHeight="1" x14ac:dyDescent="0.35">
      <c r="A431" s="91"/>
      <c r="B431" s="93"/>
      <c r="C431" s="93"/>
      <c r="D431" s="168" t="s">
        <v>377</v>
      </c>
      <c r="E431" s="167" t="str">
        <f>Translations!$B$252</f>
        <v>Consumed for non-CBAM goods within the installation:</v>
      </c>
      <c r="F431" s="167"/>
      <c r="G431" s="167"/>
      <c r="H431" s="167"/>
      <c r="I431" s="167"/>
      <c r="J431" s="167"/>
      <c r="K431" s="297" t="str">
        <f t="shared" si="27"/>
        <v/>
      </c>
      <c r="L431" s="298"/>
      <c r="N431" s="93"/>
      <c r="O431" s="902"/>
      <c r="Q431" s="93"/>
      <c r="R431" s="91"/>
      <c r="S431" s="91"/>
      <c r="T431" s="712"/>
      <c r="U431" s="91"/>
      <c r="V431" s="157" t="str">
        <f>IF(AND(G401&lt;&gt;"",L431&lt;&gt;""),TRUE,IF(AND(G401&lt;&gt;"",L431="",X431=FALSE),CONST_ErrorOrMissing&amp;C401,CONST_NA))</f>
        <v>n.a.</v>
      </c>
      <c r="W431" s="104" t="s">
        <v>34</v>
      </c>
      <c r="X431" s="102" t="b">
        <f>IF(G401="",FALSE,L419)</f>
        <v>0</v>
      </c>
    </row>
    <row r="432" spans="1:24" s="144" customFormat="1" ht="12.75" customHeight="1" x14ac:dyDescent="0.35">
      <c r="A432" s="91"/>
      <c r="B432" s="93"/>
      <c r="C432" s="93"/>
      <c r="D432" s="168" t="s">
        <v>411</v>
      </c>
      <c r="E432" s="138" t="str">
        <f>Translations!$B$253</f>
        <v>Control:</v>
      </c>
      <c r="F432" s="170"/>
      <c r="G432" s="170"/>
      <c r="H432" s="170"/>
      <c r="I432" s="170"/>
      <c r="J432" s="170"/>
      <c r="K432" s="169" t="str">
        <f t="shared" si="27"/>
        <v/>
      </c>
      <c r="L432" s="118" t="str">
        <f>IF(G401="","",SUM(L414)-SUM(L417,L422:L431))</f>
        <v/>
      </c>
      <c r="N432" s="93"/>
      <c r="O432" s="902"/>
      <c r="Q432" s="93"/>
      <c r="R432" s="91"/>
      <c r="S432" s="91"/>
      <c r="T432" s="712"/>
      <c r="U432" s="91"/>
      <c r="V432" s="157" t="str">
        <f>IF(AND(G401&lt;&gt;"",L432=0),TRUE,IF(AND(G401&lt;&gt;"",L432&lt;&gt;0,X432=FALSE),CONST_ErrorOrMissing&amp;C401,CONST_NA))</f>
        <v>n.a.</v>
      </c>
      <c r="W432" s="104"/>
      <c r="X432" s="102" t="b">
        <f>IF(G401="",FALSE,L419)</f>
        <v>0</v>
      </c>
    </row>
    <row r="433" spans="1:24" s="144" customFormat="1" ht="12.75" customHeight="1" thickBot="1" x14ac:dyDescent="0.4">
      <c r="A433" s="91"/>
      <c r="B433" s="93"/>
      <c r="C433" s="93"/>
      <c r="D433" s="93"/>
      <c r="E433" s="93"/>
      <c r="F433" s="93"/>
      <c r="G433" s="93"/>
      <c r="H433" s="93"/>
      <c r="I433" s="93"/>
      <c r="J433" s="93"/>
      <c r="K433" s="93"/>
      <c r="L433" s="93"/>
      <c r="M433" s="93"/>
      <c r="N433" s="93"/>
      <c r="O433" s="901"/>
      <c r="Q433" s="93"/>
      <c r="R433" s="91"/>
      <c r="S433" s="91"/>
      <c r="T433" s="712"/>
      <c r="U433" s="91"/>
      <c r="V433" s="91"/>
      <c r="W433" s="104"/>
      <c r="X433" s="91"/>
    </row>
    <row r="434" spans="1:24" ht="12.75" customHeight="1" x14ac:dyDescent="0.35">
      <c r="C434" s="187"/>
      <c r="D434" s="188"/>
      <c r="E434" s="189"/>
      <c r="F434" s="190"/>
      <c r="G434" s="190"/>
      <c r="H434" s="190"/>
      <c r="I434" s="190"/>
      <c r="J434" s="190"/>
      <c r="K434" s="190"/>
      <c r="L434" s="190"/>
      <c r="M434" s="190"/>
      <c r="N434" s="191"/>
      <c r="O434" s="901"/>
      <c r="P434" s="144"/>
      <c r="T434" s="712"/>
    </row>
    <row r="435" spans="1:24" ht="15" customHeight="1" x14ac:dyDescent="0.35">
      <c r="C435" s="192"/>
      <c r="D435" s="193" t="str">
        <f>Translations!$B$254</f>
        <v>Calculation of the attributed emissions:</v>
      </c>
      <c r="E435" s="194"/>
      <c r="F435" s="195"/>
      <c r="G435" s="195"/>
      <c r="H435" s="195"/>
      <c r="I435" s="195"/>
      <c r="J435" s="1310" t="str">
        <f>IF(G401="","",G401)</f>
        <v/>
      </c>
      <c r="K435" s="1310"/>
      <c r="L435" s="1310"/>
      <c r="M435" s="1310"/>
      <c r="N435" s="196"/>
      <c r="O435" s="901"/>
      <c r="P435" s="144"/>
      <c r="T435" s="712"/>
    </row>
    <row r="436" spans="1:24" ht="5.15" customHeight="1" x14ac:dyDescent="0.35">
      <c r="C436" s="192"/>
      <c r="D436" s="197"/>
      <c r="E436" s="198"/>
      <c r="F436" s="195"/>
      <c r="G436" s="195"/>
      <c r="H436" s="195"/>
      <c r="I436" s="195"/>
      <c r="J436" s="195"/>
      <c r="K436" s="195"/>
      <c r="L436" s="195"/>
      <c r="M436" s="195"/>
      <c r="N436" s="196"/>
      <c r="O436" s="901"/>
      <c r="P436" s="144"/>
      <c r="T436" s="712"/>
    </row>
    <row r="437" spans="1:24" ht="12.75" customHeight="1" x14ac:dyDescent="0.35">
      <c r="C437" s="192"/>
      <c r="D437" s="199"/>
      <c r="E437" s="1311" t="str">
        <f ca="1">HYPERLINK("#"&amp;ADDRESS(MATCH($S437,G_FurtherGuidance!$S:$S,0),3,,,G_FurtherGuidance!$U$2),CONST_LinkToGuidanceSheet)</f>
        <v>Please click on this link for further guidance on how to complete this section.</v>
      </c>
      <c r="F437" s="1312"/>
      <c r="G437" s="1312"/>
      <c r="H437" s="1312"/>
      <c r="I437" s="1312"/>
      <c r="J437" s="1312"/>
      <c r="K437" s="1312"/>
      <c r="L437" s="1312"/>
      <c r="M437" s="1312"/>
      <c r="N437" s="202"/>
      <c r="O437" s="901"/>
      <c r="P437" s="144"/>
      <c r="R437" s="104" t="s">
        <v>2771</v>
      </c>
      <c r="S437" s="105">
        <v>3</v>
      </c>
      <c r="T437" s="712"/>
    </row>
    <row r="438" spans="1:24" ht="5.15" customHeight="1" x14ac:dyDescent="0.35">
      <c r="C438" s="192"/>
      <c r="D438" s="197"/>
      <c r="E438" s="198"/>
      <c r="F438" s="195"/>
      <c r="G438" s="195"/>
      <c r="H438" s="195"/>
      <c r="I438" s="195"/>
      <c r="J438" s="198"/>
      <c r="K438" s="195"/>
      <c r="L438" s="195"/>
      <c r="M438" s="195"/>
      <c r="N438" s="196"/>
      <c r="O438" s="901"/>
      <c r="P438" s="144"/>
      <c r="T438" s="712"/>
      <c r="X438" s="104"/>
    </row>
    <row r="439" spans="1:24" ht="25" customHeight="1" x14ac:dyDescent="0.3">
      <c r="C439" s="192"/>
      <c r="D439" s="197"/>
      <c r="E439" s="198"/>
      <c r="F439" s="195"/>
      <c r="G439" s="195"/>
      <c r="H439" s="195"/>
      <c r="I439" s="195"/>
      <c r="J439" s="195"/>
      <c r="K439" s="203" t="str">
        <f>Translations!$B$255</f>
        <v>Measurable heat</v>
      </c>
      <c r="L439" s="203" t="str">
        <f>Translations!$B$256</f>
        <v>Waste gases</v>
      </c>
      <c r="M439" s="203" t="str">
        <f>Translations!$B$257</f>
        <v>Indirect emissions</v>
      </c>
      <c r="N439" s="196"/>
      <c r="O439" s="901"/>
      <c r="P439" s="144"/>
      <c r="T439" s="712"/>
      <c r="X439" s="104"/>
    </row>
    <row r="440" spans="1:24" ht="12.75" customHeight="1" x14ac:dyDescent="0.35">
      <c r="C440" s="192"/>
      <c r="D440" s="199" t="s">
        <v>412</v>
      </c>
      <c r="E440" s="200" t="str">
        <f>Translations!$B$258</f>
        <v>Please select which elements are applicable</v>
      </c>
      <c r="F440" s="201"/>
      <c r="G440" s="201"/>
      <c r="H440" s="201"/>
      <c r="I440" s="201"/>
      <c r="J440" s="201"/>
      <c r="K440" s="120"/>
      <c r="L440" s="120"/>
      <c r="M440" s="169" t="str">
        <f>IF(L401="","",INDEX(CONST_LIST_GoodsIndRel,MATCH(L401,CONST_LIST_Goods,0)))</f>
        <v/>
      </c>
      <c r="N440" s="196"/>
      <c r="O440" s="902"/>
      <c r="P440" s="144"/>
      <c r="T440" s="712"/>
      <c r="V440" s="157" t="str">
        <f>IF(AND(L401&lt;&gt;"",X440=FALSE),IF(COUNTA(K440:L440)=2,TRUE,CONST_ErrorOrMissing&amp;C401),CONST_NA)</f>
        <v>n.a.</v>
      </c>
      <c r="X440" s="104"/>
    </row>
    <row r="441" spans="1:24" ht="12.75" customHeight="1" x14ac:dyDescent="0.35">
      <c r="C441" s="192"/>
      <c r="D441" s="204"/>
      <c r="E441" s="401" t="str">
        <f>Translations!$B$259</f>
        <v>Based on your selection, related sections below might become irrelevant and greyed out below.</v>
      </c>
      <c r="F441" s="195"/>
      <c r="G441" s="195"/>
      <c r="H441" s="195"/>
      <c r="I441" s="195"/>
      <c r="J441" s="195"/>
      <c r="K441" s="198"/>
      <c r="L441" s="195"/>
      <c r="M441" s="195"/>
      <c r="N441" s="196"/>
      <c r="O441" s="901"/>
      <c r="P441" s="144"/>
      <c r="T441" s="712"/>
      <c r="X441" s="104"/>
    </row>
    <row r="442" spans="1:24" ht="5.15" customHeight="1" x14ac:dyDescent="0.35">
      <c r="C442" s="192"/>
      <c r="D442" s="204"/>
      <c r="E442" s="198"/>
      <c r="F442" s="195"/>
      <c r="G442" s="195"/>
      <c r="H442" s="195"/>
      <c r="I442" s="195"/>
      <c r="J442" s="195"/>
      <c r="K442" s="198"/>
      <c r="L442" s="195"/>
      <c r="M442" s="195"/>
      <c r="N442" s="196"/>
      <c r="O442" s="901"/>
      <c r="P442" s="144"/>
      <c r="T442" s="712"/>
      <c r="X442" s="104"/>
    </row>
    <row r="443" spans="1:24" ht="12.75" customHeight="1" x14ac:dyDescent="0.35">
      <c r="C443" s="192"/>
      <c r="D443" s="204"/>
      <c r="E443" s="198"/>
      <c r="F443" s="195"/>
      <c r="G443" s="195"/>
      <c r="H443" s="195"/>
      <c r="I443" s="195"/>
      <c r="J443" s="195"/>
      <c r="K443" s="199" t="str">
        <f>Translations!$B$221</f>
        <v>Unit</v>
      </c>
      <c r="L443" s="199" t="str">
        <f>Translations!$B$260</f>
        <v>Value</v>
      </c>
      <c r="M443" s="195"/>
      <c r="N443" s="196"/>
      <c r="O443" s="901"/>
      <c r="P443" s="144"/>
      <c r="T443" s="712"/>
      <c r="X443" s="104"/>
    </row>
    <row r="444" spans="1:24" ht="12.75" customHeight="1" x14ac:dyDescent="0.35">
      <c r="C444" s="192"/>
      <c r="D444" s="199" t="s">
        <v>413</v>
      </c>
      <c r="E444" s="200" t="str">
        <f>Translations!$B$261</f>
        <v>Directly attributable emissions (DirEm*)</v>
      </c>
      <c r="F444" s="201"/>
      <c r="G444" s="201"/>
      <c r="H444" s="201"/>
      <c r="I444" s="201"/>
      <c r="J444" s="201"/>
      <c r="K444" s="205" t="str">
        <f>CONST_tCO2eq</f>
        <v>tCO2e</v>
      </c>
      <c r="L444" s="213"/>
      <c r="M444" s="195"/>
      <c r="N444" s="196"/>
      <c r="O444" s="902"/>
      <c r="P444" s="144"/>
      <c r="R444" s="102" t="str">
        <f>CONST_EmDir&amp;G401</f>
        <v>EmDir_</v>
      </c>
      <c r="S444" s="102" t="str">
        <f>CONST_CNTR_EmbedEmDir&amp;G401</f>
        <v>EmbedEmDir_</v>
      </c>
      <c r="T444" s="124" t="str">
        <f>IF(G401="","",L444)</f>
        <v/>
      </c>
      <c r="V444" s="157" t="str">
        <f>IF(L401&lt;&gt;"",IF(L444&lt;&gt;"",TRUE,CONST_ErrorOrMissing&amp;C401),CONST_NA)</f>
        <v>n.a.</v>
      </c>
      <c r="X444" s="104"/>
    </row>
    <row r="445" spans="1:24" ht="5.15" customHeight="1" x14ac:dyDescent="0.35">
      <c r="C445" s="192"/>
      <c r="D445" s="204"/>
      <c r="E445" s="198"/>
      <c r="F445" s="195"/>
      <c r="G445" s="195"/>
      <c r="H445" s="195"/>
      <c r="I445" s="195"/>
      <c r="J445" s="195"/>
      <c r="K445" s="195"/>
      <c r="L445" s="199"/>
      <c r="M445" s="199"/>
      <c r="N445" s="196"/>
      <c r="O445" s="901"/>
      <c r="P445" s="144"/>
      <c r="T445" s="712"/>
    </row>
    <row r="446" spans="1:24" ht="12.75" customHeight="1" x14ac:dyDescent="0.35">
      <c r="C446" s="192"/>
      <c r="D446" s="199" t="s">
        <v>414</v>
      </c>
      <c r="E446" s="198" t="str">
        <f>Translations!$B$262</f>
        <v>Import and export of measurable heat</v>
      </c>
      <c r="F446" s="195"/>
      <c r="G446" s="195"/>
      <c r="H446" s="195"/>
      <c r="I446" s="195"/>
      <c r="J446" s="195"/>
      <c r="K446" s="199" t="str">
        <f>Translations!$B$221</f>
        <v>Unit</v>
      </c>
      <c r="L446" s="199" t="str">
        <f>Translations!$B$263</f>
        <v>Imported</v>
      </c>
      <c r="M446" s="199" t="str">
        <f>Translations!$B$264</f>
        <v>Exported</v>
      </c>
      <c r="N446" s="196"/>
      <c r="O446" s="901"/>
      <c r="P446" s="144"/>
      <c r="T446" s="712"/>
      <c r="W446" s="104" t="s">
        <v>34</v>
      </c>
      <c r="X446" s="102" t="b">
        <f>AND(K440&lt;&gt;"",K440=FALSE)</f>
        <v>0</v>
      </c>
    </row>
    <row r="447" spans="1:24" ht="12.75" customHeight="1" x14ac:dyDescent="0.35">
      <c r="C447" s="192"/>
      <c r="D447" s="197" t="s">
        <v>41</v>
      </c>
      <c r="E447" s="201" t="str">
        <f>Translations!$B$265</f>
        <v>Amount of net measurable heat</v>
      </c>
      <c r="F447" s="201"/>
      <c r="G447" s="201"/>
      <c r="H447" s="201"/>
      <c r="I447" s="201"/>
      <c r="J447" s="201"/>
      <c r="K447" s="205" t="s">
        <v>118</v>
      </c>
      <c r="L447" s="213"/>
      <c r="M447" s="213"/>
      <c r="N447" s="196"/>
      <c r="O447" s="902"/>
      <c r="P447" s="144"/>
      <c r="T447" s="712"/>
      <c r="V447" s="157" t="str">
        <f>IF(AND(L401&lt;&gt;"",X447=FALSE),IF(COUNTA(L447:M447)=2,TRUE,CONST_ErrorOrMissing&amp;C401),CONST_NA)</f>
        <v>n.a.</v>
      </c>
      <c r="X447" s="102" t="b">
        <f>X446</f>
        <v>0</v>
      </c>
    </row>
    <row r="448" spans="1:24" ht="12.75" customHeight="1" x14ac:dyDescent="0.35">
      <c r="C448" s="192"/>
      <c r="D448" s="197" t="s">
        <v>42</v>
      </c>
      <c r="E448" s="201" t="str">
        <f>Translations!$B$266</f>
        <v>Emissions factor</v>
      </c>
      <c r="F448" s="201"/>
      <c r="G448" s="201"/>
      <c r="H448" s="201"/>
      <c r="I448" s="201"/>
      <c r="J448" s="201"/>
      <c r="K448" s="205" t="str">
        <f>CONST_tCO2pTJ</f>
        <v>tCO2/TJ</v>
      </c>
      <c r="L448" s="214"/>
      <c r="M448" s="214"/>
      <c r="N448" s="196"/>
      <c r="O448" s="902"/>
      <c r="P448" s="144"/>
      <c r="R448" s="102" t="str">
        <f>CONST_EmDirHeat&amp;G401</f>
        <v>EmDirHeat_</v>
      </c>
      <c r="S448" s="102" t="str">
        <f>CONST_CNTR_EmbedEmDir&amp;G401</f>
        <v>EmbedEmDir_</v>
      </c>
      <c r="T448" s="124" t="str">
        <f>IF(G401="","",SUM(L447*L448-M447*M448))</f>
        <v/>
      </c>
      <c r="V448" s="157" t="str">
        <f>IF(AND(L401&lt;&gt;"",X448=FALSE),IF(COUNTA(L448:M448)=2,TRUE,CONST_ErrorOrMissing&amp;C401),CONST_NA)</f>
        <v>n.a.</v>
      </c>
      <c r="X448" s="102" t="b">
        <f>X447</f>
        <v>0</v>
      </c>
    </row>
    <row r="449" spans="1:24" ht="5.15" customHeight="1" x14ac:dyDescent="0.35">
      <c r="C449" s="192"/>
      <c r="D449" s="204"/>
      <c r="E449" s="198"/>
      <c r="F449" s="195"/>
      <c r="G449" s="195"/>
      <c r="H449" s="195"/>
      <c r="I449" s="195"/>
      <c r="J449" s="195"/>
      <c r="K449" s="195"/>
      <c r="L449" s="199"/>
      <c r="M449" s="199"/>
      <c r="N449" s="196"/>
      <c r="O449" s="901"/>
      <c r="P449" s="144"/>
      <c r="T449" s="712"/>
    </row>
    <row r="450" spans="1:24" ht="12.75" customHeight="1" x14ac:dyDescent="0.35">
      <c r="C450" s="192"/>
      <c r="D450" s="199" t="s">
        <v>415</v>
      </c>
      <c r="E450" s="198" t="str">
        <f>Translations!$B$256</f>
        <v>Waste gases</v>
      </c>
      <c r="F450" s="195"/>
      <c r="G450" s="195"/>
      <c r="H450" s="195"/>
      <c r="I450" s="195"/>
      <c r="J450" s="195"/>
      <c r="K450" s="199" t="str">
        <f>Translations!$B$221</f>
        <v>Unit</v>
      </c>
      <c r="L450" s="199" t="str">
        <f>Translations!$B$263</f>
        <v>Imported</v>
      </c>
      <c r="M450" s="199" t="str">
        <f>Translations!$B$264</f>
        <v>Exported</v>
      </c>
      <c r="N450" s="196"/>
      <c r="O450" s="901"/>
      <c r="P450" s="144"/>
      <c r="T450" s="712"/>
      <c r="W450" s="104" t="s">
        <v>34</v>
      </c>
      <c r="X450" s="102" t="b">
        <f>AND(L440&lt;&gt;"",L440=FALSE)</f>
        <v>0</v>
      </c>
    </row>
    <row r="451" spans="1:24" ht="12.75" customHeight="1" x14ac:dyDescent="0.35">
      <c r="C451" s="192"/>
      <c r="D451" s="197" t="s">
        <v>41</v>
      </c>
      <c r="E451" s="201" t="str">
        <f>Translations!$B$267</f>
        <v>Amount of waste gas</v>
      </c>
      <c r="F451" s="201"/>
      <c r="G451" s="201"/>
      <c r="H451" s="201"/>
      <c r="I451" s="201"/>
      <c r="J451" s="201"/>
      <c r="K451" s="205" t="str">
        <f>CONST_TJ</f>
        <v>TJ</v>
      </c>
      <c r="L451" s="213"/>
      <c r="M451" s="213"/>
      <c r="N451" s="196"/>
      <c r="O451" s="902"/>
      <c r="P451" s="144"/>
      <c r="T451" s="712"/>
      <c r="V451" s="157" t="str">
        <f>IF(AND(L401&lt;&gt;"",X451=FALSE),IF(COUNTA(L451:M451)=2,TRUE,CONST_ErrorOrMissing&amp;C401),CONST_NA)</f>
        <v>n.a.</v>
      </c>
      <c r="X451" s="102" t="b">
        <f>X450</f>
        <v>0</v>
      </c>
    </row>
    <row r="452" spans="1:24" ht="12.75" customHeight="1" x14ac:dyDescent="0.35">
      <c r="C452" s="192"/>
      <c r="D452" s="197" t="s">
        <v>42</v>
      </c>
      <c r="E452" s="201" t="str">
        <f>Translations!$B$268</f>
        <v>Emission factor</v>
      </c>
      <c r="F452" s="201"/>
      <c r="G452" s="201"/>
      <c r="H452" s="201"/>
      <c r="I452" s="201"/>
      <c r="J452" s="201"/>
      <c r="K452" s="205" t="str">
        <f>CONST_tCO2pTJ</f>
        <v>tCO2/TJ</v>
      </c>
      <c r="L452" s="300"/>
      <c r="M452" s="300"/>
      <c r="N452" s="196"/>
      <c r="O452" s="901"/>
      <c r="P452" s="144"/>
      <c r="R452" s="102" t="str">
        <f>CONST_EmDirWasteGases&amp;G401</f>
        <v>EmDirWG_</v>
      </c>
      <c r="S452" s="102" t="str">
        <f>CONST_CNTR_EmbedEmDir&amp;G401</f>
        <v>EmbedEmDir_</v>
      </c>
      <c r="T452" s="124" t="str">
        <f>IF(G401="","",SUM(L451*CONST_EFNatGas-M451*CONST_EFNatGas*0.667))</f>
        <v/>
      </c>
      <c r="X452" s="102" t="b">
        <f>X451</f>
        <v>0</v>
      </c>
    </row>
    <row r="453" spans="1:24" ht="5.15" customHeight="1" x14ac:dyDescent="0.35">
      <c r="C453" s="192"/>
      <c r="D453" s="204"/>
      <c r="E453" s="198"/>
      <c r="F453" s="195"/>
      <c r="G453" s="195"/>
      <c r="H453" s="195"/>
      <c r="I453" s="195"/>
      <c r="J453" s="195"/>
      <c r="K453" s="195"/>
      <c r="L453" s="195"/>
      <c r="M453" s="195"/>
      <c r="N453" s="196"/>
      <c r="O453" s="901"/>
      <c r="P453" s="144"/>
      <c r="T453" s="712"/>
    </row>
    <row r="454" spans="1:24" ht="12.75" customHeight="1" x14ac:dyDescent="0.35">
      <c r="C454" s="192"/>
      <c r="D454" s="199" t="s">
        <v>416</v>
      </c>
      <c r="E454" s="198" t="str">
        <f>Translations!$B$269</f>
        <v>Indirect emissions from electricity consumption</v>
      </c>
      <c r="F454" s="195"/>
      <c r="G454" s="195"/>
      <c r="H454" s="195"/>
      <c r="I454" s="195"/>
      <c r="J454" s="195"/>
      <c r="K454" s="199" t="str">
        <f>Translations!$B$221</f>
        <v>Unit</v>
      </c>
      <c r="L454" s="199" t="str">
        <f>Translations!$B$260</f>
        <v>Value</v>
      </c>
      <c r="M454" s="195"/>
      <c r="N454" s="196"/>
      <c r="O454" s="901"/>
      <c r="P454" s="144"/>
      <c r="T454" s="712"/>
      <c r="W454" s="104" t="s">
        <v>34</v>
      </c>
      <c r="X454" s="102" t="b">
        <f>M440=FALSE</f>
        <v>0</v>
      </c>
    </row>
    <row r="455" spans="1:24" ht="12.75" customHeight="1" x14ac:dyDescent="0.35">
      <c r="C455" s="192"/>
      <c r="D455" s="197" t="s">
        <v>41</v>
      </c>
      <c r="E455" s="201" t="str">
        <f>Translations!$B$270</f>
        <v>Electricity consumption</v>
      </c>
      <c r="F455" s="201"/>
      <c r="G455" s="201"/>
      <c r="H455" s="201"/>
      <c r="I455" s="201"/>
      <c r="J455" s="201"/>
      <c r="K455" s="205" t="str">
        <f>CONST_MWh</f>
        <v>MWh</v>
      </c>
      <c r="L455" s="213"/>
      <c r="M455" s="195"/>
      <c r="N455" s="196"/>
      <c r="O455" s="902"/>
      <c r="P455" s="144"/>
      <c r="R455" s="102" t="str">
        <f>CONST_ElecConsumption&amp;G401</f>
        <v>ElecCons_</v>
      </c>
      <c r="T455" s="124" t="str">
        <f>IF(G401="","",L455)</f>
        <v/>
      </c>
      <c r="V455" s="157" t="str">
        <f>IF(AND(L401&lt;&gt;"",X455=FALSE),IF(L455&lt;&gt;"",TRUE,CONST_ErrorOrMissing&amp;C401),CONST_NA)</f>
        <v>n.a.</v>
      </c>
      <c r="X455" s="102" t="b">
        <f>X454</f>
        <v>0</v>
      </c>
    </row>
    <row r="456" spans="1:24" ht="12.75" customHeight="1" x14ac:dyDescent="0.35">
      <c r="C456" s="192"/>
      <c r="D456" s="197" t="s">
        <v>42</v>
      </c>
      <c r="E456" s="201" t="str">
        <f>Translations!$B$271</f>
        <v>Emission factor of the electricity</v>
      </c>
      <c r="F456" s="201"/>
      <c r="G456" s="201"/>
      <c r="H456" s="201"/>
      <c r="I456" s="201"/>
      <c r="J456" s="201"/>
      <c r="K456" s="205" t="str">
        <f>CONST_tCO2&amp;"/"&amp;CONST_MWh</f>
        <v>tCO2/MWh</v>
      </c>
      <c r="L456" s="215"/>
      <c r="M456" s="195"/>
      <c r="N456" s="196"/>
      <c r="O456" s="902"/>
      <c r="P456" s="144"/>
      <c r="S456" s="102" t="str">
        <f>CONST_CNTR_EmbedEmInDir&amp;G401</f>
        <v>EmbedEmInDir_</v>
      </c>
      <c r="T456" s="124" t="str">
        <f>IF(G401="","",SUM(L455)*SUM(L456))</f>
        <v/>
      </c>
      <c r="V456" s="157" t="str">
        <f>IF(AND(L401&lt;&gt;"",X456=FALSE),IF(L456&lt;&gt;"",TRUE,CONST_ErrorOrMissing&amp;C401),CONST_NA)</f>
        <v>n.a.</v>
      </c>
      <c r="X456" s="102" t="b">
        <f>X455</f>
        <v>0</v>
      </c>
    </row>
    <row r="457" spans="1:24" ht="12.75" customHeight="1" x14ac:dyDescent="0.35">
      <c r="C457" s="192"/>
      <c r="D457" s="197" t="s">
        <v>43</v>
      </c>
      <c r="E457" s="201" t="str">
        <f>Translations!$B$272</f>
        <v>Source of the emission factor</v>
      </c>
      <c r="F457" s="201"/>
      <c r="G457" s="201"/>
      <c r="H457" s="201"/>
      <c r="I457" s="201"/>
      <c r="J457" s="201"/>
      <c r="K457" s="299" t="s">
        <v>206</v>
      </c>
      <c r="L457" s="215"/>
      <c r="M457" s="195"/>
      <c r="N457" s="196"/>
      <c r="O457" s="902"/>
      <c r="P457" s="144"/>
      <c r="R457" s="102" t="str">
        <f>CONST_CNTR_ElecEFMethod&amp;G401</f>
        <v>ElecEFMeth_</v>
      </c>
      <c r="T457" s="714" t="str">
        <f>IF(L457="","",L457)</f>
        <v/>
      </c>
      <c r="V457" s="157" t="str">
        <f>IF(AND(L401&lt;&gt;"",X457=FALSE),IF(L457&lt;&gt;"",TRUE,CONST_ErrorOrMissing&amp;C401),CONST_NA)</f>
        <v>n.a.</v>
      </c>
      <c r="X457" s="102" t="b">
        <f>X456</f>
        <v>0</v>
      </c>
    </row>
    <row r="458" spans="1:24" ht="5.15" customHeight="1" x14ac:dyDescent="0.35">
      <c r="C458" s="192"/>
      <c r="D458" s="204"/>
      <c r="E458" s="198"/>
      <c r="F458" s="195"/>
      <c r="G458" s="195"/>
      <c r="H458" s="195"/>
      <c r="I458" s="195"/>
      <c r="J458" s="195"/>
      <c r="K458" s="195"/>
      <c r="L458" s="195"/>
      <c r="M458" s="195"/>
      <c r="N458" s="196"/>
      <c r="O458" s="901"/>
      <c r="P458" s="144"/>
      <c r="T458" s="712"/>
    </row>
    <row r="459" spans="1:24" ht="12.75" customHeight="1" x14ac:dyDescent="0.35">
      <c r="C459" s="192"/>
      <c r="D459" s="204"/>
      <c r="E459" s="198"/>
      <c r="F459" s="195"/>
      <c r="G459" s="195"/>
      <c r="H459" s="195"/>
      <c r="I459" s="195"/>
      <c r="J459" s="195"/>
      <c r="K459" s="195"/>
      <c r="L459" s="195"/>
      <c r="M459" s="195"/>
      <c r="N459" s="196"/>
      <c r="O459" s="901"/>
      <c r="P459" s="144"/>
      <c r="T459" s="712"/>
      <c r="X459" s="171"/>
    </row>
    <row r="460" spans="1:24" ht="12.75" customHeight="1" x14ac:dyDescent="0.35">
      <c r="C460" s="192"/>
      <c r="D460" s="199" t="s">
        <v>417</v>
      </c>
      <c r="E460" s="198" t="str">
        <f>Translations!$B$273</f>
        <v>Electricity exported from the production process</v>
      </c>
      <c r="F460" s="195"/>
      <c r="G460" s="195"/>
      <c r="H460" s="195"/>
      <c r="I460" s="195"/>
      <c r="J460" s="195"/>
      <c r="K460" s="199" t="str">
        <f>Translations!$B$221</f>
        <v>Unit</v>
      </c>
      <c r="L460" s="199" t="str">
        <f>Translations!$B$260</f>
        <v>Value</v>
      </c>
      <c r="M460" s="195"/>
      <c r="N460" s="196"/>
      <c r="O460" s="901"/>
      <c r="P460" s="144"/>
      <c r="T460" s="712"/>
      <c r="X460" s="171"/>
    </row>
    <row r="461" spans="1:24" ht="12.75" customHeight="1" x14ac:dyDescent="0.35">
      <c r="C461" s="192"/>
      <c r="D461" s="197" t="s">
        <v>41</v>
      </c>
      <c r="E461" s="201" t="str">
        <f>Translations!$B$274</f>
        <v>Amounts exported</v>
      </c>
      <c r="F461" s="201"/>
      <c r="G461" s="201"/>
      <c r="H461" s="201"/>
      <c r="I461" s="201"/>
      <c r="J461" s="201"/>
      <c r="K461" s="205" t="s">
        <v>51</v>
      </c>
      <c r="L461" s="213"/>
      <c r="M461" s="195"/>
      <c r="N461" s="196"/>
      <c r="O461" s="902"/>
      <c r="P461" s="144"/>
      <c r="T461" s="712"/>
      <c r="V461" s="157" t="str">
        <f>IF(L401&lt;&gt;"",IF(L461&lt;&gt;"",TRUE,CONST_ErrorOrMissing&amp;C401),CONST_NA)</f>
        <v>n.a.</v>
      </c>
      <c r="X461" s="171"/>
    </row>
    <row r="462" spans="1:24" ht="12.75" customHeight="1" x14ac:dyDescent="0.35">
      <c r="C462" s="192"/>
      <c r="D462" s="197" t="s">
        <v>42</v>
      </c>
      <c r="E462" s="201" t="str">
        <f>Translations!$B$271</f>
        <v>Emission factor of the electricity</v>
      </c>
      <c r="F462" s="201"/>
      <c r="G462" s="201"/>
      <c r="H462" s="201"/>
      <c r="I462" s="201"/>
      <c r="J462" s="201"/>
      <c r="K462" s="205" t="str">
        <f>CONST_tCO2&amp;"/"&amp;CONST_MWh</f>
        <v>tCO2/MWh</v>
      </c>
      <c r="L462" s="215"/>
      <c r="M462" s="195"/>
      <c r="N462" s="196"/>
      <c r="O462" s="902"/>
      <c r="P462" s="144"/>
      <c r="S462" s="102" t="str">
        <f>CONST_CNTR_EmbedEmDir&amp;G401</f>
        <v>EmbedEmDir_</v>
      </c>
      <c r="T462" s="124" t="str">
        <f>IF(G401="","",-SUM(L461)*SUM(L462))</f>
        <v/>
      </c>
      <c r="V462" s="157" t="str">
        <f>IF(AND(L401&lt;&gt;"",SUM(L461)&gt;0),IF(L462&lt;&gt;"",TRUE,CONST_ErrorOrMissing&amp;C401),CONST_NA)</f>
        <v>n.a.</v>
      </c>
      <c r="X462" s="171"/>
    </row>
    <row r="463" spans="1:24" s="144" customFormat="1" ht="12.75" customHeight="1" thickBot="1" x14ac:dyDescent="0.4">
      <c r="A463" s="91"/>
      <c r="B463" s="93"/>
      <c r="C463" s="206"/>
      <c r="D463" s="207"/>
      <c r="E463" s="208"/>
      <c r="F463" s="209"/>
      <c r="G463" s="209"/>
      <c r="H463" s="209"/>
      <c r="I463" s="209"/>
      <c r="J463" s="209"/>
      <c r="K463" s="209"/>
      <c r="L463" s="209"/>
      <c r="M463" s="209"/>
      <c r="N463" s="210"/>
      <c r="O463" s="901"/>
      <c r="Q463" s="93"/>
      <c r="R463" s="91"/>
      <c r="S463" s="91"/>
      <c r="T463" s="712"/>
      <c r="U463" s="91"/>
      <c r="V463" s="91"/>
      <c r="W463" s="104"/>
      <c r="X463" s="91"/>
    </row>
    <row r="464" spans="1:24" s="144" customFormat="1" ht="12.75" customHeight="1" thickBot="1" x14ac:dyDescent="0.4">
      <c r="A464" s="91"/>
      <c r="B464" s="93"/>
      <c r="C464" s="93"/>
      <c r="D464" s="93"/>
      <c r="E464" s="93"/>
      <c r="F464" s="93"/>
      <c r="G464" s="93"/>
      <c r="H464" s="93"/>
      <c r="I464" s="93"/>
      <c r="J464" s="93"/>
      <c r="K464" s="93"/>
      <c r="L464" s="93"/>
      <c r="M464" s="93"/>
      <c r="N464" s="93"/>
      <c r="O464" s="901"/>
      <c r="Q464" s="93"/>
      <c r="R464" s="91"/>
      <c r="S464" s="91"/>
      <c r="T464" s="712"/>
      <c r="U464" s="91"/>
      <c r="V464" s="91"/>
      <c r="W464" s="104"/>
      <c r="X464" s="91"/>
    </row>
    <row r="465" spans="1:24" ht="12.75" customHeight="1" thickBot="1" x14ac:dyDescent="0.4">
      <c r="B465" s="145"/>
      <c r="C465" s="145"/>
      <c r="D465" s="145"/>
      <c r="E465" s="145"/>
      <c r="F465" s="145"/>
      <c r="G465" s="145"/>
      <c r="H465" s="145"/>
      <c r="I465" s="145"/>
      <c r="J465" s="145"/>
      <c r="K465" s="145"/>
      <c r="L465" s="145"/>
      <c r="M465" s="145"/>
      <c r="N465" s="145"/>
      <c r="O465" s="903"/>
      <c r="P465" s="144"/>
      <c r="T465" s="712"/>
    </row>
    <row r="466" spans="1:24" ht="18" customHeight="1" thickBot="1" x14ac:dyDescent="0.4">
      <c r="C466" s="147">
        <f>C401+1</f>
        <v>8</v>
      </c>
      <c r="D466" s="148" t="str">
        <f>CONST_ProductionProcess &amp; " " &amp; C466 &amp; ":"</f>
        <v>Production process 8:</v>
      </c>
      <c r="G466" s="1313" t="str">
        <f>IF(INDEX(CNTR_List_ExistProdProcNames,R466)=CONST_NA,"",INDEX(CNTR_List_ExistProdProcNames,R466))</f>
        <v/>
      </c>
      <c r="H466" s="1314"/>
      <c r="I466" s="1314"/>
      <c r="J466" s="1314"/>
      <c r="K466" s="1315"/>
      <c r="L466" s="1316" t="str">
        <f>IF(INDEX(CNTR_List_ExistProdProc,R466)=CONST_NA,"",INDEX(CNTR_List_ExistProdProc,R466))</f>
        <v/>
      </c>
      <c r="M466" s="1317"/>
      <c r="N466" s="1318"/>
      <c r="O466" s="901"/>
      <c r="P466" s="144"/>
      <c r="R466" s="149">
        <f>C466</f>
        <v>8</v>
      </c>
      <c r="T466" s="712"/>
      <c r="W466" s="104" t="s">
        <v>2748</v>
      </c>
      <c r="X466" s="150" t="b">
        <f>AND(CNTR_HasEntriesA,G466="")</f>
        <v>0</v>
      </c>
    </row>
    <row r="467" spans="1:24" ht="5.15" customHeight="1" x14ac:dyDescent="0.35">
      <c r="D467" s="103"/>
      <c r="E467" s="100"/>
      <c r="O467" s="901"/>
      <c r="P467" s="144"/>
      <c r="T467" s="712"/>
    </row>
    <row r="468" spans="1:24" ht="12.75" customHeight="1" x14ac:dyDescent="0.35">
      <c r="D468" s="103"/>
      <c r="E468" s="1290" t="str">
        <f ca="1">HYPERLINK("#"&amp;ADDRESS(MATCH($S468,G_FurtherGuidance!$S:$S,0),3,,,G_FurtherGuidance!$U$2),CONST_LinkToGuidanceSheet)</f>
        <v>Please click on this link for further guidance on how to complete this section.</v>
      </c>
      <c r="F468" s="1319"/>
      <c r="G468" s="1319"/>
      <c r="H468" s="1319"/>
      <c r="I468" s="1319"/>
      <c r="J468" s="1319"/>
      <c r="K468" s="1319"/>
      <c r="L468" s="1319"/>
      <c r="M468" s="1319"/>
      <c r="O468" s="901"/>
      <c r="P468" s="144"/>
      <c r="R468" s="104" t="s">
        <v>2771</v>
      </c>
      <c r="S468" s="105">
        <v>3</v>
      </c>
      <c r="T468" s="712"/>
    </row>
    <row r="469" spans="1:24" ht="5.15" customHeight="1" x14ac:dyDescent="0.35">
      <c r="D469" s="103"/>
      <c r="E469" s="100"/>
      <c r="O469" s="901"/>
      <c r="P469" s="144"/>
      <c r="T469" s="712"/>
    </row>
    <row r="470" spans="1:24" ht="12.75" customHeight="1" x14ac:dyDescent="0.35">
      <c r="D470" s="117" t="s">
        <v>135</v>
      </c>
      <c r="E470" s="100" t="str">
        <f>Translations!$B$243</f>
        <v>Total production levels:</v>
      </c>
      <c r="H470" s="151" t="str">
        <f>Translations!$B$244</f>
        <v>Production route</v>
      </c>
      <c r="J470" s="144"/>
      <c r="K470" s="152" t="str">
        <f>Translations!$B$221</f>
        <v>Unit</v>
      </c>
      <c r="L470" s="152" t="str">
        <f>Translations!$B$245</f>
        <v>Amounts</v>
      </c>
      <c r="O470" s="901"/>
      <c r="P470" s="144"/>
      <c r="T470" s="712"/>
    </row>
    <row r="471" spans="1:24" ht="12.75" customHeight="1" x14ac:dyDescent="0.35">
      <c r="D471" s="173">
        <v>1</v>
      </c>
      <c r="E471" s="153" t="str">
        <f>IF(G466="","",G466) &amp; IF(L466="",""," | " &amp; L466)</f>
        <v/>
      </c>
      <c r="F471" s="153"/>
      <c r="G471" s="153"/>
      <c r="H471" s="154" t="str">
        <f>IF(L466="","",INDEX(CONST_MATRIX_ProductionRoute,MATCH(L466,CONST_LIST_Goods,0),D471))</f>
        <v/>
      </c>
      <c r="I471" s="153"/>
      <c r="J471" s="153"/>
      <c r="K471" s="155" t="str">
        <f>IF(L466="","",INDEX(CONST_LIST_GoodsUnit,MATCH(L466,CONST_LIST_Goods,0)))</f>
        <v/>
      </c>
      <c r="L471" s="29"/>
      <c r="O471" s="902"/>
      <c r="P471" s="144"/>
      <c r="S471" s="105">
        <v>1</v>
      </c>
      <c r="T471" s="713"/>
      <c r="V471" s="157" t="str">
        <f>IF(AND(G466&lt;&gt;"",E471&lt;&gt;"",L471&lt;&gt;""),TRUE,IF(AND(G466&lt;&gt;"",OR(AND(E471&lt;&gt;"",L471=""),AND(E471="",L471&lt;&gt;""))),CONST_ErrorOrMissing&amp;C466,CONST_NA))</f>
        <v>n.a.</v>
      </c>
    </row>
    <row r="472" spans="1:24" ht="12.75" customHeight="1" x14ac:dyDescent="0.35">
      <c r="D472" s="173">
        <v>2</v>
      </c>
      <c r="E472" s="158" t="str">
        <f t="shared" ref="E472:E478" si="28">IF(H472=CONST_NA,"",E471)</f>
        <v/>
      </c>
      <c r="F472" s="158"/>
      <c r="G472" s="158"/>
      <c r="H472" s="159" t="str">
        <f>IF(L466="","",INDEX(CONST_MATRIX_ProductionRoute,MATCH(L466,CONST_LIST_Goods,0),D472))</f>
        <v/>
      </c>
      <c r="I472" s="158"/>
      <c r="J472" s="158"/>
      <c r="K472" s="160" t="str">
        <f t="shared" ref="K472:K478" si="29">IF(H472=CONST_NA,"",K471)</f>
        <v/>
      </c>
      <c r="L472" s="30"/>
      <c r="O472" s="902"/>
      <c r="P472" s="144"/>
      <c r="S472" s="105">
        <v>2</v>
      </c>
      <c r="T472" s="713"/>
      <c r="V472" s="157" t="str">
        <f>IF(AND(G466&lt;&gt;"",E472&lt;&gt;"",L472&lt;&gt;""),TRUE,IF(AND(G466&lt;&gt;"",OR(AND(E472&lt;&gt;"",L472=""),AND(E472="",L472&lt;&gt;""))),CONST_ErrorOrMissing&amp;C466,CONST_NA))</f>
        <v>n.a.</v>
      </c>
    </row>
    <row r="473" spans="1:24" ht="12.75" customHeight="1" x14ac:dyDescent="0.35">
      <c r="D473" s="173">
        <v>3</v>
      </c>
      <c r="E473" s="158" t="str">
        <f t="shared" si="28"/>
        <v/>
      </c>
      <c r="F473" s="158"/>
      <c r="G473" s="158"/>
      <c r="H473" s="159" t="str">
        <f>IF(L466="","",INDEX(CONST_MATRIX_ProductionRoute,MATCH(L466,CONST_LIST_Goods,0),D473))</f>
        <v/>
      </c>
      <c r="I473" s="158"/>
      <c r="J473" s="158"/>
      <c r="K473" s="160" t="str">
        <f t="shared" si="29"/>
        <v/>
      </c>
      <c r="L473" s="30"/>
      <c r="O473" s="902"/>
      <c r="P473" s="144"/>
      <c r="S473" s="105">
        <v>3</v>
      </c>
      <c r="T473" s="713"/>
      <c r="V473" s="157" t="str">
        <f>IF(AND(G466&lt;&gt;"",E473&lt;&gt;"",L473&lt;&gt;""),TRUE,IF(AND(G466&lt;&gt;"",OR(AND(E473&lt;&gt;"",L473=""),AND(E473="",L473&lt;&gt;""))),CONST_ErrorOrMissing&amp;C466,CONST_NA))</f>
        <v>n.a.</v>
      </c>
    </row>
    <row r="474" spans="1:24" ht="12.75" customHeight="1" x14ac:dyDescent="0.35">
      <c r="D474" s="173">
        <v>4</v>
      </c>
      <c r="E474" s="158" t="str">
        <f t="shared" si="28"/>
        <v/>
      </c>
      <c r="F474" s="158"/>
      <c r="G474" s="158"/>
      <c r="H474" s="159" t="str">
        <f>IF(L466="","",INDEX(CONST_MATRIX_ProductionRoute,MATCH(L466,CONST_LIST_Goods,0),D474))</f>
        <v/>
      </c>
      <c r="I474" s="158"/>
      <c r="J474" s="158"/>
      <c r="K474" s="160" t="str">
        <f t="shared" si="29"/>
        <v/>
      </c>
      <c r="L474" s="30"/>
      <c r="O474" s="902"/>
      <c r="P474" s="144"/>
      <c r="S474" s="105">
        <v>4</v>
      </c>
      <c r="T474" s="713"/>
      <c r="V474" s="157" t="str">
        <f>IF(AND(G466&lt;&gt;"",E474&lt;&gt;"",L474&lt;&gt;""),TRUE,IF(AND(G466&lt;&gt;"",OR(AND(E474&lt;&gt;"",L474=""),AND(E474="",L474&lt;&gt;""))),CONST_ErrorOrMissing&amp;C466,CONST_NA))</f>
        <v>n.a.</v>
      </c>
    </row>
    <row r="475" spans="1:24" ht="12.75" customHeight="1" x14ac:dyDescent="0.35">
      <c r="D475" s="173">
        <v>5</v>
      </c>
      <c r="E475" s="158" t="str">
        <f t="shared" si="28"/>
        <v/>
      </c>
      <c r="F475" s="158"/>
      <c r="G475" s="158"/>
      <c r="H475" s="159" t="str">
        <f>IF(L466="","",INDEX(CONST_MATRIX_ProductionRoute,MATCH(L466,CONST_LIST_Goods,0),D475))</f>
        <v/>
      </c>
      <c r="I475" s="158"/>
      <c r="J475" s="158"/>
      <c r="K475" s="160" t="str">
        <f t="shared" si="29"/>
        <v/>
      </c>
      <c r="L475" s="30"/>
      <c r="O475" s="902"/>
      <c r="P475" s="144"/>
      <c r="S475" s="105">
        <v>5</v>
      </c>
      <c r="T475" s="713"/>
      <c r="V475" s="157" t="str">
        <f>IF(AND(G466&lt;&gt;"",E475&lt;&gt;"",L475&lt;&gt;""),TRUE,IF(AND(G466&lt;&gt;"",OR(AND(E475&lt;&gt;"",L475=""),AND(E475="",L475&lt;&gt;""))),CONST_ErrorOrMissing&amp;C466,CONST_NA))</f>
        <v>n.a.</v>
      </c>
    </row>
    <row r="476" spans="1:24" ht="12.75" customHeight="1" x14ac:dyDescent="0.35">
      <c r="D476" s="173">
        <v>6</v>
      </c>
      <c r="E476" s="158" t="str">
        <f t="shared" si="28"/>
        <v/>
      </c>
      <c r="F476" s="158"/>
      <c r="G476" s="158"/>
      <c r="H476" s="159" t="str">
        <f>IF(L466="","",INDEX(CONST_MATRIX_ProductionRoute,MATCH(L466,CONST_LIST_Goods,0),D476))</f>
        <v/>
      </c>
      <c r="I476" s="158"/>
      <c r="J476" s="158"/>
      <c r="K476" s="160" t="str">
        <f t="shared" si="29"/>
        <v/>
      </c>
      <c r="L476" s="30"/>
      <c r="O476" s="902"/>
      <c r="P476" s="144"/>
      <c r="S476" s="105">
        <v>6</v>
      </c>
      <c r="T476" s="713"/>
      <c r="V476" s="157" t="str">
        <f>IF(AND(G466&lt;&gt;"",E476&lt;&gt;"",L476&lt;&gt;""),TRUE,IF(AND(G466&lt;&gt;"",OR(AND(E476&lt;&gt;"",L476=""),AND(E476="",L476&lt;&gt;""))),CONST_ErrorOrMissing&amp;C466,CONST_NA))</f>
        <v>n.a.</v>
      </c>
    </row>
    <row r="477" spans="1:24" ht="12.75" customHeight="1" x14ac:dyDescent="0.35">
      <c r="D477" s="173">
        <v>7</v>
      </c>
      <c r="E477" s="158" t="str">
        <f t="shared" si="28"/>
        <v/>
      </c>
      <c r="F477" s="158"/>
      <c r="G477" s="158"/>
      <c r="H477" s="159" t="str">
        <f>IF(L466="","",INDEX(CONST_MATRIX_ProductionRoute,MATCH(L466,CONST_LIST_Goods,0),D477))</f>
        <v/>
      </c>
      <c r="I477" s="158"/>
      <c r="J477" s="158"/>
      <c r="K477" s="160" t="str">
        <f t="shared" si="29"/>
        <v/>
      </c>
      <c r="L477" s="30"/>
      <c r="O477" s="902"/>
      <c r="P477" s="144"/>
      <c r="S477" s="105">
        <v>7</v>
      </c>
      <c r="T477" s="713"/>
      <c r="V477" s="157" t="str">
        <f>IF(AND(G466&lt;&gt;"",E477&lt;&gt;"",L477&lt;&gt;""),TRUE,IF(AND(G466&lt;&gt;"",OR(AND(E477&lt;&gt;"",L477=""),AND(E477="",L477&lt;&gt;""))),CONST_ErrorOrMissing&amp;C466,CONST_NA))</f>
        <v>n.a.</v>
      </c>
    </row>
    <row r="478" spans="1:24" ht="12.75" customHeight="1" x14ac:dyDescent="0.35">
      <c r="D478" s="173">
        <v>8</v>
      </c>
      <c r="E478" s="161" t="str">
        <f t="shared" si="28"/>
        <v/>
      </c>
      <c r="F478" s="161"/>
      <c r="G478" s="161"/>
      <c r="H478" s="162" t="str">
        <f>IF(L466="","",INDEX(CONST_MATRIX_ProductionRoute,MATCH(L466,CONST_LIST_Goods,0),D478))</f>
        <v/>
      </c>
      <c r="I478" s="161"/>
      <c r="J478" s="161"/>
      <c r="K478" s="163" t="str">
        <f t="shared" si="29"/>
        <v/>
      </c>
      <c r="L478" s="31"/>
      <c r="O478" s="902"/>
      <c r="P478" s="144"/>
      <c r="S478" s="105">
        <v>8</v>
      </c>
      <c r="T478" s="713"/>
      <c r="V478" s="157" t="str">
        <f>IF(AND(G466&lt;&gt;"",E478&lt;&gt;"",L478&lt;&gt;""),TRUE,IF(AND(G466&lt;&gt;"",OR(AND(E478&lt;&gt;"",L478=""),AND(E478="",L478&lt;&gt;""))),CONST_ErrorOrMissing&amp;C466,CONST_NA))</f>
        <v>n.a.</v>
      </c>
    </row>
    <row r="479" spans="1:24" ht="12.75" customHeight="1" x14ac:dyDescent="0.35">
      <c r="D479" s="103"/>
      <c r="E479" s="138" t="str">
        <f>Translations!$B$246</f>
        <v>Total production within installation (= denominator for SEE calculation):</v>
      </c>
      <c r="F479" s="138"/>
      <c r="G479" s="138"/>
      <c r="H479" s="164"/>
      <c r="I479" s="138"/>
      <c r="J479" s="138"/>
      <c r="K479" s="165" t="str">
        <f>K471</f>
        <v/>
      </c>
      <c r="L479" s="140" t="str">
        <f>IF(G466="","",SUM(L471:L478))</f>
        <v/>
      </c>
      <c r="O479" s="901"/>
      <c r="P479" s="144"/>
      <c r="R479" s="102" t="str">
        <f>CONST_CNTR_TotProd&amp;G466</f>
        <v>TotProd_</v>
      </c>
      <c r="T479" s="124" t="str">
        <f>IF(G466="","",L479)</f>
        <v/>
      </c>
    </row>
    <row r="480" spans="1:24" s="144" customFormat="1" ht="5.15" customHeight="1" x14ac:dyDescent="0.35">
      <c r="A480" s="91"/>
      <c r="B480" s="93"/>
      <c r="C480" s="93"/>
      <c r="D480" s="166"/>
      <c r="E480" s="167"/>
      <c r="N480" s="93"/>
      <c r="O480" s="901"/>
      <c r="Q480" s="93"/>
      <c r="R480" s="91"/>
      <c r="S480" s="91"/>
      <c r="T480" s="712"/>
      <c r="U480" s="91"/>
      <c r="V480" s="91"/>
      <c r="W480" s="104"/>
      <c r="X480" s="91"/>
    </row>
    <row r="481" spans="1:24" s="144" customFormat="1" ht="12.75" customHeight="1" x14ac:dyDescent="0.35">
      <c r="A481" s="91"/>
      <c r="B481" s="93"/>
      <c r="C481" s="93"/>
      <c r="D481" s="168" t="s">
        <v>48</v>
      </c>
      <c r="E481" s="167" t="str">
        <f>Translations!$B$247</f>
        <v>Production details</v>
      </c>
      <c r="F481" s="167"/>
      <c r="G481" s="167"/>
      <c r="H481" s="168"/>
      <c r="K481" s="168" t="str">
        <f>Translations!$B$221</f>
        <v>Unit</v>
      </c>
      <c r="L481" s="168" t="str">
        <f>Translations!$B$245</f>
        <v>Amounts</v>
      </c>
      <c r="N481" s="93"/>
      <c r="O481" s="901"/>
      <c r="Q481" s="93"/>
      <c r="R481" s="91"/>
      <c r="S481" s="91"/>
      <c r="T481" s="712"/>
      <c r="U481" s="91"/>
      <c r="V481" s="91"/>
      <c r="W481" s="104"/>
      <c r="X481" s="91"/>
    </row>
    <row r="482" spans="1:24" s="144" customFormat="1" ht="12.75" customHeight="1" x14ac:dyDescent="0.35">
      <c r="A482" s="91"/>
      <c r="B482" s="93"/>
      <c r="C482" s="93"/>
      <c r="D482" s="132" t="s">
        <v>41</v>
      </c>
      <c r="E482" s="138" t="str">
        <f>Translations!$B$248</f>
        <v>Produced for the market</v>
      </c>
      <c r="F482" s="138"/>
      <c r="G482" s="138"/>
      <c r="H482" s="138"/>
      <c r="I482" s="138"/>
      <c r="J482" s="138"/>
      <c r="K482" s="169" t="str">
        <f>K471</f>
        <v/>
      </c>
      <c r="L482" s="211"/>
      <c r="N482" s="93"/>
      <c r="O482" s="902"/>
      <c r="Q482" s="93"/>
      <c r="R482" s="102" t="str">
        <f>CONST_GoodToMarket&amp;G466</f>
        <v>ToMarket_</v>
      </c>
      <c r="S482" s="91"/>
      <c r="T482" s="124" t="str">
        <f>IF($G$11="","",L482)</f>
        <v/>
      </c>
      <c r="U482" s="91"/>
      <c r="V482" s="157" t="str">
        <f>IF(AND(G466&lt;&gt;"",L482&lt;&gt;""),TRUE,IF(AND(G466&lt;&gt;"",OR(L482="",L471&lt;&gt;"")),CONST_ErrorOrMissing&amp;C466,CONST_NA))</f>
        <v>n.a.</v>
      </c>
      <c r="W482" s="104"/>
      <c r="X482" s="91"/>
    </row>
    <row r="483" spans="1:24" s="144" customFormat="1" ht="12.75" customHeight="1" x14ac:dyDescent="0.35">
      <c r="A483" s="91"/>
      <c r="B483" s="93"/>
      <c r="C483" s="93"/>
      <c r="D483" s="132" t="s">
        <v>42</v>
      </c>
      <c r="E483" s="133" t="str">
        <f>Translations!$B$249</f>
        <v>Share of total under (a) produced for the market</v>
      </c>
      <c r="F483" s="288"/>
      <c r="G483" s="288"/>
      <c r="H483" s="288"/>
      <c r="I483" s="288"/>
      <c r="J483" s="288"/>
      <c r="K483" s="288"/>
      <c r="L483" s="289" t="str">
        <f>IF(AND(COUNT(L479,L482)=2,SUM(L479&gt;0)),SUM(L482)/SUM(L479),"")</f>
        <v/>
      </c>
      <c r="N483" s="93"/>
      <c r="O483" s="901"/>
      <c r="Q483" s="93"/>
      <c r="R483" s="171"/>
      <c r="S483" s="91"/>
      <c r="T483" s="712"/>
      <c r="U483" s="91"/>
      <c r="V483" s="172"/>
      <c r="W483" s="104"/>
      <c r="X483" s="91"/>
    </row>
    <row r="484" spans="1:24" s="144" customFormat="1" ht="12.75" customHeight="1" x14ac:dyDescent="0.35">
      <c r="A484" s="91"/>
      <c r="B484" s="93"/>
      <c r="C484" s="93"/>
      <c r="D484" s="132" t="s">
        <v>43</v>
      </c>
      <c r="E484" s="136" t="str">
        <f>Translations!$B$250</f>
        <v>Total production only for the market?</v>
      </c>
      <c r="F484" s="290"/>
      <c r="G484" s="290"/>
      <c r="H484" s="290"/>
      <c r="I484" s="290"/>
      <c r="J484" s="290"/>
      <c r="K484" s="290"/>
      <c r="L484" s="291" t="str">
        <f>IF(G466="","",AND(SUM(L479)&gt;0,SUM(L479)=SUM(L482)))</f>
        <v/>
      </c>
      <c r="N484" s="93"/>
      <c r="O484" s="901"/>
      <c r="Q484" s="93"/>
      <c r="R484" s="171"/>
      <c r="S484" s="91"/>
      <c r="T484" s="712"/>
      <c r="U484" s="91"/>
      <c r="V484" s="91"/>
      <c r="W484" s="104"/>
      <c r="X484" s="91"/>
    </row>
    <row r="485" spans="1:24" s="144" customFormat="1" ht="5.15" customHeight="1" x14ac:dyDescent="0.35">
      <c r="A485" s="91"/>
      <c r="B485" s="93"/>
      <c r="C485" s="93"/>
      <c r="D485" s="166"/>
      <c r="E485" s="167"/>
      <c r="N485" s="93"/>
      <c r="O485" s="901"/>
      <c r="Q485" s="93"/>
      <c r="R485" s="91"/>
      <c r="S485" s="91"/>
      <c r="T485" s="712"/>
      <c r="U485" s="91"/>
      <c r="V485" s="91"/>
      <c r="W485" s="104"/>
      <c r="X485" s="91"/>
    </row>
    <row r="486" spans="1:24" s="144" customFormat="1" ht="12.75" customHeight="1" x14ac:dyDescent="0.35">
      <c r="A486" s="91"/>
      <c r="B486" s="93"/>
      <c r="C486" s="93"/>
      <c r="D486" s="168" t="s">
        <v>49</v>
      </c>
      <c r="E486" s="167" t="str">
        <f>Translations!$B$251</f>
        <v>Consumed in other 'production processes' within the installation:</v>
      </c>
      <c r="F486" s="167"/>
      <c r="G486" s="167"/>
      <c r="H486" s="167"/>
      <c r="I486" s="167"/>
      <c r="J486" s="167"/>
      <c r="K486" s="168" t="str">
        <f>Translations!$B$221</f>
        <v>Unit</v>
      </c>
      <c r="L486" s="168" t="str">
        <f>Translations!$B$245</f>
        <v>Amounts</v>
      </c>
      <c r="N486" s="93"/>
      <c r="O486" s="901"/>
      <c r="Q486" s="93"/>
      <c r="R486" s="91"/>
      <c r="S486" s="123" t="s">
        <v>195</v>
      </c>
      <c r="T486" s="712"/>
      <c r="U486" s="91"/>
      <c r="V486" s="91"/>
      <c r="W486" s="104" t="s">
        <v>34</v>
      </c>
      <c r="X486" s="102" t="b">
        <f>IF(G466="",FALSE,L484)</f>
        <v>0</v>
      </c>
    </row>
    <row r="487" spans="1:24" s="144" customFormat="1" ht="12.75" customHeight="1" x14ac:dyDescent="0.35">
      <c r="A487" s="91"/>
      <c r="B487" s="93"/>
      <c r="C487" s="93"/>
      <c r="D487" s="173">
        <v>1</v>
      </c>
      <c r="E487" s="174" t="str">
        <f t="shared" ref="E487:E495" si="30">IF(INDEX(CNTR_List_ExistProdProcNames,S487)=CONST_NA,"",INDEX(CNTR_List_ExistProdProcNames,S487))</f>
        <v/>
      </c>
      <c r="F487" s="175"/>
      <c r="G487" s="175"/>
      <c r="H487" s="175"/>
      <c r="I487" s="175"/>
      <c r="J487" s="176"/>
      <c r="K487" s="155" t="str">
        <f>K471</f>
        <v/>
      </c>
      <c r="L487" s="29"/>
      <c r="N487" s="93"/>
      <c r="O487" s="902"/>
      <c r="Q487" s="93"/>
      <c r="R487" s="102" t="str">
        <f>CONST_PrecursorToGoodInput&amp;G466 &amp;"_"&amp;E487</f>
        <v>PrecToGood__</v>
      </c>
      <c r="S487" s="105">
        <f>MAX(S486:S486)+IF(D487=C466,2,1)</f>
        <v>1</v>
      </c>
      <c r="T487" s="124" t="str">
        <f>IF(G466="","",L487)</f>
        <v/>
      </c>
      <c r="U487" s="91"/>
      <c r="V487" s="157" t="str">
        <f>IF(AND(G466&lt;&gt;"",E487&lt;&gt;"",L487&lt;&gt;""),TRUE,IF(AND(G466&lt;&gt;"",E487&lt;&gt;"",L487="",X487=FALSE),CONST_ErrorOrMissing&amp;C466,CONST_NA))</f>
        <v>n.a.</v>
      </c>
      <c r="W487" s="104" t="s">
        <v>34</v>
      </c>
      <c r="X487" s="102" t="b">
        <f>IF(G466="",FALSE,OR(L484,E487=""))</f>
        <v>0</v>
      </c>
    </row>
    <row r="488" spans="1:24" s="144" customFormat="1" ht="12.75" customHeight="1" x14ac:dyDescent="0.35">
      <c r="A488" s="91"/>
      <c r="B488" s="93"/>
      <c r="C488" s="93"/>
      <c r="D488" s="173">
        <v>2</v>
      </c>
      <c r="E488" s="177" t="str">
        <f t="shared" si="30"/>
        <v/>
      </c>
      <c r="F488" s="178"/>
      <c r="G488" s="178"/>
      <c r="H488" s="178"/>
      <c r="I488" s="178"/>
      <c r="J488" s="179"/>
      <c r="K488" s="160" t="str">
        <f>K487</f>
        <v/>
      </c>
      <c r="L488" s="30"/>
      <c r="N488" s="93"/>
      <c r="O488" s="902"/>
      <c r="Q488" s="93"/>
      <c r="R488" s="102" t="str">
        <f>CONST_PrecursorToGoodInput&amp;G466 &amp;"_"&amp;E488</f>
        <v>PrecToGood__</v>
      </c>
      <c r="S488" s="105">
        <f>MAX(S486:S487)+IF(D488=C466,2,1)</f>
        <v>2</v>
      </c>
      <c r="T488" s="124" t="str">
        <f>IF(G466="","",L488)</f>
        <v/>
      </c>
      <c r="U488" s="91"/>
      <c r="V488" s="157" t="str">
        <f>IF(AND(G466&lt;&gt;"",E488&lt;&gt;"",L488&lt;&gt;""),TRUE,IF(AND(G466&lt;&gt;"",E488&lt;&gt;"",L488="",X488=FALSE),CONST_ErrorOrMissing&amp;C466,CONST_NA))</f>
        <v>n.a.</v>
      </c>
      <c r="W488" s="104"/>
      <c r="X488" s="102" t="b">
        <f>IF(G466="",FALSE,OR(L484,E488=""))</f>
        <v>0</v>
      </c>
    </row>
    <row r="489" spans="1:24" s="144" customFormat="1" ht="12.75" customHeight="1" x14ac:dyDescent="0.35">
      <c r="A489" s="91"/>
      <c r="B489" s="93"/>
      <c r="C489" s="93"/>
      <c r="D489" s="173">
        <v>3</v>
      </c>
      <c r="E489" s="177" t="str">
        <f t="shared" si="30"/>
        <v/>
      </c>
      <c r="F489" s="178"/>
      <c r="G489" s="178"/>
      <c r="H489" s="178"/>
      <c r="I489" s="178"/>
      <c r="J489" s="179"/>
      <c r="K489" s="160" t="str">
        <f t="shared" ref="K489:K497" si="31">K488</f>
        <v/>
      </c>
      <c r="L489" s="30"/>
      <c r="N489" s="93"/>
      <c r="O489" s="902"/>
      <c r="Q489" s="93"/>
      <c r="R489" s="102" t="str">
        <f>CONST_PrecursorToGoodInput&amp;G466 &amp;"_"&amp;E489</f>
        <v>PrecToGood__</v>
      </c>
      <c r="S489" s="105">
        <f>MAX(S486:S488)+IF(D489=C466,2,1)</f>
        <v>3</v>
      </c>
      <c r="T489" s="124" t="str">
        <f>IF(G466="","",L489)</f>
        <v/>
      </c>
      <c r="U489" s="91"/>
      <c r="V489" s="157" t="str">
        <f>IF(AND(G466&lt;&gt;"",E489&lt;&gt;"",L489&lt;&gt;""),TRUE,IF(AND(G466&lt;&gt;"",E489&lt;&gt;"",L489="",X489=FALSE),CONST_ErrorOrMissing&amp;C466,CONST_NA))</f>
        <v>n.a.</v>
      </c>
      <c r="W489" s="104"/>
      <c r="X489" s="102" t="b">
        <f>IF(G466="",FALSE,OR(L484,E489=""))</f>
        <v>0</v>
      </c>
    </row>
    <row r="490" spans="1:24" s="144" customFormat="1" ht="12.75" customHeight="1" x14ac:dyDescent="0.35">
      <c r="A490" s="91"/>
      <c r="B490" s="93"/>
      <c r="C490" s="93"/>
      <c r="D490" s="173">
        <v>4</v>
      </c>
      <c r="E490" s="177" t="str">
        <f t="shared" si="30"/>
        <v/>
      </c>
      <c r="F490" s="178"/>
      <c r="G490" s="178"/>
      <c r="H490" s="178"/>
      <c r="I490" s="178"/>
      <c r="J490" s="179"/>
      <c r="K490" s="160" t="str">
        <f t="shared" si="31"/>
        <v/>
      </c>
      <c r="L490" s="30"/>
      <c r="N490" s="93"/>
      <c r="O490" s="902"/>
      <c r="Q490" s="93"/>
      <c r="R490" s="102" t="str">
        <f>CONST_PrecursorToGoodInput&amp;G466 &amp;"_"&amp;E490</f>
        <v>PrecToGood__</v>
      </c>
      <c r="S490" s="105">
        <f>MAX(S486:S489)+IF(D490=C466,2,1)</f>
        <v>4</v>
      </c>
      <c r="T490" s="124" t="str">
        <f>IF(G466="","",L490)</f>
        <v/>
      </c>
      <c r="U490" s="91"/>
      <c r="V490" s="157" t="str">
        <f>IF(AND(G466&lt;&gt;"",E490&lt;&gt;"",L490&lt;&gt;""),TRUE,IF(AND(G466&lt;&gt;"",E490&lt;&gt;"",L490="",X490=FALSE),CONST_ErrorOrMissing&amp;C466,CONST_NA))</f>
        <v>n.a.</v>
      </c>
      <c r="W490" s="104"/>
      <c r="X490" s="102" t="b">
        <f>IF(G466="",FALSE,OR(L484,E490=""))</f>
        <v>0</v>
      </c>
    </row>
    <row r="491" spans="1:24" s="144" customFormat="1" ht="12.75" customHeight="1" x14ac:dyDescent="0.35">
      <c r="A491" s="91"/>
      <c r="B491" s="93"/>
      <c r="C491" s="93"/>
      <c r="D491" s="173">
        <v>5</v>
      </c>
      <c r="E491" s="180" t="str">
        <f t="shared" si="30"/>
        <v/>
      </c>
      <c r="F491" s="181"/>
      <c r="G491" s="181"/>
      <c r="H491" s="181"/>
      <c r="I491" s="181"/>
      <c r="J491" s="182"/>
      <c r="K491" s="183" t="str">
        <f t="shared" si="31"/>
        <v/>
      </c>
      <c r="L491" s="212"/>
      <c r="N491" s="93"/>
      <c r="O491" s="902"/>
      <c r="Q491" s="93"/>
      <c r="R491" s="102" t="str">
        <f>CONST_PrecursorToGoodInput&amp;G466 &amp;"_"&amp;E491</f>
        <v>PrecToGood__</v>
      </c>
      <c r="S491" s="105">
        <f>MAX(S486:S490)+IF(D491=C466,2,1)</f>
        <v>5</v>
      </c>
      <c r="T491" s="124" t="str">
        <f>IF(G466="","",L491)</f>
        <v/>
      </c>
      <c r="U491" s="91"/>
      <c r="V491" s="157" t="str">
        <f>IF(AND(G466&lt;&gt;"",E491&lt;&gt;"",L491&lt;&gt;""),TRUE,IF(AND(G466&lt;&gt;"",E491&lt;&gt;"",L491="",X491=FALSE),CONST_ErrorOrMissing&amp;C466,CONST_NA))</f>
        <v>n.a.</v>
      </c>
      <c r="W491" s="104"/>
      <c r="X491" s="102" t="b">
        <f>IF(G466="",FALSE,OR(L484,E491=""))</f>
        <v>0</v>
      </c>
    </row>
    <row r="492" spans="1:24" s="144" customFormat="1" ht="12.75" customHeight="1" x14ac:dyDescent="0.35">
      <c r="A492" s="91"/>
      <c r="B492" s="93"/>
      <c r="C492" s="93"/>
      <c r="D492" s="173">
        <v>6</v>
      </c>
      <c r="E492" s="180" t="str">
        <f t="shared" si="30"/>
        <v/>
      </c>
      <c r="F492" s="181"/>
      <c r="G492" s="181"/>
      <c r="H492" s="181"/>
      <c r="I492" s="181"/>
      <c r="J492" s="182"/>
      <c r="K492" s="183" t="str">
        <f t="shared" si="31"/>
        <v/>
      </c>
      <c r="L492" s="212"/>
      <c r="N492" s="93"/>
      <c r="O492" s="902"/>
      <c r="Q492" s="93"/>
      <c r="R492" s="102" t="str">
        <f>CONST_PrecursorToGoodInput&amp;G466 &amp;"_"&amp;E492</f>
        <v>PrecToGood__</v>
      </c>
      <c r="S492" s="105">
        <f>MAX(S486:S491)+IF(D492=C466,2,1)</f>
        <v>6</v>
      </c>
      <c r="T492" s="124" t="str">
        <f>IF(G466="","",L492)</f>
        <v/>
      </c>
      <c r="U492" s="91"/>
      <c r="V492" s="157" t="str">
        <f>IF(AND(G466&lt;&gt;"",E492&lt;&gt;"",L492&lt;&gt;""),TRUE,IF(AND(G466&lt;&gt;"",E492&lt;&gt;"",L492="",X492=FALSE),CONST_ErrorOrMissing&amp;C466,CONST_NA))</f>
        <v>n.a.</v>
      </c>
      <c r="W492" s="104"/>
      <c r="X492" s="102" t="b">
        <f>IF(G466="",FALSE,OR(L484,E492=""))</f>
        <v>0</v>
      </c>
    </row>
    <row r="493" spans="1:24" s="144" customFormat="1" ht="12.75" customHeight="1" x14ac:dyDescent="0.35">
      <c r="A493" s="91"/>
      <c r="B493" s="93"/>
      <c r="C493" s="93"/>
      <c r="D493" s="173">
        <v>7</v>
      </c>
      <c r="E493" s="180" t="str">
        <f t="shared" si="30"/>
        <v/>
      </c>
      <c r="F493" s="181"/>
      <c r="G493" s="181"/>
      <c r="H493" s="181"/>
      <c r="I493" s="181"/>
      <c r="J493" s="182"/>
      <c r="K493" s="183" t="str">
        <f t="shared" si="31"/>
        <v/>
      </c>
      <c r="L493" s="212"/>
      <c r="N493" s="93"/>
      <c r="O493" s="902"/>
      <c r="Q493" s="93"/>
      <c r="R493" s="102" t="str">
        <f>CONST_PrecursorToGoodInput&amp;G466 &amp;"_"&amp;E493</f>
        <v>PrecToGood__</v>
      </c>
      <c r="S493" s="105">
        <f>MAX(S486:S492)+IF(D493=C466,2,1)</f>
        <v>7</v>
      </c>
      <c r="T493" s="124" t="str">
        <f>IF(G466="","",L493)</f>
        <v/>
      </c>
      <c r="U493" s="91"/>
      <c r="V493" s="157" t="str">
        <f>IF(AND(G466&lt;&gt;"",E493&lt;&gt;"",L493&lt;&gt;""),TRUE,IF(AND(G466&lt;&gt;"",E493&lt;&gt;"",L493="",X493=FALSE),CONST_ErrorOrMissing&amp;C466,CONST_NA))</f>
        <v>n.a.</v>
      </c>
      <c r="W493" s="104"/>
      <c r="X493" s="102" t="b">
        <f>IF(G466="",FALSE,OR(L484,E493=""))</f>
        <v>0</v>
      </c>
    </row>
    <row r="494" spans="1:24" s="144" customFormat="1" ht="12.75" customHeight="1" x14ac:dyDescent="0.35">
      <c r="A494" s="91"/>
      <c r="B494" s="93"/>
      <c r="C494" s="93"/>
      <c r="D494" s="173">
        <v>8</v>
      </c>
      <c r="E494" s="180" t="str">
        <f t="shared" si="30"/>
        <v/>
      </c>
      <c r="F494" s="181"/>
      <c r="G494" s="181"/>
      <c r="H494" s="181"/>
      <c r="I494" s="181"/>
      <c r="J494" s="182"/>
      <c r="K494" s="183" t="str">
        <f t="shared" si="31"/>
        <v/>
      </c>
      <c r="L494" s="212"/>
      <c r="N494" s="93"/>
      <c r="O494" s="902"/>
      <c r="Q494" s="93"/>
      <c r="R494" s="102" t="str">
        <f>CONST_PrecursorToGoodInput&amp;G466 &amp;"_"&amp;E494</f>
        <v>PrecToGood__</v>
      </c>
      <c r="S494" s="105">
        <f>MAX(S486:S493)+IF(D494=C466,2,1)</f>
        <v>9</v>
      </c>
      <c r="T494" s="124" t="str">
        <f>IF(G466="","",L494)</f>
        <v/>
      </c>
      <c r="U494" s="91"/>
      <c r="V494" s="157" t="str">
        <f>IF(AND(G466&lt;&gt;"",E494&lt;&gt;"",L494&lt;&gt;""),TRUE,IF(AND(G466&lt;&gt;"",E494&lt;&gt;"",L494="",X494=FALSE),CONST_ErrorOrMissing&amp;C466,CONST_NA))</f>
        <v>n.a.</v>
      </c>
      <c r="W494" s="104"/>
      <c r="X494" s="102" t="b">
        <f>IF(G466="",FALSE,OR(L484,E494=""))</f>
        <v>0</v>
      </c>
    </row>
    <row r="495" spans="1:24" s="144" customFormat="1" ht="12.75" customHeight="1" x14ac:dyDescent="0.35">
      <c r="A495" s="91"/>
      <c r="B495" s="93"/>
      <c r="C495" s="93"/>
      <c r="D495" s="173">
        <v>9</v>
      </c>
      <c r="E495" s="184" t="str">
        <f t="shared" si="30"/>
        <v/>
      </c>
      <c r="F495" s="185"/>
      <c r="G495" s="185"/>
      <c r="H495" s="185"/>
      <c r="I495" s="185"/>
      <c r="J495" s="186"/>
      <c r="K495" s="163" t="str">
        <f t="shared" si="31"/>
        <v/>
      </c>
      <c r="L495" s="31"/>
      <c r="N495" s="93"/>
      <c r="O495" s="902"/>
      <c r="Q495" s="93"/>
      <c r="R495" s="102" t="str">
        <f>CONST_PrecursorToGoodInput&amp;G466 &amp;"_"&amp;E495</f>
        <v>PrecToGood__</v>
      </c>
      <c r="S495" s="105">
        <f>MAX(S486:S494)+IF(D495=C466,2,1)</f>
        <v>10</v>
      </c>
      <c r="T495" s="124" t="str">
        <f>IF(G466="","",L495)</f>
        <v/>
      </c>
      <c r="U495" s="91"/>
      <c r="V495" s="157" t="str">
        <f>IF(AND(G466&lt;&gt;"",E495&lt;&gt;"",L495&lt;&gt;""),TRUE,IF(AND(G466&lt;&gt;"",E495&lt;&gt;"",L495="",X495=FALSE),CONST_ErrorOrMissing&amp;C466,CONST_NA))</f>
        <v>n.a.</v>
      </c>
      <c r="W495" s="104"/>
      <c r="X495" s="102" t="b">
        <f>IF(G466="",FALSE,OR(L484,E495=""))</f>
        <v>0</v>
      </c>
    </row>
    <row r="496" spans="1:24" s="144" customFormat="1" ht="12.75" customHeight="1" x14ac:dyDescent="0.35">
      <c r="A496" s="91"/>
      <c r="B496" s="93"/>
      <c r="C496" s="93"/>
      <c r="D496" s="168" t="s">
        <v>377</v>
      </c>
      <c r="E496" s="167" t="str">
        <f>Translations!$B$252</f>
        <v>Consumed for non-CBAM goods within the installation:</v>
      </c>
      <c r="F496" s="167"/>
      <c r="G496" s="167"/>
      <c r="H496" s="167"/>
      <c r="I496" s="167"/>
      <c r="J496" s="167"/>
      <c r="K496" s="297" t="str">
        <f t="shared" si="31"/>
        <v/>
      </c>
      <c r="L496" s="298"/>
      <c r="N496" s="93"/>
      <c r="O496" s="902"/>
      <c r="Q496" s="93"/>
      <c r="R496" s="91"/>
      <c r="S496" s="91"/>
      <c r="T496" s="712"/>
      <c r="U496" s="91"/>
      <c r="V496" s="157" t="str">
        <f>IF(AND(G466&lt;&gt;"",L496&lt;&gt;""),TRUE,IF(AND(G466&lt;&gt;"",L496="",X496=FALSE),CONST_ErrorOrMissing&amp;C466,CONST_NA))</f>
        <v>n.a.</v>
      </c>
      <c r="W496" s="104" t="s">
        <v>34</v>
      </c>
      <c r="X496" s="102" t="b">
        <f>IF(G466="",FALSE,L484)</f>
        <v>0</v>
      </c>
    </row>
    <row r="497" spans="1:24" s="144" customFormat="1" ht="12.75" customHeight="1" x14ac:dyDescent="0.35">
      <c r="A497" s="91"/>
      <c r="B497" s="93"/>
      <c r="C497" s="93"/>
      <c r="D497" s="168" t="s">
        <v>411</v>
      </c>
      <c r="E497" s="138" t="str">
        <f>Translations!$B$253</f>
        <v>Control:</v>
      </c>
      <c r="F497" s="170"/>
      <c r="G497" s="170"/>
      <c r="H497" s="170"/>
      <c r="I497" s="170"/>
      <c r="J497" s="170"/>
      <c r="K497" s="169" t="str">
        <f t="shared" si="31"/>
        <v/>
      </c>
      <c r="L497" s="118" t="str">
        <f>IF(G466="","",SUM(L479)-SUM(L482,L487:L496))</f>
        <v/>
      </c>
      <c r="N497" s="93"/>
      <c r="O497" s="902"/>
      <c r="Q497" s="93"/>
      <c r="R497" s="91"/>
      <c r="S497" s="91"/>
      <c r="T497" s="712"/>
      <c r="U497" s="91"/>
      <c r="V497" s="157" t="str">
        <f>IF(AND(G466&lt;&gt;"",L497=0),TRUE,IF(AND(G466&lt;&gt;"",L497&lt;&gt;0,X497=FALSE),CONST_ErrorOrMissing&amp;C466,CONST_NA))</f>
        <v>n.a.</v>
      </c>
      <c r="W497" s="104"/>
      <c r="X497" s="102" t="b">
        <f>IF(G466="",FALSE,L484)</f>
        <v>0</v>
      </c>
    </row>
    <row r="498" spans="1:24" s="144" customFormat="1" ht="12.75" customHeight="1" thickBot="1" x14ac:dyDescent="0.4">
      <c r="A498" s="91"/>
      <c r="B498" s="93"/>
      <c r="C498" s="93"/>
      <c r="D498" s="93"/>
      <c r="E498" s="93"/>
      <c r="F498" s="93"/>
      <c r="G498" s="93"/>
      <c r="H498" s="93"/>
      <c r="I498" s="93"/>
      <c r="J498" s="93"/>
      <c r="K498" s="93"/>
      <c r="L498" s="93"/>
      <c r="M498" s="93"/>
      <c r="N498" s="93"/>
      <c r="O498" s="901"/>
      <c r="Q498" s="93"/>
      <c r="R498" s="91"/>
      <c r="S498" s="91"/>
      <c r="T498" s="712"/>
      <c r="U498" s="91"/>
      <c r="V498" s="91"/>
      <c r="W498" s="104"/>
      <c r="X498" s="91"/>
    </row>
    <row r="499" spans="1:24" ht="12.75" customHeight="1" x14ac:dyDescent="0.35">
      <c r="C499" s="187"/>
      <c r="D499" s="188"/>
      <c r="E499" s="189"/>
      <c r="F499" s="190"/>
      <c r="G499" s="190"/>
      <c r="H499" s="190"/>
      <c r="I499" s="190"/>
      <c r="J499" s="190"/>
      <c r="K499" s="190"/>
      <c r="L499" s="190"/>
      <c r="M499" s="190"/>
      <c r="N499" s="191"/>
      <c r="O499" s="901"/>
      <c r="P499" s="144"/>
      <c r="T499" s="712"/>
    </row>
    <row r="500" spans="1:24" ht="15" customHeight="1" x14ac:dyDescent="0.35">
      <c r="C500" s="192"/>
      <c r="D500" s="193" t="str">
        <f>Translations!$B$254</f>
        <v>Calculation of the attributed emissions:</v>
      </c>
      <c r="E500" s="194"/>
      <c r="F500" s="195"/>
      <c r="G500" s="195"/>
      <c r="H500" s="195"/>
      <c r="I500" s="195"/>
      <c r="J500" s="1310" t="str">
        <f>IF(G466="","",G466)</f>
        <v/>
      </c>
      <c r="K500" s="1310"/>
      <c r="L500" s="1310"/>
      <c r="M500" s="1310"/>
      <c r="N500" s="196"/>
      <c r="O500" s="901"/>
      <c r="P500" s="144"/>
      <c r="T500" s="712"/>
    </row>
    <row r="501" spans="1:24" ht="5.15" customHeight="1" x14ac:dyDescent="0.35">
      <c r="C501" s="192"/>
      <c r="D501" s="197"/>
      <c r="E501" s="198"/>
      <c r="F501" s="195"/>
      <c r="G501" s="195"/>
      <c r="H501" s="195"/>
      <c r="I501" s="195"/>
      <c r="J501" s="195"/>
      <c r="K501" s="195"/>
      <c r="L501" s="195"/>
      <c r="M501" s="195"/>
      <c r="N501" s="196"/>
      <c r="O501" s="901"/>
      <c r="P501" s="144"/>
      <c r="T501" s="712"/>
    </row>
    <row r="502" spans="1:24" ht="12.75" customHeight="1" x14ac:dyDescent="0.35">
      <c r="C502" s="192"/>
      <c r="D502" s="199"/>
      <c r="E502" s="1311" t="str">
        <f ca="1">HYPERLINK("#"&amp;ADDRESS(MATCH($S502,G_FurtherGuidance!$S:$S,0),3,,,G_FurtherGuidance!$U$2),CONST_LinkToGuidanceSheet)</f>
        <v>Please click on this link for further guidance on how to complete this section.</v>
      </c>
      <c r="F502" s="1312"/>
      <c r="G502" s="1312"/>
      <c r="H502" s="1312"/>
      <c r="I502" s="1312"/>
      <c r="J502" s="1312"/>
      <c r="K502" s="1312"/>
      <c r="L502" s="1312"/>
      <c r="M502" s="1312"/>
      <c r="N502" s="202"/>
      <c r="O502" s="901"/>
      <c r="P502" s="144"/>
      <c r="R502" s="104" t="s">
        <v>2771</v>
      </c>
      <c r="S502" s="105">
        <v>3</v>
      </c>
      <c r="T502" s="712"/>
    </row>
    <row r="503" spans="1:24" ht="5.15" customHeight="1" x14ac:dyDescent="0.35">
      <c r="C503" s="192"/>
      <c r="D503" s="197"/>
      <c r="E503" s="198"/>
      <c r="F503" s="195"/>
      <c r="G503" s="195"/>
      <c r="H503" s="195"/>
      <c r="I503" s="195"/>
      <c r="J503" s="198"/>
      <c r="K503" s="195"/>
      <c r="L503" s="195"/>
      <c r="M503" s="195"/>
      <c r="N503" s="196"/>
      <c r="O503" s="901"/>
      <c r="P503" s="144"/>
      <c r="T503" s="712"/>
      <c r="X503" s="104"/>
    </row>
    <row r="504" spans="1:24" ht="25" customHeight="1" x14ac:dyDescent="0.3">
      <c r="C504" s="192"/>
      <c r="D504" s="197"/>
      <c r="E504" s="198"/>
      <c r="F504" s="195"/>
      <c r="G504" s="195"/>
      <c r="H504" s="195"/>
      <c r="I504" s="195"/>
      <c r="J504" s="195"/>
      <c r="K504" s="203" t="str">
        <f>Translations!$B$255</f>
        <v>Measurable heat</v>
      </c>
      <c r="L504" s="203" t="str">
        <f>Translations!$B$256</f>
        <v>Waste gases</v>
      </c>
      <c r="M504" s="203" t="str">
        <f>Translations!$B$257</f>
        <v>Indirect emissions</v>
      </c>
      <c r="N504" s="196"/>
      <c r="O504" s="901"/>
      <c r="P504" s="144"/>
      <c r="T504" s="712"/>
      <c r="X504" s="104"/>
    </row>
    <row r="505" spans="1:24" ht="12.75" customHeight="1" x14ac:dyDescent="0.35">
      <c r="C505" s="192"/>
      <c r="D505" s="199" t="s">
        <v>412</v>
      </c>
      <c r="E505" s="200" t="str">
        <f>Translations!$B$258</f>
        <v>Please select which elements are applicable</v>
      </c>
      <c r="F505" s="201"/>
      <c r="G505" s="201"/>
      <c r="H505" s="201"/>
      <c r="I505" s="201"/>
      <c r="J505" s="201"/>
      <c r="K505" s="120"/>
      <c r="L505" s="120"/>
      <c r="M505" s="169" t="str">
        <f>IF(L466="","",INDEX(CONST_LIST_GoodsIndRel,MATCH(L466,CONST_LIST_Goods,0)))</f>
        <v/>
      </c>
      <c r="N505" s="196"/>
      <c r="O505" s="902"/>
      <c r="P505" s="144"/>
      <c r="T505" s="712"/>
      <c r="V505" s="157" t="str">
        <f>IF(AND(L466&lt;&gt;"",X505=FALSE),IF(COUNTA(K505:L505)=2,TRUE,CONST_ErrorOrMissing&amp;C466),CONST_NA)</f>
        <v>n.a.</v>
      </c>
      <c r="X505" s="104"/>
    </row>
    <row r="506" spans="1:24" ht="12.75" customHeight="1" x14ac:dyDescent="0.35">
      <c r="C506" s="192"/>
      <c r="D506" s="204"/>
      <c r="E506" s="401" t="str">
        <f>Translations!$B$259</f>
        <v>Based on your selection, related sections below might become irrelevant and greyed out below.</v>
      </c>
      <c r="F506" s="195"/>
      <c r="G506" s="195"/>
      <c r="H506" s="195"/>
      <c r="I506" s="195"/>
      <c r="J506" s="195"/>
      <c r="K506" s="198"/>
      <c r="L506" s="195"/>
      <c r="M506" s="195"/>
      <c r="N506" s="196"/>
      <c r="O506" s="901"/>
      <c r="P506" s="144"/>
      <c r="T506" s="712"/>
      <c r="X506" s="104"/>
    </row>
    <row r="507" spans="1:24" ht="5.15" customHeight="1" x14ac:dyDescent="0.35">
      <c r="C507" s="192"/>
      <c r="D507" s="204"/>
      <c r="E507" s="198"/>
      <c r="F507" s="195"/>
      <c r="G507" s="195"/>
      <c r="H507" s="195"/>
      <c r="I507" s="195"/>
      <c r="J507" s="195"/>
      <c r="K507" s="198"/>
      <c r="L507" s="195"/>
      <c r="M507" s="195"/>
      <c r="N507" s="196"/>
      <c r="O507" s="901"/>
      <c r="P507" s="144"/>
      <c r="T507" s="712"/>
      <c r="X507" s="104"/>
    </row>
    <row r="508" spans="1:24" ht="12.75" customHeight="1" x14ac:dyDescent="0.35">
      <c r="C508" s="192"/>
      <c r="D508" s="204"/>
      <c r="E508" s="198"/>
      <c r="F508" s="195"/>
      <c r="G508" s="195"/>
      <c r="H508" s="195"/>
      <c r="I508" s="195"/>
      <c r="J508" s="195"/>
      <c r="K508" s="199" t="str">
        <f>Translations!$B$221</f>
        <v>Unit</v>
      </c>
      <c r="L508" s="199" t="str">
        <f>Translations!$B$260</f>
        <v>Value</v>
      </c>
      <c r="M508" s="195"/>
      <c r="N508" s="196"/>
      <c r="O508" s="901"/>
      <c r="P508" s="144"/>
      <c r="T508" s="712"/>
      <c r="X508" s="104"/>
    </row>
    <row r="509" spans="1:24" ht="12.75" customHeight="1" x14ac:dyDescent="0.35">
      <c r="C509" s="192"/>
      <c r="D509" s="199" t="s">
        <v>413</v>
      </c>
      <c r="E509" s="200" t="str">
        <f>Translations!$B$261</f>
        <v>Directly attributable emissions (DirEm*)</v>
      </c>
      <c r="F509" s="201"/>
      <c r="G509" s="201"/>
      <c r="H509" s="201"/>
      <c r="I509" s="201"/>
      <c r="J509" s="201"/>
      <c r="K509" s="205" t="str">
        <f>CONST_tCO2eq</f>
        <v>tCO2e</v>
      </c>
      <c r="L509" s="213"/>
      <c r="M509" s="195"/>
      <c r="N509" s="196"/>
      <c r="O509" s="902"/>
      <c r="P509" s="144"/>
      <c r="R509" s="102" t="str">
        <f>CONST_EmDir&amp;G466</f>
        <v>EmDir_</v>
      </c>
      <c r="S509" s="102" t="str">
        <f>CONST_CNTR_EmbedEmDir&amp;G466</f>
        <v>EmbedEmDir_</v>
      </c>
      <c r="T509" s="124" t="str">
        <f>IF(G466="","",L509)</f>
        <v/>
      </c>
      <c r="V509" s="157" t="str">
        <f>IF(L466&lt;&gt;"",IF(L509&lt;&gt;"",TRUE,CONST_ErrorOrMissing&amp;C466),CONST_NA)</f>
        <v>n.a.</v>
      </c>
      <c r="X509" s="104"/>
    </row>
    <row r="510" spans="1:24" ht="5.15" customHeight="1" x14ac:dyDescent="0.35">
      <c r="C510" s="192"/>
      <c r="D510" s="204"/>
      <c r="E510" s="198"/>
      <c r="F510" s="195"/>
      <c r="G510" s="195"/>
      <c r="H510" s="195"/>
      <c r="I510" s="195"/>
      <c r="J510" s="195"/>
      <c r="K510" s="195"/>
      <c r="L510" s="199"/>
      <c r="M510" s="199"/>
      <c r="N510" s="196"/>
      <c r="O510" s="901"/>
      <c r="P510" s="144"/>
      <c r="T510" s="712"/>
    </row>
    <row r="511" spans="1:24" ht="12.75" customHeight="1" x14ac:dyDescent="0.35">
      <c r="C511" s="192"/>
      <c r="D511" s="199" t="s">
        <v>414</v>
      </c>
      <c r="E511" s="198" t="str">
        <f>Translations!$B$262</f>
        <v>Import and export of measurable heat</v>
      </c>
      <c r="F511" s="195"/>
      <c r="G511" s="195"/>
      <c r="H511" s="195"/>
      <c r="I511" s="195"/>
      <c r="J511" s="195"/>
      <c r="K511" s="199" t="str">
        <f>Translations!$B$221</f>
        <v>Unit</v>
      </c>
      <c r="L511" s="199" t="str">
        <f>Translations!$B$263</f>
        <v>Imported</v>
      </c>
      <c r="M511" s="199" t="str">
        <f>Translations!$B$264</f>
        <v>Exported</v>
      </c>
      <c r="N511" s="196"/>
      <c r="O511" s="901"/>
      <c r="P511" s="144"/>
      <c r="T511" s="712"/>
      <c r="W511" s="104" t="s">
        <v>34</v>
      </c>
      <c r="X511" s="102" t="b">
        <f>AND(K505&lt;&gt;"",K505=FALSE)</f>
        <v>0</v>
      </c>
    </row>
    <row r="512" spans="1:24" ht="12.75" customHeight="1" x14ac:dyDescent="0.35">
      <c r="C512" s="192"/>
      <c r="D512" s="197" t="s">
        <v>41</v>
      </c>
      <c r="E512" s="201" t="str">
        <f>Translations!$B$264</f>
        <v>Exported</v>
      </c>
      <c r="F512" s="201"/>
      <c r="G512" s="201"/>
      <c r="H512" s="201"/>
      <c r="I512" s="201"/>
      <c r="J512" s="201"/>
      <c r="K512" s="205" t="s">
        <v>118</v>
      </c>
      <c r="L512" s="213"/>
      <c r="M512" s="213"/>
      <c r="N512" s="196"/>
      <c r="O512" s="902"/>
      <c r="P512" s="144"/>
      <c r="T512" s="712"/>
      <c r="V512" s="157" t="str">
        <f>IF(AND(L466&lt;&gt;"",X512=FALSE),IF(COUNTA(L512:M512)=2,TRUE,CONST_ErrorOrMissing&amp;C466),CONST_NA)</f>
        <v>n.a.</v>
      </c>
      <c r="X512" s="102" t="b">
        <f>X511</f>
        <v>0</v>
      </c>
    </row>
    <row r="513" spans="1:24" ht="12.75" customHeight="1" x14ac:dyDescent="0.35">
      <c r="C513" s="192"/>
      <c r="D513" s="197" t="s">
        <v>42</v>
      </c>
      <c r="E513" s="201" t="str">
        <f>Translations!$B$266</f>
        <v>Emissions factor</v>
      </c>
      <c r="F513" s="201"/>
      <c r="G513" s="201"/>
      <c r="H513" s="201"/>
      <c r="I513" s="201"/>
      <c r="J513" s="201"/>
      <c r="K513" s="205" t="str">
        <f>CONST_tCO2pTJ</f>
        <v>tCO2/TJ</v>
      </c>
      <c r="L513" s="214"/>
      <c r="M513" s="214"/>
      <c r="N513" s="196"/>
      <c r="O513" s="902"/>
      <c r="P513" s="144"/>
      <c r="R513" s="102" t="str">
        <f>CONST_EmDirHeat&amp;G466</f>
        <v>EmDirHeat_</v>
      </c>
      <c r="S513" s="102" t="str">
        <f>CONST_CNTR_EmbedEmDir&amp;G466</f>
        <v>EmbedEmDir_</v>
      </c>
      <c r="T513" s="124" t="str">
        <f>IF(G466="","",SUM(L512*L513-M512*M513))</f>
        <v/>
      </c>
      <c r="V513" s="157" t="str">
        <f>IF(AND(L466&lt;&gt;"",X513=FALSE),IF(COUNTA(L513:M513)=2,TRUE,CONST_ErrorOrMissing&amp;C466),CONST_NA)</f>
        <v>n.a.</v>
      </c>
      <c r="X513" s="102" t="b">
        <f>X512</f>
        <v>0</v>
      </c>
    </row>
    <row r="514" spans="1:24" ht="5.15" customHeight="1" x14ac:dyDescent="0.35">
      <c r="C514" s="192"/>
      <c r="D514" s="204"/>
      <c r="E514" s="198"/>
      <c r="F514" s="195"/>
      <c r="G514" s="195"/>
      <c r="H514" s="195"/>
      <c r="I514" s="195"/>
      <c r="J514" s="195"/>
      <c r="K514" s="195"/>
      <c r="L514" s="199"/>
      <c r="M514" s="199"/>
      <c r="N514" s="196"/>
      <c r="O514" s="901"/>
      <c r="P514" s="144"/>
      <c r="T514" s="712"/>
    </row>
    <row r="515" spans="1:24" ht="12.75" customHeight="1" x14ac:dyDescent="0.35">
      <c r="C515" s="192"/>
      <c r="D515" s="199" t="s">
        <v>415</v>
      </c>
      <c r="E515" s="198" t="str">
        <f>Translations!$B$256</f>
        <v>Waste gases</v>
      </c>
      <c r="F515" s="195"/>
      <c r="G515" s="195"/>
      <c r="H515" s="195"/>
      <c r="I515" s="195"/>
      <c r="J515" s="195"/>
      <c r="K515" s="199" t="str">
        <f>Translations!$B$221</f>
        <v>Unit</v>
      </c>
      <c r="L515" s="199" t="str">
        <f>Translations!$B$263</f>
        <v>Imported</v>
      </c>
      <c r="M515" s="199" t="str">
        <f>Translations!$B$264</f>
        <v>Exported</v>
      </c>
      <c r="N515" s="196"/>
      <c r="O515" s="901"/>
      <c r="P515" s="144"/>
      <c r="T515" s="712"/>
      <c r="W515" s="104" t="s">
        <v>34</v>
      </c>
      <c r="X515" s="102" t="b">
        <f>AND(L505&lt;&gt;"",L505=FALSE)</f>
        <v>0</v>
      </c>
    </row>
    <row r="516" spans="1:24" ht="12.75" customHeight="1" x14ac:dyDescent="0.35">
      <c r="C516" s="192"/>
      <c r="D516" s="197" t="s">
        <v>41</v>
      </c>
      <c r="E516" s="201" t="str">
        <f>Translations!$B$267</f>
        <v>Amount of waste gas</v>
      </c>
      <c r="F516" s="201"/>
      <c r="G516" s="201"/>
      <c r="H516" s="201"/>
      <c r="I516" s="201"/>
      <c r="J516" s="201"/>
      <c r="K516" s="205" t="str">
        <f>CONST_TJ</f>
        <v>TJ</v>
      </c>
      <c r="L516" s="213"/>
      <c r="M516" s="213"/>
      <c r="N516" s="196"/>
      <c r="O516" s="902"/>
      <c r="P516" s="144"/>
      <c r="T516" s="712"/>
      <c r="V516" s="157" t="str">
        <f>IF(AND(L466&lt;&gt;"",X516=FALSE),IF(COUNTA(L516:M516)=2,TRUE,CONST_ErrorOrMissing&amp;C466),CONST_NA)</f>
        <v>n.a.</v>
      </c>
      <c r="X516" s="102" t="b">
        <f>X515</f>
        <v>0</v>
      </c>
    </row>
    <row r="517" spans="1:24" ht="12.75" customHeight="1" x14ac:dyDescent="0.35">
      <c r="C517" s="192"/>
      <c r="D517" s="197" t="s">
        <v>42</v>
      </c>
      <c r="E517" s="201" t="str">
        <f>Translations!$B$268</f>
        <v>Emission factor</v>
      </c>
      <c r="F517" s="201"/>
      <c r="G517" s="201"/>
      <c r="H517" s="201"/>
      <c r="I517" s="201"/>
      <c r="J517" s="201"/>
      <c r="K517" s="205" t="str">
        <f>CONST_tCO2pTJ</f>
        <v>tCO2/TJ</v>
      </c>
      <c r="L517" s="300"/>
      <c r="M517" s="300"/>
      <c r="N517" s="196"/>
      <c r="O517" s="901"/>
      <c r="P517" s="144"/>
      <c r="R517" s="102" t="str">
        <f>CONST_EmDirWasteGases&amp;G466</f>
        <v>EmDirWG_</v>
      </c>
      <c r="S517" s="102" t="str">
        <f>CONST_CNTR_EmbedEmDir&amp;G466</f>
        <v>EmbedEmDir_</v>
      </c>
      <c r="T517" s="124" t="str">
        <f>IF(G466="","",SUM(L516*CONST_EFNatGas-M516*CONST_EFNatGas*0.667))</f>
        <v/>
      </c>
      <c r="X517" s="102" t="b">
        <f>X516</f>
        <v>0</v>
      </c>
    </row>
    <row r="518" spans="1:24" ht="5.15" customHeight="1" x14ac:dyDescent="0.35">
      <c r="C518" s="192"/>
      <c r="D518" s="204"/>
      <c r="E518" s="198"/>
      <c r="F518" s="195"/>
      <c r="G518" s="195"/>
      <c r="H518" s="195"/>
      <c r="I518" s="195"/>
      <c r="J518" s="195"/>
      <c r="K518" s="195"/>
      <c r="L518" s="195"/>
      <c r="M518" s="195"/>
      <c r="N518" s="196"/>
      <c r="O518" s="901"/>
      <c r="P518" s="144"/>
      <c r="T518" s="712"/>
    </row>
    <row r="519" spans="1:24" ht="12.75" customHeight="1" x14ac:dyDescent="0.35">
      <c r="C519" s="192"/>
      <c r="D519" s="199" t="s">
        <v>416</v>
      </c>
      <c r="E519" s="198" t="str">
        <f>Translations!$B$269</f>
        <v>Indirect emissions from electricity consumption</v>
      </c>
      <c r="F519" s="195"/>
      <c r="G519" s="195"/>
      <c r="H519" s="195"/>
      <c r="I519" s="195"/>
      <c r="J519" s="195"/>
      <c r="K519" s="199" t="str">
        <f>Translations!$B$221</f>
        <v>Unit</v>
      </c>
      <c r="L519" s="199" t="str">
        <f>Translations!$B$260</f>
        <v>Value</v>
      </c>
      <c r="M519" s="195"/>
      <c r="N519" s="196"/>
      <c r="O519" s="901"/>
      <c r="P519" s="144"/>
      <c r="T519" s="712"/>
      <c r="W519" s="104" t="s">
        <v>34</v>
      </c>
      <c r="X519" s="102" t="b">
        <f>M505=FALSE</f>
        <v>0</v>
      </c>
    </row>
    <row r="520" spans="1:24" ht="12.75" customHeight="1" x14ac:dyDescent="0.35">
      <c r="C520" s="192"/>
      <c r="D520" s="197" t="s">
        <v>41</v>
      </c>
      <c r="E520" s="201" t="str">
        <f>Translations!$B$270</f>
        <v>Electricity consumption</v>
      </c>
      <c r="F520" s="201"/>
      <c r="G520" s="201"/>
      <c r="H520" s="201"/>
      <c r="I520" s="201"/>
      <c r="J520" s="201"/>
      <c r="K520" s="205" t="str">
        <f>CONST_MWh</f>
        <v>MWh</v>
      </c>
      <c r="L520" s="213"/>
      <c r="M520" s="195"/>
      <c r="N520" s="196"/>
      <c r="O520" s="902"/>
      <c r="P520" s="144"/>
      <c r="R520" s="102" t="str">
        <f>CONST_ElecConsumption&amp;G466</f>
        <v>ElecCons_</v>
      </c>
      <c r="T520" s="124" t="str">
        <f>IF(G466="","",L520)</f>
        <v/>
      </c>
      <c r="V520" s="157" t="str">
        <f>IF(AND(L466&lt;&gt;"",X520=FALSE),IF(L520&lt;&gt;"",TRUE,CONST_ErrorOrMissing&amp;C466),CONST_NA)</f>
        <v>n.a.</v>
      </c>
      <c r="X520" s="102" t="b">
        <f>X519</f>
        <v>0</v>
      </c>
    </row>
    <row r="521" spans="1:24" ht="12.75" customHeight="1" x14ac:dyDescent="0.35">
      <c r="C521" s="192"/>
      <c r="D521" s="197" t="s">
        <v>42</v>
      </c>
      <c r="E521" s="201" t="str">
        <f>Translations!$B$271</f>
        <v>Emission factor of the electricity</v>
      </c>
      <c r="F521" s="201"/>
      <c r="G521" s="201"/>
      <c r="H521" s="201"/>
      <c r="I521" s="201"/>
      <c r="J521" s="201"/>
      <c r="K521" s="205" t="str">
        <f>CONST_tCO2&amp;"/"&amp;CONST_MWh</f>
        <v>tCO2/MWh</v>
      </c>
      <c r="L521" s="215"/>
      <c r="M521" s="195"/>
      <c r="N521" s="196"/>
      <c r="O521" s="902"/>
      <c r="P521" s="144"/>
      <c r="S521" s="102" t="str">
        <f>CONST_CNTR_EmbedEmInDir&amp;G466</f>
        <v>EmbedEmInDir_</v>
      </c>
      <c r="T521" s="124" t="str">
        <f>IF(G466="","",SUM(L520)*SUM(L521))</f>
        <v/>
      </c>
      <c r="V521" s="157" t="str">
        <f>IF(AND(L466&lt;&gt;"",X521=FALSE),IF(L521&lt;&gt;"",TRUE,CONST_ErrorOrMissing&amp;C466),CONST_NA)</f>
        <v>n.a.</v>
      </c>
      <c r="X521" s="102" t="b">
        <f>X520</f>
        <v>0</v>
      </c>
    </row>
    <row r="522" spans="1:24" ht="12.75" customHeight="1" x14ac:dyDescent="0.35">
      <c r="C522" s="192"/>
      <c r="D522" s="197" t="s">
        <v>43</v>
      </c>
      <c r="E522" s="201" t="str">
        <f>Translations!$B$272</f>
        <v>Source of the emission factor</v>
      </c>
      <c r="F522" s="201"/>
      <c r="G522" s="201"/>
      <c r="H522" s="201"/>
      <c r="I522" s="201"/>
      <c r="J522" s="201"/>
      <c r="K522" s="299" t="s">
        <v>206</v>
      </c>
      <c r="L522" s="215"/>
      <c r="M522" s="195"/>
      <c r="N522" s="196"/>
      <c r="O522" s="902"/>
      <c r="P522" s="144"/>
      <c r="R522" s="102" t="str">
        <f>CONST_CNTR_ElecEFMethod&amp;G466</f>
        <v>ElecEFMeth_</v>
      </c>
      <c r="T522" s="714" t="str">
        <f>IF(L522="","",L522)</f>
        <v/>
      </c>
      <c r="V522" s="157" t="str">
        <f>IF(AND(L466&lt;&gt;"",X522=FALSE),IF(L522&lt;&gt;"",TRUE,CONST_ErrorOrMissing&amp;C466),CONST_NA)</f>
        <v>n.a.</v>
      </c>
      <c r="X522" s="102" t="b">
        <f>X521</f>
        <v>0</v>
      </c>
    </row>
    <row r="523" spans="1:24" ht="5.15" customHeight="1" x14ac:dyDescent="0.35">
      <c r="C523" s="192"/>
      <c r="D523" s="204"/>
      <c r="E523" s="198"/>
      <c r="F523" s="195"/>
      <c r="G523" s="195"/>
      <c r="H523" s="195"/>
      <c r="I523" s="195"/>
      <c r="J523" s="195"/>
      <c r="K523" s="195"/>
      <c r="L523" s="195"/>
      <c r="M523" s="195"/>
      <c r="N523" s="196"/>
      <c r="O523" s="901"/>
      <c r="P523" s="144"/>
      <c r="T523" s="712"/>
    </row>
    <row r="524" spans="1:24" ht="12.75" customHeight="1" x14ac:dyDescent="0.35">
      <c r="C524" s="192"/>
      <c r="D524" s="204"/>
      <c r="E524" s="198"/>
      <c r="F524" s="195"/>
      <c r="G524" s="195"/>
      <c r="H524" s="195"/>
      <c r="I524" s="195"/>
      <c r="J524" s="195"/>
      <c r="K524" s="195"/>
      <c r="L524" s="195"/>
      <c r="M524" s="195"/>
      <c r="N524" s="196"/>
      <c r="O524" s="901"/>
      <c r="P524" s="144"/>
      <c r="T524" s="712"/>
      <c r="X524" s="171"/>
    </row>
    <row r="525" spans="1:24" ht="12.75" customHeight="1" x14ac:dyDescent="0.35">
      <c r="C525" s="192"/>
      <c r="D525" s="199" t="s">
        <v>417</v>
      </c>
      <c r="E525" s="198" t="str">
        <f>Translations!$B$273</f>
        <v>Electricity exported from the production process</v>
      </c>
      <c r="F525" s="195"/>
      <c r="G525" s="195"/>
      <c r="H525" s="195"/>
      <c r="I525" s="195"/>
      <c r="J525" s="195"/>
      <c r="K525" s="199" t="str">
        <f>Translations!$B$221</f>
        <v>Unit</v>
      </c>
      <c r="L525" s="199" t="str">
        <f>Translations!$B$260</f>
        <v>Value</v>
      </c>
      <c r="M525" s="195"/>
      <c r="N525" s="196"/>
      <c r="O525" s="901"/>
      <c r="P525" s="144"/>
      <c r="T525" s="712"/>
      <c r="X525" s="171"/>
    </row>
    <row r="526" spans="1:24" ht="12.75" customHeight="1" x14ac:dyDescent="0.35">
      <c r="C526" s="192"/>
      <c r="D526" s="197" t="s">
        <v>41</v>
      </c>
      <c r="E526" s="201" t="str">
        <f>Translations!$B$274</f>
        <v>Amounts exported</v>
      </c>
      <c r="F526" s="201"/>
      <c r="G526" s="201"/>
      <c r="H526" s="201"/>
      <c r="I526" s="201"/>
      <c r="J526" s="201"/>
      <c r="K526" s="205" t="s">
        <v>51</v>
      </c>
      <c r="L526" s="213"/>
      <c r="M526" s="195"/>
      <c r="N526" s="196"/>
      <c r="O526" s="902"/>
      <c r="P526" s="144"/>
      <c r="T526" s="712"/>
      <c r="V526" s="157" t="str">
        <f>IF(L466&lt;&gt;"",IF(L526&lt;&gt;"",TRUE,CONST_ErrorOrMissing&amp;C466),CONST_NA)</f>
        <v>n.a.</v>
      </c>
      <c r="X526" s="171"/>
    </row>
    <row r="527" spans="1:24" ht="12.75" customHeight="1" x14ac:dyDescent="0.35">
      <c r="C527" s="192"/>
      <c r="D527" s="197" t="s">
        <v>42</v>
      </c>
      <c r="E527" s="201" t="str">
        <f>Translations!$B$271</f>
        <v>Emission factor of the electricity</v>
      </c>
      <c r="F527" s="201"/>
      <c r="G527" s="201"/>
      <c r="H527" s="201"/>
      <c r="I527" s="201"/>
      <c r="J527" s="201"/>
      <c r="K527" s="205" t="str">
        <f>CONST_tCO2&amp;"/"&amp;CONST_MWh</f>
        <v>tCO2/MWh</v>
      </c>
      <c r="L527" s="215"/>
      <c r="M527" s="195"/>
      <c r="N527" s="196"/>
      <c r="O527" s="902"/>
      <c r="P527" s="144"/>
      <c r="S527" s="102" t="str">
        <f>CONST_CNTR_EmbedEmDir&amp;G466</f>
        <v>EmbedEmDir_</v>
      </c>
      <c r="T527" s="124" t="str">
        <f>IF(G466="","",-SUM(L526)*SUM(L527))</f>
        <v/>
      </c>
      <c r="V527" s="157" t="str">
        <f>IF(AND(L466&lt;&gt;"",SUM(L526)&gt;0),IF(L527&lt;&gt;"",TRUE,CONST_ErrorOrMissing&amp;C466),CONST_NA)</f>
        <v>n.a.</v>
      </c>
      <c r="X527" s="171"/>
    </row>
    <row r="528" spans="1:24" s="144" customFormat="1" ht="12.75" customHeight="1" thickBot="1" x14ac:dyDescent="0.4">
      <c r="A528" s="91"/>
      <c r="B528" s="93"/>
      <c r="C528" s="206"/>
      <c r="D528" s="207"/>
      <c r="E528" s="208"/>
      <c r="F528" s="209"/>
      <c r="G528" s="209"/>
      <c r="H528" s="209"/>
      <c r="I528" s="209"/>
      <c r="J528" s="209"/>
      <c r="K528" s="209"/>
      <c r="L528" s="209"/>
      <c r="M528" s="209"/>
      <c r="N528" s="210"/>
      <c r="O528" s="901"/>
      <c r="Q528" s="93"/>
      <c r="R528" s="91"/>
      <c r="S528" s="91"/>
      <c r="T528" s="712"/>
      <c r="U528" s="91"/>
      <c r="V528" s="91"/>
      <c r="W528" s="104"/>
      <c r="X528" s="91"/>
    </row>
    <row r="529" spans="1:24" s="144" customFormat="1" ht="12.75" customHeight="1" thickBot="1" x14ac:dyDescent="0.4">
      <c r="A529" s="91"/>
      <c r="B529" s="93"/>
      <c r="C529" s="93"/>
      <c r="D529" s="93"/>
      <c r="E529" s="93"/>
      <c r="F529" s="93"/>
      <c r="G529" s="93"/>
      <c r="H529" s="93"/>
      <c r="I529" s="93"/>
      <c r="J529" s="93"/>
      <c r="K529" s="93"/>
      <c r="L529" s="93"/>
      <c r="M529" s="93"/>
      <c r="N529" s="93"/>
      <c r="O529" s="901"/>
      <c r="Q529" s="93"/>
      <c r="R529" s="91"/>
      <c r="S529" s="91"/>
      <c r="T529" s="712"/>
      <c r="U529" s="91"/>
      <c r="V529" s="91"/>
      <c r="W529" s="104"/>
      <c r="X529" s="91"/>
    </row>
    <row r="530" spans="1:24" ht="12.75" customHeight="1" thickBot="1" x14ac:dyDescent="0.4">
      <c r="B530" s="145"/>
      <c r="C530" s="145"/>
      <c r="D530" s="145"/>
      <c r="E530" s="145"/>
      <c r="F530" s="145"/>
      <c r="G530" s="145"/>
      <c r="H530" s="145"/>
      <c r="I530" s="145"/>
      <c r="J530" s="145"/>
      <c r="K530" s="145"/>
      <c r="L530" s="145"/>
      <c r="M530" s="145"/>
      <c r="N530" s="145"/>
      <c r="O530" s="903"/>
      <c r="P530" s="144"/>
      <c r="T530" s="712"/>
    </row>
    <row r="531" spans="1:24" ht="18" customHeight="1" thickBot="1" x14ac:dyDescent="0.4">
      <c r="C531" s="147">
        <f>C466+1</f>
        <v>9</v>
      </c>
      <c r="D531" s="148" t="str">
        <f>CONST_ProductionProcess &amp; " " &amp; C531 &amp; ":"</f>
        <v>Production process 9:</v>
      </c>
      <c r="G531" s="1313" t="str">
        <f>IF(INDEX(CNTR_List_ExistProdProcNames,R531)=CONST_NA,"",INDEX(CNTR_List_ExistProdProcNames,R531))</f>
        <v/>
      </c>
      <c r="H531" s="1314"/>
      <c r="I531" s="1314"/>
      <c r="J531" s="1314"/>
      <c r="K531" s="1315"/>
      <c r="L531" s="1316" t="str">
        <f>IF(INDEX(CNTR_List_ExistProdProc,R531)=CONST_NA,"",INDEX(CNTR_List_ExistProdProc,R531))</f>
        <v/>
      </c>
      <c r="M531" s="1317"/>
      <c r="N531" s="1318"/>
      <c r="O531" s="901"/>
      <c r="P531" s="144"/>
      <c r="R531" s="149">
        <f>C531</f>
        <v>9</v>
      </c>
      <c r="T531" s="712"/>
      <c r="W531" s="104" t="s">
        <v>2748</v>
      </c>
      <c r="X531" s="150" t="b">
        <f>AND(CNTR_HasEntriesA,G531="")</f>
        <v>0</v>
      </c>
    </row>
    <row r="532" spans="1:24" ht="5.15" customHeight="1" x14ac:dyDescent="0.35">
      <c r="D532" s="103"/>
      <c r="E532" s="100"/>
      <c r="O532" s="901"/>
      <c r="P532" s="144"/>
      <c r="T532" s="712"/>
    </row>
    <row r="533" spans="1:24" ht="12.75" customHeight="1" x14ac:dyDescent="0.35">
      <c r="D533" s="103"/>
      <c r="E533" s="1290" t="str">
        <f ca="1">HYPERLINK("#"&amp;ADDRESS(MATCH($S533,G_FurtherGuidance!$S:$S,0),3,,,G_FurtherGuidance!$U$2),CONST_LinkToGuidanceSheet)</f>
        <v>Please click on this link for further guidance on how to complete this section.</v>
      </c>
      <c r="F533" s="1319"/>
      <c r="G533" s="1319"/>
      <c r="H533" s="1319"/>
      <c r="I533" s="1319"/>
      <c r="J533" s="1319"/>
      <c r="K533" s="1319"/>
      <c r="L533" s="1319"/>
      <c r="M533" s="1319"/>
      <c r="O533" s="901"/>
      <c r="P533" s="144"/>
      <c r="R533" s="104" t="s">
        <v>2771</v>
      </c>
      <c r="S533" s="105">
        <v>3</v>
      </c>
      <c r="T533" s="712"/>
    </row>
    <row r="534" spans="1:24" ht="5.15" customHeight="1" x14ac:dyDescent="0.35">
      <c r="D534" s="103"/>
      <c r="E534" s="100"/>
      <c r="O534" s="901"/>
      <c r="P534" s="144"/>
      <c r="T534" s="712"/>
    </row>
    <row r="535" spans="1:24" ht="12.75" customHeight="1" x14ac:dyDescent="0.35">
      <c r="D535" s="117" t="s">
        <v>135</v>
      </c>
      <c r="E535" s="100" t="str">
        <f>Translations!$B$243</f>
        <v>Total production levels:</v>
      </c>
      <c r="H535" s="151" t="str">
        <f>Translations!$B$244</f>
        <v>Production route</v>
      </c>
      <c r="J535" s="144"/>
      <c r="K535" s="152" t="str">
        <f>Translations!$B$221</f>
        <v>Unit</v>
      </c>
      <c r="L535" s="152" t="str">
        <f>Translations!$B$245</f>
        <v>Amounts</v>
      </c>
      <c r="O535" s="901"/>
      <c r="P535" s="144"/>
      <c r="T535" s="712"/>
    </row>
    <row r="536" spans="1:24" ht="12.75" customHeight="1" x14ac:dyDescent="0.35">
      <c r="D536" s="173">
        <v>1</v>
      </c>
      <c r="E536" s="153" t="str">
        <f>IF(G531="","",G531) &amp; IF(L531="",""," | " &amp; L531)</f>
        <v/>
      </c>
      <c r="F536" s="153"/>
      <c r="G536" s="153"/>
      <c r="H536" s="154" t="str">
        <f>IF(L531="","",INDEX(CONST_MATRIX_ProductionRoute,MATCH(L531,CONST_LIST_Goods,0),D536))</f>
        <v/>
      </c>
      <c r="I536" s="153"/>
      <c r="J536" s="153"/>
      <c r="K536" s="155" t="str">
        <f>IF(L531="","",INDEX(CONST_LIST_GoodsUnit,MATCH(L531,CONST_LIST_Goods,0)))</f>
        <v/>
      </c>
      <c r="L536" s="29"/>
      <c r="O536" s="902"/>
      <c r="P536" s="144"/>
      <c r="S536" s="105">
        <v>1</v>
      </c>
      <c r="T536" s="713"/>
      <c r="V536" s="157" t="str">
        <f>IF(AND(G531&lt;&gt;"",E536&lt;&gt;"",L536&lt;&gt;""),TRUE,IF(AND(G531&lt;&gt;"",OR(AND(E536&lt;&gt;"",L536=""),AND(E536="",L536&lt;&gt;""))),CONST_ErrorOrMissing&amp;C531,CONST_NA))</f>
        <v>n.a.</v>
      </c>
    </row>
    <row r="537" spans="1:24" ht="12.75" customHeight="1" x14ac:dyDescent="0.35">
      <c r="D537" s="173">
        <v>2</v>
      </c>
      <c r="E537" s="158" t="str">
        <f t="shared" ref="E537:E543" si="32">IF(H537=CONST_NA,"",E536)</f>
        <v/>
      </c>
      <c r="F537" s="158"/>
      <c r="G537" s="158"/>
      <c r="H537" s="159" t="str">
        <f>IF(L531="","",INDEX(CONST_MATRIX_ProductionRoute,MATCH(L531,CONST_LIST_Goods,0),D537))</f>
        <v/>
      </c>
      <c r="I537" s="158"/>
      <c r="J537" s="158"/>
      <c r="K537" s="160" t="str">
        <f t="shared" ref="K537:K543" si="33">IF(H537=CONST_NA,"",K536)</f>
        <v/>
      </c>
      <c r="L537" s="30"/>
      <c r="O537" s="902"/>
      <c r="P537" s="144"/>
      <c r="S537" s="105">
        <v>2</v>
      </c>
      <c r="T537" s="713"/>
      <c r="V537" s="157" t="str">
        <f>IF(AND(G531&lt;&gt;"",E537&lt;&gt;"",L537&lt;&gt;""),TRUE,IF(AND(G531&lt;&gt;"",OR(AND(E537&lt;&gt;"",L537=""),AND(E537="",L537&lt;&gt;""))),CONST_ErrorOrMissing&amp;C531,CONST_NA))</f>
        <v>n.a.</v>
      </c>
    </row>
    <row r="538" spans="1:24" ht="12.75" customHeight="1" x14ac:dyDescent="0.35">
      <c r="D538" s="173">
        <v>3</v>
      </c>
      <c r="E538" s="158" t="str">
        <f t="shared" si="32"/>
        <v/>
      </c>
      <c r="F538" s="158"/>
      <c r="G538" s="158"/>
      <c r="H538" s="159" t="str">
        <f>IF(L531="","",INDEX(CONST_MATRIX_ProductionRoute,MATCH(L531,CONST_LIST_Goods,0),D538))</f>
        <v/>
      </c>
      <c r="I538" s="158"/>
      <c r="J538" s="158"/>
      <c r="K538" s="160" t="str">
        <f t="shared" si="33"/>
        <v/>
      </c>
      <c r="L538" s="30"/>
      <c r="O538" s="902"/>
      <c r="P538" s="144"/>
      <c r="S538" s="105">
        <v>3</v>
      </c>
      <c r="T538" s="713"/>
      <c r="V538" s="157" t="str">
        <f>IF(AND(G531&lt;&gt;"",E538&lt;&gt;"",L538&lt;&gt;""),TRUE,IF(AND(G531&lt;&gt;"",OR(AND(E538&lt;&gt;"",L538=""),AND(E538="",L538&lt;&gt;""))),CONST_ErrorOrMissing&amp;C531,CONST_NA))</f>
        <v>n.a.</v>
      </c>
    </row>
    <row r="539" spans="1:24" ht="12.75" customHeight="1" x14ac:dyDescent="0.35">
      <c r="D539" s="173">
        <v>4</v>
      </c>
      <c r="E539" s="158" t="str">
        <f t="shared" si="32"/>
        <v/>
      </c>
      <c r="F539" s="158"/>
      <c r="G539" s="158"/>
      <c r="H539" s="159" t="str">
        <f>IF(L531="","",INDEX(CONST_MATRIX_ProductionRoute,MATCH(L531,CONST_LIST_Goods,0),D539))</f>
        <v/>
      </c>
      <c r="I539" s="158"/>
      <c r="J539" s="158"/>
      <c r="K539" s="160" t="str">
        <f t="shared" si="33"/>
        <v/>
      </c>
      <c r="L539" s="30"/>
      <c r="O539" s="902"/>
      <c r="P539" s="144"/>
      <c r="S539" s="105">
        <v>4</v>
      </c>
      <c r="T539" s="713"/>
      <c r="V539" s="157" t="str">
        <f>IF(AND(G531&lt;&gt;"",E539&lt;&gt;"",L539&lt;&gt;""),TRUE,IF(AND(G531&lt;&gt;"",OR(AND(E539&lt;&gt;"",L539=""),AND(E539="",L539&lt;&gt;""))),CONST_ErrorOrMissing&amp;C531,CONST_NA))</f>
        <v>n.a.</v>
      </c>
    </row>
    <row r="540" spans="1:24" ht="12.75" customHeight="1" x14ac:dyDescent="0.35">
      <c r="D540" s="173">
        <v>5</v>
      </c>
      <c r="E540" s="158" t="str">
        <f t="shared" si="32"/>
        <v/>
      </c>
      <c r="F540" s="158"/>
      <c r="G540" s="158"/>
      <c r="H540" s="159" t="str">
        <f>IF(L531="","",INDEX(CONST_MATRIX_ProductionRoute,MATCH(L531,CONST_LIST_Goods,0),D540))</f>
        <v/>
      </c>
      <c r="I540" s="158"/>
      <c r="J540" s="158"/>
      <c r="K540" s="160" t="str">
        <f t="shared" si="33"/>
        <v/>
      </c>
      <c r="L540" s="30"/>
      <c r="O540" s="902"/>
      <c r="P540" s="144"/>
      <c r="S540" s="105">
        <v>5</v>
      </c>
      <c r="T540" s="713"/>
      <c r="V540" s="157" t="str">
        <f>IF(AND(G531&lt;&gt;"",E540&lt;&gt;"",L540&lt;&gt;""),TRUE,IF(AND(G531&lt;&gt;"",OR(AND(E540&lt;&gt;"",L540=""),AND(E540="",L540&lt;&gt;""))),CONST_ErrorOrMissing&amp;C531,CONST_NA))</f>
        <v>n.a.</v>
      </c>
    </row>
    <row r="541" spans="1:24" ht="12.75" customHeight="1" x14ac:dyDescent="0.35">
      <c r="D541" s="173">
        <v>6</v>
      </c>
      <c r="E541" s="158" t="str">
        <f t="shared" si="32"/>
        <v/>
      </c>
      <c r="F541" s="158"/>
      <c r="G541" s="158"/>
      <c r="H541" s="159" t="str">
        <f>IF(L531="","",INDEX(CONST_MATRIX_ProductionRoute,MATCH(L531,CONST_LIST_Goods,0),D541))</f>
        <v/>
      </c>
      <c r="I541" s="158"/>
      <c r="J541" s="158"/>
      <c r="K541" s="160" t="str">
        <f t="shared" si="33"/>
        <v/>
      </c>
      <c r="L541" s="30"/>
      <c r="O541" s="902"/>
      <c r="P541" s="144"/>
      <c r="S541" s="105">
        <v>6</v>
      </c>
      <c r="T541" s="713"/>
      <c r="V541" s="157" t="str">
        <f>IF(AND(G531&lt;&gt;"",E541&lt;&gt;"",L541&lt;&gt;""),TRUE,IF(AND(G531&lt;&gt;"",OR(AND(E541&lt;&gt;"",L541=""),AND(E541="",L541&lt;&gt;""))),CONST_ErrorOrMissing&amp;C531,CONST_NA))</f>
        <v>n.a.</v>
      </c>
    </row>
    <row r="542" spans="1:24" ht="12.75" customHeight="1" x14ac:dyDescent="0.35">
      <c r="D542" s="173">
        <v>7</v>
      </c>
      <c r="E542" s="158" t="str">
        <f t="shared" si="32"/>
        <v/>
      </c>
      <c r="F542" s="158"/>
      <c r="G542" s="158"/>
      <c r="H542" s="159" t="str">
        <f>IF(L531="","",INDEX(CONST_MATRIX_ProductionRoute,MATCH(L531,CONST_LIST_Goods,0),D542))</f>
        <v/>
      </c>
      <c r="I542" s="158"/>
      <c r="J542" s="158"/>
      <c r="K542" s="160" t="str">
        <f t="shared" si="33"/>
        <v/>
      </c>
      <c r="L542" s="30"/>
      <c r="O542" s="902"/>
      <c r="P542" s="144"/>
      <c r="S542" s="105">
        <v>7</v>
      </c>
      <c r="T542" s="713"/>
      <c r="V542" s="157" t="str">
        <f>IF(AND(G531&lt;&gt;"",E542&lt;&gt;"",L542&lt;&gt;""),TRUE,IF(AND(G531&lt;&gt;"",OR(AND(E542&lt;&gt;"",L542=""),AND(E542="",L542&lt;&gt;""))),CONST_ErrorOrMissing&amp;C531,CONST_NA))</f>
        <v>n.a.</v>
      </c>
    </row>
    <row r="543" spans="1:24" ht="12.75" customHeight="1" x14ac:dyDescent="0.35">
      <c r="D543" s="173">
        <v>8</v>
      </c>
      <c r="E543" s="161" t="str">
        <f t="shared" si="32"/>
        <v/>
      </c>
      <c r="F543" s="161"/>
      <c r="G543" s="161"/>
      <c r="H543" s="162" t="str">
        <f>IF(L531="","",INDEX(CONST_MATRIX_ProductionRoute,MATCH(L531,CONST_LIST_Goods,0),D543))</f>
        <v/>
      </c>
      <c r="I543" s="161"/>
      <c r="J543" s="161"/>
      <c r="K543" s="163" t="str">
        <f t="shared" si="33"/>
        <v/>
      </c>
      <c r="L543" s="31"/>
      <c r="O543" s="902"/>
      <c r="P543" s="144"/>
      <c r="S543" s="105">
        <v>8</v>
      </c>
      <c r="T543" s="713"/>
      <c r="V543" s="157" t="str">
        <f>IF(AND(G531&lt;&gt;"",E543&lt;&gt;"",L543&lt;&gt;""),TRUE,IF(AND(G531&lt;&gt;"",OR(AND(E543&lt;&gt;"",L543=""),AND(E543="",L543&lt;&gt;""))),CONST_ErrorOrMissing&amp;C531,CONST_NA))</f>
        <v>n.a.</v>
      </c>
    </row>
    <row r="544" spans="1:24" ht="12.75" customHeight="1" x14ac:dyDescent="0.35">
      <c r="D544" s="103"/>
      <c r="E544" s="138" t="str">
        <f>Translations!$B$246</f>
        <v>Total production within installation (= denominator for SEE calculation):</v>
      </c>
      <c r="F544" s="138"/>
      <c r="G544" s="138"/>
      <c r="H544" s="164"/>
      <c r="I544" s="138"/>
      <c r="J544" s="138"/>
      <c r="K544" s="165" t="str">
        <f>K536</f>
        <v/>
      </c>
      <c r="L544" s="140" t="str">
        <f>IF(G531="","",SUM(L536:L543))</f>
        <v/>
      </c>
      <c r="O544" s="901"/>
      <c r="P544" s="144"/>
      <c r="R544" s="102" t="str">
        <f>CONST_CNTR_TotProd&amp;G531</f>
        <v>TotProd_</v>
      </c>
      <c r="T544" s="124" t="str">
        <f>IF(G531="","",L544)</f>
        <v/>
      </c>
    </row>
    <row r="545" spans="1:24" s="144" customFormat="1" ht="5.15" customHeight="1" x14ac:dyDescent="0.35">
      <c r="A545" s="91"/>
      <c r="B545" s="93"/>
      <c r="C545" s="93"/>
      <c r="D545" s="166"/>
      <c r="E545" s="167"/>
      <c r="N545" s="93"/>
      <c r="O545" s="901"/>
      <c r="Q545" s="93"/>
      <c r="R545" s="91"/>
      <c r="S545" s="91"/>
      <c r="T545" s="712"/>
      <c r="U545" s="91"/>
      <c r="V545" s="91"/>
      <c r="W545" s="104"/>
      <c r="X545" s="91"/>
    </row>
    <row r="546" spans="1:24" s="144" customFormat="1" ht="12.75" customHeight="1" x14ac:dyDescent="0.35">
      <c r="A546" s="91"/>
      <c r="B546" s="93"/>
      <c r="C546" s="93"/>
      <c r="D546" s="168" t="s">
        <v>48</v>
      </c>
      <c r="E546" s="167" t="str">
        <f>Translations!$B$247</f>
        <v>Production details</v>
      </c>
      <c r="F546" s="167"/>
      <c r="G546" s="167"/>
      <c r="H546" s="168"/>
      <c r="K546" s="168" t="str">
        <f>Translations!$B$221</f>
        <v>Unit</v>
      </c>
      <c r="L546" s="168" t="str">
        <f>Translations!$B$245</f>
        <v>Amounts</v>
      </c>
      <c r="N546" s="93"/>
      <c r="O546" s="901"/>
      <c r="Q546" s="93"/>
      <c r="R546" s="91"/>
      <c r="S546" s="91"/>
      <c r="T546" s="712"/>
      <c r="U546" s="91"/>
      <c r="V546" s="91"/>
      <c r="W546" s="104"/>
      <c r="X546" s="91"/>
    </row>
    <row r="547" spans="1:24" s="144" customFormat="1" ht="12.75" customHeight="1" x14ac:dyDescent="0.35">
      <c r="A547" s="91"/>
      <c r="B547" s="93"/>
      <c r="C547" s="93"/>
      <c r="D547" s="132" t="s">
        <v>41</v>
      </c>
      <c r="E547" s="138" t="str">
        <f>Translations!$B$248</f>
        <v>Produced for the market</v>
      </c>
      <c r="F547" s="138"/>
      <c r="G547" s="138"/>
      <c r="H547" s="138"/>
      <c r="I547" s="138"/>
      <c r="J547" s="138"/>
      <c r="K547" s="169" t="str">
        <f>K536</f>
        <v/>
      </c>
      <c r="L547" s="211"/>
      <c r="N547" s="93"/>
      <c r="O547" s="902"/>
      <c r="Q547" s="93"/>
      <c r="R547" s="102" t="str">
        <f>CONST_GoodToMarket&amp;G531</f>
        <v>ToMarket_</v>
      </c>
      <c r="S547" s="91"/>
      <c r="T547" s="124" t="str">
        <f>IF($G$11="","",L547)</f>
        <v/>
      </c>
      <c r="U547" s="91"/>
      <c r="V547" s="157" t="str">
        <f>IF(AND(G531&lt;&gt;"",L547&lt;&gt;""),TRUE,IF(AND(G531&lt;&gt;"",OR(L547="",L536&lt;&gt;"")),CONST_ErrorOrMissing&amp;C531,CONST_NA))</f>
        <v>n.a.</v>
      </c>
      <c r="W547" s="104"/>
      <c r="X547" s="91"/>
    </row>
    <row r="548" spans="1:24" s="144" customFormat="1" ht="12.75" customHeight="1" x14ac:dyDescent="0.35">
      <c r="A548" s="91"/>
      <c r="B548" s="93"/>
      <c r="C548" s="93"/>
      <c r="D548" s="132" t="s">
        <v>42</v>
      </c>
      <c r="E548" s="133" t="str">
        <f>Translations!$B$249</f>
        <v>Share of total under (a) produced for the market</v>
      </c>
      <c r="F548" s="288"/>
      <c r="G548" s="288"/>
      <c r="H548" s="288"/>
      <c r="I548" s="288"/>
      <c r="J548" s="288"/>
      <c r="K548" s="288"/>
      <c r="L548" s="289" t="str">
        <f>IF(AND(COUNT(L544,L547)=2,SUM(L544&gt;0)),SUM(L547)/SUM(L544),"")</f>
        <v/>
      </c>
      <c r="N548" s="93"/>
      <c r="O548" s="901"/>
      <c r="Q548" s="93"/>
      <c r="R548" s="171"/>
      <c r="S548" s="91"/>
      <c r="T548" s="712"/>
      <c r="U548" s="91"/>
      <c r="V548" s="172"/>
      <c r="W548" s="104"/>
      <c r="X548" s="91"/>
    </row>
    <row r="549" spans="1:24" s="144" customFormat="1" ht="12.75" customHeight="1" x14ac:dyDescent="0.35">
      <c r="A549" s="91"/>
      <c r="B549" s="93"/>
      <c r="C549" s="93"/>
      <c r="D549" s="132" t="s">
        <v>43</v>
      </c>
      <c r="E549" s="136" t="str">
        <f>Translations!$B$250</f>
        <v>Total production only for the market?</v>
      </c>
      <c r="F549" s="290"/>
      <c r="G549" s="290"/>
      <c r="H549" s="290"/>
      <c r="I549" s="290"/>
      <c r="J549" s="290"/>
      <c r="K549" s="290"/>
      <c r="L549" s="291" t="str">
        <f>IF(G531="","",AND(SUM(L544)&gt;0,SUM(L544)=SUM(L547)))</f>
        <v/>
      </c>
      <c r="N549" s="93"/>
      <c r="O549" s="901"/>
      <c r="Q549" s="93"/>
      <c r="R549" s="171"/>
      <c r="S549" s="91"/>
      <c r="T549" s="712"/>
      <c r="U549" s="91"/>
      <c r="V549" s="91"/>
      <c r="W549" s="104"/>
      <c r="X549" s="91"/>
    </row>
    <row r="550" spans="1:24" s="144" customFormat="1" ht="5.15" customHeight="1" x14ac:dyDescent="0.35">
      <c r="A550" s="91"/>
      <c r="B550" s="93"/>
      <c r="C550" s="93"/>
      <c r="D550" s="166"/>
      <c r="E550" s="167"/>
      <c r="N550" s="93"/>
      <c r="O550" s="901"/>
      <c r="Q550" s="93"/>
      <c r="R550" s="91"/>
      <c r="S550" s="91"/>
      <c r="T550" s="712"/>
      <c r="U550" s="91"/>
      <c r="V550" s="91"/>
      <c r="W550" s="104"/>
      <c r="X550" s="91"/>
    </row>
    <row r="551" spans="1:24" s="144" customFormat="1" ht="12.75" customHeight="1" x14ac:dyDescent="0.35">
      <c r="A551" s="91"/>
      <c r="B551" s="93"/>
      <c r="C551" s="93"/>
      <c r="D551" s="168" t="s">
        <v>49</v>
      </c>
      <c r="E551" s="167" t="str">
        <f>Translations!$B$251</f>
        <v>Consumed in other 'production processes' within the installation:</v>
      </c>
      <c r="F551" s="167"/>
      <c r="G551" s="167"/>
      <c r="H551" s="167"/>
      <c r="I551" s="167"/>
      <c r="J551" s="167"/>
      <c r="K551" s="168" t="str">
        <f>Translations!$B$221</f>
        <v>Unit</v>
      </c>
      <c r="L551" s="168" t="str">
        <f>Translations!$B$245</f>
        <v>Amounts</v>
      </c>
      <c r="N551" s="93"/>
      <c r="O551" s="901"/>
      <c r="Q551" s="93"/>
      <c r="R551" s="91"/>
      <c r="S551" s="123" t="s">
        <v>195</v>
      </c>
      <c r="T551" s="712"/>
      <c r="U551" s="91"/>
      <c r="V551" s="91"/>
      <c r="W551" s="104" t="s">
        <v>34</v>
      </c>
      <c r="X551" s="102" t="b">
        <f>IF(G531="",FALSE,L549)</f>
        <v>0</v>
      </c>
    </row>
    <row r="552" spans="1:24" s="144" customFormat="1" ht="12.75" customHeight="1" x14ac:dyDescent="0.35">
      <c r="A552" s="91"/>
      <c r="B552" s="93"/>
      <c r="C552" s="93"/>
      <c r="D552" s="173">
        <v>1</v>
      </c>
      <c r="E552" s="174" t="str">
        <f t="shared" ref="E552:E560" si="34">IF(INDEX(CNTR_List_ExistProdProcNames,S552)=CONST_NA,"",INDEX(CNTR_List_ExistProdProcNames,S552))</f>
        <v/>
      </c>
      <c r="F552" s="175"/>
      <c r="G552" s="175"/>
      <c r="H552" s="175"/>
      <c r="I552" s="175"/>
      <c r="J552" s="176"/>
      <c r="K552" s="155" t="str">
        <f>K536</f>
        <v/>
      </c>
      <c r="L552" s="29"/>
      <c r="N552" s="93"/>
      <c r="O552" s="902"/>
      <c r="Q552" s="93"/>
      <c r="R552" s="102" t="str">
        <f>CONST_PrecursorToGoodInput&amp;G531 &amp;"_"&amp;E552</f>
        <v>PrecToGood__</v>
      </c>
      <c r="S552" s="105">
        <f>MAX(S551:S551)+IF(D552=C531,2,1)</f>
        <v>1</v>
      </c>
      <c r="T552" s="124" t="str">
        <f>IF(G531="","",L552)</f>
        <v/>
      </c>
      <c r="U552" s="91"/>
      <c r="V552" s="157" t="str">
        <f>IF(AND(G531&lt;&gt;"",E552&lt;&gt;"",L552&lt;&gt;""),TRUE,IF(AND(G531&lt;&gt;"",E552&lt;&gt;"",L552="",X552=FALSE),CONST_ErrorOrMissing&amp;C531,CONST_NA))</f>
        <v>n.a.</v>
      </c>
      <c r="W552" s="104" t="s">
        <v>34</v>
      </c>
      <c r="X552" s="102" t="b">
        <f>IF(G531="",FALSE,OR(L549,E552=""))</f>
        <v>0</v>
      </c>
    </row>
    <row r="553" spans="1:24" s="144" customFormat="1" ht="12.75" customHeight="1" x14ac:dyDescent="0.35">
      <c r="A553" s="91"/>
      <c r="B553" s="93"/>
      <c r="C553" s="93"/>
      <c r="D553" s="173">
        <v>2</v>
      </c>
      <c r="E553" s="177" t="str">
        <f t="shared" si="34"/>
        <v/>
      </c>
      <c r="F553" s="178"/>
      <c r="G553" s="178"/>
      <c r="H553" s="178"/>
      <c r="I553" s="178"/>
      <c r="J553" s="179"/>
      <c r="K553" s="160" t="str">
        <f>K552</f>
        <v/>
      </c>
      <c r="L553" s="30"/>
      <c r="N553" s="93"/>
      <c r="O553" s="902"/>
      <c r="Q553" s="93"/>
      <c r="R553" s="102" t="str">
        <f>CONST_PrecursorToGoodInput&amp;G531 &amp;"_"&amp;E553</f>
        <v>PrecToGood__</v>
      </c>
      <c r="S553" s="105">
        <f>MAX(S551:S552)+IF(D553=C531,2,1)</f>
        <v>2</v>
      </c>
      <c r="T553" s="124" t="str">
        <f>IF(G531="","",L553)</f>
        <v/>
      </c>
      <c r="U553" s="91"/>
      <c r="V553" s="157" t="str">
        <f>IF(AND(G531&lt;&gt;"",E553&lt;&gt;"",L553&lt;&gt;""),TRUE,IF(AND(G531&lt;&gt;"",E553&lt;&gt;"",L553="",X553=FALSE),CONST_ErrorOrMissing&amp;C531,CONST_NA))</f>
        <v>n.a.</v>
      </c>
      <c r="W553" s="104"/>
      <c r="X553" s="102" t="b">
        <f>IF(G531="",FALSE,OR(L549,E553=""))</f>
        <v>0</v>
      </c>
    </row>
    <row r="554" spans="1:24" s="144" customFormat="1" ht="12.75" customHeight="1" x14ac:dyDescent="0.35">
      <c r="A554" s="91"/>
      <c r="B554" s="93"/>
      <c r="C554" s="93"/>
      <c r="D554" s="173">
        <v>3</v>
      </c>
      <c r="E554" s="177" t="str">
        <f t="shared" si="34"/>
        <v/>
      </c>
      <c r="F554" s="178"/>
      <c r="G554" s="178"/>
      <c r="H554" s="178"/>
      <c r="I554" s="178"/>
      <c r="J554" s="179"/>
      <c r="K554" s="160" t="str">
        <f t="shared" ref="K554:K562" si="35">K553</f>
        <v/>
      </c>
      <c r="L554" s="30"/>
      <c r="N554" s="93"/>
      <c r="O554" s="902"/>
      <c r="Q554" s="93"/>
      <c r="R554" s="102" t="str">
        <f>CONST_PrecursorToGoodInput&amp;G531 &amp;"_"&amp;E554</f>
        <v>PrecToGood__</v>
      </c>
      <c r="S554" s="105">
        <f>MAX(S551:S553)+IF(D554=C531,2,1)</f>
        <v>3</v>
      </c>
      <c r="T554" s="124" t="str">
        <f>IF(G531="","",L554)</f>
        <v/>
      </c>
      <c r="U554" s="91"/>
      <c r="V554" s="157" t="str">
        <f>IF(AND(G531&lt;&gt;"",E554&lt;&gt;"",L554&lt;&gt;""),TRUE,IF(AND(G531&lt;&gt;"",E554&lt;&gt;"",L554="",X554=FALSE),CONST_ErrorOrMissing&amp;C531,CONST_NA))</f>
        <v>n.a.</v>
      </c>
      <c r="W554" s="104"/>
      <c r="X554" s="102" t="b">
        <f>IF(G531="",FALSE,OR(L549,E554=""))</f>
        <v>0</v>
      </c>
    </row>
    <row r="555" spans="1:24" s="144" customFormat="1" ht="12.75" customHeight="1" x14ac:dyDescent="0.35">
      <c r="A555" s="91"/>
      <c r="B555" s="93"/>
      <c r="C555" s="93"/>
      <c r="D555" s="173">
        <v>4</v>
      </c>
      <c r="E555" s="177" t="str">
        <f t="shared" si="34"/>
        <v/>
      </c>
      <c r="F555" s="178"/>
      <c r="G555" s="178"/>
      <c r="H555" s="178"/>
      <c r="I555" s="178"/>
      <c r="J555" s="179"/>
      <c r="K555" s="160" t="str">
        <f t="shared" si="35"/>
        <v/>
      </c>
      <c r="L555" s="30"/>
      <c r="N555" s="93"/>
      <c r="O555" s="902"/>
      <c r="Q555" s="93"/>
      <c r="R555" s="102" t="str">
        <f>CONST_PrecursorToGoodInput&amp;G531 &amp;"_"&amp;E555</f>
        <v>PrecToGood__</v>
      </c>
      <c r="S555" s="105">
        <f>MAX(S551:S554)+IF(D555=C531,2,1)</f>
        <v>4</v>
      </c>
      <c r="T555" s="124" t="str">
        <f>IF(G531="","",L555)</f>
        <v/>
      </c>
      <c r="U555" s="91"/>
      <c r="V555" s="157" t="str">
        <f>IF(AND(G531&lt;&gt;"",E555&lt;&gt;"",L555&lt;&gt;""),TRUE,IF(AND(G531&lt;&gt;"",E555&lt;&gt;"",L555="",X555=FALSE),CONST_ErrorOrMissing&amp;C531,CONST_NA))</f>
        <v>n.a.</v>
      </c>
      <c r="W555" s="104"/>
      <c r="X555" s="102" t="b">
        <f>IF(G531="",FALSE,OR(L549,E555=""))</f>
        <v>0</v>
      </c>
    </row>
    <row r="556" spans="1:24" s="144" customFormat="1" ht="12.75" customHeight="1" x14ac:dyDescent="0.35">
      <c r="A556" s="91"/>
      <c r="B556" s="93"/>
      <c r="C556" s="93"/>
      <c r="D556" s="173">
        <v>5</v>
      </c>
      <c r="E556" s="180" t="str">
        <f t="shared" si="34"/>
        <v/>
      </c>
      <c r="F556" s="181"/>
      <c r="G556" s="181"/>
      <c r="H556" s="181"/>
      <c r="I556" s="181"/>
      <c r="J556" s="182"/>
      <c r="K556" s="183" t="str">
        <f t="shared" si="35"/>
        <v/>
      </c>
      <c r="L556" s="212"/>
      <c r="N556" s="93"/>
      <c r="O556" s="902"/>
      <c r="Q556" s="93"/>
      <c r="R556" s="102" t="str">
        <f>CONST_PrecursorToGoodInput&amp;G531 &amp;"_"&amp;E556</f>
        <v>PrecToGood__</v>
      </c>
      <c r="S556" s="105">
        <f>MAX(S551:S555)+IF(D556=C531,2,1)</f>
        <v>5</v>
      </c>
      <c r="T556" s="124" t="str">
        <f>IF(G531="","",L556)</f>
        <v/>
      </c>
      <c r="U556" s="91"/>
      <c r="V556" s="157" t="str">
        <f>IF(AND(G531&lt;&gt;"",E556&lt;&gt;"",L556&lt;&gt;""),TRUE,IF(AND(G531&lt;&gt;"",E556&lt;&gt;"",L556="",X556=FALSE),CONST_ErrorOrMissing&amp;C531,CONST_NA))</f>
        <v>n.a.</v>
      </c>
      <c r="W556" s="104"/>
      <c r="X556" s="102" t="b">
        <f>IF(G531="",FALSE,OR(L549,E556=""))</f>
        <v>0</v>
      </c>
    </row>
    <row r="557" spans="1:24" s="144" customFormat="1" ht="12.75" customHeight="1" x14ac:dyDescent="0.35">
      <c r="A557" s="91"/>
      <c r="B557" s="93"/>
      <c r="C557" s="93"/>
      <c r="D557" s="173">
        <v>6</v>
      </c>
      <c r="E557" s="180" t="str">
        <f t="shared" si="34"/>
        <v/>
      </c>
      <c r="F557" s="181"/>
      <c r="G557" s="181"/>
      <c r="H557" s="181"/>
      <c r="I557" s="181"/>
      <c r="J557" s="182"/>
      <c r="K557" s="183" t="str">
        <f t="shared" si="35"/>
        <v/>
      </c>
      <c r="L557" s="212"/>
      <c r="N557" s="93"/>
      <c r="O557" s="902"/>
      <c r="Q557" s="93"/>
      <c r="R557" s="102" t="str">
        <f>CONST_PrecursorToGoodInput&amp;G531 &amp;"_"&amp;E557</f>
        <v>PrecToGood__</v>
      </c>
      <c r="S557" s="105">
        <f>MAX(S551:S556)+IF(D557=C531,2,1)</f>
        <v>6</v>
      </c>
      <c r="T557" s="124" t="str">
        <f>IF(G531="","",L557)</f>
        <v/>
      </c>
      <c r="U557" s="91"/>
      <c r="V557" s="157" t="str">
        <f>IF(AND(G531&lt;&gt;"",E557&lt;&gt;"",L557&lt;&gt;""),TRUE,IF(AND(G531&lt;&gt;"",E557&lt;&gt;"",L557="",X557=FALSE),CONST_ErrorOrMissing&amp;C531,CONST_NA))</f>
        <v>n.a.</v>
      </c>
      <c r="W557" s="104"/>
      <c r="X557" s="102" t="b">
        <f>IF(G531="",FALSE,OR(L549,E557=""))</f>
        <v>0</v>
      </c>
    </row>
    <row r="558" spans="1:24" s="144" customFormat="1" ht="12.75" customHeight="1" x14ac:dyDescent="0.35">
      <c r="A558" s="91"/>
      <c r="B558" s="93"/>
      <c r="C558" s="93"/>
      <c r="D558" s="173">
        <v>7</v>
      </c>
      <c r="E558" s="180" t="str">
        <f t="shared" si="34"/>
        <v/>
      </c>
      <c r="F558" s="181"/>
      <c r="G558" s="181"/>
      <c r="H558" s="181"/>
      <c r="I558" s="181"/>
      <c r="J558" s="182"/>
      <c r="K558" s="183" t="str">
        <f t="shared" si="35"/>
        <v/>
      </c>
      <c r="L558" s="212"/>
      <c r="N558" s="93"/>
      <c r="O558" s="902"/>
      <c r="Q558" s="93"/>
      <c r="R558" s="102" t="str">
        <f>CONST_PrecursorToGoodInput&amp;G531 &amp;"_"&amp;E558</f>
        <v>PrecToGood__</v>
      </c>
      <c r="S558" s="105">
        <f>MAX(S551:S557)+IF(D558=C531,2,1)</f>
        <v>7</v>
      </c>
      <c r="T558" s="124" t="str">
        <f>IF(G531="","",L558)</f>
        <v/>
      </c>
      <c r="U558" s="91"/>
      <c r="V558" s="157" t="str">
        <f>IF(AND(G531&lt;&gt;"",E558&lt;&gt;"",L558&lt;&gt;""),TRUE,IF(AND(G531&lt;&gt;"",E558&lt;&gt;"",L558="",X558=FALSE),CONST_ErrorOrMissing&amp;C531,CONST_NA))</f>
        <v>n.a.</v>
      </c>
      <c r="W558" s="104"/>
      <c r="X558" s="102" t="b">
        <f>IF(G531="",FALSE,OR(L549,E558=""))</f>
        <v>0</v>
      </c>
    </row>
    <row r="559" spans="1:24" s="144" customFormat="1" ht="12.75" customHeight="1" x14ac:dyDescent="0.35">
      <c r="A559" s="91"/>
      <c r="B559" s="93"/>
      <c r="C559" s="93"/>
      <c r="D559" s="173">
        <v>8</v>
      </c>
      <c r="E559" s="180" t="str">
        <f t="shared" si="34"/>
        <v/>
      </c>
      <c r="F559" s="181"/>
      <c r="G559" s="181"/>
      <c r="H559" s="181"/>
      <c r="I559" s="181"/>
      <c r="J559" s="182"/>
      <c r="K559" s="183" t="str">
        <f t="shared" si="35"/>
        <v/>
      </c>
      <c r="L559" s="212"/>
      <c r="N559" s="93"/>
      <c r="O559" s="902"/>
      <c r="Q559" s="93"/>
      <c r="R559" s="102" t="str">
        <f>CONST_PrecursorToGoodInput&amp;G531 &amp;"_"&amp;E559</f>
        <v>PrecToGood__</v>
      </c>
      <c r="S559" s="105">
        <f>MAX(S551:S558)+IF(D559=C531,2,1)</f>
        <v>8</v>
      </c>
      <c r="T559" s="124" t="str">
        <f>IF(G531="","",L559)</f>
        <v/>
      </c>
      <c r="U559" s="91"/>
      <c r="V559" s="157" t="str">
        <f>IF(AND(G531&lt;&gt;"",E559&lt;&gt;"",L559&lt;&gt;""),TRUE,IF(AND(G531&lt;&gt;"",E559&lt;&gt;"",L559="",X559=FALSE),CONST_ErrorOrMissing&amp;C531,CONST_NA))</f>
        <v>n.a.</v>
      </c>
      <c r="W559" s="104"/>
      <c r="X559" s="102" t="b">
        <f>IF(G531="",FALSE,OR(L549,E559=""))</f>
        <v>0</v>
      </c>
    </row>
    <row r="560" spans="1:24" s="144" customFormat="1" ht="12.75" customHeight="1" x14ac:dyDescent="0.35">
      <c r="A560" s="91"/>
      <c r="B560" s="93"/>
      <c r="C560" s="93"/>
      <c r="D560" s="173">
        <v>9</v>
      </c>
      <c r="E560" s="184" t="str">
        <f t="shared" si="34"/>
        <v/>
      </c>
      <c r="F560" s="185"/>
      <c r="G560" s="185"/>
      <c r="H560" s="185"/>
      <c r="I560" s="185"/>
      <c r="J560" s="186"/>
      <c r="K560" s="163" t="str">
        <f t="shared" si="35"/>
        <v/>
      </c>
      <c r="L560" s="31"/>
      <c r="N560" s="93"/>
      <c r="O560" s="902"/>
      <c r="Q560" s="93"/>
      <c r="R560" s="102" t="str">
        <f>CONST_PrecursorToGoodInput&amp;G531 &amp;"_"&amp;E560</f>
        <v>PrecToGood__</v>
      </c>
      <c r="S560" s="105">
        <f>MAX(S551:S559)+IF(D560=C531,2,1)</f>
        <v>10</v>
      </c>
      <c r="T560" s="124" t="str">
        <f>IF(G531="","",L560)</f>
        <v/>
      </c>
      <c r="U560" s="91"/>
      <c r="V560" s="157" t="str">
        <f>IF(AND(G531&lt;&gt;"",E560&lt;&gt;"",L560&lt;&gt;""),TRUE,IF(AND(G531&lt;&gt;"",E560&lt;&gt;"",L560="",X560=FALSE),CONST_ErrorOrMissing&amp;C531,CONST_NA))</f>
        <v>n.a.</v>
      </c>
      <c r="W560" s="104"/>
      <c r="X560" s="102" t="b">
        <f>IF(G531="",FALSE,OR(L549,E560=""))</f>
        <v>0</v>
      </c>
    </row>
    <row r="561" spans="1:24" s="144" customFormat="1" ht="12.75" customHeight="1" x14ac:dyDescent="0.35">
      <c r="A561" s="91"/>
      <c r="B561" s="93"/>
      <c r="C561" s="93"/>
      <c r="D561" s="168" t="s">
        <v>377</v>
      </c>
      <c r="E561" s="167" t="str">
        <f>Translations!$B$252</f>
        <v>Consumed for non-CBAM goods within the installation:</v>
      </c>
      <c r="F561" s="167"/>
      <c r="G561" s="167"/>
      <c r="H561" s="167"/>
      <c r="I561" s="167"/>
      <c r="J561" s="167"/>
      <c r="K561" s="297" t="str">
        <f t="shared" si="35"/>
        <v/>
      </c>
      <c r="L561" s="298"/>
      <c r="N561" s="93"/>
      <c r="O561" s="902"/>
      <c r="Q561" s="93"/>
      <c r="R561" s="91"/>
      <c r="S561" s="91"/>
      <c r="T561" s="712"/>
      <c r="U561" s="91"/>
      <c r="V561" s="157" t="str">
        <f>IF(AND(G531&lt;&gt;"",L561&lt;&gt;""),TRUE,IF(AND(G531&lt;&gt;"",L561="",X561=FALSE),CONST_ErrorOrMissing&amp;C531,CONST_NA))</f>
        <v>n.a.</v>
      </c>
      <c r="W561" s="104" t="s">
        <v>34</v>
      </c>
      <c r="X561" s="102" t="b">
        <f>IF(G531="",FALSE,L549)</f>
        <v>0</v>
      </c>
    </row>
    <row r="562" spans="1:24" s="144" customFormat="1" ht="12.75" customHeight="1" x14ac:dyDescent="0.35">
      <c r="A562" s="91"/>
      <c r="B562" s="93"/>
      <c r="C562" s="93"/>
      <c r="D562" s="168" t="s">
        <v>411</v>
      </c>
      <c r="E562" s="138" t="str">
        <f>Translations!$B$253</f>
        <v>Control:</v>
      </c>
      <c r="F562" s="170"/>
      <c r="G562" s="170"/>
      <c r="H562" s="170"/>
      <c r="I562" s="170"/>
      <c r="J562" s="170"/>
      <c r="K562" s="169" t="str">
        <f t="shared" si="35"/>
        <v/>
      </c>
      <c r="L562" s="118" t="str">
        <f>IF(G531="","",SUM(L544)-SUM(L547,L552:L561))</f>
        <v/>
      </c>
      <c r="N562" s="93"/>
      <c r="O562" s="902"/>
      <c r="Q562" s="93"/>
      <c r="R562" s="91"/>
      <c r="S562" s="91"/>
      <c r="T562" s="712"/>
      <c r="U562" s="91"/>
      <c r="V562" s="157" t="str">
        <f>IF(AND(G531&lt;&gt;"",L562=0),TRUE,IF(AND(G531&lt;&gt;"",L562&lt;&gt;0,X562=FALSE),CONST_ErrorOrMissing&amp;C531,CONST_NA))</f>
        <v>n.a.</v>
      </c>
      <c r="W562" s="104"/>
      <c r="X562" s="102" t="b">
        <f>IF(G531="",FALSE,L549)</f>
        <v>0</v>
      </c>
    </row>
    <row r="563" spans="1:24" s="144" customFormat="1" ht="12.75" customHeight="1" thickBot="1" x14ac:dyDescent="0.4">
      <c r="A563" s="91"/>
      <c r="B563" s="93"/>
      <c r="C563" s="93"/>
      <c r="D563" s="93"/>
      <c r="E563" s="93"/>
      <c r="F563" s="93"/>
      <c r="G563" s="93"/>
      <c r="H563" s="93"/>
      <c r="I563" s="93"/>
      <c r="J563" s="93"/>
      <c r="K563" s="93"/>
      <c r="L563" s="93"/>
      <c r="M563" s="93"/>
      <c r="N563" s="93"/>
      <c r="O563" s="901"/>
      <c r="Q563" s="93"/>
      <c r="R563" s="91"/>
      <c r="S563" s="91"/>
      <c r="T563" s="712"/>
      <c r="U563" s="91"/>
      <c r="V563" s="91"/>
      <c r="W563" s="104"/>
      <c r="X563" s="91"/>
    </row>
    <row r="564" spans="1:24" ht="12.75" customHeight="1" x14ac:dyDescent="0.35">
      <c r="C564" s="187"/>
      <c r="D564" s="188"/>
      <c r="E564" s="189"/>
      <c r="F564" s="190"/>
      <c r="G564" s="190"/>
      <c r="H564" s="190"/>
      <c r="I564" s="190"/>
      <c r="J564" s="190"/>
      <c r="K564" s="190"/>
      <c r="L564" s="190"/>
      <c r="M564" s="190"/>
      <c r="N564" s="191"/>
      <c r="O564" s="901"/>
      <c r="P564" s="144"/>
      <c r="T564" s="712"/>
    </row>
    <row r="565" spans="1:24" ht="15" customHeight="1" x14ac:dyDescent="0.35">
      <c r="C565" s="192"/>
      <c r="D565" s="193" t="str">
        <f>Translations!$B$254</f>
        <v>Calculation of the attributed emissions:</v>
      </c>
      <c r="E565" s="194"/>
      <c r="F565" s="195"/>
      <c r="G565" s="195"/>
      <c r="H565" s="195"/>
      <c r="I565" s="195"/>
      <c r="J565" s="1310" t="str">
        <f>IF(G531="","",G531)</f>
        <v/>
      </c>
      <c r="K565" s="1310"/>
      <c r="L565" s="1310"/>
      <c r="M565" s="1310"/>
      <c r="N565" s="196"/>
      <c r="O565" s="901"/>
      <c r="P565" s="144"/>
      <c r="T565" s="712"/>
    </row>
    <row r="566" spans="1:24" ht="5.15" customHeight="1" x14ac:dyDescent="0.35">
      <c r="C566" s="192"/>
      <c r="D566" s="197"/>
      <c r="E566" s="198"/>
      <c r="F566" s="195"/>
      <c r="G566" s="195"/>
      <c r="H566" s="195"/>
      <c r="I566" s="195"/>
      <c r="J566" s="195"/>
      <c r="K566" s="195"/>
      <c r="L566" s="195"/>
      <c r="M566" s="195"/>
      <c r="N566" s="196"/>
      <c r="O566" s="901"/>
      <c r="P566" s="144"/>
      <c r="T566" s="712"/>
    </row>
    <row r="567" spans="1:24" ht="12.75" customHeight="1" x14ac:dyDescent="0.35">
      <c r="C567" s="192"/>
      <c r="D567" s="199"/>
      <c r="E567" s="1311" t="str">
        <f ca="1">HYPERLINK("#"&amp;ADDRESS(MATCH($S567,G_FurtherGuidance!$S:$S,0),3,,,G_FurtherGuidance!$U$2),CONST_LinkToGuidanceSheet)</f>
        <v>Please click on this link for further guidance on how to complete this section.</v>
      </c>
      <c r="F567" s="1312"/>
      <c r="G567" s="1312"/>
      <c r="H567" s="1312"/>
      <c r="I567" s="1312"/>
      <c r="J567" s="1312"/>
      <c r="K567" s="1312"/>
      <c r="L567" s="1312"/>
      <c r="M567" s="1312"/>
      <c r="N567" s="202"/>
      <c r="O567" s="901"/>
      <c r="P567" s="144"/>
      <c r="R567" s="104" t="s">
        <v>2771</v>
      </c>
      <c r="S567" s="105">
        <v>3</v>
      </c>
      <c r="T567" s="712"/>
    </row>
    <row r="568" spans="1:24" ht="5.15" customHeight="1" x14ac:dyDescent="0.35">
      <c r="C568" s="192"/>
      <c r="D568" s="197"/>
      <c r="E568" s="198"/>
      <c r="F568" s="195"/>
      <c r="G568" s="195"/>
      <c r="H568" s="195"/>
      <c r="I568" s="195"/>
      <c r="J568" s="198"/>
      <c r="K568" s="195"/>
      <c r="L568" s="195"/>
      <c r="M568" s="195"/>
      <c r="N568" s="196"/>
      <c r="O568" s="901"/>
      <c r="P568" s="144"/>
      <c r="T568" s="712"/>
      <c r="X568" s="104"/>
    </row>
    <row r="569" spans="1:24" ht="25" customHeight="1" x14ac:dyDescent="0.3">
      <c r="C569" s="192"/>
      <c r="D569" s="197"/>
      <c r="E569" s="198"/>
      <c r="F569" s="195"/>
      <c r="G569" s="195"/>
      <c r="H569" s="195"/>
      <c r="I569" s="195"/>
      <c r="J569" s="195"/>
      <c r="K569" s="203" t="str">
        <f>Translations!$B$255</f>
        <v>Measurable heat</v>
      </c>
      <c r="L569" s="203" t="str">
        <f>Translations!$B$256</f>
        <v>Waste gases</v>
      </c>
      <c r="M569" s="203" t="str">
        <f>Translations!$B$257</f>
        <v>Indirect emissions</v>
      </c>
      <c r="N569" s="196"/>
      <c r="O569" s="901"/>
      <c r="P569" s="144"/>
      <c r="T569" s="712"/>
      <c r="X569" s="104"/>
    </row>
    <row r="570" spans="1:24" ht="12.75" customHeight="1" x14ac:dyDescent="0.35">
      <c r="C570" s="192"/>
      <c r="D570" s="199" t="s">
        <v>412</v>
      </c>
      <c r="E570" s="200" t="str">
        <f>Translations!$B$258</f>
        <v>Please select which elements are applicable</v>
      </c>
      <c r="F570" s="201"/>
      <c r="G570" s="201"/>
      <c r="H570" s="201"/>
      <c r="I570" s="201"/>
      <c r="J570" s="201"/>
      <c r="K570" s="120"/>
      <c r="L570" s="120"/>
      <c r="M570" s="169" t="str">
        <f>IF(L531="","",INDEX(CONST_LIST_GoodsIndRel,MATCH(L531,CONST_LIST_Goods,0)))</f>
        <v/>
      </c>
      <c r="N570" s="196"/>
      <c r="O570" s="902"/>
      <c r="P570" s="144"/>
      <c r="T570" s="712"/>
      <c r="V570" s="157" t="str">
        <f>IF(AND(L531&lt;&gt;"",X570=FALSE),IF(COUNTA(K570:L570)=2,TRUE,CONST_ErrorOrMissing&amp;C531),CONST_NA)</f>
        <v>n.a.</v>
      </c>
      <c r="X570" s="104"/>
    </row>
    <row r="571" spans="1:24" ht="12.75" customHeight="1" x14ac:dyDescent="0.35">
      <c r="C571" s="192"/>
      <c r="D571" s="204"/>
      <c r="E571" s="401" t="str">
        <f>Translations!$B$259</f>
        <v>Based on your selection, related sections below might become irrelevant and greyed out below.</v>
      </c>
      <c r="F571" s="195"/>
      <c r="G571" s="195"/>
      <c r="H571" s="195"/>
      <c r="I571" s="195"/>
      <c r="J571" s="195"/>
      <c r="K571" s="198"/>
      <c r="L571" s="195"/>
      <c r="M571" s="195"/>
      <c r="N571" s="196"/>
      <c r="O571" s="901"/>
      <c r="P571" s="144"/>
      <c r="T571" s="712"/>
      <c r="X571" s="104"/>
    </row>
    <row r="572" spans="1:24" ht="5.15" customHeight="1" x14ac:dyDescent="0.35">
      <c r="C572" s="192"/>
      <c r="D572" s="204"/>
      <c r="E572" s="198"/>
      <c r="F572" s="195"/>
      <c r="G572" s="195"/>
      <c r="H572" s="195"/>
      <c r="I572" s="195"/>
      <c r="J572" s="195"/>
      <c r="K572" s="198"/>
      <c r="L572" s="195"/>
      <c r="M572" s="195"/>
      <c r="N572" s="196"/>
      <c r="O572" s="901"/>
      <c r="P572" s="144"/>
      <c r="T572" s="712"/>
      <c r="X572" s="104"/>
    </row>
    <row r="573" spans="1:24" ht="12.75" customHeight="1" x14ac:dyDescent="0.35">
      <c r="C573" s="192"/>
      <c r="D573" s="204"/>
      <c r="E573" s="198"/>
      <c r="F573" s="195"/>
      <c r="G573" s="195"/>
      <c r="H573" s="195"/>
      <c r="I573" s="195"/>
      <c r="J573" s="195"/>
      <c r="K573" s="199" t="str">
        <f>Translations!$B$221</f>
        <v>Unit</v>
      </c>
      <c r="L573" s="199" t="str">
        <f>Translations!$B$260</f>
        <v>Value</v>
      </c>
      <c r="M573" s="195"/>
      <c r="N573" s="196"/>
      <c r="O573" s="901"/>
      <c r="P573" s="144"/>
      <c r="T573" s="712"/>
      <c r="X573" s="104"/>
    </row>
    <row r="574" spans="1:24" ht="12.75" customHeight="1" x14ac:dyDescent="0.35">
      <c r="C574" s="192"/>
      <c r="D574" s="199" t="s">
        <v>413</v>
      </c>
      <c r="E574" s="200" t="str">
        <f>Translations!$B$261</f>
        <v>Directly attributable emissions (DirEm*)</v>
      </c>
      <c r="F574" s="201"/>
      <c r="G574" s="201"/>
      <c r="H574" s="201"/>
      <c r="I574" s="201"/>
      <c r="J574" s="201"/>
      <c r="K574" s="205" t="str">
        <f>CONST_tCO2eq</f>
        <v>tCO2e</v>
      </c>
      <c r="L574" s="213"/>
      <c r="M574" s="195"/>
      <c r="N574" s="196"/>
      <c r="O574" s="902"/>
      <c r="P574" s="144"/>
      <c r="R574" s="102" t="str">
        <f>CONST_EmDir&amp;G531</f>
        <v>EmDir_</v>
      </c>
      <c r="S574" s="102" t="str">
        <f>CONST_CNTR_EmbedEmDir&amp;G531</f>
        <v>EmbedEmDir_</v>
      </c>
      <c r="T574" s="124" t="str">
        <f>IF(G531="","",L574)</f>
        <v/>
      </c>
      <c r="V574" s="157" t="str">
        <f>IF(L531&lt;&gt;"",IF(L574&lt;&gt;"",TRUE,CONST_ErrorOrMissing&amp;C531),CONST_NA)</f>
        <v>n.a.</v>
      </c>
      <c r="X574" s="104"/>
    </row>
    <row r="575" spans="1:24" ht="5.15" customHeight="1" x14ac:dyDescent="0.35">
      <c r="C575" s="192"/>
      <c r="D575" s="204"/>
      <c r="E575" s="198"/>
      <c r="F575" s="195"/>
      <c r="G575" s="195"/>
      <c r="H575" s="195"/>
      <c r="I575" s="195"/>
      <c r="J575" s="195"/>
      <c r="K575" s="195"/>
      <c r="L575" s="199"/>
      <c r="M575" s="199"/>
      <c r="N575" s="196"/>
      <c r="O575" s="901"/>
      <c r="P575" s="144"/>
      <c r="T575" s="712"/>
    </row>
    <row r="576" spans="1:24" ht="12.75" customHeight="1" x14ac:dyDescent="0.35">
      <c r="C576" s="192"/>
      <c r="D576" s="199" t="s">
        <v>414</v>
      </c>
      <c r="E576" s="198" t="str">
        <f>Translations!$B$262</f>
        <v>Import and export of measurable heat</v>
      </c>
      <c r="F576" s="195"/>
      <c r="G576" s="195"/>
      <c r="H576" s="195"/>
      <c r="I576" s="195"/>
      <c r="J576" s="195"/>
      <c r="K576" s="199" t="str">
        <f>Translations!$B$221</f>
        <v>Unit</v>
      </c>
      <c r="L576" s="199" t="str">
        <f>Translations!$B$263</f>
        <v>Imported</v>
      </c>
      <c r="M576" s="199" t="str">
        <f>Translations!$B$264</f>
        <v>Exported</v>
      </c>
      <c r="N576" s="196"/>
      <c r="O576" s="901"/>
      <c r="P576" s="144"/>
      <c r="T576" s="712"/>
      <c r="W576" s="104" t="s">
        <v>34</v>
      </c>
      <c r="X576" s="102" t="b">
        <f>AND(K570&lt;&gt;"",K570=FALSE)</f>
        <v>0</v>
      </c>
    </row>
    <row r="577" spans="3:24" ht="12.75" customHeight="1" x14ac:dyDescent="0.35">
      <c r="C577" s="192"/>
      <c r="D577" s="197" t="s">
        <v>41</v>
      </c>
      <c r="E577" s="201" t="str">
        <f>Translations!$B$265</f>
        <v>Amount of net measurable heat</v>
      </c>
      <c r="F577" s="201"/>
      <c r="G577" s="201"/>
      <c r="H577" s="201"/>
      <c r="I577" s="201"/>
      <c r="J577" s="201"/>
      <c r="K577" s="205" t="s">
        <v>118</v>
      </c>
      <c r="L577" s="213"/>
      <c r="M577" s="213"/>
      <c r="N577" s="196"/>
      <c r="O577" s="902"/>
      <c r="P577" s="144"/>
      <c r="T577" s="712"/>
      <c r="V577" s="157" t="str">
        <f>IF(AND(L531&lt;&gt;"",X577=FALSE),IF(COUNTA(L577:M577)=2,TRUE,CONST_ErrorOrMissing&amp;C531),CONST_NA)</f>
        <v>n.a.</v>
      </c>
      <c r="X577" s="102" t="b">
        <f>X576</f>
        <v>0</v>
      </c>
    </row>
    <row r="578" spans="3:24" ht="12.75" customHeight="1" x14ac:dyDescent="0.35">
      <c r="C578" s="192"/>
      <c r="D578" s="197" t="s">
        <v>42</v>
      </c>
      <c r="E578" s="201" t="str">
        <f>Translations!$B$266</f>
        <v>Emissions factor</v>
      </c>
      <c r="F578" s="201"/>
      <c r="G578" s="201"/>
      <c r="H578" s="201"/>
      <c r="I578" s="201"/>
      <c r="J578" s="201"/>
      <c r="K578" s="205" t="str">
        <f>CONST_tCO2pTJ</f>
        <v>tCO2/TJ</v>
      </c>
      <c r="L578" s="214"/>
      <c r="M578" s="214"/>
      <c r="N578" s="196"/>
      <c r="O578" s="902"/>
      <c r="P578" s="144"/>
      <c r="R578" s="102" t="str">
        <f>CONST_EmDirHeat&amp;G531</f>
        <v>EmDirHeat_</v>
      </c>
      <c r="S578" s="102" t="str">
        <f>CONST_CNTR_EmbedEmDir&amp;G531</f>
        <v>EmbedEmDir_</v>
      </c>
      <c r="T578" s="124" t="str">
        <f>IF(G531="","",SUM(L577*L578-M577*M578))</f>
        <v/>
      </c>
      <c r="V578" s="157" t="str">
        <f>IF(AND(L531&lt;&gt;"",X578=FALSE),IF(COUNTA(L578:M578)=2,TRUE,CONST_ErrorOrMissing&amp;C531),CONST_NA)</f>
        <v>n.a.</v>
      </c>
      <c r="X578" s="102" t="b">
        <f>X577</f>
        <v>0</v>
      </c>
    </row>
    <row r="579" spans="3:24" ht="5.15" customHeight="1" x14ac:dyDescent="0.35">
      <c r="C579" s="192"/>
      <c r="D579" s="204"/>
      <c r="E579" s="198"/>
      <c r="F579" s="195"/>
      <c r="G579" s="195"/>
      <c r="H579" s="195"/>
      <c r="I579" s="195"/>
      <c r="J579" s="195"/>
      <c r="K579" s="195"/>
      <c r="L579" s="199"/>
      <c r="M579" s="199"/>
      <c r="N579" s="196"/>
      <c r="O579" s="901"/>
      <c r="P579" s="144"/>
      <c r="T579" s="712"/>
    </row>
    <row r="580" spans="3:24" ht="12.75" customHeight="1" x14ac:dyDescent="0.35">
      <c r="C580" s="192"/>
      <c r="D580" s="199" t="s">
        <v>415</v>
      </c>
      <c r="E580" s="198" t="str">
        <f>Translations!$B$256</f>
        <v>Waste gases</v>
      </c>
      <c r="F580" s="195"/>
      <c r="G580" s="195"/>
      <c r="H580" s="195"/>
      <c r="I580" s="195"/>
      <c r="J580" s="195"/>
      <c r="K580" s="199" t="str">
        <f>Translations!$B$221</f>
        <v>Unit</v>
      </c>
      <c r="L580" s="199" t="str">
        <f>Translations!$B$263</f>
        <v>Imported</v>
      </c>
      <c r="M580" s="199" t="str">
        <f>Translations!$B$264</f>
        <v>Exported</v>
      </c>
      <c r="N580" s="196"/>
      <c r="O580" s="901"/>
      <c r="P580" s="144"/>
      <c r="T580" s="712"/>
      <c r="W580" s="104" t="s">
        <v>34</v>
      </c>
      <c r="X580" s="102" t="b">
        <f>AND(L570&lt;&gt;"",L570=FALSE)</f>
        <v>0</v>
      </c>
    </row>
    <row r="581" spans="3:24" ht="12.75" customHeight="1" x14ac:dyDescent="0.35">
      <c r="C581" s="192"/>
      <c r="D581" s="197" t="s">
        <v>41</v>
      </c>
      <c r="E581" s="201" t="str">
        <f>Translations!$B$267</f>
        <v>Amount of waste gas</v>
      </c>
      <c r="F581" s="201"/>
      <c r="G581" s="201"/>
      <c r="H581" s="201"/>
      <c r="I581" s="201"/>
      <c r="J581" s="201"/>
      <c r="K581" s="205" t="str">
        <f>CONST_TJ</f>
        <v>TJ</v>
      </c>
      <c r="L581" s="213"/>
      <c r="M581" s="213"/>
      <c r="N581" s="196"/>
      <c r="O581" s="902"/>
      <c r="P581" s="144"/>
      <c r="T581" s="712"/>
      <c r="V581" s="157" t="str">
        <f>IF(AND(L531&lt;&gt;"",X581=FALSE),IF(COUNTA(L581:M581)=2,TRUE,CONST_ErrorOrMissing&amp;C531),CONST_NA)</f>
        <v>n.a.</v>
      </c>
      <c r="X581" s="102" t="b">
        <f>X580</f>
        <v>0</v>
      </c>
    </row>
    <row r="582" spans="3:24" ht="12.75" customHeight="1" x14ac:dyDescent="0.35">
      <c r="C582" s="192"/>
      <c r="D582" s="197" t="s">
        <v>42</v>
      </c>
      <c r="E582" s="201" t="str">
        <f>Translations!$B$268</f>
        <v>Emission factor</v>
      </c>
      <c r="F582" s="201"/>
      <c r="G582" s="201"/>
      <c r="H582" s="201"/>
      <c r="I582" s="201"/>
      <c r="J582" s="201"/>
      <c r="K582" s="205" t="str">
        <f>CONST_tCO2pTJ</f>
        <v>tCO2/TJ</v>
      </c>
      <c r="L582" s="300"/>
      <c r="M582" s="300"/>
      <c r="N582" s="196"/>
      <c r="O582" s="901"/>
      <c r="P582" s="144"/>
      <c r="R582" s="102" t="str">
        <f>CONST_EmDirWasteGases&amp;G531</f>
        <v>EmDirWG_</v>
      </c>
      <c r="S582" s="102" t="str">
        <f>CONST_CNTR_EmbedEmDir&amp;G531</f>
        <v>EmbedEmDir_</v>
      </c>
      <c r="T582" s="124" t="str">
        <f>IF(G531="","",SUM(L581*CONST_EFNatGas-M581*CONST_EFNatGas*0.667))</f>
        <v/>
      </c>
      <c r="X582" s="102" t="b">
        <f>X581</f>
        <v>0</v>
      </c>
    </row>
    <row r="583" spans="3:24" ht="5.15" customHeight="1" x14ac:dyDescent="0.35">
      <c r="C583" s="192"/>
      <c r="D583" s="204"/>
      <c r="E583" s="198"/>
      <c r="F583" s="195"/>
      <c r="G583" s="195"/>
      <c r="H583" s="195"/>
      <c r="I583" s="195"/>
      <c r="J583" s="195"/>
      <c r="K583" s="195"/>
      <c r="L583" s="195"/>
      <c r="M583" s="195"/>
      <c r="N583" s="196"/>
      <c r="O583" s="901"/>
      <c r="P583" s="144"/>
      <c r="T583" s="712"/>
    </row>
    <row r="584" spans="3:24" ht="12.75" customHeight="1" x14ac:dyDescent="0.35">
      <c r="C584" s="192"/>
      <c r="D584" s="199" t="s">
        <v>416</v>
      </c>
      <c r="E584" s="198" t="str">
        <f>Translations!$B$269</f>
        <v>Indirect emissions from electricity consumption</v>
      </c>
      <c r="F584" s="195"/>
      <c r="G584" s="195"/>
      <c r="H584" s="195"/>
      <c r="I584" s="195"/>
      <c r="J584" s="195"/>
      <c r="K584" s="199" t="str">
        <f>Translations!$B$221</f>
        <v>Unit</v>
      </c>
      <c r="L584" s="199" t="str">
        <f>Translations!$B$260</f>
        <v>Value</v>
      </c>
      <c r="M584" s="195"/>
      <c r="N584" s="196"/>
      <c r="O584" s="901"/>
      <c r="P584" s="144"/>
      <c r="T584" s="712"/>
      <c r="W584" s="104" t="s">
        <v>34</v>
      </c>
      <c r="X584" s="102" t="b">
        <f>M570=FALSE</f>
        <v>0</v>
      </c>
    </row>
    <row r="585" spans="3:24" ht="12.75" customHeight="1" x14ac:dyDescent="0.35">
      <c r="C585" s="192"/>
      <c r="D585" s="197" t="s">
        <v>41</v>
      </c>
      <c r="E585" s="201" t="str">
        <f>Translations!$B$270</f>
        <v>Electricity consumption</v>
      </c>
      <c r="F585" s="201"/>
      <c r="G585" s="201"/>
      <c r="H585" s="201"/>
      <c r="I585" s="201"/>
      <c r="J585" s="201"/>
      <c r="K585" s="205" t="str">
        <f>CONST_MWh</f>
        <v>MWh</v>
      </c>
      <c r="L585" s="213"/>
      <c r="M585" s="195"/>
      <c r="N585" s="196"/>
      <c r="O585" s="902"/>
      <c r="P585" s="144"/>
      <c r="R585" s="102" t="str">
        <f>CONST_ElecConsumption&amp;G531</f>
        <v>ElecCons_</v>
      </c>
      <c r="T585" s="124" t="str">
        <f>IF(G531="","",L585)</f>
        <v/>
      </c>
      <c r="V585" s="157" t="str">
        <f>IF(AND(L531&lt;&gt;"",X585=FALSE),IF(L585&lt;&gt;"",TRUE,CONST_ErrorOrMissing&amp;C531),CONST_NA)</f>
        <v>n.a.</v>
      </c>
      <c r="X585" s="102" t="b">
        <f>X584</f>
        <v>0</v>
      </c>
    </row>
    <row r="586" spans="3:24" ht="12.75" customHeight="1" x14ac:dyDescent="0.35">
      <c r="C586" s="192"/>
      <c r="D586" s="197" t="s">
        <v>42</v>
      </c>
      <c r="E586" s="201" t="str">
        <f>Translations!$B$271</f>
        <v>Emission factor of the electricity</v>
      </c>
      <c r="F586" s="201"/>
      <c r="G586" s="201"/>
      <c r="H586" s="201"/>
      <c r="I586" s="201"/>
      <c r="J586" s="201"/>
      <c r="K586" s="205" t="str">
        <f>CONST_tCO2&amp;"/"&amp;CONST_MWh</f>
        <v>tCO2/MWh</v>
      </c>
      <c r="L586" s="215"/>
      <c r="M586" s="195"/>
      <c r="N586" s="196"/>
      <c r="O586" s="902"/>
      <c r="P586" s="144"/>
      <c r="S586" s="102" t="str">
        <f>CONST_CNTR_EmbedEmInDir&amp;G531</f>
        <v>EmbedEmInDir_</v>
      </c>
      <c r="T586" s="124" t="str">
        <f>IF(G531="","",SUM(L585)*SUM(L586))</f>
        <v/>
      </c>
      <c r="V586" s="157" t="str">
        <f>IF(AND(L531&lt;&gt;"",X586=FALSE),IF(L586&lt;&gt;"",TRUE,CONST_ErrorOrMissing&amp;C531),CONST_NA)</f>
        <v>n.a.</v>
      </c>
      <c r="X586" s="102" t="b">
        <f>X585</f>
        <v>0</v>
      </c>
    </row>
    <row r="587" spans="3:24" ht="12.75" customHeight="1" x14ac:dyDescent="0.35">
      <c r="C587" s="192"/>
      <c r="D587" s="197" t="s">
        <v>43</v>
      </c>
      <c r="E587" s="201" t="str">
        <f>Translations!$B$272</f>
        <v>Source of the emission factor</v>
      </c>
      <c r="F587" s="201"/>
      <c r="G587" s="201"/>
      <c r="H587" s="201"/>
      <c r="I587" s="201"/>
      <c r="J587" s="201"/>
      <c r="K587" s="299" t="s">
        <v>206</v>
      </c>
      <c r="L587" s="215"/>
      <c r="M587" s="195"/>
      <c r="N587" s="196"/>
      <c r="O587" s="902"/>
      <c r="P587" s="144"/>
      <c r="R587" s="102" t="str">
        <f>CONST_CNTR_ElecEFMethod&amp;G531</f>
        <v>ElecEFMeth_</v>
      </c>
      <c r="T587" s="714" t="str">
        <f>IF(L587="","",L587)</f>
        <v/>
      </c>
      <c r="V587" s="157" t="str">
        <f>IF(AND(L531&lt;&gt;"",X587=FALSE),IF(L587&lt;&gt;"",TRUE,CONST_ErrorOrMissing&amp;C531),CONST_NA)</f>
        <v>n.a.</v>
      </c>
      <c r="X587" s="102" t="b">
        <f>X586</f>
        <v>0</v>
      </c>
    </row>
    <row r="588" spans="3:24" ht="5.15" customHeight="1" x14ac:dyDescent="0.35">
      <c r="C588" s="192"/>
      <c r="D588" s="204"/>
      <c r="E588" s="198"/>
      <c r="F588" s="195"/>
      <c r="G588" s="195"/>
      <c r="H588" s="195"/>
      <c r="I588" s="195"/>
      <c r="J588" s="195"/>
      <c r="K588" s="195"/>
      <c r="L588" s="195"/>
      <c r="M588" s="195"/>
      <c r="N588" s="196"/>
      <c r="O588" s="901"/>
      <c r="P588" s="144"/>
      <c r="T588" s="712"/>
    </row>
    <row r="589" spans="3:24" ht="12.75" customHeight="1" x14ac:dyDescent="0.35">
      <c r="C589" s="192"/>
      <c r="D589" s="204"/>
      <c r="E589" s="198"/>
      <c r="F589" s="195"/>
      <c r="G589" s="195"/>
      <c r="H589" s="195"/>
      <c r="I589" s="195"/>
      <c r="J589" s="195"/>
      <c r="K589" s="195"/>
      <c r="L589" s="195"/>
      <c r="M589" s="195"/>
      <c r="N589" s="196"/>
      <c r="O589" s="901"/>
      <c r="P589" s="144"/>
      <c r="T589" s="712"/>
      <c r="X589" s="171"/>
    </row>
    <row r="590" spans="3:24" ht="12.75" customHeight="1" x14ac:dyDescent="0.35">
      <c r="C590" s="192"/>
      <c r="D590" s="199" t="s">
        <v>417</v>
      </c>
      <c r="E590" s="198" t="str">
        <f>Translations!$B$273</f>
        <v>Electricity exported from the production process</v>
      </c>
      <c r="F590" s="195"/>
      <c r="G590" s="195"/>
      <c r="H590" s="195"/>
      <c r="I590" s="195"/>
      <c r="J590" s="195"/>
      <c r="K590" s="199" t="str">
        <f>Translations!$B$221</f>
        <v>Unit</v>
      </c>
      <c r="L590" s="199" t="str">
        <f>Translations!$B$260</f>
        <v>Value</v>
      </c>
      <c r="M590" s="195"/>
      <c r="N590" s="196"/>
      <c r="O590" s="901"/>
      <c r="P590" s="144"/>
      <c r="T590" s="712"/>
      <c r="X590" s="171"/>
    </row>
    <row r="591" spans="3:24" ht="12.75" customHeight="1" x14ac:dyDescent="0.35">
      <c r="C591" s="192"/>
      <c r="D591" s="197" t="s">
        <v>41</v>
      </c>
      <c r="E591" s="201" t="str">
        <f>Translations!$B$274</f>
        <v>Amounts exported</v>
      </c>
      <c r="F591" s="201"/>
      <c r="G591" s="201"/>
      <c r="H591" s="201"/>
      <c r="I591" s="201"/>
      <c r="J591" s="201"/>
      <c r="K591" s="205" t="s">
        <v>51</v>
      </c>
      <c r="L591" s="213"/>
      <c r="M591" s="195"/>
      <c r="N591" s="196"/>
      <c r="O591" s="902"/>
      <c r="P591" s="144"/>
      <c r="T591" s="712"/>
      <c r="V591" s="157" t="str">
        <f>IF(L531&lt;&gt;"",IF(L591&lt;&gt;"",TRUE,CONST_ErrorOrMissing&amp;C531),CONST_NA)</f>
        <v>n.a.</v>
      </c>
      <c r="X591" s="171"/>
    </row>
    <row r="592" spans="3:24" ht="12.75" customHeight="1" x14ac:dyDescent="0.35">
      <c r="C592" s="192"/>
      <c r="D592" s="197" t="s">
        <v>42</v>
      </c>
      <c r="E592" s="201" t="str">
        <f>Translations!$B$271</f>
        <v>Emission factor of the electricity</v>
      </c>
      <c r="F592" s="201"/>
      <c r="G592" s="201"/>
      <c r="H592" s="201"/>
      <c r="I592" s="201"/>
      <c r="J592" s="201"/>
      <c r="K592" s="205" t="str">
        <f>CONST_tCO2&amp;"/"&amp;CONST_MWh</f>
        <v>tCO2/MWh</v>
      </c>
      <c r="L592" s="215"/>
      <c r="M592" s="195"/>
      <c r="N592" s="196"/>
      <c r="O592" s="902"/>
      <c r="P592" s="144"/>
      <c r="S592" s="102" t="str">
        <f>CONST_CNTR_EmbedEmDir&amp;G531</f>
        <v>EmbedEmDir_</v>
      </c>
      <c r="T592" s="124" t="str">
        <f>IF(G531="","",-SUM(L591)*SUM(L592))</f>
        <v/>
      </c>
      <c r="V592" s="157" t="str">
        <f>IF(AND(L531&lt;&gt;"",SUM(L591)&gt;0),IF(L592&lt;&gt;"",TRUE,CONST_ErrorOrMissing&amp;C531),CONST_NA)</f>
        <v>n.a.</v>
      </c>
      <c r="X592" s="171"/>
    </row>
    <row r="593" spans="1:24" s="144" customFormat="1" ht="12.75" customHeight="1" thickBot="1" x14ac:dyDescent="0.4">
      <c r="A593" s="91"/>
      <c r="B593" s="93"/>
      <c r="C593" s="206"/>
      <c r="D593" s="207"/>
      <c r="E593" s="208"/>
      <c r="F593" s="209"/>
      <c r="G593" s="209"/>
      <c r="H593" s="209"/>
      <c r="I593" s="209"/>
      <c r="J593" s="209"/>
      <c r="K593" s="209"/>
      <c r="L593" s="209"/>
      <c r="M593" s="209"/>
      <c r="N593" s="210"/>
      <c r="O593" s="901"/>
      <c r="Q593" s="93"/>
      <c r="R593" s="91"/>
      <c r="S593" s="91"/>
      <c r="T593" s="712"/>
      <c r="U593" s="91"/>
      <c r="V593" s="91"/>
      <c r="W593" s="104"/>
      <c r="X593" s="91"/>
    </row>
    <row r="594" spans="1:24" s="144" customFormat="1" ht="12.75" customHeight="1" thickBot="1" x14ac:dyDescent="0.4">
      <c r="A594" s="91"/>
      <c r="B594" s="93"/>
      <c r="C594" s="93"/>
      <c r="D594" s="93"/>
      <c r="E594" s="93"/>
      <c r="F594" s="93"/>
      <c r="G594" s="93"/>
      <c r="H594" s="93"/>
      <c r="I594" s="93"/>
      <c r="J594" s="93"/>
      <c r="K594" s="93"/>
      <c r="L594" s="93"/>
      <c r="M594" s="93"/>
      <c r="N594" s="93"/>
      <c r="O594" s="901"/>
      <c r="Q594" s="93"/>
      <c r="R594" s="91"/>
      <c r="S594" s="91"/>
      <c r="T594" s="712"/>
      <c r="U594" s="91"/>
      <c r="V594" s="91"/>
      <c r="W594" s="104"/>
      <c r="X594" s="91"/>
    </row>
    <row r="595" spans="1:24" ht="12.75" customHeight="1" thickBot="1" x14ac:dyDescent="0.4">
      <c r="B595" s="145"/>
      <c r="C595" s="145"/>
      <c r="D595" s="145"/>
      <c r="E595" s="145"/>
      <c r="F595" s="145"/>
      <c r="G595" s="145"/>
      <c r="H595" s="145"/>
      <c r="I595" s="145"/>
      <c r="J595" s="145"/>
      <c r="K595" s="145"/>
      <c r="L595" s="145"/>
      <c r="M595" s="145"/>
      <c r="N595" s="145"/>
      <c r="O595" s="903"/>
      <c r="P595" s="144"/>
      <c r="T595" s="712"/>
    </row>
    <row r="596" spans="1:24" ht="18" customHeight="1" thickBot="1" x14ac:dyDescent="0.4">
      <c r="C596" s="147">
        <f>C531+1</f>
        <v>10</v>
      </c>
      <c r="D596" s="148" t="str">
        <f>CONST_ProductionProcess &amp; " " &amp; C596 &amp; ":"</f>
        <v>Production process 10:</v>
      </c>
      <c r="G596" s="1313" t="str">
        <f>IF(INDEX(CNTR_List_ExistProdProcNames,R596)=CONST_NA,"",INDEX(CNTR_List_ExistProdProcNames,R596))</f>
        <v/>
      </c>
      <c r="H596" s="1314"/>
      <c r="I596" s="1314"/>
      <c r="J596" s="1314"/>
      <c r="K596" s="1315"/>
      <c r="L596" s="1316" t="str">
        <f>IF(INDEX(CNTR_List_ExistProdProc,R596)=CONST_NA,"",INDEX(CNTR_List_ExistProdProc,R596))</f>
        <v/>
      </c>
      <c r="M596" s="1317"/>
      <c r="N596" s="1318"/>
      <c r="O596" s="901"/>
      <c r="P596" s="144"/>
      <c r="R596" s="149">
        <f>C596</f>
        <v>10</v>
      </c>
      <c r="T596" s="712"/>
      <c r="W596" s="104" t="s">
        <v>2748</v>
      </c>
      <c r="X596" s="150" t="b">
        <f>AND(CNTR_HasEntriesA,G596="")</f>
        <v>0</v>
      </c>
    </row>
    <row r="597" spans="1:24" ht="5.15" customHeight="1" x14ac:dyDescent="0.35">
      <c r="D597" s="103"/>
      <c r="E597" s="100"/>
      <c r="O597" s="901"/>
      <c r="P597" s="144"/>
      <c r="T597" s="712"/>
    </row>
    <row r="598" spans="1:24" ht="12.75" customHeight="1" x14ac:dyDescent="0.35">
      <c r="D598" s="103"/>
      <c r="E598" s="1290" t="str">
        <f ca="1">HYPERLINK("#"&amp;ADDRESS(MATCH($S598,G_FurtherGuidance!$S:$S,0),3,,,G_FurtherGuidance!$U$2),CONST_LinkToGuidanceSheet)</f>
        <v>Please click on this link for further guidance on how to complete this section.</v>
      </c>
      <c r="F598" s="1319"/>
      <c r="G598" s="1319"/>
      <c r="H598" s="1319"/>
      <c r="I598" s="1319"/>
      <c r="J598" s="1319"/>
      <c r="K598" s="1319"/>
      <c r="L598" s="1319"/>
      <c r="M598" s="1319"/>
      <c r="O598" s="901"/>
      <c r="P598" s="144"/>
      <c r="R598" s="104" t="s">
        <v>2771</v>
      </c>
      <c r="S598" s="105">
        <v>3</v>
      </c>
      <c r="T598" s="712"/>
    </row>
    <row r="599" spans="1:24" ht="5.15" customHeight="1" x14ac:dyDescent="0.35">
      <c r="D599" s="103"/>
      <c r="E599" s="100"/>
      <c r="O599" s="901"/>
      <c r="P599" s="144"/>
      <c r="T599" s="712"/>
    </row>
    <row r="600" spans="1:24" ht="12.75" customHeight="1" x14ac:dyDescent="0.35">
      <c r="D600" s="117" t="s">
        <v>135</v>
      </c>
      <c r="E600" s="100" t="str">
        <f>Translations!$B$243</f>
        <v>Total production levels:</v>
      </c>
      <c r="H600" s="151" t="str">
        <f>Translations!$B$244</f>
        <v>Production route</v>
      </c>
      <c r="J600" s="144"/>
      <c r="K600" s="152" t="str">
        <f>Translations!$B$221</f>
        <v>Unit</v>
      </c>
      <c r="L600" s="152" t="str">
        <f>Translations!$B$245</f>
        <v>Amounts</v>
      </c>
      <c r="O600" s="901"/>
      <c r="P600" s="144"/>
      <c r="T600" s="712"/>
    </row>
    <row r="601" spans="1:24" ht="12.75" customHeight="1" x14ac:dyDescent="0.35">
      <c r="D601" s="173">
        <v>1</v>
      </c>
      <c r="E601" s="153" t="str">
        <f>IF(G596="","",G596) &amp; IF(L596="",""," | " &amp; L596)</f>
        <v/>
      </c>
      <c r="F601" s="153"/>
      <c r="G601" s="153"/>
      <c r="H601" s="154" t="str">
        <f>IF(L596="","",INDEX(CONST_MATRIX_ProductionRoute,MATCH(L596,CONST_LIST_Goods,0),D601))</f>
        <v/>
      </c>
      <c r="I601" s="153"/>
      <c r="J601" s="153"/>
      <c r="K601" s="155" t="str">
        <f>IF(L596="","",INDEX(CONST_LIST_GoodsUnit,MATCH(L596,CONST_LIST_Goods,0)))</f>
        <v/>
      </c>
      <c r="L601" s="29"/>
      <c r="O601" s="902"/>
      <c r="P601" s="144"/>
      <c r="S601" s="105">
        <v>1</v>
      </c>
      <c r="T601" s="713"/>
      <c r="V601" s="157" t="str">
        <f>IF(AND(G596&lt;&gt;"",E601&lt;&gt;"",L601&lt;&gt;""),TRUE,IF(AND(G596&lt;&gt;"",OR(AND(E601&lt;&gt;"",L601=""),AND(E601="",L601&lt;&gt;""))),CONST_ErrorOrMissing&amp;C596,CONST_NA))</f>
        <v>n.a.</v>
      </c>
    </row>
    <row r="602" spans="1:24" ht="12.75" customHeight="1" x14ac:dyDescent="0.35">
      <c r="D602" s="173">
        <v>2</v>
      </c>
      <c r="E602" s="158" t="str">
        <f t="shared" ref="E602:E608" si="36">IF(H602=CONST_NA,"",E601)</f>
        <v/>
      </c>
      <c r="F602" s="158"/>
      <c r="G602" s="158"/>
      <c r="H602" s="159" t="str">
        <f>IF(L596="","",INDEX(CONST_MATRIX_ProductionRoute,MATCH(L596,CONST_LIST_Goods,0),D602))</f>
        <v/>
      </c>
      <c r="I602" s="158"/>
      <c r="J602" s="158"/>
      <c r="K602" s="160" t="str">
        <f t="shared" ref="K602:K608" si="37">IF(H602=CONST_NA,"",K601)</f>
        <v/>
      </c>
      <c r="L602" s="30"/>
      <c r="O602" s="902"/>
      <c r="P602" s="144"/>
      <c r="S602" s="105">
        <v>2</v>
      </c>
      <c r="T602" s="713"/>
      <c r="V602" s="157" t="str">
        <f>IF(AND(G596&lt;&gt;"",E602&lt;&gt;"",L602&lt;&gt;""),TRUE,IF(AND(G596&lt;&gt;"",OR(AND(E602&lt;&gt;"",L602=""),AND(E602="",L602&lt;&gt;""))),CONST_ErrorOrMissing&amp;C596,CONST_NA))</f>
        <v>n.a.</v>
      </c>
    </row>
    <row r="603" spans="1:24" ht="12.75" customHeight="1" x14ac:dyDescent="0.35">
      <c r="D603" s="173">
        <v>3</v>
      </c>
      <c r="E603" s="158" t="str">
        <f t="shared" si="36"/>
        <v/>
      </c>
      <c r="F603" s="158"/>
      <c r="G603" s="158"/>
      <c r="H603" s="159" t="str">
        <f>IF(L596="","",INDEX(CONST_MATRIX_ProductionRoute,MATCH(L596,CONST_LIST_Goods,0),D603))</f>
        <v/>
      </c>
      <c r="I603" s="158"/>
      <c r="J603" s="158"/>
      <c r="K603" s="160" t="str">
        <f t="shared" si="37"/>
        <v/>
      </c>
      <c r="L603" s="30"/>
      <c r="O603" s="902"/>
      <c r="P603" s="144"/>
      <c r="S603" s="105">
        <v>3</v>
      </c>
      <c r="T603" s="713"/>
      <c r="V603" s="157" t="str">
        <f>IF(AND(G596&lt;&gt;"",E603&lt;&gt;"",L603&lt;&gt;""),TRUE,IF(AND(G596&lt;&gt;"",OR(AND(E603&lt;&gt;"",L603=""),AND(E603="",L603&lt;&gt;""))),CONST_ErrorOrMissing&amp;C596,CONST_NA))</f>
        <v>n.a.</v>
      </c>
    </row>
    <row r="604" spans="1:24" ht="12.75" customHeight="1" x14ac:dyDescent="0.35">
      <c r="D604" s="173">
        <v>4</v>
      </c>
      <c r="E604" s="158" t="str">
        <f t="shared" si="36"/>
        <v/>
      </c>
      <c r="F604" s="158"/>
      <c r="G604" s="158"/>
      <c r="H604" s="159" t="str">
        <f>IF(L596="","",INDEX(CONST_MATRIX_ProductionRoute,MATCH(L596,CONST_LIST_Goods,0),D604))</f>
        <v/>
      </c>
      <c r="I604" s="158"/>
      <c r="J604" s="158"/>
      <c r="K604" s="160" t="str">
        <f t="shared" si="37"/>
        <v/>
      </c>
      <c r="L604" s="30"/>
      <c r="O604" s="902"/>
      <c r="P604" s="144"/>
      <c r="S604" s="105">
        <v>4</v>
      </c>
      <c r="T604" s="713"/>
      <c r="V604" s="157" t="str">
        <f>IF(AND(G596&lt;&gt;"",E604&lt;&gt;"",L604&lt;&gt;""),TRUE,IF(AND(G596&lt;&gt;"",OR(AND(E604&lt;&gt;"",L604=""),AND(E604="",L604&lt;&gt;""))),CONST_ErrorOrMissing&amp;C596,CONST_NA))</f>
        <v>n.a.</v>
      </c>
    </row>
    <row r="605" spans="1:24" ht="12.75" customHeight="1" x14ac:dyDescent="0.35">
      <c r="D605" s="173">
        <v>5</v>
      </c>
      <c r="E605" s="158" t="str">
        <f t="shared" si="36"/>
        <v/>
      </c>
      <c r="F605" s="158"/>
      <c r="G605" s="158"/>
      <c r="H605" s="159" t="str">
        <f>IF(L596="","",INDEX(CONST_MATRIX_ProductionRoute,MATCH(L596,CONST_LIST_Goods,0),D605))</f>
        <v/>
      </c>
      <c r="I605" s="158"/>
      <c r="J605" s="158"/>
      <c r="K605" s="160" t="str">
        <f t="shared" si="37"/>
        <v/>
      </c>
      <c r="L605" s="30"/>
      <c r="O605" s="902"/>
      <c r="P605" s="144"/>
      <c r="S605" s="105">
        <v>5</v>
      </c>
      <c r="T605" s="713"/>
      <c r="V605" s="157" t="str">
        <f>IF(AND(G596&lt;&gt;"",E605&lt;&gt;"",L605&lt;&gt;""),TRUE,IF(AND(G596&lt;&gt;"",OR(AND(E605&lt;&gt;"",L605=""),AND(E605="",L605&lt;&gt;""))),CONST_ErrorOrMissing&amp;C596,CONST_NA))</f>
        <v>n.a.</v>
      </c>
    </row>
    <row r="606" spans="1:24" ht="12.75" customHeight="1" x14ac:dyDescent="0.35">
      <c r="D606" s="173">
        <v>6</v>
      </c>
      <c r="E606" s="158" t="str">
        <f t="shared" si="36"/>
        <v/>
      </c>
      <c r="F606" s="158"/>
      <c r="G606" s="158"/>
      <c r="H606" s="159" t="str">
        <f>IF(L596="","",INDEX(CONST_MATRIX_ProductionRoute,MATCH(L596,CONST_LIST_Goods,0),D606))</f>
        <v/>
      </c>
      <c r="I606" s="158"/>
      <c r="J606" s="158"/>
      <c r="K606" s="160" t="str">
        <f t="shared" si="37"/>
        <v/>
      </c>
      <c r="L606" s="30"/>
      <c r="O606" s="902"/>
      <c r="P606" s="144"/>
      <c r="S606" s="105">
        <v>6</v>
      </c>
      <c r="T606" s="713"/>
      <c r="V606" s="157" t="str">
        <f>IF(AND(G596&lt;&gt;"",E606&lt;&gt;"",L606&lt;&gt;""),TRUE,IF(AND(G596&lt;&gt;"",OR(AND(E606&lt;&gt;"",L606=""),AND(E606="",L606&lt;&gt;""))),CONST_ErrorOrMissing&amp;C596,CONST_NA))</f>
        <v>n.a.</v>
      </c>
    </row>
    <row r="607" spans="1:24" ht="12.75" customHeight="1" x14ac:dyDescent="0.35">
      <c r="D607" s="173">
        <v>7</v>
      </c>
      <c r="E607" s="158" t="str">
        <f t="shared" si="36"/>
        <v/>
      </c>
      <c r="F607" s="158"/>
      <c r="G607" s="158"/>
      <c r="H607" s="159" t="str">
        <f>IF(L596="","",INDEX(CONST_MATRIX_ProductionRoute,MATCH(L596,CONST_LIST_Goods,0),D607))</f>
        <v/>
      </c>
      <c r="I607" s="158"/>
      <c r="J607" s="158"/>
      <c r="K607" s="160" t="str">
        <f t="shared" si="37"/>
        <v/>
      </c>
      <c r="L607" s="30"/>
      <c r="O607" s="902"/>
      <c r="P607" s="144"/>
      <c r="S607" s="105">
        <v>7</v>
      </c>
      <c r="T607" s="713"/>
      <c r="V607" s="157" t="str">
        <f>IF(AND(G596&lt;&gt;"",E607&lt;&gt;"",L607&lt;&gt;""),TRUE,IF(AND(G596&lt;&gt;"",OR(AND(E607&lt;&gt;"",L607=""),AND(E607="",L607&lt;&gt;""))),CONST_ErrorOrMissing&amp;C596,CONST_NA))</f>
        <v>n.a.</v>
      </c>
    </row>
    <row r="608" spans="1:24" ht="12.75" customHeight="1" x14ac:dyDescent="0.35">
      <c r="D608" s="173">
        <v>8</v>
      </c>
      <c r="E608" s="161" t="str">
        <f t="shared" si="36"/>
        <v/>
      </c>
      <c r="F608" s="161"/>
      <c r="G608" s="161"/>
      <c r="H608" s="162" t="str">
        <f>IF(L596="","",INDEX(CONST_MATRIX_ProductionRoute,MATCH(L596,CONST_LIST_Goods,0),D608))</f>
        <v/>
      </c>
      <c r="I608" s="161"/>
      <c r="J608" s="161"/>
      <c r="K608" s="163" t="str">
        <f t="shared" si="37"/>
        <v/>
      </c>
      <c r="L608" s="31"/>
      <c r="O608" s="902"/>
      <c r="P608" s="144"/>
      <c r="S608" s="105">
        <v>8</v>
      </c>
      <c r="T608" s="713"/>
      <c r="V608" s="157" t="str">
        <f>IF(AND(G596&lt;&gt;"",E608&lt;&gt;"",L608&lt;&gt;""),TRUE,IF(AND(G596&lt;&gt;"",OR(AND(E608&lt;&gt;"",L608=""),AND(E608="",L608&lt;&gt;""))),CONST_ErrorOrMissing&amp;C596,CONST_NA))</f>
        <v>n.a.</v>
      </c>
    </row>
    <row r="609" spans="1:24" ht="12.75" customHeight="1" x14ac:dyDescent="0.35">
      <c r="D609" s="103"/>
      <c r="E609" s="138" t="str">
        <f>Translations!$B$246</f>
        <v>Total production within installation (= denominator for SEE calculation):</v>
      </c>
      <c r="F609" s="138"/>
      <c r="G609" s="138"/>
      <c r="H609" s="164"/>
      <c r="I609" s="138"/>
      <c r="J609" s="138"/>
      <c r="K609" s="165" t="str">
        <f>K601</f>
        <v/>
      </c>
      <c r="L609" s="140" t="str">
        <f>IF(G596="","",SUM(L601:L608))</f>
        <v/>
      </c>
      <c r="O609" s="901"/>
      <c r="P609" s="144"/>
      <c r="R609" s="102" t="str">
        <f>CONST_CNTR_TotProd&amp;G596</f>
        <v>TotProd_</v>
      </c>
      <c r="T609" s="124" t="str">
        <f>IF(G596="","",L609)</f>
        <v/>
      </c>
    </row>
    <row r="610" spans="1:24" s="144" customFormat="1" ht="5.15" customHeight="1" x14ac:dyDescent="0.35">
      <c r="A610" s="91"/>
      <c r="B610" s="93"/>
      <c r="C610" s="93"/>
      <c r="D610" s="166"/>
      <c r="E610" s="167"/>
      <c r="N610" s="93"/>
      <c r="O610" s="901"/>
      <c r="Q610" s="93"/>
      <c r="R610" s="91"/>
      <c r="S610" s="91"/>
      <c r="T610" s="712"/>
      <c r="U610" s="91"/>
      <c r="V610" s="91"/>
      <c r="W610" s="104"/>
      <c r="X610" s="91"/>
    </row>
    <row r="611" spans="1:24" s="144" customFormat="1" ht="12.75" customHeight="1" x14ac:dyDescent="0.35">
      <c r="A611" s="91"/>
      <c r="B611" s="93"/>
      <c r="C611" s="93"/>
      <c r="D611" s="168" t="s">
        <v>48</v>
      </c>
      <c r="E611" s="167" t="str">
        <f>Translations!$B$247</f>
        <v>Production details</v>
      </c>
      <c r="F611" s="167"/>
      <c r="G611" s="167"/>
      <c r="H611" s="168"/>
      <c r="K611" s="168" t="str">
        <f>Translations!$B$221</f>
        <v>Unit</v>
      </c>
      <c r="L611" s="168" t="str">
        <f>Translations!$B$245</f>
        <v>Amounts</v>
      </c>
      <c r="N611" s="93"/>
      <c r="O611" s="901"/>
      <c r="Q611" s="93"/>
      <c r="R611" s="91"/>
      <c r="S611" s="91"/>
      <c r="T611" s="712"/>
      <c r="U611" s="91"/>
      <c r="V611" s="91"/>
      <c r="W611" s="104"/>
      <c r="X611" s="91"/>
    </row>
    <row r="612" spans="1:24" s="144" customFormat="1" ht="12.75" customHeight="1" x14ac:dyDescent="0.35">
      <c r="A612" s="91"/>
      <c r="B612" s="93"/>
      <c r="C612" s="93"/>
      <c r="D612" s="132" t="s">
        <v>41</v>
      </c>
      <c r="E612" s="138" t="str">
        <f>Translations!$B$248</f>
        <v>Produced for the market</v>
      </c>
      <c r="F612" s="138"/>
      <c r="G612" s="138"/>
      <c r="H612" s="138"/>
      <c r="I612" s="138"/>
      <c r="J612" s="138"/>
      <c r="K612" s="169" t="str">
        <f>K601</f>
        <v/>
      </c>
      <c r="L612" s="211"/>
      <c r="N612" s="93"/>
      <c r="O612" s="902"/>
      <c r="Q612" s="93"/>
      <c r="R612" s="102" t="str">
        <f>CONST_GoodToMarket&amp;G596</f>
        <v>ToMarket_</v>
      </c>
      <c r="S612" s="91"/>
      <c r="T612" s="124" t="str">
        <f>IF($G$11="","",L612)</f>
        <v/>
      </c>
      <c r="U612" s="91"/>
      <c r="V612" s="157" t="str">
        <f>IF(AND(G596&lt;&gt;"",L612&lt;&gt;""),TRUE,IF(AND(G596&lt;&gt;"",OR(L612="",L601&lt;&gt;"")),CONST_ErrorOrMissing&amp;C596,CONST_NA))</f>
        <v>n.a.</v>
      </c>
      <c r="W612" s="104"/>
      <c r="X612" s="91"/>
    </row>
    <row r="613" spans="1:24" s="144" customFormat="1" ht="12.75" customHeight="1" x14ac:dyDescent="0.35">
      <c r="A613" s="91"/>
      <c r="B613" s="93"/>
      <c r="C613" s="93"/>
      <c r="D613" s="132" t="s">
        <v>42</v>
      </c>
      <c r="E613" s="133" t="str">
        <f>Translations!$B$249</f>
        <v>Share of total under (a) produced for the market</v>
      </c>
      <c r="F613" s="288"/>
      <c r="G613" s="288"/>
      <c r="H613" s="288"/>
      <c r="I613" s="288"/>
      <c r="J613" s="288"/>
      <c r="K613" s="288"/>
      <c r="L613" s="289" t="str">
        <f>IF(AND(COUNT(L609,L612)=2,SUM(L609&gt;0)),SUM(L612)/SUM(L609),"")</f>
        <v/>
      </c>
      <c r="N613" s="93"/>
      <c r="O613" s="901"/>
      <c r="Q613" s="93"/>
      <c r="R613" s="171"/>
      <c r="S613" s="91"/>
      <c r="T613" s="712"/>
      <c r="U613" s="91"/>
      <c r="V613" s="172"/>
      <c r="W613" s="104"/>
      <c r="X613" s="91"/>
    </row>
    <row r="614" spans="1:24" s="144" customFormat="1" ht="12.75" customHeight="1" x14ac:dyDescent="0.35">
      <c r="A614" s="91"/>
      <c r="B614" s="93"/>
      <c r="C614" s="93"/>
      <c r="D614" s="132" t="s">
        <v>43</v>
      </c>
      <c r="E614" s="136" t="str">
        <f>Translations!$B$250</f>
        <v>Total production only for the market?</v>
      </c>
      <c r="F614" s="290"/>
      <c r="G614" s="290"/>
      <c r="H614" s="290"/>
      <c r="I614" s="290"/>
      <c r="J614" s="290"/>
      <c r="K614" s="290"/>
      <c r="L614" s="291" t="str">
        <f>IF(G596="","",AND(SUM(L609)&gt;0,SUM(L609)=SUM(L612)))</f>
        <v/>
      </c>
      <c r="N614" s="93"/>
      <c r="O614" s="901"/>
      <c r="Q614" s="93"/>
      <c r="R614" s="171"/>
      <c r="S614" s="91"/>
      <c r="T614" s="712"/>
      <c r="U614" s="91"/>
      <c r="V614" s="91"/>
      <c r="W614" s="104"/>
      <c r="X614" s="91"/>
    </row>
    <row r="615" spans="1:24" s="144" customFormat="1" ht="5.15" customHeight="1" x14ac:dyDescent="0.35">
      <c r="A615" s="91"/>
      <c r="B615" s="93"/>
      <c r="C615" s="93"/>
      <c r="D615" s="166"/>
      <c r="E615" s="167"/>
      <c r="N615" s="93"/>
      <c r="O615" s="901"/>
      <c r="Q615" s="93"/>
      <c r="R615" s="91"/>
      <c r="S615" s="91"/>
      <c r="T615" s="712"/>
      <c r="U615" s="91"/>
      <c r="V615" s="91"/>
      <c r="W615" s="104"/>
      <c r="X615" s="91"/>
    </row>
    <row r="616" spans="1:24" s="144" customFormat="1" ht="12.75" customHeight="1" x14ac:dyDescent="0.35">
      <c r="A616" s="91"/>
      <c r="B616" s="93"/>
      <c r="C616" s="93"/>
      <c r="D616" s="168" t="s">
        <v>49</v>
      </c>
      <c r="E616" s="167" t="str">
        <f>Translations!$B$251</f>
        <v>Consumed in other 'production processes' within the installation:</v>
      </c>
      <c r="F616" s="167"/>
      <c r="G616" s="167"/>
      <c r="H616" s="167"/>
      <c r="I616" s="167"/>
      <c r="J616" s="167"/>
      <c r="K616" s="168" t="str">
        <f>Translations!$B$221</f>
        <v>Unit</v>
      </c>
      <c r="L616" s="168" t="str">
        <f>Translations!$B$245</f>
        <v>Amounts</v>
      </c>
      <c r="N616" s="93"/>
      <c r="O616" s="901"/>
      <c r="Q616" s="93"/>
      <c r="R616" s="91"/>
      <c r="S616" s="123" t="s">
        <v>195</v>
      </c>
      <c r="T616" s="712"/>
      <c r="U616" s="91"/>
      <c r="V616" s="91"/>
      <c r="W616" s="104" t="s">
        <v>34</v>
      </c>
      <c r="X616" s="102" t="b">
        <f>IF(G596="",FALSE,L614)</f>
        <v>0</v>
      </c>
    </row>
    <row r="617" spans="1:24" s="144" customFormat="1" ht="12.75" customHeight="1" x14ac:dyDescent="0.35">
      <c r="A617" s="91"/>
      <c r="B617" s="93"/>
      <c r="C617" s="93"/>
      <c r="D617" s="173">
        <v>1</v>
      </c>
      <c r="E617" s="174" t="str">
        <f t="shared" ref="E617:E625" si="38">IF(INDEX(CNTR_List_ExistProdProcNames,S617)=CONST_NA,"",INDEX(CNTR_List_ExistProdProcNames,S617))</f>
        <v/>
      </c>
      <c r="F617" s="175"/>
      <c r="G617" s="175"/>
      <c r="H617" s="175"/>
      <c r="I617" s="175"/>
      <c r="J617" s="176"/>
      <c r="K617" s="155" t="str">
        <f>K601</f>
        <v/>
      </c>
      <c r="L617" s="29"/>
      <c r="N617" s="93"/>
      <c r="O617" s="902"/>
      <c r="Q617" s="93"/>
      <c r="R617" s="102" t="str">
        <f>CONST_PrecursorToGoodInput&amp;G596 &amp;"_"&amp;E617</f>
        <v>PrecToGood__</v>
      </c>
      <c r="S617" s="105">
        <f>MAX(S616:S616)+IF(D617=C596,2,1)</f>
        <v>1</v>
      </c>
      <c r="T617" s="124" t="str">
        <f>IF(G596="","",L617)</f>
        <v/>
      </c>
      <c r="U617" s="91"/>
      <c r="V617" s="157" t="str">
        <f>IF(AND(G596&lt;&gt;"",E617&lt;&gt;"",L617&lt;&gt;""),TRUE,IF(AND(G596&lt;&gt;"",E617&lt;&gt;"",L617="",X617=FALSE),CONST_ErrorOrMissing&amp;C596,CONST_NA))</f>
        <v>n.a.</v>
      </c>
      <c r="W617" s="104" t="s">
        <v>34</v>
      </c>
      <c r="X617" s="102" t="b">
        <f>IF(G596="",FALSE,OR(L614,E617=""))</f>
        <v>0</v>
      </c>
    </row>
    <row r="618" spans="1:24" s="144" customFormat="1" ht="12.75" customHeight="1" x14ac:dyDescent="0.35">
      <c r="A618" s="91"/>
      <c r="B618" s="93"/>
      <c r="C618" s="93"/>
      <c r="D618" s="173">
        <v>2</v>
      </c>
      <c r="E618" s="177" t="str">
        <f t="shared" si="38"/>
        <v/>
      </c>
      <c r="F618" s="178"/>
      <c r="G618" s="178"/>
      <c r="H618" s="178"/>
      <c r="I618" s="178"/>
      <c r="J618" s="179"/>
      <c r="K618" s="160" t="str">
        <f>K617</f>
        <v/>
      </c>
      <c r="L618" s="30"/>
      <c r="N618" s="93"/>
      <c r="O618" s="902"/>
      <c r="Q618" s="93"/>
      <c r="R618" s="102" t="str">
        <f>CONST_PrecursorToGoodInput&amp;G596 &amp;"_"&amp;E618</f>
        <v>PrecToGood__</v>
      </c>
      <c r="S618" s="105">
        <f>MAX(S616:S617)+IF(D618=C596,2,1)</f>
        <v>2</v>
      </c>
      <c r="T618" s="124" t="str">
        <f>IF(G596="","",L618)</f>
        <v/>
      </c>
      <c r="U618" s="91"/>
      <c r="V618" s="157" t="str">
        <f>IF(AND(G596&lt;&gt;"",E618&lt;&gt;"",L618&lt;&gt;""),TRUE,IF(AND(G596&lt;&gt;"",E618&lt;&gt;"",L618="",X618=FALSE),CONST_ErrorOrMissing&amp;C596,CONST_NA))</f>
        <v>n.a.</v>
      </c>
      <c r="W618" s="104"/>
      <c r="X618" s="102" t="b">
        <f>IF(G596="",FALSE,OR(L614,E618=""))</f>
        <v>0</v>
      </c>
    </row>
    <row r="619" spans="1:24" s="144" customFormat="1" ht="12.75" customHeight="1" x14ac:dyDescent="0.35">
      <c r="A619" s="91"/>
      <c r="B619" s="93"/>
      <c r="C619" s="93"/>
      <c r="D619" s="173">
        <v>3</v>
      </c>
      <c r="E619" s="177" t="str">
        <f t="shared" si="38"/>
        <v/>
      </c>
      <c r="F619" s="178"/>
      <c r="G619" s="178"/>
      <c r="H619" s="178"/>
      <c r="I619" s="178"/>
      <c r="J619" s="179"/>
      <c r="K619" s="160" t="str">
        <f t="shared" ref="K619:K627" si="39">K618</f>
        <v/>
      </c>
      <c r="L619" s="30"/>
      <c r="N619" s="93"/>
      <c r="O619" s="902"/>
      <c r="Q619" s="93"/>
      <c r="R619" s="102" t="str">
        <f>CONST_PrecursorToGoodInput&amp;G596 &amp;"_"&amp;E619</f>
        <v>PrecToGood__</v>
      </c>
      <c r="S619" s="105">
        <f>MAX(S616:S618)+IF(D619=C596,2,1)</f>
        <v>3</v>
      </c>
      <c r="T619" s="124" t="str">
        <f>IF(G596="","",L619)</f>
        <v/>
      </c>
      <c r="U619" s="91"/>
      <c r="V619" s="157" t="str">
        <f>IF(AND(G596&lt;&gt;"",E619&lt;&gt;"",L619&lt;&gt;""),TRUE,IF(AND(G596&lt;&gt;"",E619&lt;&gt;"",L619="",X619=FALSE),CONST_ErrorOrMissing&amp;C596,CONST_NA))</f>
        <v>n.a.</v>
      </c>
      <c r="W619" s="104"/>
      <c r="X619" s="102" t="b">
        <f>IF(G596="",FALSE,OR(L614,E619=""))</f>
        <v>0</v>
      </c>
    </row>
    <row r="620" spans="1:24" s="144" customFormat="1" ht="12.75" customHeight="1" x14ac:dyDescent="0.35">
      <c r="A620" s="91"/>
      <c r="B620" s="93"/>
      <c r="C620" s="93"/>
      <c r="D620" s="173">
        <v>4</v>
      </c>
      <c r="E620" s="177" t="str">
        <f t="shared" si="38"/>
        <v/>
      </c>
      <c r="F620" s="178"/>
      <c r="G620" s="178"/>
      <c r="H620" s="178"/>
      <c r="I620" s="178"/>
      <c r="J620" s="179"/>
      <c r="K620" s="160" t="str">
        <f t="shared" si="39"/>
        <v/>
      </c>
      <c r="L620" s="30"/>
      <c r="N620" s="93"/>
      <c r="O620" s="902"/>
      <c r="Q620" s="93"/>
      <c r="R620" s="102" t="str">
        <f>CONST_PrecursorToGoodInput&amp;G596 &amp;"_"&amp;E620</f>
        <v>PrecToGood__</v>
      </c>
      <c r="S620" s="105">
        <f>MAX(S616:S619)+IF(D620=C596,2,1)</f>
        <v>4</v>
      </c>
      <c r="T620" s="124" t="str">
        <f>IF(G596="","",L620)</f>
        <v/>
      </c>
      <c r="U620" s="91"/>
      <c r="V620" s="157" t="str">
        <f>IF(AND(G596&lt;&gt;"",E620&lt;&gt;"",L620&lt;&gt;""),TRUE,IF(AND(G596&lt;&gt;"",E620&lt;&gt;"",L620="",X620=FALSE),CONST_ErrorOrMissing&amp;C596,CONST_NA))</f>
        <v>n.a.</v>
      </c>
      <c r="W620" s="104"/>
      <c r="X620" s="102" t="b">
        <f>IF(G596="",FALSE,OR(L614,E620=""))</f>
        <v>0</v>
      </c>
    </row>
    <row r="621" spans="1:24" s="144" customFormat="1" ht="12.75" customHeight="1" x14ac:dyDescent="0.35">
      <c r="A621" s="91"/>
      <c r="B621" s="93"/>
      <c r="C621" s="93"/>
      <c r="D621" s="173">
        <v>5</v>
      </c>
      <c r="E621" s="180" t="str">
        <f t="shared" si="38"/>
        <v/>
      </c>
      <c r="F621" s="181"/>
      <c r="G621" s="181"/>
      <c r="H621" s="181"/>
      <c r="I621" s="181"/>
      <c r="J621" s="182"/>
      <c r="K621" s="183" t="str">
        <f t="shared" si="39"/>
        <v/>
      </c>
      <c r="L621" s="212"/>
      <c r="N621" s="93"/>
      <c r="O621" s="902"/>
      <c r="Q621" s="93"/>
      <c r="R621" s="102" t="str">
        <f>CONST_PrecursorToGoodInput&amp;G596 &amp;"_"&amp;E621</f>
        <v>PrecToGood__</v>
      </c>
      <c r="S621" s="105">
        <f>MAX(S616:S620)+IF(D621=C596,2,1)</f>
        <v>5</v>
      </c>
      <c r="T621" s="124" t="str">
        <f>IF(G596="","",L621)</f>
        <v/>
      </c>
      <c r="U621" s="91"/>
      <c r="V621" s="157" t="str">
        <f>IF(AND(G596&lt;&gt;"",E621&lt;&gt;"",L621&lt;&gt;""),TRUE,IF(AND(G596&lt;&gt;"",E621&lt;&gt;"",L621="",X621=FALSE),CONST_ErrorOrMissing&amp;C596,CONST_NA))</f>
        <v>n.a.</v>
      </c>
      <c r="W621" s="104"/>
      <c r="X621" s="102" t="b">
        <f>IF(G596="",FALSE,OR(L614,E621=""))</f>
        <v>0</v>
      </c>
    </row>
    <row r="622" spans="1:24" s="144" customFormat="1" ht="12.75" customHeight="1" x14ac:dyDescent="0.35">
      <c r="A622" s="91"/>
      <c r="B622" s="93"/>
      <c r="C622" s="93"/>
      <c r="D622" s="173">
        <v>6</v>
      </c>
      <c r="E622" s="180" t="str">
        <f t="shared" si="38"/>
        <v/>
      </c>
      <c r="F622" s="181"/>
      <c r="G622" s="181"/>
      <c r="H622" s="181"/>
      <c r="I622" s="181"/>
      <c r="J622" s="182"/>
      <c r="K622" s="183" t="str">
        <f t="shared" si="39"/>
        <v/>
      </c>
      <c r="L622" s="212"/>
      <c r="N622" s="93"/>
      <c r="O622" s="902"/>
      <c r="Q622" s="93"/>
      <c r="R622" s="102" t="str">
        <f>CONST_PrecursorToGoodInput&amp;G596 &amp;"_"&amp;E622</f>
        <v>PrecToGood__</v>
      </c>
      <c r="S622" s="105">
        <f>MAX(S616:S621)+IF(D622=C596,2,1)</f>
        <v>6</v>
      </c>
      <c r="T622" s="124" t="str">
        <f>IF(G596="","",L622)</f>
        <v/>
      </c>
      <c r="U622" s="91"/>
      <c r="V622" s="157" t="str">
        <f>IF(AND(G596&lt;&gt;"",E622&lt;&gt;"",L622&lt;&gt;""),TRUE,IF(AND(G596&lt;&gt;"",E622&lt;&gt;"",L622="",X622=FALSE),CONST_ErrorOrMissing&amp;C596,CONST_NA))</f>
        <v>n.a.</v>
      </c>
      <c r="W622" s="104"/>
      <c r="X622" s="102" t="b">
        <f>IF(G596="",FALSE,OR(L614,E622=""))</f>
        <v>0</v>
      </c>
    </row>
    <row r="623" spans="1:24" s="144" customFormat="1" ht="12.75" customHeight="1" x14ac:dyDescent="0.35">
      <c r="A623" s="91"/>
      <c r="B623" s="93"/>
      <c r="C623" s="93"/>
      <c r="D623" s="173">
        <v>7</v>
      </c>
      <c r="E623" s="180" t="str">
        <f t="shared" si="38"/>
        <v/>
      </c>
      <c r="F623" s="181"/>
      <c r="G623" s="181"/>
      <c r="H623" s="181"/>
      <c r="I623" s="181"/>
      <c r="J623" s="182"/>
      <c r="K623" s="183" t="str">
        <f t="shared" si="39"/>
        <v/>
      </c>
      <c r="L623" s="212"/>
      <c r="N623" s="93"/>
      <c r="O623" s="902"/>
      <c r="Q623" s="93"/>
      <c r="R623" s="102" t="str">
        <f>CONST_PrecursorToGoodInput&amp;G596 &amp;"_"&amp;E623</f>
        <v>PrecToGood__</v>
      </c>
      <c r="S623" s="105">
        <f>MAX(S616:S622)+IF(D623=C596,2,1)</f>
        <v>7</v>
      </c>
      <c r="T623" s="124" t="str">
        <f>IF(G596="","",L623)</f>
        <v/>
      </c>
      <c r="U623" s="91"/>
      <c r="V623" s="157" t="str">
        <f>IF(AND(G596&lt;&gt;"",E623&lt;&gt;"",L623&lt;&gt;""),TRUE,IF(AND(G596&lt;&gt;"",E623&lt;&gt;"",L623="",X623=FALSE),CONST_ErrorOrMissing&amp;C596,CONST_NA))</f>
        <v>n.a.</v>
      </c>
      <c r="W623" s="104"/>
      <c r="X623" s="102" t="b">
        <f>IF(G596="",FALSE,OR(L614,E623=""))</f>
        <v>0</v>
      </c>
    </row>
    <row r="624" spans="1:24" s="144" customFormat="1" ht="12.75" customHeight="1" x14ac:dyDescent="0.35">
      <c r="A624" s="91"/>
      <c r="B624" s="93"/>
      <c r="C624" s="93"/>
      <c r="D624" s="173">
        <v>8</v>
      </c>
      <c r="E624" s="180" t="str">
        <f t="shared" si="38"/>
        <v/>
      </c>
      <c r="F624" s="181"/>
      <c r="G624" s="181"/>
      <c r="H624" s="181"/>
      <c r="I624" s="181"/>
      <c r="J624" s="182"/>
      <c r="K624" s="183" t="str">
        <f t="shared" si="39"/>
        <v/>
      </c>
      <c r="L624" s="212"/>
      <c r="N624" s="93"/>
      <c r="O624" s="902"/>
      <c r="Q624" s="93"/>
      <c r="R624" s="102" t="str">
        <f>CONST_PrecursorToGoodInput&amp;G596 &amp;"_"&amp;E624</f>
        <v>PrecToGood__</v>
      </c>
      <c r="S624" s="105">
        <f>MAX(S616:S623)+IF(D624=C596,2,1)</f>
        <v>8</v>
      </c>
      <c r="T624" s="124" t="str">
        <f>IF(G596="","",L624)</f>
        <v/>
      </c>
      <c r="U624" s="91"/>
      <c r="V624" s="157" t="str">
        <f>IF(AND(G596&lt;&gt;"",E624&lt;&gt;"",L624&lt;&gt;""),TRUE,IF(AND(G596&lt;&gt;"",E624&lt;&gt;"",L624="",X624=FALSE),CONST_ErrorOrMissing&amp;C596,CONST_NA))</f>
        <v>n.a.</v>
      </c>
      <c r="W624" s="104"/>
      <c r="X624" s="102" t="b">
        <f>IF(G596="",FALSE,OR(L614,E624=""))</f>
        <v>0</v>
      </c>
    </row>
    <row r="625" spans="1:24" s="144" customFormat="1" ht="12.75" customHeight="1" x14ac:dyDescent="0.35">
      <c r="A625" s="91"/>
      <c r="B625" s="93"/>
      <c r="C625" s="93"/>
      <c r="D625" s="173">
        <v>9</v>
      </c>
      <c r="E625" s="184" t="str">
        <f t="shared" si="38"/>
        <v/>
      </c>
      <c r="F625" s="185"/>
      <c r="G625" s="185"/>
      <c r="H625" s="185"/>
      <c r="I625" s="185"/>
      <c r="J625" s="186"/>
      <c r="K625" s="163" t="str">
        <f t="shared" si="39"/>
        <v/>
      </c>
      <c r="L625" s="31"/>
      <c r="N625" s="93"/>
      <c r="O625" s="902"/>
      <c r="Q625" s="93"/>
      <c r="R625" s="102" t="str">
        <f>CONST_PrecursorToGoodInput&amp;G596 &amp;"_"&amp;E625</f>
        <v>PrecToGood__</v>
      </c>
      <c r="S625" s="105">
        <f>MAX(S616:S624)+IF(D625=C596,2,1)</f>
        <v>9</v>
      </c>
      <c r="T625" s="124" t="str">
        <f>IF(G596="","",L625)</f>
        <v/>
      </c>
      <c r="U625" s="91"/>
      <c r="V625" s="157" t="str">
        <f>IF(AND(G596&lt;&gt;"",E625&lt;&gt;"",L625&lt;&gt;""),TRUE,IF(AND(G596&lt;&gt;"",E625&lt;&gt;"",L625="",X625=FALSE),CONST_ErrorOrMissing&amp;C596,CONST_NA))</f>
        <v>n.a.</v>
      </c>
      <c r="W625" s="104"/>
      <c r="X625" s="102" t="b">
        <f>IF(G596="",FALSE,OR(L614,E625=""))</f>
        <v>0</v>
      </c>
    </row>
    <row r="626" spans="1:24" s="144" customFormat="1" ht="12.75" customHeight="1" x14ac:dyDescent="0.35">
      <c r="A626" s="91"/>
      <c r="B626" s="93"/>
      <c r="C626" s="93"/>
      <c r="D626" s="168" t="s">
        <v>377</v>
      </c>
      <c r="E626" s="167" t="str">
        <f>Translations!$B$252</f>
        <v>Consumed for non-CBAM goods within the installation:</v>
      </c>
      <c r="F626" s="167"/>
      <c r="G626" s="167"/>
      <c r="H626" s="167"/>
      <c r="I626" s="167"/>
      <c r="J626" s="167"/>
      <c r="K626" s="297" t="str">
        <f t="shared" si="39"/>
        <v/>
      </c>
      <c r="L626" s="298"/>
      <c r="N626" s="93"/>
      <c r="O626" s="902"/>
      <c r="Q626" s="93"/>
      <c r="R626" s="91"/>
      <c r="S626" s="91"/>
      <c r="T626" s="712"/>
      <c r="U626" s="91"/>
      <c r="V626" s="157" t="str">
        <f>IF(AND(G596&lt;&gt;"",L626&lt;&gt;""),TRUE,IF(AND(G596&lt;&gt;"",L626="",X626=FALSE),CONST_ErrorOrMissing&amp;C596,CONST_NA))</f>
        <v>n.a.</v>
      </c>
      <c r="W626" s="104" t="s">
        <v>34</v>
      </c>
      <c r="X626" s="102" t="b">
        <f>IF(G596="",FALSE,L614)</f>
        <v>0</v>
      </c>
    </row>
    <row r="627" spans="1:24" s="144" customFormat="1" ht="12.75" customHeight="1" x14ac:dyDescent="0.35">
      <c r="A627" s="91"/>
      <c r="B627" s="93"/>
      <c r="C627" s="93"/>
      <c r="D627" s="168" t="s">
        <v>411</v>
      </c>
      <c r="E627" s="138" t="str">
        <f>Translations!$B$253</f>
        <v>Control:</v>
      </c>
      <c r="F627" s="170"/>
      <c r="G627" s="170"/>
      <c r="H627" s="170"/>
      <c r="I627" s="170"/>
      <c r="J627" s="170"/>
      <c r="K627" s="169" t="str">
        <f t="shared" si="39"/>
        <v/>
      </c>
      <c r="L627" s="118" t="str">
        <f>IF(G596="","",SUM(L609)-SUM(L612,L617:L626))</f>
        <v/>
      </c>
      <c r="N627" s="93"/>
      <c r="O627" s="902"/>
      <c r="Q627" s="93"/>
      <c r="R627" s="91"/>
      <c r="S627" s="91"/>
      <c r="T627" s="712"/>
      <c r="U627" s="91"/>
      <c r="V627" s="157" t="str">
        <f>IF(AND(G596&lt;&gt;"",L627=0),TRUE,IF(AND(G596&lt;&gt;"",L627&lt;&gt;0,X627=FALSE),CONST_ErrorOrMissing&amp;C596,CONST_NA))</f>
        <v>n.a.</v>
      </c>
      <c r="W627" s="104"/>
      <c r="X627" s="102" t="b">
        <f>IF(G596="",FALSE,L614)</f>
        <v>0</v>
      </c>
    </row>
    <row r="628" spans="1:24" s="144" customFormat="1" ht="12.75" customHeight="1" thickBot="1" x14ac:dyDescent="0.4">
      <c r="A628" s="91"/>
      <c r="B628" s="93"/>
      <c r="C628" s="93"/>
      <c r="D628" s="93"/>
      <c r="E628" s="93"/>
      <c r="F628" s="93"/>
      <c r="G628" s="93"/>
      <c r="H628" s="93"/>
      <c r="I628" s="93"/>
      <c r="J628" s="93"/>
      <c r="K628" s="93"/>
      <c r="L628" s="93"/>
      <c r="M628" s="93"/>
      <c r="N628" s="93"/>
      <c r="O628" s="901"/>
      <c r="Q628" s="93"/>
      <c r="R628" s="91"/>
      <c r="S628" s="91"/>
      <c r="T628" s="712"/>
      <c r="U628" s="91"/>
      <c r="V628" s="91"/>
      <c r="W628" s="104"/>
      <c r="X628" s="91"/>
    </row>
    <row r="629" spans="1:24" ht="12.75" customHeight="1" x14ac:dyDescent="0.35">
      <c r="C629" s="187"/>
      <c r="D629" s="188"/>
      <c r="E629" s="189"/>
      <c r="F629" s="190"/>
      <c r="G629" s="190"/>
      <c r="H629" s="190"/>
      <c r="I629" s="190"/>
      <c r="J629" s="190"/>
      <c r="K629" s="190"/>
      <c r="L629" s="190"/>
      <c r="M629" s="190"/>
      <c r="N629" s="191"/>
      <c r="O629" s="901"/>
      <c r="P629" s="144"/>
      <c r="T629" s="712"/>
    </row>
    <row r="630" spans="1:24" ht="15" customHeight="1" x14ac:dyDescent="0.35">
      <c r="C630" s="192"/>
      <c r="D630" s="193" t="str">
        <f>Translations!$B$254</f>
        <v>Calculation of the attributed emissions:</v>
      </c>
      <c r="E630" s="194"/>
      <c r="F630" s="195"/>
      <c r="G630" s="195"/>
      <c r="H630" s="195"/>
      <c r="I630" s="195"/>
      <c r="J630" s="1310" t="str">
        <f>IF(G596="","",G596)</f>
        <v/>
      </c>
      <c r="K630" s="1310"/>
      <c r="L630" s="1310"/>
      <c r="M630" s="1310"/>
      <c r="N630" s="196"/>
      <c r="O630" s="901"/>
      <c r="P630" s="144"/>
      <c r="T630" s="712"/>
    </row>
    <row r="631" spans="1:24" ht="5.15" customHeight="1" x14ac:dyDescent="0.35">
      <c r="C631" s="192"/>
      <c r="D631" s="197"/>
      <c r="E631" s="198"/>
      <c r="F631" s="195"/>
      <c r="G631" s="195"/>
      <c r="H631" s="195"/>
      <c r="I631" s="195"/>
      <c r="J631" s="195"/>
      <c r="K631" s="195"/>
      <c r="L631" s="195"/>
      <c r="M631" s="195"/>
      <c r="N631" s="196"/>
      <c r="O631" s="901"/>
      <c r="P631" s="144"/>
      <c r="T631" s="712"/>
    </row>
    <row r="632" spans="1:24" ht="12.75" customHeight="1" x14ac:dyDescent="0.35">
      <c r="C632" s="192"/>
      <c r="D632" s="199"/>
      <c r="E632" s="1311" t="str">
        <f ca="1">HYPERLINK("#"&amp;ADDRESS(MATCH($S632,G_FurtherGuidance!$S:$S,0),3,,,G_FurtherGuidance!$U$2),CONST_LinkToGuidanceSheet)</f>
        <v>Please click on this link for further guidance on how to complete this section.</v>
      </c>
      <c r="F632" s="1312"/>
      <c r="G632" s="1312"/>
      <c r="H632" s="1312"/>
      <c r="I632" s="1312"/>
      <c r="J632" s="1312"/>
      <c r="K632" s="1312"/>
      <c r="L632" s="1312"/>
      <c r="M632" s="1312"/>
      <c r="N632" s="202"/>
      <c r="O632" s="901"/>
      <c r="P632" s="144"/>
      <c r="R632" s="104" t="s">
        <v>2771</v>
      </c>
      <c r="S632" s="105">
        <v>3</v>
      </c>
      <c r="T632" s="712"/>
    </row>
    <row r="633" spans="1:24" ht="5.15" customHeight="1" x14ac:dyDescent="0.35">
      <c r="C633" s="192"/>
      <c r="D633" s="197"/>
      <c r="E633" s="198"/>
      <c r="F633" s="195"/>
      <c r="G633" s="195"/>
      <c r="H633" s="195"/>
      <c r="I633" s="195"/>
      <c r="J633" s="198"/>
      <c r="K633" s="195"/>
      <c r="L633" s="195"/>
      <c r="M633" s="195"/>
      <c r="N633" s="196"/>
      <c r="O633" s="901"/>
      <c r="P633" s="144"/>
      <c r="T633" s="712"/>
      <c r="X633" s="104"/>
    </row>
    <row r="634" spans="1:24" ht="25" customHeight="1" x14ac:dyDescent="0.3">
      <c r="C634" s="192"/>
      <c r="D634" s="197"/>
      <c r="E634" s="198"/>
      <c r="F634" s="195"/>
      <c r="G634" s="195"/>
      <c r="H634" s="195"/>
      <c r="I634" s="195"/>
      <c r="J634" s="195"/>
      <c r="K634" s="203" t="str">
        <f>Translations!$B$255</f>
        <v>Measurable heat</v>
      </c>
      <c r="L634" s="203" t="str">
        <f>Translations!$B$256</f>
        <v>Waste gases</v>
      </c>
      <c r="M634" s="203" t="str">
        <f>Translations!$B$257</f>
        <v>Indirect emissions</v>
      </c>
      <c r="N634" s="196"/>
      <c r="O634" s="901"/>
      <c r="P634" s="144"/>
      <c r="T634" s="712"/>
      <c r="X634" s="104"/>
    </row>
    <row r="635" spans="1:24" ht="12.75" customHeight="1" x14ac:dyDescent="0.35">
      <c r="C635" s="192"/>
      <c r="D635" s="199" t="s">
        <v>412</v>
      </c>
      <c r="E635" s="200" t="str">
        <f>Translations!$B$258</f>
        <v>Please select which elements are applicable</v>
      </c>
      <c r="F635" s="201"/>
      <c r="G635" s="201"/>
      <c r="H635" s="201"/>
      <c r="I635" s="201"/>
      <c r="J635" s="201"/>
      <c r="K635" s="120"/>
      <c r="L635" s="120"/>
      <c r="M635" s="169" t="str">
        <f>IF(L596="","",INDEX(CONST_LIST_GoodsIndRel,MATCH(L596,CONST_LIST_Goods,0)))</f>
        <v/>
      </c>
      <c r="N635" s="196"/>
      <c r="O635" s="902"/>
      <c r="P635" s="144"/>
      <c r="T635" s="712"/>
      <c r="V635" s="157" t="str">
        <f>IF(AND(L596&lt;&gt;"",X635=FALSE),IF(COUNTA(K635:L635)=2,TRUE,CONST_ErrorOrMissing&amp;C596),CONST_NA)</f>
        <v>n.a.</v>
      </c>
      <c r="X635" s="104"/>
    </row>
    <row r="636" spans="1:24" ht="12.75" customHeight="1" x14ac:dyDescent="0.35">
      <c r="C636" s="192"/>
      <c r="D636" s="204"/>
      <c r="E636" s="401" t="str">
        <f>Translations!$B$259</f>
        <v>Based on your selection, related sections below might become irrelevant and greyed out below.</v>
      </c>
      <c r="F636" s="195"/>
      <c r="G636" s="195"/>
      <c r="H636" s="195"/>
      <c r="I636" s="195"/>
      <c r="J636" s="195"/>
      <c r="K636" s="198"/>
      <c r="L636" s="195"/>
      <c r="M636" s="195"/>
      <c r="N636" s="196"/>
      <c r="O636" s="901"/>
      <c r="P636" s="144"/>
      <c r="T636" s="712"/>
      <c r="X636" s="104"/>
    </row>
    <row r="637" spans="1:24" ht="5.15" customHeight="1" x14ac:dyDescent="0.35">
      <c r="C637" s="192"/>
      <c r="D637" s="204"/>
      <c r="E637" s="198"/>
      <c r="F637" s="195"/>
      <c r="G637" s="195"/>
      <c r="H637" s="195"/>
      <c r="I637" s="195"/>
      <c r="J637" s="195"/>
      <c r="K637" s="198"/>
      <c r="L637" s="195"/>
      <c r="M637" s="195"/>
      <c r="N637" s="196"/>
      <c r="O637" s="901"/>
      <c r="P637" s="144"/>
      <c r="T637" s="712"/>
      <c r="X637" s="104"/>
    </row>
    <row r="638" spans="1:24" ht="12.75" customHeight="1" x14ac:dyDescent="0.35">
      <c r="C638" s="192"/>
      <c r="D638" s="204"/>
      <c r="E638" s="198"/>
      <c r="F638" s="195"/>
      <c r="G638" s="195"/>
      <c r="H638" s="195"/>
      <c r="I638" s="195"/>
      <c r="J638" s="195"/>
      <c r="K638" s="199" t="str">
        <f>Translations!$B$221</f>
        <v>Unit</v>
      </c>
      <c r="L638" s="199" t="str">
        <f>Translations!$B$260</f>
        <v>Value</v>
      </c>
      <c r="M638" s="195"/>
      <c r="N638" s="196"/>
      <c r="O638" s="901"/>
      <c r="P638" s="144"/>
      <c r="T638" s="712"/>
      <c r="X638" s="104"/>
    </row>
    <row r="639" spans="1:24" ht="12.75" customHeight="1" x14ac:dyDescent="0.35">
      <c r="C639" s="192"/>
      <c r="D639" s="199" t="s">
        <v>413</v>
      </c>
      <c r="E639" s="200" t="str">
        <f>Translations!$B$261</f>
        <v>Directly attributable emissions (DirEm*)</v>
      </c>
      <c r="F639" s="201"/>
      <c r="G639" s="201"/>
      <c r="H639" s="201"/>
      <c r="I639" s="201"/>
      <c r="J639" s="201"/>
      <c r="K639" s="205" t="str">
        <f>CONST_tCO2eq</f>
        <v>tCO2e</v>
      </c>
      <c r="L639" s="213"/>
      <c r="M639" s="195"/>
      <c r="N639" s="196"/>
      <c r="O639" s="902"/>
      <c r="P639" s="144"/>
      <c r="R639" s="102" t="str">
        <f>CONST_EmDir&amp;G596</f>
        <v>EmDir_</v>
      </c>
      <c r="S639" s="102" t="str">
        <f>CONST_CNTR_EmbedEmDir&amp;G596</f>
        <v>EmbedEmDir_</v>
      </c>
      <c r="T639" s="124" t="str">
        <f>IF(G596="","",L639)</f>
        <v/>
      </c>
      <c r="V639" s="157" t="str">
        <f>IF(L596&lt;&gt;"",IF(L639&lt;&gt;"",TRUE,CONST_ErrorOrMissing&amp;C596),CONST_NA)</f>
        <v>n.a.</v>
      </c>
      <c r="X639" s="104"/>
    </row>
    <row r="640" spans="1:24" ht="5.15" customHeight="1" x14ac:dyDescent="0.35">
      <c r="C640" s="192"/>
      <c r="D640" s="204"/>
      <c r="E640" s="198"/>
      <c r="F640" s="195"/>
      <c r="G640" s="195"/>
      <c r="H640" s="195"/>
      <c r="I640" s="195"/>
      <c r="J640" s="195"/>
      <c r="K640" s="195"/>
      <c r="L640" s="199"/>
      <c r="M640" s="199"/>
      <c r="N640" s="196"/>
      <c r="O640" s="901"/>
      <c r="P640" s="144"/>
      <c r="T640" s="712"/>
    </row>
    <row r="641" spans="3:24" ht="12.75" customHeight="1" x14ac:dyDescent="0.35">
      <c r="C641" s="192"/>
      <c r="D641" s="199" t="s">
        <v>414</v>
      </c>
      <c r="E641" s="198" t="str">
        <f>Translations!$B$262</f>
        <v>Import and export of measurable heat</v>
      </c>
      <c r="F641" s="195"/>
      <c r="G641" s="195"/>
      <c r="H641" s="195"/>
      <c r="I641" s="195"/>
      <c r="J641" s="195"/>
      <c r="K641" s="199" t="str">
        <f>Translations!$B$221</f>
        <v>Unit</v>
      </c>
      <c r="L641" s="199" t="str">
        <f>Translations!$B$263</f>
        <v>Imported</v>
      </c>
      <c r="M641" s="199" t="str">
        <f>Translations!$B$264</f>
        <v>Exported</v>
      </c>
      <c r="N641" s="196"/>
      <c r="O641" s="901"/>
      <c r="P641" s="144"/>
      <c r="T641" s="712"/>
      <c r="W641" s="104" t="s">
        <v>34</v>
      </c>
      <c r="X641" s="102" t="b">
        <f>AND(K635&lt;&gt;"",K635=FALSE)</f>
        <v>0</v>
      </c>
    </row>
    <row r="642" spans="3:24" ht="12.75" customHeight="1" x14ac:dyDescent="0.35">
      <c r="C642" s="192"/>
      <c r="D642" s="197" t="s">
        <v>41</v>
      </c>
      <c r="E642" s="201" t="str">
        <f>Translations!$B$265</f>
        <v>Amount of net measurable heat</v>
      </c>
      <c r="F642" s="201"/>
      <c r="G642" s="201"/>
      <c r="H642" s="201"/>
      <c r="I642" s="201"/>
      <c r="J642" s="201"/>
      <c r="K642" s="205" t="s">
        <v>118</v>
      </c>
      <c r="L642" s="213"/>
      <c r="M642" s="213"/>
      <c r="N642" s="196"/>
      <c r="O642" s="902"/>
      <c r="P642" s="144"/>
      <c r="T642" s="712"/>
      <c r="V642" s="157" t="str">
        <f>IF(AND(L596&lt;&gt;"",X642=FALSE),IF(COUNTA(L642:M642)=2,TRUE,CONST_ErrorOrMissing&amp;C596),CONST_NA)</f>
        <v>n.a.</v>
      </c>
      <c r="X642" s="102" t="b">
        <f>X641</f>
        <v>0</v>
      </c>
    </row>
    <row r="643" spans="3:24" ht="12.75" customHeight="1" x14ac:dyDescent="0.35">
      <c r="C643" s="192"/>
      <c r="D643" s="197" t="s">
        <v>42</v>
      </c>
      <c r="E643" s="201" t="str">
        <f>Translations!$B$266</f>
        <v>Emissions factor</v>
      </c>
      <c r="F643" s="201"/>
      <c r="G643" s="201"/>
      <c r="H643" s="201"/>
      <c r="I643" s="201"/>
      <c r="J643" s="201"/>
      <c r="K643" s="205" t="str">
        <f>CONST_tCO2pTJ</f>
        <v>tCO2/TJ</v>
      </c>
      <c r="L643" s="214"/>
      <c r="M643" s="214"/>
      <c r="N643" s="196"/>
      <c r="O643" s="902"/>
      <c r="P643" s="144"/>
      <c r="R643" s="102" t="str">
        <f>CONST_EmDirHeat&amp;G596</f>
        <v>EmDirHeat_</v>
      </c>
      <c r="S643" s="102" t="str">
        <f>CONST_CNTR_EmbedEmDir&amp;G596</f>
        <v>EmbedEmDir_</v>
      </c>
      <c r="T643" s="124" t="str">
        <f>IF(G596="","",SUM(L642*L643-M642*M643))</f>
        <v/>
      </c>
      <c r="V643" s="157" t="str">
        <f>IF(AND(L596&lt;&gt;"",X643=FALSE),IF(COUNTA(L643:M643)=2,TRUE,CONST_ErrorOrMissing&amp;C596),CONST_NA)</f>
        <v>n.a.</v>
      </c>
      <c r="X643" s="102" t="b">
        <f>X642</f>
        <v>0</v>
      </c>
    </row>
    <row r="644" spans="3:24" ht="5.15" customHeight="1" x14ac:dyDescent="0.35">
      <c r="C644" s="192"/>
      <c r="D644" s="204"/>
      <c r="E644" s="198"/>
      <c r="F644" s="195"/>
      <c r="G644" s="195"/>
      <c r="H644" s="195"/>
      <c r="I644" s="195"/>
      <c r="J644" s="195"/>
      <c r="K644" s="195"/>
      <c r="L644" s="199"/>
      <c r="M644" s="199"/>
      <c r="N644" s="196"/>
      <c r="O644" s="901"/>
      <c r="P644" s="144"/>
      <c r="T644" s="712"/>
    </row>
    <row r="645" spans="3:24" ht="12.75" customHeight="1" x14ac:dyDescent="0.35">
      <c r="C645" s="192"/>
      <c r="D645" s="199" t="s">
        <v>415</v>
      </c>
      <c r="E645" s="198" t="str">
        <f>Translations!$B$256</f>
        <v>Waste gases</v>
      </c>
      <c r="F645" s="195"/>
      <c r="G645" s="195"/>
      <c r="H645" s="195"/>
      <c r="I645" s="195"/>
      <c r="J645" s="195"/>
      <c r="K645" s="199" t="str">
        <f>Translations!$B$221</f>
        <v>Unit</v>
      </c>
      <c r="L645" s="199" t="str">
        <f>Translations!$B$263</f>
        <v>Imported</v>
      </c>
      <c r="M645" s="199" t="str">
        <f>Translations!$B$264</f>
        <v>Exported</v>
      </c>
      <c r="N645" s="196"/>
      <c r="O645" s="901"/>
      <c r="P645" s="144"/>
      <c r="T645" s="712"/>
      <c r="W645" s="104" t="s">
        <v>34</v>
      </c>
      <c r="X645" s="102" t="b">
        <f>AND(L635&lt;&gt;"",L635=FALSE)</f>
        <v>0</v>
      </c>
    </row>
    <row r="646" spans="3:24" ht="12.75" customHeight="1" x14ac:dyDescent="0.35">
      <c r="C646" s="192"/>
      <c r="D646" s="197" t="s">
        <v>41</v>
      </c>
      <c r="E646" s="201" t="str">
        <f>Translations!$B$267</f>
        <v>Amount of waste gas</v>
      </c>
      <c r="F646" s="201"/>
      <c r="G646" s="201"/>
      <c r="H646" s="201"/>
      <c r="I646" s="201"/>
      <c r="J646" s="201"/>
      <c r="K646" s="205" t="str">
        <f>CONST_TJ</f>
        <v>TJ</v>
      </c>
      <c r="L646" s="213"/>
      <c r="M646" s="213"/>
      <c r="N646" s="196"/>
      <c r="O646" s="902"/>
      <c r="P646" s="144"/>
      <c r="T646" s="712"/>
      <c r="V646" s="157" t="str">
        <f>IF(AND(L596&lt;&gt;"",X646=FALSE),IF(COUNTA(L646:M646)=2,TRUE,CONST_ErrorOrMissing&amp;C596),CONST_NA)</f>
        <v>n.a.</v>
      </c>
      <c r="X646" s="102" t="b">
        <f>X645</f>
        <v>0</v>
      </c>
    </row>
    <row r="647" spans="3:24" ht="12.75" customHeight="1" x14ac:dyDescent="0.35">
      <c r="C647" s="192"/>
      <c r="D647" s="197" t="s">
        <v>42</v>
      </c>
      <c r="E647" s="201" t="str">
        <f>Translations!$B$268</f>
        <v>Emission factor</v>
      </c>
      <c r="F647" s="201"/>
      <c r="G647" s="201"/>
      <c r="H647" s="201"/>
      <c r="I647" s="201"/>
      <c r="J647" s="201"/>
      <c r="K647" s="205" t="str">
        <f>CONST_tCO2pTJ</f>
        <v>tCO2/TJ</v>
      </c>
      <c r="L647" s="300"/>
      <c r="M647" s="300"/>
      <c r="N647" s="196"/>
      <c r="O647" s="901"/>
      <c r="P647" s="144"/>
      <c r="R647" s="102" t="str">
        <f>CONST_EmDirWasteGases&amp;G596</f>
        <v>EmDirWG_</v>
      </c>
      <c r="S647" s="102" t="str">
        <f>CONST_CNTR_EmbedEmDir&amp;G596</f>
        <v>EmbedEmDir_</v>
      </c>
      <c r="T647" s="124" t="str">
        <f>IF(G596="","",SUM(L646*CONST_EFNatGas-M646*CONST_EFNatGas*0.667))</f>
        <v/>
      </c>
      <c r="X647" s="102" t="b">
        <f>X646</f>
        <v>0</v>
      </c>
    </row>
    <row r="648" spans="3:24" ht="5.15" customHeight="1" x14ac:dyDescent="0.35">
      <c r="C648" s="192"/>
      <c r="D648" s="204"/>
      <c r="E648" s="198"/>
      <c r="F648" s="195"/>
      <c r="G648" s="195"/>
      <c r="H648" s="195"/>
      <c r="I648" s="195"/>
      <c r="J648" s="195"/>
      <c r="K648" s="195"/>
      <c r="L648" s="195"/>
      <c r="M648" s="195"/>
      <c r="N648" s="196"/>
      <c r="O648" s="901"/>
      <c r="P648" s="144"/>
      <c r="T648" s="712"/>
    </row>
    <row r="649" spans="3:24" ht="12.75" customHeight="1" x14ac:dyDescent="0.35">
      <c r="C649" s="192"/>
      <c r="D649" s="199" t="s">
        <v>416</v>
      </c>
      <c r="E649" s="198" t="str">
        <f>Translations!$B$269</f>
        <v>Indirect emissions from electricity consumption</v>
      </c>
      <c r="F649" s="195"/>
      <c r="G649" s="195"/>
      <c r="H649" s="195"/>
      <c r="I649" s="195"/>
      <c r="J649" s="195"/>
      <c r="K649" s="199" t="str">
        <f>Translations!$B$221</f>
        <v>Unit</v>
      </c>
      <c r="L649" s="199" t="str">
        <f>Translations!$B$260</f>
        <v>Value</v>
      </c>
      <c r="M649" s="195"/>
      <c r="N649" s="196"/>
      <c r="O649" s="901"/>
      <c r="P649" s="144"/>
      <c r="T649" s="712"/>
      <c r="W649" s="104" t="s">
        <v>34</v>
      </c>
      <c r="X649" s="102" t="b">
        <f>M635=FALSE</f>
        <v>0</v>
      </c>
    </row>
    <row r="650" spans="3:24" ht="12.75" customHeight="1" x14ac:dyDescent="0.35">
      <c r="C650" s="192"/>
      <c r="D650" s="197" t="s">
        <v>41</v>
      </c>
      <c r="E650" s="201" t="str">
        <f>Translations!$B$270</f>
        <v>Electricity consumption</v>
      </c>
      <c r="F650" s="201"/>
      <c r="G650" s="201"/>
      <c r="H650" s="201"/>
      <c r="I650" s="201"/>
      <c r="J650" s="201"/>
      <c r="K650" s="205" t="str">
        <f>CONST_MWh</f>
        <v>MWh</v>
      </c>
      <c r="L650" s="213"/>
      <c r="M650" s="195"/>
      <c r="N650" s="196"/>
      <c r="O650" s="902"/>
      <c r="P650" s="144"/>
      <c r="R650" s="102" t="str">
        <f>CONST_ElecConsumption&amp;G596</f>
        <v>ElecCons_</v>
      </c>
      <c r="T650" s="124" t="str">
        <f>IF(G596="","",L650)</f>
        <v/>
      </c>
      <c r="V650" s="157" t="str">
        <f>IF(AND(L596&lt;&gt;"",X650=FALSE),IF(L650&lt;&gt;"",TRUE,CONST_ErrorOrMissing&amp;C596),CONST_NA)</f>
        <v>n.a.</v>
      </c>
      <c r="X650" s="102" t="b">
        <f>X649</f>
        <v>0</v>
      </c>
    </row>
    <row r="651" spans="3:24" ht="12.75" customHeight="1" x14ac:dyDescent="0.35">
      <c r="C651" s="192"/>
      <c r="D651" s="197" t="s">
        <v>42</v>
      </c>
      <c r="E651" s="201" t="str">
        <f>Translations!$B$271</f>
        <v>Emission factor of the electricity</v>
      </c>
      <c r="F651" s="201"/>
      <c r="G651" s="201"/>
      <c r="H651" s="201"/>
      <c r="I651" s="201"/>
      <c r="J651" s="201"/>
      <c r="K651" s="205" t="str">
        <f>CONST_tCO2&amp;"/"&amp;CONST_MWh</f>
        <v>tCO2/MWh</v>
      </c>
      <c r="L651" s="215"/>
      <c r="M651" s="195"/>
      <c r="N651" s="196"/>
      <c r="O651" s="902"/>
      <c r="P651" s="144"/>
      <c r="S651" s="102" t="str">
        <f>CONST_CNTR_EmbedEmInDir&amp;G596</f>
        <v>EmbedEmInDir_</v>
      </c>
      <c r="T651" s="124" t="str">
        <f>IF(G596="","",SUM(L650)*SUM(L651))</f>
        <v/>
      </c>
      <c r="V651" s="157" t="str">
        <f>IF(AND(L596&lt;&gt;"",X651=FALSE),IF(L651&lt;&gt;"",TRUE,CONST_ErrorOrMissing&amp;C596),CONST_NA)</f>
        <v>n.a.</v>
      </c>
      <c r="X651" s="102" t="b">
        <f>X650</f>
        <v>0</v>
      </c>
    </row>
    <row r="652" spans="3:24" ht="12.75" customHeight="1" x14ac:dyDescent="0.35">
      <c r="C652" s="192"/>
      <c r="D652" s="197" t="s">
        <v>43</v>
      </c>
      <c r="E652" s="201" t="str">
        <f>Translations!$B$272</f>
        <v>Source of the emission factor</v>
      </c>
      <c r="F652" s="201"/>
      <c r="G652" s="201"/>
      <c r="H652" s="201"/>
      <c r="I652" s="201"/>
      <c r="J652" s="201"/>
      <c r="K652" s="299" t="s">
        <v>206</v>
      </c>
      <c r="L652" s="215"/>
      <c r="M652" s="195"/>
      <c r="N652" s="196"/>
      <c r="O652" s="902"/>
      <c r="P652" s="144"/>
      <c r="R652" s="102" t="str">
        <f>CONST_CNTR_ElecEFMethod&amp;G596</f>
        <v>ElecEFMeth_</v>
      </c>
      <c r="T652" s="714" t="str">
        <f>IF(L652="","",L652)</f>
        <v/>
      </c>
      <c r="V652" s="157" t="str">
        <f>IF(AND(L596&lt;&gt;"",X652=FALSE),IF(L652&lt;&gt;"",TRUE,CONST_ErrorOrMissing&amp;C596),CONST_NA)</f>
        <v>n.a.</v>
      </c>
      <c r="X652" s="102" t="b">
        <f>X651</f>
        <v>0</v>
      </c>
    </row>
    <row r="653" spans="3:24" ht="5.15" customHeight="1" x14ac:dyDescent="0.35">
      <c r="C653" s="192"/>
      <c r="D653" s="204"/>
      <c r="E653" s="198"/>
      <c r="F653" s="195"/>
      <c r="G653" s="195"/>
      <c r="H653" s="195"/>
      <c r="I653" s="195"/>
      <c r="J653" s="195"/>
      <c r="K653" s="195"/>
      <c r="L653" s="195"/>
      <c r="M653" s="195"/>
      <c r="N653" s="196"/>
      <c r="O653" s="901"/>
      <c r="P653" s="144"/>
      <c r="T653" s="712"/>
    </row>
    <row r="654" spans="3:24" ht="12.75" customHeight="1" x14ac:dyDescent="0.35">
      <c r="C654" s="192"/>
      <c r="D654" s="204"/>
      <c r="E654" s="198"/>
      <c r="F654" s="195"/>
      <c r="G654" s="195"/>
      <c r="H654" s="195"/>
      <c r="I654" s="195"/>
      <c r="J654" s="195"/>
      <c r="K654" s="195"/>
      <c r="L654" s="195"/>
      <c r="M654" s="195"/>
      <c r="N654" s="196"/>
      <c r="O654" s="901"/>
      <c r="P654" s="144"/>
      <c r="T654" s="712"/>
      <c r="X654" s="171"/>
    </row>
    <row r="655" spans="3:24" ht="12.75" customHeight="1" x14ac:dyDescent="0.35">
      <c r="C655" s="192"/>
      <c r="D655" s="199" t="s">
        <v>417</v>
      </c>
      <c r="E655" s="198" t="str">
        <f>Translations!$B$273</f>
        <v>Electricity exported from the production process</v>
      </c>
      <c r="F655" s="195"/>
      <c r="G655" s="195"/>
      <c r="H655" s="195"/>
      <c r="I655" s="195"/>
      <c r="J655" s="195"/>
      <c r="K655" s="199" t="str">
        <f>Translations!$B$221</f>
        <v>Unit</v>
      </c>
      <c r="L655" s="199" t="str">
        <f>Translations!$B$260</f>
        <v>Value</v>
      </c>
      <c r="M655" s="195"/>
      <c r="N655" s="196"/>
      <c r="O655" s="901"/>
      <c r="P655" s="144"/>
      <c r="T655" s="712"/>
      <c r="X655" s="171"/>
    </row>
    <row r="656" spans="3:24" ht="12.75" customHeight="1" x14ac:dyDescent="0.35">
      <c r="C656" s="192"/>
      <c r="D656" s="197" t="s">
        <v>41</v>
      </c>
      <c r="E656" s="201" t="str">
        <f>Translations!$B$274</f>
        <v>Amounts exported</v>
      </c>
      <c r="F656" s="201"/>
      <c r="G656" s="201"/>
      <c r="H656" s="201"/>
      <c r="I656" s="201"/>
      <c r="J656" s="201"/>
      <c r="K656" s="205" t="s">
        <v>51</v>
      </c>
      <c r="L656" s="213"/>
      <c r="M656" s="195"/>
      <c r="N656" s="196"/>
      <c r="O656" s="902"/>
      <c r="P656" s="144"/>
      <c r="T656" s="712"/>
      <c r="V656" s="157" t="str">
        <f>IF(L596&lt;&gt;"",IF(L656&lt;&gt;"",TRUE,CONST_ErrorOrMissing&amp;C596),CONST_NA)</f>
        <v>n.a.</v>
      </c>
      <c r="X656" s="171"/>
    </row>
    <row r="657" spans="1:24" ht="12.75" customHeight="1" x14ac:dyDescent="0.35">
      <c r="C657" s="192"/>
      <c r="D657" s="197" t="s">
        <v>42</v>
      </c>
      <c r="E657" s="201" t="str">
        <f>Translations!$B$271</f>
        <v>Emission factor of the electricity</v>
      </c>
      <c r="F657" s="201"/>
      <c r="G657" s="201"/>
      <c r="H657" s="201"/>
      <c r="I657" s="201"/>
      <c r="J657" s="201"/>
      <c r="K657" s="205" t="str">
        <f>CONST_tCO2&amp;"/"&amp;CONST_MWh</f>
        <v>tCO2/MWh</v>
      </c>
      <c r="L657" s="215"/>
      <c r="M657" s="195"/>
      <c r="N657" s="196"/>
      <c r="O657" s="902"/>
      <c r="P657" s="144"/>
      <c r="S657" s="102" t="str">
        <f>CONST_CNTR_EmbedEmDir&amp;G596</f>
        <v>EmbedEmDir_</v>
      </c>
      <c r="T657" s="124" t="str">
        <f>IF(G596="","",-SUM(L656)*SUM(L657))</f>
        <v/>
      </c>
      <c r="V657" s="157" t="str">
        <f>IF(AND(L596&lt;&gt;"",SUM(L656)&gt;0),IF(L657&lt;&gt;"",TRUE,CONST_ErrorOrMissing&amp;C596),CONST_NA)</f>
        <v>n.a.</v>
      </c>
      <c r="X657" s="171"/>
    </row>
    <row r="658" spans="1:24" s="144" customFormat="1" ht="12.75" customHeight="1" thickBot="1" x14ac:dyDescent="0.4">
      <c r="A658" s="91"/>
      <c r="B658" s="93"/>
      <c r="C658" s="206"/>
      <c r="D658" s="207"/>
      <c r="E658" s="208"/>
      <c r="F658" s="209"/>
      <c r="G658" s="209"/>
      <c r="H658" s="209"/>
      <c r="I658" s="209"/>
      <c r="J658" s="209"/>
      <c r="K658" s="209"/>
      <c r="L658" s="209"/>
      <c r="M658" s="209"/>
      <c r="N658" s="210"/>
      <c r="O658" s="901"/>
      <c r="Q658" s="93"/>
      <c r="R658" s="91"/>
      <c r="S658" s="91"/>
      <c r="T658" s="91"/>
      <c r="U658" s="91"/>
      <c r="V658" s="91"/>
      <c r="W658" s="104"/>
      <c r="X658" s="91"/>
    </row>
    <row r="659" spans="1:24" s="144" customFormat="1" ht="12.75" customHeight="1" thickBot="1" x14ac:dyDescent="0.4">
      <c r="A659" s="91"/>
      <c r="B659" s="93"/>
      <c r="C659" s="93"/>
      <c r="D659" s="93"/>
      <c r="E659" s="93"/>
      <c r="F659" s="93"/>
      <c r="G659" s="93"/>
      <c r="H659" s="93"/>
      <c r="I659" s="93"/>
      <c r="J659" s="93"/>
      <c r="K659" s="93"/>
      <c r="L659" s="93"/>
      <c r="M659" s="93"/>
      <c r="N659" s="93"/>
      <c r="O659" s="904"/>
      <c r="Q659" s="93"/>
      <c r="R659" s="91"/>
      <c r="S659" s="91"/>
      <c r="T659" s="91"/>
      <c r="U659" s="91"/>
      <c r="V659" s="91"/>
      <c r="W659" s="104"/>
      <c r="X659" s="91"/>
    </row>
    <row r="660" spans="1:24" s="144" customFormat="1" ht="12.75" customHeight="1" x14ac:dyDescent="0.35">
      <c r="A660" s="91"/>
      <c r="B660" s="145"/>
      <c r="C660" s="145"/>
      <c r="D660" s="145"/>
      <c r="E660" s="145"/>
      <c r="F660" s="145"/>
      <c r="G660" s="145"/>
      <c r="H660" s="145"/>
      <c r="I660" s="145"/>
      <c r="J660" s="145"/>
      <c r="K660" s="145"/>
      <c r="L660" s="145"/>
      <c r="M660" s="145"/>
      <c r="N660" s="145"/>
      <c r="O660" s="145"/>
      <c r="P660" s="94"/>
      <c r="Q660" s="93"/>
      <c r="R660" s="91"/>
      <c r="S660" s="91"/>
      <c r="T660" s="91"/>
      <c r="U660" s="91"/>
      <c r="V660" s="91"/>
      <c r="W660" s="104"/>
      <c r="X660" s="91"/>
    </row>
    <row r="661" spans="1:24" s="144" customFormat="1" ht="12.75" customHeight="1" x14ac:dyDescent="0.35">
      <c r="A661" s="91"/>
      <c r="B661" s="93"/>
      <c r="C661" s="93"/>
      <c r="D661" s="93"/>
      <c r="E661" s="93"/>
      <c r="F661" s="93"/>
      <c r="G661" s="93"/>
      <c r="H661" s="93"/>
      <c r="I661" s="93"/>
      <c r="J661" s="93"/>
      <c r="K661" s="93"/>
      <c r="L661" s="93"/>
      <c r="M661" s="93"/>
      <c r="N661" s="93"/>
      <c r="O661" s="93"/>
      <c r="P661" s="94"/>
      <c r="Q661" s="93"/>
      <c r="R661" s="91"/>
      <c r="S661" s="91"/>
      <c r="T661" s="91"/>
      <c r="U661" s="91"/>
      <c r="V661" s="91"/>
      <c r="W661" s="104"/>
      <c r="X661" s="91"/>
    </row>
    <row r="662" spans="1:24" s="91" customFormat="1" ht="12.75" hidden="1" customHeight="1" x14ac:dyDescent="0.35">
      <c r="A662" s="91" t="s">
        <v>3</v>
      </c>
      <c r="P662" s="92" t="s">
        <v>116</v>
      </c>
      <c r="W662" s="104"/>
    </row>
    <row r="663" spans="1:24" s="91" customFormat="1" ht="12.75" hidden="1" customHeight="1" x14ac:dyDescent="0.35">
      <c r="A663" s="91" t="s">
        <v>3</v>
      </c>
      <c r="P663" s="92"/>
      <c r="W663" s="104"/>
    </row>
    <row r="664" spans="1:24" s="91" customFormat="1" ht="12.75" hidden="1" customHeight="1" x14ac:dyDescent="0.35">
      <c r="A664" s="91" t="s">
        <v>3</v>
      </c>
      <c r="P664" s="92"/>
      <c r="W664" s="104"/>
    </row>
  </sheetData>
  <sheetProtection sheet="1" objects="1" scenarios="1" formatCells="0" formatColumns="0" formatRows="0"/>
  <mergeCells count="71">
    <mergeCell ref="G596:K596"/>
    <mergeCell ref="L596:N596"/>
    <mergeCell ref="E598:M598"/>
    <mergeCell ref="J630:M630"/>
    <mergeCell ref="E632:M632"/>
    <mergeCell ref="G531:K531"/>
    <mergeCell ref="L531:N531"/>
    <mergeCell ref="E533:M533"/>
    <mergeCell ref="J565:M565"/>
    <mergeCell ref="E567:M567"/>
    <mergeCell ref="G466:K466"/>
    <mergeCell ref="L466:N466"/>
    <mergeCell ref="E468:M468"/>
    <mergeCell ref="J500:M500"/>
    <mergeCell ref="E502:M502"/>
    <mergeCell ref="G401:K401"/>
    <mergeCell ref="L401:N401"/>
    <mergeCell ref="E403:M403"/>
    <mergeCell ref="J435:M435"/>
    <mergeCell ref="E437:M437"/>
    <mergeCell ref="G336:K336"/>
    <mergeCell ref="L336:N336"/>
    <mergeCell ref="E338:M338"/>
    <mergeCell ref="J370:M370"/>
    <mergeCell ref="E372:M372"/>
    <mergeCell ref="G271:K271"/>
    <mergeCell ref="L271:N271"/>
    <mergeCell ref="E273:M273"/>
    <mergeCell ref="J305:M305"/>
    <mergeCell ref="E307:M307"/>
    <mergeCell ref="G206:K206"/>
    <mergeCell ref="L206:N206"/>
    <mergeCell ref="E208:M208"/>
    <mergeCell ref="J240:M240"/>
    <mergeCell ref="E242:M242"/>
    <mergeCell ref="E13:M13"/>
    <mergeCell ref="G11:K11"/>
    <mergeCell ref="L11:N11"/>
    <mergeCell ref="M5:N5"/>
    <mergeCell ref="E4:F4"/>
    <mergeCell ref="G4:H4"/>
    <mergeCell ref="I4:J4"/>
    <mergeCell ref="K4:L4"/>
    <mergeCell ref="M4:N4"/>
    <mergeCell ref="B2:D5"/>
    <mergeCell ref="E5:F5"/>
    <mergeCell ref="G5:H5"/>
    <mergeCell ref="I5:J5"/>
    <mergeCell ref="K5:L5"/>
    <mergeCell ref="M2:N2"/>
    <mergeCell ref="E3:F3"/>
    <mergeCell ref="G3:H3"/>
    <mergeCell ref="I3:J3"/>
    <mergeCell ref="K3:L3"/>
    <mergeCell ref="M3:N3"/>
    <mergeCell ref="E2:F2"/>
    <mergeCell ref="G2:H2"/>
    <mergeCell ref="I2:J2"/>
    <mergeCell ref="K2:L2"/>
    <mergeCell ref="J175:M175"/>
    <mergeCell ref="E177:M177"/>
    <mergeCell ref="J45:M45"/>
    <mergeCell ref="E47:M47"/>
    <mergeCell ref="G141:K141"/>
    <mergeCell ref="L141:N141"/>
    <mergeCell ref="E143:M143"/>
    <mergeCell ref="G76:K76"/>
    <mergeCell ref="L76:N76"/>
    <mergeCell ref="E78:M78"/>
    <mergeCell ref="J110:M110"/>
    <mergeCell ref="E112:M112"/>
  </mergeCells>
  <conditionalFormatting sqref="D56:M72">
    <cfRule type="expression" dxfId="531" priority="477">
      <formula>$X56</formula>
    </cfRule>
  </conditionalFormatting>
  <conditionalFormatting sqref="D31:M41 M40:M42">
    <cfRule type="expression" dxfId="530" priority="476">
      <formula>$X31</formula>
    </cfRule>
  </conditionalFormatting>
  <conditionalFormatting sqref="O16:O23 O32:O42">
    <cfRule type="expression" dxfId="529" priority="474">
      <formula>$V16=TRUE</formula>
    </cfRule>
    <cfRule type="expression" dxfId="528" priority="475">
      <formula>$V16=CONST_NA</formula>
    </cfRule>
  </conditionalFormatting>
  <conditionalFormatting sqref="O57">
    <cfRule type="expression" dxfId="527" priority="472">
      <formula>$V57=TRUE</formula>
    </cfRule>
    <cfRule type="expression" dxfId="526" priority="473">
      <formula>$V57=CONST_NA</formula>
    </cfRule>
  </conditionalFormatting>
  <conditionalFormatting sqref="O58">
    <cfRule type="expression" dxfId="525" priority="470">
      <formula>$V58=TRUE</formula>
    </cfRule>
    <cfRule type="expression" dxfId="524" priority="471">
      <formula>$V58=CONST_NA</formula>
    </cfRule>
  </conditionalFormatting>
  <conditionalFormatting sqref="O61">
    <cfRule type="expression" dxfId="523" priority="468">
      <formula>$V61=TRUE</formula>
    </cfRule>
    <cfRule type="expression" dxfId="522" priority="469">
      <formula>$V61=CONST_NA</formula>
    </cfRule>
  </conditionalFormatting>
  <conditionalFormatting sqref="O65">
    <cfRule type="expression" dxfId="521" priority="464">
      <formula>$V65=TRUE</formula>
    </cfRule>
    <cfRule type="expression" dxfId="520" priority="465">
      <formula>$V65=CONST_NA</formula>
    </cfRule>
  </conditionalFormatting>
  <conditionalFormatting sqref="O66">
    <cfRule type="expression" dxfId="519" priority="462">
      <formula>$V66=TRUE</formula>
    </cfRule>
    <cfRule type="expression" dxfId="518" priority="463">
      <formula>$V66=CONST_NA</formula>
    </cfRule>
  </conditionalFormatting>
  <conditionalFormatting sqref="O54">
    <cfRule type="expression" dxfId="517" priority="458">
      <formula>$V54=TRUE</formula>
    </cfRule>
    <cfRule type="expression" dxfId="516" priority="459">
      <formula>$V54=CONST_NA</formula>
    </cfRule>
  </conditionalFormatting>
  <conditionalFormatting sqref="O50">
    <cfRule type="expression" dxfId="515" priority="456">
      <formula>$V50=TRUE</formula>
    </cfRule>
    <cfRule type="expression" dxfId="514" priority="457">
      <formula>$V50=CONST_NA</formula>
    </cfRule>
  </conditionalFormatting>
  <conditionalFormatting sqref="O27">
    <cfRule type="expression" dxfId="513" priority="453">
      <formula>$V27=TRUE</formula>
    </cfRule>
    <cfRule type="expression" dxfId="512" priority="454">
      <formula>$V27=CONST_NA</formula>
    </cfRule>
  </conditionalFormatting>
  <conditionalFormatting sqref="E17:M23">
    <cfRule type="expression" dxfId="511" priority="478">
      <formula>$H17=CONST_NA</formula>
    </cfRule>
  </conditionalFormatting>
  <conditionalFormatting sqref="C11:N658">
    <cfRule type="expression" dxfId="510" priority="391">
      <formula>INDEX($X:$X,MATCH(MAX(INDIRECT(ADDRESS(1,3)&amp;":"&amp;ADDRESS(ROW(D11),3))),$C:$C,0))</formula>
    </cfRule>
  </conditionalFormatting>
  <conditionalFormatting sqref="E72">
    <cfRule type="expression" dxfId="509" priority="383">
      <formula>$X72</formula>
    </cfRule>
  </conditionalFormatting>
  <conditionalFormatting sqref="O67">
    <cfRule type="expression" dxfId="508" priority="377">
      <formula>$V67=TRUE</formula>
    </cfRule>
    <cfRule type="expression" dxfId="507" priority="378">
      <formula>$V67=CONST_NA</formula>
    </cfRule>
  </conditionalFormatting>
  <conditionalFormatting sqref="G3:N5">
    <cfRule type="expression" dxfId="506" priority="376">
      <formula>COUNTIF($V:$V,CONST_ErrorOrMissing&amp;R3)&gt;0</formula>
    </cfRule>
  </conditionalFormatting>
  <conditionalFormatting sqref="O71">
    <cfRule type="expression" dxfId="505" priority="372">
      <formula>$V71=TRUE</formula>
    </cfRule>
    <cfRule type="expression" dxfId="504" priority="373">
      <formula>$V71=CONST_NA</formula>
    </cfRule>
  </conditionalFormatting>
  <conditionalFormatting sqref="O72">
    <cfRule type="expression" dxfId="503" priority="370">
      <formula>$V72=TRUE</formula>
    </cfRule>
    <cfRule type="expression" dxfId="502" priority="371">
      <formula>$V72=CONST_NA</formula>
    </cfRule>
  </conditionalFormatting>
  <conditionalFormatting sqref="D121:M137">
    <cfRule type="expression" dxfId="501" priority="280">
      <formula>$X121</formula>
    </cfRule>
  </conditionalFormatting>
  <conditionalFormatting sqref="D96:M106 M107">
    <cfRule type="expression" dxfId="500" priority="279">
      <formula>$X96</formula>
    </cfRule>
  </conditionalFormatting>
  <conditionalFormatting sqref="O81:O88 O97:O107">
    <cfRule type="expression" dxfId="499" priority="277">
      <formula>$V81=TRUE</formula>
    </cfRule>
    <cfRule type="expression" dxfId="498" priority="278">
      <formula>$V81=CONST_NA</formula>
    </cfRule>
  </conditionalFormatting>
  <conditionalFormatting sqref="O122">
    <cfRule type="expression" dxfId="497" priority="275">
      <formula>$V122=TRUE</formula>
    </cfRule>
    <cfRule type="expression" dxfId="496" priority="276">
      <formula>$V122=CONST_NA</formula>
    </cfRule>
  </conditionalFormatting>
  <conditionalFormatting sqref="O123">
    <cfRule type="expression" dxfId="495" priority="273">
      <formula>$V123=TRUE</formula>
    </cfRule>
    <cfRule type="expression" dxfId="494" priority="274">
      <formula>$V123=CONST_NA</formula>
    </cfRule>
  </conditionalFormatting>
  <conditionalFormatting sqref="O126">
    <cfRule type="expression" dxfId="493" priority="271">
      <formula>$V126=TRUE</formula>
    </cfRule>
    <cfRule type="expression" dxfId="492" priority="272">
      <formula>$V126=CONST_NA</formula>
    </cfRule>
  </conditionalFormatting>
  <conditionalFormatting sqref="O130">
    <cfRule type="expression" dxfId="491" priority="269">
      <formula>$V130=TRUE</formula>
    </cfRule>
    <cfRule type="expression" dxfId="490" priority="270">
      <formula>$V130=CONST_NA</formula>
    </cfRule>
  </conditionalFormatting>
  <conditionalFormatting sqref="O131">
    <cfRule type="expression" dxfId="489" priority="267">
      <formula>$V131=TRUE</formula>
    </cfRule>
    <cfRule type="expression" dxfId="488" priority="268">
      <formula>$V131=CONST_NA</formula>
    </cfRule>
  </conditionalFormatting>
  <conditionalFormatting sqref="O119">
    <cfRule type="expression" dxfId="487" priority="265">
      <formula>$V119=TRUE</formula>
    </cfRule>
    <cfRule type="expression" dxfId="486" priority="266">
      <formula>$V119=CONST_NA</formula>
    </cfRule>
  </conditionalFormatting>
  <conditionalFormatting sqref="O115">
    <cfRule type="expression" dxfId="485" priority="263">
      <formula>$V115=TRUE</formula>
    </cfRule>
    <cfRule type="expression" dxfId="484" priority="264">
      <formula>$V115=CONST_NA</formula>
    </cfRule>
  </conditionalFormatting>
  <conditionalFormatting sqref="O92">
    <cfRule type="expression" dxfId="483" priority="261">
      <formula>$V92=TRUE</formula>
    </cfRule>
    <cfRule type="expression" dxfId="482" priority="262">
      <formula>$V92=CONST_NA</formula>
    </cfRule>
  </conditionalFormatting>
  <conditionalFormatting sqref="E82:M88">
    <cfRule type="expression" dxfId="481" priority="281">
      <formula>$H82=CONST_NA</formula>
    </cfRule>
  </conditionalFormatting>
  <conditionalFormatting sqref="E137">
    <cfRule type="expression" dxfId="480" priority="259">
      <formula>$X137</formula>
    </cfRule>
  </conditionalFormatting>
  <conditionalFormatting sqref="O132">
    <cfRule type="expression" dxfId="479" priority="257">
      <formula>$V132=TRUE</formula>
    </cfRule>
    <cfRule type="expression" dxfId="478" priority="258">
      <formula>$V132=CONST_NA</formula>
    </cfRule>
  </conditionalFormatting>
  <conditionalFormatting sqref="O136">
    <cfRule type="expression" dxfId="477" priority="255">
      <formula>$V136=TRUE</formula>
    </cfRule>
    <cfRule type="expression" dxfId="476" priority="256">
      <formula>$V136=CONST_NA</formula>
    </cfRule>
  </conditionalFormatting>
  <conditionalFormatting sqref="O137">
    <cfRule type="expression" dxfId="475" priority="253">
      <formula>$V137=TRUE</formula>
    </cfRule>
    <cfRule type="expression" dxfId="474" priority="254">
      <formula>$V137=CONST_NA</formula>
    </cfRule>
  </conditionalFormatting>
  <conditionalFormatting sqref="D186:M202">
    <cfRule type="expression" dxfId="473" priority="250">
      <formula>$X186</formula>
    </cfRule>
  </conditionalFormatting>
  <conditionalFormatting sqref="D161:M171 M172">
    <cfRule type="expression" dxfId="472" priority="249">
      <formula>$X161</formula>
    </cfRule>
  </conditionalFormatting>
  <conditionalFormatting sqref="O146:O153 O162:O172">
    <cfRule type="expression" dxfId="471" priority="247">
      <formula>$V146=TRUE</formula>
    </cfRule>
    <cfRule type="expression" dxfId="470" priority="248">
      <formula>$V146=CONST_NA</formula>
    </cfRule>
  </conditionalFormatting>
  <conditionalFormatting sqref="O187">
    <cfRule type="expression" dxfId="469" priority="245">
      <formula>$V187=TRUE</formula>
    </cfRule>
    <cfRule type="expression" dxfId="468" priority="246">
      <formula>$V187=CONST_NA</formula>
    </cfRule>
  </conditionalFormatting>
  <conditionalFormatting sqref="O188">
    <cfRule type="expression" dxfId="467" priority="243">
      <formula>$V188=TRUE</formula>
    </cfRule>
    <cfRule type="expression" dxfId="466" priority="244">
      <formula>$V188=CONST_NA</formula>
    </cfRule>
  </conditionalFormatting>
  <conditionalFormatting sqref="O191">
    <cfRule type="expression" dxfId="465" priority="241">
      <formula>$V191=TRUE</formula>
    </cfRule>
    <cfRule type="expression" dxfId="464" priority="242">
      <formula>$V191=CONST_NA</formula>
    </cfRule>
  </conditionalFormatting>
  <conditionalFormatting sqref="O195">
    <cfRule type="expression" dxfId="463" priority="239">
      <formula>$V195=TRUE</formula>
    </cfRule>
    <cfRule type="expression" dxfId="462" priority="240">
      <formula>$V195=CONST_NA</formula>
    </cfRule>
  </conditionalFormatting>
  <conditionalFormatting sqref="O196">
    <cfRule type="expression" dxfId="461" priority="237">
      <formula>$V196=TRUE</formula>
    </cfRule>
    <cfRule type="expression" dxfId="460" priority="238">
      <formula>$V196=CONST_NA</formula>
    </cfRule>
  </conditionalFormatting>
  <conditionalFormatting sqref="O184">
    <cfRule type="expression" dxfId="459" priority="235">
      <formula>$V184=TRUE</formula>
    </cfRule>
    <cfRule type="expression" dxfId="458" priority="236">
      <formula>$V184=CONST_NA</formula>
    </cfRule>
  </conditionalFormatting>
  <conditionalFormatting sqref="O180">
    <cfRule type="expression" dxfId="457" priority="233">
      <formula>$V180=TRUE</formula>
    </cfRule>
    <cfRule type="expression" dxfId="456" priority="234">
      <formula>$V180=CONST_NA</formula>
    </cfRule>
  </conditionalFormatting>
  <conditionalFormatting sqref="O157">
    <cfRule type="expression" dxfId="455" priority="231">
      <formula>$V157=TRUE</formula>
    </cfRule>
    <cfRule type="expression" dxfId="454" priority="232">
      <formula>$V157=CONST_NA</formula>
    </cfRule>
  </conditionalFormatting>
  <conditionalFormatting sqref="E147:M153">
    <cfRule type="expression" dxfId="453" priority="251">
      <formula>$H147=CONST_NA</formula>
    </cfRule>
  </conditionalFormatting>
  <conditionalFormatting sqref="E202">
    <cfRule type="expression" dxfId="452" priority="230">
      <formula>$X202</formula>
    </cfRule>
  </conditionalFormatting>
  <conditionalFormatting sqref="O197">
    <cfRule type="expression" dxfId="451" priority="228">
      <formula>$V197=TRUE</formula>
    </cfRule>
    <cfRule type="expression" dxfId="450" priority="229">
      <formula>$V197=CONST_NA</formula>
    </cfRule>
  </conditionalFormatting>
  <conditionalFormatting sqref="O201">
    <cfRule type="expression" dxfId="449" priority="226">
      <formula>$V201=TRUE</formula>
    </cfRule>
    <cfRule type="expression" dxfId="448" priority="227">
      <formula>$V201=CONST_NA</formula>
    </cfRule>
  </conditionalFormatting>
  <conditionalFormatting sqref="O202">
    <cfRule type="expression" dxfId="447" priority="224">
      <formula>$V202=TRUE</formula>
    </cfRule>
    <cfRule type="expression" dxfId="446" priority="225">
      <formula>$V202=CONST_NA</formula>
    </cfRule>
  </conditionalFormatting>
  <conditionalFormatting sqref="D251:M267">
    <cfRule type="expression" dxfId="445" priority="221">
      <formula>$X251</formula>
    </cfRule>
  </conditionalFormatting>
  <conditionalFormatting sqref="D226:M236 M237">
    <cfRule type="expression" dxfId="444" priority="220">
      <formula>$X226</formula>
    </cfRule>
  </conditionalFormatting>
  <conditionalFormatting sqref="O211:O218 O227:O237">
    <cfRule type="expression" dxfId="443" priority="218">
      <formula>$V211=TRUE</formula>
    </cfRule>
    <cfRule type="expression" dxfId="442" priority="219">
      <formula>$V211=CONST_NA</formula>
    </cfRule>
  </conditionalFormatting>
  <conditionalFormatting sqref="O252">
    <cfRule type="expression" dxfId="441" priority="216">
      <formula>$V252=TRUE</formula>
    </cfRule>
    <cfRule type="expression" dxfId="440" priority="217">
      <formula>$V252=CONST_NA</formula>
    </cfRule>
  </conditionalFormatting>
  <conditionalFormatting sqref="O253">
    <cfRule type="expression" dxfId="439" priority="214">
      <formula>$V253=TRUE</formula>
    </cfRule>
    <cfRule type="expression" dxfId="438" priority="215">
      <formula>$V253=CONST_NA</formula>
    </cfRule>
  </conditionalFormatting>
  <conditionalFormatting sqref="O256">
    <cfRule type="expression" dxfId="437" priority="212">
      <formula>$V256=TRUE</formula>
    </cfRule>
    <cfRule type="expression" dxfId="436" priority="213">
      <formula>$V256=CONST_NA</formula>
    </cfRule>
  </conditionalFormatting>
  <conditionalFormatting sqref="O260">
    <cfRule type="expression" dxfId="435" priority="210">
      <formula>$V260=TRUE</formula>
    </cfRule>
    <cfRule type="expression" dxfId="434" priority="211">
      <formula>$V260=CONST_NA</formula>
    </cfRule>
  </conditionalFormatting>
  <conditionalFormatting sqref="O261">
    <cfRule type="expression" dxfId="433" priority="208">
      <formula>$V261=TRUE</formula>
    </cfRule>
    <cfRule type="expression" dxfId="432" priority="209">
      <formula>$V261=CONST_NA</formula>
    </cfRule>
  </conditionalFormatting>
  <conditionalFormatting sqref="O249">
    <cfRule type="expression" dxfId="431" priority="206">
      <formula>$V249=TRUE</formula>
    </cfRule>
    <cfRule type="expression" dxfId="430" priority="207">
      <formula>$V249=CONST_NA</formula>
    </cfRule>
  </conditionalFormatting>
  <conditionalFormatting sqref="O245">
    <cfRule type="expression" dxfId="429" priority="204">
      <formula>$V245=TRUE</formula>
    </cfRule>
    <cfRule type="expression" dxfId="428" priority="205">
      <formula>$V245=CONST_NA</formula>
    </cfRule>
  </conditionalFormatting>
  <conditionalFormatting sqref="O222">
    <cfRule type="expression" dxfId="427" priority="202">
      <formula>$V222=TRUE</formula>
    </cfRule>
    <cfRule type="expression" dxfId="426" priority="203">
      <formula>$V222=CONST_NA</formula>
    </cfRule>
  </conditionalFormatting>
  <conditionalFormatting sqref="E212:M218">
    <cfRule type="expression" dxfId="425" priority="222">
      <formula>$H212=CONST_NA</formula>
    </cfRule>
  </conditionalFormatting>
  <conditionalFormatting sqref="E267">
    <cfRule type="expression" dxfId="424" priority="201">
      <formula>$X267</formula>
    </cfRule>
  </conditionalFormatting>
  <conditionalFormatting sqref="O262">
    <cfRule type="expression" dxfId="423" priority="199">
      <formula>$V262=TRUE</formula>
    </cfRule>
    <cfRule type="expression" dxfId="422" priority="200">
      <formula>$V262=CONST_NA</formula>
    </cfRule>
  </conditionalFormatting>
  <conditionalFormatting sqref="O266">
    <cfRule type="expression" dxfId="421" priority="197">
      <formula>$V266=TRUE</formula>
    </cfRule>
    <cfRule type="expression" dxfId="420" priority="198">
      <formula>$V266=CONST_NA</formula>
    </cfRule>
  </conditionalFormatting>
  <conditionalFormatting sqref="O267">
    <cfRule type="expression" dxfId="419" priority="195">
      <formula>$V267=TRUE</formula>
    </cfRule>
    <cfRule type="expression" dxfId="418" priority="196">
      <formula>$V267=CONST_NA</formula>
    </cfRule>
  </conditionalFormatting>
  <conditionalFormatting sqref="D316:M332">
    <cfRule type="expression" dxfId="417" priority="192">
      <formula>$X316</formula>
    </cfRule>
  </conditionalFormatting>
  <conditionalFormatting sqref="D291:M301 M302">
    <cfRule type="expression" dxfId="416" priority="191">
      <formula>$X291</formula>
    </cfRule>
  </conditionalFormatting>
  <conditionalFormatting sqref="O276:O283 O292:O302">
    <cfRule type="expression" dxfId="415" priority="189">
      <formula>$V276=TRUE</formula>
    </cfRule>
    <cfRule type="expression" dxfId="414" priority="190">
      <formula>$V276=CONST_NA</formula>
    </cfRule>
  </conditionalFormatting>
  <conditionalFormatting sqref="O317">
    <cfRule type="expression" dxfId="413" priority="187">
      <formula>$V317=TRUE</formula>
    </cfRule>
    <cfRule type="expression" dxfId="412" priority="188">
      <formula>$V317=CONST_NA</formula>
    </cfRule>
  </conditionalFormatting>
  <conditionalFormatting sqref="O318">
    <cfRule type="expression" dxfId="411" priority="185">
      <formula>$V318=TRUE</formula>
    </cfRule>
    <cfRule type="expression" dxfId="410" priority="186">
      <formula>$V318=CONST_NA</formula>
    </cfRule>
  </conditionalFormatting>
  <conditionalFormatting sqref="O321">
    <cfRule type="expression" dxfId="409" priority="183">
      <formula>$V321=TRUE</formula>
    </cfRule>
    <cfRule type="expression" dxfId="408" priority="184">
      <formula>$V321=CONST_NA</formula>
    </cfRule>
  </conditionalFormatting>
  <conditionalFormatting sqref="O325">
    <cfRule type="expression" dxfId="407" priority="181">
      <formula>$V325=TRUE</formula>
    </cfRule>
    <cfRule type="expression" dxfId="406" priority="182">
      <formula>$V325=CONST_NA</formula>
    </cfRule>
  </conditionalFormatting>
  <conditionalFormatting sqref="O326">
    <cfRule type="expression" dxfId="405" priority="179">
      <formula>$V326=TRUE</formula>
    </cfRule>
    <cfRule type="expression" dxfId="404" priority="180">
      <formula>$V326=CONST_NA</formula>
    </cfRule>
  </conditionalFormatting>
  <conditionalFormatting sqref="O314">
    <cfRule type="expression" dxfId="403" priority="177">
      <formula>$V314=TRUE</formula>
    </cfRule>
    <cfRule type="expression" dxfId="402" priority="178">
      <formula>$V314=CONST_NA</formula>
    </cfRule>
  </conditionalFormatting>
  <conditionalFormatting sqref="O310">
    <cfRule type="expression" dxfId="401" priority="175">
      <formula>$V310=TRUE</formula>
    </cfRule>
    <cfRule type="expression" dxfId="400" priority="176">
      <formula>$V310=CONST_NA</formula>
    </cfRule>
  </conditionalFormatting>
  <conditionalFormatting sqref="O287">
    <cfRule type="expression" dxfId="399" priority="173">
      <formula>$V287=TRUE</formula>
    </cfRule>
    <cfRule type="expression" dxfId="398" priority="174">
      <formula>$V287=CONST_NA</formula>
    </cfRule>
  </conditionalFormatting>
  <conditionalFormatting sqref="E277:M283">
    <cfRule type="expression" dxfId="397" priority="193">
      <formula>$H277=CONST_NA</formula>
    </cfRule>
  </conditionalFormatting>
  <conditionalFormatting sqref="E332">
    <cfRule type="expression" dxfId="396" priority="172">
      <formula>$X332</formula>
    </cfRule>
  </conditionalFormatting>
  <conditionalFormatting sqref="O327">
    <cfRule type="expression" dxfId="395" priority="170">
      <formula>$V327=TRUE</formula>
    </cfRule>
    <cfRule type="expression" dxfId="394" priority="171">
      <formula>$V327=CONST_NA</formula>
    </cfRule>
  </conditionalFormatting>
  <conditionalFormatting sqref="O331">
    <cfRule type="expression" dxfId="393" priority="168">
      <formula>$V331=TRUE</formula>
    </cfRule>
    <cfRule type="expression" dxfId="392" priority="169">
      <formula>$V331=CONST_NA</formula>
    </cfRule>
  </conditionalFormatting>
  <conditionalFormatting sqref="O332">
    <cfRule type="expression" dxfId="391" priority="166">
      <formula>$V332=TRUE</formula>
    </cfRule>
    <cfRule type="expression" dxfId="390" priority="167">
      <formula>$V332=CONST_NA</formula>
    </cfRule>
  </conditionalFormatting>
  <conditionalFormatting sqref="D381:M397">
    <cfRule type="expression" dxfId="389" priority="163">
      <formula>$X381</formula>
    </cfRule>
  </conditionalFormatting>
  <conditionalFormatting sqref="D356:M366 M367">
    <cfRule type="expression" dxfId="388" priority="162">
      <formula>$X356</formula>
    </cfRule>
  </conditionalFormatting>
  <conditionalFormatting sqref="O341:O348 O357:O367">
    <cfRule type="expression" dxfId="387" priority="160">
      <formula>$V341=TRUE</formula>
    </cfRule>
    <cfRule type="expression" dxfId="386" priority="161">
      <formula>$V341=CONST_NA</formula>
    </cfRule>
  </conditionalFormatting>
  <conditionalFormatting sqref="O382">
    <cfRule type="expression" dxfId="385" priority="158">
      <formula>$V382=TRUE</formula>
    </cfRule>
    <cfRule type="expression" dxfId="384" priority="159">
      <formula>$V382=CONST_NA</formula>
    </cfRule>
  </conditionalFormatting>
  <conditionalFormatting sqref="O383">
    <cfRule type="expression" dxfId="383" priority="156">
      <formula>$V383=TRUE</formula>
    </cfRule>
    <cfRule type="expression" dxfId="382" priority="157">
      <formula>$V383=CONST_NA</formula>
    </cfRule>
  </conditionalFormatting>
  <conditionalFormatting sqref="O386">
    <cfRule type="expression" dxfId="381" priority="154">
      <formula>$V386=TRUE</formula>
    </cfRule>
    <cfRule type="expression" dxfId="380" priority="155">
      <formula>$V386=CONST_NA</formula>
    </cfRule>
  </conditionalFormatting>
  <conditionalFormatting sqref="O390">
    <cfRule type="expression" dxfId="379" priority="152">
      <formula>$V390=TRUE</formula>
    </cfRule>
    <cfRule type="expression" dxfId="378" priority="153">
      <formula>$V390=CONST_NA</formula>
    </cfRule>
  </conditionalFormatting>
  <conditionalFormatting sqref="O391">
    <cfRule type="expression" dxfId="377" priority="150">
      <formula>$V391=TRUE</formula>
    </cfRule>
    <cfRule type="expression" dxfId="376" priority="151">
      <formula>$V391=CONST_NA</formula>
    </cfRule>
  </conditionalFormatting>
  <conditionalFormatting sqref="O379">
    <cfRule type="expression" dxfId="375" priority="148">
      <formula>$V379=TRUE</formula>
    </cfRule>
    <cfRule type="expression" dxfId="374" priority="149">
      <formula>$V379=CONST_NA</formula>
    </cfRule>
  </conditionalFormatting>
  <conditionalFormatting sqref="O375">
    <cfRule type="expression" dxfId="373" priority="146">
      <formula>$V375=TRUE</formula>
    </cfRule>
    <cfRule type="expression" dxfId="372" priority="147">
      <formula>$V375=CONST_NA</formula>
    </cfRule>
  </conditionalFormatting>
  <conditionalFormatting sqref="O352">
    <cfRule type="expression" dxfId="371" priority="144">
      <formula>$V352=TRUE</formula>
    </cfRule>
    <cfRule type="expression" dxfId="370" priority="145">
      <formula>$V352=CONST_NA</formula>
    </cfRule>
  </conditionalFormatting>
  <conditionalFormatting sqref="E342:M348">
    <cfRule type="expression" dxfId="369" priority="164">
      <formula>$H342=CONST_NA</formula>
    </cfRule>
  </conditionalFormatting>
  <conditionalFormatting sqref="E397">
    <cfRule type="expression" dxfId="368" priority="143">
      <formula>$X397</formula>
    </cfRule>
  </conditionalFormatting>
  <conditionalFormatting sqref="O392">
    <cfRule type="expression" dxfId="367" priority="141">
      <formula>$V392=TRUE</formula>
    </cfRule>
    <cfRule type="expression" dxfId="366" priority="142">
      <formula>$V392=CONST_NA</formula>
    </cfRule>
  </conditionalFormatting>
  <conditionalFormatting sqref="O396">
    <cfRule type="expression" dxfId="365" priority="139">
      <formula>$V396=TRUE</formula>
    </cfRule>
    <cfRule type="expression" dxfId="364" priority="140">
      <formula>$V396=CONST_NA</formula>
    </cfRule>
  </conditionalFormatting>
  <conditionalFormatting sqref="O397">
    <cfRule type="expression" dxfId="363" priority="137">
      <formula>$V397=TRUE</formula>
    </cfRule>
    <cfRule type="expression" dxfId="362" priority="138">
      <formula>$V397=CONST_NA</formula>
    </cfRule>
  </conditionalFormatting>
  <conditionalFormatting sqref="D446:M462">
    <cfRule type="expression" dxfId="361" priority="134">
      <formula>$X446</formula>
    </cfRule>
  </conditionalFormatting>
  <conditionalFormatting sqref="D421:M431 M432">
    <cfRule type="expression" dxfId="360" priority="133">
      <formula>$X421</formula>
    </cfRule>
  </conditionalFormatting>
  <conditionalFormatting sqref="O406:O413 O422:O432">
    <cfRule type="expression" dxfId="359" priority="131">
      <formula>$V406=TRUE</formula>
    </cfRule>
    <cfRule type="expression" dxfId="358" priority="132">
      <formula>$V406=CONST_NA</formula>
    </cfRule>
  </conditionalFormatting>
  <conditionalFormatting sqref="O447">
    <cfRule type="expression" dxfId="357" priority="129">
      <formula>$V447=TRUE</formula>
    </cfRule>
    <cfRule type="expression" dxfId="356" priority="130">
      <formula>$V447=CONST_NA</formula>
    </cfRule>
  </conditionalFormatting>
  <conditionalFormatting sqref="O448">
    <cfRule type="expression" dxfId="355" priority="127">
      <formula>$V448=TRUE</formula>
    </cfRule>
    <cfRule type="expression" dxfId="354" priority="128">
      <formula>$V448=CONST_NA</formula>
    </cfRule>
  </conditionalFormatting>
  <conditionalFormatting sqref="O451">
    <cfRule type="expression" dxfId="353" priority="125">
      <formula>$V451=TRUE</formula>
    </cfRule>
    <cfRule type="expression" dxfId="352" priority="126">
      <formula>$V451=CONST_NA</formula>
    </cfRule>
  </conditionalFormatting>
  <conditionalFormatting sqref="O455">
    <cfRule type="expression" dxfId="351" priority="123">
      <formula>$V455=TRUE</formula>
    </cfRule>
    <cfRule type="expression" dxfId="350" priority="124">
      <formula>$V455=CONST_NA</formula>
    </cfRule>
  </conditionalFormatting>
  <conditionalFormatting sqref="O456">
    <cfRule type="expression" dxfId="349" priority="121">
      <formula>$V456=TRUE</formula>
    </cfRule>
    <cfRule type="expression" dxfId="348" priority="122">
      <formula>$V456=CONST_NA</formula>
    </cfRule>
  </conditionalFormatting>
  <conditionalFormatting sqref="O444">
    <cfRule type="expression" dxfId="347" priority="119">
      <formula>$V444=TRUE</formula>
    </cfRule>
    <cfRule type="expression" dxfId="346" priority="120">
      <formula>$V444=CONST_NA</formula>
    </cfRule>
  </conditionalFormatting>
  <conditionalFormatting sqref="O440">
    <cfRule type="expression" dxfId="345" priority="117">
      <formula>$V440=TRUE</formula>
    </cfRule>
    <cfRule type="expression" dxfId="344" priority="118">
      <formula>$V440=CONST_NA</formula>
    </cfRule>
  </conditionalFormatting>
  <conditionalFormatting sqref="O417">
    <cfRule type="expression" dxfId="343" priority="115">
      <formula>$V417=TRUE</formula>
    </cfRule>
    <cfRule type="expression" dxfId="342" priority="116">
      <formula>$V417=CONST_NA</formula>
    </cfRule>
  </conditionalFormatting>
  <conditionalFormatting sqref="E407:M413">
    <cfRule type="expression" dxfId="341" priority="135">
      <formula>$H407=CONST_NA</formula>
    </cfRule>
  </conditionalFormatting>
  <conditionalFormatting sqref="E462">
    <cfRule type="expression" dxfId="340" priority="114">
      <formula>$X462</formula>
    </cfRule>
  </conditionalFormatting>
  <conditionalFormatting sqref="O457">
    <cfRule type="expression" dxfId="339" priority="112">
      <formula>$V457=TRUE</formula>
    </cfRule>
    <cfRule type="expression" dxfId="338" priority="113">
      <formula>$V457=CONST_NA</formula>
    </cfRule>
  </conditionalFormatting>
  <conditionalFormatting sqref="O461">
    <cfRule type="expression" dxfId="337" priority="110">
      <formula>$V461=TRUE</formula>
    </cfRule>
    <cfRule type="expression" dxfId="336" priority="111">
      <formula>$V461=CONST_NA</formula>
    </cfRule>
  </conditionalFormatting>
  <conditionalFormatting sqref="O462">
    <cfRule type="expression" dxfId="335" priority="108">
      <formula>$V462=TRUE</formula>
    </cfRule>
    <cfRule type="expression" dxfId="334" priority="109">
      <formula>$V462=CONST_NA</formula>
    </cfRule>
  </conditionalFormatting>
  <conditionalFormatting sqref="D511:M527">
    <cfRule type="expression" dxfId="333" priority="105">
      <formula>$X511</formula>
    </cfRule>
  </conditionalFormatting>
  <conditionalFormatting sqref="D486:M496 M497">
    <cfRule type="expression" dxfId="332" priority="104">
      <formula>$X486</formula>
    </cfRule>
  </conditionalFormatting>
  <conditionalFormatting sqref="O471:O478 O487:O497">
    <cfRule type="expression" dxfId="331" priority="102">
      <formula>$V471=TRUE</formula>
    </cfRule>
    <cfRule type="expression" dxfId="330" priority="103">
      <formula>$V471=CONST_NA</formula>
    </cfRule>
  </conditionalFormatting>
  <conditionalFormatting sqref="O512">
    <cfRule type="expression" dxfId="329" priority="100">
      <formula>$V512=TRUE</formula>
    </cfRule>
    <cfRule type="expression" dxfId="328" priority="101">
      <formula>$V512=CONST_NA</formula>
    </cfRule>
  </conditionalFormatting>
  <conditionalFormatting sqref="O513">
    <cfRule type="expression" dxfId="327" priority="98">
      <formula>$V513=TRUE</formula>
    </cfRule>
    <cfRule type="expression" dxfId="326" priority="99">
      <formula>$V513=CONST_NA</formula>
    </cfRule>
  </conditionalFormatting>
  <conditionalFormatting sqref="O516">
    <cfRule type="expression" dxfId="325" priority="96">
      <formula>$V516=TRUE</formula>
    </cfRule>
    <cfRule type="expression" dxfId="324" priority="97">
      <formula>$V516=CONST_NA</formula>
    </cfRule>
  </conditionalFormatting>
  <conditionalFormatting sqref="O520">
    <cfRule type="expression" dxfId="323" priority="94">
      <formula>$V520=TRUE</formula>
    </cfRule>
    <cfRule type="expression" dxfId="322" priority="95">
      <formula>$V520=CONST_NA</formula>
    </cfRule>
  </conditionalFormatting>
  <conditionalFormatting sqref="O521">
    <cfRule type="expression" dxfId="321" priority="92">
      <formula>$V521=TRUE</formula>
    </cfRule>
    <cfRule type="expression" dxfId="320" priority="93">
      <formula>$V521=CONST_NA</formula>
    </cfRule>
  </conditionalFormatting>
  <conditionalFormatting sqref="O509">
    <cfRule type="expression" dxfId="319" priority="90">
      <formula>$V509=TRUE</formula>
    </cfRule>
    <cfRule type="expression" dxfId="318" priority="91">
      <formula>$V509=CONST_NA</formula>
    </cfRule>
  </conditionalFormatting>
  <conditionalFormatting sqref="O505">
    <cfRule type="expression" dxfId="317" priority="88">
      <formula>$V505=TRUE</formula>
    </cfRule>
    <cfRule type="expression" dxfId="316" priority="89">
      <formula>$V505=CONST_NA</formula>
    </cfRule>
  </conditionalFormatting>
  <conditionalFormatting sqref="O482">
    <cfRule type="expression" dxfId="315" priority="86">
      <formula>$V482=TRUE</formula>
    </cfRule>
    <cfRule type="expression" dxfId="314" priority="87">
      <formula>$V482=CONST_NA</formula>
    </cfRule>
  </conditionalFormatting>
  <conditionalFormatting sqref="E472:M478">
    <cfRule type="expression" dxfId="313" priority="106">
      <formula>$H472=CONST_NA</formula>
    </cfRule>
  </conditionalFormatting>
  <conditionalFormatting sqref="E527">
    <cfRule type="expression" dxfId="312" priority="85">
      <formula>$X527</formula>
    </cfRule>
  </conditionalFormatting>
  <conditionalFormatting sqref="O522">
    <cfRule type="expression" dxfId="311" priority="83">
      <formula>$V522=TRUE</formula>
    </cfRule>
    <cfRule type="expression" dxfId="310" priority="84">
      <formula>$V522=CONST_NA</formula>
    </cfRule>
  </conditionalFormatting>
  <conditionalFormatting sqref="O526">
    <cfRule type="expression" dxfId="309" priority="81">
      <formula>$V526=TRUE</formula>
    </cfRule>
    <cfRule type="expression" dxfId="308" priority="82">
      <formula>$V526=CONST_NA</formula>
    </cfRule>
  </conditionalFormatting>
  <conditionalFormatting sqref="O527">
    <cfRule type="expression" dxfId="307" priority="79">
      <formula>$V527=TRUE</formula>
    </cfRule>
    <cfRule type="expression" dxfId="306" priority="80">
      <formula>$V527=CONST_NA</formula>
    </cfRule>
  </conditionalFormatting>
  <conditionalFormatting sqref="D576:M592">
    <cfRule type="expression" dxfId="305" priority="76">
      <formula>$X576</formula>
    </cfRule>
  </conditionalFormatting>
  <conditionalFormatting sqref="D551:M561 M562">
    <cfRule type="expression" dxfId="304" priority="75">
      <formula>$X551</formula>
    </cfRule>
  </conditionalFormatting>
  <conditionalFormatting sqref="O536:O543 O552:O562">
    <cfRule type="expression" dxfId="303" priority="73">
      <formula>$V536=TRUE</formula>
    </cfRule>
    <cfRule type="expression" dxfId="302" priority="74">
      <formula>$V536=CONST_NA</formula>
    </cfRule>
  </conditionalFormatting>
  <conditionalFormatting sqref="O577">
    <cfRule type="expression" dxfId="301" priority="71">
      <formula>$V577=TRUE</formula>
    </cfRule>
    <cfRule type="expression" dxfId="300" priority="72">
      <formula>$V577=CONST_NA</formula>
    </cfRule>
  </conditionalFormatting>
  <conditionalFormatting sqref="O578">
    <cfRule type="expression" dxfId="299" priority="69">
      <formula>$V578=TRUE</formula>
    </cfRule>
    <cfRule type="expression" dxfId="298" priority="70">
      <formula>$V578=CONST_NA</formula>
    </cfRule>
  </conditionalFormatting>
  <conditionalFormatting sqref="O581">
    <cfRule type="expression" dxfId="297" priority="67">
      <formula>$V581=TRUE</formula>
    </cfRule>
    <cfRule type="expression" dxfId="296" priority="68">
      <formula>$V581=CONST_NA</formula>
    </cfRule>
  </conditionalFormatting>
  <conditionalFormatting sqref="O585">
    <cfRule type="expression" dxfId="295" priority="65">
      <formula>$V585=TRUE</formula>
    </cfRule>
    <cfRule type="expression" dxfId="294" priority="66">
      <formula>$V585=CONST_NA</formula>
    </cfRule>
  </conditionalFormatting>
  <conditionalFormatting sqref="O586">
    <cfRule type="expression" dxfId="293" priority="63">
      <formula>$V586=TRUE</formula>
    </cfRule>
    <cfRule type="expression" dxfId="292" priority="64">
      <formula>$V586=CONST_NA</formula>
    </cfRule>
  </conditionalFormatting>
  <conditionalFormatting sqref="O574">
    <cfRule type="expression" dxfId="291" priority="61">
      <formula>$V574=TRUE</formula>
    </cfRule>
    <cfRule type="expression" dxfId="290" priority="62">
      <formula>$V574=CONST_NA</formula>
    </cfRule>
  </conditionalFormatting>
  <conditionalFormatting sqref="O570">
    <cfRule type="expression" dxfId="289" priority="59">
      <formula>$V570=TRUE</formula>
    </cfRule>
    <cfRule type="expression" dxfId="288" priority="60">
      <formula>$V570=CONST_NA</formula>
    </cfRule>
  </conditionalFormatting>
  <conditionalFormatting sqref="O547">
    <cfRule type="expression" dxfId="287" priority="57">
      <formula>$V547=TRUE</formula>
    </cfRule>
    <cfRule type="expression" dxfId="286" priority="58">
      <formula>$V547=CONST_NA</formula>
    </cfRule>
  </conditionalFormatting>
  <conditionalFormatting sqref="E537:M543">
    <cfRule type="expression" dxfId="285" priority="77">
      <formula>$H537=CONST_NA</formula>
    </cfRule>
  </conditionalFormatting>
  <conditionalFormatting sqref="E592">
    <cfRule type="expression" dxfId="284" priority="56">
      <formula>$X592</formula>
    </cfRule>
  </conditionalFormatting>
  <conditionalFormatting sqref="O587">
    <cfRule type="expression" dxfId="283" priority="54">
      <formula>$V587=TRUE</formula>
    </cfRule>
    <cfRule type="expression" dxfId="282" priority="55">
      <formula>$V587=CONST_NA</formula>
    </cfRule>
  </conditionalFormatting>
  <conditionalFormatting sqref="O591">
    <cfRule type="expression" dxfId="281" priority="52">
      <formula>$V591=TRUE</formula>
    </cfRule>
    <cfRule type="expression" dxfId="280" priority="53">
      <formula>$V591=CONST_NA</formula>
    </cfRule>
  </conditionalFormatting>
  <conditionalFormatting sqref="O592">
    <cfRule type="expression" dxfId="279" priority="50">
      <formula>$V592=TRUE</formula>
    </cfRule>
    <cfRule type="expression" dxfId="278" priority="51">
      <formula>$V592=CONST_NA</formula>
    </cfRule>
  </conditionalFormatting>
  <conditionalFormatting sqref="D641:M657">
    <cfRule type="expression" dxfId="277" priority="47">
      <formula>$X641</formula>
    </cfRule>
  </conditionalFormatting>
  <conditionalFormatting sqref="D616:M626 M627">
    <cfRule type="expression" dxfId="276" priority="46">
      <formula>$X616</formula>
    </cfRule>
  </conditionalFormatting>
  <conditionalFormatting sqref="O601:O608 O617:O627">
    <cfRule type="expression" dxfId="275" priority="44">
      <formula>$V601=TRUE</formula>
    </cfRule>
    <cfRule type="expression" dxfId="274" priority="45">
      <formula>$V601=CONST_NA</formula>
    </cfRule>
  </conditionalFormatting>
  <conditionalFormatting sqref="O642">
    <cfRule type="expression" dxfId="273" priority="42">
      <formula>$V642=TRUE</formula>
    </cfRule>
    <cfRule type="expression" dxfId="272" priority="43">
      <formula>$V642=CONST_NA</formula>
    </cfRule>
  </conditionalFormatting>
  <conditionalFormatting sqref="O643">
    <cfRule type="expression" dxfId="271" priority="40">
      <formula>$V643=TRUE</formula>
    </cfRule>
    <cfRule type="expression" dxfId="270" priority="41">
      <formula>$V643=CONST_NA</formula>
    </cfRule>
  </conditionalFormatting>
  <conditionalFormatting sqref="O646">
    <cfRule type="expression" dxfId="269" priority="38">
      <formula>$V646=TRUE</formula>
    </cfRule>
    <cfRule type="expression" dxfId="268" priority="39">
      <formula>$V646=CONST_NA</formula>
    </cfRule>
  </conditionalFormatting>
  <conditionalFormatting sqref="O650">
    <cfRule type="expression" dxfId="267" priority="36">
      <formula>$V650=TRUE</formula>
    </cfRule>
    <cfRule type="expression" dxfId="266" priority="37">
      <formula>$V650=CONST_NA</formula>
    </cfRule>
  </conditionalFormatting>
  <conditionalFormatting sqref="O651">
    <cfRule type="expression" dxfId="265" priority="34">
      <formula>$V651=TRUE</formula>
    </cfRule>
    <cfRule type="expression" dxfId="264" priority="35">
      <formula>$V651=CONST_NA</formula>
    </cfRule>
  </conditionalFormatting>
  <conditionalFormatting sqref="O639">
    <cfRule type="expression" dxfId="263" priority="32">
      <formula>$V639=TRUE</formula>
    </cfRule>
    <cfRule type="expression" dxfId="262" priority="33">
      <formula>$V639=CONST_NA</formula>
    </cfRule>
  </conditionalFormatting>
  <conditionalFormatting sqref="O635">
    <cfRule type="expression" dxfId="261" priority="30">
      <formula>$V635=TRUE</formula>
    </cfRule>
    <cfRule type="expression" dxfId="260" priority="31">
      <formula>$V635=CONST_NA</formula>
    </cfRule>
  </conditionalFormatting>
  <conditionalFormatting sqref="O612">
    <cfRule type="expression" dxfId="259" priority="28">
      <formula>$V612=TRUE</formula>
    </cfRule>
    <cfRule type="expression" dxfId="258" priority="29">
      <formula>$V612=CONST_NA</formula>
    </cfRule>
  </conditionalFormatting>
  <conditionalFormatting sqref="E602:M608">
    <cfRule type="expression" dxfId="257" priority="48">
      <formula>$H602=CONST_NA</formula>
    </cfRule>
  </conditionalFormatting>
  <conditionalFormatting sqref="E657">
    <cfRule type="expression" dxfId="256" priority="27">
      <formula>$X657</formula>
    </cfRule>
  </conditionalFormatting>
  <conditionalFormatting sqref="O652">
    <cfRule type="expression" dxfId="255" priority="25">
      <formula>$V652=TRUE</formula>
    </cfRule>
    <cfRule type="expression" dxfId="254" priority="26">
      <formula>$V652=CONST_NA</formula>
    </cfRule>
  </conditionalFormatting>
  <conditionalFormatting sqref="O656">
    <cfRule type="expression" dxfId="253" priority="23">
      <formula>$V656=TRUE</formula>
    </cfRule>
    <cfRule type="expression" dxfId="252" priority="24">
      <formula>$V656=CONST_NA</formula>
    </cfRule>
  </conditionalFormatting>
  <conditionalFormatting sqref="O657">
    <cfRule type="expression" dxfId="251" priority="21">
      <formula>$V657=TRUE</formula>
    </cfRule>
    <cfRule type="expression" dxfId="250" priority="22">
      <formula>$V657=CONST_NA</formula>
    </cfRule>
  </conditionalFormatting>
  <dataValidations disablePrompts="1" count="3">
    <dataValidation type="list" allowBlank="1" showInputMessage="1" showErrorMessage="1" sqref="K50:L50 K115:L115 K180:L180 K245:L245 K310:L310 K375:L375 K440:L440 K505:L505 K570:L570 K635:L635" xr:uid="{00000000-0002-0000-0700-000000000000}">
      <formula1>CONST_TrueFalse</formula1>
    </dataValidation>
    <dataValidation type="decimal" operator="greaterThanOrEqual" allowBlank="1" showInputMessage="1" showErrorMessage="1" sqref="L16:L23 L27 L54 L32:L41 L57:M58 L61:M62 L71:L72 L65:L66 L81:L88 L92 L119 L97:L106 L122:M123 L126:M127 L136:L137 L130:L131 L146:L153 L157 L184 L162:L171 L187:M188 L191:M192 L201:L202 L195:L196 L211:L218 L222 L249 L227:L236 L252:M253 L256:M257 L266:L267 L260:L261 L276:L283 L287 L314 L292:L301 L317:M318 L321:M322 L331:L332 L325:L326 L341:L348 L352 L379 L357:L366 L382:M383 L386:M387 L396:L397 L390:L391 L406:L413 L417 L444 L422:L431 L447:M448 L451:M452 L461:L462 L455:L456 L471:L478 L482 L509 L487:L496 L512:M513 L516:M517 L526:L527 L520:L521 L536:L543 L547 L574 L552:L561 L577:M578 L581:M582 L591:L592 L585:L586 L601:L608 L612 L639 L617:L626 L642:M643 L646:M647 L656:L657 L650:L651" xr:uid="{00000000-0002-0000-0700-000001000000}">
      <formula1>0</formula1>
    </dataValidation>
    <dataValidation type="list" operator="greaterThanOrEqual" allowBlank="1" showInputMessage="1" showErrorMessage="1" sqref="L67 L132 L197 L262 L327 L392 L457 L522 L587 L652" xr:uid="{00000000-0002-0000-0700-000002000000}">
      <formula1>CONST_ElecSource</formula1>
    </dataValidation>
  </dataValidation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1"/>
  <dimension ref="A1:Z897"/>
  <sheetViews>
    <sheetView workbookViewId="0">
      <pane ySplit="6" topLeftCell="A7" activePane="bottomLeft" state="frozen"/>
      <selection pane="bottomLeft" activeCell="B2" sqref="B2:D6"/>
    </sheetView>
  </sheetViews>
  <sheetFormatPr defaultColWidth="11.453125" defaultRowHeight="12.5" x14ac:dyDescent="0.35"/>
  <cols>
    <col min="1" max="1" width="4.7265625" style="91" hidden="1" customWidth="1"/>
    <col min="2" max="4" width="3.7265625" style="93" customWidth="1"/>
    <col min="5" max="5" width="20.7265625" style="93" customWidth="1"/>
    <col min="6" max="14" width="12.7265625" style="93" customWidth="1"/>
    <col min="15" max="15" width="1.7265625" style="93" customWidth="1"/>
    <col min="16" max="16" width="20.7265625" style="94" hidden="1" customWidth="1"/>
    <col min="17" max="17" width="2.7265625" style="93" hidden="1" customWidth="1"/>
    <col min="18" max="26" width="11.453125" style="91" hidden="1" customWidth="1"/>
    <col min="27" max="16384" width="11.453125" style="93"/>
  </cols>
  <sheetData>
    <row r="1" spans="1:26" s="91" customFormat="1" ht="14.15" hidden="1" customHeight="1" thickBot="1" x14ac:dyDescent="0.4">
      <c r="A1" s="91" t="s">
        <v>3</v>
      </c>
      <c r="P1" s="91" t="s">
        <v>3</v>
      </c>
      <c r="Q1" s="91" t="s">
        <v>3</v>
      </c>
      <c r="R1" s="91" t="s">
        <v>3</v>
      </c>
      <c r="S1" s="91" t="s">
        <v>3</v>
      </c>
      <c r="T1" s="91" t="s">
        <v>3</v>
      </c>
      <c r="U1" s="91" t="s">
        <v>3</v>
      </c>
      <c r="V1" s="91" t="s">
        <v>3</v>
      </c>
      <c r="W1" s="91" t="s">
        <v>3</v>
      </c>
      <c r="X1" s="91" t="s">
        <v>3</v>
      </c>
      <c r="Y1" s="91" t="s">
        <v>3</v>
      </c>
      <c r="Z1" s="91" t="s">
        <v>3</v>
      </c>
    </row>
    <row r="2" spans="1:26" ht="14.15" customHeight="1" thickBot="1" x14ac:dyDescent="0.4">
      <c r="B2" s="1178" t="str">
        <f>Translations!$B$124</f>
        <v>Purchased precursors</v>
      </c>
      <c r="C2" s="1179"/>
      <c r="D2" s="1180"/>
      <c r="E2" s="1187" t="str">
        <f>Translations!$B$11</f>
        <v>Navigation Area:</v>
      </c>
      <c r="F2" s="1188"/>
      <c r="G2" s="1192" t="str">
        <f ca="1">HYPERLINK("#"&amp;ADDRESS(2,3,,,a_Contents!$U$2),a_Contents!$B$2)</f>
        <v>Table of contents</v>
      </c>
      <c r="H2" s="1193"/>
      <c r="I2" s="1189" t="str">
        <f ca="1">HYPERLINK("#"&amp;ADDRESS(MATCH($S10,G_FurtherGuidance!$S:$S,0),3,,,G_FurtherGuidance!$U$2),G_FurtherGuidance!$B$2)</f>
        <v>Further Guidance</v>
      </c>
      <c r="J2" s="1190"/>
      <c r="K2" s="1189" t="str">
        <f ca="1">HYPERLINK("#"&amp;ADDRESS(2,3,,,Summary_Processes!$Y$2),Summary_Processes!$Y$2)</f>
        <v>Summary_Processes</v>
      </c>
      <c r="L2" s="1190"/>
      <c r="M2" s="1189" t="str">
        <f ca="1">HYPERLINK("#"&amp;ADDRESS(2,3,,,Summary_Products!$BF$2),Summary_Products!$BF$2)</f>
        <v>Summary_Products</v>
      </c>
      <c r="N2" s="1190"/>
      <c r="O2" s="906"/>
      <c r="R2" s="91" t="s">
        <v>114</v>
      </c>
      <c r="S2" s="301" t="str">
        <f>ADDRESS(ROW($B$12),COLUMN($B$12)) &amp; ":" &amp; ADDRESS(MATCH("PRINT",$P:$P,0),COLUMN($O$12))</f>
        <v>$B$12:$O$895</v>
      </c>
      <c r="T2" s="91" t="s">
        <v>25</v>
      </c>
      <c r="U2" s="887" t="str">
        <f ca="1">IF(ISERROR(CELL("filename",V2)),"E_PurchPrec",MID(CELL("filename",V2),FIND("]",CELL("filename",V2))+1,1024))</f>
        <v>E_PurchPrec</v>
      </c>
    </row>
    <row r="3" spans="1:26" ht="14.15" customHeight="1" x14ac:dyDescent="0.35">
      <c r="B3" s="1181"/>
      <c r="C3" s="1182"/>
      <c r="D3" s="1183"/>
      <c r="E3" s="1341" t="str">
        <f>IF(INDEX(CNTR_List_ExistPurchPrecNames,R3)=CONST_NA,"",HYPERLINK("#"&amp;ADDRESS(ROW($C$14)+MATCH(R3,$C$14:$C$1032,0)-1,COLUMN($C$14)),INDEX(CNTR_List_ExistPurchPrecNames,R3)))</f>
        <v/>
      </c>
      <c r="F3" s="1331"/>
      <c r="G3" s="1342" t="str">
        <f>IF(INDEX(CNTR_List_ExistPurchPrecNames,T3)=CONST_NA,"",HYPERLINK("#"&amp;ADDRESS(ROW($C$14)+MATCH(T3,$C$14:$C$1032,0)-1,COLUMN($C$14)),INDEX(CNTR_List_ExistPurchPrecNames,T3)))</f>
        <v/>
      </c>
      <c r="H3" s="1331"/>
      <c r="I3" s="1330" t="str">
        <f>IF(INDEX(CNTR_List_ExistPurchPrecNames,V3)=CONST_NA,"",HYPERLINK("#"&amp;ADDRESS(ROW($C$14)+MATCH(V3,$C$14:$C$1032,0)-1,COLUMN($C$14)),INDEX(CNTR_List_ExistPurchPrecNames,V3)))</f>
        <v/>
      </c>
      <c r="J3" s="1331"/>
      <c r="K3" s="1330" t="str">
        <f>IF(INDEX(CNTR_List_ExistPurchPrecNames,X3)=CONST_NA,"",HYPERLINK("#"&amp;ADDRESS(ROW($C$14)+MATCH(X3,$C$14:$C$1032,0)-1,COLUMN($C$14)),INDEX(CNTR_List_ExistPurchPrecNames,X3)))</f>
        <v/>
      </c>
      <c r="L3" s="1331"/>
      <c r="M3" s="1330" t="str">
        <f>IF(INDEX(CNTR_List_ExistPurchPrecNames,Z3)=CONST_NA,"",HYPERLINK("#"&amp;ADDRESS(ROW($C$14)+MATCH(Z3,$C$14:$C$1032,0)-1,COLUMN($C$14)),INDEX(CNTR_List_ExistPurchPrecNames,Z3)))</f>
        <v/>
      </c>
      <c r="N3" s="1332"/>
      <c r="O3" s="428"/>
      <c r="R3" s="302">
        <v>1</v>
      </c>
      <c r="S3" s="303"/>
      <c r="T3" s="303">
        <f>R3+1</f>
        <v>2</v>
      </c>
      <c r="U3" s="303"/>
      <c r="V3" s="303">
        <f>T3+1</f>
        <v>3</v>
      </c>
      <c r="W3" s="303"/>
      <c r="X3" s="303">
        <f>V3+1</f>
        <v>4</v>
      </c>
      <c r="Y3" s="303"/>
      <c r="Z3" s="304">
        <f>X3+1</f>
        <v>5</v>
      </c>
    </row>
    <row r="4" spans="1:26" ht="14.15" customHeight="1" x14ac:dyDescent="0.35">
      <c r="B4" s="1181"/>
      <c r="C4" s="1182"/>
      <c r="D4" s="1183"/>
      <c r="E4" s="1337" t="str">
        <f>IF(INDEX(CNTR_List_ExistPurchPrecNames,R4)=CONST_NA,"",HYPERLINK("#"&amp;ADDRESS(ROW($C$14)+MATCH(R4,$C$14:$C$1032,0)-1,COLUMN($C$14)),INDEX(CNTR_List_ExistPurchPrecNames,R4)))</f>
        <v/>
      </c>
      <c r="F4" s="1338"/>
      <c r="G4" s="1339" t="str">
        <f>IF(INDEX(CNTR_List_ExistPurchPrecNames,T4)=CONST_NA,"",HYPERLINK("#"&amp;ADDRESS(ROW($C$14)+MATCH(T4,$C$14:$C$1032,0)-1,COLUMN($C$14)),INDEX(CNTR_List_ExistPurchPrecNames,T4)))</f>
        <v/>
      </c>
      <c r="H4" s="1338"/>
      <c r="I4" s="1339" t="str">
        <f>IF(INDEX(CNTR_List_ExistPurchPrecNames,V4)=CONST_NA,"",HYPERLINK("#"&amp;ADDRESS(ROW($C$14)+MATCH(V4,$C$14:$C$1032,0)-1,COLUMN($C$14)),INDEX(CNTR_List_ExistPurchPrecNames,V4)))</f>
        <v/>
      </c>
      <c r="J4" s="1338"/>
      <c r="K4" s="1339" t="str">
        <f>IF(INDEX(CNTR_List_ExistPurchPrecNames,X4)=CONST_NA,"",HYPERLINK("#"&amp;ADDRESS(ROW($C$14)+MATCH(X4,$C$14:$C$1032,0)-1,COLUMN($C$14)),INDEX(CNTR_List_ExistPurchPrecNames,X4)))</f>
        <v/>
      </c>
      <c r="L4" s="1338"/>
      <c r="M4" s="1339" t="str">
        <f>IF(INDEX(CNTR_List_ExistPurchPrecNames,Z4)=CONST_NA,"",HYPERLINK("#"&amp;ADDRESS(ROW($C$14)+MATCH(Z4,$C$14:$C$1032,0)-1,COLUMN($C$14)),INDEX(CNTR_List_ExistPurchPrecNames,Z4)))</f>
        <v/>
      </c>
      <c r="N4" s="1340"/>
      <c r="O4" s="428"/>
      <c r="R4" s="305">
        <f>Z3+1</f>
        <v>6</v>
      </c>
      <c r="S4" s="156"/>
      <c r="T4" s="156">
        <f>R4+1</f>
        <v>7</v>
      </c>
      <c r="U4" s="156"/>
      <c r="V4" s="156">
        <f>T4+1</f>
        <v>8</v>
      </c>
      <c r="W4" s="156"/>
      <c r="X4" s="156">
        <f>V4+1</f>
        <v>9</v>
      </c>
      <c r="Y4" s="156"/>
      <c r="Z4" s="306">
        <f>X4+1</f>
        <v>10</v>
      </c>
    </row>
    <row r="5" spans="1:26" ht="14.15" customHeight="1" x14ac:dyDescent="0.35">
      <c r="B5" s="1181"/>
      <c r="C5" s="1182"/>
      <c r="D5" s="1183"/>
      <c r="E5" s="1337" t="str">
        <f>IF(INDEX(CNTR_List_ExistPurchPrecNames,R5)=CONST_NA,"",HYPERLINK("#"&amp;ADDRESS(ROW($C$14)+MATCH(R5,$C$14:$C$1032,0)-1,COLUMN($C$14)),INDEX(CNTR_List_ExistPurchPrecNames,R5)))</f>
        <v/>
      </c>
      <c r="F5" s="1338"/>
      <c r="G5" s="1339" t="str">
        <f>IF(INDEX(CNTR_List_ExistPurchPrecNames,T5)=CONST_NA,"",HYPERLINK("#"&amp;ADDRESS(ROW($C$14)+MATCH(T5,$C$14:$C$1032,0)-1,COLUMN($C$14)),INDEX(CNTR_List_ExistPurchPrecNames,T5)))</f>
        <v/>
      </c>
      <c r="H5" s="1338"/>
      <c r="I5" s="1339" t="str">
        <f>IF(INDEX(CNTR_List_ExistPurchPrecNames,V5)=CONST_NA,"",HYPERLINK("#"&amp;ADDRESS(ROW($C$14)+MATCH(V5,$C$14:$C$1032,0)-1,COLUMN($C$14)),INDEX(CNTR_List_ExistPurchPrecNames,V5)))</f>
        <v/>
      </c>
      <c r="J5" s="1338"/>
      <c r="K5" s="1339" t="str">
        <f>IF(INDEX(CNTR_List_ExistPurchPrecNames,X5)=CONST_NA,"",HYPERLINK("#"&amp;ADDRESS(ROW($C$14)+MATCH(X5,$C$14:$C$1032,0)-1,COLUMN($C$14)),INDEX(CNTR_List_ExistPurchPrecNames,X5)))</f>
        <v/>
      </c>
      <c r="L5" s="1338"/>
      <c r="M5" s="1339" t="str">
        <f>IF(INDEX(CNTR_List_ExistPurchPrecNames,Z5)=CONST_NA,"",HYPERLINK("#"&amp;ADDRESS(ROW($C$14)+MATCH(Z5,$C$14:$C$1032,0)-1,COLUMN($C$14)),INDEX(CNTR_List_ExistPurchPrecNames,Z5)))</f>
        <v/>
      </c>
      <c r="N5" s="1340"/>
      <c r="O5" s="428"/>
      <c r="R5" s="305">
        <f>Z4+1</f>
        <v>11</v>
      </c>
      <c r="S5" s="156"/>
      <c r="T5" s="156">
        <f>R5+1</f>
        <v>12</v>
      </c>
      <c r="U5" s="156"/>
      <c r="V5" s="156">
        <f>T5+1</f>
        <v>13</v>
      </c>
      <c r="W5" s="156"/>
      <c r="X5" s="156">
        <f>V5+1</f>
        <v>14</v>
      </c>
      <c r="Y5" s="156"/>
      <c r="Z5" s="306">
        <f>X5+1</f>
        <v>15</v>
      </c>
    </row>
    <row r="6" spans="1:26" ht="14.15" customHeight="1" thickBot="1" x14ac:dyDescent="0.4">
      <c r="B6" s="1184"/>
      <c r="C6" s="1185"/>
      <c r="D6" s="1186"/>
      <c r="E6" s="1336" t="str">
        <f>IF(INDEX(CNTR_List_ExistPurchPrecNames,R6)=CONST_NA,"",HYPERLINK("#"&amp;ADDRESS(ROW($C$14)+MATCH(R6,$C$14:$C$1032,0)-1,COLUMN($C$14)),INDEX(CNTR_List_ExistPurchPrecNames,R6)))</f>
        <v/>
      </c>
      <c r="F6" s="1334"/>
      <c r="G6" s="1333" t="str">
        <f>IF(INDEX(CNTR_List_ExistPurchPrecNames,T6)=CONST_NA,"",HYPERLINK("#"&amp;ADDRESS(ROW($C$14)+MATCH(T6,$C$14:$C$1032,0)-1,COLUMN($C$14)),INDEX(CNTR_List_ExistPurchPrecNames,T6)))</f>
        <v/>
      </c>
      <c r="H6" s="1334"/>
      <c r="I6" s="1333" t="str">
        <f>IF(INDEX(CNTR_List_ExistPurchPrecNames,V6)=CONST_NA,"",HYPERLINK("#"&amp;ADDRESS(ROW($C$14)+MATCH(V6,$C$14:$C$1032,0)-1,COLUMN($C$14)),INDEX(CNTR_List_ExistPurchPrecNames,V6)))</f>
        <v/>
      </c>
      <c r="J6" s="1334"/>
      <c r="K6" s="1333" t="str">
        <f>IF(INDEX(CNTR_List_ExistPurchPrecNames,X6)=CONST_NA,"",HYPERLINK("#"&amp;ADDRESS(ROW($C$14)+MATCH(X6,$C$14:$C$1032,0)-1,COLUMN($C$14)),INDEX(CNTR_List_ExistPurchPrecNames,X6)))</f>
        <v/>
      </c>
      <c r="L6" s="1334"/>
      <c r="M6" s="1333" t="str">
        <f>IF(INDEX(CNTR_List_ExistPurchPrecNames,Z6)=CONST_NA,"",HYPERLINK("#"&amp;ADDRESS(ROW($C$14)+MATCH(Z6,$C$14:$C$1032,0)-1,COLUMN($C$14)),INDEX(CNTR_List_ExistPurchPrecNames,Z6)))</f>
        <v/>
      </c>
      <c r="N6" s="1335"/>
      <c r="O6" s="428"/>
      <c r="R6" s="307">
        <f>Z5+1</f>
        <v>16</v>
      </c>
      <c r="S6" s="308"/>
      <c r="T6" s="308">
        <f>R6+1</f>
        <v>17</v>
      </c>
      <c r="U6" s="308"/>
      <c r="V6" s="308">
        <f>T6+1</f>
        <v>18</v>
      </c>
      <c r="W6" s="308"/>
      <c r="X6" s="308">
        <f>V6+1</f>
        <v>19</v>
      </c>
      <c r="Y6" s="308"/>
      <c r="Z6" s="309">
        <f>X6+1</f>
        <v>20</v>
      </c>
    </row>
    <row r="7" spans="1:26" ht="5.15" customHeight="1" x14ac:dyDescent="0.35">
      <c r="B7" s="94"/>
      <c r="C7" s="144"/>
      <c r="D7" s="144"/>
      <c r="E7" s="144"/>
      <c r="F7" s="144"/>
      <c r="G7" s="144"/>
      <c r="H7" s="144"/>
      <c r="I7" s="144"/>
      <c r="J7" s="144"/>
      <c r="K7" s="144"/>
      <c r="L7" s="144"/>
      <c r="M7" s="144"/>
      <c r="N7" s="144"/>
      <c r="O7" s="428"/>
    </row>
    <row r="8" spans="1:26" ht="25.5" customHeight="1" x14ac:dyDescent="0.35">
      <c r="B8" s="94"/>
      <c r="C8" s="907" t="s">
        <v>409</v>
      </c>
      <c r="D8" s="144"/>
      <c r="E8" s="907" t="str">
        <f>Translations!$B$275</f>
        <v>Sheet "E_PurchPrec" - Purchased precursors for SEE calculation</v>
      </c>
      <c r="F8" s="144"/>
      <c r="G8" s="144"/>
      <c r="H8" s="144"/>
      <c r="I8" s="144"/>
      <c r="J8" s="144"/>
      <c r="K8" s="144"/>
      <c r="L8" s="144"/>
      <c r="M8" s="144"/>
      <c r="N8" s="144"/>
      <c r="O8" s="428"/>
      <c r="R8" s="105" t="s">
        <v>328</v>
      </c>
      <c r="S8" s="105" t="s">
        <v>152</v>
      </c>
      <c r="T8" s="123"/>
      <c r="U8" s="123"/>
      <c r="V8" s="105" t="s">
        <v>154</v>
      </c>
      <c r="W8" s="156"/>
      <c r="X8" s="156"/>
      <c r="Y8" s="123"/>
      <c r="Z8" s="105" t="s">
        <v>138</v>
      </c>
    </row>
    <row r="9" spans="1:26" ht="5.15" customHeight="1" x14ac:dyDescent="0.35">
      <c r="B9" s="94"/>
      <c r="C9" s="144"/>
      <c r="D9" s="144"/>
      <c r="E9" s="144"/>
      <c r="F9" s="144"/>
      <c r="G9" s="144"/>
      <c r="H9" s="144"/>
      <c r="I9" s="144"/>
      <c r="J9" s="144"/>
      <c r="K9" s="144"/>
      <c r="L9" s="144"/>
      <c r="M9" s="144"/>
      <c r="N9" s="144"/>
      <c r="O9" s="428"/>
    </row>
    <row r="10" spans="1:26" ht="12.75" customHeight="1" x14ac:dyDescent="0.35">
      <c r="B10" s="94"/>
      <c r="C10" s="144"/>
      <c r="D10" s="914"/>
      <c r="E10" s="1290" t="str">
        <f ca="1">HYPERLINK("#"&amp;ADDRESS(MATCH($S10,G_FurtherGuidance!$S:$S,0),3,,,G_FurtherGuidance!$U$2),CONST_LinkToGuidanceSheet)</f>
        <v>Please click on this link for further guidance on how to complete this section.</v>
      </c>
      <c r="F10" s="1319"/>
      <c r="G10" s="1319"/>
      <c r="H10" s="1319"/>
      <c r="I10" s="1319"/>
      <c r="J10" s="1319"/>
      <c r="K10" s="1319"/>
      <c r="L10" s="1319"/>
      <c r="M10" s="1319"/>
      <c r="N10" s="144"/>
      <c r="O10" s="428"/>
      <c r="R10" s="104" t="s">
        <v>2771</v>
      </c>
      <c r="S10" s="105">
        <v>4</v>
      </c>
      <c r="Y10" s="104"/>
    </row>
    <row r="11" spans="1:26" ht="5.15" customHeight="1" x14ac:dyDescent="0.35">
      <c r="B11" s="94"/>
      <c r="C11" s="144"/>
      <c r="D11" s="144"/>
      <c r="E11" s="144"/>
      <c r="F11" s="144"/>
      <c r="G11" s="144"/>
      <c r="H11" s="144"/>
      <c r="I11" s="144"/>
      <c r="J11" s="144"/>
      <c r="K11" s="144"/>
      <c r="L11" s="144"/>
      <c r="M11" s="144"/>
      <c r="N11" s="144"/>
      <c r="O11" s="428"/>
    </row>
    <row r="12" spans="1:26" ht="18" customHeight="1" x14ac:dyDescent="0.35">
      <c r="A12" s="892">
        <v>1</v>
      </c>
      <c r="B12" s="94"/>
      <c r="C12" s="319"/>
      <c r="D12" s="909" t="str">
        <f>Translations!$B$242</f>
        <v>Data input for the determination of the specific embedded emissions</v>
      </c>
      <c r="E12" s="909"/>
      <c r="F12" s="910"/>
      <c r="G12" s="910"/>
      <c r="H12" s="910"/>
      <c r="I12" s="910"/>
      <c r="J12" s="910"/>
      <c r="K12" s="910"/>
      <c r="L12" s="910"/>
      <c r="M12" s="910"/>
      <c r="N12" s="910"/>
      <c r="O12" s="428"/>
    </row>
    <row r="13" spans="1:26" ht="12.75" customHeight="1" thickBot="1" x14ac:dyDescent="0.4">
      <c r="B13" s="94"/>
      <c r="C13" s="144"/>
      <c r="D13" s="144"/>
      <c r="E13" s="144"/>
      <c r="F13" s="144"/>
      <c r="G13" s="144"/>
      <c r="H13" s="144"/>
      <c r="I13" s="144"/>
      <c r="J13" s="144"/>
      <c r="K13" s="144"/>
      <c r="L13" s="144"/>
      <c r="M13" s="144"/>
      <c r="N13" s="144"/>
      <c r="O13" s="428"/>
      <c r="V13" s="91" t="s">
        <v>4115</v>
      </c>
    </row>
    <row r="14" spans="1:26" ht="18" customHeight="1" thickBot="1" x14ac:dyDescent="0.4">
      <c r="B14" s="94"/>
      <c r="C14" s="147">
        <v>1</v>
      </c>
      <c r="D14" s="944" t="str">
        <f>CONST_PurchPrecursor &amp; " " &amp; C14 &amp; ":"</f>
        <v>Purchased precursor 1:</v>
      </c>
      <c r="E14" s="144"/>
      <c r="F14" s="144"/>
      <c r="G14" s="1313" t="str">
        <f>IF(INDEX(CNTR_List_ExistPurchPrecNames,MATCH(R14,CNTR_ListPurchPrecID,0))=CONST_NA,"",INDEX(CNTR_List_ExistPurchPrecNames,MATCH(R14,CNTR_ListPurchPrecID,0)))</f>
        <v/>
      </c>
      <c r="H14" s="1314"/>
      <c r="I14" s="1314"/>
      <c r="J14" s="1314"/>
      <c r="K14" s="1315"/>
      <c r="L14" s="1316" t="str">
        <f>IF(INDEX(CNTR_List_ExistPurchPrec,MATCH(R14,CNTR_ListPurchPrecID,0))=CONST_NA,"",INDEX(CNTR_List_ExistPurchPrec,MATCH(R14,CNTR_ListPurchPrecID,0)))</f>
        <v/>
      </c>
      <c r="M14" s="1317"/>
      <c r="N14" s="1318"/>
      <c r="O14" s="428"/>
      <c r="R14" s="149" t="str">
        <f>INDEX(CNTR_ListPurchPrecID,C14)</f>
        <v>PP1</v>
      </c>
      <c r="Y14" s="104" t="s">
        <v>2748</v>
      </c>
      <c r="Z14" s="150" t="b">
        <f>AND(CNTR_HasEntriesA,G14="")</f>
        <v>0</v>
      </c>
    </row>
    <row r="15" spans="1:26" ht="26.5" customHeight="1" x14ac:dyDescent="0.35">
      <c r="B15" s="94"/>
      <c r="C15" s="144"/>
      <c r="D15" s="914"/>
      <c r="E15" s="1325" t="str">
        <f ca="1">HYPERLINK("#"&amp;ADDRESS(MATCH($S15,G_FurtherGuidance!$S:$S,0),3,,,G_FurtherGuidance!$U$2),CONST_LinkToGuidanceSheet)</f>
        <v>Please click on this link for further guidance on how to complete this section.</v>
      </c>
      <c r="F15" s="1326"/>
      <c r="G15" s="1326"/>
      <c r="H15" s="1326"/>
      <c r="I15" s="1326"/>
      <c r="J15" s="1326"/>
      <c r="K15" s="1326"/>
      <c r="L15" s="1326"/>
      <c r="M15" s="1326"/>
      <c r="N15" s="144"/>
      <c r="O15" s="428"/>
      <c r="R15" s="104" t="s">
        <v>2771</v>
      </c>
      <c r="S15" s="105">
        <v>4</v>
      </c>
      <c r="Y15" s="104"/>
    </row>
    <row r="16" spans="1:26" ht="12.75" customHeight="1" x14ac:dyDescent="0.35">
      <c r="B16" s="94"/>
      <c r="C16" s="144"/>
      <c r="D16" s="168" t="s">
        <v>135</v>
      </c>
      <c r="E16" s="167" t="str">
        <f>Translations!$B$276</f>
        <v>Total purchased levels:</v>
      </c>
      <c r="F16" s="144"/>
      <c r="G16" s="144"/>
      <c r="H16" s="151" t="str">
        <f>Translations!$B$244</f>
        <v>Production route</v>
      </c>
      <c r="I16" s="144"/>
      <c r="J16" s="144"/>
      <c r="K16" s="152" t="str">
        <f>Translations!$B$221</f>
        <v>Unit</v>
      </c>
      <c r="L16" s="152" t="str">
        <f>Translations!$B$245</f>
        <v>Amounts</v>
      </c>
      <c r="M16" s="144"/>
      <c r="N16" s="144"/>
      <c r="O16" s="428"/>
      <c r="Y16" s="91" t="s">
        <v>4077</v>
      </c>
    </row>
    <row r="17" spans="1:26" ht="12.75" customHeight="1" x14ac:dyDescent="0.35">
      <c r="B17" s="94"/>
      <c r="C17" s="144"/>
      <c r="D17" s="173">
        <v>1</v>
      </c>
      <c r="E17" s="153" t="str">
        <f>IF(G14="","",G14) &amp; IF(L14="",""," | " &amp; L14)</f>
        <v/>
      </c>
      <c r="F17" s="153"/>
      <c r="G17" s="153"/>
      <c r="H17" s="154" t="str">
        <f>IF(L14="","",INDEX(CONST_MATRIX_ProductionRoute,MATCH(L14,CONST_LIST_Goods,0),D17))</f>
        <v/>
      </c>
      <c r="I17" s="153"/>
      <c r="J17" s="153"/>
      <c r="K17" s="155" t="str">
        <f>IF(L14="","",INDEX(CONST_LIST_GoodsUnit,MATCH(L14,CONST_LIST_Goods,0)))</f>
        <v/>
      </c>
      <c r="L17" s="29"/>
      <c r="M17" s="144"/>
      <c r="N17" s="144"/>
      <c r="O17" s="945"/>
      <c r="S17" s="105">
        <v>1</v>
      </c>
      <c r="V17" s="105" t="str">
        <f>IF(AND(Y17=FALSE,ISNUMBER(L17)),TRUE,IF(Y17=FALSE,CONST_ErrorOrMissing&amp;C14,CONST_NA))</f>
        <v>n.a.</v>
      </c>
      <c r="Y17" s="105" t="str">
        <f>IF(OR(H17="",H17=CONST_NA),"",IF(H17=CONST_AllProdRoutes,FALSE, COUNTIF(INDEX(CNTR_MatrixPurchPrecRoutes,C14,),S17)=0))</f>
        <v/>
      </c>
    </row>
    <row r="18" spans="1:26" ht="12.75" customHeight="1" x14ac:dyDescent="0.35">
      <c r="B18" s="94"/>
      <c r="C18" s="144"/>
      <c r="D18" s="173">
        <v>2</v>
      </c>
      <c r="E18" s="158" t="str">
        <f t="shared" ref="E18:E24" si="0">IF(H18=CONST_NA,"",E17)</f>
        <v/>
      </c>
      <c r="F18" s="158"/>
      <c r="G18" s="158"/>
      <c r="H18" s="159" t="str">
        <f>IF(L14="","",INDEX(CONST_MATRIX_ProductionRoute,MATCH(L14,CONST_LIST_Goods,0),D18))</f>
        <v/>
      </c>
      <c r="I18" s="158"/>
      <c r="J18" s="158"/>
      <c r="K18" s="160" t="str">
        <f t="shared" ref="K18:K24" si="1">IF(H18=CONST_NA,"",K17)</f>
        <v/>
      </c>
      <c r="L18" s="30"/>
      <c r="M18" s="144"/>
      <c r="N18" s="144"/>
      <c r="O18" s="945"/>
      <c r="S18" s="105">
        <v>2</v>
      </c>
      <c r="V18" s="105" t="str">
        <f>IF(AND(Y18=FALSE,ISNUMBER(L18)),TRUE,IF(Y18=FALSE,CONST_ErrorOrMissing&amp;C14,CONST_NA))</f>
        <v>n.a.</v>
      </c>
      <c r="Y18" s="105" t="str">
        <f>IF(OR(H18="",H18=CONST_NA),"",IF(H18=CONST_AllProdRoutes,FALSE, COUNTIF(INDEX(CNTR_MatrixPurchPrecRoutes,C14,),S18)=0))</f>
        <v/>
      </c>
    </row>
    <row r="19" spans="1:26" ht="12.75" customHeight="1" x14ac:dyDescent="0.35">
      <c r="B19" s="94"/>
      <c r="C19" s="144"/>
      <c r="D19" s="173">
        <v>3</v>
      </c>
      <c r="E19" s="158" t="str">
        <f t="shared" si="0"/>
        <v/>
      </c>
      <c r="F19" s="158"/>
      <c r="G19" s="158"/>
      <c r="H19" s="159" t="str">
        <f>IF(L14="","",INDEX(CONST_MATRIX_ProductionRoute,MATCH(L14,CONST_LIST_Goods,0),D19))</f>
        <v/>
      </c>
      <c r="I19" s="158"/>
      <c r="J19" s="158"/>
      <c r="K19" s="160" t="str">
        <f t="shared" si="1"/>
        <v/>
      </c>
      <c r="L19" s="30"/>
      <c r="M19" s="144"/>
      <c r="N19" s="144"/>
      <c r="O19" s="945"/>
      <c r="S19" s="105">
        <v>3</v>
      </c>
      <c r="V19" s="105" t="str">
        <f>IF(AND(Y19=FALSE,ISNUMBER(L19)),TRUE,IF(Y19=FALSE,CONST_ErrorOrMissing&amp;C14,CONST_NA))</f>
        <v>n.a.</v>
      </c>
      <c r="Y19" s="105" t="str">
        <f>IF(OR(H19="",H19=CONST_NA),"",IF(H19=CONST_AllProdRoutes,FALSE, COUNTIF(INDEX(CNTR_MatrixPurchPrecRoutes,C14,),S19)=0))</f>
        <v/>
      </c>
    </row>
    <row r="20" spans="1:26" ht="12.75" customHeight="1" x14ac:dyDescent="0.35">
      <c r="B20" s="94"/>
      <c r="C20" s="144"/>
      <c r="D20" s="173">
        <v>4</v>
      </c>
      <c r="E20" s="158" t="str">
        <f t="shared" si="0"/>
        <v/>
      </c>
      <c r="F20" s="158"/>
      <c r="G20" s="158"/>
      <c r="H20" s="159" t="str">
        <f>IF(L14="","",INDEX(CONST_MATRIX_ProductionRoute,MATCH(L14,CONST_LIST_Goods,0),D20))</f>
        <v/>
      </c>
      <c r="I20" s="158"/>
      <c r="J20" s="158"/>
      <c r="K20" s="160" t="str">
        <f t="shared" si="1"/>
        <v/>
      </c>
      <c r="L20" s="30"/>
      <c r="M20" s="144"/>
      <c r="N20" s="144"/>
      <c r="O20" s="945"/>
      <c r="S20" s="105">
        <v>4</v>
      </c>
      <c r="V20" s="105" t="str">
        <f>IF(AND(Y20=FALSE,ISNUMBER(L20)),TRUE,IF(Y20=FALSE,CONST_ErrorOrMissing&amp;C14,CONST_NA))</f>
        <v>n.a.</v>
      </c>
      <c r="Y20" s="105" t="str">
        <f>IF(OR(H20="",H20=CONST_NA),"",IF(H20=CONST_AllProdRoutes,FALSE, COUNTIF(INDEX(CNTR_MatrixPurchPrecRoutes,C14,),S20)=0))</f>
        <v/>
      </c>
    </row>
    <row r="21" spans="1:26" ht="12.75" customHeight="1" x14ac:dyDescent="0.35">
      <c r="B21" s="94"/>
      <c r="C21" s="144"/>
      <c r="D21" s="173">
        <v>5</v>
      </c>
      <c r="E21" s="158" t="str">
        <f t="shared" si="0"/>
        <v/>
      </c>
      <c r="F21" s="158"/>
      <c r="G21" s="158"/>
      <c r="H21" s="159" t="str">
        <f>IF(L14="","",INDEX(CONST_MATRIX_ProductionRoute,MATCH(L14,CONST_LIST_Goods,0),D21))</f>
        <v/>
      </c>
      <c r="I21" s="158"/>
      <c r="J21" s="158"/>
      <c r="K21" s="160" t="str">
        <f t="shared" si="1"/>
        <v/>
      </c>
      <c r="L21" s="30"/>
      <c r="M21" s="144"/>
      <c r="N21" s="144"/>
      <c r="O21" s="945"/>
      <c r="S21" s="105">
        <v>5</v>
      </c>
      <c r="V21" s="105" t="str">
        <f>IF(AND(Y21=FALSE,ISNUMBER(L21)),TRUE,IF(Y21=FALSE,CONST_ErrorOrMissing&amp;C14,CONST_NA))</f>
        <v>n.a.</v>
      </c>
      <c r="Y21" s="105" t="str">
        <f>IF(OR(H21="",H21=CONST_NA),"",IF(H21=CONST_AllProdRoutes,FALSE, COUNTIF(INDEX(CNTR_MatrixPurchPrecRoutes,C14,),S21)=0))</f>
        <v/>
      </c>
    </row>
    <row r="22" spans="1:26" ht="12.75" customHeight="1" x14ac:dyDescent="0.35">
      <c r="B22" s="94"/>
      <c r="C22" s="144"/>
      <c r="D22" s="173">
        <v>6</v>
      </c>
      <c r="E22" s="158" t="str">
        <f t="shared" si="0"/>
        <v/>
      </c>
      <c r="F22" s="158"/>
      <c r="G22" s="158"/>
      <c r="H22" s="159" t="str">
        <f>IF(L14="","",INDEX(CONST_MATRIX_ProductionRoute,MATCH(L14,CONST_LIST_Goods,0),D22))</f>
        <v/>
      </c>
      <c r="I22" s="158"/>
      <c r="J22" s="158"/>
      <c r="K22" s="160" t="str">
        <f t="shared" si="1"/>
        <v/>
      </c>
      <c r="L22" s="30"/>
      <c r="M22" s="144"/>
      <c r="N22" s="144"/>
      <c r="O22" s="945"/>
      <c r="S22" s="105">
        <v>6</v>
      </c>
      <c r="V22" s="105" t="str">
        <f>IF(AND(Y22=FALSE,ISNUMBER(L22)),TRUE,IF(Y22=FALSE,CONST_ErrorOrMissing&amp;C14,CONST_NA))</f>
        <v>n.a.</v>
      </c>
      <c r="Y22" s="105" t="str">
        <f>IF(OR(H22="",H22=CONST_NA),"",IF(H22=CONST_AllProdRoutes,FALSE, COUNTIF(INDEX(CNTR_MatrixPurchPrecRoutes,C14,),S22)=0))</f>
        <v/>
      </c>
    </row>
    <row r="23" spans="1:26" ht="12.75" customHeight="1" x14ac:dyDescent="0.35">
      <c r="B23" s="94"/>
      <c r="C23" s="144"/>
      <c r="D23" s="173">
        <v>7</v>
      </c>
      <c r="E23" s="158" t="str">
        <f t="shared" si="0"/>
        <v/>
      </c>
      <c r="F23" s="158"/>
      <c r="G23" s="158"/>
      <c r="H23" s="159" t="str">
        <f>IF(L14="","",INDEX(CONST_MATRIX_ProductionRoute,MATCH(L14,CONST_LIST_Goods,0),D23))</f>
        <v/>
      </c>
      <c r="I23" s="158"/>
      <c r="J23" s="158"/>
      <c r="K23" s="160" t="str">
        <f t="shared" si="1"/>
        <v/>
      </c>
      <c r="L23" s="30"/>
      <c r="M23" s="144"/>
      <c r="N23" s="144"/>
      <c r="O23" s="945"/>
      <c r="S23" s="105">
        <v>7</v>
      </c>
      <c r="V23" s="105" t="str">
        <f>IF(AND(Y23=FALSE,ISNUMBER(L23)),TRUE,IF(Y23=FALSE,CONST_ErrorOrMissing&amp;C14,CONST_NA))</f>
        <v>n.a.</v>
      </c>
      <c r="Y23" s="105" t="str">
        <f>IF(OR(H23="",H23=CONST_NA),"",IF(H23=CONST_AllProdRoutes,FALSE, COUNTIF(INDEX(CNTR_MatrixPurchPrecRoutes,C14,),S23)=0))</f>
        <v/>
      </c>
    </row>
    <row r="24" spans="1:26" ht="12.75" customHeight="1" x14ac:dyDescent="0.35">
      <c r="B24" s="94"/>
      <c r="C24" s="144"/>
      <c r="D24" s="173">
        <v>8</v>
      </c>
      <c r="E24" s="161" t="str">
        <f t="shared" si="0"/>
        <v/>
      </c>
      <c r="F24" s="161"/>
      <c r="G24" s="161"/>
      <c r="H24" s="162" t="str">
        <f>IF(L14="","",INDEX(CONST_MATRIX_ProductionRoute,MATCH(L14,CONST_LIST_Goods,0),D24))</f>
        <v/>
      </c>
      <c r="I24" s="161"/>
      <c r="J24" s="161"/>
      <c r="K24" s="163" t="str">
        <f t="shared" si="1"/>
        <v/>
      </c>
      <c r="L24" s="31"/>
      <c r="M24" s="144"/>
      <c r="N24" s="144"/>
      <c r="O24" s="945"/>
      <c r="S24" s="105">
        <v>8</v>
      </c>
      <c r="V24" s="105" t="str">
        <f>IF(AND(Y24=FALSE,ISNUMBER(L24)),TRUE,IF(Y24=FALSE,CONST_ErrorOrMissing&amp;C14,CONST_NA))</f>
        <v>n.a.</v>
      </c>
      <c r="Y24" s="105" t="str">
        <f>IF(OR(H24="",H24=CONST_NA),"",IF(H24=CONST_AllProdRoutes,FALSE, COUNTIF(INDEX(CNTR_MatrixPurchPrecRoutes,C14,),S24)=0))</f>
        <v/>
      </c>
    </row>
    <row r="25" spans="1:26" ht="12.75" customHeight="1" x14ac:dyDescent="0.35">
      <c r="B25" s="94"/>
      <c r="C25" s="144"/>
      <c r="D25" s="914"/>
      <c r="E25" s="138" t="str">
        <f>Translations!$B$1966</f>
        <v>Total purchase for possible consumption within installation:</v>
      </c>
      <c r="F25" s="138"/>
      <c r="G25" s="138"/>
      <c r="H25" s="164"/>
      <c r="I25" s="138"/>
      <c r="J25" s="138"/>
      <c r="K25" s="169" t="str">
        <f>K17</f>
        <v/>
      </c>
      <c r="L25" s="386" t="str">
        <f>IF(G14="","",SUM(L17:L24))</f>
        <v/>
      </c>
      <c r="M25" s="144"/>
      <c r="N25" s="144"/>
      <c r="O25" s="428"/>
      <c r="R25" s="102" t="str">
        <f>CONST_CNTR_TotProd&amp;G14</f>
        <v>TotProd_</v>
      </c>
      <c r="T25" s="216" t="str">
        <f>IF(G14="","",IF(SUM(L25)=0,100,L25))</f>
        <v/>
      </c>
      <c r="V25" s="123"/>
    </row>
    <row r="26" spans="1:26" s="144" customFormat="1" ht="5.15" customHeight="1" x14ac:dyDescent="0.35">
      <c r="A26" s="91"/>
      <c r="B26" s="94"/>
      <c r="D26" s="166"/>
      <c r="E26" s="167"/>
      <c r="O26" s="428"/>
      <c r="P26" s="94"/>
      <c r="Q26" s="93"/>
      <c r="R26" s="91"/>
      <c r="S26" s="91"/>
      <c r="T26" s="712"/>
      <c r="U26" s="91"/>
      <c r="V26" s="123"/>
      <c r="W26" s="91"/>
      <c r="X26" s="91"/>
      <c r="Y26" s="91"/>
      <c r="Z26" s="91"/>
    </row>
    <row r="27" spans="1:26" s="144" customFormat="1" ht="12.75" customHeight="1" x14ac:dyDescent="0.35">
      <c r="A27" s="91"/>
      <c r="B27" s="94"/>
      <c r="D27" s="168" t="s">
        <v>48</v>
      </c>
      <c r="E27" s="167" t="str">
        <f>Translations!$B$1967</f>
        <v>Consumed in 'production processes' within the installation:</v>
      </c>
      <c r="F27" s="167"/>
      <c r="G27" s="167"/>
      <c r="H27" s="167"/>
      <c r="I27" s="167"/>
      <c r="J27" s="167"/>
      <c r="K27" s="168" t="str">
        <f>Translations!$B$221</f>
        <v>Unit</v>
      </c>
      <c r="L27" s="168" t="str">
        <f>Translations!$B$245</f>
        <v>Amounts</v>
      </c>
      <c r="O27" s="428"/>
      <c r="P27" s="94"/>
      <c r="Q27" s="93"/>
      <c r="R27" s="91"/>
      <c r="S27" s="123" t="s">
        <v>195</v>
      </c>
      <c r="T27" s="712"/>
      <c r="U27" s="91"/>
      <c r="V27" s="123"/>
      <c r="W27" s="91"/>
      <c r="X27" s="91"/>
      <c r="Y27" s="91"/>
      <c r="Z27" s="91"/>
    </row>
    <row r="28" spans="1:26" s="144" customFormat="1" ht="12.75" customHeight="1" x14ac:dyDescent="0.35">
      <c r="A28" s="91"/>
      <c r="B28" s="94"/>
      <c r="D28" s="173">
        <v>1</v>
      </c>
      <c r="E28" s="174" t="str">
        <f t="shared" ref="E28:E37" si="2">IF(INDEX(CNTR_List_ExistProdProcNames,S28)=CONST_NA,"",INDEX(CNTR_List_ExistProdProcNames,S28))</f>
        <v/>
      </c>
      <c r="F28" s="175"/>
      <c r="G28" s="175"/>
      <c r="H28" s="175"/>
      <c r="I28" s="175"/>
      <c r="J28" s="176"/>
      <c r="K28" s="155" t="str">
        <f>IF(E28="","",K25)</f>
        <v/>
      </c>
      <c r="L28" s="29"/>
      <c r="O28" s="945"/>
      <c r="P28" s="94"/>
      <c r="Q28" s="93"/>
      <c r="R28" s="102" t="str">
        <f>CONST_PrecursorToGoodInput&amp;G14 &amp;"_"&amp;E28</f>
        <v>PrecToGood__</v>
      </c>
      <c r="S28" s="105">
        <f>D28</f>
        <v>1</v>
      </c>
      <c r="T28" s="124" t="str">
        <f>IF(G14="","",L28)</f>
        <v/>
      </c>
      <c r="U28" s="91"/>
      <c r="V28" s="105" t="str">
        <f>IF(AND(G14&lt;&gt;"",E28&lt;&gt;"",L28&lt;&gt;""),TRUE,IF(AND(G14&lt;&gt;"",E28&lt;&gt;"",L28="",Z28=FALSE),CONST_ErrorOrMissing&amp;C14,CONST_NA))</f>
        <v>n.a.</v>
      </c>
      <c r="W28" s="172"/>
      <c r="X28" s="172"/>
      <c r="Y28" s="91" t="s">
        <v>34</v>
      </c>
      <c r="Z28" s="102" t="b">
        <f>IF(G14="",FALSE,E28="")</f>
        <v>0</v>
      </c>
    </row>
    <row r="29" spans="1:26" s="144" customFormat="1" ht="12.75" customHeight="1" x14ac:dyDescent="0.35">
      <c r="A29" s="91"/>
      <c r="B29" s="94"/>
      <c r="D29" s="173">
        <v>2</v>
      </c>
      <c r="E29" s="177" t="str">
        <f t="shared" si="2"/>
        <v/>
      </c>
      <c r="F29" s="178"/>
      <c r="G29" s="178"/>
      <c r="H29" s="178"/>
      <c r="I29" s="178"/>
      <c r="J29" s="179"/>
      <c r="K29" s="160" t="str">
        <f>IF(E29="","",K28)</f>
        <v/>
      </c>
      <c r="L29" s="30"/>
      <c r="O29" s="945"/>
      <c r="P29" s="94"/>
      <c r="Q29" s="93"/>
      <c r="R29" s="102" t="str">
        <f>CONST_PrecursorToGoodInput&amp;G14 &amp;"_"&amp;E29</f>
        <v>PrecToGood__</v>
      </c>
      <c r="S29" s="105">
        <f t="shared" ref="S29:S37" si="3">D29</f>
        <v>2</v>
      </c>
      <c r="T29" s="124" t="str">
        <f>IF(G14="","",L29)</f>
        <v/>
      </c>
      <c r="U29" s="91"/>
      <c r="V29" s="105" t="str">
        <f>IF(AND(G14&lt;&gt;"",E29&lt;&gt;"",L29&lt;&gt;""),TRUE,IF(AND(G14&lt;&gt;"",E29&lt;&gt;"",L29="",Z29=FALSE),CONST_ErrorOrMissing&amp;C14,CONST_NA))</f>
        <v>n.a.</v>
      </c>
      <c r="W29" s="172"/>
      <c r="X29" s="172"/>
      <c r="Y29" s="91"/>
      <c r="Z29" s="102" t="b">
        <f>IF(G14="",FALSE,E29="")</f>
        <v>0</v>
      </c>
    </row>
    <row r="30" spans="1:26" s="144" customFormat="1" ht="12.75" customHeight="1" x14ac:dyDescent="0.35">
      <c r="A30" s="91"/>
      <c r="B30" s="94"/>
      <c r="D30" s="173">
        <v>3</v>
      </c>
      <c r="E30" s="177" t="str">
        <f t="shared" si="2"/>
        <v/>
      </c>
      <c r="F30" s="178"/>
      <c r="G30" s="178"/>
      <c r="H30" s="178"/>
      <c r="I30" s="178"/>
      <c r="J30" s="179"/>
      <c r="K30" s="160" t="str">
        <f t="shared" ref="K30:K37" si="4">IF(E30="","",K29)</f>
        <v/>
      </c>
      <c r="L30" s="30"/>
      <c r="O30" s="945"/>
      <c r="P30" s="94"/>
      <c r="Q30" s="93"/>
      <c r="R30" s="102" t="str">
        <f>CONST_PrecursorToGoodInput&amp;G14 &amp;"_"&amp;E30</f>
        <v>PrecToGood__</v>
      </c>
      <c r="S30" s="105">
        <f t="shared" si="3"/>
        <v>3</v>
      </c>
      <c r="T30" s="124" t="str">
        <f>IF(G14="","",L30)</f>
        <v/>
      </c>
      <c r="U30" s="91"/>
      <c r="V30" s="105" t="str">
        <f>IF(AND(G14&lt;&gt;"",E30&lt;&gt;"",L30&lt;&gt;""),TRUE,IF(AND(G14&lt;&gt;"",E30&lt;&gt;"",L30="",Z30=FALSE),CONST_ErrorOrMissing&amp;C14,CONST_NA))</f>
        <v>n.a.</v>
      </c>
      <c r="W30" s="172"/>
      <c r="X30" s="172"/>
      <c r="Y30" s="91"/>
      <c r="Z30" s="102" t="b">
        <f>IF(G14="",FALSE,E30="")</f>
        <v>0</v>
      </c>
    </row>
    <row r="31" spans="1:26" s="144" customFormat="1" ht="12.75" customHeight="1" x14ac:dyDescent="0.35">
      <c r="A31" s="91"/>
      <c r="B31" s="94"/>
      <c r="D31" s="173">
        <v>4</v>
      </c>
      <c r="E31" s="177" t="str">
        <f t="shared" si="2"/>
        <v/>
      </c>
      <c r="F31" s="178"/>
      <c r="G31" s="178"/>
      <c r="H31" s="178"/>
      <c r="I31" s="178"/>
      <c r="J31" s="179"/>
      <c r="K31" s="160" t="str">
        <f t="shared" si="4"/>
        <v/>
      </c>
      <c r="L31" s="30"/>
      <c r="O31" s="945"/>
      <c r="P31" s="94"/>
      <c r="Q31" s="93"/>
      <c r="R31" s="102" t="str">
        <f>CONST_PrecursorToGoodInput&amp;G14 &amp;"_"&amp;E31</f>
        <v>PrecToGood__</v>
      </c>
      <c r="S31" s="105">
        <f t="shared" si="3"/>
        <v>4</v>
      </c>
      <c r="T31" s="124" t="str">
        <f>IF(G14="","",L31)</f>
        <v/>
      </c>
      <c r="U31" s="91"/>
      <c r="V31" s="105" t="str">
        <f>IF(AND(G14&lt;&gt;"",E31&lt;&gt;"",L31&lt;&gt;""),TRUE,IF(AND(G14&lt;&gt;"",E31&lt;&gt;"",L31="",Z31=FALSE),CONST_ErrorOrMissing&amp;C14,CONST_NA))</f>
        <v>n.a.</v>
      </c>
      <c r="W31" s="172"/>
      <c r="X31" s="172"/>
      <c r="Y31" s="91"/>
      <c r="Z31" s="102" t="b">
        <f>IF(G14="",FALSE,E31="")</f>
        <v>0</v>
      </c>
    </row>
    <row r="32" spans="1:26" s="144" customFormat="1" ht="12.75" customHeight="1" x14ac:dyDescent="0.35">
      <c r="A32" s="91"/>
      <c r="B32" s="94"/>
      <c r="D32" s="173">
        <v>5</v>
      </c>
      <c r="E32" s="180" t="str">
        <f t="shared" si="2"/>
        <v/>
      </c>
      <c r="F32" s="181"/>
      <c r="G32" s="181"/>
      <c r="H32" s="181"/>
      <c r="I32" s="181"/>
      <c r="J32" s="182"/>
      <c r="K32" s="183" t="str">
        <f t="shared" si="4"/>
        <v/>
      </c>
      <c r="L32" s="212"/>
      <c r="O32" s="945"/>
      <c r="P32" s="94"/>
      <c r="Q32" s="93"/>
      <c r="R32" s="102" t="str">
        <f>CONST_PrecursorToGoodInput&amp;G14 &amp;"_"&amp;E32</f>
        <v>PrecToGood__</v>
      </c>
      <c r="S32" s="105">
        <f t="shared" si="3"/>
        <v>5</v>
      </c>
      <c r="T32" s="124" t="str">
        <f>IF(G14="","",L32)</f>
        <v/>
      </c>
      <c r="U32" s="91"/>
      <c r="V32" s="105" t="str">
        <f>IF(AND(G14&lt;&gt;"",E32&lt;&gt;"",L32&lt;&gt;""),TRUE,IF(AND(G14&lt;&gt;"",E32&lt;&gt;"",L32="",Z32=FALSE),CONST_ErrorOrMissing&amp;C14,CONST_NA))</f>
        <v>n.a.</v>
      </c>
      <c r="W32" s="172"/>
      <c r="X32" s="172"/>
      <c r="Y32" s="91"/>
      <c r="Z32" s="102" t="b">
        <f>IF(G14="",FALSE,E32="")</f>
        <v>0</v>
      </c>
    </row>
    <row r="33" spans="1:26" s="144" customFormat="1" ht="12.75" customHeight="1" x14ac:dyDescent="0.35">
      <c r="A33" s="91"/>
      <c r="B33" s="94"/>
      <c r="D33" s="173">
        <v>6</v>
      </c>
      <c r="E33" s="180" t="str">
        <f t="shared" si="2"/>
        <v/>
      </c>
      <c r="F33" s="181"/>
      <c r="G33" s="181"/>
      <c r="H33" s="181"/>
      <c r="I33" s="181"/>
      <c r="J33" s="182"/>
      <c r="K33" s="183" t="str">
        <f t="shared" si="4"/>
        <v/>
      </c>
      <c r="L33" s="212"/>
      <c r="O33" s="945"/>
      <c r="P33" s="94"/>
      <c r="Q33" s="93"/>
      <c r="R33" s="102" t="str">
        <f>CONST_PrecursorToGoodInput&amp;G14 &amp;"_"&amp;E33</f>
        <v>PrecToGood__</v>
      </c>
      <c r="S33" s="105">
        <f t="shared" si="3"/>
        <v>6</v>
      </c>
      <c r="T33" s="124" t="str">
        <f>IF(G14="","",L33)</f>
        <v/>
      </c>
      <c r="U33" s="91"/>
      <c r="V33" s="105" t="str">
        <f>IF(AND(G14&lt;&gt;"",E33&lt;&gt;"",L33&lt;&gt;""),TRUE,IF(AND(G14&lt;&gt;"",E33&lt;&gt;"",L33="",Z33=FALSE),CONST_ErrorOrMissing&amp;C14,CONST_NA))</f>
        <v>n.a.</v>
      </c>
      <c r="W33" s="172"/>
      <c r="X33" s="172"/>
      <c r="Y33" s="91"/>
      <c r="Z33" s="102" t="b">
        <f>IF(G14="",FALSE,E33="")</f>
        <v>0</v>
      </c>
    </row>
    <row r="34" spans="1:26" s="144" customFormat="1" ht="12.75" customHeight="1" x14ac:dyDescent="0.35">
      <c r="A34" s="91"/>
      <c r="B34" s="94"/>
      <c r="D34" s="173">
        <v>7</v>
      </c>
      <c r="E34" s="180" t="str">
        <f t="shared" si="2"/>
        <v/>
      </c>
      <c r="F34" s="181"/>
      <c r="G34" s="181"/>
      <c r="H34" s="181"/>
      <c r="I34" s="181"/>
      <c r="J34" s="182"/>
      <c r="K34" s="183" t="str">
        <f t="shared" si="4"/>
        <v/>
      </c>
      <c r="L34" s="212"/>
      <c r="O34" s="945"/>
      <c r="P34" s="94"/>
      <c r="Q34" s="93"/>
      <c r="R34" s="102" t="str">
        <f>CONST_PrecursorToGoodInput&amp;G14 &amp;"_"&amp;E34</f>
        <v>PrecToGood__</v>
      </c>
      <c r="S34" s="105">
        <f t="shared" si="3"/>
        <v>7</v>
      </c>
      <c r="T34" s="124" t="str">
        <f>IF(G14="","",L34)</f>
        <v/>
      </c>
      <c r="U34" s="91"/>
      <c r="V34" s="105" t="str">
        <f>IF(AND(G14&lt;&gt;"",E34&lt;&gt;"",L34&lt;&gt;""),TRUE,IF(AND(G14&lt;&gt;"",E34&lt;&gt;"",L34="",Z34=FALSE),CONST_ErrorOrMissing&amp;C14,CONST_NA))</f>
        <v>n.a.</v>
      </c>
      <c r="W34" s="172"/>
      <c r="X34" s="172"/>
      <c r="Y34" s="91"/>
      <c r="Z34" s="102" t="b">
        <f>IF(G14="",FALSE,E34="")</f>
        <v>0</v>
      </c>
    </row>
    <row r="35" spans="1:26" s="144" customFormat="1" ht="12.75" customHeight="1" x14ac:dyDescent="0.35">
      <c r="A35" s="91"/>
      <c r="B35" s="94"/>
      <c r="D35" s="173">
        <v>8</v>
      </c>
      <c r="E35" s="180" t="str">
        <f t="shared" si="2"/>
        <v/>
      </c>
      <c r="F35" s="181"/>
      <c r="G35" s="181"/>
      <c r="H35" s="181"/>
      <c r="I35" s="181"/>
      <c r="J35" s="182"/>
      <c r="K35" s="183" t="str">
        <f t="shared" si="4"/>
        <v/>
      </c>
      <c r="L35" s="212"/>
      <c r="O35" s="945"/>
      <c r="P35" s="94"/>
      <c r="Q35" s="93"/>
      <c r="R35" s="102" t="str">
        <f>CONST_PrecursorToGoodInput&amp;G14 &amp;"_"&amp;E35</f>
        <v>PrecToGood__</v>
      </c>
      <c r="S35" s="105">
        <f t="shared" si="3"/>
        <v>8</v>
      </c>
      <c r="T35" s="124" t="str">
        <f>IF(G14="","",L35)</f>
        <v/>
      </c>
      <c r="U35" s="91"/>
      <c r="V35" s="105" t="str">
        <f>IF(AND(G14&lt;&gt;"",E35&lt;&gt;"",L35&lt;&gt;""),TRUE,IF(AND(G14&lt;&gt;"",E35&lt;&gt;"",L35="",Z35=FALSE),CONST_ErrorOrMissing&amp;C14,CONST_NA))</f>
        <v>n.a.</v>
      </c>
      <c r="W35" s="172"/>
      <c r="X35" s="172"/>
      <c r="Y35" s="91"/>
      <c r="Z35" s="102" t="b">
        <f>IF(G14="",FALSE,E35="")</f>
        <v>0</v>
      </c>
    </row>
    <row r="36" spans="1:26" s="144" customFormat="1" ht="12.75" customHeight="1" x14ac:dyDescent="0.35">
      <c r="A36" s="91"/>
      <c r="B36" s="94"/>
      <c r="D36" s="173">
        <v>9</v>
      </c>
      <c r="E36" s="180" t="str">
        <f t="shared" si="2"/>
        <v/>
      </c>
      <c r="F36" s="181"/>
      <c r="G36" s="181"/>
      <c r="H36" s="181"/>
      <c r="I36" s="181"/>
      <c r="J36" s="182"/>
      <c r="K36" s="183" t="str">
        <f t="shared" si="4"/>
        <v/>
      </c>
      <c r="L36" s="212"/>
      <c r="O36" s="945"/>
      <c r="P36" s="94"/>
      <c r="Q36" s="93"/>
      <c r="R36" s="102" t="str">
        <f>CONST_PrecursorToGoodInput&amp;G14 &amp;"_"&amp;E36</f>
        <v>PrecToGood__</v>
      </c>
      <c r="S36" s="105">
        <f t="shared" si="3"/>
        <v>9</v>
      </c>
      <c r="T36" s="124" t="str">
        <f>IF(G14="","",L36)</f>
        <v/>
      </c>
      <c r="U36" s="91"/>
      <c r="V36" s="105" t="str">
        <f>IF(AND(G14&lt;&gt;"",E36&lt;&gt;"",L36&lt;&gt;""),TRUE,IF(AND(G14&lt;&gt;"",E36&lt;&gt;"",L36="",Z36=FALSE),CONST_ErrorOrMissing&amp;C14,CONST_NA))</f>
        <v>n.a.</v>
      </c>
      <c r="W36" s="172"/>
      <c r="X36" s="172"/>
      <c r="Y36" s="91"/>
      <c r="Z36" s="102" t="b">
        <f>IF(G14="",FALSE,E36="")</f>
        <v>0</v>
      </c>
    </row>
    <row r="37" spans="1:26" s="144" customFormat="1" ht="12.75" customHeight="1" x14ac:dyDescent="0.35">
      <c r="A37" s="91"/>
      <c r="B37" s="94"/>
      <c r="D37" s="173">
        <v>10</v>
      </c>
      <c r="E37" s="184" t="str">
        <f t="shared" si="2"/>
        <v/>
      </c>
      <c r="F37" s="185"/>
      <c r="G37" s="185"/>
      <c r="H37" s="185"/>
      <c r="I37" s="185"/>
      <c r="J37" s="186"/>
      <c r="K37" s="163" t="str">
        <f t="shared" si="4"/>
        <v/>
      </c>
      <c r="L37" s="31"/>
      <c r="O37" s="945"/>
      <c r="P37" s="94"/>
      <c r="Q37" s="93"/>
      <c r="R37" s="102" t="str">
        <f>CONST_PrecursorToGoodInput&amp;G14 &amp;"_"&amp;E37</f>
        <v>PrecToGood__</v>
      </c>
      <c r="S37" s="105">
        <f t="shared" si="3"/>
        <v>10</v>
      </c>
      <c r="T37" s="124" t="str">
        <f>IF(G14="","",L37)</f>
        <v/>
      </c>
      <c r="U37" s="91"/>
      <c r="V37" s="105" t="str">
        <f>IF(AND(G14&lt;&gt;"",E37&lt;&gt;"",L37&lt;&gt;""),TRUE,IF(AND(G14&lt;&gt;"",E37&lt;&gt;"",L37="",Z37=FALSE),CONST_ErrorOrMissing&amp;C14,CONST_NA))</f>
        <v>n.a.</v>
      </c>
      <c r="W37" s="172"/>
      <c r="X37" s="172"/>
      <c r="Y37" s="91"/>
      <c r="Z37" s="102" t="b">
        <f>IF(G14="",FALSE,E37="")</f>
        <v>0</v>
      </c>
    </row>
    <row r="38" spans="1:26" s="144" customFormat="1" ht="12.75" customHeight="1" x14ac:dyDescent="0.35">
      <c r="A38" s="91"/>
      <c r="B38" s="94"/>
      <c r="D38" s="168" t="s">
        <v>49</v>
      </c>
      <c r="E38" s="167" t="str">
        <f>Translations!$B$1968</f>
        <v>Consumed for other purposes, e.g. sold or used for non-CBAM goods:</v>
      </c>
      <c r="F38" s="167"/>
      <c r="G38" s="167"/>
      <c r="H38" s="167"/>
      <c r="I38" s="167"/>
      <c r="J38" s="167"/>
      <c r="K38" s="169" t="str">
        <f>K25</f>
        <v/>
      </c>
      <c r="L38" s="211"/>
      <c r="O38" s="945"/>
      <c r="P38" s="94"/>
      <c r="Q38" s="93"/>
      <c r="R38" s="91"/>
      <c r="S38" s="91"/>
      <c r="T38" s="712"/>
      <c r="U38" s="91"/>
      <c r="V38" s="105" t="str">
        <f>IF(G14="",CONST_NA,IF(ISNUMBER(L38),TRUE,CONST_ErrorOrMissing&amp;C14))</f>
        <v>n.a.</v>
      </c>
      <c r="W38" s="91"/>
      <c r="X38" s="91"/>
      <c r="Y38" s="91"/>
      <c r="Z38" s="91"/>
    </row>
    <row r="39" spans="1:26" s="144" customFormat="1" ht="12.75" customHeight="1" x14ac:dyDescent="0.35">
      <c r="A39" s="91"/>
      <c r="B39" s="94"/>
      <c r="D39" s="168" t="s">
        <v>377</v>
      </c>
      <c r="E39" s="138" t="str">
        <f>Translations!$B$253</f>
        <v>Control:</v>
      </c>
      <c r="F39" s="170"/>
      <c r="G39" s="170"/>
      <c r="H39" s="170"/>
      <c r="I39" s="170"/>
      <c r="J39" s="170"/>
      <c r="K39" s="169" t="str">
        <f>K38</f>
        <v/>
      </c>
      <c r="L39" s="118" t="str">
        <f>IF(G14="","",SUM(L25)-SUM(L28:L38))</f>
        <v/>
      </c>
      <c r="O39" s="945"/>
      <c r="P39" s="94"/>
      <c r="Q39" s="93"/>
      <c r="R39" s="91"/>
      <c r="S39" s="91"/>
      <c r="T39" s="712"/>
      <c r="U39" s="91"/>
      <c r="V39" s="105" t="str">
        <f>IF(G14="",CONST_NA,IF(L39=0,TRUE,CONST_ErrorOrMissing&amp;C14))</f>
        <v>n.a.</v>
      </c>
      <c r="W39" s="91"/>
      <c r="X39" s="91"/>
      <c r="Y39" s="91"/>
      <c r="Z39" s="91"/>
    </row>
    <row r="40" spans="1:26" s="144" customFormat="1" ht="12.75" customHeight="1" thickBot="1" x14ac:dyDescent="0.4">
      <c r="A40" s="91"/>
      <c r="B40" s="94"/>
      <c r="O40" s="428"/>
      <c r="P40" s="94"/>
      <c r="Q40" s="93"/>
      <c r="R40" s="91"/>
      <c r="S40" s="91"/>
      <c r="T40" s="712"/>
      <c r="U40" s="91"/>
      <c r="V40" s="91"/>
      <c r="W40" s="91"/>
      <c r="X40" s="91"/>
      <c r="Y40" s="91"/>
      <c r="Z40" s="91"/>
    </row>
    <row r="41" spans="1:26" ht="12.75" customHeight="1" x14ac:dyDescent="0.35">
      <c r="B41" s="94"/>
      <c r="C41" s="187"/>
      <c r="D41" s="188"/>
      <c r="E41" s="189"/>
      <c r="F41" s="190"/>
      <c r="G41" s="190"/>
      <c r="H41" s="190"/>
      <c r="I41" s="190"/>
      <c r="J41" s="190"/>
      <c r="K41" s="190"/>
      <c r="L41" s="190"/>
      <c r="M41" s="190"/>
      <c r="N41" s="191"/>
      <c r="O41" s="428"/>
      <c r="T41" s="712"/>
    </row>
    <row r="42" spans="1:26" ht="15" customHeight="1" x14ac:dyDescent="0.35">
      <c r="B42" s="94"/>
      <c r="C42" s="192"/>
      <c r="D42" s="193" t="str">
        <f>Translations!$B$279</f>
        <v>Specific embedded emissions:</v>
      </c>
      <c r="E42" s="194"/>
      <c r="F42" s="195"/>
      <c r="G42" s="195"/>
      <c r="H42" s="195"/>
      <c r="I42" s="195"/>
      <c r="J42" s="1327" t="str">
        <f>IF(G14="","",G14)</f>
        <v/>
      </c>
      <c r="K42" s="1327"/>
      <c r="L42" s="1327"/>
      <c r="M42" s="1327"/>
      <c r="N42" s="196"/>
      <c r="O42" s="428"/>
      <c r="T42" s="712"/>
    </row>
    <row r="43" spans="1:26" ht="5.15" customHeight="1" x14ac:dyDescent="0.35">
      <c r="B43" s="94"/>
      <c r="C43" s="192"/>
      <c r="D43" s="197"/>
      <c r="E43" s="198"/>
      <c r="F43" s="195"/>
      <c r="G43" s="195"/>
      <c r="H43" s="195"/>
      <c r="I43" s="195"/>
      <c r="J43" s="195"/>
      <c r="K43" s="195"/>
      <c r="L43" s="195"/>
      <c r="M43" s="195"/>
      <c r="N43" s="196"/>
      <c r="O43" s="428"/>
      <c r="T43" s="712"/>
    </row>
    <row r="44" spans="1:26" ht="12.75" customHeight="1" x14ac:dyDescent="0.35">
      <c r="B44" s="94"/>
      <c r="C44" s="192"/>
      <c r="D44" s="199" t="s">
        <v>411</v>
      </c>
      <c r="E44" s="198" t="str">
        <f>Translations!$B$280</f>
        <v>Emissions embedded in this purchased precursor</v>
      </c>
      <c r="F44" s="198"/>
      <c r="G44" s="198"/>
      <c r="H44" s="198"/>
      <c r="I44" s="198"/>
      <c r="J44" s="198"/>
      <c r="K44" s="198"/>
      <c r="L44" s="198"/>
      <c r="M44" s="198"/>
      <c r="N44" s="196"/>
      <c r="O44" s="428"/>
      <c r="T44" s="712"/>
      <c r="V44" s="172"/>
      <c r="W44" s="172"/>
      <c r="X44" s="172"/>
      <c r="Z44" s="171"/>
    </row>
    <row r="45" spans="1:26" ht="4.9000000000000004" customHeight="1" x14ac:dyDescent="0.35">
      <c r="B45" s="94"/>
      <c r="C45" s="192"/>
      <c r="D45" s="199"/>
      <c r="E45" s="1328"/>
      <c r="F45" s="1328"/>
      <c r="G45" s="1328"/>
      <c r="H45" s="1328"/>
      <c r="I45" s="1328"/>
      <c r="J45" s="1328"/>
      <c r="K45" s="1328"/>
      <c r="L45" s="1328"/>
      <c r="M45" s="1328"/>
      <c r="N45" s="196"/>
      <c r="O45" s="428"/>
      <c r="T45" s="712"/>
    </row>
    <row r="46" spans="1:26" ht="13.15" customHeight="1" x14ac:dyDescent="0.35">
      <c r="B46" s="94"/>
      <c r="C46" s="192"/>
      <c r="D46" s="199"/>
      <c r="E46" s="1311" t="str">
        <f ca="1">HYPERLINK("#"&amp;ADDRESS(MATCH($S46,G_FurtherGuidance!$S:$S,0),3,,,G_FurtherGuidance!$U$2),CONST_LinkToGuidanceSheet)</f>
        <v>Please click on this link for further guidance on how to complete this section.</v>
      </c>
      <c r="F46" s="1312"/>
      <c r="G46" s="1312"/>
      <c r="H46" s="1312"/>
      <c r="I46" s="1312"/>
      <c r="J46" s="1312"/>
      <c r="K46" s="1312"/>
      <c r="L46" s="1312"/>
      <c r="M46" s="1312"/>
      <c r="N46" s="196"/>
      <c r="O46" s="428"/>
      <c r="R46" s="104" t="s">
        <v>2771</v>
      </c>
      <c r="S46" s="105">
        <v>4</v>
      </c>
      <c r="T46" s="712"/>
    </row>
    <row r="47" spans="1:26" ht="4.9000000000000004" customHeight="1" x14ac:dyDescent="0.35">
      <c r="B47" s="94"/>
      <c r="C47" s="192"/>
      <c r="D47" s="199"/>
      <c r="E47" s="1328"/>
      <c r="F47" s="1328"/>
      <c r="G47" s="1328"/>
      <c r="H47" s="1328"/>
      <c r="I47" s="1328"/>
      <c r="J47" s="1328"/>
      <c r="K47" s="1328"/>
      <c r="L47" s="1328"/>
      <c r="M47" s="1328"/>
      <c r="N47" s="384"/>
      <c r="O47" s="428"/>
      <c r="T47" s="712"/>
    </row>
    <row r="48" spans="1:26" ht="12.75" customHeight="1" x14ac:dyDescent="0.35">
      <c r="B48" s="94"/>
      <c r="C48" s="192"/>
      <c r="D48" s="199"/>
      <c r="E48" s="198" t="str">
        <f>Translations!$B$284</f>
        <v>Parameter:</v>
      </c>
      <c r="F48" s="195"/>
      <c r="G48" s="195"/>
      <c r="H48" s="195"/>
      <c r="I48" s="195"/>
      <c r="J48" s="195"/>
      <c r="K48" s="199" t="str">
        <f>Translations!$B$221</f>
        <v>Unit</v>
      </c>
      <c r="L48" s="199" t="str">
        <f>Translations!$B$260</f>
        <v>Value</v>
      </c>
      <c r="M48" s="199" t="str">
        <f>Translations!$B$285</f>
        <v>Source</v>
      </c>
      <c r="N48" s="196"/>
      <c r="O48" s="428"/>
      <c r="T48" s="764" t="s">
        <v>5</v>
      </c>
      <c r="U48" s="123" t="s">
        <v>2719</v>
      </c>
      <c r="V48" s="156" t="s">
        <v>3922</v>
      </c>
      <c r="W48" s="156"/>
      <c r="X48" s="156"/>
      <c r="Z48" s="171"/>
    </row>
    <row r="49" spans="1:26" ht="12.75" customHeight="1" x14ac:dyDescent="0.35">
      <c r="B49" s="94"/>
      <c r="C49" s="192"/>
      <c r="D49" s="197" t="s">
        <v>41</v>
      </c>
      <c r="E49" s="201" t="str">
        <f>Translations!$B$1969</f>
        <v>Specific embedded direct emissions (SEE (direct))</v>
      </c>
      <c r="F49" s="201"/>
      <c r="G49" s="201"/>
      <c r="H49" s="201"/>
      <c r="I49" s="201"/>
      <c r="J49" s="201"/>
      <c r="K49" s="217" t="str">
        <f>IF(L14="","",CONST_tCO2eq &amp; "/" &amp; K25)</f>
        <v/>
      </c>
      <c r="L49" s="215"/>
      <c r="M49" s="385"/>
      <c r="N49" s="196"/>
      <c r="O49" s="945"/>
      <c r="R49" s="102" t="str">
        <f>CONST_PurchPrecDefaultUsed&amp;G14</f>
        <v>PurchPrecDef_</v>
      </c>
      <c r="S49" s="102" t="str">
        <f>CONST_CNTR_EmbedEmDir&amp;G14</f>
        <v>EmbedEmDir_</v>
      </c>
      <c r="T49" s="124" t="str">
        <f>IF(G14="","",SUM(T25)*SUM(L49))</f>
        <v/>
      </c>
      <c r="U49" s="105" t="str">
        <f>IF(G14="","",IF(M49="",CONST_ERR_Incomplete,MATCH(M49,CONST_MeasDefaultUnknown,0)=2))</f>
        <v/>
      </c>
      <c r="V49" s="105" t="str">
        <f>IF(AND(G14&lt;&gt;"",COUNTA(L49:M49)=2),TRUE,IF(AND(G14&lt;&gt;"",COUNTA(L49:M49)&lt;2),CONST_ErrorOrMissing&amp;C14,CONST_NA))</f>
        <v>n.a.</v>
      </c>
      <c r="W49" s="156"/>
      <c r="X49" s="156"/>
      <c r="Z49" s="171"/>
    </row>
    <row r="50" spans="1:26" ht="12.75" customHeight="1" x14ac:dyDescent="0.35">
      <c r="B50" s="94"/>
      <c r="C50" s="192"/>
      <c r="D50" s="197" t="s">
        <v>42</v>
      </c>
      <c r="E50" s="759" t="str">
        <f>Translations!$B$1970</f>
        <v>Specific electricity consumption (for SEE (indirect))</v>
      </c>
      <c r="F50" s="759"/>
      <c r="G50" s="759"/>
      <c r="H50" s="759"/>
      <c r="I50" s="759"/>
      <c r="J50" s="759"/>
      <c r="K50" s="457" t="str">
        <f>IF(K49="","",CONST_MWh&amp;"/"&amp;K25)</f>
        <v/>
      </c>
      <c r="L50" s="760"/>
      <c r="M50" s="761"/>
      <c r="N50" s="196"/>
      <c r="O50" s="945"/>
      <c r="R50" s="102" t="str">
        <f>CONST_ElecConsumption&amp;G14</f>
        <v>ElecCons_</v>
      </c>
      <c r="S50" s="102"/>
      <c r="T50" s="124" t="str">
        <f>IF(G14="","",SUM(T25)*SUM(L50))</f>
        <v/>
      </c>
      <c r="U50" s="105" t="str">
        <f>IF(G14="","",IF(M50="",CONST_ERR_Incomplete,MATCH(M50,CONST_MeasDefaultUnknown,0)=2))</f>
        <v/>
      </c>
      <c r="V50" s="105" t="str">
        <f>IF(AND(G14&lt;&gt;"",COUNTA(L50:M50)=2),TRUE,IF(AND(G14&lt;&gt;"",COUNTA(L50:M50)&lt;2),CONST_ErrorOrMissing&amp;C14,CONST_NA))</f>
        <v>n.a.</v>
      </c>
      <c r="W50" s="156"/>
      <c r="X50" s="156"/>
      <c r="Z50" s="171"/>
    </row>
    <row r="51" spans="1:26" ht="12.75" customHeight="1" x14ac:dyDescent="0.35">
      <c r="B51" s="94"/>
      <c r="C51" s="192"/>
      <c r="D51" s="197" t="s">
        <v>43</v>
      </c>
      <c r="E51" s="1144" t="str">
        <f>Translations!$B$1971</f>
        <v>Electricity emission factor (for SEE (indirect))</v>
      </c>
      <c r="F51" s="1144"/>
      <c r="G51" s="1144"/>
      <c r="H51" s="1144"/>
      <c r="I51" s="1144"/>
      <c r="J51" s="1144"/>
      <c r="K51" s="1145" t="str">
        <f>IF(K49="","",CONST_tCO2eq&amp;"/"&amp;CONST_MWh)</f>
        <v/>
      </c>
      <c r="L51" s="1146"/>
      <c r="M51" s="762"/>
      <c r="N51" s="196"/>
      <c r="O51" s="945"/>
      <c r="R51" s="102" t="str">
        <f>CONST_CNTR_ElecEFMethod&amp;G14</f>
        <v>ElecEFMeth_</v>
      </c>
      <c r="S51" s="102"/>
      <c r="T51" s="124"/>
      <c r="U51" s="105" t="str">
        <f>IF(G14="","",M51)</f>
        <v/>
      </c>
      <c r="V51" s="105" t="str">
        <f>IF(AND(G14&lt;&gt;"",COUNTA(L51:M51)=2),TRUE,IF(AND(G14&lt;&gt;"",COUNTA(L51:M51)&lt;2),CONST_ErrorOrMissing&amp;C14,CONST_NA))</f>
        <v>n.a.</v>
      </c>
      <c r="W51" s="156"/>
      <c r="X51" s="156"/>
      <c r="Z51" s="171"/>
    </row>
    <row r="52" spans="1:26" x14ac:dyDescent="0.35">
      <c r="B52" s="94"/>
      <c r="C52" s="192"/>
      <c r="D52" s="197" t="s">
        <v>44</v>
      </c>
      <c r="E52" s="201" t="str">
        <f>Translations!$B$1972</f>
        <v>Specific embedded indirect emissions (SEE (indirect))</v>
      </c>
      <c r="F52" s="201"/>
      <c r="G52" s="201"/>
      <c r="H52" s="201"/>
      <c r="I52" s="201"/>
      <c r="J52" s="201"/>
      <c r="K52" s="217" t="str">
        <f>K49</f>
        <v/>
      </c>
      <c r="L52" s="1147" t="str">
        <f>IF(COUNT(L50:L51)=0,"",L50*L51)</f>
        <v/>
      </c>
      <c r="M52" s="758"/>
      <c r="N52" s="196"/>
      <c r="O52" s="428"/>
      <c r="R52" s="171"/>
      <c r="S52" s="102" t="str">
        <f>CONST_CNTR_EmbedEmInDir&amp;G14</f>
        <v>EmbedEmInDir_</v>
      </c>
      <c r="T52" s="124" t="str">
        <f>IF(G14="","",SUM(T25)*SUM(L52))</f>
        <v/>
      </c>
      <c r="Z52" s="171"/>
    </row>
    <row r="53" spans="1:26" ht="5.15" customHeight="1" x14ac:dyDescent="0.35">
      <c r="B53" s="94"/>
      <c r="C53" s="192"/>
      <c r="D53" s="197"/>
      <c r="E53" s="195"/>
      <c r="F53" s="195"/>
      <c r="G53" s="195"/>
      <c r="H53" s="195"/>
      <c r="I53" s="195"/>
      <c r="J53" s="195"/>
      <c r="K53" s="195"/>
      <c r="L53" s="195"/>
      <c r="M53" s="195"/>
      <c r="N53" s="196"/>
      <c r="O53" s="428"/>
      <c r="R53" s="171"/>
      <c r="S53" s="171"/>
      <c r="T53" s="125"/>
      <c r="U53" s="156"/>
      <c r="V53" s="172"/>
      <c r="W53" s="172"/>
      <c r="X53" s="172"/>
      <c r="Z53" s="171"/>
    </row>
    <row r="54" spans="1:26" ht="12.75" customHeight="1" x14ac:dyDescent="0.35">
      <c r="B54" s="94"/>
      <c r="C54" s="192"/>
      <c r="D54" s="197" t="s">
        <v>45</v>
      </c>
      <c r="E54" s="201" t="str">
        <f>Translations!$B$1858</f>
        <v>Justification for use of default values (if relevant):</v>
      </c>
      <c r="F54" s="201"/>
      <c r="G54" s="201"/>
      <c r="H54" s="201"/>
      <c r="I54" s="201"/>
      <c r="J54" s="201"/>
      <c r="K54" s="1329"/>
      <c r="L54" s="1329"/>
      <c r="M54" s="1329"/>
      <c r="N54" s="196"/>
      <c r="O54" s="945"/>
      <c r="R54" s="171"/>
      <c r="S54" s="171"/>
      <c r="T54" s="125"/>
      <c r="U54" s="156"/>
      <c r="V54" s="105" t="str">
        <f>IF(OR(G14="",Z54=TRUE),CONST_NA,IF(K54&lt;&gt;"",TRUE,CONST_ErrorOrMissing&amp;C14))</f>
        <v>n.a.</v>
      </c>
      <c r="W54" s="172"/>
      <c r="X54" s="172"/>
      <c r="Z54" s="102" t="b">
        <f>AND(M49&lt;&gt;"",M49&lt;&gt;INDEX(CONST_MeasDefaultUnknown,2),M50&lt;&gt;"",M50&lt;&gt;INDEX(CONST_MeasDefaultUnknown,2))</f>
        <v>0</v>
      </c>
    </row>
    <row r="55" spans="1:26" s="144" customFormat="1" ht="12.75" customHeight="1" thickBot="1" x14ac:dyDescent="0.4">
      <c r="A55" s="91"/>
      <c r="B55" s="94"/>
      <c r="C55" s="206"/>
      <c r="D55" s="207"/>
      <c r="E55" s="208"/>
      <c r="F55" s="209"/>
      <c r="G55" s="209"/>
      <c r="H55" s="209"/>
      <c r="I55" s="209"/>
      <c r="J55" s="209"/>
      <c r="K55" s="209"/>
      <c r="L55" s="209"/>
      <c r="M55" s="209"/>
      <c r="N55" s="210"/>
      <c r="O55" s="428"/>
      <c r="P55" s="94"/>
      <c r="Q55" s="93"/>
      <c r="R55" s="91"/>
      <c r="S55" s="91"/>
      <c r="T55" s="712"/>
      <c r="U55" s="91"/>
      <c r="V55" s="91"/>
      <c r="W55" s="91"/>
      <c r="X55" s="91"/>
      <c r="Y55" s="91"/>
      <c r="Z55" s="91"/>
    </row>
    <row r="56" spans="1:26" s="144" customFormat="1" ht="12.75" customHeight="1" thickBot="1" x14ac:dyDescent="0.4">
      <c r="A56" s="91"/>
      <c r="B56" s="94"/>
      <c r="O56" s="428"/>
      <c r="P56" s="94"/>
      <c r="Q56" s="93"/>
      <c r="R56" s="91"/>
      <c r="S56" s="91"/>
      <c r="T56" s="712"/>
      <c r="U56" s="91"/>
      <c r="V56" s="91"/>
      <c r="W56" s="91"/>
      <c r="X56" s="91"/>
      <c r="Y56" s="91"/>
      <c r="Z56" s="91"/>
    </row>
    <row r="57" spans="1:26" s="144" customFormat="1" ht="12.75" customHeight="1" thickBot="1" x14ac:dyDescent="0.4">
      <c r="A57" s="91"/>
      <c r="B57" s="946"/>
      <c r="C57" s="145"/>
      <c r="D57" s="145"/>
      <c r="E57" s="145"/>
      <c r="F57" s="145"/>
      <c r="G57" s="145"/>
      <c r="H57" s="145"/>
      <c r="I57" s="145"/>
      <c r="J57" s="145"/>
      <c r="K57" s="145"/>
      <c r="L57" s="145"/>
      <c r="M57" s="145"/>
      <c r="N57" s="145"/>
      <c r="O57" s="947"/>
      <c r="P57" s="94"/>
      <c r="Q57" s="93"/>
      <c r="R57" s="91"/>
      <c r="S57" s="91"/>
      <c r="T57" s="712"/>
      <c r="U57" s="91"/>
      <c r="V57" s="91"/>
      <c r="W57" s="91"/>
      <c r="X57" s="91"/>
      <c r="Y57" s="91"/>
      <c r="Z57" s="91"/>
    </row>
    <row r="58" spans="1:26" ht="18" customHeight="1" thickBot="1" x14ac:dyDescent="0.4">
      <c r="B58" s="94"/>
      <c r="C58" s="147">
        <f>C14+1</f>
        <v>2</v>
      </c>
      <c r="D58" s="944" t="str">
        <f>CONST_PurchPrecursor &amp; " " &amp; C58 &amp; ":"</f>
        <v>Purchased precursor 2:</v>
      </c>
      <c r="E58" s="144"/>
      <c r="F58" s="144"/>
      <c r="G58" s="1313" t="str">
        <f>IF(INDEX(CNTR_List_ExistPurchPrecNames,MATCH(R58,CNTR_ListPurchPrecID,0))=CONST_NA,"",INDEX(CNTR_List_ExistPurchPrecNames,MATCH(R58,CNTR_ListPurchPrecID,0)))</f>
        <v/>
      </c>
      <c r="H58" s="1314"/>
      <c r="I58" s="1314"/>
      <c r="J58" s="1314"/>
      <c r="K58" s="1315"/>
      <c r="L58" s="1316" t="str">
        <f>IF(INDEX(CNTR_List_ExistPurchPrec,MATCH(R58,CNTR_ListPurchPrecID,0))=CONST_NA,"",INDEX(CNTR_List_ExistPurchPrec,MATCH(R58,CNTR_ListPurchPrecID,0)))</f>
        <v/>
      </c>
      <c r="M58" s="1317"/>
      <c r="N58" s="1318"/>
      <c r="O58" s="428"/>
      <c r="R58" s="149" t="str">
        <f>INDEX(CNTR_ListPurchPrecID,C58)</f>
        <v>PP2</v>
      </c>
      <c r="Y58" s="104" t="s">
        <v>2748</v>
      </c>
      <c r="Z58" s="150" t="b">
        <f>AND(CNTR_HasEntriesA,G58="")</f>
        <v>0</v>
      </c>
    </row>
    <row r="59" spans="1:26" ht="26.5" customHeight="1" x14ac:dyDescent="0.35">
      <c r="B59" s="94"/>
      <c r="C59" s="144"/>
      <c r="D59" s="914"/>
      <c r="E59" s="1325" t="str">
        <f ca="1">HYPERLINK("#"&amp;ADDRESS(MATCH($S59,G_FurtherGuidance!$S:$S,0),3,,,G_FurtherGuidance!$U$2),CONST_LinkToGuidanceSheet)</f>
        <v>Please click on this link for further guidance on how to complete this section.</v>
      </c>
      <c r="F59" s="1326"/>
      <c r="G59" s="1326"/>
      <c r="H59" s="1326"/>
      <c r="I59" s="1326"/>
      <c r="J59" s="1326"/>
      <c r="K59" s="1326"/>
      <c r="L59" s="1326"/>
      <c r="M59" s="1326"/>
      <c r="N59" s="144"/>
      <c r="O59" s="428"/>
      <c r="R59" s="104" t="s">
        <v>2771</v>
      </c>
      <c r="S59" s="105">
        <v>4</v>
      </c>
      <c r="Y59" s="104"/>
    </row>
    <row r="60" spans="1:26" ht="12.75" customHeight="1" x14ac:dyDescent="0.35">
      <c r="B60" s="94"/>
      <c r="C60" s="144"/>
      <c r="D60" s="168" t="s">
        <v>135</v>
      </c>
      <c r="E60" s="167" t="str">
        <f>Translations!$B$276</f>
        <v>Total purchased levels:</v>
      </c>
      <c r="F60" s="144"/>
      <c r="G60" s="144"/>
      <c r="H60" s="151" t="str">
        <f>Translations!$B$244</f>
        <v>Production route</v>
      </c>
      <c r="I60" s="144"/>
      <c r="J60" s="144"/>
      <c r="K60" s="152" t="str">
        <f>Translations!$B$221</f>
        <v>Unit</v>
      </c>
      <c r="L60" s="152" t="str">
        <f>Translations!$B$245</f>
        <v>Amounts</v>
      </c>
      <c r="M60" s="144"/>
      <c r="N60" s="144"/>
      <c r="O60" s="428"/>
      <c r="Y60" s="91" t="s">
        <v>4077</v>
      </c>
    </row>
    <row r="61" spans="1:26" ht="12.75" customHeight="1" x14ac:dyDescent="0.35">
      <c r="B61" s="94"/>
      <c r="C61" s="144"/>
      <c r="D61" s="173">
        <v>1</v>
      </c>
      <c r="E61" s="153" t="str">
        <f>IF(G58="","",G58) &amp; IF(L58="",""," | " &amp; L58)</f>
        <v/>
      </c>
      <c r="F61" s="153"/>
      <c r="G61" s="153"/>
      <c r="H61" s="154" t="str">
        <f>IF(L58="","",INDEX(CONST_MATRIX_ProductionRoute,MATCH(L58,CONST_LIST_Goods,0),D61))</f>
        <v/>
      </c>
      <c r="I61" s="153"/>
      <c r="J61" s="153"/>
      <c r="K61" s="155" t="str">
        <f>IF(L58="","",INDEX(CONST_LIST_GoodsUnit,MATCH(L58,CONST_LIST_Goods,0)))</f>
        <v/>
      </c>
      <c r="L61" s="29"/>
      <c r="M61" s="144"/>
      <c r="N61" s="144"/>
      <c r="O61" s="945"/>
      <c r="S61" s="105">
        <v>1</v>
      </c>
      <c r="V61" s="105" t="str">
        <f>IF(AND(Y61=FALSE,ISNUMBER(L61)),TRUE,IF(Y61=FALSE,CONST_ErrorOrMissing&amp;C58,CONST_NA))</f>
        <v>n.a.</v>
      </c>
      <c r="Y61" s="105" t="str">
        <f>IF(OR(H61="",H61=CONST_NA),"",IF(H61=CONST_AllProdRoutes,FALSE, COUNTIF(INDEX(CNTR_MatrixPurchPrecRoutes,C58,),S61)=0))</f>
        <v/>
      </c>
    </row>
    <row r="62" spans="1:26" ht="12.75" customHeight="1" x14ac:dyDescent="0.35">
      <c r="B62" s="94"/>
      <c r="C62" s="144"/>
      <c r="D62" s="173">
        <v>2</v>
      </c>
      <c r="E62" s="158" t="str">
        <f t="shared" ref="E62:E68" si="5">IF(H62=CONST_NA,"",E61)</f>
        <v/>
      </c>
      <c r="F62" s="158"/>
      <c r="G62" s="158"/>
      <c r="H62" s="159" t="str">
        <f>IF(L58="","",INDEX(CONST_MATRIX_ProductionRoute,MATCH(L58,CONST_LIST_Goods,0),D62))</f>
        <v/>
      </c>
      <c r="I62" s="158"/>
      <c r="J62" s="158"/>
      <c r="K62" s="160" t="str">
        <f t="shared" ref="K62:K68" si="6">IF(H62=CONST_NA,"",K61)</f>
        <v/>
      </c>
      <c r="L62" s="30"/>
      <c r="M62" s="144"/>
      <c r="N62" s="144"/>
      <c r="O62" s="945"/>
      <c r="S62" s="105">
        <v>2</v>
      </c>
      <c r="V62" s="105" t="str">
        <f>IF(AND(Y62=FALSE,ISNUMBER(L62)),TRUE,IF(Y62=FALSE,CONST_ErrorOrMissing&amp;C58,CONST_NA))</f>
        <v>n.a.</v>
      </c>
      <c r="Y62" s="105" t="str">
        <f>IF(OR(H62="",H62=CONST_NA),"",IF(H62=CONST_AllProdRoutes,FALSE, COUNTIF(INDEX(CNTR_MatrixPurchPrecRoutes,C58,),S62)=0))</f>
        <v/>
      </c>
    </row>
    <row r="63" spans="1:26" ht="12.75" customHeight="1" x14ac:dyDescent="0.35">
      <c r="B63" s="94"/>
      <c r="C63" s="144"/>
      <c r="D63" s="173">
        <v>3</v>
      </c>
      <c r="E63" s="158" t="str">
        <f t="shared" si="5"/>
        <v/>
      </c>
      <c r="F63" s="158"/>
      <c r="G63" s="158"/>
      <c r="H63" s="159" t="str">
        <f>IF(L58="","",INDEX(CONST_MATRIX_ProductionRoute,MATCH(L58,CONST_LIST_Goods,0),D63))</f>
        <v/>
      </c>
      <c r="I63" s="158"/>
      <c r="J63" s="158"/>
      <c r="K63" s="160" t="str">
        <f t="shared" si="6"/>
        <v/>
      </c>
      <c r="L63" s="30"/>
      <c r="M63" s="144"/>
      <c r="N63" s="144"/>
      <c r="O63" s="945"/>
      <c r="S63" s="105">
        <v>3</v>
      </c>
      <c r="V63" s="105" t="str">
        <f>IF(AND(Y63=FALSE,ISNUMBER(L63)),TRUE,IF(Y63=FALSE,CONST_ErrorOrMissing&amp;C58,CONST_NA))</f>
        <v>n.a.</v>
      </c>
      <c r="Y63" s="105" t="str">
        <f>IF(OR(H63="",H63=CONST_NA),"",IF(H63=CONST_AllProdRoutes,FALSE, COUNTIF(INDEX(CNTR_MatrixPurchPrecRoutes,C58,),S63)=0))</f>
        <v/>
      </c>
    </row>
    <row r="64" spans="1:26" ht="12.75" customHeight="1" x14ac:dyDescent="0.35">
      <c r="B64" s="94"/>
      <c r="C64" s="144"/>
      <c r="D64" s="173">
        <v>4</v>
      </c>
      <c r="E64" s="158" t="str">
        <f t="shared" si="5"/>
        <v/>
      </c>
      <c r="F64" s="158"/>
      <c r="G64" s="158"/>
      <c r="H64" s="159" t="str">
        <f>IF(L58="","",INDEX(CONST_MATRIX_ProductionRoute,MATCH(L58,CONST_LIST_Goods,0),D64))</f>
        <v/>
      </c>
      <c r="I64" s="158"/>
      <c r="J64" s="158"/>
      <c r="K64" s="160" t="str">
        <f t="shared" si="6"/>
        <v/>
      </c>
      <c r="L64" s="30"/>
      <c r="M64" s="144"/>
      <c r="N64" s="144"/>
      <c r="O64" s="945"/>
      <c r="S64" s="105">
        <v>4</v>
      </c>
      <c r="V64" s="105" t="str">
        <f>IF(AND(Y64=FALSE,ISNUMBER(L64)),TRUE,IF(Y64=FALSE,CONST_ErrorOrMissing&amp;C58,CONST_NA))</f>
        <v>n.a.</v>
      </c>
      <c r="Y64" s="105" t="str">
        <f>IF(OR(H64="",H64=CONST_NA),"",IF(H64=CONST_AllProdRoutes,FALSE, COUNTIF(INDEX(CNTR_MatrixPurchPrecRoutes,C58,),S64)=0))</f>
        <v/>
      </c>
    </row>
    <row r="65" spans="1:26" ht="12.75" customHeight="1" x14ac:dyDescent="0.35">
      <c r="B65" s="94"/>
      <c r="C65" s="144"/>
      <c r="D65" s="173">
        <v>5</v>
      </c>
      <c r="E65" s="158" t="str">
        <f t="shared" si="5"/>
        <v/>
      </c>
      <c r="F65" s="158"/>
      <c r="G65" s="158"/>
      <c r="H65" s="159" t="str">
        <f>IF(L58="","",INDEX(CONST_MATRIX_ProductionRoute,MATCH(L58,CONST_LIST_Goods,0),D65))</f>
        <v/>
      </c>
      <c r="I65" s="158"/>
      <c r="J65" s="158"/>
      <c r="K65" s="160" t="str">
        <f t="shared" si="6"/>
        <v/>
      </c>
      <c r="L65" s="30"/>
      <c r="M65" s="144"/>
      <c r="N65" s="144"/>
      <c r="O65" s="945"/>
      <c r="S65" s="105">
        <v>5</v>
      </c>
      <c r="V65" s="105" t="str">
        <f>IF(AND(Y65=FALSE,ISNUMBER(L65)),TRUE,IF(Y65=FALSE,CONST_ErrorOrMissing&amp;C58,CONST_NA))</f>
        <v>n.a.</v>
      </c>
      <c r="Y65" s="105" t="str">
        <f>IF(OR(H65="",H65=CONST_NA),"",IF(H65=CONST_AllProdRoutes,FALSE, COUNTIF(INDEX(CNTR_MatrixPurchPrecRoutes,C58,),S65)=0))</f>
        <v/>
      </c>
    </row>
    <row r="66" spans="1:26" ht="12.75" customHeight="1" x14ac:dyDescent="0.35">
      <c r="B66" s="94"/>
      <c r="C66" s="144"/>
      <c r="D66" s="173">
        <v>6</v>
      </c>
      <c r="E66" s="158" t="str">
        <f t="shared" si="5"/>
        <v/>
      </c>
      <c r="F66" s="158"/>
      <c r="G66" s="158"/>
      <c r="H66" s="159" t="str">
        <f>IF(L58="","",INDEX(CONST_MATRIX_ProductionRoute,MATCH(L58,CONST_LIST_Goods,0),D66))</f>
        <v/>
      </c>
      <c r="I66" s="158"/>
      <c r="J66" s="158"/>
      <c r="K66" s="160" t="str">
        <f t="shared" si="6"/>
        <v/>
      </c>
      <c r="L66" s="30"/>
      <c r="M66" s="144"/>
      <c r="N66" s="144"/>
      <c r="O66" s="945"/>
      <c r="S66" s="105">
        <v>6</v>
      </c>
      <c r="V66" s="105" t="str">
        <f>IF(AND(Y66=FALSE,ISNUMBER(L66)),TRUE,IF(Y66=FALSE,CONST_ErrorOrMissing&amp;C58,CONST_NA))</f>
        <v>n.a.</v>
      </c>
      <c r="Y66" s="105" t="str">
        <f>IF(OR(H66="",H66=CONST_NA),"",IF(H66=CONST_AllProdRoutes,FALSE, COUNTIF(INDEX(CNTR_MatrixPurchPrecRoutes,C58,),S66)=0))</f>
        <v/>
      </c>
    </row>
    <row r="67" spans="1:26" ht="12.75" customHeight="1" x14ac:dyDescent="0.35">
      <c r="B67" s="94"/>
      <c r="C67" s="144"/>
      <c r="D67" s="173">
        <v>7</v>
      </c>
      <c r="E67" s="158" t="str">
        <f t="shared" si="5"/>
        <v/>
      </c>
      <c r="F67" s="158"/>
      <c r="G67" s="158"/>
      <c r="H67" s="159" t="str">
        <f>IF(L58="","",INDEX(CONST_MATRIX_ProductionRoute,MATCH(L58,CONST_LIST_Goods,0),D67))</f>
        <v/>
      </c>
      <c r="I67" s="158"/>
      <c r="J67" s="158"/>
      <c r="K67" s="160" t="str">
        <f t="shared" si="6"/>
        <v/>
      </c>
      <c r="L67" s="30"/>
      <c r="M67" s="144"/>
      <c r="N67" s="144"/>
      <c r="O67" s="945"/>
      <c r="S67" s="105">
        <v>7</v>
      </c>
      <c r="V67" s="105" t="str">
        <f>IF(AND(Y67=FALSE,ISNUMBER(L67)),TRUE,IF(Y67=FALSE,CONST_ErrorOrMissing&amp;C58,CONST_NA))</f>
        <v>n.a.</v>
      </c>
      <c r="Y67" s="105" t="str">
        <f>IF(OR(H67="",H67=CONST_NA),"",IF(H67=CONST_AllProdRoutes,FALSE, COUNTIF(INDEX(CNTR_MatrixPurchPrecRoutes,C58,),S67)=0))</f>
        <v/>
      </c>
    </row>
    <row r="68" spans="1:26" ht="12.75" customHeight="1" x14ac:dyDescent="0.35">
      <c r="B68" s="94"/>
      <c r="C68" s="144"/>
      <c r="D68" s="173">
        <v>8</v>
      </c>
      <c r="E68" s="161" t="str">
        <f t="shared" si="5"/>
        <v/>
      </c>
      <c r="F68" s="161"/>
      <c r="G68" s="161"/>
      <c r="H68" s="162" t="str">
        <f>IF(L58="","",INDEX(CONST_MATRIX_ProductionRoute,MATCH(L58,CONST_LIST_Goods,0),D68))</f>
        <v/>
      </c>
      <c r="I68" s="161"/>
      <c r="J68" s="161"/>
      <c r="K68" s="163" t="str">
        <f t="shared" si="6"/>
        <v/>
      </c>
      <c r="L68" s="31"/>
      <c r="M68" s="144"/>
      <c r="N68" s="144"/>
      <c r="O68" s="945"/>
      <c r="S68" s="105">
        <v>8</v>
      </c>
      <c r="V68" s="105" t="str">
        <f>IF(AND(Y68=FALSE,ISNUMBER(L68)),TRUE,IF(Y68=FALSE,CONST_ErrorOrMissing&amp;C58,CONST_NA))</f>
        <v>n.a.</v>
      </c>
      <c r="Y68" s="105" t="str">
        <f>IF(OR(H68="",H68=CONST_NA),"",IF(H68=CONST_AllProdRoutes,FALSE, COUNTIF(INDEX(CNTR_MatrixPurchPrecRoutes,C58,),S68)=0))</f>
        <v/>
      </c>
    </row>
    <row r="69" spans="1:26" ht="12.75" customHeight="1" x14ac:dyDescent="0.35">
      <c r="B69" s="94"/>
      <c r="C69" s="144"/>
      <c r="D69" s="914"/>
      <c r="E69" s="138" t="str">
        <f>Translations!$B$1966</f>
        <v>Total purchase for possible consumption within installation:</v>
      </c>
      <c r="F69" s="138"/>
      <c r="G69" s="138"/>
      <c r="H69" s="164"/>
      <c r="I69" s="138"/>
      <c r="J69" s="138"/>
      <c r="K69" s="169" t="str">
        <f>K61</f>
        <v/>
      </c>
      <c r="L69" s="386" t="str">
        <f>IF(G58="","",SUM(L61:L68))</f>
        <v/>
      </c>
      <c r="M69" s="144"/>
      <c r="N69" s="144"/>
      <c r="O69" s="428"/>
      <c r="R69" s="102" t="str">
        <f>CONST_CNTR_TotProd&amp;G58</f>
        <v>TotProd_</v>
      </c>
      <c r="T69" s="216" t="str">
        <f>IF(G58="","",IF(SUM(L69)=0,100,L69))</f>
        <v/>
      </c>
      <c r="V69" s="123"/>
    </row>
    <row r="70" spans="1:26" s="144" customFormat="1" ht="5.15" customHeight="1" x14ac:dyDescent="0.35">
      <c r="A70" s="91"/>
      <c r="B70" s="94"/>
      <c r="D70" s="166"/>
      <c r="E70" s="167"/>
      <c r="O70" s="428"/>
      <c r="P70" s="94"/>
      <c r="Q70" s="93"/>
      <c r="R70" s="91"/>
      <c r="S70" s="91"/>
      <c r="T70" s="712"/>
      <c r="U70" s="91"/>
      <c r="V70" s="123"/>
      <c r="W70" s="91"/>
      <c r="X70" s="91"/>
      <c r="Y70" s="91"/>
      <c r="Z70" s="91"/>
    </row>
    <row r="71" spans="1:26" s="144" customFormat="1" ht="12.75" customHeight="1" x14ac:dyDescent="0.35">
      <c r="A71" s="91"/>
      <c r="B71" s="94"/>
      <c r="D71" s="168" t="s">
        <v>48</v>
      </c>
      <c r="E71" s="167" t="str">
        <f>Translations!$B$1967</f>
        <v>Consumed in 'production processes' within the installation:</v>
      </c>
      <c r="F71" s="167"/>
      <c r="G71" s="167"/>
      <c r="H71" s="167"/>
      <c r="I71" s="167"/>
      <c r="J71" s="167"/>
      <c r="K71" s="168" t="str">
        <f>Translations!$B$221</f>
        <v>Unit</v>
      </c>
      <c r="L71" s="168" t="str">
        <f>Translations!$B$245</f>
        <v>Amounts</v>
      </c>
      <c r="O71" s="428"/>
      <c r="P71" s="94"/>
      <c r="Q71" s="93"/>
      <c r="R71" s="91"/>
      <c r="S71" s="123" t="s">
        <v>195</v>
      </c>
      <c r="T71" s="712"/>
      <c r="U71" s="91"/>
      <c r="V71" s="123"/>
      <c r="W71" s="91"/>
      <c r="X71" s="91"/>
      <c r="Y71" s="91"/>
      <c r="Z71" s="91"/>
    </row>
    <row r="72" spans="1:26" s="144" customFormat="1" ht="12.75" customHeight="1" x14ac:dyDescent="0.35">
      <c r="A72" s="91"/>
      <c r="B72" s="94"/>
      <c r="D72" s="173">
        <v>1</v>
      </c>
      <c r="E72" s="174" t="str">
        <f t="shared" ref="E72:E81" si="7">IF(INDEX(CNTR_List_ExistProdProcNames,S72)=CONST_NA,"",INDEX(CNTR_List_ExistProdProcNames,S72))</f>
        <v/>
      </c>
      <c r="F72" s="175"/>
      <c r="G72" s="175"/>
      <c r="H72" s="175"/>
      <c r="I72" s="175"/>
      <c r="J72" s="176"/>
      <c r="K72" s="155" t="str">
        <f>IF(E72="","",K69)</f>
        <v/>
      </c>
      <c r="L72" s="29"/>
      <c r="O72" s="945"/>
      <c r="P72" s="94"/>
      <c r="Q72" s="93"/>
      <c r="R72" s="102" t="str">
        <f>CONST_PrecursorToGoodInput&amp;G58 &amp;"_"&amp;E72</f>
        <v>PrecToGood__</v>
      </c>
      <c r="S72" s="105">
        <f>D72</f>
        <v>1</v>
      </c>
      <c r="T72" s="124" t="str">
        <f>IF(G58="","",L72)</f>
        <v/>
      </c>
      <c r="U72" s="91"/>
      <c r="V72" s="105" t="str">
        <f>IF(AND(G58&lt;&gt;"",E72&lt;&gt;"",L72&lt;&gt;""),TRUE,IF(AND(G58&lt;&gt;"",E72&lt;&gt;"",L72="",Z72=FALSE),CONST_ErrorOrMissing&amp;C58,CONST_NA))</f>
        <v>n.a.</v>
      </c>
      <c r="W72" s="172"/>
      <c r="X72" s="172"/>
      <c r="Y72" s="91" t="s">
        <v>34</v>
      </c>
      <c r="Z72" s="102" t="b">
        <f>IF(G58="",FALSE,E72="")</f>
        <v>0</v>
      </c>
    </row>
    <row r="73" spans="1:26" s="144" customFormat="1" ht="12.75" customHeight="1" x14ac:dyDescent="0.35">
      <c r="A73" s="91"/>
      <c r="B73" s="94"/>
      <c r="D73" s="173">
        <v>2</v>
      </c>
      <c r="E73" s="177" t="str">
        <f t="shared" si="7"/>
        <v/>
      </c>
      <c r="F73" s="178"/>
      <c r="G73" s="178"/>
      <c r="H73" s="178"/>
      <c r="I73" s="178"/>
      <c r="J73" s="179"/>
      <c r="K73" s="160" t="str">
        <f>IF(E73="","",K72)</f>
        <v/>
      </c>
      <c r="L73" s="30"/>
      <c r="O73" s="945"/>
      <c r="P73" s="94"/>
      <c r="Q73" s="93"/>
      <c r="R73" s="102" t="str">
        <f>CONST_PrecursorToGoodInput&amp;G58 &amp;"_"&amp;E73</f>
        <v>PrecToGood__</v>
      </c>
      <c r="S73" s="105">
        <f t="shared" ref="S73:S81" si="8">D73</f>
        <v>2</v>
      </c>
      <c r="T73" s="124" t="str">
        <f>IF(G58="","",L73)</f>
        <v/>
      </c>
      <c r="U73" s="91"/>
      <c r="V73" s="105" t="str">
        <f>IF(AND(G58&lt;&gt;"",E73&lt;&gt;"",L73&lt;&gt;""),TRUE,IF(AND(G58&lt;&gt;"",E73&lt;&gt;"",L73="",Z73=FALSE),CONST_ErrorOrMissing&amp;C58,CONST_NA))</f>
        <v>n.a.</v>
      </c>
      <c r="W73" s="172"/>
      <c r="X73" s="172"/>
      <c r="Y73" s="91"/>
      <c r="Z73" s="102" t="b">
        <f>IF(G58="",FALSE,E73="")</f>
        <v>0</v>
      </c>
    </row>
    <row r="74" spans="1:26" s="144" customFormat="1" ht="12.75" customHeight="1" x14ac:dyDescent="0.35">
      <c r="A74" s="91"/>
      <c r="B74" s="94"/>
      <c r="D74" s="173">
        <v>3</v>
      </c>
      <c r="E74" s="177" t="str">
        <f t="shared" si="7"/>
        <v/>
      </c>
      <c r="F74" s="178"/>
      <c r="G74" s="178"/>
      <c r="H74" s="178"/>
      <c r="I74" s="178"/>
      <c r="J74" s="179"/>
      <c r="K74" s="160" t="str">
        <f t="shared" ref="K74:K81" si="9">IF(E74="","",K73)</f>
        <v/>
      </c>
      <c r="L74" s="30"/>
      <c r="O74" s="945"/>
      <c r="P74" s="94"/>
      <c r="Q74" s="93"/>
      <c r="R74" s="102" t="str">
        <f>CONST_PrecursorToGoodInput&amp;G58 &amp;"_"&amp;E74</f>
        <v>PrecToGood__</v>
      </c>
      <c r="S74" s="105">
        <f t="shared" si="8"/>
        <v>3</v>
      </c>
      <c r="T74" s="124" t="str">
        <f>IF(G58="","",L74)</f>
        <v/>
      </c>
      <c r="U74" s="91"/>
      <c r="V74" s="105" t="str">
        <f>IF(AND(G58&lt;&gt;"",E74&lt;&gt;"",L74&lt;&gt;""),TRUE,IF(AND(G58&lt;&gt;"",E74&lt;&gt;"",L74="",Z74=FALSE),CONST_ErrorOrMissing&amp;C58,CONST_NA))</f>
        <v>n.a.</v>
      </c>
      <c r="W74" s="172"/>
      <c r="X74" s="172"/>
      <c r="Y74" s="91"/>
      <c r="Z74" s="102" t="b">
        <f>IF(G58="",FALSE,E74="")</f>
        <v>0</v>
      </c>
    </row>
    <row r="75" spans="1:26" s="144" customFormat="1" ht="12.75" customHeight="1" x14ac:dyDescent="0.35">
      <c r="A75" s="91"/>
      <c r="B75" s="94"/>
      <c r="D75" s="173">
        <v>4</v>
      </c>
      <c r="E75" s="177" t="str">
        <f t="shared" si="7"/>
        <v/>
      </c>
      <c r="F75" s="178"/>
      <c r="G75" s="178"/>
      <c r="H75" s="178"/>
      <c r="I75" s="178"/>
      <c r="J75" s="179"/>
      <c r="K75" s="160" t="str">
        <f t="shared" si="9"/>
        <v/>
      </c>
      <c r="L75" s="30"/>
      <c r="O75" s="945"/>
      <c r="P75" s="94"/>
      <c r="Q75" s="93"/>
      <c r="R75" s="102" t="str">
        <f>CONST_PrecursorToGoodInput&amp;G58 &amp;"_"&amp;E75</f>
        <v>PrecToGood__</v>
      </c>
      <c r="S75" s="105">
        <f t="shared" si="8"/>
        <v>4</v>
      </c>
      <c r="T75" s="124" t="str">
        <f>IF(G58="","",L75)</f>
        <v/>
      </c>
      <c r="U75" s="91"/>
      <c r="V75" s="105" t="str">
        <f>IF(AND(G58&lt;&gt;"",E75&lt;&gt;"",L75&lt;&gt;""),TRUE,IF(AND(G58&lt;&gt;"",E75&lt;&gt;"",L75="",Z75=FALSE),CONST_ErrorOrMissing&amp;C58,CONST_NA))</f>
        <v>n.a.</v>
      </c>
      <c r="W75" s="172"/>
      <c r="X75" s="172"/>
      <c r="Y75" s="91"/>
      <c r="Z75" s="102" t="b">
        <f>IF(G58="",FALSE,E75="")</f>
        <v>0</v>
      </c>
    </row>
    <row r="76" spans="1:26" s="144" customFormat="1" ht="12.75" customHeight="1" x14ac:dyDescent="0.35">
      <c r="A76" s="91"/>
      <c r="B76" s="94"/>
      <c r="D76" s="173">
        <v>5</v>
      </c>
      <c r="E76" s="180" t="str">
        <f t="shared" si="7"/>
        <v/>
      </c>
      <c r="F76" s="181"/>
      <c r="G76" s="181"/>
      <c r="H76" s="181"/>
      <c r="I76" s="181"/>
      <c r="J76" s="182"/>
      <c r="K76" s="183" t="str">
        <f t="shared" si="9"/>
        <v/>
      </c>
      <c r="L76" s="212"/>
      <c r="O76" s="945"/>
      <c r="P76" s="94"/>
      <c r="Q76" s="93"/>
      <c r="R76" s="102" t="str">
        <f>CONST_PrecursorToGoodInput&amp;G58 &amp;"_"&amp;E76</f>
        <v>PrecToGood__</v>
      </c>
      <c r="S76" s="105">
        <f t="shared" si="8"/>
        <v>5</v>
      </c>
      <c r="T76" s="124" t="str">
        <f>IF(G58="","",L76)</f>
        <v/>
      </c>
      <c r="U76" s="91"/>
      <c r="V76" s="105" t="str">
        <f>IF(AND(G58&lt;&gt;"",E76&lt;&gt;"",L76&lt;&gt;""),TRUE,IF(AND(G58&lt;&gt;"",E76&lt;&gt;"",L76="",Z76=FALSE),CONST_ErrorOrMissing&amp;C58,CONST_NA))</f>
        <v>n.a.</v>
      </c>
      <c r="W76" s="172"/>
      <c r="X76" s="172"/>
      <c r="Y76" s="91"/>
      <c r="Z76" s="102" t="b">
        <f>IF(G58="",FALSE,E76="")</f>
        <v>0</v>
      </c>
    </row>
    <row r="77" spans="1:26" s="144" customFormat="1" ht="12.75" customHeight="1" x14ac:dyDescent="0.35">
      <c r="A77" s="91"/>
      <c r="B77" s="94"/>
      <c r="D77" s="173">
        <v>6</v>
      </c>
      <c r="E77" s="180" t="str">
        <f t="shared" si="7"/>
        <v/>
      </c>
      <c r="F77" s="181"/>
      <c r="G77" s="181"/>
      <c r="H77" s="181"/>
      <c r="I77" s="181"/>
      <c r="J77" s="182"/>
      <c r="K77" s="183" t="str">
        <f t="shared" si="9"/>
        <v/>
      </c>
      <c r="L77" s="212"/>
      <c r="O77" s="945"/>
      <c r="P77" s="94"/>
      <c r="Q77" s="93"/>
      <c r="R77" s="102" t="str">
        <f>CONST_PrecursorToGoodInput&amp;G58 &amp;"_"&amp;E77</f>
        <v>PrecToGood__</v>
      </c>
      <c r="S77" s="105">
        <f t="shared" si="8"/>
        <v>6</v>
      </c>
      <c r="T77" s="124" t="str">
        <f>IF(G58="","",L77)</f>
        <v/>
      </c>
      <c r="U77" s="91"/>
      <c r="V77" s="105" t="str">
        <f>IF(AND(G58&lt;&gt;"",E77&lt;&gt;"",L77&lt;&gt;""),TRUE,IF(AND(G58&lt;&gt;"",E77&lt;&gt;"",L77="",Z77=FALSE),CONST_ErrorOrMissing&amp;C58,CONST_NA))</f>
        <v>n.a.</v>
      </c>
      <c r="W77" s="172"/>
      <c r="X77" s="172"/>
      <c r="Y77" s="91"/>
      <c r="Z77" s="102" t="b">
        <f>IF(G58="",FALSE,E77="")</f>
        <v>0</v>
      </c>
    </row>
    <row r="78" spans="1:26" s="144" customFormat="1" ht="12.75" customHeight="1" x14ac:dyDescent="0.35">
      <c r="A78" s="91"/>
      <c r="B78" s="94"/>
      <c r="D78" s="173">
        <v>7</v>
      </c>
      <c r="E78" s="180" t="str">
        <f t="shared" si="7"/>
        <v/>
      </c>
      <c r="F78" s="181"/>
      <c r="G78" s="181"/>
      <c r="H78" s="181"/>
      <c r="I78" s="181"/>
      <c r="J78" s="182"/>
      <c r="K78" s="183" t="str">
        <f t="shared" si="9"/>
        <v/>
      </c>
      <c r="L78" s="212"/>
      <c r="O78" s="945"/>
      <c r="P78" s="94"/>
      <c r="Q78" s="93"/>
      <c r="R78" s="102" t="str">
        <f>CONST_PrecursorToGoodInput&amp;G58 &amp;"_"&amp;E78</f>
        <v>PrecToGood__</v>
      </c>
      <c r="S78" s="105">
        <f t="shared" si="8"/>
        <v>7</v>
      </c>
      <c r="T78" s="124" t="str">
        <f>IF(G58="","",L78)</f>
        <v/>
      </c>
      <c r="U78" s="91"/>
      <c r="V78" s="105" t="str">
        <f>IF(AND(G58&lt;&gt;"",E78&lt;&gt;"",L78&lt;&gt;""),TRUE,IF(AND(G58&lt;&gt;"",E78&lt;&gt;"",L78="",Z78=FALSE),CONST_ErrorOrMissing&amp;C58,CONST_NA))</f>
        <v>n.a.</v>
      </c>
      <c r="W78" s="172"/>
      <c r="X78" s="172"/>
      <c r="Y78" s="91"/>
      <c r="Z78" s="102" t="b">
        <f>IF(G58="",FALSE,E78="")</f>
        <v>0</v>
      </c>
    </row>
    <row r="79" spans="1:26" s="144" customFormat="1" ht="12.75" customHeight="1" x14ac:dyDescent="0.35">
      <c r="A79" s="91"/>
      <c r="B79" s="94"/>
      <c r="D79" s="173">
        <v>8</v>
      </c>
      <c r="E79" s="180" t="str">
        <f t="shared" si="7"/>
        <v/>
      </c>
      <c r="F79" s="181"/>
      <c r="G79" s="181"/>
      <c r="H79" s="181"/>
      <c r="I79" s="181"/>
      <c r="J79" s="182"/>
      <c r="K79" s="183" t="str">
        <f t="shared" si="9"/>
        <v/>
      </c>
      <c r="L79" s="212"/>
      <c r="O79" s="945"/>
      <c r="P79" s="94"/>
      <c r="Q79" s="93"/>
      <c r="R79" s="102" t="str">
        <f>CONST_PrecursorToGoodInput&amp;G58 &amp;"_"&amp;E79</f>
        <v>PrecToGood__</v>
      </c>
      <c r="S79" s="105">
        <f t="shared" si="8"/>
        <v>8</v>
      </c>
      <c r="T79" s="124" t="str">
        <f>IF(G58="","",L79)</f>
        <v/>
      </c>
      <c r="U79" s="91"/>
      <c r="V79" s="105" t="str">
        <f>IF(AND(G58&lt;&gt;"",E79&lt;&gt;"",L79&lt;&gt;""),TRUE,IF(AND(G58&lt;&gt;"",E79&lt;&gt;"",L79="",Z79=FALSE),CONST_ErrorOrMissing&amp;C58,CONST_NA))</f>
        <v>n.a.</v>
      </c>
      <c r="W79" s="172"/>
      <c r="X79" s="172"/>
      <c r="Y79" s="91"/>
      <c r="Z79" s="102" t="b">
        <f>IF(G58="",FALSE,E79="")</f>
        <v>0</v>
      </c>
    </row>
    <row r="80" spans="1:26" s="144" customFormat="1" ht="12.75" customHeight="1" x14ac:dyDescent="0.35">
      <c r="A80" s="91"/>
      <c r="B80" s="94"/>
      <c r="D80" s="173">
        <v>9</v>
      </c>
      <c r="E80" s="180" t="str">
        <f t="shared" si="7"/>
        <v/>
      </c>
      <c r="F80" s="181"/>
      <c r="G80" s="181"/>
      <c r="H80" s="181"/>
      <c r="I80" s="181"/>
      <c r="J80" s="182"/>
      <c r="K80" s="183" t="str">
        <f t="shared" si="9"/>
        <v/>
      </c>
      <c r="L80" s="212"/>
      <c r="O80" s="945"/>
      <c r="P80" s="94"/>
      <c r="Q80" s="93"/>
      <c r="R80" s="102" t="str">
        <f>CONST_PrecursorToGoodInput&amp;G58 &amp;"_"&amp;E80</f>
        <v>PrecToGood__</v>
      </c>
      <c r="S80" s="105">
        <f t="shared" si="8"/>
        <v>9</v>
      </c>
      <c r="T80" s="124" t="str">
        <f>IF(G58="","",L80)</f>
        <v/>
      </c>
      <c r="U80" s="91"/>
      <c r="V80" s="105" t="str">
        <f>IF(AND(G58&lt;&gt;"",E80&lt;&gt;"",L80&lt;&gt;""),TRUE,IF(AND(G58&lt;&gt;"",E80&lt;&gt;"",L80="",Z80=FALSE),CONST_ErrorOrMissing&amp;C58,CONST_NA))</f>
        <v>n.a.</v>
      </c>
      <c r="W80" s="172"/>
      <c r="X80" s="172"/>
      <c r="Y80" s="91"/>
      <c r="Z80" s="102" t="b">
        <f>IF(G58="",FALSE,E80="")</f>
        <v>0</v>
      </c>
    </row>
    <row r="81" spans="1:26" s="144" customFormat="1" ht="12.75" customHeight="1" x14ac:dyDescent="0.35">
      <c r="A81" s="91"/>
      <c r="B81" s="94"/>
      <c r="D81" s="173">
        <v>10</v>
      </c>
      <c r="E81" s="184" t="str">
        <f t="shared" si="7"/>
        <v/>
      </c>
      <c r="F81" s="185"/>
      <c r="G81" s="185"/>
      <c r="H81" s="185"/>
      <c r="I81" s="185"/>
      <c r="J81" s="186"/>
      <c r="K81" s="163" t="str">
        <f t="shared" si="9"/>
        <v/>
      </c>
      <c r="L81" s="31"/>
      <c r="O81" s="945"/>
      <c r="P81" s="94"/>
      <c r="Q81" s="93"/>
      <c r="R81" s="102" t="str">
        <f>CONST_PrecursorToGoodInput&amp;G58 &amp;"_"&amp;E81</f>
        <v>PrecToGood__</v>
      </c>
      <c r="S81" s="105">
        <f t="shared" si="8"/>
        <v>10</v>
      </c>
      <c r="T81" s="124" t="str">
        <f>IF(G58="","",L81)</f>
        <v/>
      </c>
      <c r="U81" s="91"/>
      <c r="V81" s="105" t="str">
        <f>IF(AND(G58&lt;&gt;"",E81&lt;&gt;"",L81&lt;&gt;""),TRUE,IF(AND(G58&lt;&gt;"",E81&lt;&gt;"",L81="",Z81=FALSE),CONST_ErrorOrMissing&amp;C58,CONST_NA))</f>
        <v>n.a.</v>
      </c>
      <c r="W81" s="172"/>
      <c r="X81" s="172"/>
      <c r="Y81" s="91"/>
      <c r="Z81" s="102" t="b">
        <f>IF(G58="",FALSE,E81="")</f>
        <v>0</v>
      </c>
    </row>
    <row r="82" spans="1:26" s="144" customFormat="1" ht="12.75" customHeight="1" x14ac:dyDescent="0.35">
      <c r="A82" s="91"/>
      <c r="B82" s="94"/>
      <c r="D82" s="168" t="s">
        <v>49</v>
      </c>
      <c r="E82" s="167" t="str">
        <f>Translations!$B$1968</f>
        <v>Consumed for other purposes, e.g. sold or used for non-CBAM goods:</v>
      </c>
      <c r="F82" s="167"/>
      <c r="G82" s="167"/>
      <c r="H82" s="167"/>
      <c r="I82" s="167"/>
      <c r="J82" s="167"/>
      <c r="K82" s="169" t="str">
        <f>K69</f>
        <v/>
      </c>
      <c r="L82" s="211"/>
      <c r="O82" s="945"/>
      <c r="P82" s="94"/>
      <c r="Q82" s="93"/>
      <c r="R82" s="91"/>
      <c r="S82" s="91"/>
      <c r="T82" s="712"/>
      <c r="U82" s="91"/>
      <c r="V82" s="105" t="str">
        <f>IF(G58="",CONST_NA,IF(ISNUMBER(L82),TRUE,CONST_ErrorOrMissing&amp;C58))</f>
        <v>n.a.</v>
      </c>
      <c r="W82" s="91"/>
      <c r="X82" s="91"/>
      <c r="Y82" s="91"/>
      <c r="Z82" s="91"/>
    </row>
    <row r="83" spans="1:26" s="144" customFormat="1" ht="12.75" customHeight="1" x14ac:dyDescent="0.35">
      <c r="A83" s="91"/>
      <c r="B83" s="94"/>
      <c r="D83" s="168" t="s">
        <v>377</v>
      </c>
      <c r="E83" s="138" t="str">
        <f>Translations!$B$253</f>
        <v>Control:</v>
      </c>
      <c r="F83" s="170"/>
      <c r="G83" s="170"/>
      <c r="H83" s="170"/>
      <c r="I83" s="170"/>
      <c r="J83" s="170"/>
      <c r="K83" s="169" t="str">
        <f>K82</f>
        <v/>
      </c>
      <c r="L83" s="118" t="str">
        <f>IF(G58="","",SUM(L69)-SUM(L72:L82))</f>
        <v/>
      </c>
      <c r="O83" s="945"/>
      <c r="P83" s="94"/>
      <c r="Q83" s="93"/>
      <c r="R83" s="91"/>
      <c r="S83" s="91"/>
      <c r="T83" s="712"/>
      <c r="U83" s="91"/>
      <c r="V83" s="105" t="str">
        <f>IF(G58="",CONST_NA,IF(L83=0,TRUE,CONST_ErrorOrMissing&amp;C58))</f>
        <v>n.a.</v>
      </c>
      <c r="W83" s="91"/>
      <c r="X83" s="91"/>
      <c r="Y83" s="91"/>
      <c r="Z83" s="91"/>
    </row>
    <row r="84" spans="1:26" s="144" customFormat="1" ht="12.75" customHeight="1" thickBot="1" x14ac:dyDescent="0.4">
      <c r="A84" s="91"/>
      <c r="B84" s="94"/>
      <c r="O84" s="428"/>
      <c r="P84" s="94"/>
      <c r="Q84" s="93"/>
      <c r="R84" s="91"/>
      <c r="S84" s="91"/>
      <c r="T84" s="712"/>
      <c r="U84" s="91"/>
      <c r="V84" s="91"/>
      <c r="W84" s="91"/>
      <c r="X84" s="91"/>
      <c r="Y84" s="91"/>
      <c r="Z84" s="91"/>
    </row>
    <row r="85" spans="1:26" ht="12.75" customHeight="1" x14ac:dyDescent="0.35">
      <c r="B85" s="94"/>
      <c r="C85" s="187"/>
      <c r="D85" s="188"/>
      <c r="E85" s="189"/>
      <c r="F85" s="190"/>
      <c r="G85" s="190"/>
      <c r="H85" s="190"/>
      <c r="I85" s="190"/>
      <c r="J85" s="190"/>
      <c r="K85" s="190"/>
      <c r="L85" s="190"/>
      <c r="M85" s="190"/>
      <c r="N85" s="191"/>
      <c r="O85" s="428"/>
      <c r="T85" s="712"/>
    </row>
    <row r="86" spans="1:26" ht="15" customHeight="1" x14ac:dyDescent="0.35">
      <c r="B86" s="94"/>
      <c r="C86" s="192"/>
      <c r="D86" s="193" t="str">
        <f>Translations!$B$279</f>
        <v>Specific embedded emissions:</v>
      </c>
      <c r="E86" s="194"/>
      <c r="F86" s="195"/>
      <c r="G86" s="195"/>
      <c r="H86" s="195"/>
      <c r="I86" s="195"/>
      <c r="J86" s="1327" t="str">
        <f>IF(G58="","",G58)</f>
        <v/>
      </c>
      <c r="K86" s="1327"/>
      <c r="L86" s="1327"/>
      <c r="M86" s="1327"/>
      <c r="N86" s="196"/>
      <c r="O86" s="428"/>
      <c r="T86" s="712"/>
    </row>
    <row r="87" spans="1:26" ht="5.15" customHeight="1" x14ac:dyDescent="0.35">
      <c r="B87" s="94"/>
      <c r="C87" s="192"/>
      <c r="D87" s="197"/>
      <c r="E87" s="198"/>
      <c r="F87" s="195"/>
      <c r="G87" s="195"/>
      <c r="H87" s="195"/>
      <c r="I87" s="195"/>
      <c r="J87" s="195"/>
      <c r="K87" s="195"/>
      <c r="L87" s="195"/>
      <c r="M87" s="195"/>
      <c r="N87" s="196"/>
      <c r="O87" s="428"/>
      <c r="T87" s="712"/>
    </row>
    <row r="88" spans="1:26" ht="12.75" customHeight="1" x14ac:dyDescent="0.35">
      <c r="B88" s="94"/>
      <c r="C88" s="192"/>
      <c r="D88" s="199" t="s">
        <v>411</v>
      </c>
      <c r="E88" s="198" t="str">
        <f>Translations!$B$280</f>
        <v>Emissions embedded in this purchased precursor</v>
      </c>
      <c r="F88" s="198"/>
      <c r="G88" s="198"/>
      <c r="H88" s="198"/>
      <c r="I88" s="198"/>
      <c r="J88" s="198"/>
      <c r="K88" s="198"/>
      <c r="L88" s="198"/>
      <c r="M88" s="198"/>
      <c r="N88" s="196"/>
      <c r="O88" s="428"/>
      <c r="T88" s="712"/>
      <c r="V88" s="172"/>
      <c r="W88" s="172"/>
      <c r="X88" s="172"/>
      <c r="Z88" s="171"/>
    </row>
    <row r="89" spans="1:26" ht="4.9000000000000004" customHeight="1" x14ac:dyDescent="0.35">
      <c r="B89" s="94"/>
      <c r="C89" s="192"/>
      <c r="D89" s="199"/>
      <c r="E89" s="1328"/>
      <c r="F89" s="1328"/>
      <c r="G89" s="1328"/>
      <c r="H89" s="1328"/>
      <c r="I89" s="1328"/>
      <c r="J89" s="1328"/>
      <c r="K89" s="1328"/>
      <c r="L89" s="1328"/>
      <c r="M89" s="1328"/>
      <c r="N89" s="196"/>
      <c r="O89" s="428"/>
      <c r="T89" s="712"/>
    </row>
    <row r="90" spans="1:26" ht="13.15" customHeight="1" x14ac:dyDescent="0.35">
      <c r="B90" s="94"/>
      <c r="C90" s="192"/>
      <c r="D90" s="199"/>
      <c r="E90" s="1311" t="str">
        <f ca="1">HYPERLINK("#"&amp;ADDRESS(MATCH($S90,G_FurtherGuidance!$S:$S,0),3,,,G_FurtherGuidance!$U$2),CONST_LinkToGuidanceSheet)</f>
        <v>Please click on this link for further guidance on how to complete this section.</v>
      </c>
      <c r="F90" s="1312"/>
      <c r="G90" s="1312"/>
      <c r="H90" s="1312"/>
      <c r="I90" s="1312"/>
      <c r="J90" s="1312"/>
      <c r="K90" s="1312"/>
      <c r="L90" s="1312"/>
      <c r="M90" s="1312"/>
      <c r="N90" s="196"/>
      <c r="O90" s="428"/>
      <c r="R90" s="104" t="s">
        <v>2771</v>
      </c>
      <c r="S90" s="105">
        <v>4</v>
      </c>
      <c r="T90" s="712"/>
    </row>
    <row r="91" spans="1:26" ht="4.9000000000000004" customHeight="1" x14ac:dyDescent="0.35">
      <c r="B91" s="94"/>
      <c r="C91" s="192"/>
      <c r="D91" s="199"/>
      <c r="E91" s="1328"/>
      <c r="F91" s="1328"/>
      <c r="G91" s="1328"/>
      <c r="H91" s="1328"/>
      <c r="I91" s="1328"/>
      <c r="J91" s="1328"/>
      <c r="K91" s="1328"/>
      <c r="L91" s="1328"/>
      <c r="M91" s="1328"/>
      <c r="N91" s="384"/>
      <c r="O91" s="428"/>
      <c r="T91" s="712"/>
    </row>
    <row r="92" spans="1:26" ht="12.75" customHeight="1" x14ac:dyDescent="0.35">
      <c r="B92" s="94"/>
      <c r="C92" s="192"/>
      <c r="D92" s="199"/>
      <c r="E92" s="198" t="str">
        <f>Translations!$B$284</f>
        <v>Parameter:</v>
      </c>
      <c r="F92" s="195"/>
      <c r="G92" s="195"/>
      <c r="H92" s="195"/>
      <c r="I92" s="195"/>
      <c r="J92" s="195"/>
      <c r="K92" s="199" t="str">
        <f>Translations!$B$221</f>
        <v>Unit</v>
      </c>
      <c r="L92" s="199" t="str">
        <f>Translations!$B$260</f>
        <v>Value</v>
      </c>
      <c r="M92" s="199" t="str">
        <f>Translations!$B$285</f>
        <v>Source</v>
      </c>
      <c r="N92" s="196"/>
      <c r="O92" s="428"/>
      <c r="T92" s="764" t="s">
        <v>5</v>
      </c>
      <c r="U92" s="123" t="s">
        <v>2719</v>
      </c>
      <c r="V92" s="156" t="s">
        <v>3922</v>
      </c>
      <c r="W92" s="156"/>
      <c r="X92" s="156"/>
      <c r="Z92" s="171"/>
    </row>
    <row r="93" spans="1:26" ht="12.75" customHeight="1" x14ac:dyDescent="0.35">
      <c r="B93" s="94"/>
      <c r="C93" s="192"/>
      <c r="D93" s="197" t="s">
        <v>41</v>
      </c>
      <c r="E93" s="201" t="str">
        <f>Translations!$B$1969</f>
        <v>Specific embedded direct emissions (SEE (direct))</v>
      </c>
      <c r="F93" s="201"/>
      <c r="G93" s="201"/>
      <c r="H93" s="201"/>
      <c r="I93" s="201"/>
      <c r="J93" s="201"/>
      <c r="K93" s="217" t="str">
        <f>IF(L58="","",CONST_tCO2eq &amp; "/" &amp; K69)</f>
        <v/>
      </c>
      <c r="L93" s="215"/>
      <c r="M93" s="385"/>
      <c r="N93" s="196"/>
      <c r="O93" s="945"/>
      <c r="R93" s="102" t="str">
        <f>CONST_PurchPrecDefaultUsed&amp;G58</f>
        <v>PurchPrecDef_</v>
      </c>
      <c r="S93" s="102" t="str">
        <f>CONST_CNTR_EmbedEmDir&amp;G58</f>
        <v>EmbedEmDir_</v>
      </c>
      <c r="T93" s="124" t="str">
        <f>IF(G58="","",SUM(T69)*SUM(L93))</f>
        <v/>
      </c>
      <c r="U93" s="105" t="str">
        <f>IF(G58="","",IF(M93="",CONST_ERR_Incomplete,MATCH(M93,CONST_MeasDefaultUnknown,0)=2))</f>
        <v/>
      </c>
      <c r="V93" s="105" t="str">
        <f>IF(AND(G58&lt;&gt;"",COUNTA(L93:M93)=2),TRUE,IF(AND(G58&lt;&gt;"",COUNTA(L93:M93)&lt;2),CONST_ErrorOrMissing&amp;C58,CONST_NA))</f>
        <v>n.a.</v>
      </c>
      <c r="W93" s="156"/>
      <c r="X93" s="156"/>
      <c r="Z93" s="171"/>
    </row>
    <row r="94" spans="1:26" ht="12.75" customHeight="1" x14ac:dyDescent="0.35">
      <c r="B94" s="94"/>
      <c r="C94" s="192"/>
      <c r="D94" s="197" t="s">
        <v>42</v>
      </c>
      <c r="E94" s="759" t="str">
        <f>Translations!$B$1970</f>
        <v>Specific electricity consumption (for SEE (indirect))</v>
      </c>
      <c r="F94" s="759"/>
      <c r="G94" s="759"/>
      <c r="H94" s="759"/>
      <c r="I94" s="759"/>
      <c r="J94" s="759"/>
      <c r="K94" s="457" t="str">
        <f>IF(K93="","",CONST_MWh&amp;"/"&amp;K69)</f>
        <v/>
      </c>
      <c r="L94" s="760"/>
      <c r="M94" s="761"/>
      <c r="N94" s="196"/>
      <c r="O94" s="945"/>
      <c r="R94" s="102" t="str">
        <f>CONST_ElecConsumption&amp;G58</f>
        <v>ElecCons_</v>
      </c>
      <c r="S94" s="102"/>
      <c r="T94" s="124" t="str">
        <f>IF(G58="","",SUM(T69)*SUM(L94))</f>
        <v/>
      </c>
      <c r="U94" s="105" t="str">
        <f>IF(G58="","",IF(M94="",CONST_ERR_Incomplete,MATCH(M94,CONST_MeasDefaultUnknown,0)=2))</f>
        <v/>
      </c>
      <c r="V94" s="105" t="str">
        <f>IF(AND(G58&lt;&gt;"",COUNTA(L94:M94)=2),TRUE,IF(AND(G58&lt;&gt;"",COUNTA(L94:M94)&lt;2),CONST_ErrorOrMissing&amp;C58,CONST_NA))</f>
        <v>n.a.</v>
      </c>
      <c r="W94" s="156"/>
      <c r="X94" s="156"/>
      <c r="Z94" s="171"/>
    </row>
    <row r="95" spans="1:26" ht="12.75" customHeight="1" x14ac:dyDescent="0.35">
      <c r="B95" s="94"/>
      <c r="C95" s="192"/>
      <c r="D95" s="197" t="s">
        <v>43</v>
      </c>
      <c r="E95" s="1144" t="str">
        <f>Translations!$B$1971</f>
        <v>Electricity emission factor (for SEE (indirect))</v>
      </c>
      <c r="F95" s="1144"/>
      <c r="G95" s="1144"/>
      <c r="H95" s="1144"/>
      <c r="I95" s="1144"/>
      <c r="J95" s="1144"/>
      <c r="K95" s="1145" t="str">
        <f>IF(K93="","",CONST_tCO2eq&amp;"/"&amp;CONST_MWh)</f>
        <v/>
      </c>
      <c r="L95" s="1146"/>
      <c r="M95" s="762"/>
      <c r="N95" s="196"/>
      <c r="O95" s="945"/>
      <c r="R95" s="102" t="str">
        <f>CONST_CNTR_ElecEFMethod&amp;G58</f>
        <v>ElecEFMeth_</v>
      </c>
      <c r="S95" s="102"/>
      <c r="T95" s="124"/>
      <c r="U95" s="105" t="str">
        <f>IF(G58="","",M95)</f>
        <v/>
      </c>
      <c r="V95" s="105" t="str">
        <f>IF(AND(G58&lt;&gt;"",COUNTA(L95:M95)=2),TRUE,IF(AND(G58&lt;&gt;"",COUNTA(L95:M95)&lt;2),CONST_ErrorOrMissing&amp;C58,CONST_NA))</f>
        <v>n.a.</v>
      </c>
      <c r="W95" s="156"/>
      <c r="X95" s="156"/>
      <c r="Z95" s="171"/>
    </row>
    <row r="96" spans="1:26" x14ac:dyDescent="0.35">
      <c r="B96" s="94"/>
      <c r="C96" s="192"/>
      <c r="D96" s="197" t="s">
        <v>44</v>
      </c>
      <c r="E96" s="201" t="str">
        <f>Translations!$B$1972</f>
        <v>Specific embedded indirect emissions (SEE (indirect))</v>
      </c>
      <c r="F96" s="201"/>
      <c r="G96" s="201"/>
      <c r="H96" s="201"/>
      <c r="I96" s="201"/>
      <c r="J96" s="201"/>
      <c r="K96" s="217" t="str">
        <f>K93</f>
        <v/>
      </c>
      <c r="L96" s="1147" t="str">
        <f>IF(COUNT(L94:L95)=0,"",L94*L95)</f>
        <v/>
      </c>
      <c r="M96" s="758"/>
      <c r="N96" s="196"/>
      <c r="O96" s="428"/>
      <c r="R96" s="171"/>
      <c r="S96" s="102" t="str">
        <f>CONST_CNTR_EmbedEmInDir&amp;G58</f>
        <v>EmbedEmInDir_</v>
      </c>
      <c r="T96" s="124" t="str">
        <f>IF(G58="","",SUM(T69)*SUM(L96))</f>
        <v/>
      </c>
      <c r="Z96" s="171"/>
    </row>
    <row r="97" spans="1:26" ht="5.15" customHeight="1" x14ac:dyDescent="0.35">
      <c r="B97" s="94"/>
      <c r="C97" s="192"/>
      <c r="D97" s="197"/>
      <c r="E97" s="195"/>
      <c r="F97" s="195"/>
      <c r="G97" s="195"/>
      <c r="H97" s="195"/>
      <c r="I97" s="195"/>
      <c r="J97" s="195"/>
      <c r="K97" s="195"/>
      <c r="L97" s="195"/>
      <c r="M97" s="195"/>
      <c r="N97" s="196"/>
      <c r="O97" s="428"/>
      <c r="R97" s="171"/>
      <c r="S97" s="171"/>
      <c r="T97" s="125"/>
      <c r="U97" s="156"/>
      <c r="V97" s="172"/>
      <c r="W97" s="172"/>
      <c r="X97" s="172"/>
      <c r="Z97" s="171"/>
    </row>
    <row r="98" spans="1:26" ht="12.75" customHeight="1" x14ac:dyDescent="0.35">
      <c r="B98" s="94"/>
      <c r="C98" s="192"/>
      <c r="D98" s="197" t="s">
        <v>45</v>
      </c>
      <c r="E98" s="201" t="str">
        <f>Translations!$B$1858</f>
        <v>Justification for use of default values (if relevant):</v>
      </c>
      <c r="F98" s="201"/>
      <c r="G98" s="201"/>
      <c r="H98" s="201"/>
      <c r="I98" s="201"/>
      <c r="J98" s="201"/>
      <c r="K98" s="1329"/>
      <c r="L98" s="1329"/>
      <c r="M98" s="1329"/>
      <c r="N98" s="196"/>
      <c r="O98" s="945"/>
      <c r="R98" s="171"/>
      <c r="S98" s="171"/>
      <c r="T98" s="125"/>
      <c r="U98" s="156"/>
      <c r="V98" s="105" t="str">
        <f>IF(OR(G58="",Z98=TRUE),CONST_NA,IF(K98&lt;&gt;"",TRUE,CONST_ErrorOrMissing&amp;C58))</f>
        <v>n.a.</v>
      </c>
      <c r="W98" s="172"/>
      <c r="X98" s="172"/>
      <c r="Z98" s="102" t="b">
        <f>AND(M93&lt;&gt;"",M93&lt;&gt;INDEX(CONST_MeasDefaultUnknown,2),M94&lt;&gt;"",M94&lt;&gt;INDEX(CONST_MeasDefaultUnknown,2))</f>
        <v>0</v>
      </c>
    </row>
    <row r="99" spans="1:26" s="144" customFormat="1" ht="12.75" customHeight="1" thickBot="1" x14ac:dyDescent="0.4">
      <c r="A99" s="91"/>
      <c r="B99" s="94"/>
      <c r="C99" s="206"/>
      <c r="D99" s="207"/>
      <c r="E99" s="208"/>
      <c r="F99" s="209"/>
      <c r="G99" s="209"/>
      <c r="H99" s="209"/>
      <c r="I99" s="209"/>
      <c r="J99" s="209"/>
      <c r="K99" s="209"/>
      <c r="L99" s="209"/>
      <c r="M99" s="209"/>
      <c r="N99" s="210"/>
      <c r="O99" s="428"/>
      <c r="P99" s="94"/>
      <c r="Q99" s="93"/>
      <c r="R99" s="91"/>
      <c r="S99" s="91"/>
      <c r="T99" s="712"/>
      <c r="U99" s="91"/>
      <c r="V99" s="91"/>
      <c r="W99" s="91"/>
      <c r="X99" s="91"/>
      <c r="Y99" s="91"/>
      <c r="Z99" s="91"/>
    </row>
    <row r="100" spans="1:26" s="144" customFormat="1" ht="12.75" customHeight="1" thickBot="1" x14ac:dyDescent="0.4">
      <c r="A100" s="91"/>
      <c r="B100" s="94"/>
      <c r="O100" s="428"/>
      <c r="P100" s="94"/>
      <c r="Q100" s="93"/>
      <c r="R100" s="91"/>
      <c r="S100" s="91"/>
      <c r="T100" s="712"/>
      <c r="U100" s="91"/>
      <c r="V100" s="91"/>
      <c r="W100" s="91"/>
      <c r="X100" s="91"/>
      <c r="Y100" s="91"/>
      <c r="Z100" s="91"/>
    </row>
    <row r="101" spans="1:26" s="144" customFormat="1" ht="12.75" customHeight="1" thickBot="1" x14ac:dyDescent="0.4">
      <c r="A101" s="91"/>
      <c r="B101" s="946"/>
      <c r="C101" s="145"/>
      <c r="D101" s="145"/>
      <c r="E101" s="145"/>
      <c r="F101" s="145"/>
      <c r="G101" s="145"/>
      <c r="H101" s="145"/>
      <c r="I101" s="145"/>
      <c r="J101" s="145"/>
      <c r="K101" s="145"/>
      <c r="L101" s="145"/>
      <c r="M101" s="145"/>
      <c r="N101" s="145"/>
      <c r="O101" s="947"/>
      <c r="P101" s="94"/>
      <c r="Q101" s="93"/>
      <c r="R101" s="91"/>
      <c r="S101" s="91"/>
      <c r="T101" s="712"/>
      <c r="U101" s="91"/>
      <c r="V101" s="91"/>
      <c r="W101" s="91"/>
      <c r="X101" s="91"/>
      <c r="Y101" s="91"/>
      <c r="Z101" s="91"/>
    </row>
    <row r="102" spans="1:26" ht="18" customHeight="1" thickBot="1" x14ac:dyDescent="0.4">
      <c r="B102" s="94"/>
      <c r="C102" s="147">
        <f>C58+1</f>
        <v>3</v>
      </c>
      <c r="D102" s="944" t="str">
        <f>CONST_PurchPrecursor &amp; " " &amp; C102 &amp; ":"</f>
        <v>Purchased precursor 3:</v>
      </c>
      <c r="E102" s="144"/>
      <c r="F102" s="144"/>
      <c r="G102" s="1313" t="str">
        <f>IF(INDEX(CNTR_List_ExistPurchPrecNames,MATCH(R102,CNTR_ListPurchPrecID,0))=CONST_NA,"",INDEX(CNTR_List_ExistPurchPrecNames,MATCH(R102,CNTR_ListPurchPrecID,0)))</f>
        <v/>
      </c>
      <c r="H102" s="1314"/>
      <c r="I102" s="1314"/>
      <c r="J102" s="1314"/>
      <c r="K102" s="1315"/>
      <c r="L102" s="1316" t="str">
        <f>IF(INDEX(CNTR_List_ExistPurchPrec,MATCH(R102,CNTR_ListPurchPrecID,0))=CONST_NA,"",INDEX(CNTR_List_ExistPurchPrec,MATCH(R102,CNTR_ListPurchPrecID,0)))</f>
        <v/>
      </c>
      <c r="M102" s="1317"/>
      <c r="N102" s="1318"/>
      <c r="O102" s="428"/>
      <c r="R102" s="149" t="str">
        <f>INDEX(CNTR_ListPurchPrecID,C102)</f>
        <v>PP3</v>
      </c>
      <c r="Y102" s="104" t="s">
        <v>2748</v>
      </c>
      <c r="Z102" s="150" t="b">
        <f>AND(CNTR_HasEntriesA,G102="")</f>
        <v>0</v>
      </c>
    </row>
    <row r="103" spans="1:26" ht="26.5" customHeight="1" x14ac:dyDescent="0.35">
      <c r="B103" s="94"/>
      <c r="C103" s="144"/>
      <c r="D103" s="914"/>
      <c r="E103" s="1325" t="str">
        <f ca="1">HYPERLINK("#"&amp;ADDRESS(MATCH($S103,G_FurtherGuidance!$S:$S,0),3,,,G_FurtherGuidance!$U$2),CONST_LinkToGuidanceSheet)</f>
        <v>Please click on this link for further guidance on how to complete this section.</v>
      </c>
      <c r="F103" s="1326"/>
      <c r="G103" s="1326"/>
      <c r="H103" s="1326"/>
      <c r="I103" s="1326"/>
      <c r="J103" s="1326"/>
      <c r="K103" s="1326"/>
      <c r="L103" s="1326"/>
      <c r="M103" s="1326"/>
      <c r="N103" s="144"/>
      <c r="O103" s="428"/>
      <c r="R103" s="104" t="s">
        <v>2771</v>
      </c>
      <c r="S103" s="105">
        <v>4</v>
      </c>
      <c r="Y103" s="104"/>
    </row>
    <row r="104" spans="1:26" ht="12.75" customHeight="1" x14ac:dyDescent="0.35">
      <c r="B104" s="94"/>
      <c r="C104" s="144"/>
      <c r="D104" s="168" t="s">
        <v>135</v>
      </c>
      <c r="E104" s="167" t="str">
        <f>Translations!$B$276</f>
        <v>Total purchased levels:</v>
      </c>
      <c r="F104" s="144"/>
      <c r="G104" s="144"/>
      <c r="H104" s="151" t="str">
        <f>Translations!$B$244</f>
        <v>Production route</v>
      </c>
      <c r="I104" s="144"/>
      <c r="J104" s="144"/>
      <c r="K104" s="152" t="str">
        <f>Translations!$B$221</f>
        <v>Unit</v>
      </c>
      <c r="L104" s="152" t="str">
        <f>Translations!$B$245</f>
        <v>Amounts</v>
      </c>
      <c r="M104" s="144"/>
      <c r="N104" s="144"/>
      <c r="O104" s="428"/>
      <c r="Y104" s="91" t="s">
        <v>4077</v>
      </c>
    </row>
    <row r="105" spans="1:26" ht="12.75" customHeight="1" x14ac:dyDescent="0.35">
      <c r="B105" s="94"/>
      <c r="C105" s="144"/>
      <c r="D105" s="173">
        <v>1</v>
      </c>
      <c r="E105" s="153" t="str">
        <f>IF(G102="","",G102) &amp; IF(L102="",""," | " &amp; L102)</f>
        <v/>
      </c>
      <c r="F105" s="153"/>
      <c r="G105" s="153"/>
      <c r="H105" s="154" t="str">
        <f>IF(L102="","",INDEX(CONST_MATRIX_ProductionRoute,MATCH(L102,CONST_LIST_Goods,0),D105))</f>
        <v/>
      </c>
      <c r="I105" s="153"/>
      <c r="J105" s="153"/>
      <c r="K105" s="155" t="str">
        <f>IF(L102="","",INDEX(CONST_LIST_GoodsUnit,MATCH(L102,CONST_LIST_Goods,0)))</f>
        <v/>
      </c>
      <c r="L105" s="29"/>
      <c r="M105" s="144"/>
      <c r="N105" s="144"/>
      <c r="O105" s="945"/>
      <c r="S105" s="105">
        <v>1</v>
      </c>
      <c r="V105" s="105" t="str">
        <f>IF(AND(Y105=FALSE,ISNUMBER(L105)),TRUE,IF(Y105=FALSE,CONST_ErrorOrMissing&amp;C102,CONST_NA))</f>
        <v>n.a.</v>
      </c>
      <c r="Y105" s="105" t="str">
        <f>IF(OR(H105="",H105=CONST_NA),"",IF(H105=CONST_AllProdRoutes,FALSE, COUNTIF(INDEX(CNTR_MatrixPurchPrecRoutes,C102,),S105)=0))</f>
        <v/>
      </c>
    </row>
    <row r="106" spans="1:26" ht="12.75" customHeight="1" x14ac:dyDescent="0.35">
      <c r="B106" s="94"/>
      <c r="C106" s="144"/>
      <c r="D106" s="173">
        <v>2</v>
      </c>
      <c r="E106" s="158" t="str">
        <f t="shared" ref="E106:E112" si="10">IF(H106=CONST_NA,"",E105)</f>
        <v/>
      </c>
      <c r="F106" s="158"/>
      <c r="G106" s="158"/>
      <c r="H106" s="159" t="str">
        <f>IF(L102="","",INDEX(CONST_MATRIX_ProductionRoute,MATCH(L102,CONST_LIST_Goods,0),D106))</f>
        <v/>
      </c>
      <c r="I106" s="158"/>
      <c r="J106" s="158"/>
      <c r="K106" s="160" t="str">
        <f t="shared" ref="K106:K112" si="11">IF(H106=CONST_NA,"",K105)</f>
        <v/>
      </c>
      <c r="L106" s="30"/>
      <c r="M106" s="144"/>
      <c r="N106" s="144"/>
      <c r="O106" s="945"/>
      <c r="S106" s="105">
        <v>2</v>
      </c>
      <c r="V106" s="105" t="str">
        <f>IF(AND(Y106=FALSE,ISNUMBER(L106)),TRUE,IF(Y106=FALSE,CONST_ErrorOrMissing&amp;C102,CONST_NA))</f>
        <v>n.a.</v>
      </c>
      <c r="Y106" s="105" t="str">
        <f>IF(OR(H106="",H106=CONST_NA),"",IF(H106=CONST_AllProdRoutes,FALSE, COUNTIF(INDEX(CNTR_MatrixPurchPrecRoutes,C102,),S106)=0))</f>
        <v/>
      </c>
    </row>
    <row r="107" spans="1:26" ht="12.75" customHeight="1" x14ac:dyDescent="0.35">
      <c r="B107" s="94"/>
      <c r="C107" s="144"/>
      <c r="D107" s="173">
        <v>3</v>
      </c>
      <c r="E107" s="158" t="str">
        <f t="shared" si="10"/>
        <v/>
      </c>
      <c r="F107" s="158"/>
      <c r="G107" s="158"/>
      <c r="H107" s="159" t="str">
        <f>IF(L102="","",INDEX(CONST_MATRIX_ProductionRoute,MATCH(L102,CONST_LIST_Goods,0),D107))</f>
        <v/>
      </c>
      <c r="I107" s="158"/>
      <c r="J107" s="158"/>
      <c r="K107" s="160" t="str">
        <f t="shared" si="11"/>
        <v/>
      </c>
      <c r="L107" s="30"/>
      <c r="M107" s="144"/>
      <c r="N107" s="144"/>
      <c r="O107" s="945"/>
      <c r="S107" s="105">
        <v>3</v>
      </c>
      <c r="V107" s="105" t="str">
        <f>IF(AND(Y107=FALSE,ISNUMBER(L107)),TRUE,IF(Y107=FALSE,CONST_ErrorOrMissing&amp;C102,CONST_NA))</f>
        <v>n.a.</v>
      </c>
      <c r="Y107" s="105" t="str">
        <f>IF(OR(H107="",H107=CONST_NA),"",IF(H107=CONST_AllProdRoutes,FALSE, COUNTIF(INDEX(CNTR_MatrixPurchPrecRoutes,C102,),S107)=0))</f>
        <v/>
      </c>
    </row>
    <row r="108" spans="1:26" ht="12.75" customHeight="1" x14ac:dyDescent="0.35">
      <c r="B108" s="94"/>
      <c r="C108" s="144"/>
      <c r="D108" s="173">
        <v>4</v>
      </c>
      <c r="E108" s="158" t="str">
        <f t="shared" si="10"/>
        <v/>
      </c>
      <c r="F108" s="158"/>
      <c r="G108" s="158"/>
      <c r="H108" s="159" t="str">
        <f>IF(L102="","",INDEX(CONST_MATRIX_ProductionRoute,MATCH(L102,CONST_LIST_Goods,0),D108))</f>
        <v/>
      </c>
      <c r="I108" s="158"/>
      <c r="J108" s="158"/>
      <c r="K108" s="160" t="str">
        <f t="shared" si="11"/>
        <v/>
      </c>
      <c r="L108" s="30"/>
      <c r="M108" s="144"/>
      <c r="N108" s="144"/>
      <c r="O108" s="945"/>
      <c r="S108" s="105">
        <v>4</v>
      </c>
      <c r="V108" s="105" t="str">
        <f>IF(AND(Y108=FALSE,ISNUMBER(L108)),TRUE,IF(Y108=FALSE,CONST_ErrorOrMissing&amp;C102,CONST_NA))</f>
        <v>n.a.</v>
      </c>
      <c r="Y108" s="105" t="str">
        <f>IF(OR(H108="",H108=CONST_NA),"",IF(H108=CONST_AllProdRoutes,FALSE, COUNTIF(INDEX(CNTR_MatrixPurchPrecRoutes,C102,),S108)=0))</f>
        <v/>
      </c>
    </row>
    <row r="109" spans="1:26" ht="12.75" customHeight="1" x14ac:dyDescent="0.35">
      <c r="B109" s="94"/>
      <c r="C109" s="144"/>
      <c r="D109" s="173">
        <v>5</v>
      </c>
      <c r="E109" s="158" t="str">
        <f t="shared" si="10"/>
        <v/>
      </c>
      <c r="F109" s="158"/>
      <c r="G109" s="158"/>
      <c r="H109" s="159" t="str">
        <f>IF(L102="","",INDEX(CONST_MATRIX_ProductionRoute,MATCH(L102,CONST_LIST_Goods,0),D109))</f>
        <v/>
      </c>
      <c r="I109" s="158"/>
      <c r="J109" s="158"/>
      <c r="K109" s="160" t="str">
        <f t="shared" si="11"/>
        <v/>
      </c>
      <c r="L109" s="30"/>
      <c r="M109" s="144"/>
      <c r="N109" s="144"/>
      <c r="O109" s="945"/>
      <c r="S109" s="105">
        <v>5</v>
      </c>
      <c r="V109" s="105" t="str">
        <f>IF(AND(Y109=FALSE,ISNUMBER(L109)),TRUE,IF(Y109=FALSE,CONST_ErrorOrMissing&amp;C102,CONST_NA))</f>
        <v>n.a.</v>
      </c>
      <c r="Y109" s="105" t="str">
        <f>IF(OR(H109="",H109=CONST_NA),"",IF(H109=CONST_AllProdRoutes,FALSE, COUNTIF(INDEX(CNTR_MatrixPurchPrecRoutes,C102,),S109)=0))</f>
        <v/>
      </c>
    </row>
    <row r="110" spans="1:26" ht="12.75" customHeight="1" x14ac:dyDescent="0.35">
      <c r="B110" s="94"/>
      <c r="C110" s="144"/>
      <c r="D110" s="173">
        <v>6</v>
      </c>
      <c r="E110" s="158" t="str">
        <f t="shared" si="10"/>
        <v/>
      </c>
      <c r="F110" s="158"/>
      <c r="G110" s="158"/>
      <c r="H110" s="159" t="str">
        <f>IF(L102="","",INDEX(CONST_MATRIX_ProductionRoute,MATCH(L102,CONST_LIST_Goods,0),D110))</f>
        <v/>
      </c>
      <c r="I110" s="158"/>
      <c r="J110" s="158"/>
      <c r="K110" s="160" t="str">
        <f t="shared" si="11"/>
        <v/>
      </c>
      <c r="L110" s="30"/>
      <c r="M110" s="144"/>
      <c r="N110" s="144"/>
      <c r="O110" s="945"/>
      <c r="S110" s="105">
        <v>6</v>
      </c>
      <c r="V110" s="105" t="str">
        <f>IF(AND(Y110=FALSE,ISNUMBER(L110)),TRUE,IF(Y110=FALSE,CONST_ErrorOrMissing&amp;C102,CONST_NA))</f>
        <v>n.a.</v>
      </c>
      <c r="Y110" s="105" t="str">
        <f>IF(OR(H110="",H110=CONST_NA),"",IF(H110=CONST_AllProdRoutes,FALSE, COUNTIF(INDEX(CNTR_MatrixPurchPrecRoutes,C102,),S110)=0))</f>
        <v/>
      </c>
    </row>
    <row r="111" spans="1:26" ht="12.75" customHeight="1" x14ac:dyDescent="0.35">
      <c r="B111" s="94"/>
      <c r="C111" s="144"/>
      <c r="D111" s="173">
        <v>7</v>
      </c>
      <c r="E111" s="158" t="str">
        <f t="shared" si="10"/>
        <v/>
      </c>
      <c r="F111" s="158"/>
      <c r="G111" s="158"/>
      <c r="H111" s="159" t="str">
        <f>IF(L102="","",INDEX(CONST_MATRIX_ProductionRoute,MATCH(L102,CONST_LIST_Goods,0),D111))</f>
        <v/>
      </c>
      <c r="I111" s="158"/>
      <c r="J111" s="158"/>
      <c r="K111" s="160" t="str">
        <f t="shared" si="11"/>
        <v/>
      </c>
      <c r="L111" s="30"/>
      <c r="M111" s="144"/>
      <c r="N111" s="144"/>
      <c r="O111" s="945"/>
      <c r="S111" s="105">
        <v>7</v>
      </c>
      <c r="V111" s="105" t="str">
        <f>IF(AND(Y111=FALSE,ISNUMBER(L111)),TRUE,IF(Y111=FALSE,CONST_ErrorOrMissing&amp;C102,CONST_NA))</f>
        <v>n.a.</v>
      </c>
      <c r="Y111" s="105" t="str">
        <f>IF(OR(H111="",H111=CONST_NA),"",IF(H111=CONST_AllProdRoutes,FALSE, COUNTIF(INDEX(CNTR_MatrixPurchPrecRoutes,C102,),S111)=0))</f>
        <v/>
      </c>
    </row>
    <row r="112" spans="1:26" ht="12.75" customHeight="1" x14ac:dyDescent="0.35">
      <c r="B112" s="94"/>
      <c r="C112" s="144"/>
      <c r="D112" s="173">
        <v>8</v>
      </c>
      <c r="E112" s="161" t="str">
        <f t="shared" si="10"/>
        <v/>
      </c>
      <c r="F112" s="161"/>
      <c r="G112" s="161"/>
      <c r="H112" s="162" t="str">
        <f>IF(L102="","",INDEX(CONST_MATRIX_ProductionRoute,MATCH(L102,CONST_LIST_Goods,0),D112))</f>
        <v/>
      </c>
      <c r="I112" s="161"/>
      <c r="J112" s="161"/>
      <c r="K112" s="163" t="str">
        <f t="shared" si="11"/>
        <v/>
      </c>
      <c r="L112" s="31"/>
      <c r="M112" s="144"/>
      <c r="N112" s="144"/>
      <c r="O112" s="945"/>
      <c r="S112" s="105">
        <v>8</v>
      </c>
      <c r="V112" s="105" t="str">
        <f>IF(AND(Y112=FALSE,ISNUMBER(L112)),TRUE,IF(Y112=FALSE,CONST_ErrorOrMissing&amp;C102,CONST_NA))</f>
        <v>n.a.</v>
      </c>
      <c r="Y112" s="105" t="str">
        <f>IF(OR(H112="",H112=CONST_NA),"",IF(H112=CONST_AllProdRoutes,FALSE, COUNTIF(INDEX(CNTR_MatrixPurchPrecRoutes,C102,),S112)=0))</f>
        <v/>
      </c>
    </row>
    <row r="113" spans="1:26" ht="12.75" customHeight="1" x14ac:dyDescent="0.35">
      <c r="B113" s="94"/>
      <c r="C113" s="144"/>
      <c r="D113" s="914"/>
      <c r="E113" s="138" t="str">
        <f>Translations!$B$1966</f>
        <v>Total purchase for possible consumption within installation:</v>
      </c>
      <c r="F113" s="138"/>
      <c r="G113" s="138"/>
      <c r="H113" s="164"/>
      <c r="I113" s="138"/>
      <c r="J113" s="138"/>
      <c r="K113" s="169" t="str">
        <f>K105</f>
        <v/>
      </c>
      <c r="L113" s="386" t="str">
        <f>IF(G102="","",SUM(L105:L112))</f>
        <v/>
      </c>
      <c r="M113" s="144"/>
      <c r="N113" s="144"/>
      <c r="O113" s="428"/>
      <c r="R113" s="102" t="str">
        <f>CONST_CNTR_TotProd&amp;G102</f>
        <v>TotProd_</v>
      </c>
      <c r="T113" s="216" t="str">
        <f>IF(G102="","",IF(SUM(L113)=0,100,L113))</f>
        <v/>
      </c>
      <c r="V113" s="123"/>
    </row>
    <row r="114" spans="1:26" s="144" customFormat="1" ht="5.15" customHeight="1" x14ac:dyDescent="0.35">
      <c r="A114" s="91"/>
      <c r="B114" s="94"/>
      <c r="D114" s="166"/>
      <c r="E114" s="167"/>
      <c r="O114" s="428"/>
      <c r="P114" s="94"/>
      <c r="Q114" s="93"/>
      <c r="R114" s="91"/>
      <c r="S114" s="91"/>
      <c r="T114" s="712"/>
      <c r="U114" s="91"/>
      <c r="V114" s="123"/>
      <c r="W114" s="91"/>
      <c r="X114" s="91"/>
      <c r="Y114" s="91"/>
      <c r="Z114" s="91"/>
    </row>
    <row r="115" spans="1:26" s="144" customFormat="1" ht="12.75" customHeight="1" x14ac:dyDescent="0.35">
      <c r="A115" s="91"/>
      <c r="B115" s="94"/>
      <c r="D115" s="168" t="s">
        <v>48</v>
      </c>
      <c r="E115" s="167" t="str">
        <f>Translations!$B$1967</f>
        <v>Consumed in 'production processes' within the installation:</v>
      </c>
      <c r="F115" s="167"/>
      <c r="G115" s="167"/>
      <c r="H115" s="167"/>
      <c r="I115" s="167"/>
      <c r="J115" s="167"/>
      <c r="K115" s="168" t="str">
        <f>Translations!$B$221</f>
        <v>Unit</v>
      </c>
      <c r="L115" s="168" t="str">
        <f>Translations!$B$245</f>
        <v>Amounts</v>
      </c>
      <c r="O115" s="428"/>
      <c r="P115" s="94"/>
      <c r="Q115" s="93"/>
      <c r="R115" s="91"/>
      <c r="S115" s="123" t="s">
        <v>195</v>
      </c>
      <c r="T115" s="712"/>
      <c r="U115" s="91"/>
      <c r="V115" s="123"/>
      <c r="W115" s="91"/>
      <c r="X115" s="91"/>
      <c r="Y115" s="91"/>
      <c r="Z115" s="91"/>
    </row>
    <row r="116" spans="1:26" s="144" customFormat="1" ht="12.75" customHeight="1" x14ac:dyDescent="0.35">
      <c r="A116" s="91"/>
      <c r="B116" s="94"/>
      <c r="D116" s="173">
        <v>1</v>
      </c>
      <c r="E116" s="174" t="str">
        <f t="shared" ref="E116:E125" si="12">IF(INDEX(CNTR_List_ExistProdProcNames,S116)=CONST_NA,"",INDEX(CNTR_List_ExistProdProcNames,S116))</f>
        <v/>
      </c>
      <c r="F116" s="175"/>
      <c r="G116" s="175"/>
      <c r="H116" s="175"/>
      <c r="I116" s="175"/>
      <c r="J116" s="176"/>
      <c r="K116" s="155" t="str">
        <f>IF(E116="","",K113)</f>
        <v/>
      </c>
      <c r="L116" s="29"/>
      <c r="O116" s="945"/>
      <c r="P116" s="94"/>
      <c r="Q116" s="93"/>
      <c r="R116" s="102" t="str">
        <f>CONST_PrecursorToGoodInput&amp;G102 &amp;"_"&amp;E116</f>
        <v>PrecToGood__</v>
      </c>
      <c r="S116" s="105">
        <f>D116</f>
        <v>1</v>
      </c>
      <c r="T116" s="124" t="str">
        <f>IF(G102="","",L116)</f>
        <v/>
      </c>
      <c r="U116" s="91"/>
      <c r="V116" s="105" t="str">
        <f>IF(AND(G102&lt;&gt;"",E116&lt;&gt;"",L116&lt;&gt;""),TRUE,IF(AND(G102&lt;&gt;"",E116&lt;&gt;"",L116="",Z116=FALSE),CONST_ErrorOrMissing&amp;C102,CONST_NA))</f>
        <v>n.a.</v>
      </c>
      <c r="W116" s="172"/>
      <c r="X116" s="172"/>
      <c r="Y116" s="91" t="s">
        <v>34</v>
      </c>
      <c r="Z116" s="102" t="b">
        <f>IF(G102="",FALSE,E116="")</f>
        <v>0</v>
      </c>
    </row>
    <row r="117" spans="1:26" s="144" customFormat="1" ht="12.75" customHeight="1" x14ac:dyDescent="0.35">
      <c r="A117" s="91"/>
      <c r="B117" s="94"/>
      <c r="D117" s="173">
        <v>2</v>
      </c>
      <c r="E117" s="177" t="str">
        <f t="shared" si="12"/>
        <v/>
      </c>
      <c r="F117" s="178"/>
      <c r="G117" s="178"/>
      <c r="H117" s="178"/>
      <c r="I117" s="178"/>
      <c r="J117" s="179"/>
      <c r="K117" s="160" t="str">
        <f>IF(E117="","",K116)</f>
        <v/>
      </c>
      <c r="L117" s="30"/>
      <c r="O117" s="945"/>
      <c r="P117" s="94"/>
      <c r="Q117" s="93"/>
      <c r="R117" s="102" t="str">
        <f>CONST_PrecursorToGoodInput&amp;G102 &amp;"_"&amp;E117</f>
        <v>PrecToGood__</v>
      </c>
      <c r="S117" s="105">
        <f t="shared" ref="S117:S125" si="13">D117</f>
        <v>2</v>
      </c>
      <c r="T117" s="124" t="str">
        <f>IF(G102="","",L117)</f>
        <v/>
      </c>
      <c r="U117" s="91"/>
      <c r="V117" s="105" t="str">
        <f>IF(AND(G102&lt;&gt;"",E117&lt;&gt;"",L117&lt;&gt;""),TRUE,IF(AND(G102&lt;&gt;"",E117&lt;&gt;"",L117="",Z117=FALSE),CONST_ErrorOrMissing&amp;C102,CONST_NA))</f>
        <v>n.a.</v>
      </c>
      <c r="W117" s="172"/>
      <c r="X117" s="172"/>
      <c r="Y117" s="91"/>
      <c r="Z117" s="102" t="b">
        <f>IF(G102="",FALSE,E117="")</f>
        <v>0</v>
      </c>
    </row>
    <row r="118" spans="1:26" s="144" customFormat="1" ht="12.75" customHeight="1" x14ac:dyDescent="0.35">
      <c r="A118" s="91"/>
      <c r="B118" s="94"/>
      <c r="D118" s="173">
        <v>3</v>
      </c>
      <c r="E118" s="177" t="str">
        <f t="shared" si="12"/>
        <v/>
      </c>
      <c r="F118" s="178"/>
      <c r="G118" s="178"/>
      <c r="H118" s="178"/>
      <c r="I118" s="178"/>
      <c r="J118" s="179"/>
      <c r="K118" s="160" t="str">
        <f t="shared" ref="K118:K125" si="14">IF(E118="","",K117)</f>
        <v/>
      </c>
      <c r="L118" s="30"/>
      <c r="O118" s="945"/>
      <c r="P118" s="94"/>
      <c r="Q118" s="93"/>
      <c r="R118" s="102" t="str">
        <f>CONST_PrecursorToGoodInput&amp;G102 &amp;"_"&amp;E118</f>
        <v>PrecToGood__</v>
      </c>
      <c r="S118" s="105">
        <f t="shared" si="13"/>
        <v>3</v>
      </c>
      <c r="T118" s="124" t="str">
        <f>IF(G102="","",L118)</f>
        <v/>
      </c>
      <c r="U118" s="91"/>
      <c r="V118" s="105" t="str">
        <f>IF(AND(G102&lt;&gt;"",E118&lt;&gt;"",L118&lt;&gt;""),TRUE,IF(AND(G102&lt;&gt;"",E118&lt;&gt;"",L118="",Z118=FALSE),CONST_ErrorOrMissing&amp;C102,CONST_NA))</f>
        <v>n.a.</v>
      </c>
      <c r="W118" s="172"/>
      <c r="X118" s="172"/>
      <c r="Y118" s="91"/>
      <c r="Z118" s="102" t="b">
        <f>IF(G102="",FALSE,E118="")</f>
        <v>0</v>
      </c>
    </row>
    <row r="119" spans="1:26" s="144" customFormat="1" ht="12.75" customHeight="1" x14ac:dyDescent="0.35">
      <c r="A119" s="91"/>
      <c r="B119" s="94"/>
      <c r="D119" s="173">
        <v>4</v>
      </c>
      <c r="E119" s="177" t="str">
        <f t="shared" si="12"/>
        <v/>
      </c>
      <c r="F119" s="178"/>
      <c r="G119" s="178"/>
      <c r="H119" s="178"/>
      <c r="I119" s="178"/>
      <c r="J119" s="179"/>
      <c r="K119" s="160" t="str">
        <f t="shared" si="14"/>
        <v/>
      </c>
      <c r="L119" s="30"/>
      <c r="O119" s="945"/>
      <c r="P119" s="94"/>
      <c r="Q119" s="93"/>
      <c r="R119" s="102" t="str">
        <f>CONST_PrecursorToGoodInput&amp;G102 &amp;"_"&amp;E119</f>
        <v>PrecToGood__</v>
      </c>
      <c r="S119" s="105">
        <f t="shared" si="13"/>
        <v>4</v>
      </c>
      <c r="T119" s="124" t="str">
        <f>IF(G102="","",L119)</f>
        <v/>
      </c>
      <c r="U119" s="91"/>
      <c r="V119" s="105" t="str">
        <f>IF(AND(G102&lt;&gt;"",E119&lt;&gt;"",L119&lt;&gt;""),TRUE,IF(AND(G102&lt;&gt;"",E119&lt;&gt;"",L119="",Z119=FALSE),CONST_ErrorOrMissing&amp;C102,CONST_NA))</f>
        <v>n.a.</v>
      </c>
      <c r="W119" s="172"/>
      <c r="X119" s="172"/>
      <c r="Y119" s="91"/>
      <c r="Z119" s="102" t="b">
        <f>IF(G102="",FALSE,E119="")</f>
        <v>0</v>
      </c>
    </row>
    <row r="120" spans="1:26" s="144" customFormat="1" ht="12.75" customHeight="1" x14ac:dyDescent="0.35">
      <c r="A120" s="91"/>
      <c r="B120" s="94"/>
      <c r="D120" s="173">
        <v>5</v>
      </c>
      <c r="E120" s="180" t="str">
        <f t="shared" si="12"/>
        <v/>
      </c>
      <c r="F120" s="181"/>
      <c r="G120" s="181"/>
      <c r="H120" s="181"/>
      <c r="I120" s="181"/>
      <c r="J120" s="182"/>
      <c r="K120" s="183" t="str">
        <f t="shared" si="14"/>
        <v/>
      </c>
      <c r="L120" s="212"/>
      <c r="O120" s="945"/>
      <c r="P120" s="94"/>
      <c r="Q120" s="93"/>
      <c r="R120" s="102" t="str">
        <f>CONST_PrecursorToGoodInput&amp;G102 &amp;"_"&amp;E120</f>
        <v>PrecToGood__</v>
      </c>
      <c r="S120" s="105">
        <f t="shared" si="13"/>
        <v>5</v>
      </c>
      <c r="T120" s="124" t="str">
        <f>IF(G102="","",L120)</f>
        <v/>
      </c>
      <c r="U120" s="91"/>
      <c r="V120" s="105" t="str">
        <f>IF(AND(G102&lt;&gt;"",E120&lt;&gt;"",L120&lt;&gt;""),TRUE,IF(AND(G102&lt;&gt;"",E120&lt;&gt;"",L120="",Z120=FALSE),CONST_ErrorOrMissing&amp;C102,CONST_NA))</f>
        <v>n.a.</v>
      </c>
      <c r="W120" s="172"/>
      <c r="X120" s="172"/>
      <c r="Y120" s="91"/>
      <c r="Z120" s="102" t="b">
        <f>IF(G102="",FALSE,E120="")</f>
        <v>0</v>
      </c>
    </row>
    <row r="121" spans="1:26" s="144" customFormat="1" ht="12.75" customHeight="1" x14ac:dyDescent="0.35">
      <c r="A121" s="91"/>
      <c r="B121" s="94"/>
      <c r="D121" s="173">
        <v>6</v>
      </c>
      <c r="E121" s="180" t="str">
        <f t="shared" si="12"/>
        <v/>
      </c>
      <c r="F121" s="181"/>
      <c r="G121" s="181"/>
      <c r="H121" s="181"/>
      <c r="I121" s="181"/>
      <c r="J121" s="182"/>
      <c r="K121" s="183" t="str">
        <f t="shared" si="14"/>
        <v/>
      </c>
      <c r="L121" s="212"/>
      <c r="O121" s="945"/>
      <c r="P121" s="94"/>
      <c r="Q121" s="93"/>
      <c r="R121" s="102" t="str">
        <f>CONST_PrecursorToGoodInput&amp;G102 &amp;"_"&amp;E121</f>
        <v>PrecToGood__</v>
      </c>
      <c r="S121" s="105">
        <f t="shared" si="13"/>
        <v>6</v>
      </c>
      <c r="T121" s="124" t="str">
        <f>IF(G102="","",L121)</f>
        <v/>
      </c>
      <c r="U121" s="91"/>
      <c r="V121" s="105" t="str">
        <f>IF(AND(G102&lt;&gt;"",E121&lt;&gt;"",L121&lt;&gt;""),TRUE,IF(AND(G102&lt;&gt;"",E121&lt;&gt;"",L121="",Z121=FALSE),CONST_ErrorOrMissing&amp;C102,CONST_NA))</f>
        <v>n.a.</v>
      </c>
      <c r="W121" s="172"/>
      <c r="X121" s="172"/>
      <c r="Y121" s="91"/>
      <c r="Z121" s="102" t="b">
        <f>IF(G102="",FALSE,E121="")</f>
        <v>0</v>
      </c>
    </row>
    <row r="122" spans="1:26" s="144" customFormat="1" ht="12.75" customHeight="1" x14ac:dyDescent="0.35">
      <c r="A122" s="91"/>
      <c r="B122" s="94"/>
      <c r="D122" s="173">
        <v>7</v>
      </c>
      <c r="E122" s="180" t="str">
        <f t="shared" si="12"/>
        <v/>
      </c>
      <c r="F122" s="181"/>
      <c r="G122" s="181"/>
      <c r="H122" s="181"/>
      <c r="I122" s="181"/>
      <c r="J122" s="182"/>
      <c r="K122" s="183" t="str">
        <f t="shared" si="14"/>
        <v/>
      </c>
      <c r="L122" s="212"/>
      <c r="O122" s="945"/>
      <c r="P122" s="94"/>
      <c r="Q122" s="93"/>
      <c r="R122" s="102" t="str">
        <f>CONST_PrecursorToGoodInput&amp;G102 &amp;"_"&amp;E122</f>
        <v>PrecToGood__</v>
      </c>
      <c r="S122" s="105">
        <f t="shared" si="13"/>
        <v>7</v>
      </c>
      <c r="T122" s="124" t="str">
        <f>IF(G102="","",L122)</f>
        <v/>
      </c>
      <c r="U122" s="91"/>
      <c r="V122" s="105" t="str">
        <f>IF(AND(G102&lt;&gt;"",E122&lt;&gt;"",L122&lt;&gt;""),TRUE,IF(AND(G102&lt;&gt;"",E122&lt;&gt;"",L122="",Z122=FALSE),CONST_ErrorOrMissing&amp;C102,CONST_NA))</f>
        <v>n.a.</v>
      </c>
      <c r="W122" s="172"/>
      <c r="X122" s="172"/>
      <c r="Y122" s="91"/>
      <c r="Z122" s="102" t="b">
        <f>IF(G102="",FALSE,E122="")</f>
        <v>0</v>
      </c>
    </row>
    <row r="123" spans="1:26" s="144" customFormat="1" ht="12.75" customHeight="1" x14ac:dyDescent="0.35">
      <c r="A123" s="91"/>
      <c r="B123" s="94"/>
      <c r="D123" s="173">
        <v>8</v>
      </c>
      <c r="E123" s="180" t="str">
        <f t="shared" si="12"/>
        <v/>
      </c>
      <c r="F123" s="181"/>
      <c r="G123" s="181"/>
      <c r="H123" s="181"/>
      <c r="I123" s="181"/>
      <c r="J123" s="182"/>
      <c r="K123" s="183" t="str">
        <f t="shared" si="14"/>
        <v/>
      </c>
      <c r="L123" s="212"/>
      <c r="O123" s="945"/>
      <c r="P123" s="94"/>
      <c r="Q123" s="93"/>
      <c r="R123" s="102" t="str">
        <f>CONST_PrecursorToGoodInput&amp;G102 &amp;"_"&amp;E123</f>
        <v>PrecToGood__</v>
      </c>
      <c r="S123" s="105">
        <f t="shared" si="13"/>
        <v>8</v>
      </c>
      <c r="T123" s="124" t="str">
        <f>IF(G102="","",L123)</f>
        <v/>
      </c>
      <c r="U123" s="91"/>
      <c r="V123" s="105" t="str">
        <f>IF(AND(G102&lt;&gt;"",E123&lt;&gt;"",L123&lt;&gt;""),TRUE,IF(AND(G102&lt;&gt;"",E123&lt;&gt;"",L123="",Z123=FALSE),CONST_ErrorOrMissing&amp;C102,CONST_NA))</f>
        <v>n.a.</v>
      </c>
      <c r="W123" s="172"/>
      <c r="X123" s="172"/>
      <c r="Y123" s="91"/>
      <c r="Z123" s="102" t="b">
        <f>IF(G102="",FALSE,E123="")</f>
        <v>0</v>
      </c>
    </row>
    <row r="124" spans="1:26" s="144" customFormat="1" ht="12.75" customHeight="1" x14ac:dyDescent="0.35">
      <c r="A124" s="91"/>
      <c r="B124" s="94"/>
      <c r="D124" s="173">
        <v>9</v>
      </c>
      <c r="E124" s="180" t="str">
        <f t="shared" si="12"/>
        <v/>
      </c>
      <c r="F124" s="181"/>
      <c r="G124" s="181"/>
      <c r="H124" s="181"/>
      <c r="I124" s="181"/>
      <c r="J124" s="182"/>
      <c r="K124" s="183" t="str">
        <f t="shared" si="14"/>
        <v/>
      </c>
      <c r="L124" s="212"/>
      <c r="O124" s="945"/>
      <c r="P124" s="94"/>
      <c r="Q124" s="93"/>
      <c r="R124" s="102" t="str">
        <f>CONST_PrecursorToGoodInput&amp;G102 &amp;"_"&amp;E124</f>
        <v>PrecToGood__</v>
      </c>
      <c r="S124" s="105">
        <f t="shared" si="13"/>
        <v>9</v>
      </c>
      <c r="T124" s="124" t="str">
        <f>IF(G102="","",L124)</f>
        <v/>
      </c>
      <c r="U124" s="91"/>
      <c r="V124" s="105" t="str">
        <f>IF(AND(G102&lt;&gt;"",E124&lt;&gt;"",L124&lt;&gt;""),TRUE,IF(AND(G102&lt;&gt;"",E124&lt;&gt;"",L124="",Z124=FALSE),CONST_ErrorOrMissing&amp;C102,CONST_NA))</f>
        <v>n.a.</v>
      </c>
      <c r="W124" s="172"/>
      <c r="X124" s="172"/>
      <c r="Y124" s="91"/>
      <c r="Z124" s="102" t="b">
        <f>IF(G102="",FALSE,E124="")</f>
        <v>0</v>
      </c>
    </row>
    <row r="125" spans="1:26" s="144" customFormat="1" ht="12.75" customHeight="1" x14ac:dyDescent="0.35">
      <c r="A125" s="91"/>
      <c r="B125" s="94"/>
      <c r="D125" s="173">
        <v>10</v>
      </c>
      <c r="E125" s="184" t="str">
        <f t="shared" si="12"/>
        <v/>
      </c>
      <c r="F125" s="185"/>
      <c r="G125" s="185"/>
      <c r="H125" s="185"/>
      <c r="I125" s="185"/>
      <c r="J125" s="186"/>
      <c r="K125" s="163" t="str">
        <f t="shared" si="14"/>
        <v/>
      </c>
      <c r="L125" s="31"/>
      <c r="O125" s="945"/>
      <c r="P125" s="94"/>
      <c r="Q125" s="93"/>
      <c r="R125" s="102" t="str">
        <f>CONST_PrecursorToGoodInput&amp;G102 &amp;"_"&amp;E125</f>
        <v>PrecToGood__</v>
      </c>
      <c r="S125" s="105">
        <f t="shared" si="13"/>
        <v>10</v>
      </c>
      <c r="T125" s="124" t="str">
        <f>IF(G102="","",L125)</f>
        <v/>
      </c>
      <c r="U125" s="91"/>
      <c r="V125" s="105" t="str">
        <f>IF(AND(G102&lt;&gt;"",E125&lt;&gt;"",L125&lt;&gt;""),TRUE,IF(AND(G102&lt;&gt;"",E125&lt;&gt;"",L125="",Z125=FALSE),CONST_ErrorOrMissing&amp;C102,CONST_NA))</f>
        <v>n.a.</v>
      </c>
      <c r="W125" s="172"/>
      <c r="X125" s="172"/>
      <c r="Y125" s="91"/>
      <c r="Z125" s="102" t="b">
        <f>IF(G102="",FALSE,E125="")</f>
        <v>0</v>
      </c>
    </row>
    <row r="126" spans="1:26" s="144" customFormat="1" ht="12.75" customHeight="1" x14ac:dyDescent="0.35">
      <c r="A126" s="91"/>
      <c r="B126" s="94"/>
      <c r="D126" s="168" t="s">
        <v>49</v>
      </c>
      <c r="E126" s="167" t="str">
        <f>Translations!$B$1968</f>
        <v>Consumed for other purposes, e.g. sold or used for non-CBAM goods:</v>
      </c>
      <c r="F126" s="167"/>
      <c r="G126" s="167"/>
      <c r="H126" s="167"/>
      <c r="I126" s="167"/>
      <c r="J126" s="167"/>
      <c r="K126" s="169" t="str">
        <f>K113</f>
        <v/>
      </c>
      <c r="L126" s="211"/>
      <c r="O126" s="945"/>
      <c r="P126" s="94"/>
      <c r="Q126" s="93"/>
      <c r="R126" s="91"/>
      <c r="S126" s="91"/>
      <c r="T126" s="712"/>
      <c r="U126" s="91"/>
      <c r="V126" s="105" t="str">
        <f>IF(G102="",CONST_NA,IF(ISNUMBER(L126),TRUE,CONST_ErrorOrMissing&amp;C102))</f>
        <v>n.a.</v>
      </c>
      <c r="W126" s="91"/>
      <c r="X126" s="91"/>
      <c r="Y126" s="91"/>
      <c r="Z126" s="91"/>
    </row>
    <row r="127" spans="1:26" s="144" customFormat="1" ht="12.75" customHeight="1" x14ac:dyDescent="0.35">
      <c r="A127" s="91"/>
      <c r="B127" s="94"/>
      <c r="D127" s="168" t="s">
        <v>377</v>
      </c>
      <c r="E127" s="138" t="str">
        <f>Translations!$B$253</f>
        <v>Control:</v>
      </c>
      <c r="F127" s="170"/>
      <c r="G127" s="170"/>
      <c r="H127" s="170"/>
      <c r="I127" s="170"/>
      <c r="J127" s="170"/>
      <c r="K127" s="169" t="str">
        <f>K126</f>
        <v/>
      </c>
      <c r="L127" s="118" t="str">
        <f>IF(G102="","",SUM(L113)-SUM(L116:L126))</f>
        <v/>
      </c>
      <c r="O127" s="945"/>
      <c r="P127" s="94"/>
      <c r="Q127" s="93"/>
      <c r="R127" s="91"/>
      <c r="S127" s="91"/>
      <c r="T127" s="712"/>
      <c r="U127" s="91"/>
      <c r="V127" s="105" t="str">
        <f>IF(G102="",CONST_NA,IF(L127=0,TRUE,CONST_ErrorOrMissing&amp;C102))</f>
        <v>n.a.</v>
      </c>
      <c r="W127" s="91"/>
      <c r="X127" s="91"/>
      <c r="Y127" s="91"/>
      <c r="Z127" s="91"/>
    </row>
    <row r="128" spans="1:26" s="144" customFormat="1" ht="12.75" customHeight="1" thickBot="1" x14ac:dyDescent="0.4">
      <c r="A128" s="91"/>
      <c r="B128" s="94"/>
      <c r="O128" s="428"/>
      <c r="P128" s="94"/>
      <c r="Q128" s="93"/>
      <c r="R128" s="91"/>
      <c r="S128" s="91"/>
      <c r="T128" s="712"/>
      <c r="U128" s="91"/>
      <c r="V128" s="91"/>
      <c r="W128" s="91"/>
      <c r="X128" s="91"/>
      <c r="Y128" s="91"/>
      <c r="Z128" s="91"/>
    </row>
    <row r="129" spans="1:26" ht="12.75" customHeight="1" x14ac:dyDescent="0.35">
      <c r="B129" s="94"/>
      <c r="C129" s="187"/>
      <c r="D129" s="188"/>
      <c r="E129" s="189"/>
      <c r="F129" s="190"/>
      <c r="G129" s="190"/>
      <c r="H129" s="190"/>
      <c r="I129" s="190"/>
      <c r="J129" s="190"/>
      <c r="K129" s="190"/>
      <c r="L129" s="190"/>
      <c r="M129" s="190"/>
      <c r="N129" s="191"/>
      <c r="O129" s="428"/>
      <c r="T129" s="712"/>
    </row>
    <row r="130" spans="1:26" ht="15" customHeight="1" x14ac:dyDescent="0.35">
      <c r="B130" s="94"/>
      <c r="C130" s="192"/>
      <c r="D130" s="193" t="str">
        <f>Translations!$B$279</f>
        <v>Specific embedded emissions:</v>
      </c>
      <c r="E130" s="194"/>
      <c r="F130" s="195"/>
      <c r="G130" s="195"/>
      <c r="H130" s="195"/>
      <c r="I130" s="195"/>
      <c r="J130" s="1327" t="str">
        <f>IF(G102="","",G102)</f>
        <v/>
      </c>
      <c r="K130" s="1327"/>
      <c r="L130" s="1327"/>
      <c r="M130" s="1327"/>
      <c r="N130" s="196"/>
      <c r="O130" s="428"/>
      <c r="T130" s="712"/>
    </row>
    <row r="131" spans="1:26" ht="5.15" customHeight="1" x14ac:dyDescent="0.35">
      <c r="B131" s="94"/>
      <c r="C131" s="192"/>
      <c r="D131" s="197"/>
      <c r="E131" s="198"/>
      <c r="F131" s="195"/>
      <c r="G131" s="195"/>
      <c r="H131" s="195"/>
      <c r="I131" s="195"/>
      <c r="J131" s="195"/>
      <c r="K131" s="195"/>
      <c r="L131" s="195"/>
      <c r="M131" s="195"/>
      <c r="N131" s="196"/>
      <c r="O131" s="428"/>
      <c r="T131" s="712"/>
    </row>
    <row r="132" spans="1:26" ht="12.75" customHeight="1" x14ac:dyDescent="0.35">
      <c r="B132" s="94"/>
      <c r="C132" s="192"/>
      <c r="D132" s="199" t="s">
        <v>411</v>
      </c>
      <c r="E132" s="198" t="str">
        <f>Translations!$B$280</f>
        <v>Emissions embedded in this purchased precursor</v>
      </c>
      <c r="F132" s="198"/>
      <c r="G132" s="198"/>
      <c r="H132" s="198"/>
      <c r="I132" s="198"/>
      <c r="J132" s="198"/>
      <c r="K132" s="198"/>
      <c r="L132" s="198"/>
      <c r="M132" s="198"/>
      <c r="N132" s="196"/>
      <c r="O132" s="428"/>
      <c r="T132" s="712"/>
      <c r="V132" s="172"/>
      <c r="W132" s="172"/>
      <c r="X132" s="172"/>
      <c r="Z132" s="171"/>
    </row>
    <row r="133" spans="1:26" ht="4.9000000000000004" customHeight="1" x14ac:dyDescent="0.35">
      <c r="B133" s="94"/>
      <c r="C133" s="192"/>
      <c r="D133" s="199"/>
      <c r="E133" s="1328"/>
      <c r="F133" s="1328"/>
      <c r="G133" s="1328"/>
      <c r="H133" s="1328"/>
      <c r="I133" s="1328"/>
      <c r="J133" s="1328"/>
      <c r="K133" s="1328"/>
      <c r="L133" s="1328"/>
      <c r="M133" s="1328"/>
      <c r="N133" s="196"/>
      <c r="O133" s="428"/>
      <c r="T133" s="712"/>
    </row>
    <row r="134" spans="1:26" ht="13.15" customHeight="1" x14ac:dyDescent="0.35">
      <c r="B134" s="94"/>
      <c r="C134" s="192"/>
      <c r="D134" s="199"/>
      <c r="E134" s="1311" t="str">
        <f ca="1">HYPERLINK("#"&amp;ADDRESS(MATCH($S134,G_FurtherGuidance!$S:$S,0),3,,,G_FurtherGuidance!$U$2),CONST_LinkToGuidanceSheet)</f>
        <v>Please click on this link for further guidance on how to complete this section.</v>
      </c>
      <c r="F134" s="1312"/>
      <c r="G134" s="1312"/>
      <c r="H134" s="1312"/>
      <c r="I134" s="1312"/>
      <c r="J134" s="1312"/>
      <c r="K134" s="1312"/>
      <c r="L134" s="1312"/>
      <c r="M134" s="1312"/>
      <c r="N134" s="196"/>
      <c r="O134" s="428"/>
      <c r="R134" s="104" t="s">
        <v>2771</v>
      </c>
      <c r="S134" s="105">
        <v>4</v>
      </c>
      <c r="T134" s="712"/>
    </row>
    <row r="135" spans="1:26" ht="4.9000000000000004" customHeight="1" x14ac:dyDescent="0.35">
      <c r="B135" s="94"/>
      <c r="C135" s="192"/>
      <c r="D135" s="199"/>
      <c r="E135" s="1328"/>
      <c r="F135" s="1328"/>
      <c r="G135" s="1328"/>
      <c r="H135" s="1328"/>
      <c r="I135" s="1328"/>
      <c r="J135" s="1328"/>
      <c r="K135" s="1328"/>
      <c r="L135" s="1328"/>
      <c r="M135" s="1328"/>
      <c r="N135" s="384"/>
      <c r="O135" s="428"/>
      <c r="T135" s="712"/>
    </row>
    <row r="136" spans="1:26" ht="12.75" customHeight="1" x14ac:dyDescent="0.35">
      <c r="B136" s="94"/>
      <c r="C136" s="192"/>
      <c r="D136" s="199"/>
      <c r="E136" s="198" t="str">
        <f>Translations!$B$284</f>
        <v>Parameter:</v>
      </c>
      <c r="F136" s="195"/>
      <c r="G136" s="195"/>
      <c r="H136" s="195"/>
      <c r="I136" s="195"/>
      <c r="J136" s="195"/>
      <c r="K136" s="199" t="str">
        <f>Translations!$B$221</f>
        <v>Unit</v>
      </c>
      <c r="L136" s="199" t="str">
        <f>Translations!$B$260</f>
        <v>Value</v>
      </c>
      <c r="M136" s="199" t="str">
        <f>Translations!$B$285</f>
        <v>Source</v>
      </c>
      <c r="N136" s="196"/>
      <c r="O136" s="428"/>
      <c r="T136" s="764" t="s">
        <v>5</v>
      </c>
      <c r="U136" s="123" t="s">
        <v>2719</v>
      </c>
      <c r="V136" s="156" t="s">
        <v>3922</v>
      </c>
      <c r="W136" s="156"/>
      <c r="X136" s="156"/>
      <c r="Z136" s="171"/>
    </row>
    <row r="137" spans="1:26" ht="12.75" customHeight="1" x14ac:dyDescent="0.35">
      <c r="B137" s="94"/>
      <c r="C137" s="192"/>
      <c r="D137" s="197" t="s">
        <v>41</v>
      </c>
      <c r="E137" s="201" t="str">
        <f>Translations!$B$1969</f>
        <v>Specific embedded direct emissions (SEE (direct))</v>
      </c>
      <c r="F137" s="201"/>
      <c r="G137" s="201"/>
      <c r="H137" s="201"/>
      <c r="I137" s="201"/>
      <c r="J137" s="201"/>
      <c r="K137" s="217" t="str">
        <f>IF(L102="","",CONST_tCO2eq &amp; "/" &amp; K113)</f>
        <v/>
      </c>
      <c r="L137" s="215"/>
      <c r="M137" s="385"/>
      <c r="N137" s="196"/>
      <c r="O137" s="945"/>
      <c r="R137" s="102" t="str">
        <f>CONST_PurchPrecDefaultUsed&amp;G102</f>
        <v>PurchPrecDef_</v>
      </c>
      <c r="S137" s="102" t="str">
        <f>CONST_CNTR_EmbedEmDir&amp;G102</f>
        <v>EmbedEmDir_</v>
      </c>
      <c r="T137" s="124" t="str">
        <f>IF(G102="","",SUM(T113)*SUM(L137))</f>
        <v/>
      </c>
      <c r="U137" s="105" t="str">
        <f>IF(G102="","",IF(M137="",CONST_ERR_Incomplete,MATCH(M137,CONST_MeasDefaultUnknown,0)=2))</f>
        <v/>
      </c>
      <c r="V137" s="105" t="str">
        <f>IF(AND(G102&lt;&gt;"",COUNTA(L137:M137)=2),TRUE,IF(AND(G102&lt;&gt;"",COUNTA(L137:M137)&lt;2),CONST_ErrorOrMissing&amp;C102,CONST_NA))</f>
        <v>n.a.</v>
      </c>
      <c r="W137" s="156"/>
      <c r="X137" s="156"/>
      <c r="Z137" s="171"/>
    </row>
    <row r="138" spans="1:26" ht="12.75" customHeight="1" x14ac:dyDescent="0.35">
      <c r="B138" s="94"/>
      <c r="C138" s="192"/>
      <c r="D138" s="197" t="s">
        <v>42</v>
      </c>
      <c r="E138" s="759" t="str">
        <f>Translations!$B$1970</f>
        <v>Specific electricity consumption (for SEE (indirect))</v>
      </c>
      <c r="F138" s="759"/>
      <c r="G138" s="759"/>
      <c r="H138" s="759"/>
      <c r="I138" s="759"/>
      <c r="J138" s="759"/>
      <c r="K138" s="457" t="str">
        <f>IF(K137="","",CONST_MWh&amp;"/"&amp;K113)</f>
        <v/>
      </c>
      <c r="L138" s="760"/>
      <c r="M138" s="761"/>
      <c r="N138" s="196"/>
      <c r="O138" s="945"/>
      <c r="R138" s="102" t="str">
        <f>CONST_ElecConsumption&amp;G102</f>
        <v>ElecCons_</v>
      </c>
      <c r="S138" s="102"/>
      <c r="T138" s="124" t="str">
        <f>IF(G102="","",SUM(T113)*SUM(L138))</f>
        <v/>
      </c>
      <c r="U138" s="105" t="str">
        <f>IF(G102="","",IF(M138="",CONST_ERR_Incomplete,MATCH(M138,CONST_MeasDefaultUnknown,0)=2))</f>
        <v/>
      </c>
      <c r="V138" s="105" t="str">
        <f>IF(AND(G102&lt;&gt;"",COUNTA(L138:M138)=2),TRUE,IF(AND(G102&lt;&gt;"",COUNTA(L138:M138)&lt;2),CONST_ErrorOrMissing&amp;C102,CONST_NA))</f>
        <v>n.a.</v>
      </c>
      <c r="W138" s="156"/>
      <c r="X138" s="156"/>
      <c r="Z138" s="171"/>
    </row>
    <row r="139" spans="1:26" ht="12.75" customHeight="1" x14ac:dyDescent="0.35">
      <c r="B139" s="94"/>
      <c r="C139" s="192"/>
      <c r="D139" s="197" t="s">
        <v>43</v>
      </c>
      <c r="E139" s="1144" t="str">
        <f>Translations!$B$1971</f>
        <v>Electricity emission factor (for SEE (indirect))</v>
      </c>
      <c r="F139" s="1144"/>
      <c r="G139" s="1144"/>
      <c r="H139" s="1144"/>
      <c r="I139" s="1144"/>
      <c r="J139" s="1144"/>
      <c r="K139" s="1145" t="str">
        <f>IF(K137="","",CONST_tCO2eq&amp;"/"&amp;CONST_MWh)</f>
        <v/>
      </c>
      <c r="L139" s="1146"/>
      <c r="M139" s="762"/>
      <c r="N139" s="196"/>
      <c r="O139" s="945"/>
      <c r="R139" s="102" t="str">
        <f>CONST_CNTR_ElecEFMethod&amp;G102</f>
        <v>ElecEFMeth_</v>
      </c>
      <c r="S139" s="102"/>
      <c r="T139" s="124"/>
      <c r="U139" s="105" t="str">
        <f>IF(G102="","",M139)</f>
        <v/>
      </c>
      <c r="V139" s="105" t="str">
        <f>IF(AND(G102&lt;&gt;"",COUNTA(L139:M139)=2),TRUE,IF(AND(G102&lt;&gt;"",COUNTA(L139:M139)&lt;2),CONST_ErrorOrMissing&amp;C102,CONST_NA))</f>
        <v>n.a.</v>
      </c>
      <c r="W139" s="156"/>
      <c r="X139" s="156"/>
      <c r="Z139" s="171"/>
    </row>
    <row r="140" spans="1:26" x14ac:dyDescent="0.35">
      <c r="B140" s="94"/>
      <c r="C140" s="192"/>
      <c r="D140" s="197" t="s">
        <v>44</v>
      </c>
      <c r="E140" s="201" t="str">
        <f>Translations!$B$1972</f>
        <v>Specific embedded indirect emissions (SEE (indirect))</v>
      </c>
      <c r="F140" s="201"/>
      <c r="G140" s="201"/>
      <c r="H140" s="201"/>
      <c r="I140" s="201"/>
      <c r="J140" s="201"/>
      <c r="K140" s="217" t="str">
        <f>K137</f>
        <v/>
      </c>
      <c r="L140" s="1147" t="str">
        <f>IF(COUNT(L138:L139)=0,"",L138*L139)</f>
        <v/>
      </c>
      <c r="M140" s="758"/>
      <c r="N140" s="196"/>
      <c r="O140" s="428"/>
      <c r="R140" s="171"/>
      <c r="S140" s="102" t="str">
        <f>CONST_CNTR_EmbedEmInDir&amp;G102</f>
        <v>EmbedEmInDir_</v>
      </c>
      <c r="T140" s="124" t="str">
        <f>IF(G102="","",SUM(T113)*SUM(L140))</f>
        <v/>
      </c>
      <c r="Z140" s="171"/>
    </row>
    <row r="141" spans="1:26" ht="5.15" customHeight="1" x14ac:dyDescent="0.35">
      <c r="B141" s="94"/>
      <c r="C141" s="192"/>
      <c r="D141" s="197"/>
      <c r="E141" s="195"/>
      <c r="F141" s="195"/>
      <c r="G141" s="195"/>
      <c r="H141" s="195"/>
      <c r="I141" s="195"/>
      <c r="J141" s="195"/>
      <c r="K141" s="195"/>
      <c r="L141" s="195"/>
      <c r="M141" s="195"/>
      <c r="N141" s="196"/>
      <c r="O141" s="428"/>
      <c r="R141" s="171"/>
      <c r="S141" s="171"/>
      <c r="T141" s="125"/>
      <c r="U141" s="156"/>
      <c r="V141" s="172"/>
      <c r="W141" s="172"/>
      <c r="X141" s="172"/>
      <c r="Z141" s="171"/>
    </row>
    <row r="142" spans="1:26" ht="12.75" customHeight="1" x14ac:dyDescent="0.35">
      <c r="B142" s="94"/>
      <c r="C142" s="192"/>
      <c r="D142" s="197" t="s">
        <v>45</v>
      </c>
      <c r="E142" s="201" t="str">
        <f>Translations!$B$1858</f>
        <v>Justification for use of default values (if relevant):</v>
      </c>
      <c r="F142" s="201"/>
      <c r="G142" s="201"/>
      <c r="H142" s="201"/>
      <c r="I142" s="201"/>
      <c r="J142" s="201"/>
      <c r="K142" s="1329"/>
      <c r="L142" s="1329"/>
      <c r="M142" s="1329"/>
      <c r="N142" s="196"/>
      <c r="O142" s="945"/>
      <c r="R142" s="171"/>
      <c r="S142" s="171"/>
      <c r="T142" s="125"/>
      <c r="U142" s="156"/>
      <c r="V142" s="105" t="str">
        <f>IF(OR(G102="",Z142=TRUE),CONST_NA,IF(K142&lt;&gt;"",TRUE,CONST_ErrorOrMissing&amp;C102))</f>
        <v>n.a.</v>
      </c>
      <c r="W142" s="172"/>
      <c r="X142" s="172"/>
      <c r="Z142" s="102" t="b">
        <f>AND(M137&lt;&gt;"",M137&lt;&gt;INDEX(CONST_MeasDefaultUnknown,2),M138&lt;&gt;"",M138&lt;&gt;INDEX(CONST_MeasDefaultUnknown,2))</f>
        <v>0</v>
      </c>
    </row>
    <row r="143" spans="1:26" s="144" customFormat="1" ht="12.75" customHeight="1" thickBot="1" x14ac:dyDescent="0.4">
      <c r="A143" s="91"/>
      <c r="B143" s="94"/>
      <c r="C143" s="206"/>
      <c r="D143" s="207"/>
      <c r="E143" s="208"/>
      <c r="F143" s="209"/>
      <c r="G143" s="209"/>
      <c r="H143" s="209"/>
      <c r="I143" s="209"/>
      <c r="J143" s="209"/>
      <c r="K143" s="209"/>
      <c r="L143" s="209"/>
      <c r="M143" s="209"/>
      <c r="N143" s="210"/>
      <c r="O143" s="428"/>
      <c r="P143" s="94"/>
      <c r="Q143" s="93"/>
      <c r="R143" s="91"/>
      <c r="S143" s="91"/>
      <c r="T143" s="712"/>
      <c r="U143" s="91"/>
      <c r="V143" s="91"/>
      <c r="W143" s="91"/>
      <c r="X143" s="91"/>
      <c r="Y143" s="91"/>
      <c r="Z143" s="91"/>
    </row>
    <row r="144" spans="1:26" s="144" customFormat="1" ht="12.75" customHeight="1" thickBot="1" x14ac:dyDescent="0.4">
      <c r="A144" s="91"/>
      <c r="B144" s="94"/>
      <c r="O144" s="428"/>
      <c r="P144" s="94"/>
      <c r="Q144" s="93"/>
      <c r="R144" s="91"/>
      <c r="S144" s="91"/>
      <c r="T144" s="712"/>
      <c r="U144" s="91"/>
      <c r="V144" s="91"/>
      <c r="W144" s="91"/>
      <c r="X144" s="91"/>
      <c r="Y144" s="91"/>
      <c r="Z144" s="91"/>
    </row>
    <row r="145" spans="1:26" s="144" customFormat="1" ht="12.75" customHeight="1" thickBot="1" x14ac:dyDescent="0.4">
      <c r="A145" s="91"/>
      <c r="B145" s="946"/>
      <c r="C145" s="145"/>
      <c r="D145" s="145"/>
      <c r="E145" s="145"/>
      <c r="F145" s="145"/>
      <c r="G145" s="145"/>
      <c r="H145" s="145"/>
      <c r="I145" s="145"/>
      <c r="J145" s="145"/>
      <c r="K145" s="145"/>
      <c r="L145" s="145"/>
      <c r="M145" s="145"/>
      <c r="N145" s="145"/>
      <c r="O145" s="947"/>
      <c r="P145" s="94"/>
      <c r="Q145" s="93"/>
      <c r="R145" s="91"/>
      <c r="S145" s="91"/>
      <c r="T145" s="712"/>
      <c r="U145" s="91"/>
      <c r="V145" s="91"/>
      <c r="W145" s="91"/>
      <c r="X145" s="91"/>
      <c r="Y145" s="91"/>
      <c r="Z145" s="91"/>
    </row>
    <row r="146" spans="1:26" ht="18" customHeight="1" thickBot="1" x14ac:dyDescent="0.4">
      <c r="B146" s="94"/>
      <c r="C146" s="147">
        <f>C102+1</f>
        <v>4</v>
      </c>
      <c r="D146" s="944" t="str">
        <f>CONST_PurchPrecursor &amp; " " &amp; C146 &amp; ":"</f>
        <v>Purchased precursor 4:</v>
      </c>
      <c r="E146" s="144"/>
      <c r="F146" s="144"/>
      <c r="G146" s="1313" t="str">
        <f>IF(INDEX(CNTR_List_ExistPurchPrecNames,MATCH(R146,CNTR_ListPurchPrecID,0))=CONST_NA,"",INDEX(CNTR_List_ExistPurchPrecNames,MATCH(R146,CNTR_ListPurchPrecID,0)))</f>
        <v/>
      </c>
      <c r="H146" s="1314"/>
      <c r="I146" s="1314"/>
      <c r="J146" s="1314"/>
      <c r="K146" s="1315"/>
      <c r="L146" s="1316" t="str">
        <f>IF(INDEX(CNTR_List_ExistPurchPrec,MATCH(R146,CNTR_ListPurchPrecID,0))=CONST_NA,"",INDEX(CNTR_List_ExistPurchPrec,MATCH(R146,CNTR_ListPurchPrecID,0)))</f>
        <v/>
      </c>
      <c r="M146" s="1317"/>
      <c r="N146" s="1318"/>
      <c r="O146" s="428"/>
      <c r="R146" s="149" t="str">
        <f>INDEX(CNTR_ListPurchPrecID,C146)</f>
        <v>PP4</v>
      </c>
      <c r="Y146" s="104" t="s">
        <v>2748</v>
      </c>
      <c r="Z146" s="150" t="b">
        <f>AND(CNTR_HasEntriesA,G146="")</f>
        <v>0</v>
      </c>
    </row>
    <row r="147" spans="1:26" ht="26.5" customHeight="1" x14ac:dyDescent="0.35">
      <c r="B147" s="94"/>
      <c r="C147" s="144"/>
      <c r="D147" s="914"/>
      <c r="E147" s="1325" t="str">
        <f ca="1">HYPERLINK("#"&amp;ADDRESS(MATCH($S147,G_FurtherGuidance!$S:$S,0),3,,,G_FurtherGuidance!$U$2),CONST_LinkToGuidanceSheet)</f>
        <v>Please click on this link for further guidance on how to complete this section.</v>
      </c>
      <c r="F147" s="1326"/>
      <c r="G147" s="1326"/>
      <c r="H147" s="1326"/>
      <c r="I147" s="1326"/>
      <c r="J147" s="1326"/>
      <c r="K147" s="1326"/>
      <c r="L147" s="1326"/>
      <c r="M147" s="1326"/>
      <c r="N147" s="144"/>
      <c r="O147" s="428"/>
      <c r="R147" s="104" t="s">
        <v>2771</v>
      </c>
      <c r="S147" s="105">
        <v>4</v>
      </c>
      <c r="Y147" s="104"/>
    </row>
    <row r="148" spans="1:26" ht="12.75" customHeight="1" x14ac:dyDescent="0.35">
      <c r="B148" s="94"/>
      <c r="C148" s="144"/>
      <c r="D148" s="168" t="s">
        <v>135</v>
      </c>
      <c r="E148" s="167" t="str">
        <f>Translations!$B$276</f>
        <v>Total purchased levels:</v>
      </c>
      <c r="F148" s="144"/>
      <c r="G148" s="144"/>
      <c r="H148" s="151" t="str">
        <f>Translations!$B$244</f>
        <v>Production route</v>
      </c>
      <c r="I148" s="144"/>
      <c r="J148" s="144"/>
      <c r="K148" s="152" t="str">
        <f>Translations!$B$221</f>
        <v>Unit</v>
      </c>
      <c r="L148" s="152" t="str">
        <f>Translations!$B$245</f>
        <v>Amounts</v>
      </c>
      <c r="M148" s="144"/>
      <c r="N148" s="144"/>
      <c r="O148" s="428"/>
      <c r="Y148" s="91" t="s">
        <v>4077</v>
      </c>
    </row>
    <row r="149" spans="1:26" ht="12.75" customHeight="1" x14ac:dyDescent="0.35">
      <c r="B149" s="94"/>
      <c r="C149" s="144"/>
      <c r="D149" s="173">
        <v>1</v>
      </c>
      <c r="E149" s="153" t="str">
        <f>IF(G146="","",G146) &amp; IF(L146="",""," | " &amp; L146)</f>
        <v/>
      </c>
      <c r="F149" s="153"/>
      <c r="G149" s="153"/>
      <c r="H149" s="154" t="str">
        <f>IF(L146="","",INDEX(CONST_MATRIX_ProductionRoute,MATCH(L146,CONST_LIST_Goods,0),D149))</f>
        <v/>
      </c>
      <c r="I149" s="153"/>
      <c r="J149" s="153"/>
      <c r="K149" s="155" t="str">
        <f>IF(L146="","",INDEX(CONST_LIST_GoodsUnit,MATCH(L146,CONST_LIST_Goods,0)))</f>
        <v/>
      </c>
      <c r="L149" s="29"/>
      <c r="M149" s="144"/>
      <c r="N149" s="144"/>
      <c r="O149" s="945"/>
      <c r="S149" s="105">
        <v>1</v>
      </c>
      <c r="V149" s="105" t="str">
        <f>IF(AND(Y149=FALSE,ISNUMBER(L149)),TRUE,IF(Y149=FALSE,CONST_ErrorOrMissing&amp;C146,CONST_NA))</f>
        <v>n.a.</v>
      </c>
      <c r="Y149" s="105" t="str">
        <f>IF(OR(H149="",H149=CONST_NA),"",IF(H149=CONST_AllProdRoutes,FALSE, COUNTIF(INDEX(CNTR_MatrixPurchPrecRoutes,C146,),S149)=0))</f>
        <v/>
      </c>
    </row>
    <row r="150" spans="1:26" ht="12.75" customHeight="1" x14ac:dyDescent="0.35">
      <c r="B150" s="94"/>
      <c r="C150" s="144"/>
      <c r="D150" s="173">
        <v>2</v>
      </c>
      <c r="E150" s="158" t="str">
        <f t="shared" ref="E150:E156" si="15">IF(H150=CONST_NA,"",E149)</f>
        <v/>
      </c>
      <c r="F150" s="158"/>
      <c r="G150" s="158"/>
      <c r="H150" s="159" t="str">
        <f>IF(L146="","",INDEX(CONST_MATRIX_ProductionRoute,MATCH(L146,CONST_LIST_Goods,0),D150))</f>
        <v/>
      </c>
      <c r="I150" s="158"/>
      <c r="J150" s="158"/>
      <c r="K150" s="160" t="str">
        <f t="shared" ref="K150:K156" si="16">IF(H150=CONST_NA,"",K149)</f>
        <v/>
      </c>
      <c r="L150" s="30"/>
      <c r="M150" s="144"/>
      <c r="N150" s="144"/>
      <c r="O150" s="945"/>
      <c r="S150" s="105">
        <v>2</v>
      </c>
      <c r="V150" s="105" t="str">
        <f>IF(AND(Y150=FALSE,ISNUMBER(L150)),TRUE,IF(Y150=FALSE,CONST_ErrorOrMissing&amp;C146,CONST_NA))</f>
        <v>n.a.</v>
      </c>
      <c r="Y150" s="105" t="str">
        <f>IF(OR(H150="",H150=CONST_NA),"",IF(H150=CONST_AllProdRoutes,FALSE, COUNTIF(INDEX(CNTR_MatrixPurchPrecRoutes,C146,),S150)=0))</f>
        <v/>
      </c>
    </row>
    <row r="151" spans="1:26" ht="12.75" customHeight="1" x14ac:dyDescent="0.35">
      <c r="B151" s="94"/>
      <c r="C151" s="144"/>
      <c r="D151" s="173">
        <v>3</v>
      </c>
      <c r="E151" s="158" t="str">
        <f t="shared" si="15"/>
        <v/>
      </c>
      <c r="F151" s="158"/>
      <c r="G151" s="158"/>
      <c r="H151" s="159" t="str">
        <f>IF(L146="","",INDEX(CONST_MATRIX_ProductionRoute,MATCH(L146,CONST_LIST_Goods,0),D151))</f>
        <v/>
      </c>
      <c r="I151" s="158"/>
      <c r="J151" s="158"/>
      <c r="K151" s="160" t="str">
        <f t="shared" si="16"/>
        <v/>
      </c>
      <c r="L151" s="30"/>
      <c r="M151" s="144"/>
      <c r="N151" s="144"/>
      <c r="O151" s="945"/>
      <c r="S151" s="105">
        <v>3</v>
      </c>
      <c r="V151" s="105" t="str">
        <f>IF(AND(Y151=FALSE,ISNUMBER(L151)),TRUE,IF(Y151=FALSE,CONST_ErrorOrMissing&amp;C146,CONST_NA))</f>
        <v>n.a.</v>
      </c>
      <c r="Y151" s="105" t="str">
        <f>IF(OR(H151="",H151=CONST_NA),"",IF(H151=CONST_AllProdRoutes,FALSE, COUNTIF(INDEX(CNTR_MatrixPurchPrecRoutes,C146,),S151)=0))</f>
        <v/>
      </c>
    </row>
    <row r="152" spans="1:26" ht="12.75" customHeight="1" x14ac:dyDescent="0.35">
      <c r="B152" s="94"/>
      <c r="C152" s="144"/>
      <c r="D152" s="173">
        <v>4</v>
      </c>
      <c r="E152" s="158" t="str">
        <f t="shared" si="15"/>
        <v/>
      </c>
      <c r="F152" s="158"/>
      <c r="G152" s="158"/>
      <c r="H152" s="159" t="str">
        <f>IF(L146="","",INDEX(CONST_MATRIX_ProductionRoute,MATCH(L146,CONST_LIST_Goods,0),D152))</f>
        <v/>
      </c>
      <c r="I152" s="158"/>
      <c r="J152" s="158"/>
      <c r="K152" s="160" t="str">
        <f t="shared" si="16"/>
        <v/>
      </c>
      <c r="L152" s="30"/>
      <c r="M152" s="144"/>
      <c r="N152" s="144"/>
      <c r="O152" s="945"/>
      <c r="S152" s="105">
        <v>4</v>
      </c>
      <c r="V152" s="105" t="str">
        <f>IF(AND(Y152=FALSE,ISNUMBER(L152)),TRUE,IF(Y152=FALSE,CONST_ErrorOrMissing&amp;C146,CONST_NA))</f>
        <v>n.a.</v>
      </c>
      <c r="Y152" s="105" t="str">
        <f>IF(OR(H152="",H152=CONST_NA),"",IF(H152=CONST_AllProdRoutes,FALSE, COUNTIF(INDEX(CNTR_MatrixPurchPrecRoutes,C146,),S152)=0))</f>
        <v/>
      </c>
    </row>
    <row r="153" spans="1:26" ht="12.75" customHeight="1" x14ac:dyDescent="0.35">
      <c r="B153" s="94"/>
      <c r="C153" s="144"/>
      <c r="D153" s="173">
        <v>5</v>
      </c>
      <c r="E153" s="158" t="str">
        <f t="shared" si="15"/>
        <v/>
      </c>
      <c r="F153" s="158"/>
      <c r="G153" s="158"/>
      <c r="H153" s="159" t="str">
        <f>IF(L146="","",INDEX(CONST_MATRIX_ProductionRoute,MATCH(L146,CONST_LIST_Goods,0),D153))</f>
        <v/>
      </c>
      <c r="I153" s="158"/>
      <c r="J153" s="158"/>
      <c r="K153" s="160" t="str">
        <f t="shared" si="16"/>
        <v/>
      </c>
      <c r="L153" s="30"/>
      <c r="M153" s="144"/>
      <c r="N153" s="144"/>
      <c r="O153" s="945"/>
      <c r="S153" s="105">
        <v>5</v>
      </c>
      <c r="V153" s="105" t="str">
        <f>IF(AND(Y153=FALSE,ISNUMBER(L153)),TRUE,IF(Y153=FALSE,CONST_ErrorOrMissing&amp;C146,CONST_NA))</f>
        <v>n.a.</v>
      </c>
      <c r="Y153" s="105" t="str">
        <f>IF(OR(H153="",H153=CONST_NA),"",IF(H153=CONST_AllProdRoutes,FALSE, COUNTIF(INDEX(CNTR_MatrixPurchPrecRoutes,C146,),S153)=0))</f>
        <v/>
      </c>
    </row>
    <row r="154" spans="1:26" ht="12.75" customHeight="1" x14ac:dyDescent="0.35">
      <c r="B154" s="94"/>
      <c r="C154" s="144"/>
      <c r="D154" s="173">
        <v>6</v>
      </c>
      <c r="E154" s="158" t="str">
        <f t="shared" si="15"/>
        <v/>
      </c>
      <c r="F154" s="158"/>
      <c r="G154" s="158"/>
      <c r="H154" s="159" t="str">
        <f>IF(L146="","",INDEX(CONST_MATRIX_ProductionRoute,MATCH(L146,CONST_LIST_Goods,0),D154))</f>
        <v/>
      </c>
      <c r="I154" s="158"/>
      <c r="J154" s="158"/>
      <c r="K154" s="160" t="str">
        <f t="shared" si="16"/>
        <v/>
      </c>
      <c r="L154" s="30"/>
      <c r="M154" s="144"/>
      <c r="N154" s="144"/>
      <c r="O154" s="945"/>
      <c r="S154" s="105">
        <v>6</v>
      </c>
      <c r="V154" s="105" t="str">
        <f>IF(AND(Y154=FALSE,ISNUMBER(L154)),TRUE,IF(Y154=FALSE,CONST_ErrorOrMissing&amp;C146,CONST_NA))</f>
        <v>n.a.</v>
      </c>
      <c r="Y154" s="105" t="str">
        <f>IF(OR(H154="",H154=CONST_NA),"",IF(H154=CONST_AllProdRoutes,FALSE, COUNTIF(INDEX(CNTR_MatrixPurchPrecRoutes,C146,),S154)=0))</f>
        <v/>
      </c>
    </row>
    <row r="155" spans="1:26" ht="12.75" customHeight="1" x14ac:dyDescent="0.35">
      <c r="B155" s="94"/>
      <c r="C155" s="144"/>
      <c r="D155" s="173">
        <v>7</v>
      </c>
      <c r="E155" s="158" t="str">
        <f t="shared" si="15"/>
        <v/>
      </c>
      <c r="F155" s="158"/>
      <c r="G155" s="158"/>
      <c r="H155" s="159" t="str">
        <f>IF(L146="","",INDEX(CONST_MATRIX_ProductionRoute,MATCH(L146,CONST_LIST_Goods,0),D155))</f>
        <v/>
      </c>
      <c r="I155" s="158"/>
      <c r="J155" s="158"/>
      <c r="K155" s="160" t="str">
        <f t="shared" si="16"/>
        <v/>
      </c>
      <c r="L155" s="30"/>
      <c r="M155" s="144"/>
      <c r="N155" s="144"/>
      <c r="O155" s="945"/>
      <c r="S155" s="105">
        <v>7</v>
      </c>
      <c r="V155" s="105" t="str">
        <f>IF(AND(Y155=FALSE,ISNUMBER(L155)),TRUE,IF(Y155=FALSE,CONST_ErrorOrMissing&amp;C146,CONST_NA))</f>
        <v>n.a.</v>
      </c>
      <c r="Y155" s="105" t="str">
        <f>IF(OR(H155="",H155=CONST_NA),"",IF(H155=CONST_AllProdRoutes,FALSE, COUNTIF(INDEX(CNTR_MatrixPurchPrecRoutes,C146,),S155)=0))</f>
        <v/>
      </c>
    </row>
    <row r="156" spans="1:26" ht="12.75" customHeight="1" x14ac:dyDescent="0.35">
      <c r="B156" s="94"/>
      <c r="C156" s="144"/>
      <c r="D156" s="173">
        <v>8</v>
      </c>
      <c r="E156" s="161" t="str">
        <f t="shared" si="15"/>
        <v/>
      </c>
      <c r="F156" s="161"/>
      <c r="G156" s="161"/>
      <c r="H156" s="162" t="str">
        <f>IF(L146="","",INDEX(CONST_MATRIX_ProductionRoute,MATCH(L146,CONST_LIST_Goods,0),D156))</f>
        <v/>
      </c>
      <c r="I156" s="161"/>
      <c r="J156" s="161"/>
      <c r="K156" s="163" t="str">
        <f t="shared" si="16"/>
        <v/>
      </c>
      <c r="L156" s="31"/>
      <c r="M156" s="144"/>
      <c r="N156" s="144"/>
      <c r="O156" s="945"/>
      <c r="S156" s="105">
        <v>8</v>
      </c>
      <c r="V156" s="105" t="str">
        <f>IF(AND(Y156=FALSE,ISNUMBER(L156)),TRUE,IF(Y156=FALSE,CONST_ErrorOrMissing&amp;C146,CONST_NA))</f>
        <v>n.a.</v>
      </c>
      <c r="Y156" s="105" t="str">
        <f>IF(OR(H156="",H156=CONST_NA),"",IF(H156=CONST_AllProdRoutes,FALSE, COUNTIF(INDEX(CNTR_MatrixPurchPrecRoutes,C146,),S156)=0))</f>
        <v/>
      </c>
    </row>
    <row r="157" spans="1:26" ht="12.75" customHeight="1" x14ac:dyDescent="0.35">
      <c r="B157" s="94"/>
      <c r="C157" s="144"/>
      <c r="D157" s="914"/>
      <c r="E157" s="138" t="str">
        <f>Translations!$B$1966</f>
        <v>Total purchase for possible consumption within installation:</v>
      </c>
      <c r="F157" s="138"/>
      <c r="G157" s="138"/>
      <c r="H157" s="164"/>
      <c r="I157" s="138"/>
      <c r="J157" s="138"/>
      <c r="K157" s="169" t="str">
        <f>K149</f>
        <v/>
      </c>
      <c r="L157" s="386" t="str">
        <f>IF(G146="","",SUM(L149:L156))</f>
        <v/>
      </c>
      <c r="M157" s="144"/>
      <c r="N157" s="144"/>
      <c r="O157" s="428"/>
      <c r="R157" s="102" t="str">
        <f>CONST_CNTR_TotProd&amp;G146</f>
        <v>TotProd_</v>
      </c>
      <c r="T157" s="216" t="str">
        <f>IF(G146="","",IF(SUM(L157)=0,100,L157))</f>
        <v/>
      </c>
      <c r="V157" s="123"/>
    </row>
    <row r="158" spans="1:26" s="144" customFormat="1" ht="5.15" customHeight="1" x14ac:dyDescent="0.35">
      <c r="A158" s="91"/>
      <c r="B158" s="94"/>
      <c r="D158" s="166"/>
      <c r="E158" s="167"/>
      <c r="O158" s="428"/>
      <c r="P158" s="94"/>
      <c r="Q158" s="93"/>
      <c r="R158" s="91"/>
      <c r="S158" s="91"/>
      <c r="T158" s="712"/>
      <c r="U158" s="91"/>
      <c r="V158" s="123"/>
      <c r="W158" s="91"/>
      <c r="X158" s="91"/>
      <c r="Y158" s="91"/>
      <c r="Z158" s="91"/>
    </row>
    <row r="159" spans="1:26" s="144" customFormat="1" ht="12.75" customHeight="1" x14ac:dyDescent="0.35">
      <c r="A159" s="91"/>
      <c r="B159" s="94"/>
      <c r="D159" s="168" t="s">
        <v>48</v>
      </c>
      <c r="E159" s="167" t="str">
        <f>Translations!$B$1967</f>
        <v>Consumed in 'production processes' within the installation:</v>
      </c>
      <c r="F159" s="167"/>
      <c r="G159" s="167"/>
      <c r="H159" s="167"/>
      <c r="I159" s="167"/>
      <c r="J159" s="167"/>
      <c r="K159" s="168" t="str">
        <f>Translations!$B$221</f>
        <v>Unit</v>
      </c>
      <c r="L159" s="168" t="str">
        <f>Translations!$B$245</f>
        <v>Amounts</v>
      </c>
      <c r="O159" s="428"/>
      <c r="P159" s="94"/>
      <c r="Q159" s="93"/>
      <c r="R159" s="91"/>
      <c r="S159" s="123" t="s">
        <v>195</v>
      </c>
      <c r="T159" s="712"/>
      <c r="U159" s="91"/>
      <c r="V159" s="123"/>
      <c r="W159" s="91"/>
      <c r="X159" s="91"/>
      <c r="Y159" s="91"/>
      <c r="Z159" s="91"/>
    </row>
    <row r="160" spans="1:26" s="144" customFormat="1" ht="12.75" customHeight="1" x14ac:dyDescent="0.35">
      <c r="A160" s="91"/>
      <c r="B160" s="94"/>
      <c r="D160" s="173">
        <v>1</v>
      </c>
      <c r="E160" s="174" t="str">
        <f t="shared" ref="E160:E169" si="17">IF(INDEX(CNTR_List_ExistProdProcNames,S160)=CONST_NA,"",INDEX(CNTR_List_ExistProdProcNames,S160))</f>
        <v/>
      </c>
      <c r="F160" s="175"/>
      <c r="G160" s="175"/>
      <c r="H160" s="175"/>
      <c r="I160" s="175"/>
      <c r="J160" s="176"/>
      <c r="K160" s="155" t="str">
        <f>IF(E160="","",K157)</f>
        <v/>
      </c>
      <c r="L160" s="29"/>
      <c r="O160" s="945"/>
      <c r="P160" s="94"/>
      <c r="Q160" s="93"/>
      <c r="R160" s="102" t="str">
        <f>CONST_PrecursorToGoodInput&amp;G146 &amp;"_"&amp;E160</f>
        <v>PrecToGood__</v>
      </c>
      <c r="S160" s="105">
        <f>D160</f>
        <v>1</v>
      </c>
      <c r="T160" s="124" t="str">
        <f>IF(G146="","",L160)</f>
        <v/>
      </c>
      <c r="U160" s="91"/>
      <c r="V160" s="105" t="str">
        <f>IF(AND(G146&lt;&gt;"",E160&lt;&gt;"",L160&lt;&gt;""),TRUE,IF(AND(G146&lt;&gt;"",E160&lt;&gt;"",L160="",Z160=FALSE),CONST_ErrorOrMissing&amp;C146,CONST_NA))</f>
        <v>n.a.</v>
      </c>
      <c r="W160" s="172"/>
      <c r="X160" s="172"/>
      <c r="Y160" s="91" t="s">
        <v>34</v>
      </c>
      <c r="Z160" s="102" t="b">
        <f>IF(G146="",FALSE,E160="")</f>
        <v>0</v>
      </c>
    </row>
    <row r="161" spans="1:26" s="144" customFormat="1" ht="12.75" customHeight="1" x14ac:dyDescent="0.35">
      <c r="A161" s="91"/>
      <c r="B161" s="94"/>
      <c r="D161" s="173">
        <v>2</v>
      </c>
      <c r="E161" s="177" t="str">
        <f t="shared" si="17"/>
        <v/>
      </c>
      <c r="F161" s="178"/>
      <c r="G161" s="178"/>
      <c r="H161" s="178"/>
      <c r="I161" s="178"/>
      <c r="J161" s="179"/>
      <c r="K161" s="160" t="str">
        <f>IF(E161="","",K160)</f>
        <v/>
      </c>
      <c r="L161" s="30"/>
      <c r="O161" s="945"/>
      <c r="P161" s="94"/>
      <c r="Q161" s="93"/>
      <c r="R161" s="102" t="str">
        <f>CONST_PrecursorToGoodInput&amp;G146 &amp;"_"&amp;E161</f>
        <v>PrecToGood__</v>
      </c>
      <c r="S161" s="105">
        <f t="shared" ref="S161:S169" si="18">D161</f>
        <v>2</v>
      </c>
      <c r="T161" s="124" t="str">
        <f>IF(G146="","",L161)</f>
        <v/>
      </c>
      <c r="U161" s="91"/>
      <c r="V161" s="105" t="str">
        <f>IF(AND(G146&lt;&gt;"",E161&lt;&gt;"",L161&lt;&gt;""),TRUE,IF(AND(G146&lt;&gt;"",E161&lt;&gt;"",L161="",Z161=FALSE),CONST_ErrorOrMissing&amp;C146,CONST_NA))</f>
        <v>n.a.</v>
      </c>
      <c r="W161" s="172"/>
      <c r="X161" s="172"/>
      <c r="Y161" s="91"/>
      <c r="Z161" s="102" t="b">
        <f>IF(G146="",FALSE,E161="")</f>
        <v>0</v>
      </c>
    </row>
    <row r="162" spans="1:26" s="144" customFormat="1" ht="12.75" customHeight="1" x14ac:dyDescent="0.35">
      <c r="A162" s="91"/>
      <c r="B162" s="94"/>
      <c r="D162" s="173">
        <v>3</v>
      </c>
      <c r="E162" s="177" t="str">
        <f t="shared" si="17"/>
        <v/>
      </c>
      <c r="F162" s="178"/>
      <c r="G162" s="178"/>
      <c r="H162" s="178"/>
      <c r="I162" s="178"/>
      <c r="J162" s="179"/>
      <c r="K162" s="160" t="str">
        <f t="shared" ref="K162:K169" si="19">IF(E162="","",K161)</f>
        <v/>
      </c>
      <c r="L162" s="30"/>
      <c r="O162" s="945"/>
      <c r="P162" s="94"/>
      <c r="Q162" s="93"/>
      <c r="R162" s="102" t="str">
        <f>CONST_PrecursorToGoodInput&amp;G146 &amp;"_"&amp;E162</f>
        <v>PrecToGood__</v>
      </c>
      <c r="S162" s="105">
        <f t="shared" si="18"/>
        <v>3</v>
      </c>
      <c r="T162" s="124" t="str">
        <f>IF(G146="","",L162)</f>
        <v/>
      </c>
      <c r="U162" s="91"/>
      <c r="V162" s="105" t="str">
        <f>IF(AND(G146&lt;&gt;"",E162&lt;&gt;"",L162&lt;&gt;""),TRUE,IF(AND(G146&lt;&gt;"",E162&lt;&gt;"",L162="",Z162=FALSE),CONST_ErrorOrMissing&amp;C146,CONST_NA))</f>
        <v>n.a.</v>
      </c>
      <c r="W162" s="172"/>
      <c r="X162" s="172"/>
      <c r="Y162" s="91"/>
      <c r="Z162" s="102" t="b">
        <f>IF(G146="",FALSE,E162="")</f>
        <v>0</v>
      </c>
    </row>
    <row r="163" spans="1:26" s="144" customFormat="1" ht="12.75" customHeight="1" x14ac:dyDescent="0.35">
      <c r="A163" s="91"/>
      <c r="B163" s="94"/>
      <c r="D163" s="173">
        <v>4</v>
      </c>
      <c r="E163" s="177" t="str">
        <f t="shared" si="17"/>
        <v/>
      </c>
      <c r="F163" s="178"/>
      <c r="G163" s="178"/>
      <c r="H163" s="178"/>
      <c r="I163" s="178"/>
      <c r="J163" s="179"/>
      <c r="K163" s="160" t="str">
        <f t="shared" si="19"/>
        <v/>
      </c>
      <c r="L163" s="30"/>
      <c r="O163" s="945"/>
      <c r="P163" s="94"/>
      <c r="Q163" s="93"/>
      <c r="R163" s="102" t="str">
        <f>CONST_PrecursorToGoodInput&amp;G146 &amp;"_"&amp;E163</f>
        <v>PrecToGood__</v>
      </c>
      <c r="S163" s="105">
        <f t="shared" si="18"/>
        <v>4</v>
      </c>
      <c r="T163" s="124" t="str">
        <f>IF(G146="","",L163)</f>
        <v/>
      </c>
      <c r="U163" s="91"/>
      <c r="V163" s="105" t="str">
        <f>IF(AND(G146&lt;&gt;"",E163&lt;&gt;"",L163&lt;&gt;""),TRUE,IF(AND(G146&lt;&gt;"",E163&lt;&gt;"",L163="",Z163=FALSE),CONST_ErrorOrMissing&amp;C146,CONST_NA))</f>
        <v>n.a.</v>
      </c>
      <c r="W163" s="172"/>
      <c r="X163" s="172"/>
      <c r="Y163" s="91"/>
      <c r="Z163" s="102" t="b">
        <f>IF(G146="",FALSE,E163="")</f>
        <v>0</v>
      </c>
    </row>
    <row r="164" spans="1:26" s="144" customFormat="1" ht="12.75" customHeight="1" x14ac:dyDescent="0.35">
      <c r="A164" s="91"/>
      <c r="B164" s="94"/>
      <c r="D164" s="173">
        <v>5</v>
      </c>
      <c r="E164" s="180" t="str">
        <f t="shared" si="17"/>
        <v/>
      </c>
      <c r="F164" s="181"/>
      <c r="G164" s="181"/>
      <c r="H164" s="181"/>
      <c r="I164" s="181"/>
      <c r="J164" s="182"/>
      <c r="K164" s="183" t="str">
        <f t="shared" si="19"/>
        <v/>
      </c>
      <c r="L164" s="212"/>
      <c r="O164" s="945"/>
      <c r="P164" s="94"/>
      <c r="Q164" s="93"/>
      <c r="R164" s="102" t="str">
        <f>CONST_PrecursorToGoodInput&amp;G146 &amp;"_"&amp;E164</f>
        <v>PrecToGood__</v>
      </c>
      <c r="S164" s="105">
        <f t="shared" si="18"/>
        <v>5</v>
      </c>
      <c r="T164" s="124" t="str">
        <f>IF(G146="","",L164)</f>
        <v/>
      </c>
      <c r="U164" s="91"/>
      <c r="V164" s="105" t="str">
        <f>IF(AND(G146&lt;&gt;"",E164&lt;&gt;"",L164&lt;&gt;""),TRUE,IF(AND(G146&lt;&gt;"",E164&lt;&gt;"",L164="",Z164=FALSE),CONST_ErrorOrMissing&amp;C146,CONST_NA))</f>
        <v>n.a.</v>
      </c>
      <c r="W164" s="172"/>
      <c r="X164" s="172"/>
      <c r="Y164" s="91"/>
      <c r="Z164" s="102" t="b">
        <f>IF(G146="",FALSE,E164="")</f>
        <v>0</v>
      </c>
    </row>
    <row r="165" spans="1:26" s="144" customFormat="1" ht="12.75" customHeight="1" x14ac:dyDescent="0.35">
      <c r="A165" s="91"/>
      <c r="B165" s="94"/>
      <c r="D165" s="173">
        <v>6</v>
      </c>
      <c r="E165" s="180" t="str">
        <f t="shared" si="17"/>
        <v/>
      </c>
      <c r="F165" s="181"/>
      <c r="G165" s="181"/>
      <c r="H165" s="181"/>
      <c r="I165" s="181"/>
      <c r="J165" s="182"/>
      <c r="K165" s="183" t="str">
        <f t="shared" si="19"/>
        <v/>
      </c>
      <c r="L165" s="212"/>
      <c r="O165" s="945"/>
      <c r="P165" s="94"/>
      <c r="Q165" s="93"/>
      <c r="R165" s="102" t="str">
        <f>CONST_PrecursorToGoodInput&amp;G146 &amp;"_"&amp;E165</f>
        <v>PrecToGood__</v>
      </c>
      <c r="S165" s="105">
        <f t="shared" si="18"/>
        <v>6</v>
      </c>
      <c r="T165" s="124" t="str">
        <f>IF(G146="","",L165)</f>
        <v/>
      </c>
      <c r="U165" s="91"/>
      <c r="V165" s="105" t="str">
        <f>IF(AND(G146&lt;&gt;"",E165&lt;&gt;"",L165&lt;&gt;""),TRUE,IF(AND(G146&lt;&gt;"",E165&lt;&gt;"",L165="",Z165=FALSE),CONST_ErrorOrMissing&amp;C146,CONST_NA))</f>
        <v>n.a.</v>
      </c>
      <c r="W165" s="172"/>
      <c r="X165" s="172"/>
      <c r="Y165" s="91"/>
      <c r="Z165" s="102" t="b">
        <f>IF(G146="",FALSE,E165="")</f>
        <v>0</v>
      </c>
    </row>
    <row r="166" spans="1:26" s="144" customFormat="1" ht="12.75" customHeight="1" x14ac:dyDescent="0.35">
      <c r="A166" s="91"/>
      <c r="B166" s="94"/>
      <c r="D166" s="173">
        <v>7</v>
      </c>
      <c r="E166" s="180" t="str">
        <f t="shared" si="17"/>
        <v/>
      </c>
      <c r="F166" s="181"/>
      <c r="G166" s="181"/>
      <c r="H166" s="181"/>
      <c r="I166" s="181"/>
      <c r="J166" s="182"/>
      <c r="K166" s="183" t="str">
        <f t="shared" si="19"/>
        <v/>
      </c>
      <c r="L166" s="212"/>
      <c r="O166" s="945"/>
      <c r="P166" s="94"/>
      <c r="Q166" s="93"/>
      <c r="R166" s="102" t="str">
        <f>CONST_PrecursorToGoodInput&amp;G146 &amp;"_"&amp;E166</f>
        <v>PrecToGood__</v>
      </c>
      <c r="S166" s="105">
        <f t="shared" si="18"/>
        <v>7</v>
      </c>
      <c r="T166" s="124" t="str">
        <f>IF(G146="","",L166)</f>
        <v/>
      </c>
      <c r="U166" s="91"/>
      <c r="V166" s="105" t="str">
        <f>IF(AND(G146&lt;&gt;"",E166&lt;&gt;"",L166&lt;&gt;""),TRUE,IF(AND(G146&lt;&gt;"",E166&lt;&gt;"",L166="",Z166=FALSE),CONST_ErrorOrMissing&amp;C146,CONST_NA))</f>
        <v>n.a.</v>
      </c>
      <c r="W166" s="172"/>
      <c r="X166" s="172"/>
      <c r="Y166" s="91"/>
      <c r="Z166" s="102" t="b">
        <f>IF(G146="",FALSE,E166="")</f>
        <v>0</v>
      </c>
    </row>
    <row r="167" spans="1:26" s="144" customFormat="1" ht="12.75" customHeight="1" x14ac:dyDescent="0.35">
      <c r="A167" s="91"/>
      <c r="B167" s="94"/>
      <c r="D167" s="173">
        <v>8</v>
      </c>
      <c r="E167" s="180" t="str">
        <f t="shared" si="17"/>
        <v/>
      </c>
      <c r="F167" s="181"/>
      <c r="G167" s="181"/>
      <c r="H167" s="181"/>
      <c r="I167" s="181"/>
      <c r="J167" s="182"/>
      <c r="K167" s="183" t="str">
        <f t="shared" si="19"/>
        <v/>
      </c>
      <c r="L167" s="212"/>
      <c r="O167" s="945"/>
      <c r="P167" s="94"/>
      <c r="Q167" s="93"/>
      <c r="R167" s="102" t="str">
        <f>CONST_PrecursorToGoodInput&amp;G146 &amp;"_"&amp;E167</f>
        <v>PrecToGood__</v>
      </c>
      <c r="S167" s="105">
        <f t="shared" si="18"/>
        <v>8</v>
      </c>
      <c r="T167" s="124" t="str">
        <f>IF(G146="","",L167)</f>
        <v/>
      </c>
      <c r="U167" s="91"/>
      <c r="V167" s="105" t="str">
        <f>IF(AND(G146&lt;&gt;"",E167&lt;&gt;"",L167&lt;&gt;""),TRUE,IF(AND(G146&lt;&gt;"",E167&lt;&gt;"",L167="",Z167=FALSE),CONST_ErrorOrMissing&amp;C146,CONST_NA))</f>
        <v>n.a.</v>
      </c>
      <c r="W167" s="172"/>
      <c r="X167" s="172"/>
      <c r="Y167" s="91"/>
      <c r="Z167" s="102" t="b">
        <f>IF(G146="",FALSE,E167="")</f>
        <v>0</v>
      </c>
    </row>
    <row r="168" spans="1:26" s="144" customFormat="1" ht="12.75" customHeight="1" x14ac:dyDescent="0.35">
      <c r="A168" s="91"/>
      <c r="B168" s="94"/>
      <c r="D168" s="173">
        <v>9</v>
      </c>
      <c r="E168" s="180" t="str">
        <f t="shared" si="17"/>
        <v/>
      </c>
      <c r="F168" s="181"/>
      <c r="G168" s="181"/>
      <c r="H168" s="181"/>
      <c r="I168" s="181"/>
      <c r="J168" s="182"/>
      <c r="K168" s="183" t="str">
        <f t="shared" si="19"/>
        <v/>
      </c>
      <c r="L168" s="212"/>
      <c r="O168" s="945"/>
      <c r="P168" s="94"/>
      <c r="Q168" s="93"/>
      <c r="R168" s="102" t="str">
        <f>CONST_PrecursorToGoodInput&amp;G146 &amp;"_"&amp;E168</f>
        <v>PrecToGood__</v>
      </c>
      <c r="S168" s="105">
        <f t="shared" si="18"/>
        <v>9</v>
      </c>
      <c r="T168" s="124" t="str">
        <f>IF(G146="","",L168)</f>
        <v/>
      </c>
      <c r="U168" s="91"/>
      <c r="V168" s="105" t="str">
        <f>IF(AND(G146&lt;&gt;"",E168&lt;&gt;"",L168&lt;&gt;""),TRUE,IF(AND(G146&lt;&gt;"",E168&lt;&gt;"",L168="",Z168=FALSE),CONST_ErrorOrMissing&amp;C146,CONST_NA))</f>
        <v>n.a.</v>
      </c>
      <c r="W168" s="172"/>
      <c r="X168" s="172"/>
      <c r="Y168" s="91"/>
      <c r="Z168" s="102" t="b">
        <f>IF(G146="",FALSE,E168="")</f>
        <v>0</v>
      </c>
    </row>
    <row r="169" spans="1:26" s="144" customFormat="1" ht="12.75" customHeight="1" x14ac:dyDescent="0.35">
      <c r="A169" s="91"/>
      <c r="B169" s="94"/>
      <c r="D169" s="173">
        <v>10</v>
      </c>
      <c r="E169" s="184" t="str">
        <f t="shared" si="17"/>
        <v/>
      </c>
      <c r="F169" s="185"/>
      <c r="G169" s="185"/>
      <c r="H169" s="185"/>
      <c r="I169" s="185"/>
      <c r="J169" s="186"/>
      <c r="K169" s="163" t="str">
        <f t="shared" si="19"/>
        <v/>
      </c>
      <c r="L169" s="31"/>
      <c r="O169" s="945"/>
      <c r="P169" s="94"/>
      <c r="Q169" s="93"/>
      <c r="R169" s="102" t="str">
        <f>CONST_PrecursorToGoodInput&amp;G146 &amp;"_"&amp;E169</f>
        <v>PrecToGood__</v>
      </c>
      <c r="S169" s="105">
        <f t="shared" si="18"/>
        <v>10</v>
      </c>
      <c r="T169" s="124" t="str">
        <f>IF(G146="","",L169)</f>
        <v/>
      </c>
      <c r="U169" s="91"/>
      <c r="V169" s="105" t="str">
        <f>IF(AND(G146&lt;&gt;"",E169&lt;&gt;"",L169&lt;&gt;""),TRUE,IF(AND(G146&lt;&gt;"",E169&lt;&gt;"",L169="",Z169=FALSE),CONST_ErrorOrMissing&amp;C146,CONST_NA))</f>
        <v>n.a.</v>
      </c>
      <c r="W169" s="172"/>
      <c r="X169" s="172"/>
      <c r="Y169" s="91"/>
      <c r="Z169" s="102" t="b">
        <f>IF(G146="",FALSE,E169="")</f>
        <v>0</v>
      </c>
    </row>
    <row r="170" spans="1:26" s="144" customFormat="1" ht="12.75" customHeight="1" x14ac:dyDescent="0.35">
      <c r="A170" s="91"/>
      <c r="B170" s="94"/>
      <c r="D170" s="168" t="s">
        <v>49</v>
      </c>
      <c r="E170" s="167" t="str">
        <f>Translations!$B$1968</f>
        <v>Consumed for other purposes, e.g. sold or used for non-CBAM goods:</v>
      </c>
      <c r="F170" s="167"/>
      <c r="G170" s="167"/>
      <c r="H170" s="167"/>
      <c r="I170" s="167"/>
      <c r="J170" s="167"/>
      <c r="K170" s="169" t="str">
        <f>K157</f>
        <v/>
      </c>
      <c r="L170" s="211"/>
      <c r="O170" s="945"/>
      <c r="P170" s="94"/>
      <c r="Q170" s="93"/>
      <c r="R170" s="91"/>
      <c r="S170" s="91"/>
      <c r="T170" s="712"/>
      <c r="U170" s="91"/>
      <c r="V170" s="105" t="str">
        <f>IF(G146="",CONST_NA,IF(ISNUMBER(L170),TRUE,CONST_ErrorOrMissing&amp;C146))</f>
        <v>n.a.</v>
      </c>
      <c r="W170" s="91"/>
      <c r="X170" s="91"/>
      <c r="Y170" s="91"/>
      <c r="Z170" s="91"/>
    </row>
    <row r="171" spans="1:26" s="144" customFormat="1" ht="12.75" customHeight="1" x14ac:dyDescent="0.35">
      <c r="A171" s="91"/>
      <c r="B171" s="94"/>
      <c r="D171" s="168" t="s">
        <v>377</v>
      </c>
      <c r="E171" s="138" t="str">
        <f>Translations!$B$253</f>
        <v>Control:</v>
      </c>
      <c r="F171" s="170"/>
      <c r="G171" s="170"/>
      <c r="H171" s="170"/>
      <c r="I171" s="170"/>
      <c r="J171" s="170"/>
      <c r="K171" s="169" t="str">
        <f>K170</f>
        <v/>
      </c>
      <c r="L171" s="118" t="str">
        <f>IF(G146="","",SUM(L157)-SUM(L160:L170))</f>
        <v/>
      </c>
      <c r="O171" s="945"/>
      <c r="P171" s="94"/>
      <c r="Q171" s="93"/>
      <c r="R171" s="91"/>
      <c r="S171" s="91"/>
      <c r="T171" s="712"/>
      <c r="U171" s="91"/>
      <c r="V171" s="105" t="str">
        <f>IF(G146="",CONST_NA,IF(L171=0,TRUE,CONST_ErrorOrMissing&amp;C146))</f>
        <v>n.a.</v>
      </c>
      <c r="W171" s="91"/>
      <c r="X171" s="91"/>
      <c r="Y171" s="91"/>
      <c r="Z171" s="91"/>
    </row>
    <row r="172" spans="1:26" s="144" customFormat="1" ht="12.75" customHeight="1" thickBot="1" x14ac:dyDescent="0.4">
      <c r="A172" s="91"/>
      <c r="B172" s="94"/>
      <c r="O172" s="428"/>
      <c r="P172" s="94"/>
      <c r="Q172" s="93"/>
      <c r="R172" s="91"/>
      <c r="S172" s="91"/>
      <c r="T172" s="712"/>
      <c r="U172" s="91"/>
      <c r="V172" s="91"/>
      <c r="W172" s="91"/>
      <c r="X172" s="91"/>
      <c r="Y172" s="91"/>
      <c r="Z172" s="91"/>
    </row>
    <row r="173" spans="1:26" ht="12.75" customHeight="1" x14ac:dyDescent="0.35">
      <c r="B173" s="94"/>
      <c r="C173" s="187"/>
      <c r="D173" s="188"/>
      <c r="E173" s="189"/>
      <c r="F173" s="190"/>
      <c r="G173" s="190"/>
      <c r="H173" s="190"/>
      <c r="I173" s="190"/>
      <c r="J173" s="190"/>
      <c r="K173" s="190"/>
      <c r="L173" s="190"/>
      <c r="M173" s="190"/>
      <c r="N173" s="191"/>
      <c r="O173" s="428"/>
      <c r="T173" s="712"/>
    </row>
    <row r="174" spans="1:26" ht="15" customHeight="1" x14ac:dyDescent="0.35">
      <c r="B174" s="94"/>
      <c r="C174" s="192"/>
      <c r="D174" s="193" t="str">
        <f>Translations!$B$279</f>
        <v>Specific embedded emissions:</v>
      </c>
      <c r="E174" s="194"/>
      <c r="F174" s="195"/>
      <c r="G174" s="195"/>
      <c r="H174" s="195"/>
      <c r="I174" s="195"/>
      <c r="J174" s="1327" t="str">
        <f>IF(G146="","",G146)</f>
        <v/>
      </c>
      <c r="K174" s="1327"/>
      <c r="L174" s="1327"/>
      <c r="M174" s="1327"/>
      <c r="N174" s="196"/>
      <c r="O174" s="428"/>
      <c r="T174" s="712"/>
    </row>
    <row r="175" spans="1:26" ht="5.15" customHeight="1" x14ac:dyDescent="0.35">
      <c r="B175" s="94"/>
      <c r="C175" s="192"/>
      <c r="D175" s="197"/>
      <c r="E175" s="198"/>
      <c r="F175" s="195"/>
      <c r="G175" s="195"/>
      <c r="H175" s="195"/>
      <c r="I175" s="195"/>
      <c r="J175" s="195"/>
      <c r="K175" s="195"/>
      <c r="L175" s="195"/>
      <c r="M175" s="195"/>
      <c r="N175" s="196"/>
      <c r="O175" s="428"/>
      <c r="T175" s="712"/>
    </row>
    <row r="176" spans="1:26" ht="12.75" customHeight="1" x14ac:dyDescent="0.35">
      <c r="B176" s="94"/>
      <c r="C176" s="192"/>
      <c r="D176" s="199" t="s">
        <v>411</v>
      </c>
      <c r="E176" s="198" t="str">
        <f>Translations!$B$280</f>
        <v>Emissions embedded in this purchased precursor</v>
      </c>
      <c r="F176" s="198"/>
      <c r="G176" s="198"/>
      <c r="H176" s="198"/>
      <c r="I176" s="198"/>
      <c r="J176" s="198"/>
      <c r="K176" s="198"/>
      <c r="L176" s="198"/>
      <c r="M176" s="198"/>
      <c r="N176" s="196"/>
      <c r="O176" s="428"/>
      <c r="T176" s="712"/>
      <c r="V176" s="172"/>
      <c r="W176" s="172"/>
      <c r="X176" s="172"/>
      <c r="Z176" s="171"/>
    </row>
    <row r="177" spans="1:26" ht="4.9000000000000004" customHeight="1" x14ac:dyDescent="0.35">
      <c r="B177" s="94"/>
      <c r="C177" s="192"/>
      <c r="D177" s="199"/>
      <c r="E177" s="1328"/>
      <c r="F177" s="1328"/>
      <c r="G177" s="1328"/>
      <c r="H177" s="1328"/>
      <c r="I177" s="1328"/>
      <c r="J177" s="1328"/>
      <c r="K177" s="1328"/>
      <c r="L177" s="1328"/>
      <c r="M177" s="1328"/>
      <c r="N177" s="196"/>
      <c r="O177" s="428"/>
      <c r="T177" s="712"/>
    </row>
    <row r="178" spans="1:26" ht="13.15" customHeight="1" x14ac:dyDescent="0.35">
      <c r="B178" s="94"/>
      <c r="C178" s="192"/>
      <c r="D178" s="199"/>
      <c r="E178" s="1311" t="str">
        <f ca="1">HYPERLINK("#"&amp;ADDRESS(MATCH($S178,G_FurtherGuidance!$S:$S,0),3,,,G_FurtherGuidance!$U$2),CONST_LinkToGuidanceSheet)</f>
        <v>Please click on this link for further guidance on how to complete this section.</v>
      </c>
      <c r="F178" s="1312"/>
      <c r="G178" s="1312"/>
      <c r="H178" s="1312"/>
      <c r="I178" s="1312"/>
      <c r="J178" s="1312"/>
      <c r="K178" s="1312"/>
      <c r="L178" s="1312"/>
      <c r="M178" s="1312"/>
      <c r="N178" s="196"/>
      <c r="O178" s="428"/>
      <c r="R178" s="104" t="s">
        <v>2771</v>
      </c>
      <c r="S178" s="105">
        <v>4</v>
      </c>
      <c r="T178" s="712"/>
    </row>
    <row r="179" spans="1:26" ht="4.9000000000000004" customHeight="1" x14ac:dyDescent="0.35">
      <c r="B179" s="94"/>
      <c r="C179" s="192"/>
      <c r="D179" s="199"/>
      <c r="E179" s="1328"/>
      <c r="F179" s="1328"/>
      <c r="G179" s="1328"/>
      <c r="H179" s="1328"/>
      <c r="I179" s="1328"/>
      <c r="J179" s="1328"/>
      <c r="K179" s="1328"/>
      <c r="L179" s="1328"/>
      <c r="M179" s="1328"/>
      <c r="N179" s="384"/>
      <c r="O179" s="428"/>
      <c r="T179" s="712"/>
    </row>
    <row r="180" spans="1:26" ht="12.75" customHeight="1" x14ac:dyDescent="0.35">
      <c r="B180" s="94"/>
      <c r="C180" s="192"/>
      <c r="D180" s="199"/>
      <c r="E180" s="198" t="str">
        <f>Translations!$B$284</f>
        <v>Parameter:</v>
      </c>
      <c r="F180" s="195"/>
      <c r="G180" s="195"/>
      <c r="H180" s="195"/>
      <c r="I180" s="195"/>
      <c r="J180" s="195"/>
      <c r="K180" s="199" t="str">
        <f>Translations!$B$221</f>
        <v>Unit</v>
      </c>
      <c r="L180" s="199" t="str">
        <f>Translations!$B$260</f>
        <v>Value</v>
      </c>
      <c r="M180" s="199" t="str">
        <f>Translations!$B$285</f>
        <v>Source</v>
      </c>
      <c r="N180" s="196"/>
      <c r="O180" s="428"/>
      <c r="T180" s="764" t="s">
        <v>5</v>
      </c>
      <c r="U180" s="123" t="s">
        <v>2719</v>
      </c>
      <c r="V180" s="156" t="s">
        <v>3922</v>
      </c>
      <c r="W180" s="156"/>
      <c r="X180" s="156"/>
      <c r="Z180" s="171"/>
    </row>
    <row r="181" spans="1:26" ht="12.75" customHeight="1" x14ac:dyDescent="0.35">
      <c r="B181" s="94"/>
      <c r="C181" s="192"/>
      <c r="D181" s="197" t="s">
        <v>41</v>
      </c>
      <c r="E181" s="201" t="str">
        <f>Translations!$B$1969</f>
        <v>Specific embedded direct emissions (SEE (direct))</v>
      </c>
      <c r="F181" s="201"/>
      <c r="G181" s="201"/>
      <c r="H181" s="201"/>
      <c r="I181" s="201"/>
      <c r="J181" s="201"/>
      <c r="K181" s="217" t="str">
        <f>IF(L146="","",CONST_tCO2eq &amp; "/" &amp; K157)</f>
        <v/>
      </c>
      <c r="L181" s="215"/>
      <c r="M181" s="385"/>
      <c r="N181" s="196"/>
      <c r="O181" s="945"/>
      <c r="R181" s="102" t="str">
        <f>CONST_PurchPrecDefaultUsed&amp;G146</f>
        <v>PurchPrecDef_</v>
      </c>
      <c r="S181" s="102" t="str">
        <f>CONST_CNTR_EmbedEmDir&amp;G146</f>
        <v>EmbedEmDir_</v>
      </c>
      <c r="T181" s="124" t="str">
        <f>IF(G146="","",SUM(T157)*SUM(L181))</f>
        <v/>
      </c>
      <c r="U181" s="105" t="str">
        <f>IF(G146="","",IF(M181="",CONST_ERR_Incomplete,MATCH(M181,CONST_MeasDefaultUnknown,0)=2))</f>
        <v/>
      </c>
      <c r="V181" s="105" t="str">
        <f>IF(AND(G146&lt;&gt;"",COUNTA(L181:M181)=2),TRUE,IF(AND(G146&lt;&gt;"",COUNTA(L181:M181)&lt;2),CONST_ErrorOrMissing&amp;C146,CONST_NA))</f>
        <v>n.a.</v>
      </c>
      <c r="W181" s="156"/>
      <c r="X181" s="156"/>
      <c r="Z181" s="171"/>
    </row>
    <row r="182" spans="1:26" ht="12.75" customHeight="1" x14ac:dyDescent="0.35">
      <c r="B182" s="94"/>
      <c r="C182" s="192"/>
      <c r="D182" s="197" t="s">
        <v>42</v>
      </c>
      <c r="E182" s="759" t="str">
        <f>Translations!$B$1970</f>
        <v>Specific electricity consumption (for SEE (indirect))</v>
      </c>
      <c r="F182" s="759"/>
      <c r="G182" s="759"/>
      <c r="H182" s="759"/>
      <c r="I182" s="759"/>
      <c r="J182" s="759"/>
      <c r="K182" s="457" t="str">
        <f>IF(K181="","",CONST_MWh&amp;"/"&amp;K157)</f>
        <v/>
      </c>
      <c r="L182" s="760"/>
      <c r="M182" s="761"/>
      <c r="N182" s="196"/>
      <c r="O182" s="945"/>
      <c r="R182" s="102" t="str">
        <f>CONST_ElecConsumption&amp;G146</f>
        <v>ElecCons_</v>
      </c>
      <c r="S182" s="102"/>
      <c r="T182" s="124" t="str">
        <f>IF(G146="","",SUM(T157)*SUM(L182))</f>
        <v/>
      </c>
      <c r="U182" s="105" t="str">
        <f>IF(G146="","",IF(M182="",CONST_ERR_Incomplete,MATCH(M182,CONST_MeasDefaultUnknown,0)=2))</f>
        <v/>
      </c>
      <c r="V182" s="105" t="str">
        <f>IF(AND(G146&lt;&gt;"",COUNTA(L182:M182)=2),TRUE,IF(AND(G146&lt;&gt;"",COUNTA(L182:M182)&lt;2),CONST_ErrorOrMissing&amp;C146,CONST_NA))</f>
        <v>n.a.</v>
      </c>
      <c r="W182" s="156"/>
      <c r="X182" s="156"/>
      <c r="Z182" s="171"/>
    </row>
    <row r="183" spans="1:26" ht="12.75" customHeight="1" x14ac:dyDescent="0.35">
      <c r="B183" s="94"/>
      <c r="C183" s="192"/>
      <c r="D183" s="197" t="s">
        <v>43</v>
      </c>
      <c r="E183" s="1144" t="str">
        <f>Translations!$B$1971</f>
        <v>Electricity emission factor (for SEE (indirect))</v>
      </c>
      <c r="F183" s="1144"/>
      <c r="G183" s="1144"/>
      <c r="H183" s="1144"/>
      <c r="I183" s="1144"/>
      <c r="J183" s="1144"/>
      <c r="K183" s="1145" t="str">
        <f>IF(K181="","",CONST_tCO2eq&amp;"/"&amp;CONST_MWh)</f>
        <v/>
      </c>
      <c r="L183" s="1146"/>
      <c r="M183" s="762"/>
      <c r="N183" s="196"/>
      <c r="O183" s="945"/>
      <c r="R183" s="102" t="str">
        <f>CONST_CNTR_ElecEFMethod&amp;G146</f>
        <v>ElecEFMeth_</v>
      </c>
      <c r="S183" s="102"/>
      <c r="T183" s="124"/>
      <c r="U183" s="105" t="str">
        <f>IF(G146="","",M183)</f>
        <v/>
      </c>
      <c r="V183" s="105" t="str">
        <f>IF(AND(G146&lt;&gt;"",COUNTA(L183:M183)=2),TRUE,IF(AND(G146&lt;&gt;"",COUNTA(L183:M183)&lt;2),CONST_ErrorOrMissing&amp;C146,CONST_NA))</f>
        <v>n.a.</v>
      </c>
      <c r="W183" s="156"/>
      <c r="X183" s="156"/>
      <c r="Z183" s="171"/>
    </row>
    <row r="184" spans="1:26" x14ac:dyDescent="0.35">
      <c r="B184" s="94"/>
      <c r="C184" s="192"/>
      <c r="D184" s="197" t="s">
        <v>44</v>
      </c>
      <c r="E184" s="201" t="str">
        <f>Translations!$B$1972</f>
        <v>Specific embedded indirect emissions (SEE (indirect))</v>
      </c>
      <c r="F184" s="201"/>
      <c r="G184" s="201"/>
      <c r="H184" s="201"/>
      <c r="I184" s="201"/>
      <c r="J184" s="201"/>
      <c r="K184" s="217" t="str">
        <f>K181</f>
        <v/>
      </c>
      <c r="L184" s="1147" t="str">
        <f>IF(COUNT(L182:L183)=0,"",L182*L183)</f>
        <v/>
      </c>
      <c r="M184" s="758"/>
      <c r="N184" s="196"/>
      <c r="O184" s="428"/>
      <c r="R184" s="171"/>
      <c r="S184" s="102" t="str">
        <f>CONST_CNTR_EmbedEmInDir&amp;G146</f>
        <v>EmbedEmInDir_</v>
      </c>
      <c r="T184" s="124" t="str">
        <f>IF(G146="","",SUM(T157)*SUM(L184))</f>
        <v/>
      </c>
      <c r="Z184" s="171"/>
    </row>
    <row r="185" spans="1:26" ht="5.15" customHeight="1" x14ac:dyDescent="0.35">
      <c r="B185" s="94"/>
      <c r="C185" s="192"/>
      <c r="D185" s="197"/>
      <c r="E185" s="195"/>
      <c r="F185" s="195"/>
      <c r="G185" s="195"/>
      <c r="H185" s="195"/>
      <c r="I185" s="195"/>
      <c r="J185" s="195"/>
      <c r="K185" s="195"/>
      <c r="L185" s="195"/>
      <c r="M185" s="195"/>
      <c r="N185" s="196"/>
      <c r="O185" s="428"/>
      <c r="R185" s="171"/>
      <c r="S185" s="171"/>
      <c r="T185" s="125"/>
      <c r="U185" s="156"/>
      <c r="V185" s="172"/>
      <c r="W185" s="172"/>
      <c r="X185" s="172"/>
      <c r="Z185" s="171"/>
    </row>
    <row r="186" spans="1:26" ht="12.75" customHeight="1" x14ac:dyDescent="0.35">
      <c r="B186" s="94"/>
      <c r="C186" s="192"/>
      <c r="D186" s="197" t="s">
        <v>45</v>
      </c>
      <c r="E186" s="201" t="str">
        <f>Translations!$B$1858</f>
        <v>Justification for use of default values (if relevant):</v>
      </c>
      <c r="F186" s="201"/>
      <c r="G186" s="201"/>
      <c r="H186" s="201"/>
      <c r="I186" s="201"/>
      <c r="J186" s="201"/>
      <c r="K186" s="1329"/>
      <c r="L186" s="1329"/>
      <c r="M186" s="1329"/>
      <c r="N186" s="196"/>
      <c r="O186" s="945"/>
      <c r="R186" s="171"/>
      <c r="S186" s="171"/>
      <c r="T186" s="125"/>
      <c r="U186" s="156"/>
      <c r="V186" s="105" t="str">
        <f>IF(OR(G146="",Z186=TRUE),CONST_NA,IF(K186&lt;&gt;"",TRUE,CONST_ErrorOrMissing&amp;C146))</f>
        <v>n.a.</v>
      </c>
      <c r="W186" s="172"/>
      <c r="X186" s="172"/>
      <c r="Z186" s="102" t="b">
        <f>AND(M181&lt;&gt;"",M181&lt;&gt;INDEX(CONST_MeasDefaultUnknown,2),M182&lt;&gt;"",M182&lt;&gt;INDEX(CONST_MeasDefaultUnknown,2))</f>
        <v>0</v>
      </c>
    </row>
    <row r="187" spans="1:26" s="144" customFormat="1" ht="12.75" customHeight="1" thickBot="1" x14ac:dyDescent="0.4">
      <c r="A187" s="91"/>
      <c r="B187" s="94"/>
      <c r="C187" s="206"/>
      <c r="D187" s="207"/>
      <c r="E187" s="208"/>
      <c r="F187" s="209"/>
      <c r="G187" s="209"/>
      <c r="H187" s="209"/>
      <c r="I187" s="209"/>
      <c r="J187" s="209"/>
      <c r="K187" s="209"/>
      <c r="L187" s="209"/>
      <c r="M187" s="209"/>
      <c r="N187" s="210"/>
      <c r="O187" s="428"/>
      <c r="P187" s="94"/>
      <c r="Q187" s="93"/>
      <c r="R187" s="91"/>
      <c r="S187" s="91"/>
      <c r="T187" s="712"/>
      <c r="U187" s="91"/>
      <c r="V187" s="91"/>
      <c r="W187" s="91"/>
      <c r="X187" s="91"/>
      <c r="Y187" s="91"/>
      <c r="Z187" s="91"/>
    </row>
    <row r="188" spans="1:26" s="144" customFormat="1" ht="12.75" customHeight="1" thickBot="1" x14ac:dyDescent="0.4">
      <c r="A188" s="91"/>
      <c r="B188" s="94"/>
      <c r="O188" s="428"/>
      <c r="P188" s="94"/>
      <c r="Q188" s="93"/>
      <c r="R188" s="91"/>
      <c r="S188" s="91"/>
      <c r="T188" s="712"/>
      <c r="U188" s="91"/>
      <c r="V188" s="91"/>
      <c r="W188" s="91"/>
      <c r="X188" s="91"/>
      <c r="Y188" s="91"/>
      <c r="Z188" s="91"/>
    </row>
    <row r="189" spans="1:26" s="144" customFormat="1" ht="12.75" customHeight="1" thickBot="1" x14ac:dyDescent="0.4">
      <c r="A189" s="91"/>
      <c r="B189" s="946"/>
      <c r="C189" s="145"/>
      <c r="D189" s="145"/>
      <c r="E189" s="145"/>
      <c r="F189" s="145"/>
      <c r="G189" s="145"/>
      <c r="H189" s="145"/>
      <c r="I189" s="145"/>
      <c r="J189" s="145"/>
      <c r="K189" s="145"/>
      <c r="L189" s="145"/>
      <c r="M189" s="145"/>
      <c r="N189" s="145"/>
      <c r="O189" s="947"/>
      <c r="P189" s="94"/>
      <c r="Q189" s="93"/>
      <c r="R189" s="91"/>
      <c r="S189" s="91"/>
      <c r="T189" s="712"/>
      <c r="U189" s="91"/>
      <c r="V189" s="91"/>
      <c r="W189" s="91"/>
      <c r="X189" s="91"/>
      <c r="Y189" s="91"/>
      <c r="Z189" s="91"/>
    </row>
    <row r="190" spans="1:26" ht="18" customHeight="1" thickBot="1" x14ac:dyDescent="0.4">
      <c r="B190" s="94"/>
      <c r="C190" s="147">
        <f>C146+1</f>
        <v>5</v>
      </c>
      <c r="D190" s="944" t="str">
        <f>CONST_PurchPrecursor &amp; " " &amp; C190 &amp; ":"</f>
        <v>Purchased precursor 5:</v>
      </c>
      <c r="E190" s="144"/>
      <c r="F190" s="144"/>
      <c r="G190" s="1313" t="str">
        <f>IF(INDEX(CNTR_List_ExistPurchPrecNames,MATCH(R190,CNTR_ListPurchPrecID,0))=CONST_NA,"",INDEX(CNTR_List_ExistPurchPrecNames,MATCH(R190,CNTR_ListPurchPrecID,0)))</f>
        <v/>
      </c>
      <c r="H190" s="1314"/>
      <c r="I190" s="1314"/>
      <c r="J190" s="1314"/>
      <c r="K190" s="1315"/>
      <c r="L190" s="1316" t="str">
        <f>IF(INDEX(CNTR_List_ExistPurchPrec,MATCH(R190,CNTR_ListPurchPrecID,0))=CONST_NA,"",INDEX(CNTR_List_ExistPurchPrec,MATCH(R190,CNTR_ListPurchPrecID,0)))</f>
        <v/>
      </c>
      <c r="M190" s="1317"/>
      <c r="N190" s="1318"/>
      <c r="O190" s="428"/>
      <c r="R190" s="149" t="str">
        <f>INDEX(CNTR_ListPurchPrecID,C190)</f>
        <v>PP5</v>
      </c>
      <c r="Y190" s="104" t="s">
        <v>2748</v>
      </c>
      <c r="Z190" s="150" t="b">
        <f>AND(CNTR_HasEntriesA,G190="")</f>
        <v>0</v>
      </c>
    </row>
    <row r="191" spans="1:26" ht="26.5" customHeight="1" x14ac:dyDescent="0.35">
      <c r="B191" s="94"/>
      <c r="C191" s="144"/>
      <c r="D191" s="914"/>
      <c r="E191" s="1325" t="str">
        <f ca="1">HYPERLINK("#"&amp;ADDRESS(MATCH($S191,G_FurtherGuidance!$S:$S,0),3,,,G_FurtherGuidance!$U$2),CONST_LinkToGuidanceSheet)</f>
        <v>Please click on this link for further guidance on how to complete this section.</v>
      </c>
      <c r="F191" s="1326"/>
      <c r="G191" s="1326"/>
      <c r="H191" s="1326"/>
      <c r="I191" s="1326"/>
      <c r="J191" s="1326"/>
      <c r="K191" s="1326"/>
      <c r="L191" s="1326"/>
      <c r="M191" s="1326"/>
      <c r="N191" s="144"/>
      <c r="O191" s="428"/>
      <c r="R191" s="104" t="s">
        <v>2771</v>
      </c>
      <c r="S191" s="105">
        <v>4</v>
      </c>
      <c r="Y191" s="104"/>
    </row>
    <row r="192" spans="1:26" ht="12.75" customHeight="1" x14ac:dyDescent="0.35">
      <c r="B192" s="94"/>
      <c r="C192" s="144"/>
      <c r="D192" s="168" t="s">
        <v>135</v>
      </c>
      <c r="E192" s="167" t="str">
        <f>Translations!$B$276</f>
        <v>Total purchased levels:</v>
      </c>
      <c r="F192" s="144"/>
      <c r="G192" s="144"/>
      <c r="H192" s="151" t="str">
        <f>Translations!$B$244</f>
        <v>Production route</v>
      </c>
      <c r="I192" s="144"/>
      <c r="J192" s="144"/>
      <c r="K192" s="152" t="str">
        <f>Translations!$B$221</f>
        <v>Unit</v>
      </c>
      <c r="L192" s="152" t="str">
        <f>Translations!$B$245</f>
        <v>Amounts</v>
      </c>
      <c r="M192" s="144"/>
      <c r="N192" s="144"/>
      <c r="O192" s="428"/>
      <c r="Y192" s="91" t="s">
        <v>4077</v>
      </c>
    </row>
    <row r="193" spans="1:26" ht="12.75" customHeight="1" x14ac:dyDescent="0.35">
      <c r="B193" s="94"/>
      <c r="C193" s="144"/>
      <c r="D193" s="173">
        <v>1</v>
      </c>
      <c r="E193" s="153" t="str">
        <f>IF(G190="","",G190) &amp; IF(L190="",""," | " &amp; L190)</f>
        <v/>
      </c>
      <c r="F193" s="153"/>
      <c r="G193" s="153"/>
      <c r="H193" s="154" t="str">
        <f>IF(L190="","",INDEX(CONST_MATRIX_ProductionRoute,MATCH(L190,CONST_LIST_Goods,0),D193))</f>
        <v/>
      </c>
      <c r="I193" s="153"/>
      <c r="J193" s="153"/>
      <c r="K193" s="155" t="str">
        <f>IF(L190="","",INDEX(CONST_LIST_GoodsUnit,MATCH(L190,CONST_LIST_Goods,0)))</f>
        <v/>
      </c>
      <c r="L193" s="29"/>
      <c r="M193" s="144"/>
      <c r="N193" s="144"/>
      <c r="O193" s="945"/>
      <c r="S193" s="105">
        <v>1</v>
      </c>
      <c r="V193" s="105" t="str">
        <f>IF(AND(Y193=FALSE,ISNUMBER(L193)),TRUE,IF(Y193=FALSE,CONST_ErrorOrMissing&amp;C190,CONST_NA))</f>
        <v>n.a.</v>
      </c>
      <c r="Y193" s="105" t="str">
        <f>IF(OR(H193="",H193=CONST_NA),"",IF(H193=CONST_AllProdRoutes,FALSE, COUNTIF(INDEX(CNTR_MatrixPurchPrecRoutes,C190,),S193)=0))</f>
        <v/>
      </c>
    </row>
    <row r="194" spans="1:26" ht="12.75" customHeight="1" x14ac:dyDescent="0.35">
      <c r="B194" s="94"/>
      <c r="C194" s="144"/>
      <c r="D194" s="173">
        <v>2</v>
      </c>
      <c r="E194" s="158" t="str">
        <f t="shared" ref="E194:E200" si="20">IF(H194=CONST_NA,"",E193)</f>
        <v/>
      </c>
      <c r="F194" s="158"/>
      <c r="G194" s="158"/>
      <c r="H194" s="159" t="str">
        <f>IF(L190="","",INDEX(CONST_MATRIX_ProductionRoute,MATCH(L190,CONST_LIST_Goods,0),D194))</f>
        <v/>
      </c>
      <c r="I194" s="158"/>
      <c r="J194" s="158"/>
      <c r="K194" s="160" t="str">
        <f t="shared" ref="K194:K200" si="21">IF(H194=CONST_NA,"",K193)</f>
        <v/>
      </c>
      <c r="L194" s="30"/>
      <c r="M194" s="144"/>
      <c r="N194" s="144"/>
      <c r="O194" s="945"/>
      <c r="S194" s="105">
        <v>2</v>
      </c>
      <c r="V194" s="105" t="str">
        <f>IF(AND(Y194=FALSE,ISNUMBER(L194)),TRUE,IF(Y194=FALSE,CONST_ErrorOrMissing&amp;C190,CONST_NA))</f>
        <v>n.a.</v>
      </c>
      <c r="Y194" s="105" t="str">
        <f>IF(OR(H194="",H194=CONST_NA),"",IF(H194=CONST_AllProdRoutes,FALSE, COUNTIF(INDEX(CNTR_MatrixPurchPrecRoutes,C190,),S194)=0))</f>
        <v/>
      </c>
    </row>
    <row r="195" spans="1:26" ht="12.75" customHeight="1" x14ac:dyDescent="0.35">
      <c r="B195" s="94"/>
      <c r="C195" s="144"/>
      <c r="D195" s="173">
        <v>3</v>
      </c>
      <c r="E195" s="158" t="str">
        <f t="shared" si="20"/>
        <v/>
      </c>
      <c r="F195" s="158"/>
      <c r="G195" s="158"/>
      <c r="H195" s="159" t="str">
        <f>IF(L190="","",INDEX(CONST_MATRIX_ProductionRoute,MATCH(L190,CONST_LIST_Goods,0),D195))</f>
        <v/>
      </c>
      <c r="I195" s="158"/>
      <c r="J195" s="158"/>
      <c r="K195" s="160" t="str">
        <f t="shared" si="21"/>
        <v/>
      </c>
      <c r="L195" s="30"/>
      <c r="M195" s="144"/>
      <c r="N195" s="144"/>
      <c r="O195" s="945"/>
      <c r="S195" s="105">
        <v>3</v>
      </c>
      <c r="V195" s="105" t="str">
        <f>IF(AND(Y195=FALSE,ISNUMBER(L195)),TRUE,IF(Y195=FALSE,CONST_ErrorOrMissing&amp;C190,CONST_NA))</f>
        <v>n.a.</v>
      </c>
      <c r="Y195" s="105" t="str">
        <f>IF(OR(H195="",H195=CONST_NA),"",IF(H195=CONST_AllProdRoutes,FALSE, COUNTIF(INDEX(CNTR_MatrixPurchPrecRoutes,C190,),S195)=0))</f>
        <v/>
      </c>
    </row>
    <row r="196" spans="1:26" ht="12.75" customHeight="1" x14ac:dyDescent="0.35">
      <c r="B196" s="94"/>
      <c r="C196" s="144"/>
      <c r="D196" s="173">
        <v>4</v>
      </c>
      <c r="E196" s="158" t="str">
        <f t="shared" si="20"/>
        <v/>
      </c>
      <c r="F196" s="158"/>
      <c r="G196" s="158"/>
      <c r="H196" s="159" t="str">
        <f>IF(L190="","",INDEX(CONST_MATRIX_ProductionRoute,MATCH(L190,CONST_LIST_Goods,0),D196))</f>
        <v/>
      </c>
      <c r="I196" s="158"/>
      <c r="J196" s="158"/>
      <c r="K196" s="160" t="str">
        <f t="shared" si="21"/>
        <v/>
      </c>
      <c r="L196" s="30"/>
      <c r="M196" s="144"/>
      <c r="N196" s="144"/>
      <c r="O196" s="945"/>
      <c r="S196" s="105">
        <v>4</v>
      </c>
      <c r="V196" s="105" t="str">
        <f>IF(AND(Y196=FALSE,ISNUMBER(L196)),TRUE,IF(Y196=FALSE,CONST_ErrorOrMissing&amp;C190,CONST_NA))</f>
        <v>n.a.</v>
      </c>
      <c r="Y196" s="105" t="str">
        <f>IF(OR(H196="",H196=CONST_NA),"",IF(H196=CONST_AllProdRoutes,FALSE, COUNTIF(INDEX(CNTR_MatrixPurchPrecRoutes,C190,),S196)=0))</f>
        <v/>
      </c>
    </row>
    <row r="197" spans="1:26" ht="12.75" customHeight="1" x14ac:dyDescent="0.35">
      <c r="B197" s="94"/>
      <c r="C197" s="144"/>
      <c r="D197" s="173">
        <v>5</v>
      </c>
      <c r="E197" s="158" t="str">
        <f t="shared" si="20"/>
        <v/>
      </c>
      <c r="F197" s="158"/>
      <c r="G197" s="158"/>
      <c r="H197" s="159" t="str">
        <f>IF(L190="","",INDEX(CONST_MATRIX_ProductionRoute,MATCH(L190,CONST_LIST_Goods,0),D197))</f>
        <v/>
      </c>
      <c r="I197" s="158"/>
      <c r="J197" s="158"/>
      <c r="K197" s="160" t="str">
        <f t="shared" si="21"/>
        <v/>
      </c>
      <c r="L197" s="30"/>
      <c r="M197" s="144"/>
      <c r="N197" s="144"/>
      <c r="O197" s="945"/>
      <c r="S197" s="105">
        <v>5</v>
      </c>
      <c r="V197" s="105" t="str">
        <f>IF(AND(Y197=FALSE,ISNUMBER(L197)),TRUE,IF(Y197=FALSE,CONST_ErrorOrMissing&amp;C190,CONST_NA))</f>
        <v>n.a.</v>
      </c>
      <c r="Y197" s="105" t="str">
        <f>IF(OR(H197="",H197=CONST_NA),"",IF(H197=CONST_AllProdRoutes,FALSE, COUNTIF(INDEX(CNTR_MatrixPurchPrecRoutes,C190,),S197)=0))</f>
        <v/>
      </c>
    </row>
    <row r="198" spans="1:26" ht="12.75" customHeight="1" x14ac:dyDescent="0.35">
      <c r="B198" s="94"/>
      <c r="C198" s="144"/>
      <c r="D198" s="173">
        <v>6</v>
      </c>
      <c r="E198" s="158" t="str">
        <f t="shared" si="20"/>
        <v/>
      </c>
      <c r="F198" s="158"/>
      <c r="G198" s="158"/>
      <c r="H198" s="159" t="str">
        <f>IF(L190="","",INDEX(CONST_MATRIX_ProductionRoute,MATCH(L190,CONST_LIST_Goods,0),D198))</f>
        <v/>
      </c>
      <c r="I198" s="158"/>
      <c r="J198" s="158"/>
      <c r="K198" s="160" t="str">
        <f t="shared" si="21"/>
        <v/>
      </c>
      <c r="L198" s="30"/>
      <c r="M198" s="144"/>
      <c r="N198" s="144"/>
      <c r="O198" s="945"/>
      <c r="S198" s="105">
        <v>6</v>
      </c>
      <c r="V198" s="105" t="str">
        <f>IF(AND(Y198=FALSE,ISNUMBER(L198)),TRUE,IF(Y198=FALSE,CONST_ErrorOrMissing&amp;C190,CONST_NA))</f>
        <v>n.a.</v>
      </c>
      <c r="Y198" s="105" t="str">
        <f>IF(OR(H198="",H198=CONST_NA),"",IF(H198=CONST_AllProdRoutes,FALSE, COUNTIF(INDEX(CNTR_MatrixPurchPrecRoutes,C190,),S198)=0))</f>
        <v/>
      </c>
    </row>
    <row r="199" spans="1:26" ht="12.75" customHeight="1" x14ac:dyDescent="0.35">
      <c r="B199" s="94"/>
      <c r="C199" s="144"/>
      <c r="D199" s="173">
        <v>7</v>
      </c>
      <c r="E199" s="158" t="str">
        <f t="shared" si="20"/>
        <v/>
      </c>
      <c r="F199" s="158"/>
      <c r="G199" s="158"/>
      <c r="H199" s="159" t="str">
        <f>IF(L190="","",INDEX(CONST_MATRIX_ProductionRoute,MATCH(L190,CONST_LIST_Goods,0),D199))</f>
        <v/>
      </c>
      <c r="I199" s="158"/>
      <c r="J199" s="158"/>
      <c r="K199" s="160" t="str">
        <f t="shared" si="21"/>
        <v/>
      </c>
      <c r="L199" s="30"/>
      <c r="M199" s="144"/>
      <c r="N199" s="144"/>
      <c r="O199" s="945"/>
      <c r="S199" s="105">
        <v>7</v>
      </c>
      <c r="V199" s="105" t="str">
        <f>IF(AND(Y199=FALSE,ISNUMBER(L199)),TRUE,IF(Y199=FALSE,CONST_ErrorOrMissing&amp;C190,CONST_NA))</f>
        <v>n.a.</v>
      </c>
      <c r="Y199" s="105" t="str">
        <f>IF(OR(H199="",H199=CONST_NA),"",IF(H199=CONST_AllProdRoutes,FALSE, COUNTIF(INDEX(CNTR_MatrixPurchPrecRoutes,C190,),S199)=0))</f>
        <v/>
      </c>
    </row>
    <row r="200" spans="1:26" ht="12.75" customHeight="1" x14ac:dyDescent="0.35">
      <c r="B200" s="94"/>
      <c r="C200" s="144"/>
      <c r="D200" s="173">
        <v>8</v>
      </c>
      <c r="E200" s="161" t="str">
        <f t="shared" si="20"/>
        <v/>
      </c>
      <c r="F200" s="161"/>
      <c r="G200" s="161"/>
      <c r="H200" s="162" t="str">
        <f>IF(L190="","",INDEX(CONST_MATRIX_ProductionRoute,MATCH(L190,CONST_LIST_Goods,0),D200))</f>
        <v/>
      </c>
      <c r="I200" s="161"/>
      <c r="J200" s="161"/>
      <c r="K200" s="163" t="str">
        <f t="shared" si="21"/>
        <v/>
      </c>
      <c r="L200" s="31"/>
      <c r="M200" s="144"/>
      <c r="N200" s="144"/>
      <c r="O200" s="945"/>
      <c r="S200" s="105">
        <v>8</v>
      </c>
      <c r="V200" s="105" t="str">
        <f>IF(AND(Y200=FALSE,ISNUMBER(L200)),TRUE,IF(Y200=FALSE,CONST_ErrorOrMissing&amp;C190,CONST_NA))</f>
        <v>n.a.</v>
      </c>
      <c r="Y200" s="105" t="str">
        <f>IF(OR(H200="",H200=CONST_NA),"",IF(H200=CONST_AllProdRoutes,FALSE, COUNTIF(INDEX(CNTR_MatrixPurchPrecRoutes,C190,),S200)=0))</f>
        <v/>
      </c>
    </row>
    <row r="201" spans="1:26" ht="12.75" customHeight="1" x14ac:dyDescent="0.35">
      <c r="B201" s="94"/>
      <c r="C201" s="144"/>
      <c r="D201" s="914"/>
      <c r="E201" s="138" t="str">
        <f>Translations!$B$1966</f>
        <v>Total purchase for possible consumption within installation:</v>
      </c>
      <c r="F201" s="138"/>
      <c r="G201" s="138"/>
      <c r="H201" s="164"/>
      <c r="I201" s="138"/>
      <c r="J201" s="138"/>
      <c r="K201" s="169" t="str">
        <f>K193</f>
        <v/>
      </c>
      <c r="L201" s="386" t="str">
        <f>IF(G190="","",SUM(L193:L200))</f>
        <v/>
      </c>
      <c r="M201" s="144"/>
      <c r="N201" s="144"/>
      <c r="O201" s="428"/>
      <c r="R201" s="102" t="str">
        <f>CONST_CNTR_TotProd&amp;G190</f>
        <v>TotProd_</v>
      </c>
      <c r="T201" s="216" t="str">
        <f>IF(G190="","",IF(SUM(L201)=0,100,L201))</f>
        <v/>
      </c>
      <c r="V201" s="123"/>
    </row>
    <row r="202" spans="1:26" s="144" customFormat="1" ht="5.15" customHeight="1" x14ac:dyDescent="0.35">
      <c r="A202" s="91"/>
      <c r="B202" s="94"/>
      <c r="D202" s="166"/>
      <c r="E202" s="167"/>
      <c r="O202" s="428"/>
      <c r="P202" s="94"/>
      <c r="Q202" s="93"/>
      <c r="R202" s="91"/>
      <c r="S202" s="91"/>
      <c r="T202" s="712"/>
      <c r="U202" s="91"/>
      <c r="V202" s="123"/>
      <c r="W202" s="91"/>
      <c r="X202" s="91"/>
      <c r="Y202" s="91"/>
      <c r="Z202" s="91"/>
    </row>
    <row r="203" spans="1:26" s="144" customFormat="1" ht="12.75" customHeight="1" x14ac:dyDescent="0.35">
      <c r="A203" s="91"/>
      <c r="B203" s="94"/>
      <c r="D203" s="168" t="s">
        <v>48</v>
      </c>
      <c r="E203" s="167" t="str">
        <f>Translations!$B$1967</f>
        <v>Consumed in 'production processes' within the installation:</v>
      </c>
      <c r="F203" s="167"/>
      <c r="G203" s="167"/>
      <c r="H203" s="167"/>
      <c r="I203" s="167"/>
      <c r="J203" s="167"/>
      <c r="K203" s="168" t="str">
        <f>Translations!$B$221</f>
        <v>Unit</v>
      </c>
      <c r="L203" s="168" t="str">
        <f>Translations!$B$245</f>
        <v>Amounts</v>
      </c>
      <c r="O203" s="428"/>
      <c r="P203" s="94"/>
      <c r="Q203" s="93"/>
      <c r="R203" s="91"/>
      <c r="S203" s="123" t="s">
        <v>195</v>
      </c>
      <c r="T203" s="712"/>
      <c r="U203" s="91"/>
      <c r="V203" s="123"/>
      <c r="W203" s="91"/>
      <c r="X203" s="91"/>
      <c r="Y203" s="91"/>
      <c r="Z203" s="91"/>
    </row>
    <row r="204" spans="1:26" s="144" customFormat="1" ht="12.75" customHeight="1" x14ac:dyDescent="0.35">
      <c r="A204" s="91"/>
      <c r="B204" s="94"/>
      <c r="D204" s="173">
        <v>1</v>
      </c>
      <c r="E204" s="174" t="str">
        <f t="shared" ref="E204:E213" si="22">IF(INDEX(CNTR_List_ExistProdProcNames,S204)=CONST_NA,"",INDEX(CNTR_List_ExistProdProcNames,S204))</f>
        <v/>
      </c>
      <c r="F204" s="175"/>
      <c r="G204" s="175"/>
      <c r="H204" s="175"/>
      <c r="I204" s="175"/>
      <c r="J204" s="176"/>
      <c r="K204" s="155" t="str">
        <f>IF(E204="","",K201)</f>
        <v/>
      </c>
      <c r="L204" s="29"/>
      <c r="O204" s="945"/>
      <c r="P204" s="94"/>
      <c r="Q204" s="93"/>
      <c r="R204" s="102" t="str">
        <f>CONST_PrecursorToGoodInput&amp;G190 &amp;"_"&amp;E204</f>
        <v>PrecToGood__</v>
      </c>
      <c r="S204" s="105">
        <f>D204</f>
        <v>1</v>
      </c>
      <c r="T204" s="124" t="str">
        <f>IF(G190="","",L204)</f>
        <v/>
      </c>
      <c r="U204" s="91"/>
      <c r="V204" s="105" t="str">
        <f>IF(AND(G190&lt;&gt;"",E204&lt;&gt;"",L204&lt;&gt;""),TRUE,IF(AND(G190&lt;&gt;"",E204&lt;&gt;"",L204="",Z204=FALSE),CONST_ErrorOrMissing&amp;C190,CONST_NA))</f>
        <v>n.a.</v>
      </c>
      <c r="W204" s="172"/>
      <c r="X204" s="172"/>
      <c r="Y204" s="91" t="s">
        <v>34</v>
      </c>
      <c r="Z204" s="102" t="b">
        <f>IF(G190="",FALSE,E204="")</f>
        <v>0</v>
      </c>
    </row>
    <row r="205" spans="1:26" s="144" customFormat="1" ht="12.75" customHeight="1" x14ac:dyDescent="0.35">
      <c r="A205" s="91"/>
      <c r="B205" s="94"/>
      <c r="D205" s="173">
        <v>2</v>
      </c>
      <c r="E205" s="177" t="str">
        <f t="shared" si="22"/>
        <v/>
      </c>
      <c r="F205" s="178"/>
      <c r="G205" s="178"/>
      <c r="H205" s="178"/>
      <c r="I205" s="178"/>
      <c r="J205" s="179"/>
      <c r="K205" s="160" t="str">
        <f>IF(E205="","",K204)</f>
        <v/>
      </c>
      <c r="L205" s="30"/>
      <c r="O205" s="945"/>
      <c r="P205" s="94"/>
      <c r="Q205" s="93"/>
      <c r="R205" s="102" t="str">
        <f>CONST_PrecursorToGoodInput&amp;G190 &amp;"_"&amp;E205</f>
        <v>PrecToGood__</v>
      </c>
      <c r="S205" s="105">
        <f t="shared" ref="S205:S213" si="23">D205</f>
        <v>2</v>
      </c>
      <c r="T205" s="124" t="str">
        <f>IF(G190="","",L205)</f>
        <v/>
      </c>
      <c r="U205" s="91"/>
      <c r="V205" s="105" t="str">
        <f>IF(AND(G190&lt;&gt;"",E205&lt;&gt;"",L205&lt;&gt;""),TRUE,IF(AND(G190&lt;&gt;"",E205&lt;&gt;"",L205="",Z205=FALSE),CONST_ErrorOrMissing&amp;C190,CONST_NA))</f>
        <v>n.a.</v>
      </c>
      <c r="W205" s="172"/>
      <c r="X205" s="172"/>
      <c r="Y205" s="91"/>
      <c r="Z205" s="102" t="b">
        <f>IF(G190="",FALSE,E205="")</f>
        <v>0</v>
      </c>
    </row>
    <row r="206" spans="1:26" s="144" customFormat="1" ht="12.75" customHeight="1" x14ac:dyDescent="0.35">
      <c r="A206" s="91"/>
      <c r="B206" s="94"/>
      <c r="D206" s="173">
        <v>3</v>
      </c>
      <c r="E206" s="177" t="str">
        <f t="shared" si="22"/>
        <v/>
      </c>
      <c r="F206" s="178"/>
      <c r="G206" s="178"/>
      <c r="H206" s="178"/>
      <c r="I206" s="178"/>
      <c r="J206" s="179"/>
      <c r="K206" s="160" t="str">
        <f t="shared" ref="K206:K213" si="24">IF(E206="","",K205)</f>
        <v/>
      </c>
      <c r="L206" s="30"/>
      <c r="O206" s="945"/>
      <c r="P206" s="94"/>
      <c r="Q206" s="93"/>
      <c r="R206" s="102" t="str">
        <f>CONST_PrecursorToGoodInput&amp;G190 &amp;"_"&amp;E206</f>
        <v>PrecToGood__</v>
      </c>
      <c r="S206" s="105">
        <f t="shared" si="23"/>
        <v>3</v>
      </c>
      <c r="T206" s="124" t="str">
        <f>IF(G190="","",L206)</f>
        <v/>
      </c>
      <c r="U206" s="91"/>
      <c r="V206" s="105" t="str">
        <f>IF(AND(G190&lt;&gt;"",E206&lt;&gt;"",L206&lt;&gt;""),TRUE,IF(AND(G190&lt;&gt;"",E206&lt;&gt;"",L206="",Z206=FALSE),CONST_ErrorOrMissing&amp;C190,CONST_NA))</f>
        <v>n.a.</v>
      </c>
      <c r="W206" s="172"/>
      <c r="X206" s="172"/>
      <c r="Y206" s="91"/>
      <c r="Z206" s="102" t="b">
        <f>IF(G190="",FALSE,E206="")</f>
        <v>0</v>
      </c>
    </row>
    <row r="207" spans="1:26" s="144" customFormat="1" ht="12.75" customHeight="1" x14ac:dyDescent="0.35">
      <c r="A207" s="91"/>
      <c r="B207" s="94"/>
      <c r="D207" s="173">
        <v>4</v>
      </c>
      <c r="E207" s="177" t="str">
        <f t="shared" si="22"/>
        <v/>
      </c>
      <c r="F207" s="178"/>
      <c r="G207" s="178"/>
      <c r="H207" s="178"/>
      <c r="I207" s="178"/>
      <c r="J207" s="179"/>
      <c r="K207" s="160" t="str">
        <f t="shared" si="24"/>
        <v/>
      </c>
      <c r="L207" s="30"/>
      <c r="O207" s="945"/>
      <c r="P207" s="94"/>
      <c r="Q207" s="93"/>
      <c r="R207" s="102" t="str">
        <f>CONST_PrecursorToGoodInput&amp;G190 &amp;"_"&amp;E207</f>
        <v>PrecToGood__</v>
      </c>
      <c r="S207" s="105">
        <f t="shared" si="23"/>
        <v>4</v>
      </c>
      <c r="T207" s="124" t="str">
        <f>IF(G190="","",L207)</f>
        <v/>
      </c>
      <c r="U207" s="91"/>
      <c r="V207" s="105" t="str">
        <f>IF(AND(G190&lt;&gt;"",E207&lt;&gt;"",L207&lt;&gt;""),TRUE,IF(AND(G190&lt;&gt;"",E207&lt;&gt;"",L207="",Z207=FALSE),CONST_ErrorOrMissing&amp;C190,CONST_NA))</f>
        <v>n.a.</v>
      </c>
      <c r="W207" s="172"/>
      <c r="X207" s="172"/>
      <c r="Y207" s="91"/>
      <c r="Z207" s="102" t="b">
        <f>IF(G190="",FALSE,E207="")</f>
        <v>0</v>
      </c>
    </row>
    <row r="208" spans="1:26" s="144" customFormat="1" ht="12.75" customHeight="1" x14ac:dyDescent="0.35">
      <c r="A208" s="91"/>
      <c r="B208" s="94"/>
      <c r="D208" s="173">
        <v>5</v>
      </c>
      <c r="E208" s="180" t="str">
        <f t="shared" si="22"/>
        <v/>
      </c>
      <c r="F208" s="181"/>
      <c r="G208" s="181"/>
      <c r="H208" s="181"/>
      <c r="I208" s="181"/>
      <c r="J208" s="182"/>
      <c r="K208" s="183" t="str">
        <f t="shared" si="24"/>
        <v/>
      </c>
      <c r="L208" s="212"/>
      <c r="O208" s="945"/>
      <c r="P208" s="94"/>
      <c r="Q208" s="93"/>
      <c r="R208" s="102" t="str">
        <f>CONST_PrecursorToGoodInput&amp;G190 &amp;"_"&amp;E208</f>
        <v>PrecToGood__</v>
      </c>
      <c r="S208" s="105">
        <f t="shared" si="23"/>
        <v>5</v>
      </c>
      <c r="T208" s="124" t="str">
        <f>IF(G190="","",L208)</f>
        <v/>
      </c>
      <c r="U208" s="91"/>
      <c r="V208" s="105" t="str">
        <f>IF(AND(G190&lt;&gt;"",E208&lt;&gt;"",L208&lt;&gt;""),TRUE,IF(AND(G190&lt;&gt;"",E208&lt;&gt;"",L208="",Z208=FALSE),CONST_ErrorOrMissing&amp;C190,CONST_NA))</f>
        <v>n.a.</v>
      </c>
      <c r="W208" s="172"/>
      <c r="X208" s="172"/>
      <c r="Y208" s="91"/>
      <c r="Z208" s="102" t="b">
        <f>IF(G190="",FALSE,E208="")</f>
        <v>0</v>
      </c>
    </row>
    <row r="209" spans="1:26" s="144" customFormat="1" ht="12.75" customHeight="1" x14ac:dyDescent="0.35">
      <c r="A209" s="91"/>
      <c r="B209" s="94"/>
      <c r="D209" s="173">
        <v>6</v>
      </c>
      <c r="E209" s="180" t="str">
        <f t="shared" si="22"/>
        <v/>
      </c>
      <c r="F209" s="181"/>
      <c r="G209" s="181"/>
      <c r="H209" s="181"/>
      <c r="I209" s="181"/>
      <c r="J209" s="182"/>
      <c r="K209" s="183" t="str">
        <f t="shared" si="24"/>
        <v/>
      </c>
      <c r="L209" s="212"/>
      <c r="O209" s="945"/>
      <c r="P209" s="94"/>
      <c r="Q209" s="93"/>
      <c r="R209" s="102" t="str">
        <f>CONST_PrecursorToGoodInput&amp;G190 &amp;"_"&amp;E209</f>
        <v>PrecToGood__</v>
      </c>
      <c r="S209" s="105">
        <f t="shared" si="23"/>
        <v>6</v>
      </c>
      <c r="T209" s="124" t="str">
        <f>IF(G190="","",L209)</f>
        <v/>
      </c>
      <c r="U209" s="91"/>
      <c r="V209" s="105" t="str">
        <f>IF(AND(G190&lt;&gt;"",E209&lt;&gt;"",L209&lt;&gt;""),TRUE,IF(AND(G190&lt;&gt;"",E209&lt;&gt;"",L209="",Z209=FALSE),CONST_ErrorOrMissing&amp;C190,CONST_NA))</f>
        <v>n.a.</v>
      </c>
      <c r="W209" s="172"/>
      <c r="X209" s="172"/>
      <c r="Y209" s="91"/>
      <c r="Z209" s="102" t="b">
        <f>IF(G190="",FALSE,E209="")</f>
        <v>0</v>
      </c>
    </row>
    <row r="210" spans="1:26" s="144" customFormat="1" ht="12.75" customHeight="1" x14ac:dyDescent="0.35">
      <c r="A210" s="91"/>
      <c r="B210" s="94"/>
      <c r="D210" s="173">
        <v>7</v>
      </c>
      <c r="E210" s="180" t="str">
        <f t="shared" si="22"/>
        <v/>
      </c>
      <c r="F210" s="181"/>
      <c r="G210" s="181"/>
      <c r="H210" s="181"/>
      <c r="I210" s="181"/>
      <c r="J210" s="182"/>
      <c r="K210" s="183" t="str">
        <f t="shared" si="24"/>
        <v/>
      </c>
      <c r="L210" s="212"/>
      <c r="O210" s="945"/>
      <c r="P210" s="94"/>
      <c r="Q210" s="93"/>
      <c r="R210" s="102" t="str">
        <f>CONST_PrecursorToGoodInput&amp;G190 &amp;"_"&amp;E210</f>
        <v>PrecToGood__</v>
      </c>
      <c r="S210" s="105">
        <f t="shared" si="23"/>
        <v>7</v>
      </c>
      <c r="T210" s="124" t="str">
        <f>IF(G190="","",L210)</f>
        <v/>
      </c>
      <c r="U210" s="91"/>
      <c r="V210" s="105" t="str">
        <f>IF(AND(G190&lt;&gt;"",E210&lt;&gt;"",L210&lt;&gt;""),TRUE,IF(AND(G190&lt;&gt;"",E210&lt;&gt;"",L210="",Z210=FALSE),CONST_ErrorOrMissing&amp;C190,CONST_NA))</f>
        <v>n.a.</v>
      </c>
      <c r="W210" s="172"/>
      <c r="X210" s="172"/>
      <c r="Y210" s="91"/>
      <c r="Z210" s="102" t="b">
        <f>IF(G190="",FALSE,E210="")</f>
        <v>0</v>
      </c>
    </row>
    <row r="211" spans="1:26" s="144" customFormat="1" ht="12.75" customHeight="1" x14ac:dyDescent="0.35">
      <c r="A211" s="91"/>
      <c r="B211" s="94"/>
      <c r="D211" s="173">
        <v>8</v>
      </c>
      <c r="E211" s="180" t="str">
        <f t="shared" si="22"/>
        <v/>
      </c>
      <c r="F211" s="181"/>
      <c r="G211" s="181"/>
      <c r="H211" s="181"/>
      <c r="I211" s="181"/>
      <c r="J211" s="182"/>
      <c r="K211" s="183" t="str">
        <f t="shared" si="24"/>
        <v/>
      </c>
      <c r="L211" s="212"/>
      <c r="O211" s="945"/>
      <c r="P211" s="94"/>
      <c r="Q211" s="93"/>
      <c r="R211" s="102" t="str">
        <f>CONST_PrecursorToGoodInput&amp;G190 &amp;"_"&amp;E211</f>
        <v>PrecToGood__</v>
      </c>
      <c r="S211" s="105">
        <f t="shared" si="23"/>
        <v>8</v>
      </c>
      <c r="T211" s="124" t="str">
        <f>IF(G190="","",L211)</f>
        <v/>
      </c>
      <c r="U211" s="91"/>
      <c r="V211" s="105" t="str">
        <f>IF(AND(G190&lt;&gt;"",E211&lt;&gt;"",L211&lt;&gt;""),TRUE,IF(AND(G190&lt;&gt;"",E211&lt;&gt;"",L211="",Z211=FALSE),CONST_ErrorOrMissing&amp;C190,CONST_NA))</f>
        <v>n.a.</v>
      </c>
      <c r="W211" s="172"/>
      <c r="X211" s="172"/>
      <c r="Y211" s="91"/>
      <c r="Z211" s="102" t="b">
        <f>IF(G190="",FALSE,E211="")</f>
        <v>0</v>
      </c>
    </row>
    <row r="212" spans="1:26" s="144" customFormat="1" ht="12.75" customHeight="1" x14ac:dyDescent="0.35">
      <c r="A212" s="91"/>
      <c r="B212" s="94"/>
      <c r="D212" s="173">
        <v>9</v>
      </c>
      <c r="E212" s="180" t="str">
        <f t="shared" si="22"/>
        <v/>
      </c>
      <c r="F212" s="181"/>
      <c r="G212" s="181"/>
      <c r="H212" s="181"/>
      <c r="I212" s="181"/>
      <c r="J212" s="182"/>
      <c r="K212" s="183" t="str">
        <f t="shared" si="24"/>
        <v/>
      </c>
      <c r="L212" s="212"/>
      <c r="O212" s="945"/>
      <c r="P212" s="94"/>
      <c r="Q212" s="93"/>
      <c r="R212" s="102" t="str">
        <f>CONST_PrecursorToGoodInput&amp;G190 &amp;"_"&amp;E212</f>
        <v>PrecToGood__</v>
      </c>
      <c r="S212" s="105">
        <f t="shared" si="23"/>
        <v>9</v>
      </c>
      <c r="T212" s="124" t="str">
        <f>IF(G190="","",L212)</f>
        <v/>
      </c>
      <c r="U212" s="91"/>
      <c r="V212" s="105" t="str">
        <f>IF(AND(G190&lt;&gt;"",E212&lt;&gt;"",L212&lt;&gt;""),TRUE,IF(AND(G190&lt;&gt;"",E212&lt;&gt;"",L212="",Z212=FALSE),CONST_ErrorOrMissing&amp;C190,CONST_NA))</f>
        <v>n.a.</v>
      </c>
      <c r="W212" s="172"/>
      <c r="X212" s="172"/>
      <c r="Y212" s="91"/>
      <c r="Z212" s="102" t="b">
        <f>IF(G190="",FALSE,E212="")</f>
        <v>0</v>
      </c>
    </row>
    <row r="213" spans="1:26" s="144" customFormat="1" ht="12.75" customHeight="1" x14ac:dyDescent="0.35">
      <c r="A213" s="91"/>
      <c r="B213" s="94"/>
      <c r="D213" s="173">
        <v>10</v>
      </c>
      <c r="E213" s="184" t="str">
        <f t="shared" si="22"/>
        <v/>
      </c>
      <c r="F213" s="185"/>
      <c r="G213" s="185"/>
      <c r="H213" s="185"/>
      <c r="I213" s="185"/>
      <c r="J213" s="186"/>
      <c r="K213" s="163" t="str">
        <f t="shared" si="24"/>
        <v/>
      </c>
      <c r="L213" s="31"/>
      <c r="O213" s="945"/>
      <c r="P213" s="94"/>
      <c r="Q213" s="93"/>
      <c r="R213" s="102" t="str">
        <f>CONST_PrecursorToGoodInput&amp;G190 &amp;"_"&amp;E213</f>
        <v>PrecToGood__</v>
      </c>
      <c r="S213" s="105">
        <f t="shared" si="23"/>
        <v>10</v>
      </c>
      <c r="T213" s="124" t="str">
        <f>IF(G190="","",L213)</f>
        <v/>
      </c>
      <c r="U213" s="91"/>
      <c r="V213" s="105" t="str">
        <f>IF(AND(G190&lt;&gt;"",E213&lt;&gt;"",L213&lt;&gt;""),TRUE,IF(AND(G190&lt;&gt;"",E213&lt;&gt;"",L213="",Z213=FALSE),CONST_ErrorOrMissing&amp;C190,CONST_NA))</f>
        <v>n.a.</v>
      </c>
      <c r="W213" s="172"/>
      <c r="X213" s="172"/>
      <c r="Y213" s="91"/>
      <c r="Z213" s="102" t="b">
        <f>IF(G190="",FALSE,E213="")</f>
        <v>0</v>
      </c>
    </row>
    <row r="214" spans="1:26" s="144" customFormat="1" ht="12.75" customHeight="1" x14ac:dyDescent="0.35">
      <c r="A214" s="91"/>
      <c r="B214" s="94"/>
      <c r="D214" s="168" t="s">
        <v>49</v>
      </c>
      <c r="E214" s="167" t="str">
        <f>Translations!$B$1968</f>
        <v>Consumed for other purposes, e.g. sold or used for non-CBAM goods:</v>
      </c>
      <c r="F214" s="167"/>
      <c r="G214" s="167"/>
      <c r="H214" s="167"/>
      <c r="I214" s="167"/>
      <c r="J214" s="167"/>
      <c r="K214" s="169" t="str">
        <f>K201</f>
        <v/>
      </c>
      <c r="L214" s="211"/>
      <c r="O214" s="945"/>
      <c r="P214" s="94"/>
      <c r="Q214" s="93"/>
      <c r="R214" s="91"/>
      <c r="S214" s="91"/>
      <c r="T214" s="712"/>
      <c r="U214" s="91"/>
      <c r="V214" s="105" t="str">
        <f>IF(G190="",CONST_NA,IF(ISNUMBER(L214),TRUE,CONST_ErrorOrMissing&amp;C190))</f>
        <v>n.a.</v>
      </c>
      <c r="W214" s="91"/>
      <c r="X214" s="91"/>
      <c r="Y214" s="91"/>
      <c r="Z214" s="91"/>
    </row>
    <row r="215" spans="1:26" s="144" customFormat="1" ht="12.75" customHeight="1" x14ac:dyDescent="0.35">
      <c r="A215" s="91"/>
      <c r="B215" s="94"/>
      <c r="D215" s="168" t="s">
        <v>377</v>
      </c>
      <c r="E215" s="138" t="str">
        <f>Translations!$B$253</f>
        <v>Control:</v>
      </c>
      <c r="F215" s="170"/>
      <c r="G215" s="170"/>
      <c r="H215" s="170"/>
      <c r="I215" s="170"/>
      <c r="J215" s="170"/>
      <c r="K215" s="169" t="str">
        <f>K214</f>
        <v/>
      </c>
      <c r="L215" s="118" t="str">
        <f>IF(G190="","",SUM(L201)-SUM(L204:L214))</f>
        <v/>
      </c>
      <c r="O215" s="945"/>
      <c r="P215" s="94"/>
      <c r="Q215" s="93"/>
      <c r="R215" s="91"/>
      <c r="S215" s="91"/>
      <c r="T215" s="712"/>
      <c r="U215" s="91"/>
      <c r="V215" s="105" t="str">
        <f>IF(G190="",CONST_NA,IF(L215=0,TRUE,CONST_ErrorOrMissing&amp;C190))</f>
        <v>n.a.</v>
      </c>
      <c r="W215" s="91"/>
      <c r="X215" s="91"/>
      <c r="Y215" s="91"/>
      <c r="Z215" s="91"/>
    </row>
    <row r="216" spans="1:26" s="144" customFormat="1" ht="12.75" customHeight="1" thickBot="1" x14ac:dyDescent="0.4">
      <c r="A216" s="91"/>
      <c r="B216" s="94"/>
      <c r="O216" s="428"/>
      <c r="P216" s="94"/>
      <c r="Q216" s="93"/>
      <c r="R216" s="91"/>
      <c r="S216" s="91"/>
      <c r="T216" s="712"/>
      <c r="U216" s="91"/>
      <c r="V216" s="91"/>
      <c r="W216" s="91"/>
      <c r="X216" s="91"/>
      <c r="Y216" s="91"/>
      <c r="Z216" s="91"/>
    </row>
    <row r="217" spans="1:26" ht="12.75" customHeight="1" x14ac:dyDescent="0.35">
      <c r="B217" s="94"/>
      <c r="C217" s="187"/>
      <c r="D217" s="188"/>
      <c r="E217" s="189"/>
      <c r="F217" s="190"/>
      <c r="G217" s="190"/>
      <c r="H217" s="190"/>
      <c r="I217" s="190"/>
      <c r="J217" s="190"/>
      <c r="K217" s="190"/>
      <c r="L217" s="190"/>
      <c r="M217" s="190"/>
      <c r="N217" s="191"/>
      <c r="O217" s="428"/>
      <c r="T217" s="712"/>
    </row>
    <row r="218" spans="1:26" ht="15" customHeight="1" x14ac:dyDescent="0.35">
      <c r="B218" s="94"/>
      <c r="C218" s="192"/>
      <c r="D218" s="193" t="str">
        <f>Translations!$B$279</f>
        <v>Specific embedded emissions:</v>
      </c>
      <c r="E218" s="194"/>
      <c r="F218" s="195"/>
      <c r="G218" s="195"/>
      <c r="H218" s="195"/>
      <c r="I218" s="195"/>
      <c r="J218" s="1327" t="str">
        <f>IF(G190="","",G190)</f>
        <v/>
      </c>
      <c r="K218" s="1327"/>
      <c r="L218" s="1327"/>
      <c r="M218" s="1327"/>
      <c r="N218" s="196"/>
      <c r="O218" s="428"/>
      <c r="T218" s="712"/>
    </row>
    <row r="219" spans="1:26" ht="5.15" customHeight="1" x14ac:dyDescent="0.35">
      <c r="B219" s="94"/>
      <c r="C219" s="192"/>
      <c r="D219" s="197"/>
      <c r="E219" s="198"/>
      <c r="F219" s="195"/>
      <c r="G219" s="195"/>
      <c r="H219" s="195"/>
      <c r="I219" s="195"/>
      <c r="J219" s="195"/>
      <c r="K219" s="195"/>
      <c r="L219" s="195"/>
      <c r="M219" s="195"/>
      <c r="N219" s="196"/>
      <c r="O219" s="428"/>
      <c r="T219" s="712"/>
    </row>
    <row r="220" spans="1:26" ht="12.75" customHeight="1" x14ac:dyDescent="0.35">
      <c r="B220" s="94"/>
      <c r="C220" s="192"/>
      <c r="D220" s="199" t="s">
        <v>411</v>
      </c>
      <c r="E220" s="198" t="str">
        <f>Translations!$B$280</f>
        <v>Emissions embedded in this purchased precursor</v>
      </c>
      <c r="F220" s="198"/>
      <c r="G220" s="198"/>
      <c r="H220" s="198"/>
      <c r="I220" s="198"/>
      <c r="J220" s="198"/>
      <c r="K220" s="198"/>
      <c r="L220" s="198"/>
      <c r="M220" s="198"/>
      <c r="N220" s="196"/>
      <c r="O220" s="428"/>
      <c r="T220" s="712"/>
      <c r="V220" s="172"/>
      <c r="W220" s="172"/>
      <c r="X220" s="172"/>
      <c r="Z220" s="171"/>
    </row>
    <row r="221" spans="1:26" ht="4.9000000000000004" customHeight="1" x14ac:dyDescent="0.35">
      <c r="B221" s="94"/>
      <c r="C221" s="192"/>
      <c r="D221" s="199"/>
      <c r="E221" s="1328"/>
      <c r="F221" s="1328"/>
      <c r="G221" s="1328"/>
      <c r="H221" s="1328"/>
      <c r="I221" s="1328"/>
      <c r="J221" s="1328"/>
      <c r="K221" s="1328"/>
      <c r="L221" s="1328"/>
      <c r="M221" s="1328"/>
      <c r="N221" s="196"/>
      <c r="O221" s="428"/>
      <c r="T221" s="712"/>
    </row>
    <row r="222" spans="1:26" ht="13.15" customHeight="1" x14ac:dyDescent="0.35">
      <c r="B222" s="94"/>
      <c r="C222" s="192"/>
      <c r="D222" s="199"/>
      <c r="E222" s="1311" t="str">
        <f ca="1">HYPERLINK("#"&amp;ADDRESS(MATCH($S222,G_FurtherGuidance!$S:$S,0),3,,,G_FurtherGuidance!$U$2),CONST_LinkToGuidanceSheet)</f>
        <v>Please click on this link for further guidance on how to complete this section.</v>
      </c>
      <c r="F222" s="1312"/>
      <c r="G222" s="1312"/>
      <c r="H222" s="1312"/>
      <c r="I222" s="1312"/>
      <c r="J222" s="1312"/>
      <c r="K222" s="1312"/>
      <c r="L222" s="1312"/>
      <c r="M222" s="1312"/>
      <c r="N222" s="196"/>
      <c r="O222" s="428"/>
      <c r="R222" s="104" t="s">
        <v>2771</v>
      </c>
      <c r="S222" s="105">
        <v>4</v>
      </c>
      <c r="T222" s="712"/>
    </row>
    <row r="223" spans="1:26" ht="4.9000000000000004" customHeight="1" x14ac:dyDescent="0.35">
      <c r="B223" s="94"/>
      <c r="C223" s="192"/>
      <c r="D223" s="199"/>
      <c r="E223" s="1328"/>
      <c r="F223" s="1328"/>
      <c r="G223" s="1328"/>
      <c r="H223" s="1328"/>
      <c r="I223" s="1328"/>
      <c r="J223" s="1328"/>
      <c r="K223" s="1328"/>
      <c r="L223" s="1328"/>
      <c r="M223" s="1328"/>
      <c r="N223" s="384"/>
      <c r="O223" s="428"/>
      <c r="T223" s="712"/>
    </row>
    <row r="224" spans="1:26" ht="12.75" customHeight="1" x14ac:dyDescent="0.35">
      <c r="B224" s="94"/>
      <c r="C224" s="192"/>
      <c r="D224" s="199"/>
      <c r="E224" s="198" t="str">
        <f>Translations!$B$284</f>
        <v>Parameter:</v>
      </c>
      <c r="F224" s="195"/>
      <c r="G224" s="195"/>
      <c r="H224" s="195"/>
      <c r="I224" s="195"/>
      <c r="J224" s="195"/>
      <c r="K224" s="199" t="str">
        <f>Translations!$B$221</f>
        <v>Unit</v>
      </c>
      <c r="L224" s="199" t="str">
        <f>Translations!$B$260</f>
        <v>Value</v>
      </c>
      <c r="M224" s="199" t="str">
        <f>Translations!$B$285</f>
        <v>Source</v>
      </c>
      <c r="N224" s="196"/>
      <c r="O224" s="428"/>
      <c r="T224" s="764" t="s">
        <v>5</v>
      </c>
      <c r="U224" s="123" t="s">
        <v>2719</v>
      </c>
      <c r="V224" s="156" t="s">
        <v>3922</v>
      </c>
      <c r="W224" s="156"/>
      <c r="X224" s="156"/>
      <c r="Z224" s="171"/>
    </row>
    <row r="225" spans="1:26" ht="12.75" customHeight="1" x14ac:dyDescent="0.35">
      <c r="B225" s="94"/>
      <c r="C225" s="192"/>
      <c r="D225" s="197" t="s">
        <v>41</v>
      </c>
      <c r="E225" s="201" t="str">
        <f>Translations!$B$1969</f>
        <v>Specific embedded direct emissions (SEE (direct))</v>
      </c>
      <c r="F225" s="201"/>
      <c r="G225" s="201"/>
      <c r="H225" s="201"/>
      <c r="I225" s="201"/>
      <c r="J225" s="201"/>
      <c r="K225" s="217" t="str">
        <f>IF(L190="","",CONST_tCO2eq &amp; "/" &amp; K201)</f>
        <v/>
      </c>
      <c r="L225" s="215"/>
      <c r="M225" s="385"/>
      <c r="N225" s="196"/>
      <c r="O225" s="945"/>
      <c r="R225" s="102" t="str">
        <f>CONST_PurchPrecDefaultUsed&amp;G190</f>
        <v>PurchPrecDef_</v>
      </c>
      <c r="S225" s="102" t="str">
        <f>CONST_CNTR_EmbedEmDir&amp;G190</f>
        <v>EmbedEmDir_</v>
      </c>
      <c r="T225" s="124" t="str">
        <f>IF(G190="","",SUM(T201)*SUM(L225))</f>
        <v/>
      </c>
      <c r="U225" s="105" t="str">
        <f>IF(G190="","",IF(M225="",CONST_ERR_Incomplete,MATCH(M225,CONST_MeasDefaultUnknown,0)=2))</f>
        <v/>
      </c>
      <c r="V225" s="105" t="str">
        <f>IF(AND(G190&lt;&gt;"",COUNTA(L225:M225)=2),TRUE,IF(AND(G190&lt;&gt;"",COUNTA(L225:M225)&lt;2),CONST_ErrorOrMissing&amp;C190,CONST_NA))</f>
        <v>n.a.</v>
      </c>
      <c r="W225" s="156"/>
      <c r="X225" s="156"/>
      <c r="Z225" s="171"/>
    </row>
    <row r="226" spans="1:26" ht="12.75" customHeight="1" x14ac:dyDescent="0.35">
      <c r="B226" s="94"/>
      <c r="C226" s="192"/>
      <c r="D226" s="197" t="s">
        <v>42</v>
      </c>
      <c r="E226" s="759" t="str">
        <f>Translations!$B$1970</f>
        <v>Specific electricity consumption (for SEE (indirect))</v>
      </c>
      <c r="F226" s="759"/>
      <c r="G226" s="759"/>
      <c r="H226" s="759"/>
      <c r="I226" s="759"/>
      <c r="J226" s="759"/>
      <c r="K226" s="457" t="str">
        <f>IF(K225="","",CONST_MWh&amp;"/"&amp;K201)</f>
        <v/>
      </c>
      <c r="L226" s="760"/>
      <c r="M226" s="761"/>
      <c r="N226" s="196"/>
      <c r="O226" s="945"/>
      <c r="R226" s="102" t="str">
        <f>CONST_ElecConsumption&amp;G190</f>
        <v>ElecCons_</v>
      </c>
      <c r="S226" s="102"/>
      <c r="T226" s="124" t="str">
        <f>IF(G190="","",SUM(T201)*SUM(L226))</f>
        <v/>
      </c>
      <c r="U226" s="105" t="str">
        <f>IF(G190="","",IF(M226="",CONST_ERR_Incomplete,MATCH(M226,CONST_MeasDefaultUnknown,0)=2))</f>
        <v/>
      </c>
      <c r="V226" s="105" t="str">
        <f>IF(AND(G190&lt;&gt;"",COUNTA(L226:M226)=2),TRUE,IF(AND(G190&lt;&gt;"",COUNTA(L226:M226)&lt;2),CONST_ErrorOrMissing&amp;C190,CONST_NA))</f>
        <v>n.a.</v>
      </c>
      <c r="W226" s="156"/>
      <c r="X226" s="156"/>
      <c r="Z226" s="171"/>
    </row>
    <row r="227" spans="1:26" ht="12.75" customHeight="1" x14ac:dyDescent="0.35">
      <c r="B227" s="94"/>
      <c r="C227" s="192"/>
      <c r="D227" s="197" t="s">
        <v>43</v>
      </c>
      <c r="E227" s="1144" t="str">
        <f>Translations!$B$1971</f>
        <v>Electricity emission factor (for SEE (indirect))</v>
      </c>
      <c r="F227" s="1144"/>
      <c r="G227" s="1144"/>
      <c r="H227" s="1144"/>
      <c r="I227" s="1144"/>
      <c r="J227" s="1144"/>
      <c r="K227" s="1145" t="str">
        <f>IF(K225="","",CONST_tCO2eq&amp;"/"&amp;CONST_MWh)</f>
        <v/>
      </c>
      <c r="L227" s="1146"/>
      <c r="M227" s="762"/>
      <c r="N227" s="196"/>
      <c r="O227" s="945"/>
      <c r="R227" s="102" t="str">
        <f>CONST_CNTR_ElecEFMethod&amp;G190</f>
        <v>ElecEFMeth_</v>
      </c>
      <c r="S227" s="102"/>
      <c r="T227" s="124"/>
      <c r="U227" s="105" t="str">
        <f>IF(G190="","",M227)</f>
        <v/>
      </c>
      <c r="V227" s="105" t="str">
        <f>IF(AND(G190&lt;&gt;"",COUNTA(L227:M227)=2),TRUE,IF(AND(G190&lt;&gt;"",COUNTA(L227:M227)&lt;2),CONST_ErrorOrMissing&amp;C190,CONST_NA))</f>
        <v>n.a.</v>
      </c>
      <c r="W227" s="156"/>
      <c r="X227" s="156"/>
      <c r="Z227" s="171"/>
    </row>
    <row r="228" spans="1:26" x14ac:dyDescent="0.35">
      <c r="B228" s="94"/>
      <c r="C228" s="192"/>
      <c r="D228" s="197" t="s">
        <v>44</v>
      </c>
      <c r="E228" s="201" t="str">
        <f>Translations!$B$1972</f>
        <v>Specific embedded indirect emissions (SEE (indirect))</v>
      </c>
      <c r="F228" s="201"/>
      <c r="G228" s="201"/>
      <c r="H228" s="201"/>
      <c r="I228" s="201"/>
      <c r="J228" s="201"/>
      <c r="K228" s="217" t="str">
        <f>K225</f>
        <v/>
      </c>
      <c r="L228" s="1147" t="str">
        <f>IF(COUNT(L226:L227)=0,"",L226*L227)</f>
        <v/>
      </c>
      <c r="M228" s="758"/>
      <c r="N228" s="196"/>
      <c r="O228" s="428"/>
      <c r="R228" s="171"/>
      <c r="S228" s="102" t="str">
        <f>CONST_CNTR_EmbedEmInDir&amp;G190</f>
        <v>EmbedEmInDir_</v>
      </c>
      <c r="T228" s="124" t="str">
        <f>IF(G190="","",SUM(T201)*SUM(L228))</f>
        <v/>
      </c>
      <c r="Z228" s="171"/>
    </row>
    <row r="229" spans="1:26" ht="5.15" customHeight="1" x14ac:dyDescent="0.35">
      <c r="B229" s="94"/>
      <c r="C229" s="192"/>
      <c r="D229" s="197"/>
      <c r="E229" s="195"/>
      <c r="F229" s="195"/>
      <c r="G229" s="195"/>
      <c r="H229" s="195"/>
      <c r="I229" s="195"/>
      <c r="J229" s="195"/>
      <c r="K229" s="195"/>
      <c r="L229" s="195"/>
      <c r="M229" s="195"/>
      <c r="N229" s="196"/>
      <c r="O229" s="428"/>
      <c r="R229" s="171"/>
      <c r="S229" s="171"/>
      <c r="T229" s="125"/>
      <c r="U229" s="156"/>
      <c r="V229" s="172"/>
      <c r="W229" s="172"/>
      <c r="X229" s="172"/>
      <c r="Z229" s="171"/>
    </row>
    <row r="230" spans="1:26" ht="12.75" customHeight="1" x14ac:dyDescent="0.35">
      <c r="B230" s="94"/>
      <c r="C230" s="192"/>
      <c r="D230" s="197" t="s">
        <v>45</v>
      </c>
      <c r="E230" s="201" t="str">
        <f>Translations!$B$1858</f>
        <v>Justification for use of default values (if relevant):</v>
      </c>
      <c r="F230" s="201"/>
      <c r="G230" s="201"/>
      <c r="H230" s="201"/>
      <c r="I230" s="201"/>
      <c r="J230" s="201"/>
      <c r="K230" s="1329"/>
      <c r="L230" s="1329"/>
      <c r="M230" s="1329"/>
      <c r="N230" s="196"/>
      <c r="O230" s="945"/>
      <c r="R230" s="171"/>
      <c r="S230" s="171"/>
      <c r="T230" s="125"/>
      <c r="U230" s="156"/>
      <c r="V230" s="105" t="str">
        <f>IF(OR(G190="",Z230=TRUE),CONST_NA,IF(K230&lt;&gt;"",TRUE,CONST_ErrorOrMissing&amp;C190))</f>
        <v>n.a.</v>
      </c>
      <c r="W230" s="172"/>
      <c r="X230" s="172"/>
      <c r="Z230" s="102" t="b">
        <f>AND(M225&lt;&gt;"",M225&lt;&gt;INDEX(CONST_MeasDefaultUnknown,2),M226&lt;&gt;"",M226&lt;&gt;INDEX(CONST_MeasDefaultUnknown,2))</f>
        <v>0</v>
      </c>
    </row>
    <row r="231" spans="1:26" s="144" customFormat="1" ht="12.75" customHeight="1" thickBot="1" x14ac:dyDescent="0.4">
      <c r="A231" s="91"/>
      <c r="B231" s="94"/>
      <c r="C231" s="206"/>
      <c r="D231" s="207"/>
      <c r="E231" s="208"/>
      <c r="F231" s="209"/>
      <c r="G231" s="209"/>
      <c r="H231" s="209"/>
      <c r="I231" s="209"/>
      <c r="J231" s="209"/>
      <c r="K231" s="209"/>
      <c r="L231" s="209"/>
      <c r="M231" s="209"/>
      <c r="N231" s="210"/>
      <c r="O231" s="428"/>
      <c r="P231" s="94"/>
      <c r="Q231" s="93"/>
      <c r="R231" s="91"/>
      <c r="S231" s="91"/>
      <c r="T231" s="712"/>
      <c r="U231" s="91"/>
      <c r="V231" s="91"/>
      <c r="W231" s="91"/>
      <c r="X231" s="91"/>
      <c r="Y231" s="91"/>
      <c r="Z231" s="91"/>
    </row>
    <row r="232" spans="1:26" s="144" customFormat="1" ht="12.75" customHeight="1" thickBot="1" x14ac:dyDescent="0.4">
      <c r="A232" s="91"/>
      <c r="B232" s="94"/>
      <c r="O232" s="428"/>
      <c r="P232" s="94"/>
      <c r="Q232" s="93"/>
      <c r="R232" s="91"/>
      <c r="S232" s="91"/>
      <c r="T232" s="712"/>
      <c r="U232" s="91"/>
      <c r="V232" s="91"/>
      <c r="W232" s="91"/>
      <c r="X232" s="91"/>
      <c r="Y232" s="91"/>
      <c r="Z232" s="91"/>
    </row>
    <row r="233" spans="1:26" s="144" customFormat="1" ht="12.75" customHeight="1" thickBot="1" x14ac:dyDescent="0.4">
      <c r="A233" s="91"/>
      <c r="B233" s="946"/>
      <c r="C233" s="145"/>
      <c r="D233" s="145"/>
      <c r="E233" s="145"/>
      <c r="F233" s="145"/>
      <c r="G233" s="145"/>
      <c r="H233" s="145"/>
      <c r="I233" s="145"/>
      <c r="J233" s="145"/>
      <c r="K233" s="145"/>
      <c r="L233" s="145"/>
      <c r="M233" s="145"/>
      <c r="N233" s="145"/>
      <c r="O233" s="947"/>
      <c r="P233" s="94"/>
      <c r="Q233" s="93"/>
      <c r="R233" s="91"/>
      <c r="S233" s="91"/>
      <c r="T233" s="712"/>
      <c r="U233" s="91"/>
      <c r="V233" s="91"/>
      <c r="W233" s="91"/>
      <c r="X233" s="91"/>
      <c r="Y233" s="91"/>
      <c r="Z233" s="91"/>
    </row>
    <row r="234" spans="1:26" ht="18" customHeight="1" thickBot="1" x14ac:dyDescent="0.4">
      <c r="B234" s="94"/>
      <c r="C234" s="147">
        <f>C190+1</f>
        <v>6</v>
      </c>
      <c r="D234" s="944" t="str">
        <f>CONST_PurchPrecursor &amp; " " &amp; C234 &amp; ":"</f>
        <v>Purchased precursor 6:</v>
      </c>
      <c r="E234" s="144"/>
      <c r="F234" s="144"/>
      <c r="G234" s="1313" t="str">
        <f>IF(INDEX(CNTR_List_ExistPurchPrecNames,MATCH(R234,CNTR_ListPurchPrecID,0))=CONST_NA,"",INDEX(CNTR_List_ExistPurchPrecNames,MATCH(R234,CNTR_ListPurchPrecID,0)))</f>
        <v/>
      </c>
      <c r="H234" s="1314"/>
      <c r="I234" s="1314"/>
      <c r="J234" s="1314"/>
      <c r="K234" s="1315"/>
      <c r="L234" s="1316" t="str">
        <f>IF(INDEX(CNTR_List_ExistPurchPrec,MATCH(R234,CNTR_ListPurchPrecID,0))=CONST_NA,"",INDEX(CNTR_List_ExistPurchPrec,MATCH(R234,CNTR_ListPurchPrecID,0)))</f>
        <v/>
      </c>
      <c r="M234" s="1317"/>
      <c r="N234" s="1318"/>
      <c r="O234" s="428"/>
      <c r="R234" s="149" t="str">
        <f>INDEX(CNTR_ListPurchPrecID,C234)</f>
        <v>PP6</v>
      </c>
      <c r="Y234" s="104" t="s">
        <v>2748</v>
      </c>
      <c r="Z234" s="150" t="b">
        <f>AND(CNTR_HasEntriesA,G234="")</f>
        <v>0</v>
      </c>
    </row>
    <row r="235" spans="1:26" ht="26.5" customHeight="1" x14ac:dyDescent="0.35">
      <c r="B235" s="94"/>
      <c r="C235" s="144"/>
      <c r="D235" s="914"/>
      <c r="E235" s="1325" t="str">
        <f ca="1">HYPERLINK("#"&amp;ADDRESS(MATCH($S235,G_FurtherGuidance!$S:$S,0),3,,,G_FurtherGuidance!$U$2),CONST_LinkToGuidanceSheet)</f>
        <v>Please click on this link for further guidance on how to complete this section.</v>
      </c>
      <c r="F235" s="1326"/>
      <c r="G235" s="1326"/>
      <c r="H235" s="1326"/>
      <c r="I235" s="1326"/>
      <c r="J235" s="1326"/>
      <c r="K235" s="1326"/>
      <c r="L235" s="1326"/>
      <c r="M235" s="1326"/>
      <c r="N235" s="144"/>
      <c r="O235" s="428"/>
      <c r="R235" s="104" t="s">
        <v>2771</v>
      </c>
      <c r="S235" s="105">
        <v>4</v>
      </c>
      <c r="Y235" s="104"/>
    </row>
    <row r="236" spans="1:26" ht="12.75" customHeight="1" x14ac:dyDescent="0.35">
      <c r="B236" s="94"/>
      <c r="C236" s="144"/>
      <c r="D236" s="168" t="s">
        <v>135</v>
      </c>
      <c r="E236" s="167" t="str">
        <f>Translations!$B$276</f>
        <v>Total purchased levels:</v>
      </c>
      <c r="F236" s="144"/>
      <c r="G236" s="144"/>
      <c r="H236" s="151" t="str">
        <f>Translations!$B$244</f>
        <v>Production route</v>
      </c>
      <c r="I236" s="144"/>
      <c r="J236" s="144"/>
      <c r="K236" s="152" t="str">
        <f>Translations!$B$221</f>
        <v>Unit</v>
      </c>
      <c r="L236" s="152" t="str">
        <f>Translations!$B$245</f>
        <v>Amounts</v>
      </c>
      <c r="M236" s="144"/>
      <c r="N236" s="144"/>
      <c r="O236" s="428"/>
      <c r="Y236" s="91" t="s">
        <v>4077</v>
      </c>
    </row>
    <row r="237" spans="1:26" ht="12.75" customHeight="1" x14ac:dyDescent="0.35">
      <c r="B237" s="94"/>
      <c r="C237" s="144"/>
      <c r="D237" s="173">
        <v>1</v>
      </c>
      <c r="E237" s="153" t="str">
        <f>IF(G234="","",G234) &amp; IF(L234="",""," | " &amp; L234)</f>
        <v/>
      </c>
      <c r="F237" s="153"/>
      <c r="G237" s="153"/>
      <c r="H237" s="154" t="str">
        <f>IF(L234="","",INDEX(CONST_MATRIX_ProductionRoute,MATCH(L234,CONST_LIST_Goods,0),D237))</f>
        <v/>
      </c>
      <c r="I237" s="153"/>
      <c r="J237" s="153"/>
      <c r="K237" s="155" t="str">
        <f>IF(L234="","",INDEX(CONST_LIST_GoodsUnit,MATCH(L234,CONST_LIST_Goods,0)))</f>
        <v/>
      </c>
      <c r="L237" s="29"/>
      <c r="M237" s="144"/>
      <c r="N237" s="144"/>
      <c r="O237" s="945"/>
      <c r="S237" s="105">
        <v>1</v>
      </c>
      <c r="V237" s="105" t="str">
        <f>IF(AND(Y237=FALSE,ISNUMBER(L237)),TRUE,IF(Y237=FALSE,CONST_ErrorOrMissing&amp;C234,CONST_NA))</f>
        <v>n.a.</v>
      </c>
      <c r="Y237" s="105" t="str">
        <f>IF(OR(H237="",H237=CONST_NA),"",IF(H237=CONST_AllProdRoutes,FALSE, COUNTIF(INDEX(CNTR_MatrixPurchPrecRoutes,C234,),S237)=0))</f>
        <v/>
      </c>
    </row>
    <row r="238" spans="1:26" ht="12.75" customHeight="1" x14ac:dyDescent="0.35">
      <c r="B238" s="94"/>
      <c r="C238" s="144"/>
      <c r="D238" s="173">
        <v>2</v>
      </c>
      <c r="E238" s="158" t="str">
        <f t="shared" ref="E238:E244" si="25">IF(H238=CONST_NA,"",E237)</f>
        <v/>
      </c>
      <c r="F238" s="158"/>
      <c r="G238" s="158"/>
      <c r="H238" s="159" t="str">
        <f>IF(L234="","",INDEX(CONST_MATRIX_ProductionRoute,MATCH(L234,CONST_LIST_Goods,0),D238))</f>
        <v/>
      </c>
      <c r="I238" s="158"/>
      <c r="J238" s="158"/>
      <c r="K238" s="160" t="str">
        <f t="shared" ref="K238:K244" si="26">IF(H238=CONST_NA,"",K237)</f>
        <v/>
      </c>
      <c r="L238" s="30"/>
      <c r="M238" s="144"/>
      <c r="N238" s="144"/>
      <c r="O238" s="945"/>
      <c r="S238" s="105">
        <v>2</v>
      </c>
      <c r="V238" s="105" t="str">
        <f>IF(AND(Y238=FALSE,ISNUMBER(L238)),TRUE,IF(Y238=FALSE,CONST_ErrorOrMissing&amp;C234,CONST_NA))</f>
        <v>n.a.</v>
      </c>
      <c r="Y238" s="105" t="str">
        <f>IF(OR(H238="",H238=CONST_NA),"",IF(H238=CONST_AllProdRoutes,FALSE, COUNTIF(INDEX(CNTR_MatrixPurchPrecRoutes,C234,),S238)=0))</f>
        <v/>
      </c>
    </row>
    <row r="239" spans="1:26" ht="12.75" customHeight="1" x14ac:dyDescent="0.35">
      <c r="B239" s="94"/>
      <c r="C239" s="144"/>
      <c r="D239" s="173">
        <v>3</v>
      </c>
      <c r="E239" s="158" t="str">
        <f t="shared" si="25"/>
        <v/>
      </c>
      <c r="F239" s="158"/>
      <c r="G239" s="158"/>
      <c r="H239" s="159" t="str">
        <f>IF(L234="","",INDEX(CONST_MATRIX_ProductionRoute,MATCH(L234,CONST_LIST_Goods,0),D239))</f>
        <v/>
      </c>
      <c r="I239" s="158"/>
      <c r="J239" s="158"/>
      <c r="K239" s="160" t="str">
        <f t="shared" si="26"/>
        <v/>
      </c>
      <c r="L239" s="30"/>
      <c r="M239" s="144"/>
      <c r="N239" s="144"/>
      <c r="O239" s="945"/>
      <c r="S239" s="105">
        <v>3</v>
      </c>
      <c r="V239" s="105" t="str">
        <f>IF(AND(Y239=FALSE,ISNUMBER(L239)),TRUE,IF(Y239=FALSE,CONST_ErrorOrMissing&amp;C234,CONST_NA))</f>
        <v>n.a.</v>
      </c>
      <c r="Y239" s="105" t="str">
        <f>IF(OR(H239="",H239=CONST_NA),"",IF(H239=CONST_AllProdRoutes,FALSE, COUNTIF(INDEX(CNTR_MatrixPurchPrecRoutes,C234,),S239)=0))</f>
        <v/>
      </c>
    </row>
    <row r="240" spans="1:26" ht="12.75" customHeight="1" x14ac:dyDescent="0.35">
      <c r="B240" s="94"/>
      <c r="C240" s="144"/>
      <c r="D240" s="173">
        <v>4</v>
      </c>
      <c r="E240" s="158" t="str">
        <f t="shared" si="25"/>
        <v/>
      </c>
      <c r="F240" s="158"/>
      <c r="G240" s="158"/>
      <c r="H240" s="159" t="str">
        <f>IF(L234="","",INDEX(CONST_MATRIX_ProductionRoute,MATCH(L234,CONST_LIST_Goods,0),D240))</f>
        <v/>
      </c>
      <c r="I240" s="158"/>
      <c r="J240" s="158"/>
      <c r="K240" s="160" t="str">
        <f t="shared" si="26"/>
        <v/>
      </c>
      <c r="L240" s="30"/>
      <c r="M240" s="144"/>
      <c r="N240" s="144"/>
      <c r="O240" s="945"/>
      <c r="S240" s="105">
        <v>4</v>
      </c>
      <c r="V240" s="105" t="str">
        <f>IF(AND(Y240=FALSE,ISNUMBER(L240)),TRUE,IF(Y240=FALSE,CONST_ErrorOrMissing&amp;C234,CONST_NA))</f>
        <v>n.a.</v>
      </c>
      <c r="Y240" s="105" t="str">
        <f>IF(OR(H240="",H240=CONST_NA),"",IF(H240=CONST_AllProdRoutes,FALSE, COUNTIF(INDEX(CNTR_MatrixPurchPrecRoutes,C234,),S240)=0))</f>
        <v/>
      </c>
    </row>
    <row r="241" spans="1:26" ht="12.75" customHeight="1" x14ac:dyDescent="0.35">
      <c r="B241" s="94"/>
      <c r="C241" s="144"/>
      <c r="D241" s="173">
        <v>5</v>
      </c>
      <c r="E241" s="158" t="str">
        <f t="shared" si="25"/>
        <v/>
      </c>
      <c r="F241" s="158"/>
      <c r="G241" s="158"/>
      <c r="H241" s="159" t="str">
        <f>IF(L234="","",INDEX(CONST_MATRIX_ProductionRoute,MATCH(L234,CONST_LIST_Goods,0),D241))</f>
        <v/>
      </c>
      <c r="I241" s="158"/>
      <c r="J241" s="158"/>
      <c r="K241" s="160" t="str">
        <f t="shared" si="26"/>
        <v/>
      </c>
      <c r="L241" s="30"/>
      <c r="M241" s="144"/>
      <c r="N241" s="144"/>
      <c r="O241" s="945"/>
      <c r="S241" s="105">
        <v>5</v>
      </c>
      <c r="V241" s="105" t="str">
        <f>IF(AND(Y241=FALSE,ISNUMBER(L241)),TRUE,IF(Y241=FALSE,CONST_ErrorOrMissing&amp;C234,CONST_NA))</f>
        <v>n.a.</v>
      </c>
      <c r="Y241" s="105" t="str">
        <f>IF(OR(H241="",H241=CONST_NA),"",IF(H241=CONST_AllProdRoutes,FALSE, COUNTIF(INDEX(CNTR_MatrixPurchPrecRoutes,C234,),S241)=0))</f>
        <v/>
      </c>
    </row>
    <row r="242" spans="1:26" ht="12.75" customHeight="1" x14ac:dyDescent="0.35">
      <c r="B242" s="94"/>
      <c r="C242" s="144"/>
      <c r="D242" s="173">
        <v>6</v>
      </c>
      <c r="E242" s="158" t="str">
        <f t="shared" si="25"/>
        <v/>
      </c>
      <c r="F242" s="158"/>
      <c r="G242" s="158"/>
      <c r="H242" s="159" t="str">
        <f>IF(L234="","",INDEX(CONST_MATRIX_ProductionRoute,MATCH(L234,CONST_LIST_Goods,0),D242))</f>
        <v/>
      </c>
      <c r="I242" s="158"/>
      <c r="J242" s="158"/>
      <c r="K242" s="160" t="str">
        <f t="shared" si="26"/>
        <v/>
      </c>
      <c r="L242" s="30"/>
      <c r="M242" s="144"/>
      <c r="N242" s="144"/>
      <c r="O242" s="945"/>
      <c r="S242" s="105">
        <v>6</v>
      </c>
      <c r="V242" s="105" t="str">
        <f>IF(AND(Y242=FALSE,ISNUMBER(L242)),TRUE,IF(Y242=FALSE,CONST_ErrorOrMissing&amp;C234,CONST_NA))</f>
        <v>n.a.</v>
      </c>
      <c r="Y242" s="105" t="str">
        <f>IF(OR(H242="",H242=CONST_NA),"",IF(H242=CONST_AllProdRoutes,FALSE, COUNTIF(INDEX(CNTR_MatrixPurchPrecRoutes,C234,),S242)=0))</f>
        <v/>
      </c>
    </row>
    <row r="243" spans="1:26" ht="12.75" customHeight="1" x14ac:dyDescent="0.35">
      <c r="B243" s="94"/>
      <c r="C243" s="144"/>
      <c r="D243" s="173">
        <v>7</v>
      </c>
      <c r="E243" s="158" t="str">
        <f t="shared" si="25"/>
        <v/>
      </c>
      <c r="F243" s="158"/>
      <c r="G243" s="158"/>
      <c r="H243" s="159" t="str">
        <f>IF(L234="","",INDEX(CONST_MATRIX_ProductionRoute,MATCH(L234,CONST_LIST_Goods,0),D243))</f>
        <v/>
      </c>
      <c r="I243" s="158"/>
      <c r="J243" s="158"/>
      <c r="K243" s="160" t="str">
        <f t="shared" si="26"/>
        <v/>
      </c>
      <c r="L243" s="30"/>
      <c r="M243" s="144"/>
      <c r="N243" s="144"/>
      <c r="O243" s="945"/>
      <c r="S243" s="105">
        <v>7</v>
      </c>
      <c r="V243" s="105" t="str">
        <f>IF(AND(Y243=FALSE,ISNUMBER(L243)),TRUE,IF(Y243=FALSE,CONST_ErrorOrMissing&amp;C234,CONST_NA))</f>
        <v>n.a.</v>
      </c>
      <c r="Y243" s="105" t="str">
        <f>IF(OR(H243="",H243=CONST_NA),"",IF(H243=CONST_AllProdRoutes,FALSE, COUNTIF(INDEX(CNTR_MatrixPurchPrecRoutes,C234,),S243)=0))</f>
        <v/>
      </c>
    </row>
    <row r="244" spans="1:26" ht="12.75" customHeight="1" x14ac:dyDescent="0.35">
      <c r="B244" s="94"/>
      <c r="C244" s="144"/>
      <c r="D244" s="173">
        <v>8</v>
      </c>
      <c r="E244" s="161" t="str">
        <f t="shared" si="25"/>
        <v/>
      </c>
      <c r="F244" s="161"/>
      <c r="G244" s="161"/>
      <c r="H244" s="162" t="str">
        <f>IF(L234="","",INDEX(CONST_MATRIX_ProductionRoute,MATCH(L234,CONST_LIST_Goods,0),D244))</f>
        <v/>
      </c>
      <c r="I244" s="161"/>
      <c r="J244" s="161"/>
      <c r="K244" s="163" t="str">
        <f t="shared" si="26"/>
        <v/>
      </c>
      <c r="L244" s="31"/>
      <c r="M244" s="144"/>
      <c r="N244" s="144"/>
      <c r="O244" s="945"/>
      <c r="S244" s="105">
        <v>8</v>
      </c>
      <c r="V244" s="105" t="str">
        <f>IF(AND(Y244=FALSE,ISNUMBER(L244)),TRUE,IF(Y244=FALSE,CONST_ErrorOrMissing&amp;C234,CONST_NA))</f>
        <v>n.a.</v>
      </c>
      <c r="Y244" s="105" t="str">
        <f>IF(OR(H244="",H244=CONST_NA),"",IF(H244=CONST_AllProdRoutes,FALSE, COUNTIF(INDEX(CNTR_MatrixPurchPrecRoutes,C234,),S244)=0))</f>
        <v/>
      </c>
    </row>
    <row r="245" spans="1:26" ht="12.75" customHeight="1" x14ac:dyDescent="0.35">
      <c r="B245" s="94"/>
      <c r="C245" s="144"/>
      <c r="D245" s="914"/>
      <c r="E245" s="138" t="str">
        <f>Translations!$B$1966</f>
        <v>Total purchase for possible consumption within installation:</v>
      </c>
      <c r="F245" s="138"/>
      <c r="G245" s="138"/>
      <c r="H245" s="164"/>
      <c r="I245" s="138"/>
      <c r="J245" s="138"/>
      <c r="K245" s="169" t="str">
        <f>K237</f>
        <v/>
      </c>
      <c r="L245" s="386" t="str">
        <f>IF(G234="","",SUM(L237:L244))</f>
        <v/>
      </c>
      <c r="M245" s="144"/>
      <c r="N245" s="144"/>
      <c r="O245" s="428"/>
      <c r="R245" s="102" t="str">
        <f>CONST_CNTR_TotProd&amp;G234</f>
        <v>TotProd_</v>
      </c>
      <c r="T245" s="216" t="str">
        <f>IF(G234="","",IF(SUM(L245)=0,100,L245))</f>
        <v/>
      </c>
      <c r="V245" s="123"/>
    </row>
    <row r="246" spans="1:26" s="144" customFormat="1" ht="5.15" customHeight="1" x14ac:dyDescent="0.35">
      <c r="A246" s="91"/>
      <c r="B246" s="94"/>
      <c r="D246" s="166"/>
      <c r="E246" s="167"/>
      <c r="O246" s="428"/>
      <c r="P246" s="94"/>
      <c r="Q246" s="93"/>
      <c r="R246" s="91"/>
      <c r="S246" s="91"/>
      <c r="T246" s="712"/>
      <c r="U246" s="91"/>
      <c r="V246" s="123"/>
      <c r="W246" s="91"/>
      <c r="X246" s="91"/>
      <c r="Y246" s="91"/>
      <c r="Z246" s="91"/>
    </row>
    <row r="247" spans="1:26" s="144" customFormat="1" ht="12.75" customHeight="1" x14ac:dyDescent="0.35">
      <c r="A247" s="91"/>
      <c r="B247" s="94"/>
      <c r="D247" s="168" t="s">
        <v>48</v>
      </c>
      <c r="E247" s="167" t="str">
        <f>Translations!$B$1967</f>
        <v>Consumed in 'production processes' within the installation:</v>
      </c>
      <c r="F247" s="167"/>
      <c r="G247" s="167"/>
      <c r="H247" s="167"/>
      <c r="I247" s="167"/>
      <c r="J247" s="167"/>
      <c r="K247" s="168" t="str">
        <f>Translations!$B$221</f>
        <v>Unit</v>
      </c>
      <c r="L247" s="168" t="str">
        <f>Translations!$B$245</f>
        <v>Amounts</v>
      </c>
      <c r="O247" s="428"/>
      <c r="P247" s="94"/>
      <c r="Q247" s="93"/>
      <c r="R247" s="91"/>
      <c r="S247" s="123" t="s">
        <v>195</v>
      </c>
      <c r="T247" s="712"/>
      <c r="U247" s="91"/>
      <c r="V247" s="123"/>
      <c r="W247" s="91"/>
      <c r="X247" s="91"/>
      <c r="Y247" s="91"/>
      <c r="Z247" s="91"/>
    </row>
    <row r="248" spans="1:26" s="144" customFormat="1" ht="12.75" customHeight="1" x14ac:dyDescent="0.35">
      <c r="A248" s="91"/>
      <c r="B248" s="94"/>
      <c r="D248" s="173">
        <v>1</v>
      </c>
      <c r="E248" s="174" t="str">
        <f t="shared" ref="E248:E257" si="27">IF(INDEX(CNTR_List_ExistProdProcNames,S248)=CONST_NA,"",INDEX(CNTR_List_ExistProdProcNames,S248))</f>
        <v/>
      </c>
      <c r="F248" s="175"/>
      <c r="G248" s="175"/>
      <c r="H248" s="175"/>
      <c r="I248" s="175"/>
      <c r="J248" s="176"/>
      <c r="K248" s="155" t="str">
        <f>IF(E248="","",K245)</f>
        <v/>
      </c>
      <c r="L248" s="29"/>
      <c r="O248" s="945"/>
      <c r="P248" s="94"/>
      <c r="Q248" s="93"/>
      <c r="R248" s="102" t="str">
        <f>CONST_PrecursorToGoodInput&amp;G234 &amp;"_"&amp;E248</f>
        <v>PrecToGood__</v>
      </c>
      <c r="S248" s="105">
        <f>D248</f>
        <v>1</v>
      </c>
      <c r="T248" s="124" t="str">
        <f>IF(G234="","",L248)</f>
        <v/>
      </c>
      <c r="U248" s="91"/>
      <c r="V248" s="105" t="str">
        <f>IF(AND(G234&lt;&gt;"",E248&lt;&gt;"",L248&lt;&gt;""),TRUE,IF(AND(G234&lt;&gt;"",E248&lt;&gt;"",L248="",Z248=FALSE),CONST_ErrorOrMissing&amp;C234,CONST_NA))</f>
        <v>n.a.</v>
      </c>
      <c r="W248" s="172"/>
      <c r="X248" s="172"/>
      <c r="Y248" s="91" t="s">
        <v>34</v>
      </c>
      <c r="Z248" s="102" t="b">
        <f>IF(G234="",FALSE,E248="")</f>
        <v>0</v>
      </c>
    </row>
    <row r="249" spans="1:26" s="144" customFormat="1" ht="12.75" customHeight="1" x14ac:dyDescent="0.35">
      <c r="A249" s="91"/>
      <c r="B249" s="94"/>
      <c r="D249" s="173">
        <v>2</v>
      </c>
      <c r="E249" s="177" t="str">
        <f t="shared" si="27"/>
        <v/>
      </c>
      <c r="F249" s="178"/>
      <c r="G249" s="178"/>
      <c r="H249" s="178"/>
      <c r="I249" s="178"/>
      <c r="J249" s="179"/>
      <c r="K249" s="160" t="str">
        <f>IF(E249="","",K248)</f>
        <v/>
      </c>
      <c r="L249" s="30"/>
      <c r="O249" s="945"/>
      <c r="P249" s="94"/>
      <c r="Q249" s="93"/>
      <c r="R249" s="102" t="str">
        <f>CONST_PrecursorToGoodInput&amp;G234 &amp;"_"&amp;E249</f>
        <v>PrecToGood__</v>
      </c>
      <c r="S249" s="105">
        <f t="shared" ref="S249:S257" si="28">D249</f>
        <v>2</v>
      </c>
      <c r="T249" s="124" t="str">
        <f>IF(G234="","",L249)</f>
        <v/>
      </c>
      <c r="U249" s="91"/>
      <c r="V249" s="105" t="str">
        <f>IF(AND(G234&lt;&gt;"",E249&lt;&gt;"",L249&lt;&gt;""),TRUE,IF(AND(G234&lt;&gt;"",E249&lt;&gt;"",L249="",Z249=FALSE),CONST_ErrorOrMissing&amp;C234,CONST_NA))</f>
        <v>n.a.</v>
      </c>
      <c r="W249" s="172"/>
      <c r="X249" s="172"/>
      <c r="Y249" s="91"/>
      <c r="Z249" s="102" t="b">
        <f>IF(G234="",FALSE,E249="")</f>
        <v>0</v>
      </c>
    </row>
    <row r="250" spans="1:26" s="144" customFormat="1" ht="12.75" customHeight="1" x14ac:dyDescent="0.35">
      <c r="A250" s="91"/>
      <c r="B250" s="94"/>
      <c r="D250" s="173">
        <v>3</v>
      </c>
      <c r="E250" s="177" t="str">
        <f t="shared" si="27"/>
        <v/>
      </c>
      <c r="F250" s="178"/>
      <c r="G250" s="178"/>
      <c r="H250" s="178"/>
      <c r="I250" s="178"/>
      <c r="J250" s="179"/>
      <c r="K250" s="160" t="str">
        <f t="shared" ref="K250:K257" si="29">IF(E250="","",K249)</f>
        <v/>
      </c>
      <c r="L250" s="30"/>
      <c r="O250" s="945"/>
      <c r="P250" s="94"/>
      <c r="Q250" s="93"/>
      <c r="R250" s="102" t="str">
        <f>CONST_PrecursorToGoodInput&amp;G234 &amp;"_"&amp;E250</f>
        <v>PrecToGood__</v>
      </c>
      <c r="S250" s="105">
        <f t="shared" si="28"/>
        <v>3</v>
      </c>
      <c r="T250" s="124" t="str">
        <f>IF(G234="","",L250)</f>
        <v/>
      </c>
      <c r="U250" s="91"/>
      <c r="V250" s="105" t="str">
        <f>IF(AND(G234&lt;&gt;"",E250&lt;&gt;"",L250&lt;&gt;""),TRUE,IF(AND(G234&lt;&gt;"",E250&lt;&gt;"",L250="",Z250=FALSE),CONST_ErrorOrMissing&amp;C234,CONST_NA))</f>
        <v>n.a.</v>
      </c>
      <c r="W250" s="172"/>
      <c r="X250" s="172"/>
      <c r="Y250" s="91"/>
      <c r="Z250" s="102" t="b">
        <f>IF(G234="",FALSE,E250="")</f>
        <v>0</v>
      </c>
    </row>
    <row r="251" spans="1:26" s="144" customFormat="1" ht="12.75" customHeight="1" x14ac:dyDescent="0.35">
      <c r="A251" s="91"/>
      <c r="B251" s="94"/>
      <c r="D251" s="173">
        <v>4</v>
      </c>
      <c r="E251" s="177" t="str">
        <f t="shared" si="27"/>
        <v/>
      </c>
      <c r="F251" s="178"/>
      <c r="G251" s="178"/>
      <c r="H251" s="178"/>
      <c r="I251" s="178"/>
      <c r="J251" s="179"/>
      <c r="K251" s="160" t="str">
        <f t="shared" si="29"/>
        <v/>
      </c>
      <c r="L251" s="30"/>
      <c r="O251" s="945"/>
      <c r="P251" s="94"/>
      <c r="Q251" s="93"/>
      <c r="R251" s="102" t="str">
        <f>CONST_PrecursorToGoodInput&amp;G234 &amp;"_"&amp;E251</f>
        <v>PrecToGood__</v>
      </c>
      <c r="S251" s="105">
        <f t="shared" si="28"/>
        <v>4</v>
      </c>
      <c r="T251" s="124" t="str">
        <f>IF(G234="","",L251)</f>
        <v/>
      </c>
      <c r="U251" s="91"/>
      <c r="V251" s="105" t="str">
        <f>IF(AND(G234&lt;&gt;"",E251&lt;&gt;"",L251&lt;&gt;""),TRUE,IF(AND(G234&lt;&gt;"",E251&lt;&gt;"",L251="",Z251=FALSE),CONST_ErrorOrMissing&amp;C234,CONST_NA))</f>
        <v>n.a.</v>
      </c>
      <c r="W251" s="172"/>
      <c r="X251" s="172"/>
      <c r="Y251" s="91"/>
      <c r="Z251" s="102" t="b">
        <f>IF(G234="",FALSE,E251="")</f>
        <v>0</v>
      </c>
    </row>
    <row r="252" spans="1:26" s="144" customFormat="1" ht="12.75" customHeight="1" x14ac:dyDescent="0.35">
      <c r="A252" s="91"/>
      <c r="B252" s="94"/>
      <c r="D252" s="173">
        <v>5</v>
      </c>
      <c r="E252" s="180" t="str">
        <f t="shared" si="27"/>
        <v/>
      </c>
      <c r="F252" s="181"/>
      <c r="G252" s="181"/>
      <c r="H252" s="181"/>
      <c r="I252" s="181"/>
      <c r="J252" s="182"/>
      <c r="K252" s="183" t="str">
        <f t="shared" si="29"/>
        <v/>
      </c>
      <c r="L252" s="212"/>
      <c r="O252" s="945"/>
      <c r="P252" s="94"/>
      <c r="Q252" s="93"/>
      <c r="R252" s="102" t="str">
        <f>CONST_PrecursorToGoodInput&amp;G234 &amp;"_"&amp;E252</f>
        <v>PrecToGood__</v>
      </c>
      <c r="S252" s="105">
        <f t="shared" si="28"/>
        <v>5</v>
      </c>
      <c r="T252" s="124" t="str">
        <f>IF(G234="","",L252)</f>
        <v/>
      </c>
      <c r="U252" s="91"/>
      <c r="V252" s="105" t="str">
        <f>IF(AND(G234&lt;&gt;"",E252&lt;&gt;"",L252&lt;&gt;""),TRUE,IF(AND(G234&lt;&gt;"",E252&lt;&gt;"",L252="",Z252=FALSE),CONST_ErrorOrMissing&amp;C234,CONST_NA))</f>
        <v>n.a.</v>
      </c>
      <c r="W252" s="172"/>
      <c r="X252" s="172"/>
      <c r="Y252" s="91"/>
      <c r="Z252" s="102" t="b">
        <f>IF(G234="",FALSE,E252="")</f>
        <v>0</v>
      </c>
    </row>
    <row r="253" spans="1:26" s="144" customFormat="1" ht="12.75" customHeight="1" x14ac:dyDescent="0.35">
      <c r="A253" s="91"/>
      <c r="B253" s="94"/>
      <c r="D253" s="173">
        <v>6</v>
      </c>
      <c r="E253" s="180" t="str">
        <f t="shared" si="27"/>
        <v/>
      </c>
      <c r="F253" s="181"/>
      <c r="G253" s="181"/>
      <c r="H253" s="181"/>
      <c r="I253" s="181"/>
      <c r="J253" s="182"/>
      <c r="K253" s="183" t="str">
        <f t="shared" si="29"/>
        <v/>
      </c>
      <c r="L253" s="212"/>
      <c r="O253" s="945"/>
      <c r="P253" s="94"/>
      <c r="Q253" s="93"/>
      <c r="R253" s="102" t="str">
        <f>CONST_PrecursorToGoodInput&amp;G234 &amp;"_"&amp;E253</f>
        <v>PrecToGood__</v>
      </c>
      <c r="S253" s="105">
        <f t="shared" si="28"/>
        <v>6</v>
      </c>
      <c r="T253" s="124" t="str">
        <f>IF(G234="","",L253)</f>
        <v/>
      </c>
      <c r="U253" s="91"/>
      <c r="V253" s="105" t="str">
        <f>IF(AND(G234&lt;&gt;"",E253&lt;&gt;"",L253&lt;&gt;""),TRUE,IF(AND(G234&lt;&gt;"",E253&lt;&gt;"",L253="",Z253=FALSE),CONST_ErrorOrMissing&amp;C234,CONST_NA))</f>
        <v>n.a.</v>
      </c>
      <c r="W253" s="172"/>
      <c r="X253" s="172"/>
      <c r="Y253" s="91"/>
      <c r="Z253" s="102" t="b">
        <f>IF(G234="",FALSE,E253="")</f>
        <v>0</v>
      </c>
    </row>
    <row r="254" spans="1:26" s="144" customFormat="1" ht="12.75" customHeight="1" x14ac:dyDescent="0.35">
      <c r="A254" s="91"/>
      <c r="B254" s="94"/>
      <c r="D254" s="173">
        <v>7</v>
      </c>
      <c r="E254" s="180" t="str">
        <f t="shared" si="27"/>
        <v/>
      </c>
      <c r="F254" s="181"/>
      <c r="G254" s="181"/>
      <c r="H254" s="181"/>
      <c r="I254" s="181"/>
      <c r="J254" s="182"/>
      <c r="K254" s="183" t="str">
        <f t="shared" si="29"/>
        <v/>
      </c>
      <c r="L254" s="212"/>
      <c r="O254" s="945"/>
      <c r="P254" s="94"/>
      <c r="Q254" s="93"/>
      <c r="R254" s="102" t="str">
        <f>CONST_PrecursorToGoodInput&amp;G234 &amp;"_"&amp;E254</f>
        <v>PrecToGood__</v>
      </c>
      <c r="S254" s="105">
        <f t="shared" si="28"/>
        <v>7</v>
      </c>
      <c r="T254" s="124" t="str">
        <f>IF(G234="","",L254)</f>
        <v/>
      </c>
      <c r="U254" s="91"/>
      <c r="V254" s="105" t="str">
        <f>IF(AND(G234&lt;&gt;"",E254&lt;&gt;"",L254&lt;&gt;""),TRUE,IF(AND(G234&lt;&gt;"",E254&lt;&gt;"",L254="",Z254=FALSE),CONST_ErrorOrMissing&amp;C234,CONST_NA))</f>
        <v>n.a.</v>
      </c>
      <c r="W254" s="172"/>
      <c r="X254" s="172"/>
      <c r="Y254" s="91"/>
      <c r="Z254" s="102" t="b">
        <f>IF(G234="",FALSE,E254="")</f>
        <v>0</v>
      </c>
    </row>
    <row r="255" spans="1:26" s="144" customFormat="1" ht="12.75" customHeight="1" x14ac:dyDescent="0.35">
      <c r="A255" s="91"/>
      <c r="B255" s="94"/>
      <c r="D255" s="173">
        <v>8</v>
      </c>
      <c r="E255" s="180" t="str">
        <f t="shared" si="27"/>
        <v/>
      </c>
      <c r="F255" s="181"/>
      <c r="G255" s="181"/>
      <c r="H255" s="181"/>
      <c r="I255" s="181"/>
      <c r="J255" s="182"/>
      <c r="K255" s="183" t="str">
        <f t="shared" si="29"/>
        <v/>
      </c>
      <c r="L255" s="212"/>
      <c r="O255" s="945"/>
      <c r="P255" s="94"/>
      <c r="Q255" s="93"/>
      <c r="R255" s="102" t="str">
        <f>CONST_PrecursorToGoodInput&amp;G234 &amp;"_"&amp;E255</f>
        <v>PrecToGood__</v>
      </c>
      <c r="S255" s="105">
        <f t="shared" si="28"/>
        <v>8</v>
      </c>
      <c r="T255" s="124" t="str">
        <f>IF(G234="","",L255)</f>
        <v/>
      </c>
      <c r="U255" s="91"/>
      <c r="V255" s="105" t="str">
        <f>IF(AND(G234&lt;&gt;"",E255&lt;&gt;"",L255&lt;&gt;""),TRUE,IF(AND(G234&lt;&gt;"",E255&lt;&gt;"",L255="",Z255=FALSE),CONST_ErrorOrMissing&amp;C234,CONST_NA))</f>
        <v>n.a.</v>
      </c>
      <c r="W255" s="172"/>
      <c r="X255" s="172"/>
      <c r="Y255" s="91"/>
      <c r="Z255" s="102" t="b">
        <f>IF(G234="",FALSE,E255="")</f>
        <v>0</v>
      </c>
    </row>
    <row r="256" spans="1:26" s="144" customFormat="1" ht="12.75" customHeight="1" x14ac:dyDescent="0.35">
      <c r="A256" s="91"/>
      <c r="B256" s="94"/>
      <c r="D256" s="173">
        <v>9</v>
      </c>
      <c r="E256" s="180" t="str">
        <f t="shared" si="27"/>
        <v/>
      </c>
      <c r="F256" s="181"/>
      <c r="G256" s="181"/>
      <c r="H256" s="181"/>
      <c r="I256" s="181"/>
      <c r="J256" s="182"/>
      <c r="K256" s="183" t="str">
        <f t="shared" si="29"/>
        <v/>
      </c>
      <c r="L256" s="212"/>
      <c r="O256" s="945"/>
      <c r="P256" s="94"/>
      <c r="Q256" s="93"/>
      <c r="R256" s="102" t="str">
        <f>CONST_PrecursorToGoodInput&amp;G234 &amp;"_"&amp;E256</f>
        <v>PrecToGood__</v>
      </c>
      <c r="S256" s="105">
        <f t="shared" si="28"/>
        <v>9</v>
      </c>
      <c r="T256" s="124" t="str">
        <f>IF(G234="","",L256)</f>
        <v/>
      </c>
      <c r="U256" s="91"/>
      <c r="V256" s="105" t="str">
        <f>IF(AND(G234&lt;&gt;"",E256&lt;&gt;"",L256&lt;&gt;""),TRUE,IF(AND(G234&lt;&gt;"",E256&lt;&gt;"",L256="",Z256=FALSE),CONST_ErrorOrMissing&amp;C234,CONST_NA))</f>
        <v>n.a.</v>
      </c>
      <c r="W256" s="172"/>
      <c r="X256" s="172"/>
      <c r="Y256" s="91"/>
      <c r="Z256" s="102" t="b">
        <f>IF(G234="",FALSE,E256="")</f>
        <v>0</v>
      </c>
    </row>
    <row r="257" spans="1:26" s="144" customFormat="1" ht="12.75" customHeight="1" x14ac:dyDescent="0.35">
      <c r="A257" s="91"/>
      <c r="B257" s="94"/>
      <c r="D257" s="173">
        <v>10</v>
      </c>
      <c r="E257" s="184" t="str">
        <f t="shared" si="27"/>
        <v/>
      </c>
      <c r="F257" s="185"/>
      <c r="G257" s="185"/>
      <c r="H257" s="185"/>
      <c r="I257" s="185"/>
      <c r="J257" s="186"/>
      <c r="K257" s="163" t="str">
        <f t="shared" si="29"/>
        <v/>
      </c>
      <c r="L257" s="31"/>
      <c r="O257" s="945"/>
      <c r="P257" s="94"/>
      <c r="Q257" s="93"/>
      <c r="R257" s="102" t="str">
        <f>CONST_PrecursorToGoodInput&amp;G234 &amp;"_"&amp;E257</f>
        <v>PrecToGood__</v>
      </c>
      <c r="S257" s="105">
        <f t="shared" si="28"/>
        <v>10</v>
      </c>
      <c r="T257" s="124" t="str">
        <f>IF(G234="","",L257)</f>
        <v/>
      </c>
      <c r="U257" s="91"/>
      <c r="V257" s="105" t="str">
        <f>IF(AND(G234&lt;&gt;"",E257&lt;&gt;"",L257&lt;&gt;""),TRUE,IF(AND(G234&lt;&gt;"",E257&lt;&gt;"",L257="",Z257=FALSE),CONST_ErrorOrMissing&amp;C234,CONST_NA))</f>
        <v>n.a.</v>
      </c>
      <c r="W257" s="172"/>
      <c r="X257" s="172"/>
      <c r="Y257" s="91"/>
      <c r="Z257" s="102" t="b">
        <f>IF(G234="",FALSE,E257="")</f>
        <v>0</v>
      </c>
    </row>
    <row r="258" spans="1:26" s="144" customFormat="1" ht="12.75" customHeight="1" x14ac:dyDescent="0.35">
      <c r="A258" s="91"/>
      <c r="B258" s="94"/>
      <c r="D258" s="168" t="s">
        <v>49</v>
      </c>
      <c r="E258" s="167" t="str">
        <f>Translations!$B$1968</f>
        <v>Consumed for other purposes, e.g. sold or used for non-CBAM goods:</v>
      </c>
      <c r="F258" s="167"/>
      <c r="G258" s="167"/>
      <c r="H258" s="167"/>
      <c r="I258" s="167"/>
      <c r="J258" s="167"/>
      <c r="K258" s="169" t="str">
        <f>K245</f>
        <v/>
      </c>
      <c r="L258" s="211"/>
      <c r="O258" s="945"/>
      <c r="P258" s="94"/>
      <c r="Q258" s="93"/>
      <c r="R258" s="91"/>
      <c r="S258" s="91"/>
      <c r="T258" s="712"/>
      <c r="U258" s="91"/>
      <c r="V258" s="105" t="str">
        <f>IF(G234="",CONST_NA,IF(ISNUMBER(L258),TRUE,CONST_ErrorOrMissing&amp;C234))</f>
        <v>n.a.</v>
      </c>
      <c r="W258" s="91"/>
      <c r="X258" s="91"/>
      <c r="Y258" s="91"/>
      <c r="Z258" s="91"/>
    </row>
    <row r="259" spans="1:26" s="144" customFormat="1" ht="12.75" customHeight="1" x14ac:dyDescent="0.35">
      <c r="A259" s="91"/>
      <c r="B259" s="94"/>
      <c r="D259" s="168" t="s">
        <v>377</v>
      </c>
      <c r="E259" s="138" t="str">
        <f>Translations!$B$253</f>
        <v>Control:</v>
      </c>
      <c r="F259" s="170"/>
      <c r="G259" s="170"/>
      <c r="H259" s="170"/>
      <c r="I259" s="170"/>
      <c r="J259" s="170"/>
      <c r="K259" s="169" t="str">
        <f>K258</f>
        <v/>
      </c>
      <c r="L259" s="118" t="str">
        <f>IF(G234="","",SUM(L245)-SUM(L248:L258))</f>
        <v/>
      </c>
      <c r="O259" s="945"/>
      <c r="P259" s="94"/>
      <c r="Q259" s="93"/>
      <c r="R259" s="91"/>
      <c r="S259" s="91"/>
      <c r="T259" s="712"/>
      <c r="U259" s="91"/>
      <c r="V259" s="105" t="str">
        <f>IF(G234="",CONST_NA,IF(L259=0,TRUE,CONST_ErrorOrMissing&amp;C234))</f>
        <v>n.a.</v>
      </c>
      <c r="W259" s="91"/>
      <c r="X259" s="91"/>
      <c r="Y259" s="91"/>
      <c r="Z259" s="91"/>
    </row>
    <row r="260" spans="1:26" s="144" customFormat="1" ht="12.75" customHeight="1" thickBot="1" x14ac:dyDescent="0.4">
      <c r="A260" s="91"/>
      <c r="B260" s="94"/>
      <c r="O260" s="428"/>
      <c r="P260" s="94"/>
      <c r="Q260" s="93"/>
      <c r="R260" s="91"/>
      <c r="S260" s="91"/>
      <c r="T260" s="712"/>
      <c r="U260" s="91"/>
      <c r="V260" s="91"/>
      <c r="W260" s="91"/>
      <c r="X260" s="91"/>
      <c r="Y260" s="91"/>
      <c r="Z260" s="91"/>
    </row>
    <row r="261" spans="1:26" ht="12.75" customHeight="1" x14ac:dyDescent="0.35">
      <c r="B261" s="94"/>
      <c r="C261" s="187"/>
      <c r="D261" s="188"/>
      <c r="E261" s="189"/>
      <c r="F261" s="190"/>
      <c r="G261" s="190"/>
      <c r="H261" s="190"/>
      <c r="I261" s="190"/>
      <c r="J261" s="190"/>
      <c r="K261" s="190"/>
      <c r="L261" s="190"/>
      <c r="M261" s="190"/>
      <c r="N261" s="191"/>
      <c r="O261" s="428"/>
      <c r="T261" s="712"/>
    </row>
    <row r="262" spans="1:26" ht="15" customHeight="1" x14ac:dyDescent="0.35">
      <c r="B262" s="94"/>
      <c r="C262" s="192"/>
      <c r="D262" s="193" t="str">
        <f>Translations!$B$279</f>
        <v>Specific embedded emissions:</v>
      </c>
      <c r="E262" s="194"/>
      <c r="F262" s="195"/>
      <c r="G262" s="195"/>
      <c r="H262" s="195"/>
      <c r="I262" s="195"/>
      <c r="J262" s="1327" t="str">
        <f>IF(G234="","",G234)</f>
        <v/>
      </c>
      <c r="K262" s="1327"/>
      <c r="L262" s="1327"/>
      <c r="M262" s="1327"/>
      <c r="N262" s="196"/>
      <c r="O262" s="428"/>
      <c r="T262" s="712"/>
    </row>
    <row r="263" spans="1:26" ht="5.15" customHeight="1" x14ac:dyDescent="0.35">
      <c r="B263" s="94"/>
      <c r="C263" s="192"/>
      <c r="D263" s="197"/>
      <c r="E263" s="198"/>
      <c r="F263" s="195"/>
      <c r="G263" s="195"/>
      <c r="H263" s="195"/>
      <c r="I263" s="195"/>
      <c r="J263" s="195"/>
      <c r="K263" s="195"/>
      <c r="L263" s="195"/>
      <c r="M263" s="195"/>
      <c r="N263" s="196"/>
      <c r="O263" s="428"/>
      <c r="T263" s="712"/>
    </row>
    <row r="264" spans="1:26" ht="12.75" customHeight="1" x14ac:dyDescent="0.35">
      <c r="B264" s="94"/>
      <c r="C264" s="192"/>
      <c r="D264" s="199" t="s">
        <v>411</v>
      </c>
      <c r="E264" s="198" t="str">
        <f>Translations!$B$280</f>
        <v>Emissions embedded in this purchased precursor</v>
      </c>
      <c r="F264" s="198"/>
      <c r="G264" s="198"/>
      <c r="H264" s="198"/>
      <c r="I264" s="198"/>
      <c r="J264" s="198"/>
      <c r="K264" s="198"/>
      <c r="L264" s="198"/>
      <c r="M264" s="198"/>
      <c r="N264" s="196"/>
      <c r="O264" s="428"/>
      <c r="T264" s="712"/>
      <c r="V264" s="172"/>
      <c r="W264" s="172"/>
      <c r="X264" s="172"/>
      <c r="Z264" s="171"/>
    </row>
    <row r="265" spans="1:26" ht="4.9000000000000004" customHeight="1" x14ac:dyDescent="0.35">
      <c r="B265" s="94"/>
      <c r="C265" s="192"/>
      <c r="D265" s="199"/>
      <c r="E265" s="1328"/>
      <c r="F265" s="1328"/>
      <c r="G265" s="1328"/>
      <c r="H265" s="1328"/>
      <c r="I265" s="1328"/>
      <c r="J265" s="1328"/>
      <c r="K265" s="1328"/>
      <c r="L265" s="1328"/>
      <c r="M265" s="1328"/>
      <c r="N265" s="196"/>
      <c r="O265" s="428"/>
      <c r="T265" s="712"/>
    </row>
    <row r="266" spans="1:26" ht="13.15" customHeight="1" x14ac:dyDescent="0.35">
      <c r="B266" s="94"/>
      <c r="C266" s="192"/>
      <c r="D266" s="199"/>
      <c r="E266" s="1311" t="str">
        <f ca="1">HYPERLINK("#"&amp;ADDRESS(MATCH($S266,G_FurtherGuidance!$S:$S,0),3,,,G_FurtherGuidance!$U$2),CONST_LinkToGuidanceSheet)</f>
        <v>Please click on this link for further guidance on how to complete this section.</v>
      </c>
      <c r="F266" s="1312"/>
      <c r="G266" s="1312"/>
      <c r="H266" s="1312"/>
      <c r="I266" s="1312"/>
      <c r="J266" s="1312"/>
      <c r="K266" s="1312"/>
      <c r="L266" s="1312"/>
      <c r="M266" s="1312"/>
      <c r="N266" s="196"/>
      <c r="O266" s="428"/>
      <c r="R266" s="104" t="s">
        <v>2771</v>
      </c>
      <c r="S266" s="105">
        <v>4</v>
      </c>
      <c r="T266" s="712"/>
    </row>
    <row r="267" spans="1:26" ht="4.9000000000000004" customHeight="1" x14ac:dyDescent="0.35">
      <c r="B267" s="94"/>
      <c r="C267" s="192"/>
      <c r="D267" s="199"/>
      <c r="E267" s="1328"/>
      <c r="F267" s="1328"/>
      <c r="G267" s="1328"/>
      <c r="H267" s="1328"/>
      <c r="I267" s="1328"/>
      <c r="J267" s="1328"/>
      <c r="K267" s="1328"/>
      <c r="L267" s="1328"/>
      <c r="M267" s="1328"/>
      <c r="N267" s="384"/>
      <c r="O267" s="428"/>
      <c r="T267" s="712"/>
    </row>
    <row r="268" spans="1:26" ht="12.75" customHeight="1" x14ac:dyDescent="0.35">
      <c r="B268" s="94"/>
      <c r="C268" s="192"/>
      <c r="D268" s="199"/>
      <c r="E268" s="198" t="str">
        <f>Translations!$B$284</f>
        <v>Parameter:</v>
      </c>
      <c r="F268" s="195"/>
      <c r="G268" s="195"/>
      <c r="H268" s="195"/>
      <c r="I268" s="195"/>
      <c r="J268" s="195"/>
      <c r="K268" s="199" t="str">
        <f>Translations!$B$221</f>
        <v>Unit</v>
      </c>
      <c r="L268" s="199" t="str">
        <f>Translations!$B$260</f>
        <v>Value</v>
      </c>
      <c r="M268" s="199" t="str">
        <f>Translations!$B$285</f>
        <v>Source</v>
      </c>
      <c r="N268" s="196"/>
      <c r="O268" s="428"/>
      <c r="T268" s="764" t="s">
        <v>5</v>
      </c>
      <c r="U268" s="123" t="s">
        <v>2719</v>
      </c>
      <c r="V268" s="156" t="s">
        <v>3922</v>
      </c>
      <c r="W268" s="156"/>
      <c r="X268" s="156"/>
      <c r="Z268" s="171"/>
    </row>
    <row r="269" spans="1:26" ht="12.75" customHeight="1" x14ac:dyDescent="0.35">
      <c r="B269" s="94"/>
      <c r="C269" s="192"/>
      <c r="D269" s="197" t="s">
        <v>41</v>
      </c>
      <c r="E269" s="201" t="str">
        <f>Translations!$B$1969</f>
        <v>Specific embedded direct emissions (SEE (direct))</v>
      </c>
      <c r="F269" s="201"/>
      <c r="G269" s="201"/>
      <c r="H269" s="201"/>
      <c r="I269" s="201"/>
      <c r="J269" s="201"/>
      <c r="K269" s="217" t="str">
        <f>IF(L234="","",CONST_tCO2eq &amp; "/" &amp; K245)</f>
        <v/>
      </c>
      <c r="L269" s="215"/>
      <c r="M269" s="385"/>
      <c r="N269" s="196"/>
      <c r="O269" s="945"/>
      <c r="R269" s="102" t="str">
        <f>CONST_PurchPrecDefaultUsed&amp;G234</f>
        <v>PurchPrecDef_</v>
      </c>
      <c r="S269" s="102" t="str">
        <f>CONST_CNTR_EmbedEmDir&amp;G234</f>
        <v>EmbedEmDir_</v>
      </c>
      <c r="T269" s="124" t="str">
        <f>IF(G234="","",SUM(T245)*SUM(L269))</f>
        <v/>
      </c>
      <c r="U269" s="105" t="str">
        <f>IF(G234="","",IF(M269="",CONST_ERR_Incomplete,MATCH(M269,CONST_MeasDefaultUnknown,0)=2))</f>
        <v/>
      </c>
      <c r="V269" s="105" t="str">
        <f>IF(AND(G234&lt;&gt;"",COUNTA(L269:M269)=2),TRUE,IF(AND(G234&lt;&gt;"",COUNTA(L269:M269)&lt;2),CONST_ErrorOrMissing&amp;C234,CONST_NA))</f>
        <v>n.a.</v>
      </c>
      <c r="W269" s="156"/>
      <c r="X269" s="156"/>
      <c r="Z269" s="171"/>
    </row>
    <row r="270" spans="1:26" ht="12.75" customHeight="1" x14ac:dyDescent="0.35">
      <c r="B270" s="94"/>
      <c r="C270" s="192"/>
      <c r="D270" s="197" t="s">
        <v>42</v>
      </c>
      <c r="E270" s="759" t="str">
        <f>Translations!$B$1970</f>
        <v>Specific electricity consumption (for SEE (indirect))</v>
      </c>
      <c r="F270" s="759"/>
      <c r="G270" s="759"/>
      <c r="H270" s="759"/>
      <c r="I270" s="759"/>
      <c r="J270" s="759"/>
      <c r="K270" s="457" t="str">
        <f>IF(K269="","",CONST_MWh&amp;"/"&amp;K245)</f>
        <v/>
      </c>
      <c r="L270" s="760"/>
      <c r="M270" s="761"/>
      <c r="N270" s="196"/>
      <c r="O270" s="945"/>
      <c r="R270" s="102" t="str">
        <f>CONST_ElecConsumption&amp;G234</f>
        <v>ElecCons_</v>
      </c>
      <c r="S270" s="102"/>
      <c r="T270" s="124" t="str">
        <f>IF(G234="","",SUM(T245)*SUM(L270))</f>
        <v/>
      </c>
      <c r="U270" s="105" t="str">
        <f>IF(G234="","",IF(M270="",CONST_ERR_Incomplete,MATCH(M270,CONST_MeasDefaultUnknown,0)=2))</f>
        <v/>
      </c>
      <c r="V270" s="105" t="str">
        <f>IF(AND(G234&lt;&gt;"",COUNTA(L270:M270)=2),TRUE,IF(AND(G234&lt;&gt;"",COUNTA(L270:M270)&lt;2),CONST_ErrorOrMissing&amp;C234,CONST_NA))</f>
        <v>n.a.</v>
      </c>
      <c r="W270" s="156"/>
      <c r="X270" s="156"/>
      <c r="Z270" s="171"/>
    </row>
    <row r="271" spans="1:26" ht="12.75" customHeight="1" x14ac:dyDescent="0.35">
      <c r="B271" s="94"/>
      <c r="C271" s="192"/>
      <c r="D271" s="197" t="s">
        <v>43</v>
      </c>
      <c r="E271" s="1144" t="str">
        <f>Translations!$B$1971</f>
        <v>Electricity emission factor (for SEE (indirect))</v>
      </c>
      <c r="F271" s="1144"/>
      <c r="G271" s="1144"/>
      <c r="H271" s="1144"/>
      <c r="I271" s="1144"/>
      <c r="J271" s="1144"/>
      <c r="K271" s="1145" t="str">
        <f>IF(K269="","",CONST_tCO2eq&amp;"/"&amp;CONST_MWh)</f>
        <v/>
      </c>
      <c r="L271" s="1146"/>
      <c r="M271" s="762"/>
      <c r="N271" s="196"/>
      <c r="O271" s="945"/>
      <c r="R271" s="102" t="str">
        <f>CONST_CNTR_ElecEFMethod&amp;G234</f>
        <v>ElecEFMeth_</v>
      </c>
      <c r="S271" s="102"/>
      <c r="T271" s="124"/>
      <c r="U271" s="105" t="str">
        <f>IF(G234="","",M271)</f>
        <v/>
      </c>
      <c r="V271" s="105" t="str">
        <f>IF(AND(G234&lt;&gt;"",COUNTA(L271:M271)=2),TRUE,IF(AND(G234&lt;&gt;"",COUNTA(L271:M271)&lt;2),CONST_ErrorOrMissing&amp;C234,CONST_NA))</f>
        <v>n.a.</v>
      </c>
      <c r="W271" s="156"/>
      <c r="X271" s="156"/>
      <c r="Z271" s="171"/>
    </row>
    <row r="272" spans="1:26" x14ac:dyDescent="0.35">
      <c r="B272" s="94"/>
      <c r="C272" s="192"/>
      <c r="D272" s="197" t="s">
        <v>44</v>
      </c>
      <c r="E272" s="201" t="str">
        <f>Translations!$B$1972</f>
        <v>Specific embedded indirect emissions (SEE (indirect))</v>
      </c>
      <c r="F272" s="201"/>
      <c r="G272" s="201"/>
      <c r="H272" s="201"/>
      <c r="I272" s="201"/>
      <c r="J272" s="201"/>
      <c r="K272" s="217" t="str">
        <f>K269</f>
        <v/>
      </c>
      <c r="L272" s="1147" t="str">
        <f>IF(COUNT(L270:L271)=0,"",L270*L271)</f>
        <v/>
      </c>
      <c r="M272" s="758"/>
      <c r="N272" s="196"/>
      <c r="O272" s="428"/>
      <c r="R272" s="171"/>
      <c r="S272" s="102" t="str">
        <f>CONST_CNTR_EmbedEmInDir&amp;G234</f>
        <v>EmbedEmInDir_</v>
      </c>
      <c r="T272" s="124" t="str">
        <f>IF(G234="","",SUM(T245)*SUM(L272))</f>
        <v/>
      </c>
      <c r="Z272" s="171"/>
    </row>
    <row r="273" spans="1:26" ht="5.15" customHeight="1" x14ac:dyDescent="0.35">
      <c r="B273" s="94"/>
      <c r="C273" s="192"/>
      <c r="D273" s="197"/>
      <c r="E273" s="195"/>
      <c r="F273" s="195"/>
      <c r="G273" s="195"/>
      <c r="H273" s="195"/>
      <c r="I273" s="195"/>
      <c r="J273" s="195"/>
      <c r="K273" s="195"/>
      <c r="L273" s="195"/>
      <c r="M273" s="195"/>
      <c r="N273" s="196"/>
      <c r="O273" s="428"/>
      <c r="R273" s="171"/>
      <c r="S273" s="171"/>
      <c r="T273" s="125"/>
      <c r="U273" s="156"/>
      <c r="V273" s="172"/>
      <c r="W273" s="172"/>
      <c r="X273" s="172"/>
      <c r="Z273" s="171"/>
    </row>
    <row r="274" spans="1:26" ht="12.75" customHeight="1" x14ac:dyDescent="0.35">
      <c r="B274" s="94"/>
      <c r="C274" s="192"/>
      <c r="D274" s="197" t="s">
        <v>45</v>
      </c>
      <c r="E274" s="201" t="str">
        <f>Translations!$B$1858</f>
        <v>Justification for use of default values (if relevant):</v>
      </c>
      <c r="F274" s="201"/>
      <c r="G274" s="201"/>
      <c r="H274" s="201"/>
      <c r="I274" s="201"/>
      <c r="J274" s="201"/>
      <c r="K274" s="1329"/>
      <c r="L274" s="1329"/>
      <c r="M274" s="1329"/>
      <c r="N274" s="196"/>
      <c r="O274" s="945"/>
      <c r="R274" s="171"/>
      <c r="S274" s="171"/>
      <c r="T274" s="125"/>
      <c r="U274" s="156"/>
      <c r="V274" s="105" t="str">
        <f>IF(OR(G234="",Z274=TRUE),CONST_NA,IF(K274&lt;&gt;"",TRUE,CONST_ErrorOrMissing&amp;C234))</f>
        <v>n.a.</v>
      </c>
      <c r="W274" s="172"/>
      <c r="X274" s="172"/>
      <c r="Z274" s="102" t="b">
        <f>AND(M269&lt;&gt;"",M269&lt;&gt;INDEX(CONST_MeasDefaultUnknown,2),M270&lt;&gt;"",M270&lt;&gt;INDEX(CONST_MeasDefaultUnknown,2))</f>
        <v>0</v>
      </c>
    </row>
    <row r="275" spans="1:26" s="144" customFormat="1" ht="12.75" customHeight="1" thickBot="1" x14ac:dyDescent="0.4">
      <c r="A275" s="91"/>
      <c r="B275" s="94"/>
      <c r="C275" s="206"/>
      <c r="D275" s="207"/>
      <c r="E275" s="208"/>
      <c r="F275" s="209"/>
      <c r="G275" s="209"/>
      <c r="H275" s="209"/>
      <c r="I275" s="209"/>
      <c r="J275" s="209"/>
      <c r="K275" s="209"/>
      <c r="L275" s="209"/>
      <c r="M275" s="209"/>
      <c r="N275" s="210"/>
      <c r="O275" s="428"/>
      <c r="P275" s="94"/>
      <c r="Q275" s="93"/>
      <c r="R275" s="91"/>
      <c r="S275" s="91"/>
      <c r="T275" s="712"/>
      <c r="U275" s="91"/>
      <c r="V275" s="91"/>
      <c r="W275" s="91"/>
      <c r="X275" s="91"/>
      <c r="Y275" s="91"/>
      <c r="Z275" s="91"/>
    </row>
    <row r="276" spans="1:26" s="144" customFormat="1" ht="12.75" customHeight="1" thickBot="1" x14ac:dyDescent="0.4">
      <c r="A276" s="91"/>
      <c r="B276" s="94"/>
      <c r="O276" s="428"/>
      <c r="P276" s="94"/>
      <c r="Q276" s="93"/>
      <c r="R276" s="91"/>
      <c r="S276" s="91"/>
      <c r="T276" s="712"/>
      <c r="U276" s="91"/>
      <c r="V276" s="91"/>
      <c r="W276" s="91"/>
      <c r="X276" s="91"/>
      <c r="Y276" s="91"/>
      <c r="Z276" s="91"/>
    </row>
    <row r="277" spans="1:26" s="144" customFormat="1" ht="12.75" customHeight="1" thickBot="1" x14ac:dyDescent="0.4">
      <c r="A277" s="91"/>
      <c r="B277" s="946"/>
      <c r="C277" s="145"/>
      <c r="D277" s="145"/>
      <c r="E277" s="145"/>
      <c r="F277" s="145"/>
      <c r="G277" s="145"/>
      <c r="H277" s="145"/>
      <c r="I277" s="145"/>
      <c r="J277" s="145"/>
      <c r="K277" s="145"/>
      <c r="L277" s="145"/>
      <c r="M277" s="145"/>
      <c r="N277" s="145"/>
      <c r="O277" s="947"/>
      <c r="P277" s="94"/>
      <c r="Q277" s="93"/>
      <c r="R277" s="91"/>
      <c r="S277" s="91"/>
      <c r="T277" s="712"/>
      <c r="U277" s="91"/>
      <c r="V277" s="91"/>
      <c r="W277" s="91"/>
      <c r="X277" s="91"/>
      <c r="Y277" s="91"/>
      <c r="Z277" s="91"/>
    </row>
    <row r="278" spans="1:26" ht="18" customHeight="1" thickBot="1" x14ac:dyDescent="0.4">
      <c r="B278" s="94"/>
      <c r="C278" s="147">
        <f>C234+1</f>
        <v>7</v>
      </c>
      <c r="D278" s="944" t="str">
        <f>CONST_PurchPrecursor &amp; " " &amp; C278 &amp; ":"</f>
        <v>Purchased precursor 7:</v>
      </c>
      <c r="E278" s="144"/>
      <c r="F278" s="144"/>
      <c r="G278" s="1313" t="str">
        <f>IF(INDEX(CNTR_List_ExistPurchPrecNames,MATCH(R278,CNTR_ListPurchPrecID,0))=CONST_NA,"",INDEX(CNTR_List_ExistPurchPrecNames,MATCH(R278,CNTR_ListPurchPrecID,0)))</f>
        <v/>
      </c>
      <c r="H278" s="1314"/>
      <c r="I278" s="1314"/>
      <c r="J278" s="1314"/>
      <c r="K278" s="1315"/>
      <c r="L278" s="1316" t="str">
        <f>IF(INDEX(CNTR_List_ExistPurchPrec,MATCH(R278,CNTR_ListPurchPrecID,0))=CONST_NA,"",INDEX(CNTR_List_ExistPurchPrec,MATCH(R278,CNTR_ListPurchPrecID,0)))</f>
        <v/>
      </c>
      <c r="M278" s="1317"/>
      <c r="N278" s="1318"/>
      <c r="O278" s="428"/>
      <c r="R278" s="149" t="str">
        <f>INDEX(CNTR_ListPurchPrecID,C278)</f>
        <v>PP7</v>
      </c>
      <c r="Y278" s="104" t="s">
        <v>2748</v>
      </c>
      <c r="Z278" s="150" t="b">
        <f>AND(CNTR_HasEntriesA,G278="")</f>
        <v>0</v>
      </c>
    </row>
    <row r="279" spans="1:26" ht="26.5" customHeight="1" x14ac:dyDescent="0.35">
      <c r="B279" s="94"/>
      <c r="C279" s="144"/>
      <c r="D279" s="914"/>
      <c r="E279" s="1325" t="str">
        <f ca="1">HYPERLINK("#"&amp;ADDRESS(MATCH($S279,G_FurtherGuidance!$S:$S,0),3,,,G_FurtherGuidance!$U$2),CONST_LinkToGuidanceSheet)</f>
        <v>Please click on this link for further guidance on how to complete this section.</v>
      </c>
      <c r="F279" s="1326"/>
      <c r="G279" s="1326"/>
      <c r="H279" s="1326"/>
      <c r="I279" s="1326"/>
      <c r="J279" s="1326"/>
      <c r="K279" s="1326"/>
      <c r="L279" s="1326"/>
      <c r="M279" s="1326"/>
      <c r="N279" s="144"/>
      <c r="O279" s="428"/>
      <c r="R279" s="104" t="s">
        <v>2771</v>
      </c>
      <c r="S279" s="105">
        <v>4</v>
      </c>
      <c r="Y279" s="104"/>
    </row>
    <row r="280" spans="1:26" ht="12.75" customHeight="1" x14ac:dyDescent="0.35">
      <c r="B280" s="94"/>
      <c r="C280" s="144"/>
      <c r="D280" s="168" t="s">
        <v>135</v>
      </c>
      <c r="E280" s="167" t="str">
        <f>Translations!$B$276</f>
        <v>Total purchased levels:</v>
      </c>
      <c r="F280" s="144"/>
      <c r="G280" s="144"/>
      <c r="H280" s="151" t="str">
        <f>Translations!$B$244</f>
        <v>Production route</v>
      </c>
      <c r="I280" s="144"/>
      <c r="J280" s="144"/>
      <c r="K280" s="152" t="str">
        <f>Translations!$B$221</f>
        <v>Unit</v>
      </c>
      <c r="L280" s="152" t="str">
        <f>Translations!$B$245</f>
        <v>Amounts</v>
      </c>
      <c r="M280" s="144"/>
      <c r="N280" s="144"/>
      <c r="O280" s="428"/>
      <c r="Y280" s="91" t="s">
        <v>4077</v>
      </c>
    </row>
    <row r="281" spans="1:26" ht="12.75" customHeight="1" x14ac:dyDescent="0.35">
      <c r="B281" s="94"/>
      <c r="C281" s="144"/>
      <c r="D281" s="173">
        <v>1</v>
      </c>
      <c r="E281" s="153" t="str">
        <f>IF(G278="","",G278) &amp; IF(L278="",""," | " &amp; L278)</f>
        <v/>
      </c>
      <c r="F281" s="153"/>
      <c r="G281" s="153"/>
      <c r="H281" s="154" t="str">
        <f>IF(L278="","",INDEX(CONST_MATRIX_ProductionRoute,MATCH(L278,CONST_LIST_Goods,0),D281))</f>
        <v/>
      </c>
      <c r="I281" s="153"/>
      <c r="J281" s="153"/>
      <c r="K281" s="155" t="str">
        <f>IF(L278="","",INDEX(CONST_LIST_GoodsUnit,MATCH(L278,CONST_LIST_Goods,0)))</f>
        <v/>
      </c>
      <c r="L281" s="29"/>
      <c r="M281" s="144"/>
      <c r="N281" s="144"/>
      <c r="O281" s="945"/>
      <c r="S281" s="105">
        <v>1</v>
      </c>
      <c r="V281" s="105" t="str">
        <f>IF(AND(Y281=FALSE,ISNUMBER(L281)),TRUE,IF(Y281=FALSE,CONST_ErrorOrMissing&amp;C278,CONST_NA))</f>
        <v>n.a.</v>
      </c>
      <c r="Y281" s="105" t="str">
        <f>IF(OR(H281="",H281=CONST_NA),"",IF(H281=CONST_AllProdRoutes,FALSE, COUNTIF(INDEX(CNTR_MatrixPurchPrecRoutes,C278,),S281)=0))</f>
        <v/>
      </c>
    </row>
    <row r="282" spans="1:26" ht="12.75" customHeight="1" x14ac:dyDescent="0.35">
      <c r="B282" s="94"/>
      <c r="C282" s="144"/>
      <c r="D282" s="173">
        <v>2</v>
      </c>
      <c r="E282" s="158" t="str">
        <f t="shared" ref="E282:E288" si="30">IF(H282=CONST_NA,"",E281)</f>
        <v/>
      </c>
      <c r="F282" s="158"/>
      <c r="G282" s="158"/>
      <c r="H282" s="159" t="str">
        <f>IF(L278="","",INDEX(CONST_MATRIX_ProductionRoute,MATCH(L278,CONST_LIST_Goods,0),D282))</f>
        <v/>
      </c>
      <c r="I282" s="158"/>
      <c r="J282" s="158"/>
      <c r="K282" s="160" t="str">
        <f t="shared" ref="K282:K288" si="31">IF(H282=CONST_NA,"",K281)</f>
        <v/>
      </c>
      <c r="L282" s="30"/>
      <c r="M282" s="144"/>
      <c r="N282" s="144"/>
      <c r="O282" s="945"/>
      <c r="S282" s="105">
        <v>2</v>
      </c>
      <c r="V282" s="105" t="str">
        <f>IF(AND(Y282=FALSE,ISNUMBER(L282)),TRUE,IF(Y282=FALSE,CONST_ErrorOrMissing&amp;C278,CONST_NA))</f>
        <v>n.a.</v>
      </c>
      <c r="Y282" s="105" t="str">
        <f>IF(OR(H282="",H282=CONST_NA),"",IF(H282=CONST_AllProdRoutes,FALSE, COUNTIF(INDEX(CNTR_MatrixPurchPrecRoutes,C278,),S282)=0))</f>
        <v/>
      </c>
    </row>
    <row r="283" spans="1:26" ht="12.75" customHeight="1" x14ac:dyDescent="0.35">
      <c r="B283" s="94"/>
      <c r="C283" s="144"/>
      <c r="D283" s="173">
        <v>3</v>
      </c>
      <c r="E283" s="158" t="str">
        <f t="shared" si="30"/>
        <v/>
      </c>
      <c r="F283" s="158"/>
      <c r="G283" s="158"/>
      <c r="H283" s="159" t="str">
        <f>IF(L278="","",INDEX(CONST_MATRIX_ProductionRoute,MATCH(L278,CONST_LIST_Goods,0),D283))</f>
        <v/>
      </c>
      <c r="I283" s="158"/>
      <c r="J283" s="158"/>
      <c r="K283" s="160" t="str">
        <f t="shared" si="31"/>
        <v/>
      </c>
      <c r="L283" s="30"/>
      <c r="M283" s="144"/>
      <c r="N283" s="144"/>
      <c r="O283" s="945"/>
      <c r="S283" s="105">
        <v>3</v>
      </c>
      <c r="V283" s="105" t="str">
        <f>IF(AND(Y283=FALSE,ISNUMBER(L283)),TRUE,IF(Y283=FALSE,CONST_ErrorOrMissing&amp;C278,CONST_NA))</f>
        <v>n.a.</v>
      </c>
      <c r="Y283" s="105" t="str">
        <f>IF(OR(H283="",H283=CONST_NA),"",IF(H283=CONST_AllProdRoutes,FALSE, COUNTIF(INDEX(CNTR_MatrixPurchPrecRoutes,C278,),S283)=0))</f>
        <v/>
      </c>
    </row>
    <row r="284" spans="1:26" ht="12.75" customHeight="1" x14ac:dyDescent="0.35">
      <c r="B284" s="94"/>
      <c r="C284" s="144"/>
      <c r="D284" s="173">
        <v>4</v>
      </c>
      <c r="E284" s="158" t="str">
        <f t="shared" si="30"/>
        <v/>
      </c>
      <c r="F284" s="158"/>
      <c r="G284" s="158"/>
      <c r="H284" s="159" t="str">
        <f>IF(L278="","",INDEX(CONST_MATRIX_ProductionRoute,MATCH(L278,CONST_LIST_Goods,0),D284))</f>
        <v/>
      </c>
      <c r="I284" s="158"/>
      <c r="J284" s="158"/>
      <c r="K284" s="160" t="str">
        <f t="shared" si="31"/>
        <v/>
      </c>
      <c r="L284" s="30"/>
      <c r="M284" s="144"/>
      <c r="N284" s="144"/>
      <c r="O284" s="945"/>
      <c r="S284" s="105">
        <v>4</v>
      </c>
      <c r="V284" s="105" t="str">
        <f>IF(AND(Y284=FALSE,ISNUMBER(L284)),TRUE,IF(Y284=FALSE,CONST_ErrorOrMissing&amp;C278,CONST_NA))</f>
        <v>n.a.</v>
      </c>
      <c r="Y284" s="105" t="str">
        <f>IF(OR(H284="",H284=CONST_NA),"",IF(H284=CONST_AllProdRoutes,FALSE, COUNTIF(INDEX(CNTR_MatrixPurchPrecRoutes,C278,),S284)=0))</f>
        <v/>
      </c>
    </row>
    <row r="285" spans="1:26" ht="12.75" customHeight="1" x14ac:dyDescent="0.35">
      <c r="B285" s="94"/>
      <c r="C285" s="144"/>
      <c r="D285" s="173">
        <v>5</v>
      </c>
      <c r="E285" s="158" t="str">
        <f t="shared" si="30"/>
        <v/>
      </c>
      <c r="F285" s="158"/>
      <c r="G285" s="158"/>
      <c r="H285" s="159" t="str">
        <f>IF(L278="","",INDEX(CONST_MATRIX_ProductionRoute,MATCH(L278,CONST_LIST_Goods,0),D285))</f>
        <v/>
      </c>
      <c r="I285" s="158"/>
      <c r="J285" s="158"/>
      <c r="K285" s="160" t="str">
        <f t="shared" si="31"/>
        <v/>
      </c>
      <c r="L285" s="30"/>
      <c r="M285" s="144"/>
      <c r="N285" s="144"/>
      <c r="O285" s="945"/>
      <c r="S285" s="105">
        <v>5</v>
      </c>
      <c r="V285" s="105" t="str">
        <f>IF(AND(Y285=FALSE,ISNUMBER(L285)),TRUE,IF(Y285=FALSE,CONST_ErrorOrMissing&amp;C278,CONST_NA))</f>
        <v>n.a.</v>
      </c>
      <c r="Y285" s="105" t="str">
        <f>IF(OR(H285="",H285=CONST_NA),"",IF(H285=CONST_AllProdRoutes,FALSE, COUNTIF(INDEX(CNTR_MatrixPurchPrecRoutes,C278,),S285)=0))</f>
        <v/>
      </c>
    </row>
    <row r="286" spans="1:26" ht="12.75" customHeight="1" x14ac:dyDescent="0.35">
      <c r="B286" s="94"/>
      <c r="C286" s="144"/>
      <c r="D286" s="173">
        <v>6</v>
      </c>
      <c r="E286" s="158" t="str">
        <f t="shared" si="30"/>
        <v/>
      </c>
      <c r="F286" s="158"/>
      <c r="G286" s="158"/>
      <c r="H286" s="159" t="str">
        <f>IF(L278="","",INDEX(CONST_MATRIX_ProductionRoute,MATCH(L278,CONST_LIST_Goods,0),D286))</f>
        <v/>
      </c>
      <c r="I286" s="158"/>
      <c r="J286" s="158"/>
      <c r="K286" s="160" t="str">
        <f t="shared" si="31"/>
        <v/>
      </c>
      <c r="L286" s="30"/>
      <c r="M286" s="144"/>
      <c r="N286" s="144"/>
      <c r="O286" s="945"/>
      <c r="S286" s="105">
        <v>6</v>
      </c>
      <c r="V286" s="105" t="str">
        <f>IF(AND(Y286=FALSE,ISNUMBER(L286)),TRUE,IF(Y286=FALSE,CONST_ErrorOrMissing&amp;C278,CONST_NA))</f>
        <v>n.a.</v>
      </c>
      <c r="Y286" s="105" t="str">
        <f>IF(OR(H286="",H286=CONST_NA),"",IF(H286=CONST_AllProdRoutes,FALSE, COUNTIF(INDEX(CNTR_MatrixPurchPrecRoutes,C278,),S286)=0))</f>
        <v/>
      </c>
    </row>
    <row r="287" spans="1:26" ht="12.75" customHeight="1" x14ac:dyDescent="0.35">
      <c r="B287" s="94"/>
      <c r="C287" s="144"/>
      <c r="D287" s="173">
        <v>7</v>
      </c>
      <c r="E287" s="158" t="str">
        <f t="shared" si="30"/>
        <v/>
      </c>
      <c r="F287" s="158"/>
      <c r="G287" s="158"/>
      <c r="H287" s="159" t="str">
        <f>IF(L278="","",INDEX(CONST_MATRIX_ProductionRoute,MATCH(L278,CONST_LIST_Goods,0),D287))</f>
        <v/>
      </c>
      <c r="I287" s="158"/>
      <c r="J287" s="158"/>
      <c r="K287" s="160" t="str">
        <f t="shared" si="31"/>
        <v/>
      </c>
      <c r="L287" s="30"/>
      <c r="M287" s="144"/>
      <c r="N287" s="144"/>
      <c r="O287" s="945"/>
      <c r="S287" s="105">
        <v>7</v>
      </c>
      <c r="V287" s="105" t="str">
        <f>IF(AND(Y287=FALSE,ISNUMBER(L287)),TRUE,IF(Y287=FALSE,CONST_ErrorOrMissing&amp;C278,CONST_NA))</f>
        <v>n.a.</v>
      </c>
      <c r="Y287" s="105" t="str">
        <f>IF(OR(H287="",H287=CONST_NA),"",IF(H287=CONST_AllProdRoutes,FALSE, COUNTIF(INDEX(CNTR_MatrixPurchPrecRoutes,C278,),S287)=0))</f>
        <v/>
      </c>
    </row>
    <row r="288" spans="1:26" ht="12.75" customHeight="1" x14ac:dyDescent="0.35">
      <c r="B288" s="94"/>
      <c r="C288" s="144"/>
      <c r="D288" s="173">
        <v>8</v>
      </c>
      <c r="E288" s="161" t="str">
        <f t="shared" si="30"/>
        <v/>
      </c>
      <c r="F288" s="161"/>
      <c r="G288" s="161"/>
      <c r="H288" s="162" t="str">
        <f>IF(L278="","",INDEX(CONST_MATRIX_ProductionRoute,MATCH(L278,CONST_LIST_Goods,0),D288))</f>
        <v/>
      </c>
      <c r="I288" s="161"/>
      <c r="J288" s="161"/>
      <c r="K288" s="163" t="str">
        <f t="shared" si="31"/>
        <v/>
      </c>
      <c r="L288" s="31"/>
      <c r="M288" s="144"/>
      <c r="N288" s="144"/>
      <c r="O288" s="945"/>
      <c r="S288" s="105">
        <v>8</v>
      </c>
      <c r="V288" s="105" t="str">
        <f>IF(AND(Y288=FALSE,ISNUMBER(L288)),TRUE,IF(Y288=FALSE,CONST_ErrorOrMissing&amp;C278,CONST_NA))</f>
        <v>n.a.</v>
      </c>
      <c r="Y288" s="105" t="str">
        <f>IF(OR(H288="",H288=CONST_NA),"",IF(H288=CONST_AllProdRoutes,FALSE, COUNTIF(INDEX(CNTR_MatrixPurchPrecRoutes,C278,),S288)=0))</f>
        <v/>
      </c>
    </row>
    <row r="289" spans="1:26" ht="12.75" customHeight="1" x14ac:dyDescent="0.35">
      <c r="B289" s="94"/>
      <c r="C289" s="144"/>
      <c r="D289" s="914"/>
      <c r="E289" s="138" t="str">
        <f>Translations!$B$1966</f>
        <v>Total purchase for possible consumption within installation:</v>
      </c>
      <c r="F289" s="138"/>
      <c r="G289" s="138"/>
      <c r="H289" s="164"/>
      <c r="I289" s="138"/>
      <c r="J289" s="138"/>
      <c r="K289" s="169" t="str">
        <f>K281</f>
        <v/>
      </c>
      <c r="L289" s="386" t="str">
        <f>IF(G278="","",SUM(L281:L288))</f>
        <v/>
      </c>
      <c r="M289" s="144"/>
      <c r="N289" s="144"/>
      <c r="O289" s="428"/>
      <c r="R289" s="102" t="str">
        <f>CONST_CNTR_TotProd&amp;G278</f>
        <v>TotProd_</v>
      </c>
      <c r="T289" s="216" t="str">
        <f>IF(G278="","",IF(SUM(L289)=0,100,L289))</f>
        <v/>
      </c>
      <c r="V289" s="123"/>
    </row>
    <row r="290" spans="1:26" s="144" customFormat="1" ht="5.15" customHeight="1" x14ac:dyDescent="0.35">
      <c r="A290" s="91"/>
      <c r="B290" s="94"/>
      <c r="D290" s="166"/>
      <c r="E290" s="167"/>
      <c r="O290" s="428"/>
      <c r="P290" s="94"/>
      <c r="Q290" s="93"/>
      <c r="R290" s="91"/>
      <c r="S290" s="91"/>
      <c r="T290" s="712"/>
      <c r="U290" s="91"/>
      <c r="V290" s="123"/>
      <c r="W290" s="91"/>
      <c r="X290" s="91"/>
      <c r="Y290" s="91"/>
      <c r="Z290" s="91"/>
    </row>
    <row r="291" spans="1:26" s="144" customFormat="1" ht="12.75" customHeight="1" x14ac:dyDescent="0.35">
      <c r="A291" s="91"/>
      <c r="B291" s="94"/>
      <c r="D291" s="168" t="s">
        <v>48</v>
      </c>
      <c r="E291" s="167" t="str">
        <f>Translations!$B$1967</f>
        <v>Consumed in 'production processes' within the installation:</v>
      </c>
      <c r="F291" s="167"/>
      <c r="G291" s="167"/>
      <c r="H291" s="167"/>
      <c r="I291" s="167"/>
      <c r="J291" s="167"/>
      <c r="K291" s="168" t="str">
        <f>Translations!$B$221</f>
        <v>Unit</v>
      </c>
      <c r="L291" s="168" t="str">
        <f>Translations!$B$245</f>
        <v>Amounts</v>
      </c>
      <c r="O291" s="428"/>
      <c r="P291" s="94"/>
      <c r="Q291" s="93"/>
      <c r="R291" s="91"/>
      <c r="S291" s="123" t="s">
        <v>195</v>
      </c>
      <c r="T291" s="712"/>
      <c r="U291" s="91"/>
      <c r="V291" s="123"/>
      <c r="W291" s="91"/>
      <c r="X291" s="91"/>
      <c r="Y291" s="91"/>
      <c r="Z291" s="91"/>
    </row>
    <row r="292" spans="1:26" s="144" customFormat="1" ht="12.75" customHeight="1" x14ac:dyDescent="0.35">
      <c r="A292" s="91"/>
      <c r="B292" s="94"/>
      <c r="D292" s="173">
        <v>1</v>
      </c>
      <c r="E292" s="174" t="str">
        <f t="shared" ref="E292:E301" si="32">IF(INDEX(CNTR_List_ExistProdProcNames,S292)=CONST_NA,"",INDEX(CNTR_List_ExistProdProcNames,S292))</f>
        <v/>
      </c>
      <c r="F292" s="175"/>
      <c r="G292" s="175"/>
      <c r="H292" s="175"/>
      <c r="I292" s="175"/>
      <c r="J292" s="176"/>
      <c r="K292" s="155" t="str">
        <f>IF(E292="","",K289)</f>
        <v/>
      </c>
      <c r="L292" s="29"/>
      <c r="O292" s="945"/>
      <c r="P292" s="94"/>
      <c r="Q292" s="93"/>
      <c r="R292" s="102" t="str">
        <f>CONST_PrecursorToGoodInput&amp;G278 &amp;"_"&amp;E292</f>
        <v>PrecToGood__</v>
      </c>
      <c r="S292" s="105">
        <f>D292</f>
        <v>1</v>
      </c>
      <c r="T292" s="124" t="str">
        <f>IF(G278="","",L292)</f>
        <v/>
      </c>
      <c r="U292" s="91"/>
      <c r="V292" s="105" t="str">
        <f>IF(AND(G278&lt;&gt;"",E292&lt;&gt;"",L292&lt;&gt;""),TRUE,IF(AND(G278&lt;&gt;"",E292&lt;&gt;"",L292="",Z292=FALSE),CONST_ErrorOrMissing&amp;C278,CONST_NA))</f>
        <v>n.a.</v>
      </c>
      <c r="W292" s="172"/>
      <c r="X292" s="172"/>
      <c r="Y292" s="91" t="s">
        <v>34</v>
      </c>
      <c r="Z292" s="102" t="b">
        <f>IF(G278="",FALSE,E292="")</f>
        <v>0</v>
      </c>
    </row>
    <row r="293" spans="1:26" s="144" customFormat="1" ht="12.75" customHeight="1" x14ac:dyDescent="0.35">
      <c r="A293" s="91"/>
      <c r="B293" s="94"/>
      <c r="D293" s="173">
        <v>2</v>
      </c>
      <c r="E293" s="177" t="str">
        <f t="shared" si="32"/>
        <v/>
      </c>
      <c r="F293" s="178"/>
      <c r="G293" s="178"/>
      <c r="H293" s="178"/>
      <c r="I293" s="178"/>
      <c r="J293" s="179"/>
      <c r="K293" s="160" t="str">
        <f>IF(E293="","",K292)</f>
        <v/>
      </c>
      <c r="L293" s="30"/>
      <c r="O293" s="945"/>
      <c r="P293" s="94"/>
      <c r="Q293" s="93"/>
      <c r="R293" s="102" t="str">
        <f>CONST_PrecursorToGoodInput&amp;G278 &amp;"_"&amp;E293</f>
        <v>PrecToGood__</v>
      </c>
      <c r="S293" s="105">
        <f t="shared" ref="S293:S301" si="33">D293</f>
        <v>2</v>
      </c>
      <c r="T293" s="124" t="str">
        <f>IF(G278="","",L293)</f>
        <v/>
      </c>
      <c r="U293" s="91"/>
      <c r="V293" s="105" t="str">
        <f>IF(AND(G278&lt;&gt;"",E293&lt;&gt;"",L293&lt;&gt;""),TRUE,IF(AND(G278&lt;&gt;"",E293&lt;&gt;"",L293="",Z293=FALSE),CONST_ErrorOrMissing&amp;C278,CONST_NA))</f>
        <v>n.a.</v>
      </c>
      <c r="W293" s="172"/>
      <c r="X293" s="172"/>
      <c r="Y293" s="91"/>
      <c r="Z293" s="102" t="b">
        <f>IF(G278="",FALSE,E293="")</f>
        <v>0</v>
      </c>
    </row>
    <row r="294" spans="1:26" s="144" customFormat="1" ht="12.75" customHeight="1" x14ac:dyDescent="0.35">
      <c r="A294" s="91"/>
      <c r="B294" s="94"/>
      <c r="D294" s="173">
        <v>3</v>
      </c>
      <c r="E294" s="177" t="str">
        <f t="shared" si="32"/>
        <v/>
      </c>
      <c r="F294" s="178"/>
      <c r="G294" s="178"/>
      <c r="H294" s="178"/>
      <c r="I294" s="178"/>
      <c r="J294" s="179"/>
      <c r="K294" s="160" t="str">
        <f t="shared" ref="K294:K301" si="34">IF(E294="","",K293)</f>
        <v/>
      </c>
      <c r="L294" s="30"/>
      <c r="O294" s="945"/>
      <c r="P294" s="94"/>
      <c r="Q294" s="93"/>
      <c r="R294" s="102" t="str">
        <f>CONST_PrecursorToGoodInput&amp;G278 &amp;"_"&amp;E294</f>
        <v>PrecToGood__</v>
      </c>
      <c r="S294" s="105">
        <f t="shared" si="33"/>
        <v>3</v>
      </c>
      <c r="T294" s="124" t="str">
        <f>IF(G278="","",L294)</f>
        <v/>
      </c>
      <c r="U294" s="91"/>
      <c r="V294" s="105" t="str">
        <f>IF(AND(G278&lt;&gt;"",E294&lt;&gt;"",L294&lt;&gt;""),TRUE,IF(AND(G278&lt;&gt;"",E294&lt;&gt;"",L294="",Z294=FALSE),CONST_ErrorOrMissing&amp;C278,CONST_NA))</f>
        <v>n.a.</v>
      </c>
      <c r="W294" s="172"/>
      <c r="X294" s="172"/>
      <c r="Y294" s="91"/>
      <c r="Z294" s="102" t="b">
        <f>IF(G278="",FALSE,E294="")</f>
        <v>0</v>
      </c>
    </row>
    <row r="295" spans="1:26" s="144" customFormat="1" ht="12.75" customHeight="1" x14ac:dyDescent="0.35">
      <c r="A295" s="91"/>
      <c r="B295" s="94"/>
      <c r="D295" s="173">
        <v>4</v>
      </c>
      <c r="E295" s="177" t="str">
        <f t="shared" si="32"/>
        <v/>
      </c>
      <c r="F295" s="178"/>
      <c r="G295" s="178"/>
      <c r="H295" s="178"/>
      <c r="I295" s="178"/>
      <c r="J295" s="179"/>
      <c r="K295" s="160" t="str">
        <f t="shared" si="34"/>
        <v/>
      </c>
      <c r="L295" s="30"/>
      <c r="O295" s="945"/>
      <c r="P295" s="94"/>
      <c r="Q295" s="93"/>
      <c r="R295" s="102" t="str">
        <f>CONST_PrecursorToGoodInput&amp;G278 &amp;"_"&amp;E295</f>
        <v>PrecToGood__</v>
      </c>
      <c r="S295" s="105">
        <f t="shared" si="33"/>
        <v>4</v>
      </c>
      <c r="T295" s="124" t="str">
        <f>IF(G278="","",L295)</f>
        <v/>
      </c>
      <c r="U295" s="91"/>
      <c r="V295" s="105" t="str">
        <f>IF(AND(G278&lt;&gt;"",E295&lt;&gt;"",L295&lt;&gt;""),TRUE,IF(AND(G278&lt;&gt;"",E295&lt;&gt;"",L295="",Z295=FALSE),CONST_ErrorOrMissing&amp;C278,CONST_NA))</f>
        <v>n.a.</v>
      </c>
      <c r="W295" s="172"/>
      <c r="X295" s="172"/>
      <c r="Y295" s="91"/>
      <c r="Z295" s="102" t="b">
        <f>IF(G278="",FALSE,E295="")</f>
        <v>0</v>
      </c>
    </row>
    <row r="296" spans="1:26" s="144" customFormat="1" ht="12.75" customHeight="1" x14ac:dyDescent="0.35">
      <c r="A296" s="91"/>
      <c r="B296" s="94"/>
      <c r="D296" s="173">
        <v>5</v>
      </c>
      <c r="E296" s="180" t="str">
        <f t="shared" si="32"/>
        <v/>
      </c>
      <c r="F296" s="181"/>
      <c r="G296" s="181"/>
      <c r="H296" s="181"/>
      <c r="I296" s="181"/>
      <c r="J296" s="182"/>
      <c r="K296" s="183" t="str">
        <f t="shared" si="34"/>
        <v/>
      </c>
      <c r="L296" s="212"/>
      <c r="O296" s="945"/>
      <c r="P296" s="94"/>
      <c r="Q296" s="93"/>
      <c r="R296" s="102" t="str">
        <f>CONST_PrecursorToGoodInput&amp;G278 &amp;"_"&amp;E296</f>
        <v>PrecToGood__</v>
      </c>
      <c r="S296" s="105">
        <f t="shared" si="33"/>
        <v>5</v>
      </c>
      <c r="T296" s="124" t="str">
        <f>IF(G278="","",L296)</f>
        <v/>
      </c>
      <c r="U296" s="91"/>
      <c r="V296" s="105" t="str">
        <f>IF(AND(G278&lt;&gt;"",E296&lt;&gt;"",L296&lt;&gt;""),TRUE,IF(AND(G278&lt;&gt;"",E296&lt;&gt;"",L296="",Z296=FALSE),CONST_ErrorOrMissing&amp;C278,CONST_NA))</f>
        <v>n.a.</v>
      </c>
      <c r="W296" s="172"/>
      <c r="X296" s="172"/>
      <c r="Y296" s="91"/>
      <c r="Z296" s="102" t="b">
        <f>IF(G278="",FALSE,E296="")</f>
        <v>0</v>
      </c>
    </row>
    <row r="297" spans="1:26" s="144" customFormat="1" ht="12.75" customHeight="1" x14ac:dyDescent="0.35">
      <c r="A297" s="91"/>
      <c r="B297" s="94"/>
      <c r="D297" s="173">
        <v>6</v>
      </c>
      <c r="E297" s="180" t="str">
        <f t="shared" si="32"/>
        <v/>
      </c>
      <c r="F297" s="181"/>
      <c r="G297" s="181"/>
      <c r="H297" s="181"/>
      <c r="I297" s="181"/>
      <c r="J297" s="182"/>
      <c r="K297" s="183" t="str">
        <f t="shared" si="34"/>
        <v/>
      </c>
      <c r="L297" s="212"/>
      <c r="O297" s="945"/>
      <c r="P297" s="94"/>
      <c r="Q297" s="93"/>
      <c r="R297" s="102" t="str">
        <f>CONST_PrecursorToGoodInput&amp;G278 &amp;"_"&amp;E297</f>
        <v>PrecToGood__</v>
      </c>
      <c r="S297" s="105">
        <f t="shared" si="33"/>
        <v>6</v>
      </c>
      <c r="T297" s="124" t="str">
        <f>IF(G278="","",L297)</f>
        <v/>
      </c>
      <c r="U297" s="91"/>
      <c r="V297" s="105" t="str">
        <f>IF(AND(G278&lt;&gt;"",E297&lt;&gt;"",L297&lt;&gt;""),TRUE,IF(AND(G278&lt;&gt;"",E297&lt;&gt;"",L297="",Z297=FALSE),CONST_ErrorOrMissing&amp;C278,CONST_NA))</f>
        <v>n.a.</v>
      </c>
      <c r="W297" s="172"/>
      <c r="X297" s="172"/>
      <c r="Y297" s="91"/>
      <c r="Z297" s="102" t="b">
        <f>IF(G278="",FALSE,E297="")</f>
        <v>0</v>
      </c>
    </row>
    <row r="298" spans="1:26" s="144" customFormat="1" ht="12.75" customHeight="1" x14ac:dyDescent="0.35">
      <c r="A298" s="91"/>
      <c r="B298" s="94"/>
      <c r="D298" s="173">
        <v>7</v>
      </c>
      <c r="E298" s="180" t="str">
        <f t="shared" si="32"/>
        <v/>
      </c>
      <c r="F298" s="181"/>
      <c r="G298" s="181"/>
      <c r="H298" s="181"/>
      <c r="I298" s="181"/>
      <c r="J298" s="182"/>
      <c r="K298" s="183" t="str">
        <f t="shared" si="34"/>
        <v/>
      </c>
      <c r="L298" s="212"/>
      <c r="O298" s="945"/>
      <c r="P298" s="94"/>
      <c r="Q298" s="93"/>
      <c r="R298" s="102" t="str">
        <f>CONST_PrecursorToGoodInput&amp;G278 &amp;"_"&amp;E298</f>
        <v>PrecToGood__</v>
      </c>
      <c r="S298" s="105">
        <f t="shared" si="33"/>
        <v>7</v>
      </c>
      <c r="T298" s="124" t="str">
        <f>IF(G278="","",L298)</f>
        <v/>
      </c>
      <c r="U298" s="91"/>
      <c r="V298" s="105" t="str">
        <f>IF(AND(G278&lt;&gt;"",E298&lt;&gt;"",L298&lt;&gt;""),TRUE,IF(AND(G278&lt;&gt;"",E298&lt;&gt;"",L298="",Z298=FALSE),CONST_ErrorOrMissing&amp;C278,CONST_NA))</f>
        <v>n.a.</v>
      </c>
      <c r="W298" s="172"/>
      <c r="X298" s="172"/>
      <c r="Y298" s="91"/>
      <c r="Z298" s="102" t="b">
        <f>IF(G278="",FALSE,E298="")</f>
        <v>0</v>
      </c>
    </row>
    <row r="299" spans="1:26" s="144" customFormat="1" ht="12.75" customHeight="1" x14ac:dyDescent="0.35">
      <c r="A299" s="91"/>
      <c r="B299" s="94"/>
      <c r="D299" s="173">
        <v>8</v>
      </c>
      <c r="E299" s="180" t="str">
        <f t="shared" si="32"/>
        <v/>
      </c>
      <c r="F299" s="181"/>
      <c r="G299" s="181"/>
      <c r="H299" s="181"/>
      <c r="I299" s="181"/>
      <c r="J299" s="182"/>
      <c r="K299" s="183" t="str">
        <f t="shared" si="34"/>
        <v/>
      </c>
      <c r="L299" s="212"/>
      <c r="O299" s="945"/>
      <c r="P299" s="94"/>
      <c r="Q299" s="93"/>
      <c r="R299" s="102" t="str">
        <f>CONST_PrecursorToGoodInput&amp;G278 &amp;"_"&amp;E299</f>
        <v>PrecToGood__</v>
      </c>
      <c r="S299" s="105">
        <f t="shared" si="33"/>
        <v>8</v>
      </c>
      <c r="T299" s="124" t="str">
        <f>IF(G278="","",L299)</f>
        <v/>
      </c>
      <c r="U299" s="91"/>
      <c r="V299" s="105" t="str">
        <f>IF(AND(G278&lt;&gt;"",E299&lt;&gt;"",L299&lt;&gt;""),TRUE,IF(AND(G278&lt;&gt;"",E299&lt;&gt;"",L299="",Z299=FALSE),CONST_ErrorOrMissing&amp;C278,CONST_NA))</f>
        <v>n.a.</v>
      </c>
      <c r="W299" s="172"/>
      <c r="X299" s="172"/>
      <c r="Y299" s="91"/>
      <c r="Z299" s="102" t="b">
        <f>IF(G278="",FALSE,E299="")</f>
        <v>0</v>
      </c>
    </row>
    <row r="300" spans="1:26" s="144" customFormat="1" ht="12.75" customHeight="1" x14ac:dyDescent="0.35">
      <c r="A300" s="91"/>
      <c r="B300" s="94"/>
      <c r="D300" s="173">
        <v>9</v>
      </c>
      <c r="E300" s="180" t="str">
        <f t="shared" si="32"/>
        <v/>
      </c>
      <c r="F300" s="181"/>
      <c r="G300" s="181"/>
      <c r="H300" s="181"/>
      <c r="I300" s="181"/>
      <c r="J300" s="182"/>
      <c r="K300" s="183" t="str">
        <f t="shared" si="34"/>
        <v/>
      </c>
      <c r="L300" s="212"/>
      <c r="O300" s="945"/>
      <c r="P300" s="94"/>
      <c r="Q300" s="93"/>
      <c r="R300" s="102" t="str">
        <f>CONST_PrecursorToGoodInput&amp;G278 &amp;"_"&amp;E300</f>
        <v>PrecToGood__</v>
      </c>
      <c r="S300" s="105">
        <f t="shared" si="33"/>
        <v>9</v>
      </c>
      <c r="T300" s="124" t="str">
        <f>IF(G278="","",L300)</f>
        <v/>
      </c>
      <c r="U300" s="91"/>
      <c r="V300" s="105" t="str">
        <f>IF(AND(G278&lt;&gt;"",E300&lt;&gt;"",L300&lt;&gt;""),TRUE,IF(AND(G278&lt;&gt;"",E300&lt;&gt;"",L300="",Z300=FALSE),CONST_ErrorOrMissing&amp;C278,CONST_NA))</f>
        <v>n.a.</v>
      </c>
      <c r="W300" s="172"/>
      <c r="X300" s="172"/>
      <c r="Y300" s="91"/>
      <c r="Z300" s="102" t="b">
        <f>IF(G278="",FALSE,E300="")</f>
        <v>0</v>
      </c>
    </row>
    <row r="301" spans="1:26" s="144" customFormat="1" ht="12.75" customHeight="1" x14ac:dyDescent="0.35">
      <c r="A301" s="91"/>
      <c r="B301" s="94"/>
      <c r="D301" s="173">
        <v>10</v>
      </c>
      <c r="E301" s="184" t="str">
        <f t="shared" si="32"/>
        <v/>
      </c>
      <c r="F301" s="185"/>
      <c r="G301" s="185"/>
      <c r="H301" s="185"/>
      <c r="I301" s="185"/>
      <c r="J301" s="186"/>
      <c r="K301" s="163" t="str">
        <f t="shared" si="34"/>
        <v/>
      </c>
      <c r="L301" s="31"/>
      <c r="O301" s="945"/>
      <c r="P301" s="94"/>
      <c r="Q301" s="93"/>
      <c r="R301" s="102" t="str">
        <f>CONST_PrecursorToGoodInput&amp;G278 &amp;"_"&amp;E301</f>
        <v>PrecToGood__</v>
      </c>
      <c r="S301" s="105">
        <f t="shared" si="33"/>
        <v>10</v>
      </c>
      <c r="T301" s="124" t="str">
        <f>IF(G278="","",L301)</f>
        <v/>
      </c>
      <c r="U301" s="91"/>
      <c r="V301" s="105" t="str">
        <f>IF(AND(G278&lt;&gt;"",E301&lt;&gt;"",L301&lt;&gt;""),TRUE,IF(AND(G278&lt;&gt;"",E301&lt;&gt;"",L301="",Z301=FALSE),CONST_ErrorOrMissing&amp;C278,CONST_NA))</f>
        <v>n.a.</v>
      </c>
      <c r="W301" s="172"/>
      <c r="X301" s="172"/>
      <c r="Y301" s="91"/>
      <c r="Z301" s="102" t="b">
        <f>IF(G278="",FALSE,E301="")</f>
        <v>0</v>
      </c>
    </row>
    <row r="302" spans="1:26" s="144" customFormat="1" ht="12.75" customHeight="1" x14ac:dyDescent="0.35">
      <c r="A302" s="91"/>
      <c r="B302" s="94"/>
      <c r="D302" s="168" t="s">
        <v>49</v>
      </c>
      <c r="E302" s="167" t="str">
        <f>Translations!$B$1968</f>
        <v>Consumed for other purposes, e.g. sold or used for non-CBAM goods:</v>
      </c>
      <c r="F302" s="167"/>
      <c r="G302" s="167"/>
      <c r="H302" s="167"/>
      <c r="I302" s="167"/>
      <c r="J302" s="167"/>
      <c r="K302" s="169" t="str">
        <f>K289</f>
        <v/>
      </c>
      <c r="L302" s="211"/>
      <c r="O302" s="945"/>
      <c r="P302" s="94"/>
      <c r="Q302" s="93"/>
      <c r="R302" s="91"/>
      <c r="S302" s="91"/>
      <c r="T302" s="712"/>
      <c r="U302" s="91"/>
      <c r="V302" s="105" t="str">
        <f>IF(G278="",CONST_NA,IF(ISNUMBER(L302),TRUE,CONST_ErrorOrMissing&amp;C278))</f>
        <v>n.a.</v>
      </c>
      <c r="W302" s="91"/>
      <c r="X302" s="91"/>
      <c r="Y302" s="91"/>
      <c r="Z302" s="91"/>
    </row>
    <row r="303" spans="1:26" s="144" customFormat="1" ht="12.75" customHeight="1" x14ac:dyDescent="0.35">
      <c r="A303" s="91"/>
      <c r="B303" s="94"/>
      <c r="D303" s="168" t="s">
        <v>377</v>
      </c>
      <c r="E303" s="138" t="str">
        <f>Translations!$B$253</f>
        <v>Control:</v>
      </c>
      <c r="F303" s="170"/>
      <c r="G303" s="170"/>
      <c r="H303" s="170"/>
      <c r="I303" s="170"/>
      <c r="J303" s="170"/>
      <c r="K303" s="169" t="str">
        <f>K302</f>
        <v/>
      </c>
      <c r="L303" s="118" t="str">
        <f>IF(G278="","",SUM(L289)-SUM(L292:L302))</f>
        <v/>
      </c>
      <c r="O303" s="945"/>
      <c r="P303" s="94"/>
      <c r="Q303" s="93"/>
      <c r="R303" s="91"/>
      <c r="S303" s="91"/>
      <c r="T303" s="712"/>
      <c r="U303" s="91"/>
      <c r="V303" s="105" t="str">
        <f>IF(G278="",CONST_NA,IF(L303=0,TRUE,CONST_ErrorOrMissing&amp;C278))</f>
        <v>n.a.</v>
      </c>
      <c r="W303" s="91"/>
      <c r="X303" s="91"/>
      <c r="Y303" s="91"/>
      <c r="Z303" s="91"/>
    </row>
    <row r="304" spans="1:26" s="144" customFormat="1" ht="12.75" customHeight="1" thickBot="1" x14ac:dyDescent="0.4">
      <c r="A304" s="91"/>
      <c r="B304" s="94"/>
      <c r="O304" s="428"/>
      <c r="P304" s="94"/>
      <c r="Q304" s="93"/>
      <c r="R304" s="91"/>
      <c r="S304" s="91"/>
      <c r="T304" s="712"/>
      <c r="U304" s="91"/>
      <c r="V304" s="91"/>
      <c r="W304" s="91"/>
      <c r="X304" s="91"/>
      <c r="Y304" s="91"/>
      <c r="Z304" s="91"/>
    </row>
    <row r="305" spans="1:26" ht="12.75" customHeight="1" x14ac:dyDescent="0.35">
      <c r="B305" s="94"/>
      <c r="C305" s="187"/>
      <c r="D305" s="188"/>
      <c r="E305" s="189"/>
      <c r="F305" s="190"/>
      <c r="G305" s="190"/>
      <c r="H305" s="190"/>
      <c r="I305" s="190"/>
      <c r="J305" s="190"/>
      <c r="K305" s="190"/>
      <c r="L305" s="190"/>
      <c r="M305" s="190"/>
      <c r="N305" s="191"/>
      <c r="O305" s="428"/>
      <c r="T305" s="712"/>
    </row>
    <row r="306" spans="1:26" ht="15" customHeight="1" x14ac:dyDescent="0.35">
      <c r="B306" s="94"/>
      <c r="C306" s="192"/>
      <c r="D306" s="193" t="str">
        <f>Translations!$B$279</f>
        <v>Specific embedded emissions:</v>
      </c>
      <c r="E306" s="194"/>
      <c r="F306" s="195"/>
      <c r="G306" s="195"/>
      <c r="H306" s="195"/>
      <c r="I306" s="195"/>
      <c r="J306" s="1327" t="str">
        <f>IF(G278="","",G278)</f>
        <v/>
      </c>
      <c r="K306" s="1327"/>
      <c r="L306" s="1327"/>
      <c r="M306" s="1327"/>
      <c r="N306" s="196"/>
      <c r="O306" s="428"/>
      <c r="T306" s="712"/>
    </row>
    <row r="307" spans="1:26" ht="5.15" customHeight="1" x14ac:dyDescent="0.35">
      <c r="B307" s="94"/>
      <c r="C307" s="192"/>
      <c r="D307" s="197"/>
      <c r="E307" s="198"/>
      <c r="F307" s="195"/>
      <c r="G307" s="195"/>
      <c r="H307" s="195"/>
      <c r="I307" s="195"/>
      <c r="J307" s="195"/>
      <c r="K307" s="195"/>
      <c r="L307" s="195"/>
      <c r="M307" s="195"/>
      <c r="N307" s="196"/>
      <c r="O307" s="428"/>
      <c r="T307" s="712"/>
    </row>
    <row r="308" spans="1:26" ht="12.75" customHeight="1" x14ac:dyDescent="0.35">
      <c r="B308" s="94"/>
      <c r="C308" s="192"/>
      <c r="D308" s="199" t="s">
        <v>411</v>
      </c>
      <c r="E308" s="198" t="str">
        <f>Translations!$B$280</f>
        <v>Emissions embedded in this purchased precursor</v>
      </c>
      <c r="F308" s="198"/>
      <c r="G308" s="198"/>
      <c r="H308" s="198"/>
      <c r="I308" s="198"/>
      <c r="J308" s="198"/>
      <c r="K308" s="198"/>
      <c r="L308" s="198"/>
      <c r="M308" s="198"/>
      <c r="N308" s="196"/>
      <c r="O308" s="428"/>
      <c r="T308" s="712"/>
      <c r="V308" s="172"/>
      <c r="W308" s="172"/>
      <c r="X308" s="172"/>
      <c r="Z308" s="171"/>
    </row>
    <row r="309" spans="1:26" ht="4.9000000000000004" customHeight="1" x14ac:dyDescent="0.35">
      <c r="B309" s="94"/>
      <c r="C309" s="192"/>
      <c r="D309" s="199"/>
      <c r="E309" s="1328"/>
      <c r="F309" s="1328"/>
      <c r="G309" s="1328"/>
      <c r="H309" s="1328"/>
      <c r="I309" s="1328"/>
      <c r="J309" s="1328"/>
      <c r="K309" s="1328"/>
      <c r="L309" s="1328"/>
      <c r="M309" s="1328"/>
      <c r="N309" s="196"/>
      <c r="O309" s="428"/>
      <c r="T309" s="712"/>
    </row>
    <row r="310" spans="1:26" ht="13.15" customHeight="1" x14ac:dyDescent="0.35">
      <c r="B310" s="94"/>
      <c r="C310" s="192"/>
      <c r="D310" s="199"/>
      <c r="E310" s="1311" t="str">
        <f ca="1">HYPERLINK("#"&amp;ADDRESS(MATCH($S310,G_FurtherGuidance!$S:$S,0),3,,,G_FurtherGuidance!$U$2),CONST_LinkToGuidanceSheet)</f>
        <v>Please click on this link for further guidance on how to complete this section.</v>
      </c>
      <c r="F310" s="1312"/>
      <c r="G310" s="1312"/>
      <c r="H310" s="1312"/>
      <c r="I310" s="1312"/>
      <c r="J310" s="1312"/>
      <c r="K310" s="1312"/>
      <c r="L310" s="1312"/>
      <c r="M310" s="1312"/>
      <c r="N310" s="196"/>
      <c r="O310" s="428"/>
      <c r="R310" s="104" t="s">
        <v>2771</v>
      </c>
      <c r="S310" s="105">
        <v>4</v>
      </c>
      <c r="T310" s="712"/>
    </row>
    <row r="311" spans="1:26" ht="4.9000000000000004" customHeight="1" x14ac:dyDescent="0.35">
      <c r="B311" s="94"/>
      <c r="C311" s="192"/>
      <c r="D311" s="199"/>
      <c r="E311" s="1328"/>
      <c r="F311" s="1328"/>
      <c r="G311" s="1328"/>
      <c r="H311" s="1328"/>
      <c r="I311" s="1328"/>
      <c r="J311" s="1328"/>
      <c r="K311" s="1328"/>
      <c r="L311" s="1328"/>
      <c r="M311" s="1328"/>
      <c r="N311" s="384"/>
      <c r="O311" s="428"/>
      <c r="T311" s="712"/>
    </row>
    <row r="312" spans="1:26" ht="12.75" customHeight="1" x14ac:dyDescent="0.35">
      <c r="B312" s="94"/>
      <c r="C312" s="192"/>
      <c r="D312" s="199"/>
      <c r="E312" s="198" t="str">
        <f>Translations!$B$284</f>
        <v>Parameter:</v>
      </c>
      <c r="F312" s="195"/>
      <c r="G312" s="195"/>
      <c r="H312" s="195"/>
      <c r="I312" s="195"/>
      <c r="J312" s="195"/>
      <c r="K312" s="199" t="str">
        <f>Translations!$B$221</f>
        <v>Unit</v>
      </c>
      <c r="L312" s="199" t="str">
        <f>Translations!$B$260</f>
        <v>Value</v>
      </c>
      <c r="M312" s="199" t="str">
        <f>Translations!$B$285</f>
        <v>Source</v>
      </c>
      <c r="N312" s="196"/>
      <c r="O312" s="428"/>
      <c r="T312" s="764" t="s">
        <v>5</v>
      </c>
      <c r="U312" s="123" t="s">
        <v>2719</v>
      </c>
      <c r="V312" s="156" t="s">
        <v>3922</v>
      </c>
      <c r="W312" s="156"/>
      <c r="X312" s="156"/>
      <c r="Z312" s="171"/>
    </row>
    <row r="313" spans="1:26" ht="12.75" customHeight="1" x14ac:dyDescent="0.35">
      <c r="B313" s="94"/>
      <c r="C313" s="192"/>
      <c r="D313" s="197" t="s">
        <v>41</v>
      </c>
      <c r="E313" s="201" t="str">
        <f>Translations!$B$1969</f>
        <v>Specific embedded direct emissions (SEE (direct))</v>
      </c>
      <c r="F313" s="201"/>
      <c r="G313" s="201"/>
      <c r="H313" s="201"/>
      <c r="I313" s="201"/>
      <c r="J313" s="201"/>
      <c r="K313" s="217" t="str">
        <f>IF(L278="","",CONST_tCO2eq &amp; "/" &amp; K289)</f>
        <v/>
      </c>
      <c r="L313" s="215"/>
      <c r="M313" s="385"/>
      <c r="N313" s="196"/>
      <c r="O313" s="945"/>
      <c r="R313" s="102" t="str">
        <f>CONST_PurchPrecDefaultUsed&amp;G278</f>
        <v>PurchPrecDef_</v>
      </c>
      <c r="S313" s="102" t="str">
        <f>CONST_CNTR_EmbedEmDir&amp;G278</f>
        <v>EmbedEmDir_</v>
      </c>
      <c r="T313" s="124" t="str">
        <f>IF(G278="","",SUM(T289)*SUM(L313))</f>
        <v/>
      </c>
      <c r="U313" s="105" t="str">
        <f>IF(G278="","",IF(M313="",CONST_ERR_Incomplete,MATCH(M313,CONST_MeasDefaultUnknown,0)=2))</f>
        <v/>
      </c>
      <c r="V313" s="105" t="str">
        <f>IF(AND(G278&lt;&gt;"",COUNTA(L313:M313)=2),TRUE,IF(AND(G278&lt;&gt;"",COUNTA(L313:M313)&lt;2),CONST_ErrorOrMissing&amp;C278,CONST_NA))</f>
        <v>n.a.</v>
      </c>
      <c r="W313" s="156"/>
      <c r="X313" s="156"/>
      <c r="Z313" s="171"/>
    </row>
    <row r="314" spans="1:26" ht="12.75" customHeight="1" x14ac:dyDescent="0.35">
      <c r="B314" s="94"/>
      <c r="C314" s="192"/>
      <c r="D314" s="197" t="s">
        <v>42</v>
      </c>
      <c r="E314" s="759" t="str">
        <f>Translations!$B$1970</f>
        <v>Specific electricity consumption (for SEE (indirect))</v>
      </c>
      <c r="F314" s="759"/>
      <c r="G314" s="759"/>
      <c r="H314" s="759"/>
      <c r="I314" s="759"/>
      <c r="J314" s="759"/>
      <c r="K314" s="457" t="str">
        <f>IF(K313="","",CONST_MWh&amp;"/"&amp;K289)</f>
        <v/>
      </c>
      <c r="L314" s="760"/>
      <c r="M314" s="761"/>
      <c r="N314" s="196"/>
      <c r="O314" s="945"/>
      <c r="R314" s="102" t="str">
        <f>CONST_ElecConsumption&amp;G278</f>
        <v>ElecCons_</v>
      </c>
      <c r="S314" s="102"/>
      <c r="T314" s="124" t="str">
        <f>IF(G278="","",SUM(T289)*SUM(L314))</f>
        <v/>
      </c>
      <c r="U314" s="105" t="str">
        <f>IF(G278="","",IF(M314="",CONST_ERR_Incomplete,MATCH(M314,CONST_MeasDefaultUnknown,0)=2))</f>
        <v/>
      </c>
      <c r="V314" s="105" t="str">
        <f>IF(AND(G278&lt;&gt;"",COUNTA(L314:M314)=2),TRUE,IF(AND(G278&lt;&gt;"",COUNTA(L314:M314)&lt;2),CONST_ErrorOrMissing&amp;C278,CONST_NA))</f>
        <v>n.a.</v>
      </c>
      <c r="W314" s="156"/>
      <c r="X314" s="156"/>
      <c r="Z314" s="171"/>
    </row>
    <row r="315" spans="1:26" ht="12.75" customHeight="1" x14ac:dyDescent="0.35">
      <c r="B315" s="94"/>
      <c r="C315" s="192"/>
      <c r="D315" s="197" t="s">
        <v>43</v>
      </c>
      <c r="E315" s="1144" t="str">
        <f>Translations!$B$1971</f>
        <v>Electricity emission factor (for SEE (indirect))</v>
      </c>
      <c r="F315" s="1144"/>
      <c r="G315" s="1144"/>
      <c r="H315" s="1144"/>
      <c r="I315" s="1144"/>
      <c r="J315" s="1144"/>
      <c r="K315" s="1145" t="str">
        <f>IF(K313="","",CONST_tCO2eq&amp;"/"&amp;CONST_MWh)</f>
        <v/>
      </c>
      <c r="L315" s="1146"/>
      <c r="M315" s="762"/>
      <c r="N315" s="196"/>
      <c r="O315" s="945"/>
      <c r="R315" s="102" t="str">
        <f>CONST_CNTR_ElecEFMethod&amp;G278</f>
        <v>ElecEFMeth_</v>
      </c>
      <c r="S315" s="102"/>
      <c r="T315" s="124"/>
      <c r="U315" s="105" t="str">
        <f>IF(G278="","",M315)</f>
        <v/>
      </c>
      <c r="V315" s="105" t="str">
        <f>IF(AND(G278&lt;&gt;"",COUNTA(L315:M315)=2),TRUE,IF(AND(G278&lt;&gt;"",COUNTA(L315:M315)&lt;2),CONST_ErrorOrMissing&amp;C278,CONST_NA))</f>
        <v>n.a.</v>
      </c>
      <c r="W315" s="156"/>
      <c r="X315" s="156"/>
      <c r="Z315" s="171"/>
    </row>
    <row r="316" spans="1:26" x14ac:dyDescent="0.35">
      <c r="B316" s="94"/>
      <c r="C316" s="192"/>
      <c r="D316" s="197" t="s">
        <v>44</v>
      </c>
      <c r="E316" s="201" t="str">
        <f>Translations!$B$1972</f>
        <v>Specific embedded indirect emissions (SEE (indirect))</v>
      </c>
      <c r="F316" s="201"/>
      <c r="G316" s="201"/>
      <c r="H316" s="201"/>
      <c r="I316" s="201"/>
      <c r="J316" s="201"/>
      <c r="K316" s="217" t="str">
        <f>K313</f>
        <v/>
      </c>
      <c r="L316" s="1147" t="str">
        <f>IF(COUNT(L314:L315)=0,"",L314*L315)</f>
        <v/>
      </c>
      <c r="M316" s="758"/>
      <c r="N316" s="196"/>
      <c r="O316" s="428"/>
      <c r="R316" s="171"/>
      <c r="S316" s="102" t="str">
        <f>CONST_CNTR_EmbedEmInDir&amp;G278</f>
        <v>EmbedEmInDir_</v>
      </c>
      <c r="T316" s="124" t="str">
        <f>IF(G278="","",SUM(T289)*SUM(L316))</f>
        <v/>
      </c>
      <c r="Z316" s="171"/>
    </row>
    <row r="317" spans="1:26" ht="5.15" customHeight="1" x14ac:dyDescent="0.35">
      <c r="B317" s="94"/>
      <c r="C317" s="192"/>
      <c r="D317" s="197"/>
      <c r="E317" s="195"/>
      <c r="F317" s="195"/>
      <c r="G317" s="195"/>
      <c r="H317" s="195"/>
      <c r="I317" s="195"/>
      <c r="J317" s="195"/>
      <c r="K317" s="195"/>
      <c r="L317" s="195"/>
      <c r="M317" s="195"/>
      <c r="N317" s="196"/>
      <c r="O317" s="428"/>
      <c r="R317" s="171"/>
      <c r="S317" s="171"/>
      <c r="T317" s="125"/>
      <c r="U317" s="156"/>
      <c r="V317" s="172"/>
      <c r="W317" s="172"/>
      <c r="X317" s="172"/>
      <c r="Z317" s="171"/>
    </row>
    <row r="318" spans="1:26" ht="12.75" customHeight="1" x14ac:dyDescent="0.35">
      <c r="B318" s="94"/>
      <c r="C318" s="192"/>
      <c r="D318" s="197" t="s">
        <v>45</v>
      </c>
      <c r="E318" s="201" t="str">
        <f>Translations!$B$1858</f>
        <v>Justification for use of default values (if relevant):</v>
      </c>
      <c r="F318" s="201"/>
      <c r="G318" s="201"/>
      <c r="H318" s="201"/>
      <c r="I318" s="201"/>
      <c r="J318" s="201"/>
      <c r="K318" s="1329"/>
      <c r="L318" s="1329"/>
      <c r="M318" s="1329"/>
      <c r="N318" s="196"/>
      <c r="O318" s="945"/>
      <c r="R318" s="171"/>
      <c r="S318" s="171"/>
      <c r="T318" s="125"/>
      <c r="U318" s="156"/>
      <c r="V318" s="105" t="str">
        <f>IF(OR(G278="",Z318=TRUE),CONST_NA,IF(K318&lt;&gt;"",TRUE,CONST_ErrorOrMissing&amp;C278))</f>
        <v>n.a.</v>
      </c>
      <c r="W318" s="172"/>
      <c r="X318" s="172"/>
      <c r="Z318" s="102" t="b">
        <f>AND(M313&lt;&gt;"",M313&lt;&gt;INDEX(CONST_MeasDefaultUnknown,2),M314&lt;&gt;"",M314&lt;&gt;INDEX(CONST_MeasDefaultUnknown,2))</f>
        <v>0</v>
      </c>
    </row>
    <row r="319" spans="1:26" s="144" customFormat="1" ht="12.75" customHeight="1" thickBot="1" x14ac:dyDescent="0.4">
      <c r="A319" s="91"/>
      <c r="B319" s="94"/>
      <c r="C319" s="206"/>
      <c r="D319" s="207"/>
      <c r="E319" s="208"/>
      <c r="F319" s="209"/>
      <c r="G319" s="209"/>
      <c r="H319" s="209"/>
      <c r="I319" s="209"/>
      <c r="J319" s="209"/>
      <c r="K319" s="209"/>
      <c r="L319" s="209"/>
      <c r="M319" s="209"/>
      <c r="N319" s="210"/>
      <c r="O319" s="428"/>
      <c r="P319" s="94"/>
      <c r="Q319" s="93"/>
      <c r="R319" s="91"/>
      <c r="S319" s="91"/>
      <c r="T319" s="712"/>
      <c r="U319" s="91"/>
      <c r="V319" s="91"/>
      <c r="W319" s="91"/>
      <c r="X319" s="91"/>
      <c r="Y319" s="91"/>
      <c r="Z319" s="91"/>
    </row>
    <row r="320" spans="1:26" s="144" customFormat="1" ht="12.75" customHeight="1" thickBot="1" x14ac:dyDescent="0.4">
      <c r="A320" s="91"/>
      <c r="B320" s="94"/>
      <c r="O320" s="428"/>
      <c r="P320" s="94"/>
      <c r="Q320" s="93"/>
      <c r="R320" s="91"/>
      <c r="S320" s="91"/>
      <c r="T320" s="712"/>
      <c r="U320" s="91"/>
      <c r="V320" s="91"/>
      <c r="W320" s="91"/>
      <c r="X320" s="91"/>
      <c r="Y320" s="91"/>
      <c r="Z320" s="91"/>
    </row>
    <row r="321" spans="1:26" s="144" customFormat="1" ht="12.75" customHeight="1" thickBot="1" x14ac:dyDescent="0.4">
      <c r="A321" s="91"/>
      <c r="B321" s="946"/>
      <c r="C321" s="145"/>
      <c r="D321" s="145"/>
      <c r="E321" s="145"/>
      <c r="F321" s="145"/>
      <c r="G321" s="145"/>
      <c r="H321" s="145"/>
      <c r="I321" s="145"/>
      <c r="J321" s="145"/>
      <c r="K321" s="145"/>
      <c r="L321" s="145"/>
      <c r="M321" s="145"/>
      <c r="N321" s="145"/>
      <c r="O321" s="947"/>
      <c r="P321" s="94"/>
      <c r="Q321" s="93"/>
      <c r="R321" s="91"/>
      <c r="S321" s="91"/>
      <c r="T321" s="712"/>
      <c r="U321" s="91"/>
      <c r="V321" s="91"/>
      <c r="W321" s="91"/>
      <c r="X321" s="91"/>
      <c r="Y321" s="91"/>
      <c r="Z321" s="91"/>
    </row>
    <row r="322" spans="1:26" ht="18" customHeight="1" thickBot="1" x14ac:dyDescent="0.4">
      <c r="B322" s="94"/>
      <c r="C322" s="147">
        <f>C278+1</f>
        <v>8</v>
      </c>
      <c r="D322" s="944" t="str">
        <f>CONST_PurchPrecursor &amp; " " &amp; C322 &amp; ":"</f>
        <v>Purchased precursor 8:</v>
      </c>
      <c r="E322" s="144"/>
      <c r="F322" s="144"/>
      <c r="G322" s="1313" t="str">
        <f>IF(INDEX(CNTR_List_ExistPurchPrecNames,MATCH(R322,CNTR_ListPurchPrecID,0))=CONST_NA,"",INDEX(CNTR_List_ExistPurchPrecNames,MATCH(R322,CNTR_ListPurchPrecID,0)))</f>
        <v/>
      </c>
      <c r="H322" s="1314"/>
      <c r="I322" s="1314"/>
      <c r="J322" s="1314"/>
      <c r="K322" s="1315"/>
      <c r="L322" s="1316" t="str">
        <f>IF(INDEX(CNTR_List_ExistPurchPrec,MATCH(R322,CNTR_ListPurchPrecID,0))=CONST_NA,"",INDEX(CNTR_List_ExistPurchPrec,MATCH(R322,CNTR_ListPurchPrecID,0)))</f>
        <v/>
      </c>
      <c r="M322" s="1317"/>
      <c r="N322" s="1318"/>
      <c r="O322" s="428"/>
      <c r="R322" s="149" t="str">
        <f>INDEX(CNTR_ListPurchPrecID,C322)</f>
        <v>PP8</v>
      </c>
      <c r="Y322" s="104" t="s">
        <v>2748</v>
      </c>
      <c r="Z322" s="150" t="b">
        <f>AND(CNTR_HasEntriesA,G322="")</f>
        <v>0</v>
      </c>
    </row>
    <row r="323" spans="1:26" ht="26.5" customHeight="1" x14ac:dyDescent="0.35">
      <c r="B323" s="94"/>
      <c r="C323" s="144"/>
      <c r="D323" s="914"/>
      <c r="E323" s="1325" t="str">
        <f ca="1">HYPERLINK("#"&amp;ADDRESS(MATCH($S323,G_FurtherGuidance!$S:$S,0),3,,,G_FurtherGuidance!$U$2),CONST_LinkToGuidanceSheet)</f>
        <v>Please click on this link for further guidance on how to complete this section.</v>
      </c>
      <c r="F323" s="1326"/>
      <c r="G323" s="1326"/>
      <c r="H323" s="1326"/>
      <c r="I323" s="1326"/>
      <c r="J323" s="1326"/>
      <c r="K323" s="1326"/>
      <c r="L323" s="1326"/>
      <c r="M323" s="1326"/>
      <c r="N323" s="144"/>
      <c r="O323" s="428"/>
      <c r="R323" s="104" t="s">
        <v>2771</v>
      </c>
      <c r="S323" s="105">
        <v>4</v>
      </c>
      <c r="Y323" s="104"/>
    </row>
    <row r="324" spans="1:26" ht="12.75" customHeight="1" x14ac:dyDescent="0.35">
      <c r="B324" s="94"/>
      <c r="C324" s="144"/>
      <c r="D324" s="168" t="s">
        <v>135</v>
      </c>
      <c r="E324" s="167" t="str">
        <f>Translations!$B$276</f>
        <v>Total purchased levels:</v>
      </c>
      <c r="F324" s="144"/>
      <c r="G324" s="144"/>
      <c r="H324" s="151" t="str">
        <f>Translations!$B$244</f>
        <v>Production route</v>
      </c>
      <c r="I324" s="144"/>
      <c r="J324" s="144"/>
      <c r="K324" s="152" t="str">
        <f>Translations!$B$221</f>
        <v>Unit</v>
      </c>
      <c r="L324" s="152" t="str">
        <f>Translations!$B$245</f>
        <v>Amounts</v>
      </c>
      <c r="M324" s="144"/>
      <c r="N324" s="144"/>
      <c r="O324" s="428"/>
      <c r="Y324" s="91" t="s">
        <v>4077</v>
      </c>
    </row>
    <row r="325" spans="1:26" ht="12.75" customHeight="1" x14ac:dyDescent="0.35">
      <c r="B325" s="94"/>
      <c r="C325" s="144"/>
      <c r="D325" s="173">
        <v>1</v>
      </c>
      <c r="E325" s="153" t="str">
        <f>IF(G322="","",G322) &amp; IF(L322="",""," | " &amp; L322)</f>
        <v/>
      </c>
      <c r="F325" s="153"/>
      <c r="G325" s="153"/>
      <c r="H325" s="154" t="str">
        <f>IF(L322="","",INDEX(CONST_MATRIX_ProductionRoute,MATCH(L322,CONST_LIST_Goods,0),D325))</f>
        <v/>
      </c>
      <c r="I325" s="153"/>
      <c r="J325" s="153"/>
      <c r="K325" s="155" t="str">
        <f>IF(L322="","",INDEX(CONST_LIST_GoodsUnit,MATCH(L322,CONST_LIST_Goods,0)))</f>
        <v/>
      </c>
      <c r="L325" s="29"/>
      <c r="M325" s="144"/>
      <c r="N325" s="144"/>
      <c r="O325" s="945"/>
      <c r="S325" s="105">
        <v>1</v>
      </c>
      <c r="V325" s="105" t="str">
        <f>IF(AND(Y325=FALSE,ISNUMBER(L325)),TRUE,IF(Y325=FALSE,CONST_ErrorOrMissing&amp;C322,CONST_NA))</f>
        <v>n.a.</v>
      </c>
      <c r="Y325" s="105" t="str">
        <f>IF(OR(H325="",H325=CONST_NA),"",IF(H325=CONST_AllProdRoutes,FALSE, COUNTIF(INDEX(CNTR_MatrixPurchPrecRoutes,C322,),S325)=0))</f>
        <v/>
      </c>
    </row>
    <row r="326" spans="1:26" ht="12.75" customHeight="1" x14ac:dyDescent="0.35">
      <c r="B326" s="94"/>
      <c r="C326" s="144"/>
      <c r="D326" s="173">
        <v>2</v>
      </c>
      <c r="E326" s="158" t="str">
        <f t="shared" ref="E326:E332" si="35">IF(H326=CONST_NA,"",E325)</f>
        <v/>
      </c>
      <c r="F326" s="158"/>
      <c r="G326" s="158"/>
      <c r="H326" s="159" t="str">
        <f>IF(L322="","",INDEX(CONST_MATRIX_ProductionRoute,MATCH(L322,CONST_LIST_Goods,0),D326))</f>
        <v/>
      </c>
      <c r="I326" s="158"/>
      <c r="J326" s="158"/>
      <c r="K326" s="160" t="str">
        <f t="shared" ref="K326:K332" si="36">IF(H326=CONST_NA,"",K325)</f>
        <v/>
      </c>
      <c r="L326" s="30"/>
      <c r="M326" s="144"/>
      <c r="N326" s="144"/>
      <c r="O326" s="945"/>
      <c r="S326" s="105">
        <v>2</v>
      </c>
      <c r="V326" s="105" t="str">
        <f>IF(AND(Y326=FALSE,ISNUMBER(L326)),TRUE,IF(Y326=FALSE,CONST_ErrorOrMissing&amp;C322,CONST_NA))</f>
        <v>n.a.</v>
      </c>
      <c r="Y326" s="105" t="str">
        <f>IF(OR(H326="",H326=CONST_NA),"",IF(H326=CONST_AllProdRoutes,FALSE, COUNTIF(INDEX(CNTR_MatrixPurchPrecRoutes,C322,),S326)=0))</f>
        <v/>
      </c>
    </row>
    <row r="327" spans="1:26" ht="12.75" customHeight="1" x14ac:dyDescent="0.35">
      <c r="B327" s="94"/>
      <c r="C327" s="144"/>
      <c r="D327" s="173">
        <v>3</v>
      </c>
      <c r="E327" s="158" t="str">
        <f t="shared" si="35"/>
        <v/>
      </c>
      <c r="F327" s="158"/>
      <c r="G327" s="158"/>
      <c r="H327" s="159" t="str">
        <f>IF(L322="","",INDEX(CONST_MATRIX_ProductionRoute,MATCH(L322,CONST_LIST_Goods,0),D327))</f>
        <v/>
      </c>
      <c r="I327" s="158"/>
      <c r="J327" s="158"/>
      <c r="K327" s="160" t="str">
        <f t="shared" si="36"/>
        <v/>
      </c>
      <c r="L327" s="30"/>
      <c r="M327" s="144"/>
      <c r="N327" s="144"/>
      <c r="O327" s="945"/>
      <c r="S327" s="105">
        <v>3</v>
      </c>
      <c r="V327" s="105" t="str">
        <f>IF(AND(Y327=FALSE,ISNUMBER(L327)),TRUE,IF(Y327=FALSE,CONST_ErrorOrMissing&amp;C322,CONST_NA))</f>
        <v>n.a.</v>
      </c>
      <c r="Y327" s="105" t="str">
        <f>IF(OR(H327="",H327=CONST_NA),"",IF(H327=CONST_AllProdRoutes,FALSE, COUNTIF(INDEX(CNTR_MatrixPurchPrecRoutes,C322,),S327)=0))</f>
        <v/>
      </c>
    </row>
    <row r="328" spans="1:26" ht="12.75" customHeight="1" x14ac:dyDescent="0.35">
      <c r="B328" s="94"/>
      <c r="C328" s="144"/>
      <c r="D328" s="173">
        <v>4</v>
      </c>
      <c r="E328" s="158" t="str">
        <f t="shared" si="35"/>
        <v/>
      </c>
      <c r="F328" s="158"/>
      <c r="G328" s="158"/>
      <c r="H328" s="159" t="str">
        <f>IF(L322="","",INDEX(CONST_MATRIX_ProductionRoute,MATCH(L322,CONST_LIST_Goods,0),D328))</f>
        <v/>
      </c>
      <c r="I328" s="158"/>
      <c r="J328" s="158"/>
      <c r="K328" s="160" t="str">
        <f t="shared" si="36"/>
        <v/>
      </c>
      <c r="L328" s="30"/>
      <c r="M328" s="144"/>
      <c r="N328" s="144"/>
      <c r="O328" s="945"/>
      <c r="S328" s="105">
        <v>4</v>
      </c>
      <c r="V328" s="105" t="str">
        <f>IF(AND(Y328=FALSE,ISNUMBER(L328)),TRUE,IF(Y328=FALSE,CONST_ErrorOrMissing&amp;C322,CONST_NA))</f>
        <v>n.a.</v>
      </c>
      <c r="Y328" s="105" t="str">
        <f>IF(OR(H328="",H328=CONST_NA),"",IF(H328=CONST_AllProdRoutes,FALSE, COUNTIF(INDEX(CNTR_MatrixPurchPrecRoutes,C322,),S328)=0))</f>
        <v/>
      </c>
    </row>
    <row r="329" spans="1:26" ht="12.75" customHeight="1" x14ac:dyDescent="0.35">
      <c r="B329" s="94"/>
      <c r="C329" s="144"/>
      <c r="D329" s="173">
        <v>5</v>
      </c>
      <c r="E329" s="158" t="str">
        <f t="shared" si="35"/>
        <v/>
      </c>
      <c r="F329" s="158"/>
      <c r="G329" s="158"/>
      <c r="H329" s="159" t="str">
        <f>IF(L322="","",INDEX(CONST_MATRIX_ProductionRoute,MATCH(L322,CONST_LIST_Goods,0),D329))</f>
        <v/>
      </c>
      <c r="I329" s="158"/>
      <c r="J329" s="158"/>
      <c r="K329" s="160" t="str">
        <f t="shared" si="36"/>
        <v/>
      </c>
      <c r="L329" s="30"/>
      <c r="M329" s="144"/>
      <c r="N329" s="144"/>
      <c r="O329" s="945"/>
      <c r="S329" s="105">
        <v>5</v>
      </c>
      <c r="V329" s="105" t="str">
        <f>IF(AND(Y329=FALSE,ISNUMBER(L329)),TRUE,IF(Y329=FALSE,CONST_ErrorOrMissing&amp;C322,CONST_NA))</f>
        <v>n.a.</v>
      </c>
      <c r="Y329" s="105" t="str">
        <f>IF(OR(H329="",H329=CONST_NA),"",IF(H329=CONST_AllProdRoutes,FALSE, COUNTIF(INDEX(CNTR_MatrixPurchPrecRoutes,C322,),S329)=0))</f>
        <v/>
      </c>
    </row>
    <row r="330" spans="1:26" ht="12.75" customHeight="1" x14ac:dyDescent="0.35">
      <c r="B330" s="94"/>
      <c r="C330" s="144"/>
      <c r="D330" s="173">
        <v>6</v>
      </c>
      <c r="E330" s="158" t="str">
        <f t="shared" si="35"/>
        <v/>
      </c>
      <c r="F330" s="158"/>
      <c r="G330" s="158"/>
      <c r="H330" s="159" t="str">
        <f>IF(L322="","",INDEX(CONST_MATRIX_ProductionRoute,MATCH(L322,CONST_LIST_Goods,0),D330))</f>
        <v/>
      </c>
      <c r="I330" s="158"/>
      <c r="J330" s="158"/>
      <c r="K330" s="160" t="str">
        <f t="shared" si="36"/>
        <v/>
      </c>
      <c r="L330" s="30"/>
      <c r="M330" s="144"/>
      <c r="N330" s="144"/>
      <c r="O330" s="945"/>
      <c r="S330" s="105">
        <v>6</v>
      </c>
      <c r="V330" s="105" t="str">
        <f>IF(AND(Y330=FALSE,ISNUMBER(L330)),TRUE,IF(Y330=FALSE,CONST_ErrorOrMissing&amp;C322,CONST_NA))</f>
        <v>n.a.</v>
      </c>
      <c r="Y330" s="105" t="str">
        <f>IF(OR(H330="",H330=CONST_NA),"",IF(H330=CONST_AllProdRoutes,FALSE, COUNTIF(INDEX(CNTR_MatrixPurchPrecRoutes,C322,),S330)=0))</f>
        <v/>
      </c>
    </row>
    <row r="331" spans="1:26" ht="12.75" customHeight="1" x14ac:dyDescent="0.35">
      <c r="B331" s="94"/>
      <c r="C331" s="144"/>
      <c r="D331" s="173">
        <v>7</v>
      </c>
      <c r="E331" s="158" t="str">
        <f t="shared" si="35"/>
        <v/>
      </c>
      <c r="F331" s="158"/>
      <c r="G331" s="158"/>
      <c r="H331" s="159" t="str">
        <f>IF(L322="","",INDEX(CONST_MATRIX_ProductionRoute,MATCH(L322,CONST_LIST_Goods,0),D331))</f>
        <v/>
      </c>
      <c r="I331" s="158"/>
      <c r="J331" s="158"/>
      <c r="K331" s="160" t="str">
        <f t="shared" si="36"/>
        <v/>
      </c>
      <c r="L331" s="30"/>
      <c r="M331" s="144"/>
      <c r="N331" s="144"/>
      <c r="O331" s="945"/>
      <c r="S331" s="105">
        <v>7</v>
      </c>
      <c r="V331" s="105" t="str">
        <f>IF(AND(Y331=FALSE,ISNUMBER(L331)),TRUE,IF(Y331=FALSE,CONST_ErrorOrMissing&amp;C322,CONST_NA))</f>
        <v>n.a.</v>
      </c>
      <c r="Y331" s="105" t="str">
        <f>IF(OR(H331="",H331=CONST_NA),"",IF(H331=CONST_AllProdRoutes,FALSE, COUNTIF(INDEX(CNTR_MatrixPurchPrecRoutes,C322,),S331)=0))</f>
        <v/>
      </c>
    </row>
    <row r="332" spans="1:26" ht="12.75" customHeight="1" x14ac:dyDescent="0.35">
      <c r="B332" s="94"/>
      <c r="C332" s="144"/>
      <c r="D332" s="173">
        <v>8</v>
      </c>
      <c r="E332" s="161" t="str">
        <f t="shared" si="35"/>
        <v/>
      </c>
      <c r="F332" s="161"/>
      <c r="G332" s="161"/>
      <c r="H332" s="162" t="str">
        <f>IF(L322="","",INDEX(CONST_MATRIX_ProductionRoute,MATCH(L322,CONST_LIST_Goods,0),D332))</f>
        <v/>
      </c>
      <c r="I332" s="161"/>
      <c r="J332" s="161"/>
      <c r="K332" s="163" t="str">
        <f t="shared" si="36"/>
        <v/>
      </c>
      <c r="L332" s="31"/>
      <c r="M332" s="144"/>
      <c r="N332" s="144"/>
      <c r="O332" s="945"/>
      <c r="S332" s="105">
        <v>8</v>
      </c>
      <c r="V332" s="105" t="str">
        <f>IF(AND(Y332=FALSE,ISNUMBER(L332)),TRUE,IF(Y332=FALSE,CONST_ErrorOrMissing&amp;C322,CONST_NA))</f>
        <v>n.a.</v>
      </c>
      <c r="Y332" s="105" t="str">
        <f>IF(OR(H332="",H332=CONST_NA),"",IF(H332=CONST_AllProdRoutes,FALSE, COUNTIF(INDEX(CNTR_MatrixPurchPrecRoutes,C322,),S332)=0))</f>
        <v/>
      </c>
    </row>
    <row r="333" spans="1:26" ht="12.75" customHeight="1" x14ac:dyDescent="0.35">
      <c r="B333" s="94"/>
      <c r="C333" s="144"/>
      <c r="D333" s="914"/>
      <c r="E333" s="138" t="str">
        <f>Translations!$B$1966</f>
        <v>Total purchase for possible consumption within installation:</v>
      </c>
      <c r="F333" s="138"/>
      <c r="G333" s="138"/>
      <c r="H333" s="164"/>
      <c r="I333" s="138"/>
      <c r="J333" s="138"/>
      <c r="K333" s="169" t="str">
        <f>K325</f>
        <v/>
      </c>
      <c r="L333" s="386" t="str">
        <f>IF(G322="","",SUM(L325:L332))</f>
        <v/>
      </c>
      <c r="M333" s="144"/>
      <c r="N333" s="144"/>
      <c r="O333" s="428"/>
      <c r="R333" s="102" t="str">
        <f>CONST_CNTR_TotProd&amp;G322</f>
        <v>TotProd_</v>
      </c>
      <c r="T333" s="216" t="str">
        <f>IF(G322="","",IF(SUM(L333)=0,100,L333))</f>
        <v/>
      </c>
      <c r="V333" s="123"/>
    </row>
    <row r="334" spans="1:26" s="144" customFormat="1" ht="5.15" customHeight="1" x14ac:dyDescent="0.35">
      <c r="A334" s="91"/>
      <c r="B334" s="94"/>
      <c r="D334" s="166"/>
      <c r="E334" s="167"/>
      <c r="O334" s="428"/>
      <c r="P334" s="94"/>
      <c r="Q334" s="93"/>
      <c r="R334" s="91"/>
      <c r="S334" s="91"/>
      <c r="T334" s="712"/>
      <c r="U334" s="91"/>
      <c r="V334" s="123"/>
      <c r="W334" s="91"/>
      <c r="X334" s="91"/>
      <c r="Y334" s="91"/>
      <c r="Z334" s="91"/>
    </row>
    <row r="335" spans="1:26" s="144" customFormat="1" ht="12.75" customHeight="1" x14ac:dyDescent="0.35">
      <c r="A335" s="91"/>
      <c r="B335" s="94"/>
      <c r="D335" s="168" t="s">
        <v>48</v>
      </c>
      <c r="E335" s="167" t="str">
        <f>Translations!$B$1967</f>
        <v>Consumed in 'production processes' within the installation:</v>
      </c>
      <c r="F335" s="167"/>
      <c r="G335" s="167"/>
      <c r="H335" s="167"/>
      <c r="I335" s="167"/>
      <c r="J335" s="167"/>
      <c r="K335" s="168" t="str">
        <f>Translations!$B$221</f>
        <v>Unit</v>
      </c>
      <c r="L335" s="168" t="str">
        <f>Translations!$B$245</f>
        <v>Amounts</v>
      </c>
      <c r="O335" s="428"/>
      <c r="P335" s="94"/>
      <c r="Q335" s="93"/>
      <c r="R335" s="91"/>
      <c r="S335" s="123" t="s">
        <v>195</v>
      </c>
      <c r="T335" s="712"/>
      <c r="U335" s="91"/>
      <c r="V335" s="123"/>
      <c r="W335" s="91"/>
      <c r="X335" s="91"/>
      <c r="Y335" s="91"/>
      <c r="Z335" s="91"/>
    </row>
    <row r="336" spans="1:26" s="144" customFormat="1" ht="12.75" customHeight="1" x14ac:dyDescent="0.35">
      <c r="A336" s="91"/>
      <c r="B336" s="94"/>
      <c r="D336" s="173">
        <v>1</v>
      </c>
      <c r="E336" s="174" t="str">
        <f t="shared" ref="E336:E345" si="37">IF(INDEX(CNTR_List_ExistProdProcNames,S336)=CONST_NA,"",INDEX(CNTR_List_ExistProdProcNames,S336))</f>
        <v/>
      </c>
      <c r="F336" s="175"/>
      <c r="G336" s="175"/>
      <c r="H336" s="175"/>
      <c r="I336" s="175"/>
      <c r="J336" s="176"/>
      <c r="K336" s="155" t="str">
        <f>IF(E336="","",K333)</f>
        <v/>
      </c>
      <c r="L336" s="29"/>
      <c r="O336" s="945"/>
      <c r="P336" s="94"/>
      <c r="Q336" s="93"/>
      <c r="R336" s="102" t="str">
        <f>CONST_PrecursorToGoodInput&amp;G322 &amp;"_"&amp;E336</f>
        <v>PrecToGood__</v>
      </c>
      <c r="S336" s="105">
        <f>D336</f>
        <v>1</v>
      </c>
      <c r="T336" s="124" t="str">
        <f>IF(G322="","",L336)</f>
        <v/>
      </c>
      <c r="U336" s="91"/>
      <c r="V336" s="105" t="str">
        <f>IF(AND(G322&lt;&gt;"",E336&lt;&gt;"",L336&lt;&gt;""),TRUE,IF(AND(G322&lt;&gt;"",E336&lt;&gt;"",L336="",Z336=FALSE),CONST_ErrorOrMissing&amp;C322,CONST_NA))</f>
        <v>n.a.</v>
      </c>
      <c r="W336" s="172"/>
      <c r="X336" s="172"/>
      <c r="Y336" s="91" t="s">
        <v>34</v>
      </c>
      <c r="Z336" s="102" t="b">
        <f>IF(G322="",FALSE,E336="")</f>
        <v>0</v>
      </c>
    </row>
    <row r="337" spans="1:26" s="144" customFormat="1" ht="12.75" customHeight="1" x14ac:dyDescent="0.35">
      <c r="A337" s="91"/>
      <c r="B337" s="94"/>
      <c r="D337" s="173">
        <v>2</v>
      </c>
      <c r="E337" s="177" t="str">
        <f t="shared" si="37"/>
        <v/>
      </c>
      <c r="F337" s="178"/>
      <c r="G337" s="178"/>
      <c r="H337" s="178"/>
      <c r="I337" s="178"/>
      <c r="J337" s="179"/>
      <c r="K337" s="160" t="str">
        <f>IF(E337="","",K336)</f>
        <v/>
      </c>
      <c r="L337" s="30"/>
      <c r="O337" s="945"/>
      <c r="P337" s="94"/>
      <c r="Q337" s="93"/>
      <c r="R337" s="102" t="str">
        <f>CONST_PrecursorToGoodInput&amp;G322 &amp;"_"&amp;E337</f>
        <v>PrecToGood__</v>
      </c>
      <c r="S337" s="105">
        <f t="shared" ref="S337:S345" si="38">D337</f>
        <v>2</v>
      </c>
      <c r="T337" s="124" t="str">
        <f>IF(G322="","",L337)</f>
        <v/>
      </c>
      <c r="U337" s="91"/>
      <c r="V337" s="105" t="str">
        <f>IF(AND(G322&lt;&gt;"",E337&lt;&gt;"",L337&lt;&gt;""),TRUE,IF(AND(G322&lt;&gt;"",E337&lt;&gt;"",L337="",Z337=FALSE),CONST_ErrorOrMissing&amp;C322,CONST_NA))</f>
        <v>n.a.</v>
      </c>
      <c r="W337" s="172"/>
      <c r="X337" s="172"/>
      <c r="Y337" s="91"/>
      <c r="Z337" s="102" t="b">
        <f>IF(G322="",FALSE,E337="")</f>
        <v>0</v>
      </c>
    </row>
    <row r="338" spans="1:26" s="144" customFormat="1" ht="12.75" customHeight="1" x14ac:dyDescent="0.35">
      <c r="A338" s="91"/>
      <c r="B338" s="94"/>
      <c r="D338" s="173">
        <v>3</v>
      </c>
      <c r="E338" s="177" t="str">
        <f t="shared" si="37"/>
        <v/>
      </c>
      <c r="F338" s="178"/>
      <c r="G338" s="178"/>
      <c r="H338" s="178"/>
      <c r="I338" s="178"/>
      <c r="J338" s="179"/>
      <c r="K338" s="160" t="str">
        <f t="shared" ref="K338:K345" si="39">IF(E338="","",K337)</f>
        <v/>
      </c>
      <c r="L338" s="30"/>
      <c r="O338" s="945"/>
      <c r="P338" s="94"/>
      <c r="Q338" s="93"/>
      <c r="R338" s="102" t="str">
        <f>CONST_PrecursorToGoodInput&amp;G322 &amp;"_"&amp;E338</f>
        <v>PrecToGood__</v>
      </c>
      <c r="S338" s="105">
        <f t="shared" si="38"/>
        <v>3</v>
      </c>
      <c r="T338" s="124" t="str">
        <f>IF(G322="","",L338)</f>
        <v/>
      </c>
      <c r="U338" s="91"/>
      <c r="V338" s="105" t="str">
        <f>IF(AND(G322&lt;&gt;"",E338&lt;&gt;"",L338&lt;&gt;""),TRUE,IF(AND(G322&lt;&gt;"",E338&lt;&gt;"",L338="",Z338=FALSE),CONST_ErrorOrMissing&amp;C322,CONST_NA))</f>
        <v>n.a.</v>
      </c>
      <c r="W338" s="172"/>
      <c r="X338" s="172"/>
      <c r="Y338" s="91"/>
      <c r="Z338" s="102" t="b">
        <f>IF(G322="",FALSE,E338="")</f>
        <v>0</v>
      </c>
    </row>
    <row r="339" spans="1:26" s="144" customFormat="1" ht="12.75" customHeight="1" x14ac:dyDescent="0.35">
      <c r="A339" s="91"/>
      <c r="B339" s="94"/>
      <c r="D339" s="173">
        <v>4</v>
      </c>
      <c r="E339" s="177" t="str">
        <f t="shared" si="37"/>
        <v/>
      </c>
      <c r="F339" s="178"/>
      <c r="G339" s="178"/>
      <c r="H339" s="178"/>
      <c r="I339" s="178"/>
      <c r="J339" s="179"/>
      <c r="K339" s="160" t="str">
        <f t="shared" si="39"/>
        <v/>
      </c>
      <c r="L339" s="30"/>
      <c r="O339" s="945"/>
      <c r="P339" s="94"/>
      <c r="Q339" s="93"/>
      <c r="R339" s="102" t="str">
        <f>CONST_PrecursorToGoodInput&amp;G322 &amp;"_"&amp;E339</f>
        <v>PrecToGood__</v>
      </c>
      <c r="S339" s="105">
        <f t="shared" si="38"/>
        <v>4</v>
      </c>
      <c r="T339" s="124" t="str">
        <f>IF(G322="","",L339)</f>
        <v/>
      </c>
      <c r="U339" s="91"/>
      <c r="V339" s="105" t="str">
        <f>IF(AND(G322&lt;&gt;"",E339&lt;&gt;"",L339&lt;&gt;""),TRUE,IF(AND(G322&lt;&gt;"",E339&lt;&gt;"",L339="",Z339=FALSE),CONST_ErrorOrMissing&amp;C322,CONST_NA))</f>
        <v>n.a.</v>
      </c>
      <c r="W339" s="172"/>
      <c r="X339" s="172"/>
      <c r="Y339" s="91"/>
      <c r="Z339" s="102" t="b">
        <f>IF(G322="",FALSE,E339="")</f>
        <v>0</v>
      </c>
    </row>
    <row r="340" spans="1:26" s="144" customFormat="1" ht="12.75" customHeight="1" x14ac:dyDescent="0.35">
      <c r="A340" s="91"/>
      <c r="B340" s="94"/>
      <c r="D340" s="173">
        <v>5</v>
      </c>
      <c r="E340" s="180" t="str">
        <f t="shared" si="37"/>
        <v/>
      </c>
      <c r="F340" s="181"/>
      <c r="G340" s="181"/>
      <c r="H340" s="181"/>
      <c r="I340" s="181"/>
      <c r="J340" s="182"/>
      <c r="K340" s="183" t="str">
        <f t="shared" si="39"/>
        <v/>
      </c>
      <c r="L340" s="212"/>
      <c r="O340" s="945"/>
      <c r="P340" s="94"/>
      <c r="Q340" s="93"/>
      <c r="R340" s="102" t="str">
        <f>CONST_PrecursorToGoodInput&amp;G322 &amp;"_"&amp;E340</f>
        <v>PrecToGood__</v>
      </c>
      <c r="S340" s="105">
        <f t="shared" si="38"/>
        <v>5</v>
      </c>
      <c r="T340" s="124" t="str">
        <f>IF(G322="","",L340)</f>
        <v/>
      </c>
      <c r="U340" s="91"/>
      <c r="V340" s="105" t="str">
        <f>IF(AND(G322&lt;&gt;"",E340&lt;&gt;"",L340&lt;&gt;""),TRUE,IF(AND(G322&lt;&gt;"",E340&lt;&gt;"",L340="",Z340=FALSE),CONST_ErrorOrMissing&amp;C322,CONST_NA))</f>
        <v>n.a.</v>
      </c>
      <c r="W340" s="172"/>
      <c r="X340" s="172"/>
      <c r="Y340" s="91"/>
      <c r="Z340" s="102" t="b">
        <f>IF(G322="",FALSE,E340="")</f>
        <v>0</v>
      </c>
    </row>
    <row r="341" spans="1:26" s="144" customFormat="1" ht="12.75" customHeight="1" x14ac:dyDescent="0.35">
      <c r="A341" s="91"/>
      <c r="B341" s="94"/>
      <c r="D341" s="173">
        <v>6</v>
      </c>
      <c r="E341" s="180" t="str">
        <f t="shared" si="37"/>
        <v/>
      </c>
      <c r="F341" s="181"/>
      <c r="G341" s="181"/>
      <c r="H341" s="181"/>
      <c r="I341" s="181"/>
      <c r="J341" s="182"/>
      <c r="K341" s="183" t="str">
        <f t="shared" si="39"/>
        <v/>
      </c>
      <c r="L341" s="212"/>
      <c r="O341" s="945"/>
      <c r="P341" s="94"/>
      <c r="Q341" s="93"/>
      <c r="R341" s="102" t="str">
        <f>CONST_PrecursorToGoodInput&amp;G322 &amp;"_"&amp;E341</f>
        <v>PrecToGood__</v>
      </c>
      <c r="S341" s="105">
        <f t="shared" si="38"/>
        <v>6</v>
      </c>
      <c r="T341" s="124" t="str">
        <f>IF(G322="","",L341)</f>
        <v/>
      </c>
      <c r="U341" s="91"/>
      <c r="V341" s="105" t="str">
        <f>IF(AND(G322&lt;&gt;"",E341&lt;&gt;"",L341&lt;&gt;""),TRUE,IF(AND(G322&lt;&gt;"",E341&lt;&gt;"",L341="",Z341=FALSE),CONST_ErrorOrMissing&amp;C322,CONST_NA))</f>
        <v>n.a.</v>
      </c>
      <c r="W341" s="172"/>
      <c r="X341" s="172"/>
      <c r="Y341" s="91"/>
      <c r="Z341" s="102" t="b">
        <f>IF(G322="",FALSE,E341="")</f>
        <v>0</v>
      </c>
    </row>
    <row r="342" spans="1:26" s="144" customFormat="1" ht="12.75" customHeight="1" x14ac:dyDescent="0.35">
      <c r="A342" s="91"/>
      <c r="B342" s="94"/>
      <c r="D342" s="173">
        <v>7</v>
      </c>
      <c r="E342" s="180" t="str">
        <f t="shared" si="37"/>
        <v/>
      </c>
      <c r="F342" s="181"/>
      <c r="G342" s="181"/>
      <c r="H342" s="181"/>
      <c r="I342" s="181"/>
      <c r="J342" s="182"/>
      <c r="K342" s="183" t="str">
        <f t="shared" si="39"/>
        <v/>
      </c>
      <c r="L342" s="212"/>
      <c r="O342" s="945"/>
      <c r="P342" s="94"/>
      <c r="Q342" s="93"/>
      <c r="R342" s="102" t="str">
        <f>CONST_PrecursorToGoodInput&amp;G322 &amp;"_"&amp;E342</f>
        <v>PrecToGood__</v>
      </c>
      <c r="S342" s="105">
        <f t="shared" si="38"/>
        <v>7</v>
      </c>
      <c r="T342" s="124" t="str">
        <f>IF(G322="","",L342)</f>
        <v/>
      </c>
      <c r="U342" s="91"/>
      <c r="V342" s="105" t="str">
        <f>IF(AND(G322&lt;&gt;"",E342&lt;&gt;"",L342&lt;&gt;""),TRUE,IF(AND(G322&lt;&gt;"",E342&lt;&gt;"",L342="",Z342=FALSE),CONST_ErrorOrMissing&amp;C322,CONST_NA))</f>
        <v>n.a.</v>
      </c>
      <c r="W342" s="172"/>
      <c r="X342" s="172"/>
      <c r="Y342" s="91"/>
      <c r="Z342" s="102" t="b">
        <f>IF(G322="",FALSE,E342="")</f>
        <v>0</v>
      </c>
    </row>
    <row r="343" spans="1:26" s="144" customFormat="1" ht="12.75" customHeight="1" x14ac:dyDescent="0.35">
      <c r="A343" s="91"/>
      <c r="B343" s="94"/>
      <c r="D343" s="173">
        <v>8</v>
      </c>
      <c r="E343" s="180" t="str">
        <f t="shared" si="37"/>
        <v/>
      </c>
      <c r="F343" s="181"/>
      <c r="G343" s="181"/>
      <c r="H343" s="181"/>
      <c r="I343" s="181"/>
      <c r="J343" s="182"/>
      <c r="K343" s="183" t="str">
        <f t="shared" si="39"/>
        <v/>
      </c>
      <c r="L343" s="212"/>
      <c r="O343" s="945"/>
      <c r="P343" s="94"/>
      <c r="Q343" s="93"/>
      <c r="R343" s="102" t="str">
        <f>CONST_PrecursorToGoodInput&amp;G322 &amp;"_"&amp;E343</f>
        <v>PrecToGood__</v>
      </c>
      <c r="S343" s="105">
        <f t="shared" si="38"/>
        <v>8</v>
      </c>
      <c r="T343" s="124" t="str">
        <f>IF(G322="","",L343)</f>
        <v/>
      </c>
      <c r="U343" s="91"/>
      <c r="V343" s="105" t="str">
        <f>IF(AND(G322&lt;&gt;"",E343&lt;&gt;"",L343&lt;&gt;""),TRUE,IF(AND(G322&lt;&gt;"",E343&lt;&gt;"",L343="",Z343=FALSE),CONST_ErrorOrMissing&amp;C322,CONST_NA))</f>
        <v>n.a.</v>
      </c>
      <c r="W343" s="172"/>
      <c r="X343" s="172"/>
      <c r="Y343" s="91"/>
      <c r="Z343" s="102" t="b">
        <f>IF(G322="",FALSE,E343="")</f>
        <v>0</v>
      </c>
    </row>
    <row r="344" spans="1:26" s="144" customFormat="1" ht="12.75" customHeight="1" x14ac:dyDescent="0.35">
      <c r="A344" s="91"/>
      <c r="B344" s="94"/>
      <c r="D344" s="173">
        <v>9</v>
      </c>
      <c r="E344" s="180" t="str">
        <f t="shared" si="37"/>
        <v/>
      </c>
      <c r="F344" s="181"/>
      <c r="G344" s="181"/>
      <c r="H344" s="181"/>
      <c r="I344" s="181"/>
      <c r="J344" s="182"/>
      <c r="K344" s="183" t="str">
        <f t="shared" si="39"/>
        <v/>
      </c>
      <c r="L344" s="212"/>
      <c r="O344" s="945"/>
      <c r="P344" s="94"/>
      <c r="Q344" s="93"/>
      <c r="R344" s="102" t="str">
        <f>CONST_PrecursorToGoodInput&amp;G322 &amp;"_"&amp;E344</f>
        <v>PrecToGood__</v>
      </c>
      <c r="S344" s="105">
        <f t="shared" si="38"/>
        <v>9</v>
      </c>
      <c r="T344" s="124" t="str">
        <f>IF(G322="","",L344)</f>
        <v/>
      </c>
      <c r="U344" s="91"/>
      <c r="V344" s="105" t="str">
        <f>IF(AND(G322&lt;&gt;"",E344&lt;&gt;"",L344&lt;&gt;""),TRUE,IF(AND(G322&lt;&gt;"",E344&lt;&gt;"",L344="",Z344=FALSE),CONST_ErrorOrMissing&amp;C322,CONST_NA))</f>
        <v>n.a.</v>
      </c>
      <c r="W344" s="172"/>
      <c r="X344" s="172"/>
      <c r="Y344" s="91"/>
      <c r="Z344" s="102" t="b">
        <f>IF(G322="",FALSE,E344="")</f>
        <v>0</v>
      </c>
    </row>
    <row r="345" spans="1:26" s="144" customFormat="1" ht="12.75" customHeight="1" x14ac:dyDescent="0.35">
      <c r="A345" s="91"/>
      <c r="B345" s="94"/>
      <c r="D345" s="173">
        <v>10</v>
      </c>
      <c r="E345" s="184" t="str">
        <f t="shared" si="37"/>
        <v/>
      </c>
      <c r="F345" s="185"/>
      <c r="G345" s="185"/>
      <c r="H345" s="185"/>
      <c r="I345" s="185"/>
      <c r="J345" s="186"/>
      <c r="K345" s="163" t="str">
        <f t="shared" si="39"/>
        <v/>
      </c>
      <c r="L345" s="31"/>
      <c r="O345" s="945"/>
      <c r="P345" s="94"/>
      <c r="Q345" s="93"/>
      <c r="R345" s="102" t="str">
        <f>CONST_PrecursorToGoodInput&amp;G322 &amp;"_"&amp;E345</f>
        <v>PrecToGood__</v>
      </c>
      <c r="S345" s="105">
        <f t="shared" si="38"/>
        <v>10</v>
      </c>
      <c r="T345" s="124" t="str">
        <f>IF(G322="","",L345)</f>
        <v/>
      </c>
      <c r="U345" s="91"/>
      <c r="V345" s="105" t="str">
        <f>IF(AND(G322&lt;&gt;"",E345&lt;&gt;"",L345&lt;&gt;""),TRUE,IF(AND(G322&lt;&gt;"",E345&lt;&gt;"",L345="",Z345=FALSE),CONST_ErrorOrMissing&amp;C322,CONST_NA))</f>
        <v>n.a.</v>
      </c>
      <c r="W345" s="172"/>
      <c r="X345" s="172"/>
      <c r="Y345" s="91"/>
      <c r="Z345" s="102" t="b">
        <f>IF(G322="",FALSE,E345="")</f>
        <v>0</v>
      </c>
    </row>
    <row r="346" spans="1:26" s="144" customFormat="1" ht="12.75" customHeight="1" x14ac:dyDescent="0.35">
      <c r="A346" s="91"/>
      <c r="B346" s="94"/>
      <c r="D346" s="168" t="s">
        <v>49</v>
      </c>
      <c r="E346" s="167" t="str">
        <f>Translations!$B$1968</f>
        <v>Consumed for other purposes, e.g. sold or used for non-CBAM goods:</v>
      </c>
      <c r="F346" s="167"/>
      <c r="G346" s="167"/>
      <c r="H346" s="167"/>
      <c r="I346" s="167"/>
      <c r="J346" s="167"/>
      <c r="K346" s="169" t="str">
        <f>K333</f>
        <v/>
      </c>
      <c r="L346" s="211"/>
      <c r="O346" s="945"/>
      <c r="P346" s="94"/>
      <c r="Q346" s="93"/>
      <c r="R346" s="91"/>
      <c r="S346" s="91"/>
      <c r="T346" s="712"/>
      <c r="U346" s="91"/>
      <c r="V346" s="105" t="str">
        <f>IF(G322="",CONST_NA,IF(ISNUMBER(L346),TRUE,CONST_ErrorOrMissing&amp;C322))</f>
        <v>n.a.</v>
      </c>
      <c r="W346" s="91"/>
      <c r="X346" s="91"/>
      <c r="Y346" s="91"/>
      <c r="Z346" s="91"/>
    </row>
    <row r="347" spans="1:26" s="144" customFormat="1" ht="12.75" customHeight="1" x14ac:dyDescent="0.35">
      <c r="A347" s="91"/>
      <c r="B347" s="94"/>
      <c r="D347" s="168" t="s">
        <v>377</v>
      </c>
      <c r="E347" s="138" t="str">
        <f>Translations!$B$253</f>
        <v>Control:</v>
      </c>
      <c r="F347" s="170"/>
      <c r="G347" s="170"/>
      <c r="H347" s="170"/>
      <c r="I347" s="170"/>
      <c r="J347" s="170"/>
      <c r="K347" s="169" t="str">
        <f>K346</f>
        <v/>
      </c>
      <c r="L347" s="118" t="str">
        <f>IF(G322="","",SUM(L333)-SUM(L336:L346))</f>
        <v/>
      </c>
      <c r="O347" s="945"/>
      <c r="P347" s="94"/>
      <c r="Q347" s="93"/>
      <c r="R347" s="91"/>
      <c r="S347" s="91"/>
      <c r="T347" s="712"/>
      <c r="U347" s="91"/>
      <c r="V347" s="105" t="str">
        <f>IF(G322="",CONST_NA,IF(L347=0,TRUE,CONST_ErrorOrMissing&amp;C322))</f>
        <v>n.a.</v>
      </c>
      <c r="W347" s="91"/>
      <c r="X347" s="91"/>
      <c r="Y347" s="91"/>
      <c r="Z347" s="91"/>
    </row>
    <row r="348" spans="1:26" s="144" customFormat="1" ht="12.75" customHeight="1" thickBot="1" x14ac:dyDescent="0.4">
      <c r="A348" s="91"/>
      <c r="B348" s="94"/>
      <c r="O348" s="428"/>
      <c r="P348" s="94"/>
      <c r="Q348" s="93"/>
      <c r="R348" s="91"/>
      <c r="S348" s="91"/>
      <c r="T348" s="712"/>
      <c r="U348" s="91"/>
      <c r="V348" s="91"/>
      <c r="W348" s="91"/>
      <c r="X348" s="91"/>
      <c r="Y348" s="91"/>
      <c r="Z348" s="91"/>
    </row>
    <row r="349" spans="1:26" ht="12.75" customHeight="1" x14ac:dyDescent="0.35">
      <c r="B349" s="94"/>
      <c r="C349" s="187"/>
      <c r="D349" s="188"/>
      <c r="E349" s="189"/>
      <c r="F349" s="190"/>
      <c r="G349" s="190"/>
      <c r="H349" s="190"/>
      <c r="I349" s="190"/>
      <c r="J349" s="190"/>
      <c r="K349" s="190"/>
      <c r="L349" s="190"/>
      <c r="M349" s="190"/>
      <c r="N349" s="191"/>
      <c r="O349" s="428"/>
      <c r="T349" s="712"/>
    </row>
    <row r="350" spans="1:26" ht="15" customHeight="1" x14ac:dyDescent="0.35">
      <c r="B350" s="94"/>
      <c r="C350" s="192"/>
      <c r="D350" s="193" t="str">
        <f>Translations!$B$279</f>
        <v>Specific embedded emissions:</v>
      </c>
      <c r="E350" s="194"/>
      <c r="F350" s="195"/>
      <c r="G350" s="195"/>
      <c r="H350" s="195"/>
      <c r="I350" s="195"/>
      <c r="J350" s="1327" t="str">
        <f>IF(G322="","",G322)</f>
        <v/>
      </c>
      <c r="K350" s="1327"/>
      <c r="L350" s="1327"/>
      <c r="M350" s="1327"/>
      <c r="N350" s="196"/>
      <c r="O350" s="428"/>
      <c r="T350" s="712"/>
    </row>
    <row r="351" spans="1:26" ht="5.15" customHeight="1" x14ac:dyDescent="0.35">
      <c r="B351" s="94"/>
      <c r="C351" s="192"/>
      <c r="D351" s="197"/>
      <c r="E351" s="198"/>
      <c r="F351" s="195"/>
      <c r="G351" s="195"/>
      <c r="H351" s="195"/>
      <c r="I351" s="195"/>
      <c r="J351" s="195"/>
      <c r="K351" s="195"/>
      <c r="L351" s="195"/>
      <c r="M351" s="195"/>
      <c r="N351" s="196"/>
      <c r="O351" s="428"/>
      <c r="T351" s="712"/>
    </row>
    <row r="352" spans="1:26" ht="12.75" customHeight="1" x14ac:dyDescent="0.35">
      <c r="B352" s="94"/>
      <c r="C352" s="192"/>
      <c r="D352" s="199" t="s">
        <v>411</v>
      </c>
      <c r="E352" s="198" t="str">
        <f>Translations!$B$280</f>
        <v>Emissions embedded in this purchased precursor</v>
      </c>
      <c r="F352" s="198"/>
      <c r="G352" s="198"/>
      <c r="H352" s="198"/>
      <c r="I352" s="198"/>
      <c r="J352" s="198"/>
      <c r="K352" s="198"/>
      <c r="L352" s="198"/>
      <c r="M352" s="198"/>
      <c r="N352" s="196"/>
      <c r="O352" s="428"/>
      <c r="T352" s="712"/>
      <c r="V352" s="172"/>
      <c r="W352" s="172"/>
      <c r="X352" s="172"/>
      <c r="Z352" s="171"/>
    </row>
    <row r="353" spans="1:26" ht="4.9000000000000004" customHeight="1" x14ac:dyDescent="0.35">
      <c r="B353" s="94"/>
      <c r="C353" s="192"/>
      <c r="D353" s="199"/>
      <c r="E353" s="1328"/>
      <c r="F353" s="1328"/>
      <c r="G353" s="1328"/>
      <c r="H353" s="1328"/>
      <c r="I353" s="1328"/>
      <c r="J353" s="1328"/>
      <c r="K353" s="1328"/>
      <c r="L353" s="1328"/>
      <c r="M353" s="1328"/>
      <c r="N353" s="196"/>
      <c r="O353" s="428"/>
      <c r="T353" s="712"/>
    </row>
    <row r="354" spans="1:26" ht="13.15" customHeight="1" x14ac:dyDescent="0.35">
      <c r="B354" s="94"/>
      <c r="C354" s="192"/>
      <c r="D354" s="199"/>
      <c r="E354" s="1311" t="str">
        <f ca="1">HYPERLINK("#"&amp;ADDRESS(MATCH($S354,G_FurtherGuidance!$S:$S,0),3,,,G_FurtherGuidance!$U$2),CONST_LinkToGuidanceSheet)</f>
        <v>Please click on this link for further guidance on how to complete this section.</v>
      </c>
      <c r="F354" s="1312"/>
      <c r="G354" s="1312"/>
      <c r="H354" s="1312"/>
      <c r="I354" s="1312"/>
      <c r="J354" s="1312"/>
      <c r="K354" s="1312"/>
      <c r="L354" s="1312"/>
      <c r="M354" s="1312"/>
      <c r="N354" s="196"/>
      <c r="O354" s="428"/>
      <c r="R354" s="104" t="s">
        <v>2771</v>
      </c>
      <c r="S354" s="105">
        <v>4</v>
      </c>
      <c r="T354" s="712"/>
    </row>
    <row r="355" spans="1:26" ht="4.9000000000000004" customHeight="1" x14ac:dyDescent="0.35">
      <c r="B355" s="94"/>
      <c r="C355" s="192"/>
      <c r="D355" s="199"/>
      <c r="E355" s="1328"/>
      <c r="F355" s="1328"/>
      <c r="G355" s="1328"/>
      <c r="H355" s="1328"/>
      <c r="I355" s="1328"/>
      <c r="J355" s="1328"/>
      <c r="K355" s="1328"/>
      <c r="L355" s="1328"/>
      <c r="M355" s="1328"/>
      <c r="N355" s="384"/>
      <c r="O355" s="428"/>
      <c r="T355" s="712"/>
    </row>
    <row r="356" spans="1:26" ht="12.75" customHeight="1" x14ac:dyDescent="0.35">
      <c r="B356" s="94"/>
      <c r="C356" s="192"/>
      <c r="D356" s="199"/>
      <c r="E356" s="198" t="str">
        <f>Translations!$B$284</f>
        <v>Parameter:</v>
      </c>
      <c r="F356" s="195"/>
      <c r="G356" s="195"/>
      <c r="H356" s="195"/>
      <c r="I356" s="195"/>
      <c r="J356" s="195"/>
      <c r="K356" s="199" t="str">
        <f>Translations!$B$221</f>
        <v>Unit</v>
      </c>
      <c r="L356" s="199" t="str">
        <f>Translations!$B$260</f>
        <v>Value</v>
      </c>
      <c r="M356" s="199" t="str">
        <f>Translations!$B$285</f>
        <v>Source</v>
      </c>
      <c r="N356" s="196"/>
      <c r="O356" s="428"/>
      <c r="T356" s="764" t="s">
        <v>5</v>
      </c>
      <c r="U356" s="123" t="s">
        <v>2719</v>
      </c>
      <c r="V356" s="156" t="s">
        <v>3922</v>
      </c>
      <c r="W356" s="156"/>
      <c r="X356" s="156"/>
      <c r="Z356" s="171"/>
    </row>
    <row r="357" spans="1:26" ht="12.75" customHeight="1" x14ac:dyDescent="0.35">
      <c r="B357" s="94"/>
      <c r="C357" s="192"/>
      <c r="D357" s="197" t="s">
        <v>41</v>
      </c>
      <c r="E357" s="201" t="str">
        <f>Translations!$B$1969</f>
        <v>Specific embedded direct emissions (SEE (direct))</v>
      </c>
      <c r="F357" s="201"/>
      <c r="G357" s="201"/>
      <c r="H357" s="201"/>
      <c r="I357" s="201"/>
      <c r="J357" s="201"/>
      <c r="K357" s="217" t="str">
        <f>IF(L322="","",CONST_tCO2eq &amp; "/" &amp; K333)</f>
        <v/>
      </c>
      <c r="L357" s="215"/>
      <c r="M357" s="385"/>
      <c r="N357" s="196"/>
      <c r="O357" s="945"/>
      <c r="R357" s="102" t="str">
        <f>CONST_PurchPrecDefaultUsed&amp;G322</f>
        <v>PurchPrecDef_</v>
      </c>
      <c r="S357" s="102" t="str">
        <f>CONST_CNTR_EmbedEmDir&amp;G322</f>
        <v>EmbedEmDir_</v>
      </c>
      <c r="T357" s="124" t="str">
        <f>IF(G322="","",SUM(T333)*SUM(L357))</f>
        <v/>
      </c>
      <c r="U357" s="105" t="str">
        <f>IF(G322="","",IF(M357="",CONST_ERR_Incomplete,MATCH(M357,CONST_MeasDefaultUnknown,0)=2))</f>
        <v/>
      </c>
      <c r="V357" s="105" t="str">
        <f>IF(AND(G322&lt;&gt;"",COUNTA(L357:M357)=2),TRUE,IF(AND(G322&lt;&gt;"",COUNTA(L357:M357)&lt;2),CONST_ErrorOrMissing&amp;C322,CONST_NA))</f>
        <v>n.a.</v>
      </c>
      <c r="W357" s="156"/>
      <c r="X357" s="156"/>
      <c r="Z357" s="171"/>
    </row>
    <row r="358" spans="1:26" ht="12.75" customHeight="1" x14ac:dyDescent="0.35">
      <c r="B358" s="94"/>
      <c r="C358" s="192"/>
      <c r="D358" s="197" t="s">
        <v>42</v>
      </c>
      <c r="E358" s="759" t="str">
        <f>Translations!$B$1970</f>
        <v>Specific electricity consumption (for SEE (indirect))</v>
      </c>
      <c r="F358" s="759"/>
      <c r="G358" s="759"/>
      <c r="H358" s="759"/>
      <c r="I358" s="759"/>
      <c r="J358" s="759"/>
      <c r="K358" s="457" t="str">
        <f>IF(K357="","",CONST_MWh&amp;"/"&amp;K333)</f>
        <v/>
      </c>
      <c r="L358" s="760"/>
      <c r="M358" s="761"/>
      <c r="N358" s="196"/>
      <c r="O358" s="945"/>
      <c r="R358" s="102" t="str">
        <f>CONST_ElecConsumption&amp;G322</f>
        <v>ElecCons_</v>
      </c>
      <c r="S358" s="102"/>
      <c r="T358" s="124" t="str">
        <f>IF(G322="","",SUM(T333)*SUM(L358))</f>
        <v/>
      </c>
      <c r="U358" s="105" t="str">
        <f>IF(G322="","",IF(M358="",CONST_ERR_Incomplete,MATCH(M358,CONST_MeasDefaultUnknown,0)=2))</f>
        <v/>
      </c>
      <c r="V358" s="105" t="str">
        <f>IF(AND(G322&lt;&gt;"",COUNTA(L358:M358)=2),TRUE,IF(AND(G322&lt;&gt;"",COUNTA(L358:M358)&lt;2),CONST_ErrorOrMissing&amp;C322,CONST_NA))</f>
        <v>n.a.</v>
      </c>
      <c r="W358" s="156"/>
      <c r="X358" s="156"/>
      <c r="Z358" s="171"/>
    </row>
    <row r="359" spans="1:26" ht="12.75" customHeight="1" x14ac:dyDescent="0.35">
      <c r="B359" s="94"/>
      <c r="C359" s="192"/>
      <c r="D359" s="197" t="s">
        <v>43</v>
      </c>
      <c r="E359" s="1144" t="str">
        <f>Translations!$B$1971</f>
        <v>Electricity emission factor (for SEE (indirect))</v>
      </c>
      <c r="F359" s="1144"/>
      <c r="G359" s="1144"/>
      <c r="H359" s="1144"/>
      <c r="I359" s="1144"/>
      <c r="J359" s="1144"/>
      <c r="K359" s="1145" t="str">
        <f>IF(K357="","",CONST_tCO2eq&amp;"/"&amp;CONST_MWh)</f>
        <v/>
      </c>
      <c r="L359" s="1146"/>
      <c r="M359" s="762"/>
      <c r="N359" s="196"/>
      <c r="O359" s="945"/>
      <c r="R359" s="102" t="str">
        <f>CONST_CNTR_ElecEFMethod&amp;G322</f>
        <v>ElecEFMeth_</v>
      </c>
      <c r="S359" s="102"/>
      <c r="T359" s="124"/>
      <c r="U359" s="105" t="str">
        <f>IF(G322="","",M359)</f>
        <v/>
      </c>
      <c r="V359" s="105" t="str">
        <f>IF(AND(G322&lt;&gt;"",COUNTA(L359:M359)=2),TRUE,IF(AND(G322&lt;&gt;"",COUNTA(L359:M359)&lt;2),CONST_ErrorOrMissing&amp;C322,CONST_NA))</f>
        <v>n.a.</v>
      </c>
      <c r="W359" s="156"/>
      <c r="X359" s="156"/>
      <c r="Z359" s="171"/>
    </row>
    <row r="360" spans="1:26" x14ac:dyDescent="0.35">
      <c r="B360" s="94"/>
      <c r="C360" s="192"/>
      <c r="D360" s="197" t="s">
        <v>44</v>
      </c>
      <c r="E360" s="201" t="str">
        <f>Translations!$B$1972</f>
        <v>Specific embedded indirect emissions (SEE (indirect))</v>
      </c>
      <c r="F360" s="201"/>
      <c r="G360" s="201"/>
      <c r="H360" s="201"/>
      <c r="I360" s="201"/>
      <c r="J360" s="201"/>
      <c r="K360" s="217" t="str">
        <f>K357</f>
        <v/>
      </c>
      <c r="L360" s="1147" t="str">
        <f>IF(COUNT(L358:L359)=0,"",L358*L359)</f>
        <v/>
      </c>
      <c r="M360" s="758"/>
      <c r="N360" s="196"/>
      <c r="O360" s="428"/>
      <c r="R360" s="171"/>
      <c r="S360" s="102" t="str">
        <f>CONST_CNTR_EmbedEmInDir&amp;G322</f>
        <v>EmbedEmInDir_</v>
      </c>
      <c r="T360" s="124" t="str">
        <f>IF(G322="","",SUM(T333)*SUM(L360))</f>
        <v/>
      </c>
      <c r="Z360" s="171"/>
    </row>
    <row r="361" spans="1:26" ht="5.15" customHeight="1" x14ac:dyDescent="0.35">
      <c r="B361" s="94"/>
      <c r="C361" s="192"/>
      <c r="D361" s="197"/>
      <c r="E361" s="195"/>
      <c r="F361" s="195"/>
      <c r="G361" s="195"/>
      <c r="H361" s="195"/>
      <c r="I361" s="195"/>
      <c r="J361" s="195"/>
      <c r="K361" s="195"/>
      <c r="L361" s="195"/>
      <c r="M361" s="195"/>
      <c r="N361" s="196"/>
      <c r="O361" s="428"/>
      <c r="R361" s="171"/>
      <c r="S361" s="171"/>
      <c r="T361" s="125"/>
      <c r="U361" s="156"/>
      <c r="V361" s="172"/>
      <c r="W361" s="172"/>
      <c r="X361" s="172"/>
      <c r="Z361" s="171"/>
    </row>
    <row r="362" spans="1:26" ht="12.75" customHeight="1" x14ac:dyDescent="0.35">
      <c r="B362" s="94"/>
      <c r="C362" s="192"/>
      <c r="D362" s="197" t="s">
        <v>45</v>
      </c>
      <c r="E362" s="201" t="str">
        <f>Translations!$B$1858</f>
        <v>Justification for use of default values (if relevant):</v>
      </c>
      <c r="F362" s="201"/>
      <c r="G362" s="201"/>
      <c r="H362" s="201"/>
      <c r="I362" s="201"/>
      <c r="J362" s="201"/>
      <c r="K362" s="1329"/>
      <c r="L362" s="1329"/>
      <c r="M362" s="1329"/>
      <c r="N362" s="196"/>
      <c r="O362" s="945"/>
      <c r="R362" s="171"/>
      <c r="S362" s="171"/>
      <c r="T362" s="125"/>
      <c r="U362" s="156"/>
      <c r="V362" s="105" t="str">
        <f>IF(OR(G322="",Z362=TRUE),CONST_NA,IF(K362&lt;&gt;"",TRUE,CONST_ErrorOrMissing&amp;C322))</f>
        <v>n.a.</v>
      </c>
      <c r="W362" s="172"/>
      <c r="X362" s="172"/>
      <c r="Z362" s="102" t="b">
        <f>AND(M357&lt;&gt;"",M357&lt;&gt;INDEX(CONST_MeasDefaultUnknown,2),M358&lt;&gt;"",M358&lt;&gt;INDEX(CONST_MeasDefaultUnknown,2))</f>
        <v>0</v>
      </c>
    </row>
    <row r="363" spans="1:26" s="144" customFormat="1" ht="12.75" customHeight="1" thickBot="1" x14ac:dyDescent="0.4">
      <c r="A363" s="91"/>
      <c r="B363" s="94"/>
      <c r="C363" s="206"/>
      <c r="D363" s="207"/>
      <c r="E363" s="208"/>
      <c r="F363" s="209"/>
      <c r="G363" s="209"/>
      <c r="H363" s="209"/>
      <c r="I363" s="209"/>
      <c r="J363" s="209"/>
      <c r="K363" s="209"/>
      <c r="L363" s="209"/>
      <c r="M363" s="209"/>
      <c r="N363" s="210"/>
      <c r="O363" s="428"/>
      <c r="P363" s="94"/>
      <c r="Q363" s="93"/>
      <c r="R363" s="91"/>
      <c r="S363" s="91"/>
      <c r="T363" s="712"/>
      <c r="U363" s="91"/>
      <c r="V363" s="91"/>
      <c r="W363" s="91"/>
      <c r="X363" s="91"/>
      <c r="Y363" s="91"/>
      <c r="Z363" s="91"/>
    </row>
    <row r="364" spans="1:26" s="144" customFormat="1" ht="12.75" customHeight="1" thickBot="1" x14ac:dyDescent="0.4">
      <c r="A364" s="91"/>
      <c r="B364" s="94"/>
      <c r="O364" s="428"/>
      <c r="P364" s="94"/>
      <c r="Q364" s="93"/>
      <c r="R364" s="91"/>
      <c r="S364" s="91"/>
      <c r="T364" s="712"/>
      <c r="U364" s="91"/>
      <c r="V364" s="91"/>
      <c r="W364" s="91"/>
      <c r="X364" s="91"/>
      <c r="Y364" s="91"/>
      <c r="Z364" s="91"/>
    </row>
    <row r="365" spans="1:26" s="144" customFormat="1" ht="12.75" customHeight="1" thickBot="1" x14ac:dyDescent="0.4">
      <c r="A365" s="91"/>
      <c r="B365" s="946"/>
      <c r="C365" s="145"/>
      <c r="D365" s="145"/>
      <c r="E365" s="145"/>
      <c r="F365" s="145"/>
      <c r="G365" s="145"/>
      <c r="H365" s="145"/>
      <c r="I365" s="145"/>
      <c r="J365" s="145"/>
      <c r="K365" s="145"/>
      <c r="L365" s="145"/>
      <c r="M365" s="145"/>
      <c r="N365" s="145"/>
      <c r="O365" s="947"/>
      <c r="P365" s="94"/>
      <c r="Q365" s="93"/>
      <c r="R365" s="91"/>
      <c r="S365" s="91"/>
      <c r="T365" s="712"/>
      <c r="U365" s="91"/>
      <c r="V365" s="91"/>
      <c r="W365" s="91"/>
      <c r="X365" s="91"/>
      <c r="Y365" s="91"/>
      <c r="Z365" s="91"/>
    </row>
    <row r="366" spans="1:26" ht="18" customHeight="1" thickBot="1" x14ac:dyDescent="0.4">
      <c r="B366" s="94"/>
      <c r="C366" s="147">
        <f>C322+1</f>
        <v>9</v>
      </c>
      <c r="D366" s="944" t="str">
        <f>CONST_PurchPrecursor &amp; " " &amp; C366 &amp; ":"</f>
        <v>Purchased precursor 9:</v>
      </c>
      <c r="E366" s="144"/>
      <c r="F366" s="144"/>
      <c r="G366" s="1313" t="str">
        <f>IF(INDEX(CNTR_List_ExistPurchPrecNames,MATCH(R366,CNTR_ListPurchPrecID,0))=CONST_NA,"",INDEX(CNTR_List_ExistPurchPrecNames,MATCH(R366,CNTR_ListPurchPrecID,0)))</f>
        <v/>
      </c>
      <c r="H366" s="1314"/>
      <c r="I366" s="1314"/>
      <c r="J366" s="1314"/>
      <c r="K366" s="1315"/>
      <c r="L366" s="1316" t="str">
        <f>IF(INDEX(CNTR_List_ExistPurchPrec,MATCH(R366,CNTR_ListPurchPrecID,0))=CONST_NA,"",INDEX(CNTR_List_ExistPurchPrec,MATCH(R366,CNTR_ListPurchPrecID,0)))</f>
        <v/>
      </c>
      <c r="M366" s="1317"/>
      <c r="N366" s="1318"/>
      <c r="O366" s="428"/>
      <c r="R366" s="149" t="str">
        <f>INDEX(CNTR_ListPurchPrecID,C366)</f>
        <v>PP9</v>
      </c>
      <c r="Y366" s="104" t="s">
        <v>2748</v>
      </c>
      <c r="Z366" s="150" t="b">
        <f>AND(CNTR_HasEntriesA,G366="")</f>
        <v>0</v>
      </c>
    </row>
    <row r="367" spans="1:26" ht="26.5" customHeight="1" x14ac:dyDescent="0.35">
      <c r="B367" s="94"/>
      <c r="C367" s="144"/>
      <c r="D367" s="914"/>
      <c r="E367" s="1325" t="str">
        <f ca="1">HYPERLINK("#"&amp;ADDRESS(MATCH($S367,G_FurtherGuidance!$S:$S,0),3,,,G_FurtherGuidance!$U$2),CONST_LinkToGuidanceSheet)</f>
        <v>Please click on this link for further guidance on how to complete this section.</v>
      </c>
      <c r="F367" s="1326"/>
      <c r="G367" s="1326"/>
      <c r="H367" s="1326"/>
      <c r="I367" s="1326"/>
      <c r="J367" s="1326"/>
      <c r="K367" s="1326"/>
      <c r="L367" s="1326"/>
      <c r="M367" s="1326"/>
      <c r="N367" s="144"/>
      <c r="O367" s="428"/>
      <c r="R367" s="104" t="s">
        <v>2771</v>
      </c>
      <c r="S367" s="105">
        <v>4</v>
      </c>
      <c r="Y367" s="104"/>
    </row>
    <row r="368" spans="1:26" ht="12.75" customHeight="1" x14ac:dyDescent="0.35">
      <c r="B368" s="94"/>
      <c r="C368" s="144"/>
      <c r="D368" s="168" t="s">
        <v>135</v>
      </c>
      <c r="E368" s="167" t="str">
        <f>Translations!$B$276</f>
        <v>Total purchased levels:</v>
      </c>
      <c r="F368" s="144"/>
      <c r="G368" s="144"/>
      <c r="H368" s="151" t="str">
        <f>Translations!$B$244</f>
        <v>Production route</v>
      </c>
      <c r="I368" s="144"/>
      <c r="J368" s="144"/>
      <c r="K368" s="152" t="str">
        <f>Translations!$B$221</f>
        <v>Unit</v>
      </c>
      <c r="L368" s="152" t="str">
        <f>Translations!$B$245</f>
        <v>Amounts</v>
      </c>
      <c r="M368" s="144"/>
      <c r="N368" s="144"/>
      <c r="O368" s="428"/>
      <c r="Y368" s="91" t="s">
        <v>4077</v>
      </c>
    </row>
    <row r="369" spans="1:26" ht="12.75" customHeight="1" x14ac:dyDescent="0.35">
      <c r="B369" s="94"/>
      <c r="C369" s="144"/>
      <c r="D369" s="173">
        <v>1</v>
      </c>
      <c r="E369" s="153" t="str">
        <f>IF(G366="","",G366) &amp; IF(L366="",""," | " &amp; L366)</f>
        <v/>
      </c>
      <c r="F369" s="153"/>
      <c r="G369" s="153"/>
      <c r="H369" s="154" t="str">
        <f>IF(L366="","",INDEX(CONST_MATRIX_ProductionRoute,MATCH(L366,CONST_LIST_Goods,0),D369))</f>
        <v/>
      </c>
      <c r="I369" s="153"/>
      <c r="J369" s="153"/>
      <c r="K369" s="155" t="str">
        <f>IF(L366="","",INDEX(CONST_LIST_GoodsUnit,MATCH(L366,CONST_LIST_Goods,0)))</f>
        <v/>
      </c>
      <c r="L369" s="29"/>
      <c r="M369" s="144"/>
      <c r="N369" s="144"/>
      <c r="O369" s="945"/>
      <c r="S369" s="105">
        <v>1</v>
      </c>
      <c r="V369" s="105" t="str">
        <f>IF(AND(Y369=FALSE,ISNUMBER(L369)),TRUE,IF(Y369=FALSE,CONST_ErrorOrMissing&amp;C366,CONST_NA))</f>
        <v>n.a.</v>
      </c>
      <c r="Y369" s="105" t="str">
        <f>IF(OR(H369="",H369=CONST_NA),"",IF(H369=CONST_AllProdRoutes,FALSE, COUNTIF(INDEX(CNTR_MatrixPurchPrecRoutes,C366,),S369)=0))</f>
        <v/>
      </c>
    </row>
    <row r="370" spans="1:26" ht="12.75" customHeight="1" x14ac:dyDescent="0.35">
      <c r="B370" s="94"/>
      <c r="C370" s="144"/>
      <c r="D370" s="173">
        <v>2</v>
      </c>
      <c r="E370" s="158" t="str">
        <f t="shared" ref="E370:E376" si="40">IF(H370=CONST_NA,"",E369)</f>
        <v/>
      </c>
      <c r="F370" s="158"/>
      <c r="G370" s="158"/>
      <c r="H370" s="159" t="str">
        <f>IF(L366="","",INDEX(CONST_MATRIX_ProductionRoute,MATCH(L366,CONST_LIST_Goods,0),D370))</f>
        <v/>
      </c>
      <c r="I370" s="158"/>
      <c r="J370" s="158"/>
      <c r="K370" s="160" t="str">
        <f t="shared" ref="K370:K376" si="41">IF(H370=CONST_NA,"",K369)</f>
        <v/>
      </c>
      <c r="L370" s="30"/>
      <c r="M370" s="144"/>
      <c r="N370" s="144"/>
      <c r="O370" s="945"/>
      <c r="S370" s="105">
        <v>2</v>
      </c>
      <c r="V370" s="105" t="str">
        <f>IF(AND(Y370=FALSE,ISNUMBER(L370)),TRUE,IF(Y370=FALSE,CONST_ErrorOrMissing&amp;C366,CONST_NA))</f>
        <v>n.a.</v>
      </c>
      <c r="Y370" s="105" t="str">
        <f>IF(OR(H370="",H370=CONST_NA),"",IF(H370=CONST_AllProdRoutes,FALSE, COUNTIF(INDEX(CNTR_MatrixPurchPrecRoutes,C366,),S370)=0))</f>
        <v/>
      </c>
    </row>
    <row r="371" spans="1:26" ht="12.75" customHeight="1" x14ac:dyDescent="0.35">
      <c r="B371" s="94"/>
      <c r="C371" s="144"/>
      <c r="D371" s="173">
        <v>3</v>
      </c>
      <c r="E371" s="158" t="str">
        <f t="shared" si="40"/>
        <v/>
      </c>
      <c r="F371" s="158"/>
      <c r="G371" s="158"/>
      <c r="H371" s="159" t="str">
        <f>IF(L366="","",INDEX(CONST_MATRIX_ProductionRoute,MATCH(L366,CONST_LIST_Goods,0),D371))</f>
        <v/>
      </c>
      <c r="I371" s="158"/>
      <c r="J371" s="158"/>
      <c r="K371" s="160" t="str">
        <f t="shared" si="41"/>
        <v/>
      </c>
      <c r="L371" s="30"/>
      <c r="M371" s="144"/>
      <c r="N371" s="144"/>
      <c r="O371" s="945"/>
      <c r="S371" s="105">
        <v>3</v>
      </c>
      <c r="V371" s="105" t="str">
        <f>IF(AND(Y371=FALSE,ISNUMBER(L371)),TRUE,IF(Y371=FALSE,CONST_ErrorOrMissing&amp;C366,CONST_NA))</f>
        <v>n.a.</v>
      </c>
      <c r="Y371" s="105" t="str">
        <f>IF(OR(H371="",H371=CONST_NA),"",IF(H371=CONST_AllProdRoutes,FALSE, COUNTIF(INDEX(CNTR_MatrixPurchPrecRoutes,C366,),S371)=0))</f>
        <v/>
      </c>
    </row>
    <row r="372" spans="1:26" ht="12.75" customHeight="1" x14ac:dyDescent="0.35">
      <c r="B372" s="94"/>
      <c r="C372" s="144"/>
      <c r="D372" s="173">
        <v>4</v>
      </c>
      <c r="E372" s="158" t="str">
        <f t="shared" si="40"/>
        <v/>
      </c>
      <c r="F372" s="158"/>
      <c r="G372" s="158"/>
      <c r="H372" s="159" t="str">
        <f>IF(L366="","",INDEX(CONST_MATRIX_ProductionRoute,MATCH(L366,CONST_LIST_Goods,0),D372))</f>
        <v/>
      </c>
      <c r="I372" s="158"/>
      <c r="J372" s="158"/>
      <c r="K372" s="160" t="str">
        <f t="shared" si="41"/>
        <v/>
      </c>
      <c r="L372" s="30"/>
      <c r="M372" s="144"/>
      <c r="N372" s="144"/>
      <c r="O372" s="945"/>
      <c r="S372" s="105">
        <v>4</v>
      </c>
      <c r="V372" s="105" t="str">
        <f>IF(AND(Y372=FALSE,ISNUMBER(L372)),TRUE,IF(Y372=FALSE,CONST_ErrorOrMissing&amp;C366,CONST_NA))</f>
        <v>n.a.</v>
      </c>
      <c r="Y372" s="105" t="str">
        <f>IF(OR(H372="",H372=CONST_NA),"",IF(H372=CONST_AllProdRoutes,FALSE, COUNTIF(INDEX(CNTR_MatrixPurchPrecRoutes,C366,),S372)=0))</f>
        <v/>
      </c>
    </row>
    <row r="373" spans="1:26" ht="12.75" customHeight="1" x14ac:dyDescent="0.35">
      <c r="B373" s="94"/>
      <c r="C373" s="144"/>
      <c r="D373" s="173">
        <v>5</v>
      </c>
      <c r="E373" s="158" t="str">
        <f t="shared" si="40"/>
        <v/>
      </c>
      <c r="F373" s="158"/>
      <c r="G373" s="158"/>
      <c r="H373" s="159" t="str">
        <f>IF(L366="","",INDEX(CONST_MATRIX_ProductionRoute,MATCH(L366,CONST_LIST_Goods,0),D373))</f>
        <v/>
      </c>
      <c r="I373" s="158"/>
      <c r="J373" s="158"/>
      <c r="K373" s="160" t="str">
        <f t="shared" si="41"/>
        <v/>
      </c>
      <c r="L373" s="30"/>
      <c r="M373" s="144"/>
      <c r="N373" s="144"/>
      <c r="O373" s="945"/>
      <c r="S373" s="105">
        <v>5</v>
      </c>
      <c r="V373" s="105" t="str">
        <f>IF(AND(Y373=FALSE,ISNUMBER(L373)),TRUE,IF(Y373=FALSE,CONST_ErrorOrMissing&amp;C366,CONST_NA))</f>
        <v>n.a.</v>
      </c>
      <c r="Y373" s="105" t="str">
        <f>IF(OR(H373="",H373=CONST_NA),"",IF(H373=CONST_AllProdRoutes,FALSE, COUNTIF(INDEX(CNTR_MatrixPurchPrecRoutes,C366,),S373)=0))</f>
        <v/>
      </c>
    </row>
    <row r="374" spans="1:26" ht="12.75" customHeight="1" x14ac:dyDescent="0.35">
      <c r="B374" s="94"/>
      <c r="C374" s="144"/>
      <c r="D374" s="173">
        <v>6</v>
      </c>
      <c r="E374" s="158" t="str">
        <f t="shared" si="40"/>
        <v/>
      </c>
      <c r="F374" s="158"/>
      <c r="G374" s="158"/>
      <c r="H374" s="159" t="str">
        <f>IF(L366="","",INDEX(CONST_MATRIX_ProductionRoute,MATCH(L366,CONST_LIST_Goods,0),D374))</f>
        <v/>
      </c>
      <c r="I374" s="158"/>
      <c r="J374" s="158"/>
      <c r="K374" s="160" t="str">
        <f t="shared" si="41"/>
        <v/>
      </c>
      <c r="L374" s="30"/>
      <c r="M374" s="144"/>
      <c r="N374" s="144"/>
      <c r="O374" s="945"/>
      <c r="S374" s="105">
        <v>6</v>
      </c>
      <c r="V374" s="105" t="str">
        <f>IF(AND(Y374=FALSE,ISNUMBER(L374)),TRUE,IF(Y374=FALSE,CONST_ErrorOrMissing&amp;C366,CONST_NA))</f>
        <v>n.a.</v>
      </c>
      <c r="Y374" s="105" t="str">
        <f>IF(OR(H374="",H374=CONST_NA),"",IF(H374=CONST_AllProdRoutes,FALSE, COUNTIF(INDEX(CNTR_MatrixPurchPrecRoutes,C366,),S374)=0))</f>
        <v/>
      </c>
    </row>
    <row r="375" spans="1:26" ht="12.75" customHeight="1" x14ac:dyDescent="0.35">
      <c r="B375" s="94"/>
      <c r="C375" s="144"/>
      <c r="D375" s="173">
        <v>7</v>
      </c>
      <c r="E375" s="158" t="str">
        <f t="shared" si="40"/>
        <v/>
      </c>
      <c r="F375" s="158"/>
      <c r="G375" s="158"/>
      <c r="H375" s="159" t="str">
        <f>IF(L366="","",INDEX(CONST_MATRIX_ProductionRoute,MATCH(L366,CONST_LIST_Goods,0),D375))</f>
        <v/>
      </c>
      <c r="I375" s="158"/>
      <c r="J375" s="158"/>
      <c r="K375" s="160" t="str">
        <f t="shared" si="41"/>
        <v/>
      </c>
      <c r="L375" s="30"/>
      <c r="M375" s="144"/>
      <c r="N375" s="144"/>
      <c r="O375" s="945"/>
      <c r="S375" s="105">
        <v>7</v>
      </c>
      <c r="V375" s="105" t="str">
        <f>IF(AND(Y375=FALSE,ISNUMBER(L375)),TRUE,IF(Y375=FALSE,CONST_ErrorOrMissing&amp;C366,CONST_NA))</f>
        <v>n.a.</v>
      </c>
      <c r="Y375" s="105" t="str">
        <f>IF(OR(H375="",H375=CONST_NA),"",IF(H375=CONST_AllProdRoutes,FALSE, COUNTIF(INDEX(CNTR_MatrixPurchPrecRoutes,C366,),S375)=0))</f>
        <v/>
      </c>
    </row>
    <row r="376" spans="1:26" ht="12.75" customHeight="1" x14ac:dyDescent="0.35">
      <c r="B376" s="94"/>
      <c r="C376" s="144"/>
      <c r="D376" s="173">
        <v>8</v>
      </c>
      <c r="E376" s="161" t="str">
        <f t="shared" si="40"/>
        <v/>
      </c>
      <c r="F376" s="161"/>
      <c r="G376" s="161"/>
      <c r="H376" s="162" t="str">
        <f>IF(L366="","",INDEX(CONST_MATRIX_ProductionRoute,MATCH(L366,CONST_LIST_Goods,0),D376))</f>
        <v/>
      </c>
      <c r="I376" s="161"/>
      <c r="J376" s="161"/>
      <c r="K376" s="163" t="str">
        <f t="shared" si="41"/>
        <v/>
      </c>
      <c r="L376" s="31"/>
      <c r="M376" s="144"/>
      <c r="N376" s="144"/>
      <c r="O376" s="945"/>
      <c r="S376" s="105">
        <v>8</v>
      </c>
      <c r="V376" s="105" t="str">
        <f>IF(AND(Y376=FALSE,ISNUMBER(L376)),TRUE,IF(Y376=FALSE,CONST_ErrorOrMissing&amp;C366,CONST_NA))</f>
        <v>n.a.</v>
      </c>
      <c r="Y376" s="105" t="str">
        <f>IF(OR(H376="",H376=CONST_NA),"",IF(H376=CONST_AllProdRoutes,FALSE, COUNTIF(INDEX(CNTR_MatrixPurchPrecRoutes,C366,),S376)=0))</f>
        <v/>
      </c>
    </row>
    <row r="377" spans="1:26" ht="12.75" customHeight="1" x14ac:dyDescent="0.35">
      <c r="B377" s="94"/>
      <c r="C377" s="144"/>
      <c r="D377" s="914"/>
      <c r="E377" s="138" t="str">
        <f>Translations!$B$1966</f>
        <v>Total purchase for possible consumption within installation:</v>
      </c>
      <c r="F377" s="138"/>
      <c r="G377" s="138"/>
      <c r="H377" s="164"/>
      <c r="I377" s="138"/>
      <c r="J377" s="138"/>
      <c r="K377" s="169" t="str">
        <f>K369</f>
        <v/>
      </c>
      <c r="L377" s="386" t="str">
        <f>IF(G366="","",SUM(L369:L376))</f>
        <v/>
      </c>
      <c r="M377" s="144"/>
      <c r="N377" s="144"/>
      <c r="O377" s="428"/>
      <c r="R377" s="102" t="str">
        <f>CONST_CNTR_TotProd&amp;G366</f>
        <v>TotProd_</v>
      </c>
      <c r="T377" s="216" t="str">
        <f>IF(G366="","",IF(SUM(L377)=0,100,L377))</f>
        <v/>
      </c>
      <c r="V377" s="123"/>
    </row>
    <row r="378" spans="1:26" s="144" customFormat="1" ht="5.15" customHeight="1" x14ac:dyDescent="0.35">
      <c r="A378" s="91"/>
      <c r="B378" s="94"/>
      <c r="D378" s="166"/>
      <c r="E378" s="167"/>
      <c r="O378" s="428"/>
      <c r="P378" s="94"/>
      <c r="Q378" s="93"/>
      <c r="R378" s="91"/>
      <c r="S378" s="91"/>
      <c r="T378" s="712"/>
      <c r="U378" s="91"/>
      <c r="V378" s="123"/>
      <c r="W378" s="91"/>
      <c r="X378" s="91"/>
      <c r="Y378" s="91"/>
      <c r="Z378" s="91"/>
    </row>
    <row r="379" spans="1:26" s="144" customFormat="1" ht="12.75" customHeight="1" x14ac:dyDescent="0.35">
      <c r="A379" s="91"/>
      <c r="B379" s="94"/>
      <c r="D379" s="168" t="s">
        <v>48</v>
      </c>
      <c r="E379" s="167" t="str">
        <f>Translations!$B$1967</f>
        <v>Consumed in 'production processes' within the installation:</v>
      </c>
      <c r="F379" s="167"/>
      <c r="G379" s="167"/>
      <c r="H379" s="167"/>
      <c r="I379" s="167"/>
      <c r="J379" s="167"/>
      <c r="K379" s="168" t="str">
        <f>Translations!$B$221</f>
        <v>Unit</v>
      </c>
      <c r="L379" s="168" t="str">
        <f>Translations!$B$245</f>
        <v>Amounts</v>
      </c>
      <c r="O379" s="428"/>
      <c r="P379" s="94"/>
      <c r="Q379" s="93"/>
      <c r="R379" s="91"/>
      <c r="S379" s="123" t="s">
        <v>195</v>
      </c>
      <c r="T379" s="712"/>
      <c r="U379" s="91"/>
      <c r="V379" s="123"/>
      <c r="W379" s="91"/>
      <c r="X379" s="91"/>
      <c r="Y379" s="91"/>
      <c r="Z379" s="91"/>
    </row>
    <row r="380" spans="1:26" s="144" customFormat="1" ht="12.75" customHeight="1" x14ac:dyDescent="0.35">
      <c r="A380" s="91"/>
      <c r="B380" s="94"/>
      <c r="D380" s="173">
        <v>1</v>
      </c>
      <c r="E380" s="174" t="str">
        <f t="shared" ref="E380:E389" si="42">IF(INDEX(CNTR_List_ExistProdProcNames,S380)=CONST_NA,"",INDEX(CNTR_List_ExistProdProcNames,S380))</f>
        <v/>
      </c>
      <c r="F380" s="175"/>
      <c r="G380" s="175"/>
      <c r="H380" s="175"/>
      <c r="I380" s="175"/>
      <c r="J380" s="176"/>
      <c r="K380" s="155" t="str">
        <f>IF(E380="","",K377)</f>
        <v/>
      </c>
      <c r="L380" s="29"/>
      <c r="O380" s="945"/>
      <c r="P380" s="94"/>
      <c r="Q380" s="93"/>
      <c r="R380" s="102" t="str">
        <f>CONST_PrecursorToGoodInput&amp;G366 &amp;"_"&amp;E380</f>
        <v>PrecToGood__</v>
      </c>
      <c r="S380" s="105">
        <f>D380</f>
        <v>1</v>
      </c>
      <c r="T380" s="124" t="str">
        <f>IF(G366="","",L380)</f>
        <v/>
      </c>
      <c r="U380" s="91"/>
      <c r="V380" s="105" t="str">
        <f>IF(AND(G366&lt;&gt;"",E380&lt;&gt;"",L380&lt;&gt;""),TRUE,IF(AND(G366&lt;&gt;"",E380&lt;&gt;"",L380="",Z380=FALSE),CONST_ErrorOrMissing&amp;C366,CONST_NA))</f>
        <v>n.a.</v>
      </c>
      <c r="W380" s="172"/>
      <c r="X380" s="172"/>
      <c r="Y380" s="91" t="s">
        <v>34</v>
      </c>
      <c r="Z380" s="102" t="b">
        <f>IF(G366="",FALSE,E380="")</f>
        <v>0</v>
      </c>
    </row>
    <row r="381" spans="1:26" s="144" customFormat="1" ht="12.75" customHeight="1" x14ac:dyDescent="0.35">
      <c r="A381" s="91"/>
      <c r="B381" s="94"/>
      <c r="D381" s="173">
        <v>2</v>
      </c>
      <c r="E381" s="177" t="str">
        <f t="shared" si="42"/>
        <v/>
      </c>
      <c r="F381" s="178"/>
      <c r="G381" s="178"/>
      <c r="H381" s="178"/>
      <c r="I381" s="178"/>
      <c r="J381" s="179"/>
      <c r="K381" s="160" t="str">
        <f>IF(E381="","",K380)</f>
        <v/>
      </c>
      <c r="L381" s="30"/>
      <c r="O381" s="945"/>
      <c r="P381" s="94"/>
      <c r="Q381" s="93"/>
      <c r="R381" s="102" t="str">
        <f>CONST_PrecursorToGoodInput&amp;G366 &amp;"_"&amp;E381</f>
        <v>PrecToGood__</v>
      </c>
      <c r="S381" s="105">
        <f t="shared" ref="S381:S389" si="43">D381</f>
        <v>2</v>
      </c>
      <c r="T381" s="124" t="str">
        <f>IF(G366="","",L381)</f>
        <v/>
      </c>
      <c r="U381" s="91"/>
      <c r="V381" s="105" t="str">
        <f>IF(AND(G366&lt;&gt;"",E381&lt;&gt;"",L381&lt;&gt;""),TRUE,IF(AND(G366&lt;&gt;"",E381&lt;&gt;"",L381="",Z381=FALSE),CONST_ErrorOrMissing&amp;C366,CONST_NA))</f>
        <v>n.a.</v>
      </c>
      <c r="W381" s="172"/>
      <c r="X381" s="172"/>
      <c r="Y381" s="91"/>
      <c r="Z381" s="102" t="b">
        <f>IF(G366="",FALSE,E381="")</f>
        <v>0</v>
      </c>
    </row>
    <row r="382" spans="1:26" s="144" customFormat="1" ht="12.75" customHeight="1" x14ac:dyDescent="0.35">
      <c r="A382" s="91"/>
      <c r="B382" s="94"/>
      <c r="D382" s="173">
        <v>3</v>
      </c>
      <c r="E382" s="177" t="str">
        <f t="shared" si="42"/>
        <v/>
      </c>
      <c r="F382" s="178"/>
      <c r="G382" s="178"/>
      <c r="H382" s="178"/>
      <c r="I382" s="178"/>
      <c r="J382" s="179"/>
      <c r="K382" s="160" t="str">
        <f t="shared" ref="K382:K389" si="44">IF(E382="","",K381)</f>
        <v/>
      </c>
      <c r="L382" s="30"/>
      <c r="O382" s="945"/>
      <c r="P382" s="94"/>
      <c r="Q382" s="93"/>
      <c r="R382" s="102" t="str">
        <f>CONST_PrecursorToGoodInput&amp;G366 &amp;"_"&amp;E382</f>
        <v>PrecToGood__</v>
      </c>
      <c r="S382" s="105">
        <f t="shared" si="43"/>
        <v>3</v>
      </c>
      <c r="T382" s="124" t="str">
        <f>IF(G366="","",L382)</f>
        <v/>
      </c>
      <c r="U382" s="91"/>
      <c r="V382" s="105" t="str">
        <f>IF(AND(G366&lt;&gt;"",E382&lt;&gt;"",L382&lt;&gt;""),TRUE,IF(AND(G366&lt;&gt;"",E382&lt;&gt;"",L382="",Z382=FALSE),CONST_ErrorOrMissing&amp;C366,CONST_NA))</f>
        <v>n.a.</v>
      </c>
      <c r="W382" s="172"/>
      <c r="X382" s="172"/>
      <c r="Y382" s="91"/>
      <c r="Z382" s="102" t="b">
        <f>IF(G366="",FALSE,E382="")</f>
        <v>0</v>
      </c>
    </row>
    <row r="383" spans="1:26" s="144" customFormat="1" ht="12.75" customHeight="1" x14ac:dyDescent="0.35">
      <c r="A383" s="91"/>
      <c r="B383" s="94"/>
      <c r="D383" s="173">
        <v>4</v>
      </c>
      <c r="E383" s="177" t="str">
        <f t="shared" si="42"/>
        <v/>
      </c>
      <c r="F383" s="178"/>
      <c r="G383" s="178"/>
      <c r="H383" s="178"/>
      <c r="I383" s="178"/>
      <c r="J383" s="179"/>
      <c r="K383" s="160" t="str">
        <f t="shared" si="44"/>
        <v/>
      </c>
      <c r="L383" s="30"/>
      <c r="O383" s="945"/>
      <c r="P383" s="94"/>
      <c r="Q383" s="93"/>
      <c r="R383" s="102" t="str">
        <f>CONST_PrecursorToGoodInput&amp;G366 &amp;"_"&amp;E383</f>
        <v>PrecToGood__</v>
      </c>
      <c r="S383" s="105">
        <f t="shared" si="43"/>
        <v>4</v>
      </c>
      <c r="T383" s="124" t="str">
        <f>IF(G366="","",L383)</f>
        <v/>
      </c>
      <c r="U383" s="91"/>
      <c r="V383" s="105" t="str">
        <f>IF(AND(G366&lt;&gt;"",E383&lt;&gt;"",L383&lt;&gt;""),TRUE,IF(AND(G366&lt;&gt;"",E383&lt;&gt;"",L383="",Z383=FALSE),CONST_ErrorOrMissing&amp;C366,CONST_NA))</f>
        <v>n.a.</v>
      </c>
      <c r="W383" s="172"/>
      <c r="X383" s="172"/>
      <c r="Y383" s="91"/>
      <c r="Z383" s="102" t="b">
        <f>IF(G366="",FALSE,E383="")</f>
        <v>0</v>
      </c>
    </row>
    <row r="384" spans="1:26" s="144" customFormat="1" ht="12.75" customHeight="1" x14ac:dyDescent="0.35">
      <c r="A384" s="91"/>
      <c r="B384" s="94"/>
      <c r="D384" s="173">
        <v>5</v>
      </c>
      <c r="E384" s="180" t="str">
        <f t="shared" si="42"/>
        <v/>
      </c>
      <c r="F384" s="181"/>
      <c r="G384" s="181"/>
      <c r="H384" s="181"/>
      <c r="I384" s="181"/>
      <c r="J384" s="182"/>
      <c r="K384" s="183" t="str">
        <f t="shared" si="44"/>
        <v/>
      </c>
      <c r="L384" s="212"/>
      <c r="O384" s="945"/>
      <c r="P384" s="94"/>
      <c r="Q384" s="93"/>
      <c r="R384" s="102" t="str">
        <f>CONST_PrecursorToGoodInput&amp;G366 &amp;"_"&amp;E384</f>
        <v>PrecToGood__</v>
      </c>
      <c r="S384" s="105">
        <f t="shared" si="43"/>
        <v>5</v>
      </c>
      <c r="T384" s="124" t="str">
        <f>IF(G366="","",L384)</f>
        <v/>
      </c>
      <c r="U384" s="91"/>
      <c r="V384" s="105" t="str">
        <f>IF(AND(G366&lt;&gt;"",E384&lt;&gt;"",L384&lt;&gt;""),TRUE,IF(AND(G366&lt;&gt;"",E384&lt;&gt;"",L384="",Z384=FALSE),CONST_ErrorOrMissing&amp;C366,CONST_NA))</f>
        <v>n.a.</v>
      </c>
      <c r="W384" s="172"/>
      <c r="X384" s="172"/>
      <c r="Y384" s="91"/>
      <c r="Z384" s="102" t="b">
        <f>IF(G366="",FALSE,E384="")</f>
        <v>0</v>
      </c>
    </row>
    <row r="385" spans="1:26" s="144" customFormat="1" ht="12.75" customHeight="1" x14ac:dyDescent="0.35">
      <c r="A385" s="91"/>
      <c r="B385" s="94"/>
      <c r="D385" s="173">
        <v>6</v>
      </c>
      <c r="E385" s="180" t="str">
        <f t="shared" si="42"/>
        <v/>
      </c>
      <c r="F385" s="181"/>
      <c r="G385" s="181"/>
      <c r="H385" s="181"/>
      <c r="I385" s="181"/>
      <c r="J385" s="182"/>
      <c r="K385" s="183" t="str">
        <f t="shared" si="44"/>
        <v/>
      </c>
      <c r="L385" s="212"/>
      <c r="O385" s="945"/>
      <c r="P385" s="94"/>
      <c r="Q385" s="93"/>
      <c r="R385" s="102" t="str">
        <f>CONST_PrecursorToGoodInput&amp;G366 &amp;"_"&amp;E385</f>
        <v>PrecToGood__</v>
      </c>
      <c r="S385" s="105">
        <f t="shared" si="43"/>
        <v>6</v>
      </c>
      <c r="T385" s="124" t="str">
        <f>IF(G366="","",L385)</f>
        <v/>
      </c>
      <c r="U385" s="91"/>
      <c r="V385" s="105" t="str">
        <f>IF(AND(G366&lt;&gt;"",E385&lt;&gt;"",L385&lt;&gt;""),TRUE,IF(AND(G366&lt;&gt;"",E385&lt;&gt;"",L385="",Z385=FALSE),CONST_ErrorOrMissing&amp;C366,CONST_NA))</f>
        <v>n.a.</v>
      </c>
      <c r="W385" s="172"/>
      <c r="X385" s="172"/>
      <c r="Y385" s="91"/>
      <c r="Z385" s="102" t="b">
        <f>IF(G366="",FALSE,E385="")</f>
        <v>0</v>
      </c>
    </row>
    <row r="386" spans="1:26" s="144" customFormat="1" ht="12.75" customHeight="1" x14ac:dyDescent="0.35">
      <c r="A386" s="91"/>
      <c r="B386" s="94"/>
      <c r="D386" s="173">
        <v>7</v>
      </c>
      <c r="E386" s="180" t="str">
        <f t="shared" si="42"/>
        <v/>
      </c>
      <c r="F386" s="181"/>
      <c r="G386" s="181"/>
      <c r="H386" s="181"/>
      <c r="I386" s="181"/>
      <c r="J386" s="182"/>
      <c r="K386" s="183" t="str">
        <f t="shared" si="44"/>
        <v/>
      </c>
      <c r="L386" s="212"/>
      <c r="O386" s="945"/>
      <c r="P386" s="94"/>
      <c r="Q386" s="93"/>
      <c r="R386" s="102" t="str">
        <f>CONST_PrecursorToGoodInput&amp;G366 &amp;"_"&amp;E386</f>
        <v>PrecToGood__</v>
      </c>
      <c r="S386" s="105">
        <f t="shared" si="43"/>
        <v>7</v>
      </c>
      <c r="T386" s="124" t="str">
        <f>IF(G366="","",L386)</f>
        <v/>
      </c>
      <c r="U386" s="91"/>
      <c r="V386" s="105" t="str">
        <f>IF(AND(G366&lt;&gt;"",E386&lt;&gt;"",L386&lt;&gt;""),TRUE,IF(AND(G366&lt;&gt;"",E386&lt;&gt;"",L386="",Z386=FALSE),CONST_ErrorOrMissing&amp;C366,CONST_NA))</f>
        <v>n.a.</v>
      </c>
      <c r="W386" s="172"/>
      <c r="X386" s="172"/>
      <c r="Y386" s="91"/>
      <c r="Z386" s="102" t="b">
        <f>IF(G366="",FALSE,E386="")</f>
        <v>0</v>
      </c>
    </row>
    <row r="387" spans="1:26" s="144" customFormat="1" ht="12.75" customHeight="1" x14ac:dyDescent="0.35">
      <c r="A387" s="91"/>
      <c r="B387" s="94"/>
      <c r="D387" s="173">
        <v>8</v>
      </c>
      <c r="E387" s="180" t="str">
        <f t="shared" si="42"/>
        <v/>
      </c>
      <c r="F387" s="181"/>
      <c r="G387" s="181"/>
      <c r="H387" s="181"/>
      <c r="I387" s="181"/>
      <c r="J387" s="182"/>
      <c r="K387" s="183" t="str">
        <f t="shared" si="44"/>
        <v/>
      </c>
      <c r="L387" s="212"/>
      <c r="O387" s="945"/>
      <c r="P387" s="94"/>
      <c r="Q387" s="93"/>
      <c r="R387" s="102" t="str">
        <f>CONST_PrecursorToGoodInput&amp;G366 &amp;"_"&amp;E387</f>
        <v>PrecToGood__</v>
      </c>
      <c r="S387" s="105">
        <f t="shared" si="43"/>
        <v>8</v>
      </c>
      <c r="T387" s="124" t="str">
        <f>IF(G366="","",L387)</f>
        <v/>
      </c>
      <c r="U387" s="91"/>
      <c r="V387" s="105" t="str">
        <f>IF(AND(G366&lt;&gt;"",E387&lt;&gt;"",L387&lt;&gt;""),TRUE,IF(AND(G366&lt;&gt;"",E387&lt;&gt;"",L387="",Z387=FALSE),CONST_ErrorOrMissing&amp;C366,CONST_NA))</f>
        <v>n.a.</v>
      </c>
      <c r="W387" s="172"/>
      <c r="X387" s="172"/>
      <c r="Y387" s="91"/>
      <c r="Z387" s="102" t="b">
        <f>IF(G366="",FALSE,E387="")</f>
        <v>0</v>
      </c>
    </row>
    <row r="388" spans="1:26" s="144" customFormat="1" ht="12.75" customHeight="1" x14ac:dyDescent="0.35">
      <c r="A388" s="91"/>
      <c r="B388" s="94"/>
      <c r="D388" s="173">
        <v>9</v>
      </c>
      <c r="E388" s="180" t="str">
        <f t="shared" si="42"/>
        <v/>
      </c>
      <c r="F388" s="181"/>
      <c r="G388" s="181"/>
      <c r="H388" s="181"/>
      <c r="I388" s="181"/>
      <c r="J388" s="182"/>
      <c r="K388" s="183" t="str">
        <f t="shared" si="44"/>
        <v/>
      </c>
      <c r="L388" s="212"/>
      <c r="O388" s="945"/>
      <c r="P388" s="94"/>
      <c r="Q388" s="93"/>
      <c r="R388" s="102" t="str">
        <f>CONST_PrecursorToGoodInput&amp;G366 &amp;"_"&amp;E388</f>
        <v>PrecToGood__</v>
      </c>
      <c r="S388" s="105">
        <f t="shared" si="43"/>
        <v>9</v>
      </c>
      <c r="T388" s="124" t="str">
        <f>IF(G366="","",L388)</f>
        <v/>
      </c>
      <c r="U388" s="91"/>
      <c r="V388" s="105" t="str">
        <f>IF(AND(G366&lt;&gt;"",E388&lt;&gt;"",L388&lt;&gt;""),TRUE,IF(AND(G366&lt;&gt;"",E388&lt;&gt;"",L388="",Z388=FALSE),CONST_ErrorOrMissing&amp;C366,CONST_NA))</f>
        <v>n.a.</v>
      </c>
      <c r="W388" s="172"/>
      <c r="X388" s="172"/>
      <c r="Y388" s="91"/>
      <c r="Z388" s="102" t="b">
        <f>IF(G366="",FALSE,E388="")</f>
        <v>0</v>
      </c>
    </row>
    <row r="389" spans="1:26" s="144" customFormat="1" ht="12.75" customHeight="1" x14ac:dyDescent="0.35">
      <c r="A389" s="91"/>
      <c r="B389" s="94"/>
      <c r="D389" s="173">
        <v>10</v>
      </c>
      <c r="E389" s="184" t="str">
        <f t="shared" si="42"/>
        <v/>
      </c>
      <c r="F389" s="185"/>
      <c r="G389" s="185"/>
      <c r="H389" s="185"/>
      <c r="I389" s="185"/>
      <c r="J389" s="186"/>
      <c r="K389" s="163" t="str">
        <f t="shared" si="44"/>
        <v/>
      </c>
      <c r="L389" s="31"/>
      <c r="O389" s="945"/>
      <c r="P389" s="94"/>
      <c r="Q389" s="93"/>
      <c r="R389" s="102" t="str">
        <f>CONST_PrecursorToGoodInput&amp;G366 &amp;"_"&amp;E389</f>
        <v>PrecToGood__</v>
      </c>
      <c r="S389" s="105">
        <f t="shared" si="43"/>
        <v>10</v>
      </c>
      <c r="T389" s="124" t="str">
        <f>IF(G366="","",L389)</f>
        <v/>
      </c>
      <c r="U389" s="91"/>
      <c r="V389" s="105" t="str">
        <f>IF(AND(G366&lt;&gt;"",E389&lt;&gt;"",L389&lt;&gt;""),TRUE,IF(AND(G366&lt;&gt;"",E389&lt;&gt;"",L389="",Z389=FALSE),CONST_ErrorOrMissing&amp;C366,CONST_NA))</f>
        <v>n.a.</v>
      </c>
      <c r="W389" s="172"/>
      <c r="X389" s="172"/>
      <c r="Y389" s="91"/>
      <c r="Z389" s="102" t="b">
        <f>IF(G366="",FALSE,E389="")</f>
        <v>0</v>
      </c>
    </row>
    <row r="390" spans="1:26" s="144" customFormat="1" ht="12.75" customHeight="1" x14ac:dyDescent="0.35">
      <c r="A390" s="91"/>
      <c r="B390" s="94"/>
      <c r="D390" s="168" t="s">
        <v>49</v>
      </c>
      <c r="E390" s="167" t="str">
        <f>Translations!$B$1968</f>
        <v>Consumed for other purposes, e.g. sold or used for non-CBAM goods:</v>
      </c>
      <c r="F390" s="167"/>
      <c r="G390" s="167"/>
      <c r="H390" s="167"/>
      <c r="I390" s="167"/>
      <c r="J390" s="167"/>
      <c r="K390" s="169" t="str">
        <f>K377</f>
        <v/>
      </c>
      <c r="L390" s="211"/>
      <c r="O390" s="945"/>
      <c r="P390" s="94"/>
      <c r="Q390" s="93"/>
      <c r="R390" s="91"/>
      <c r="S390" s="91"/>
      <c r="T390" s="712"/>
      <c r="U390" s="91"/>
      <c r="V390" s="105" t="str">
        <f>IF(G366="",CONST_NA,IF(ISNUMBER(L390),TRUE,CONST_ErrorOrMissing&amp;C366))</f>
        <v>n.a.</v>
      </c>
      <c r="W390" s="91"/>
      <c r="X390" s="91"/>
      <c r="Y390" s="91"/>
      <c r="Z390" s="91"/>
    </row>
    <row r="391" spans="1:26" s="144" customFormat="1" ht="12.75" customHeight="1" x14ac:dyDescent="0.35">
      <c r="A391" s="91"/>
      <c r="B391" s="94"/>
      <c r="D391" s="168" t="s">
        <v>377</v>
      </c>
      <c r="E391" s="138" t="str">
        <f>Translations!$B$253</f>
        <v>Control:</v>
      </c>
      <c r="F391" s="170"/>
      <c r="G391" s="170"/>
      <c r="H391" s="170"/>
      <c r="I391" s="170"/>
      <c r="J391" s="170"/>
      <c r="K391" s="169" t="str">
        <f>K390</f>
        <v/>
      </c>
      <c r="L391" s="118" t="str">
        <f>IF(G366="","",SUM(L377)-SUM(L380:L390))</f>
        <v/>
      </c>
      <c r="O391" s="945"/>
      <c r="P391" s="94"/>
      <c r="Q391" s="93"/>
      <c r="R391" s="91"/>
      <c r="S391" s="91"/>
      <c r="T391" s="712"/>
      <c r="U391" s="91"/>
      <c r="V391" s="105" t="str">
        <f>IF(G366="",CONST_NA,IF(L391=0,TRUE,CONST_ErrorOrMissing&amp;C366))</f>
        <v>n.a.</v>
      </c>
      <c r="W391" s="91"/>
      <c r="X391" s="91"/>
      <c r="Y391" s="91"/>
      <c r="Z391" s="91"/>
    </row>
    <row r="392" spans="1:26" s="144" customFormat="1" ht="12.75" customHeight="1" thickBot="1" x14ac:dyDescent="0.4">
      <c r="A392" s="91"/>
      <c r="B392" s="94"/>
      <c r="O392" s="428"/>
      <c r="P392" s="94"/>
      <c r="Q392" s="93"/>
      <c r="R392" s="91"/>
      <c r="S392" s="91"/>
      <c r="T392" s="712"/>
      <c r="U392" s="91"/>
      <c r="V392" s="91"/>
      <c r="W392" s="91"/>
      <c r="X392" s="91"/>
      <c r="Y392" s="91"/>
      <c r="Z392" s="91"/>
    </row>
    <row r="393" spans="1:26" ht="12.75" customHeight="1" x14ac:dyDescent="0.35">
      <c r="B393" s="94"/>
      <c r="C393" s="187"/>
      <c r="D393" s="188"/>
      <c r="E393" s="189"/>
      <c r="F393" s="190"/>
      <c r="G393" s="190"/>
      <c r="H393" s="190"/>
      <c r="I393" s="190"/>
      <c r="J393" s="190"/>
      <c r="K393" s="190"/>
      <c r="L393" s="190"/>
      <c r="M393" s="190"/>
      <c r="N393" s="191"/>
      <c r="O393" s="428"/>
      <c r="T393" s="712"/>
    </row>
    <row r="394" spans="1:26" ht="15" customHeight="1" x14ac:dyDescent="0.35">
      <c r="B394" s="94"/>
      <c r="C394" s="192"/>
      <c r="D394" s="193" t="str">
        <f>Translations!$B$279</f>
        <v>Specific embedded emissions:</v>
      </c>
      <c r="E394" s="194"/>
      <c r="F394" s="195"/>
      <c r="G394" s="195"/>
      <c r="H394" s="195"/>
      <c r="I394" s="195"/>
      <c r="J394" s="1327" t="str">
        <f>IF(G366="","",G366)</f>
        <v/>
      </c>
      <c r="K394" s="1327"/>
      <c r="L394" s="1327"/>
      <c r="M394" s="1327"/>
      <c r="N394" s="196"/>
      <c r="O394" s="428"/>
      <c r="T394" s="712"/>
    </row>
    <row r="395" spans="1:26" ht="5.15" customHeight="1" x14ac:dyDescent="0.35">
      <c r="B395" s="94"/>
      <c r="C395" s="192"/>
      <c r="D395" s="197"/>
      <c r="E395" s="198"/>
      <c r="F395" s="195"/>
      <c r="G395" s="195"/>
      <c r="H395" s="195"/>
      <c r="I395" s="195"/>
      <c r="J395" s="195"/>
      <c r="K395" s="195"/>
      <c r="L395" s="195"/>
      <c r="M395" s="195"/>
      <c r="N395" s="196"/>
      <c r="O395" s="428"/>
      <c r="T395" s="712"/>
    </row>
    <row r="396" spans="1:26" ht="12.75" customHeight="1" x14ac:dyDescent="0.35">
      <c r="B396" s="94"/>
      <c r="C396" s="192"/>
      <c r="D396" s="199" t="s">
        <v>411</v>
      </c>
      <c r="E396" s="198" t="str">
        <f>Translations!$B$280</f>
        <v>Emissions embedded in this purchased precursor</v>
      </c>
      <c r="F396" s="198"/>
      <c r="G396" s="198"/>
      <c r="H396" s="198"/>
      <c r="I396" s="198"/>
      <c r="J396" s="198"/>
      <c r="K396" s="198"/>
      <c r="L396" s="198"/>
      <c r="M396" s="198"/>
      <c r="N396" s="196"/>
      <c r="O396" s="428"/>
      <c r="T396" s="712"/>
      <c r="V396" s="172"/>
      <c r="W396" s="172"/>
      <c r="X396" s="172"/>
      <c r="Z396" s="171"/>
    </row>
    <row r="397" spans="1:26" ht="4.9000000000000004" customHeight="1" x14ac:dyDescent="0.35">
      <c r="B397" s="94"/>
      <c r="C397" s="192"/>
      <c r="D397" s="199"/>
      <c r="E397" s="1328"/>
      <c r="F397" s="1328"/>
      <c r="G397" s="1328"/>
      <c r="H397" s="1328"/>
      <c r="I397" s="1328"/>
      <c r="J397" s="1328"/>
      <c r="K397" s="1328"/>
      <c r="L397" s="1328"/>
      <c r="M397" s="1328"/>
      <c r="N397" s="196"/>
      <c r="O397" s="428"/>
      <c r="T397" s="712"/>
    </row>
    <row r="398" spans="1:26" ht="13.15" customHeight="1" x14ac:dyDescent="0.35">
      <c r="B398" s="94"/>
      <c r="C398" s="192"/>
      <c r="D398" s="199"/>
      <c r="E398" s="1311" t="str">
        <f ca="1">HYPERLINK("#"&amp;ADDRESS(MATCH($S398,G_FurtherGuidance!$S:$S,0),3,,,G_FurtherGuidance!$U$2),CONST_LinkToGuidanceSheet)</f>
        <v>Please click on this link for further guidance on how to complete this section.</v>
      </c>
      <c r="F398" s="1312"/>
      <c r="G398" s="1312"/>
      <c r="H398" s="1312"/>
      <c r="I398" s="1312"/>
      <c r="J398" s="1312"/>
      <c r="K398" s="1312"/>
      <c r="L398" s="1312"/>
      <c r="M398" s="1312"/>
      <c r="N398" s="196"/>
      <c r="O398" s="428"/>
      <c r="R398" s="104" t="s">
        <v>2771</v>
      </c>
      <c r="S398" s="105">
        <v>4</v>
      </c>
      <c r="T398" s="712"/>
    </row>
    <row r="399" spans="1:26" ht="4.9000000000000004" customHeight="1" x14ac:dyDescent="0.35">
      <c r="B399" s="94"/>
      <c r="C399" s="192"/>
      <c r="D399" s="199"/>
      <c r="E399" s="1328"/>
      <c r="F399" s="1328"/>
      <c r="G399" s="1328"/>
      <c r="H399" s="1328"/>
      <c r="I399" s="1328"/>
      <c r="J399" s="1328"/>
      <c r="K399" s="1328"/>
      <c r="L399" s="1328"/>
      <c r="M399" s="1328"/>
      <c r="N399" s="384"/>
      <c r="O399" s="428"/>
      <c r="T399" s="712"/>
    </row>
    <row r="400" spans="1:26" ht="12.75" customHeight="1" x14ac:dyDescent="0.35">
      <c r="B400" s="94"/>
      <c r="C400" s="192"/>
      <c r="D400" s="199"/>
      <c r="E400" s="198" t="str">
        <f>Translations!$B$284</f>
        <v>Parameter:</v>
      </c>
      <c r="F400" s="195"/>
      <c r="G400" s="195"/>
      <c r="H400" s="195"/>
      <c r="I400" s="195"/>
      <c r="J400" s="195"/>
      <c r="K400" s="199" t="str">
        <f>Translations!$B$221</f>
        <v>Unit</v>
      </c>
      <c r="L400" s="199" t="str">
        <f>Translations!$B$260</f>
        <v>Value</v>
      </c>
      <c r="M400" s="199" t="str">
        <f>Translations!$B$285</f>
        <v>Source</v>
      </c>
      <c r="N400" s="196"/>
      <c r="O400" s="428"/>
      <c r="T400" s="764" t="s">
        <v>5</v>
      </c>
      <c r="U400" s="123" t="s">
        <v>2719</v>
      </c>
      <c r="V400" s="156" t="s">
        <v>3922</v>
      </c>
      <c r="W400" s="156"/>
      <c r="X400" s="156"/>
      <c r="Z400" s="171"/>
    </row>
    <row r="401" spans="1:26" ht="12.75" customHeight="1" x14ac:dyDescent="0.35">
      <c r="B401" s="94"/>
      <c r="C401" s="192"/>
      <c r="D401" s="197" t="s">
        <v>41</v>
      </c>
      <c r="E401" s="201" t="str">
        <f>Translations!$B$1969</f>
        <v>Specific embedded direct emissions (SEE (direct))</v>
      </c>
      <c r="F401" s="201"/>
      <c r="G401" s="201"/>
      <c r="H401" s="201"/>
      <c r="I401" s="201"/>
      <c r="J401" s="201"/>
      <c r="K401" s="217" t="str">
        <f>IF(L366="","",CONST_tCO2eq &amp; "/" &amp; K377)</f>
        <v/>
      </c>
      <c r="L401" s="215"/>
      <c r="M401" s="385"/>
      <c r="N401" s="196"/>
      <c r="O401" s="945"/>
      <c r="R401" s="102" t="str">
        <f>CONST_PurchPrecDefaultUsed&amp;G366</f>
        <v>PurchPrecDef_</v>
      </c>
      <c r="S401" s="102" t="str">
        <f>CONST_CNTR_EmbedEmDir&amp;G366</f>
        <v>EmbedEmDir_</v>
      </c>
      <c r="T401" s="124" t="str">
        <f>IF(G366="","",SUM(T377)*SUM(L401))</f>
        <v/>
      </c>
      <c r="U401" s="105" t="str">
        <f>IF(G366="","",IF(M401="",CONST_ERR_Incomplete,MATCH(M401,CONST_MeasDefaultUnknown,0)=2))</f>
        <v/>
      </c>
      <c r="V401" s="105" t="str">
        <f>IF(AND(G366&lt;&gt;"",COUNTA(L401:M401)=2),TRUE,IF(AND(G366&lt;&gt;"",COUNTA(L401:M401)&lt;2),CONST_ErrorOrMissing&amp;C366,CONST_NA))</f>
        <v>n.a.</v>
      </c>
      <c r="W401" s="156"/>
      <c r="X401" s="156"/>
      <c r="Z401" s="171"/>
    </row>
    <row r="402" spans="1:26" ht="12.75" customHeight="1" x14ac:dyDescent="0.35">
      <c r="B402" s="94"/>
      <c r="C402" s="192"/>
      <c r="D402" s="197" t="s">
        <v>42</v>
      </c>
      <c r="E402" s="759" t="str">
        <f>Translations!$B$1970</f>
        <v>Specific electricity consumption (for SEE (indirect))</v>
      </c>
      <c r="F402" s="759"/>
      <c r="G402" s="759"/>
      <c r="H402" s="759"/>
      <c r="I402" s="759"/>
      <c r="J402" s="759"/>
      <c r="K402" s="457" t="str">
        <f>IF(K401="","",CONST_MWh&amp;"/"&amp;K377)</f>
        <v/>
      </c>
      <c r="L402" s="760"/>
      <c r="M402" s="761"/>
      <c r="N402" s="196"/>
      <c r="O402" s="945"/>
      <c r="R402" s="102" t="str">
        <f>CONST_ElecConsumption&amp;G366</f>
        <v>ElecCons_</v>
      </c>
      <c r="S402" s="102"/>
      <c r="T402" s="124" t="str">
        <f>IF(G366="","",SUM(T377)*SUM(L402))</f>
        <v/>
      </c>
      <c r="U402" s="105" t="str">
        <f>IF(G366="","",IF(M402="",CONST_ERR_Incomplete,MATCH(M402,CONST_MeasDefaultUnknown,0)=2))</f>
        <v/>
      </c>
      <c r="V402" s="105" t="str">
        <f>IF(AND(G366&lt;&gt;"",COUNTA(L402:M402)=2),TRUE,IF(AND(G366&lt;&gt;"",COUNTA(L402:M402)&lt;2),CONST_ErrorOrMissing&amp;C366,CONST_NA))</f>
        <v>n.a.</v>
      </c>
      <c r="W402" s="156"/>
      <c r="X402" s="156"/>
      <c r="Z402" s="171"/>
    </row>
    <row r="403" spans="1:26" ht="12.75" customHeight="1" x14ac:dyDescent="0.35">
      <c r="B403" s="94"/>
      <c r="C403" s="192"/>
      <c r="D403" s="197" t="s">
        <v>43</v>
      </c>
      <c r="E403" s="1144" t="str">
        <f>Translations!$B$1971</f>
        <v>Electricity emission factor (for SEE (indirect))</v>
      </c>
      <c r="F403" s="1144"/>
      <c r="G403" s="1144"/>
      <c r="H403" s="1144"/>
      <c r="I403" s="1144"/>
      <c r="J403" s="1144"/>
      <c r="K403" s="1145" t="str">
        <f>IF(K401="","",CONST_tCO2eq&amp;"/"&amp;CONST_MWh)</f>
        <v/>
      </c>
      <c r="L403" s="1146"/>
      <c r="M403" s="762"/>
      <c r="N403" s="196"/>
      <c r="O403" s="945"/>
      <c r="R403" s="102" t="str">
        <f>CONST_CNTR_ElecEFMethod&amp;G366</f>
        <v>ElecEFMeth_</v>
      </c>
      <c r="S403" s="102"/>
      <c r="T403" s="124"/>
      <c r="U403" s="105" t="str">
        <f>IF(G366="","",M403)</f>
        <v/>
      </c>
      <c r="V403" s="105" t="str">
        <f>IF(AND(G366&lt;&gt;"",COUNTA(L403:M403)=2),TRUE,IF(AND(G366&lt;&gt;"",COUNTA(L403:M403)&lt;2),CONST_ErrorOrMissing&amp;C366,CONST_NA))</f>
        <v>n.a.</v>
      </c>
      <c r="W403" s="156"/>
      <c r="X403" s="156"/>
      <c r="Z403" s="171"/>
    </row>
    <row r="404" spans="1:26" x14ac:dyDescent="0.35">
      <c r="B404" s="94"/>
      <c r="C404" s="192"/>
      <c r="D404" s="197" t="s">
        <v>44</v>
      </c>
      <c r="E404" s="201" t="str">
        <f>Translations!$B$1972</f>
        <v>Specific embedded indirect emissions (SEE (indirect))</v>
      </c>
      <c r="F404" s="201"/>
      <c r="G404" s="201"/>
      <c r="H404" s="201"/>
      <c r="I404" s="201"/>
      <c r="J404" s="201"/>
      <c r="K404" s="217" t="str">
        <f>K401</f>
        <v/>
      </c>
      <c r="L404" s="1147" t="str">
        <f>IF(COUNT(L402:L403)=0,"",L402*L403)</f>
        <v/>
      </c>
      <c r="M404" s="758"/>
      <c r="N404" s="196"/>
      <c r="O404" s="428"/>
      <c r="R404" s="171"/>
      <c r="S404" s="102" t="str">
        <f>CONST_CNTR_EmbedEmInDir&amp;G366</f>
        <v>EmbedEmInDir_</v>
      </c>
      <c r="T404" s="124" t="str">
        <f>IF(G366="","",SUM(T377)*SUM(L404))</f>
        <v/>
      </c>
      <c r="Z404" s="171"/>
    </row>
    <row r="405" spans="1:26" ht="5.15" customHeight="1" x14ac:dyDescent="0.35">
      <c r="B405" s="94"/>
      <c r="C405" s="192"/>
      <c r="D405" s="197"/>
      <c r="E405" s="195"/>
      <c r="F405" s="195"/>
      <c r="G405" s="195"/>
      <c r="H405" s="195"/>
      <c r="I405" s="195"/>
      <c r="J405" s="195"/>
      <c r="K405" s="195"/>
      <c r="L405" s="195"/>
      <c r="M405" s="195"/>
      <c r="N405" s="196"/>
      <c r="O405" s="428"/>
      <c r="R405" s="171"/>
      <c r="S405" s="171"/>
      <c r="T405" s="125"/>
      <c r="U405" s="156"/>
      <c r="V405" s="172"/>
      <c r="W405" s="172"/>
      <c r="X405" s="172"/>
      <c r="Z405" s="171"/>
    </row>
    <row r="406" spans="1:26" ht="12.75" customHeight="1" x14ac:dyDescent="0.35">
      <c r="B406" s="94"/>
      <c r="C406" s="192"/>
      <c r="D406" s="197" t="s">
        <v>45</v>
      </c>
      <c r="E406" s="201" t="str">
        <f>Translations!$B$1858</f>
        <v>Justification for use of default values (if relevant):</v>
      </c>
      <c r="F406" s="201"/>
      <c r="G406" s="201"/>
      <c r="H406" s="201"/>
      <c r="I406" s="201"/>
      <c r="J406" s="201"/>
      <c r="K406" s="1329"/>
      <c r="L406" s="1329"/>
      <c r="M406" s="1329"/>
      <c r="N406" s="196"/>
      <c r="O406" s="945"/>
      <c r="R406" s="171"/>
      <c r="S406" s="171"/>
      <c r="T406" s="125"/>
      <c r="U406" s="156"/>
      <c r="V406" s="105" t="str">
        <f>IF(OR(G366="",Z406=TRUE),CONST_NA,IF(K406&lt;&gt;"",TRUE,CONST_ErrorOrMissing&amp;C366))</f>
        <v>n.a.</v>
      </c>
      <c r="W406" s="172"/>
      <c r="X406" s="172"/>
      <c r="Z406" s="102" t="b">
        <f>AND(M401&lt;&gt;"",M401&lt;&gt;INDEX(CONST_MeasDefaultUnknown,2),M402&lt;&gt;"",M402&lt;&gt;INDEX(CONST_MeasDefaultUnknown,2))</f>
        <v>0</v>
      </c>
    </row>
    <row r="407" spans="1:26" s="144" customFormat="1" ht="12.75" customHeight="1" thickBot="1" x14ac:dyDescent="0.4">
      <c r="A407" s="91"/>
      <c r="B407" s="94"/>
      <c r="C407" s="206"/>
      <c r="D407" s="207"/>
      <c r="E407" s="208"/>
      <c r="F407" s="209"/>
      <c r="G407" s="209"/>
      <c r="H407" s="209"/>
      <c r="I407" s="209"/>
      <c r="J407" s="209"/>
      <c r="K407" s="209"/>
      <c r="L407" s="209"/>
      <c r="M407" s="209"/>
      <c r="N407" s="210"/>
      <c r="O407" s="428"/>
      <c r="P407" s="94"/>
      <c r="Q407" s="93"/>
      <c r="R407" s="91"/>
      <c r="S407" s="91"/>
      <c r="T407" s="712"/>
      <c r="U407" s="91"/>
      <c r="V407" s="91"/>
      <c r="W407" s="91"/>
      <c r="X407" s="91"/>
      <c r="Y407" s="91"/>
      <c r="Z407" s="91"/>
    </row>
    <row r="408" spans="1:26" s="144" customFormat="1" ht="12.75" customHeight="1" thickBot="1" x14ac:dyDescent="0.4">
      <c r="A408" s="91"/>
      <c r="B408" s="94"/>
      <c r="O408" s="428"/>
      <c r="P408" s="94"/>
      <c r="Q408" s="93"/>
      <c r="R408" s="91"/>
      <c r="S408" s="91"/>
      <c r="T408" s="712"/>
      <c r="U408" s="91"/>
      <c r="V408" s="91"/>
      <c r="W408" s="91"/>
      <c r="X408" s="91"/>
      <c r="Y408" s="91"/>
      <c r="Z408" s="91"/>
    </row>
    <row r="409" spans="1:26" s="144" customFormat="1" ht="12.75" customHeight="1" thickBot="1" x14ac:dyDescent="0.4">
      <c r="A409" s="91"/>
      <c r="B409" s="946"/>
      <c r="C409" s="145"/>
      <c r="D409" s="145"/>
      <c r="E409" s="145"/>
      <c r="F409" s="145"/>
      <c r="G409" s="145"/>
      <c r="H409" s="145"/>
      <c r="I409" s="145"/>
      <c r="J409" s="145"/>
      <c r="K409" s="145"/>
      <c r="L409" s="145"/>
      <c r="M409" s="145"/>
      <c r="N409" s="145"/>
      <c r="O409" s="947"/>
      <c r="P409" s="94"/>
      <c r="Q409" s="93"/>
      <c r="R409" s="91"/>
      <c r="S409" s="91"/>
      <c r="T409" s="712"/>
      <c r="U409" s="91"/>
      <c r="V409" s="91"/>
      <c r="W409" s="91"/>
      <c r="X409" s="91"/>
      <c r="Y409" s="91"/>
      <c r="Z409" s="91"/>
    </row>
    <row r="410" spans="1:26" ht="18" customHeight="1" thickBot="1" x14ac:dyDescent="0.4">
      <c r="B410" s="94"/>
      <c r="C410" s="147">
        <f>C366+1</f>
        <v>10</v>
      </c>
      <c r="D410" s="944" t="str">
        <f>CONST_PurchPrecursor &amp; " " &amp; C410 &amp; ":"</f>
        <v>Purchased precursor 10:</v>
      </c>
      <c r="E410" s="144"/>
      <c r="F410" s="144"/>
      <c r="G410" s="1313" t="str">
        <f>IF(INDEX(CNTR_List_ExistPurchPrecNames,MATCH(R410,CNTR_ListPurchPrecID,0))=CONST_NA,"",INDEX(CNTR_List_ExistPurchPrecNames,MATCH(R410,CNTR_ListPurchPrecID,0)))</f>
        <v/>
      </c>
      <c r="H410" s="1314"/>
      <c r="I410" s="1314"/>
      <c r="J410" s="1314"/>
      <c r="K410" s="1315"/>
      <c r="L410" s="1316" t="str">
        <f>IF(INDEX(CNTR_List_ExistPurchPrec,MATCH(R410,CNTR_ListPurchPrecID,0))=CONST_NA,"",INDEX(CNTR_List_ExistPurchPrec,MATCH(R410,CNTR_ListPurchPrecID,0)))</f>
        <v/>
      </c>
      <c r="M410" s="1317"/>
      <c r="N410" s="1318"/>
      <c r="O410" s="428"/>
      <c r="R410" s="149" t="str">
        <f>INDEX(CNTR_ListPurchPrecID,C410)</f>
        <v>PP10</v>
      </c>
      <c r="Y410" s="104" t="s">
        <v>2748</v>
      </c>
      <c r="Z410" s="150" t="b">
        <f>AND(CNTR_HasEntriesA,G410="")</f>
        <v>0</v>
      </c>
    </row>
    <row r="411" spans="1:26" ht="26.5" customHeight="1" x14ac:dyDescent="0.35">
      <c r="B411" s="94"/>
      <c r="C411" s="144"/>
      <c r="D411" s="914"/>
      <c r="E411" s="1325" t="str">
        <f ca="1">HYPERLINK("#"&amp;ADDRESS(MATCH($S411,G_FurtherGuidance!$S:$S,0),3,,,G_FurtherGuidance!$U$2),CONST_LinkToGuidanceSheet)</f>
        <v>Please click on this link for further guidance on how to complete this section.</v>
      </c>
      <c r="F411" s="1326"/>
      <c r="G411" s="1326"/>
      <c r="H411" s="1326"/>
      <c r="I411" s="1326"/>
      <c r="J411" s="1326"/>
      <c r="K411" s="1326"/>
      <c r="L411" s="1326"/>
      <c r="M411" s="1326"/>
      <c r="N411" s="144"/>
      <c r="O411" s="428"/>
      <c r="R411" s="104" t="s">
        <v>2771</v>
      </c>
      <c r="S411" s="105">
        <v>4</v>
      </c>
      <c r="Y411" s="104"/>
    </row>
    <row r="412" spans="1:26" ht="12.75" customHeight="1" x14ac:dyDescent="0.35">
      <c r="B412" s="94"/>
      <c r="C412" s="144"/>
      <c r="D412" s="168" t="s">
        <v>135</v>
      </c>
      <c r="E412" s="167" t="str">
        <f>Translations!$B$276</f>
        <v>Total purchased levels:</v>
      </c>
      <c r="F412" s="144"/>
      <c r="G412" s="144"/>
      <c r="H412" s="151" t="str">
        <f>Translations!$B$244</f>
        <v>Production route</v>
      </c>
      <c r="I412" s="144"/>
      <c r="J412" s="144"/>
      <c r="K412" s="152" t="str">
        <f>Translations!$B$221</f>
        <v>Unit</v>
      </c>
      <c r="L412" s="152" t="str">
        <f>Translations!$B$245</f>
        <v>Amounts</v>
      </c>
      <c r="M412" s="144"/>
      <c r="N412" s="144"/>
      <c r="O412" s="428"/>
      <c r="Y412" s="91" t="s">
        <v>4077</v>
      </c>
    </row>
    <row r="413" spans="1:26" ht="12.75" customHeight="1" x14ac:dyDescent="0.35">
      <c r="B413" s="94"/>
      <c r="C413" s="144"/>
      <c r="D413" s="173">
        <v>1</v>
      </c>
      <c r="E413" s="153" t="str">
        <f>IF(G410="","",G410) &amp; IF(L410="",""," | " &amp; L410)</f>
        <v/>
      </c>
      <c r="F413" s="153"/>
      <c r="G413" s="153"/>
      <c r="H413" s="154" t="str">
        <f>IF(L410="","",INDEX(CONST_MATRIX_ProductionRoute,MATCH(L410,CONST_LIST_Goods,0),D413))</f>
        <v/>
      </c>
      <c r="I413" s="153"/>
      <c r="J413" s="153"/>
      <c r="K413" s="155" t="str">
        <f>IF(L410="","",INDEX(CONST_LIST_GoodsUnit,MATCH(L410,CONST_LIST_Goods,0)))</f>
        <v/>
      </c>
      <c r="L413" s="29"/>
      <c r="M413" s="144"/>
      <c r="N413" s="144"/>
      <c r="O413" s="945"/>
      <c r="S413" s="105">
        <v>1</v>
      </c>
      <c r="V413" s="105" t="str">
        <f>IF(AND(Y413=FALSE,ISNUMBER(L413)),TRUE,IF(Y413=FALSE,CONST_ErrorOrMissing&amp;C410,CONST_NA))</f>
        <v>n.a.</v>
      </c>
      <c r="Y413" s="105" t="str">
        <f>IF(OR(H413="",H413=CONST_NA),"",IF(H413=CONST_AllProdRoutes,FALSE, COUNTIF(INDEX(CNTR_MatrixPurchPrecRoutes,C410,),S413)=0))</f>
        <v/>
      </c>
    </row>
    <row r="414" spans="1:26" ht="12.75" customHeight="1" x14ac:dyDescent="0.35">
      <c r="B414" s="94"/>
      <c r="C414" s="144"/>
      <c r="D414" s="173">
        <v>2</v>
      </c>
      <c r="E414" s="158" t="str">
        <f t="shared" ref="E414:E420" si="45">IF(H414=CONST_NA,"",E413)</f>
        <v/>
      </c>
      <c r="F414" s="158"/>
      <c r="G414" s="158"/>
      <c r="H414" s="159" t="str">
        <f>IF(L410="","",INDEX(CONST_MATRIX_ProductionRoute,MATCH(L410,CONST_LIST_Goods,0),D414))</f>
        <v/>
      </c>
      <c r="I414" s="158"/>
      <c r="J414" s="158"/>
      <c r="K414" s="160" t="str">
        <f t="shared" ref="K414:K420" si="46">IF(H414=CONST_NA,"",K413)</f>
        <v/>
      </c>
      <c r="L414" s="30"/>
      <c r="M414" s="144"/>
      <c r="N414" s="144"/>
      <c r="O414" s="945"/>
      <c r="S414" s="105">
        <v>2</v>
      </c>
      <c r="V414" s="105" t="str">
        <f>IF(AND(Y414=FALSE,ISNUMBER(L414)),TRUE,IF(Y414=FALSE,CONST_ErrorOrMissing&amp;C410,CONST_NA))</f>
        <v>n.a.</v>
      </c>
      <c r="Y414" s="105" t="str">
        <f>IF(OR(H414="",H414=CONST_NA),"",IF(H414=CONST_AllProdRoutes,FALSE, COUNTIF(INDEX(CNTR_MatrixPurchPrecRoutes,C410,),S414)=0))</f>
        <v/>
      </c>
    </row>
    <row r="415" spans="1:26" ht="12.75" customHeight="1" x14ac:dyDescent="0.35">
      <c r="B415" s="94"/>
      <c r="C415" s="144"/>
      <c r="D415" s="173">
        <v>3</v>
      </c>
      <c r="E415" s="158" t="str">
        <f t="shared" si="45"/>
        <v/>
      </c>
      <c r="F415" s="158"/>
      <c r="G415" s="158"/>
      <c r="H415" s="159" t="str">
        <f>IF(L410="","",INDEX(CONST_MATRIX_ProductionRoute,MATCH(L410,CONST_LIST_Goods,0),D415))</f>
        <v/>
      </c>
      <c r="I415" s="158"/>
      <c r="J415" s="158"/>
      <c r="K415" s="160" t="str">
        <f t="shared" si="46"/>
        <v/>
      </c>
      <c r="L415" s="30"/>
      <c r="M415" s="144"/>
      <c r="N415" s="144"/>
      <c r="O415" s="945"/>
      <c r="S415" s="105">
        <v>3</v>
      </c>
      <c r="V415" s="105" t="str">
        <f>IF(AND(Y415=FALSE,ISNUMBER(L415)),TRUE,IF(Y415=FALSE,CONST_ErrorOrMissing&amp;C410,CONST_NA))</f>
        <v>n.a.</v>
      </c>
      <c r="Y415" s="105" t="str">
        <f>IF(OR(H415="",H415=CONST_NA),"",IF(H415=CONST_AllProdRoutes,FALSE, COUNTIF(INDEX(CNTR_MatrixPurchPrecRoutes,C410,),S415)=0))</f>
        <v/>
      </c>
    </row>
    <row r="416" spans="1:26" ht="12.75" customHeight="1" x14ac:dyDescent="0.35">
      <c r="B416" s="94"/>
      <c r="C416" s="144"/>
      <c r="D416" s="173">
        <v>4</v>
      </c>
      <c r="E416" s="158" t="str">
        <f t="shared" si="45"/>
        <v/>
      </c>
      <c r="F416" s="158"/>
      <c r="G416" s="158"/>
      <c r="H416" s="159" t="str">
        <f>IF(L410="","",INDEX(CONST_MATRIX_ProductionRoute,MATCH(L410,CONST_LIST_Goods,0),D416))</f>
        <v/>
      </c>
      <c r="I416" s="158"/>
      <c r="J416" s="158"/>
      <c r="K416" s="160" t="str">
        <f t="shared" si="46"/>
        <v/>
      </c>
      <c r="L416" s="30"/>
      <c r="M416" s="144"/>
      <c r="N416" s="144"/>
      <c r="O416" s="945"/>
      <c r="S416" s="105">
        <v>4</v>
      </c>
      <c r="V416" s="105" t="str">
        <f>IF(AND(Y416=FALSE,ISNUMBER(L416)),TRUE,IF(Y416=FALSE,CONST_ErrorOrMissing&amp;C410,CONST_NA))</f>
        <v>n.a.</v>
      </c>
      <c r="Y416" s="105" t="str">
        <f>IF(OR(H416="",H416=CONST_NA),"",IF(H416=CONST_AllProdRoutes,FALSE, COUNTIF(INDEX(CNTR_MatrixPurchPrecRoutes,C410,),S416)=0))</f>
        <v/>
      </c>
    </row>
    <row r="417" spans="1:26" ht="12.75" customHeight="1" x14ac:dyDescent="0.35">
      <c r="B417" s="94"/>
      <c r="C417" s="144"/>
      <c r="D417" s="173">
        <v>5</v>
      </c>
      <c r="E417" s="158" t="str">
        <f t="shared" si="45"/>
        <v/>
      </c>
      <c r="F417" s="158"/>
      <c r="G417" s="158"/>
      <c r="H417" s="159" t="str">
        <f>IF(L410="","",INDEX(CONST_MATRIX_ProductionRoute,MATCH(L410,CONST_LIST_Goods,0),D417))</f>
        <v/>
      </c>
      <c r="I417" s="158"/>
      <c r="J417" s="158"/>
      <c r="K417" s="160" t="str">
        <f t="shared" si="46"/>
        <v/>
      </c>
      <c r="L417" s="30"/>
      <c r="M417" s="144"/>
      <c r="N417" s="144"/>
      <c r="O417" s="945"/>
      <c r="S417" s="105">
        <v>5</v>
      </c>
      <c r="V417" s="105" t="str">
        <f>IF(AND(Y417=FALSE,ISNUMBER(L417)),TRUE,IF(Y417=FALSE,CONST_ErrorOrMissing&amp;C410,CONST_NA))</f>
        <v>n.a.</v>
      </c>
      <c r="Y417" s="105" t="str">
        <f>IF(OR(H417="",H417=CONST_NA),"",IF(H417=CONST_AllProdRoutes,FALSE, COUNTIF(INDEX(CNTR_MatrixPurchPrecRoutes,C410,),S417)=0))</f>
        <v/>
      </c>
    </row>
    <row r="418" spans="1:26" ht="12.75" customHeight="1" x14ac:dyDescent="0.35">
      <c r="B418" s="94"/>
      <c r="C418" s="144"/>
      <c r="D418" s="173">
        <v>6</v>
      </c>
      <c r="E418" s="158" t="str">
        <f t="shared" si="45"/>
        <v/>
      </c>
      <c r="F418" s="158"/>
      <c r="G418" s="158"/>
      <c r="H418" s="159" t="str">
        <f>IF(L410="","",INDEX(CONST_MATRIX_ProductionRoute,MATCH(L410,CONST_LIST_Goods,0),D418))</f>
        <v/>
      </c>
      <c r="I418" s="158"/>
      <c r="J418" s="158"/>
      <c r="K418" s="160" t="str">
        <f t="shared" si="46"/>
        <v/>
      </c>
      <c r="L418" s="30"/>
      <c r="M418" s="144"/>
      <c r="N418" s="144"/>
      <c r="O418" s="945"/>
      <c r="S418" s="105">
        <v>6</v>
      </c>
      <c r="V418" s="105" t="str">
        <f>IF(AND(Y418=FALSE,ISNUMBER(L418)),TRUE,IF(Y418=FALSE,CONST_ErrorOrMissing&amp;C410,CONST_NA))</f>
        <v>n.a.</v>
      </c>
      <c r="Y418" s="105" t="str">
        <f>IF(OR(H418="",H418=CONST_NA),"",IF(H418=CONST_AllProdRoutes,FALSE, COUNTIF(INDEX(CNTR_MatrixPurchPrecRoutes,C410,),S418)=0))</f>
        <v/>
      </c>
    </row>
    <row r="419" spans="1:26" ht="12.75" customHeight="1" x14ac:dyDescent="0.35">
      <c r="B419" s="94"/>
      <c r="C419" s="144"/>
      <c r="D419" s="173">
        <v>7</v>
      </c>
      <c r="E419" s="158" t="str">
        <f t="shared" si="45"/>
        <v/>
      </c>
      <c r="F419" s="158"/>
      <c r="G419" s="158"/>
      <c r="H419" s="159" t="str">
        <f>IF(L410="","",INDEX(CONST_MATRIX_ProductionRoute,MATCH(L410,CONST_LIST_Goods,0),D419))</f>
        <v/>
      </c>
      <c r="I419" s="158"/>
      <c r="J419" s="158"/>
      <c r="K419" s="160" t="str">
        <f t="shared" si="46"/>
        <v/>
      </c>
      <c r="L419" s="30"/>
      <c r="M419" s="144"/>
      <c r="N419" s="144"/>
      <c r="O419" s="945"/>
      <c r="S419" s="105">
        <v>7</v>
      </c>
      <c r="V419" s="105" t="str">
        <f>IF(AND(Y419=FALSE,ISNUMBER(L419)),TRUE,IF(Y419=FALSE,CONST_ErrorOrMissing&amp;C410,CONST_NA))</f>
        <v>n.a.</v>
      </c>
      <c r="Y419" s="105" t="str">
        <f>IF(OR(H419="",H419=CONST_NA),"",IF(H419=CONST_AllProdRoutes,FALSE, COUNTIF(INDEX(CNTR_MatrixPurchPrecRoutes,C410,),S419)=0))</f>
        <v/>
      </c>
    </row>
    <row r="420" spans="1:26" ht="12.75" customHeight="1" x14ac:dyDescent="0.35">
      <c r="B420" s="94"/>
      <c r="C420" s="144"/>
      <c r="D420" s="173">
        <v>8</v>
      </c>
      <c r="E420" s="161" t="str">
        <f t="shared" si="45"/>
        <v/>
      </c>
      <c r="F420" s="161"/>
      <c r="G420" s="161"/>
      <c r="H420" s="162" t="str">
        <f>IF(L410="","",INDEX(CONST_MATRIX_ProductionRoute,MATCH(L410,CONST_LIST_Goods,0),D420))</f>
        <v/>
      </c>
      <c r="I420" s="161"/>
      <c r="J420" s="161"/>
      <c r="K420" s="163" t="str">
        <f t="shared" si="46"/>
        <v/>
      </c>
      <c r="L420" s="31"/>
      <c r="M420" s="144"/>
      <c r="N420" s="144"/>
      <c r="O420" s="945"/>
      <c r="S420" s="105">
        <v>8</v>
      </c>
      <c r="V420" s="105" t="str">
        <f>IF(AND(Y420=FALSE,ISNUMBER(L420)),TRUE,IF(Y420=FALSE,CONST_ErrorOrMissing&amp;C410,CONST_NA))</f>
        <v>n.a.</v>
      </c>
      <c r="Y420" s="105" t="str">
        <f>IF(OR(H420="",H420=CONST_NA),"",IF(H420=CONST_AllProdRoutes,FALSE, COUNTIF(INDEX(CNTR_MatrixPurchPrecRoutes,C410,),S420)=0))</f>
        <v/>
      </c>
    </row>
    <row r="421" spans="1:26" ht="12.75" customHeight="1" x14ac:dyDescent="0.35">
      <c r="B421" s="94"/>
      <c r="C421" s="144"/>
      <c r="D421" s="914"/>
      <c r="E421" s="138" t="str">
        <f>Translations!$B$1966</f>
        <v>Total purchase for possible consumption within installation:</v>
      </c>
      <c r="F421" s="138"/>
      <c r="G421" s="138"/>
      <c r="H421" s="164"/>
      <c r="I421" s="138"/>
      <c r="J421" s="138"/>
      <c r="K421" s="169" t="str">
        <f>K413</f>
        <v/>
      </c>
      <c r="L421" s="386" t="str">
        <f>IF(G410="","",SUM(L413:L420))</f>
        <v/>
      </c>
      <c r="M421" s="144"/>
      <c r="N421" s="144"/>
      <c r="O421" s="428"/>
      <c r="R421" s="102" t="str">
        <f>CONST_CNTR_TotProd&amp;G410</f>
        <v>TotProd_</v>
      </c>
      <c r="T421" s="216" t="str">
        <f>IF(G410="","",IF(SUM(L421)=0,100,L421))</f>
        <v/>
      </c>
      <c r="V421" s="123"/>
    </row>
    <row r="422" spans="1:26" s="144" customFormat="1" ht="5.15" customHeight="1" x14ac:dyDescent="0.35">
      <c r="A422" s="91"/>
      <c r="B422" s="94"/>
      <c r="D422" s="166"/>
      <c r="E422" s="167"/>
      <c r="O422" s="428"/>
      <c r="P422" s="94"/>
      <c r="Q422" s="93"/>
      <c r="R422" s="91"/>
      <c r="S422" s="91"/>
      <c r="T422" s="712"/>
      <c r="U422" s="91"/>
      <c r="V422" s="123"/>
      <c r="W422" s="91"/>
      <c r="X422" s="91"/>
      <c r="Y422" s="91"/>
      <c r="Z422" s="91"/>
    </row>
    <row r="423" spans="1:26" s="144" customFormat="1" ht="12.75" customHeight="1" x14ac:dyDescent="0.35">
      <c r="A423" s="91"/>
      <c r="B423" s="94"/>
      <c r="D423" s="168" t="s">
        <v>48</v>
      </c>
      <c r="E423" s="167" t="str">
        <f>Translations!$B$1967</f>
        <v>Consumed in 'production processes' within the installation:</v>
      </c>
      <c r="F423" s="167"/>
      <c r="G423" s="167"/>
      <c r="H423" s="167"/>
      <c r="I423" s="167"/>
      <c r="J423" s="167"/>
      <c r="K423" s="168" t="str">
        <f>Translations!$B$221</f>
        <v>Unit</v>
      </c>
      <c r="L423" s="168" t="str">
        <f>Translations!$B$245</f>
        <v>Amounts</v>
      </c>
      <c r="O423" s="428"/>
      <c r="P423" s="94"/>
      <c r="Q423" s="93"/>
      <c r="R423" s="91"/>
      <c r="S423" s="123" t="s">
        <v>195</v>
      </c>
      <c r="T423" s="712"/>
      <c r="U423" s="91"/>
      <c r="V423" s="123"/>
      <c r="W423" s="91"/>
      <c r="X423" s="91"/>
      <c r="Y423" s="91"/>
      <c r="Z423" s="91"/>
    </row>
    <row r="424" spans="1:26" s="144" customFormat="1" ht="12.75" customHeight="1" x14ac:dyDescent="0.35">
      <c r="A424" s="91"/>
      <c r="B424" s="94"/>
      <c r="D424" s="173">
        <v>1</v>
      </c>
      <c r="E424" s="174" t="str">
        <f t="shared" ref="E424:E433" si="47">IF(INDEX(CNTR_List_ExistProdProcNames,S424)=CONST_NA,"",INDEX(CNTR_List_ExistProdProcNames,S424))</f>
        <v/>
      </c>
      <c r="F424" s="175"/>
      <c r="G424" s="175"/>
      <c r="H424" s="175"/>
      <c r="I424" s="175"/>
      <c r="J424" s="176"/>
      <c r="K424" s="155" t="str">
        <f>IF(E424="","",K421)</f>
        <v/>
      </c>
      <c r="L424" s="29"/>
      <c r="O424" s="945"/>
      <c r="P424" s="94"/>
      <c r="Q424" s="93"/>
      <c r="R424" s="102" t="str">
        <f>CONST_PrecursorToGoodInput&amp;G410 &amp;"_"&amp;E424</f>
        <v>PrecToGood__</v>
      </c>
      <c r="S424" s="105">
        <f>D424</f>
        <v>1</v>
      </c>
      <c r="T424" s="124" t="str">
        <f>IF(G410="","",L424)</f>
        <v/>
      </c>
      <c r="U424" s="91"/>
      <c r="V424" s="105" t="str">
        <f>IF(AND(G410&lt;&gt;"",E424&lt;&gt;"",L424&lt;&gt;""),TRUE,IF(AND(G410&lt;&gt;"",E424&lt;&gt;"",L424="",Z424=FALSE),CONST_ErrorOrMissing&amp;C410,CONST_NA))</f>
        <v>n.a.</v>
      </c>
      <c r="W424" s="172"/>
      <c r="X424" s="172"/>
      <c r="Y424" s="91" t="s">
        <v>34</v>
      </c>
      <c r="Z424" s="102" t="b">
        <f>IF(G410="",FALSE,E424="")</f>
        <v>0</v>
      </c>
    </row>
    <row r="425" spans="1:26" s="144" customFormat="1" ht="12.75" customHeight="1" x14ac:dyDescent="0.35">
      <c r="A425" s="91"/>
      <c r="B425" s="94"/>
      <c r="D425" s="173">
        <v>2</v>
      </c>
      <c r="E425" s="177" t="str">
        <f t="shared" si="47"/>
        <v/>
      </c>
      <c r="F425" s="178"/>
      <c r="G425" s="178"/>
      <c r="H425" s="178"/>
      <c r="I425" s="178"/>
      <c r="J425" s="179"/>
      <c r="K425" s="160" t="str">
        <f>IF(E425="","",K424)</f>
        <v/>
      </c>
      <c r="L425" s="30"/>
      <c r="O425" s="945"/>
      <c r="P425" s="94"/>
      <c r="Q425" s="93"/>
      <c r="R425" s="102" t="str">
        <f>CONST_PrecursorToGoodInput&amp;G410 &amp;"_"&amp;E425</f>
        <v>PrecToGood__</v>
      </c>
      <c r="S425" s="105">
        <f t="shared" ref="S425:S433" si="48">D425</f>
        <v>2</v>
      </c>
      <c r="T425" s="124" t="str">
        <f>IF(G410="","",L425)</f>
        <v/>
      </c>
      <c r="U425" s="91"/>
      <c r="V425" s="105" t="str">
        <f>IF(AND(G410&lt;&gt;"",E425&lt;&gt;"",L425&lt;&gt;""),TRUE,IF(AND(G410&lt;&gt;"",E425&lt;&gt;"",L425="",Z425=FALSE),CONST_ErrorOrMissing&amp;C410,CONST_NA))</f>
        <v>n.a.</v>
      </c>
      <c r="W425" s="172"/>
      <c r="X425" s="172"/>
      <c r="Y425" s="91"/>
      <c r="Z425" s="102" t="b">
        <f>IF(G410="",FALSE,E425="")</f>
        <v>0</v>
      </c>
    </row>
    <row r="426" spans="1:26" s="144" customFormat="1" ht="12.75" customHeight="1" x14ac:dyDescent="0.35">
      <c r="A426" s="91"/>
      <c r="B426" s="94"/>
      <c r="D426" s="173">
        <v>3</v>
      </c>
      <c r="E426" s="177" t="str">
        <f t="shared" si="47"/>
        <v/>
      </c>
      <c r="F426" s="178"/>
      <c r="G426" s="178"/>
      <c r="H426" s="178"/>
      <c r="I426" s="178"/>
      <c r="J426" s="179"/>
      <c r="K426" s="160" t="str">
        <f t="shared" ref="K426:K433" si="49">IF(E426="","",K425)</f>
        <v/>
      </c>
      <c r="L426" s="30"/>
      <c r="O426" s="945"/>
      <c r="P426" s="94"/>
      <c r="Q426" s="93"/>
      <c r="R426" s="102" t="str">
        <f>CONST_PrecursorToGoodInput&amp;G410 &amp;"_"&amp;E426</f>
        <v>PrecToGood__</v>
      </c>
      <c r="S426" s="105">
        <f t="shared" si="48"/>
        <v>3</v>
      </c>
      <c r="T426" s="124" t="str">
        <f>IF(G410="","",L426)</f>
        <v/>
      </c>
      <c r="U426" s="91"/>
      <c r="V426" s="105" t="str">
        <f>IF(AND(G410&lt;&gt;"",E426&lt;&gt;"",L426&lt;&gt;""),TRUE,IF(AND(G410&lt;&gt;"",E426&lt;&gt;"",L426="",Z426=FALSE),CONST_ErrorOrMissing&amp;C410,CONST_NA))</f>
        <v>n.a.</v>
      </c>
      <c r="W426" s="172"/>
      <c r="X426" s="172"/>
      <c r="Y426" s="91"/>
      <c r="Z426" s="102" t="b">
        <f>IF(G410="",FALSE,E426="")</f>
        <v>0</v>
      </c>
    </row>
    <row r="427" spans="1:26" s="144" customFormat="1" ht="12.75" customHeight="1" x14ac:dyDescent="0.35">
      <c r="A427" s="91"/>
      <c r="B427" s="94"/>
      <c r="D427" s="173">
        <v>4</v>
      </c>
      <c r="E427" s="177" t="str">
        <f t="shared" si="47"/>
        <v/>
      </c>
      <c r="F427" s="178"/>
      <c r="G427" s="178"/>
      <c r="H427" s="178"/>
      <c r="I427" s="178"/>
      <c r="J427" s="179"/>
      <c r="K427" s="160" t="str">
        <f t="shared" si="49"/>
        <v/>
      </c>
      <c r="L427" s="30"/>
      <c r="O427" s="945"/>
      <c r="P427" s="94"/>
      <c r="Q427" s="93"/>
      <c r="R427" s="102" t="str">
        <f>CONST_PrecursorToGoodInput&amp;G410 &amp;"_"&amp;E427</f>
        <v>PrecToGood__</v>
      </c>
      <c r="S427" s="105">
        <f t="shared" si="48"/>
        <v>4</v>
      </c>
      <c r="T427" s="124" t="str">
        <f>IF(G410="","",L427)</f>
        <v/>
      </c>
      <c r="U427" s="91"/>
      <c r="V427" s="105" t="str">
        <f>IF(AND(G410&lt;&gt;"",E427&lt;&gt;"",L427&lt;&gt;""),TRUE,IF(AND(G410&lt;&gt;"",E427&lt;&gt;"",L427="",Z427=FALSE),CONST_ErrorOrMissing&amp;C410,CONST_NA))</f>
        <v>n.a.</v>
      </c>
      <c r="W427" s="172"/>
      <c r="X427" s="172"/>
      <c r="Y427" s="91"/>
      <c r="Z427" s="102" t="b">
        <f>IF(G410="",FALSE,E427="")</f>
        <v>0</v>
      </c>
    </row>
    <row r="428" spans="1:26" s="144" customFormat="1" ht="12.75" customHeight="1" x14ac:dyDescent="0.35">
      <c r="A428" s="91"/>
      <c r="B428" s="94"/>
      <c r="D428" s="173">
        <v>5</v>
      </c>
      <c r="E428" s="180" t="str">
        <f t="shared" si="47"/>
        <v/>
      </c>
      <c r="F428" s="181"/>
      <c r="G428" s="181"/>
      <c r="H428" s="181"/>
      <c r="I428" s="181"/>
      <c r="J428" s="182"/>
      <c r="K428" s="183" t="str">
        <f t="shared" si="49"/>
        <v/>
      </c>
      <c r="L428" s="212"/>
      <c r="O428" s="945"/>
      <c r="P428" s="94"/>
      <c r="Q428" s="93"/>
      <c r="R428" s="102" t="str">
        <f>CONST_PrecursorToGoodInput&amp;G410 &amp;"_"&amp;E428</f>
        <v>PrecToGood__</v>
      </c>
      <c r="S428" s="105">
        <f t="shared" si="48"/>
        <v>5</v>
      </c>
      <c r="T428" s="124" t="str">
        <f>IF(G410="","",L428)</f>
        <v/>
      </c>
      <c r="U428" s="91"/>
      <c r="V428" s="105" t="str">
        <f>IF(AND(G410&lt;&gt;"",E428&lt;&gt;"",L428&lt;&gt;""),TRUE,IF(AND(G410&lt;&gt;"",E428&lt;&gt;"",L428="",Z428=FALSE),CONST_ErrorOrMissing&amp;C410,CONST_NA))</f>
        <v>n.a.</v>
      </c>
      <c r="W428" s="172"/>
      <c r="X428" s="172"/>
      <c r="Y428" s="91"/>
      <c r="Z428" s="102" t="b">
        <f>IF(G410="",FALSE,E428="")</f>
        <v>0</v>
      </c>
    </row>
    <row r="429" spans="1:26" s="144" customFormat="1" ht="12.75" customHeight="1" x14ac:dyDescent="0.35">
      <c r="A429" s="91"/>
      <c r="B429" s="94"/>
      <c r="D429" s="173">
        <v>6</v>
      </c>
      <c r="E429" s="180" t="str">
        <f t="shared" si="47"/>
        <v/>
      </c>
      <c r="F429" s="181"/>
      <c r="G429" s="181"/>
      <c r="H429" s="181"/>
      <c r="I429" s="181"/>
      <c r="J429" s="182"/>
      <c r="K429" s="183" t="str">
        <f t="shared" si="49"/>
        <v/>
      </c>
      <c r="L429" s="212"/>
      <c r="O429" s="945"/>
      <c r="P429" s="94"/>
      <c r="Q429" s="93"/>
      <c r="R429" s="102" t="str">
        <f>CONST_PrecursorToGoodInput&amp;G410 &amp;"_"&amp;E429</f>
        <v>PrecToGood__</v>
      </c>
      <c r="S429" s="105">
        <f t="shared" si="48"/>
        <v>6</v>
      </c>
      <c r="T429" s="124" t="str">
        <f>IF(G410="","",L429)</f>
        <v/>
      </c>
      <c r="U429" s="91"/>
      <c r="V429" s="105" t="str">
        <f>IF(AND(G410&lt;&gt;"",E429&lt;&gt;"",L429&lt;&gt;""),TRUE,IF(AND(G410&lt;&gt;"",E429&lt;&gt;"",L429="",Z429=FALSE),CONST_ErrorOrMissing&amp;C410,CONST_NA))</f>
        <v>n.a.</v>
      </c>
      <c r="W429" s="172"/>
      <c r="X429" s="172"/>
      <c r="Y429" s="91"/>
      <c r="Z429" s="102" t="b">
        <f>IF(G410="",FALSE,E429="")</f>
        <v>0</v>
      </c>
    </row>
    <row r="430" spans="1:26" s="144" customFormat="1" ht="12.75" customHeight="1" x14ac:dyDescent="0.35">
      <c r="A430" s="91"/>
      <c r="B430" s="94"/>
      <c r="D430" s="173">
        <v>7</v>
      </c>
      <c r="E430" s="180" t="str">
        <f t="shared" si="47"/>
        <v/>
      </c>
      <c r="F430" s="181"/>
      <c r="G430" s="181"/>
      <c r="H430" s="181"/>
      <c r="I430" s="181"/>
      <c r="J430" s="182"/>
      <c r="K430" s="183" t="str">
        <f t="shared" si="49"/>
        <v/>
      </c>
      <c r="L430" s="212"/>
      <c r="O430" s="945"/>
      <c r="P430" s="94"/>
      <c r="Q430" s="93"/>
      <c r="R430" s="102" t="str">
        <f>CONST_PrecursorToGoodInput&amp;G410 &amp;"_"&amp;E430</f>
        <v>PrecToGood__</v>
      </c>
      <c r="S430" s="105">
        <f t="shared" si="48"/>
        <v>7</v>
      </c>
      <c r="T430" s="124" t="str">
        <f>IF(G410="","",L430)</f>
        <v/>
      </c>
      <c r="U430" s="91"/>
      <c r="V430" s="105" t="str">
        <f>IF(AND(G410&lt;&gt;"",E430&lt;&gt;"",L430&lt;&gt;""),TRUE,IF(AND(G410&lt;&gt;"",E430&lt;&gt;"",L430="",Z430=FALSE),CONST_ErrorOrMissing&amp;C410,CONST_NA))</f>
        <v>n.a.</v>
      </c>
      <c r="W430" s="172"/>
      <c r="X430" s="172"/>
      <c r="Y430" s="91"/>
      <c r="Z430" s="102" t="b">
        <f>IF(G410="",FALSE,E430="")</f>
        <v>0</v>
      </c>
    </row>
    <row r="431" spans="1:26" s="144" customFormat="1" ht="12.75" customHeight="1" x14ac:dyDescent="0.35">
      <c r="A431" s="91"/>
      <c r="B431" s="94"/>
      <c r="D431" s="173">
        <v>8</v>
      </c>
      <c r="E431" s="180" t="str">
        <f t="shared" si="47"/>
        <v/>
      </c>
      <c r="F431" s="181"/>
      <c r="G431" s="181"/>
      <c r="H431" s="181"/>
      <c r="I431" s="181"/>
      <c r="J431" s="182"/>
      <c r="K431" s="183" t="str">
        <f t="shared" si="49"/>
        <v/>
      </c>
      <c r="L431" s="212"/>
      <c r="O431" s="945"/>
      <c r="P431" s="94"/>
      <c r="Q431" s="93"/>
      <c r="R431" s="102" t="str">
        <f>CONST_PrecursorToGoodInput&amp;G410 &amp;"_"&amp;E431</f>
        <v>PrecToGood__</v>
      </c>
      <c r="S431" s="105">
        <f t="shared" si="48"/>
        <v>8</v>
      </c>
      <c r="T431" s="124" t="str">
        <f>IF(G410="","",L431)</f>
        <v/>
      </c>
      <c r="U431" s="91"/>
      <c r="V431" s="105" t="str">
        <f>IF(AND(G410&lt;&gt;"",E431&lt;&gt;"",L431&lt;&gt;""),TRUE,IF(AND(G410&lt;&gt;"",E431&lt;&gt;"",L431="",Z431=FALSE),CONST_ErrorOrMissing&amp;C410,CONST_NA))</f>
        <v>n.a.</v>
      </c>
      <c r="W431" s="172"/>
      <c r="X431" s="172"/>
      <c r="Y431" s="91"/>
      <c r="Z431" s="102" t="b">
        <f>IF(G410="",FALSE,E431="")</f>
        <v>0</v>
      </c>
    </row>
    <row r="432" spans="1:26" s="144" customFormat="1" ht="12.75" customHeight="1" x14ac:dyDescent="0.35">
      <c r="A432" s="91"/>
      <c r="B432" s="94"/>
      <c r="D432" s="173">
        <v>9</v>
      </c>
      <c r="E432" s="180" t="str">
        <f t="shared" si="47"/>
        <v/>
      </c>
      <c r="F432" s="181"/>
      <c r="G432" s="181"/>
      <c r="H432" s="181"/>
      <c r="I432" s="181"/>
      <c r="J432" s="182"/>
      <c r="K432" s="183" t="str">
        <f t="shared" si="49"/>
        <v/>
      </c>
      <c r="L432" s="212"/>
      <c r="O432" s="945"/>
      <c r="P432" s="94"/>
      <c r="Q432" s="93"/>
      <c r="R432" s="102" t="str">
        <f>CONST_PrecursorToGoodInput&amp;G410 &amp;"_"&amp;E432</f>
        <v>PrecToGood__</v>
      </c>
      <c r="S432" s="105">
        <f t="shared" si="48"/>
        <v>9</v>
      </c>
      <c r="T432" s="124" t="str">
        <f>IF(G410="","",L432)</f>
        <v/>
      </c>
      <c r="U432" s="91"/>
      <c r="V432" s="105" t="str">
        <f>IF(AND(G410&lt;&gt;"",E432&lt;&gt;"",L432&lt;&gt;""),TRUE,IF(AND(G410&lt;&gt;"",E432&lt;&gt;"",L432="",Z432=FALSE),CONST_ErrorOrMissing&amp;C410,CONST_NA))</f>
        <v>n.a.</v>
      </c>
      <c r="W432" s="172"/>
      <c r="X432" s="172"/>
      <c r="Y432" s="91"/>
      <c r="Z432" s="102" t="b">
        <f>IF(G410="",FALSE,E432="")</f>
        <v>0</v>
      </c>
    </row>
    <row r="433" spans="1:26" s="144" customFormat="1" ht="12.75" customHeight="1" x14ac:dyDescent="0.35">
      <c r="A433" s="91"/>
      <c r="B433" s="94"/>
      <c r="D433" s="173">
        <v>10</v>
      </c>
      <c r="E433" s="184" t="str">
        <f t="shared" si="47"/>
        <v/>
      </c>
      <c r="F433" s="185"/>
      <c r="G433" s="185"/>
      <c r="H433" s="185"/>
      <c r="I433" s="185"/>
      <c r="J433" s="186"/>
      <c r="K433" s="163" t="str">
        <f t="shared" si="49"/>
        <v/>
      </c>
      <c r="L433" s="31"/>
      <c r="O433" s="945"/>
      <c r="P433" s="94"/>
      <c r="Q433" s="93"/>
      <c r="R433" s="102" t="str">
        <f>CONST_PrecursorToGoodInput&amp;G410 &amp;"_"&amp;E433</f>
        <v>PrecToGood__</v>
      </c>
      <c r="S433" s="105">
        <f t="shared" si="48"/>
        <v>10</v>
      </c>
      <c r="T433" s="124" t="str">
        <f>IF(G410="","",L433)</f>
        <v/>
      </c>
      <c r="U433" s="91"/>
      <c r="V433" s="105" t="str">
        <f>IF(AND(G410&lt;&gt;"",E433&lt;&gt;"",L433&lt;&gt;""),TRUE,IF(AND(G410&lt;&gt;"",E433&lt;&gt;"",L433="",Z433=FALSE),CONST_ErrorOrMissing&amp;C410,CONST_NA))</f>
        <v>n.a.</v>
      </c>
      <c r="W433" s="172"/>
      <c r="X433" s="172"/>
      <c r="Y433" s="91"/>
      <c r="Z433" s="102" t="b">
        <f>IF(G410="",FALSE,E433="")</f>
        <v>0</v>
      </c>
    </row>
    <row r="434" spans="1:26" s="144" customFormat="1" ht="12.75" customHeight="1" x14ac:dyDescent="0.35">
      <c r="A434" s="91"/>
      <c r="B434" s="94"/>
      <c r="D434" s="168" t="s">
        <v>49</v>
      </c>
      <c r="E434" s="167" t="str">
        <f>Translations!$B$1968</f>
        <v>Consumed for other purposes, e.g. sold or used for non-CBAM goods:</v>
      </c>
      <c r="F434" s="167"/>
      <c r="G434" s="167"/>
      <c r="H434" s="167"/>
      <c r="I434" s="167"/>
      <c r="J434" s="167"/>
      <c r="K434" s="169" t="str">
        <f>K421</f>
        <v/>
      </c>
      <c r="L434" s="211"/>
      <c r="O434" s="945"/>
      <c r="P434" s="94"/>
      <c r="Q434" s="93"/>
      <c r="R434" s="91"/>
      <c r="S434" s="91"/>
      <c r="T434" s="712"/>
      <c r="U434" s="91"/>
      <c r="V434" s="105" t="str">
        <f>IF(G410="",CONST_NA,IF(ISNUMBER(L434),TRUE,CONST_ErrorOrMissing&amp;C410))</f>
        <v>n.a.</v>
      </c>
      <c r="W434" s="91"/>
      <c r="X434" s="91"/>
      <c r="Y434" s="91"/>
      <c r="Z434" s="91"/>
    </row>
    <row r="435" spans="1:26" s="144" customFormat="1" ht="12.75" customHeight="1" x14ac:dyDescent="0.35">
      <c r="A435" s="91"/>
      <c r="B435" s="94"/>
      <c r="D435" s="168" t="s">
        <v>377</v>
      </c>
      <c r="E435" s="138" t="str">
        <f>Translations!$B$253</f>
        <v>Control:</v>
      </c>
      <c r="F435" s="170"/>
      <c r="G435" s="170"/>
      <c r="H435" s="170"/>
      <c r="I435" s="170"/>
      <c r="J435" s="170"/>
      <c r="K435" s="169" t="str">
        <f>K434</f>
        <v/>
      </c>
      <c r="L435" s="118" t="str">
        <f>IF(G410="","",SUM(L421)-SUM(L424:L434))</f>
        <v/>
      </c>
      <c r="O435" s="945"/>
      <c r="P435" s="94"/>
      <c r="Q435" s="93"/>
      <c r="R435" s="91"/>
      <c r="S435" s="91"/>
      <c r="T435" s="712"/>
      <c r="U435" s="91"/>
      <c r="V435" s="105" t="str">
        <f>IF(G410="",CONST_NA,IF(L435=0,TRUE,CONST_ErrorOrMissing&amp;C410))</f>
        <v>n.a.</v>
      </c>
      <c r="W435" s="91"/>
      <c r="X435" s="91"/>
      <c r="Y435" s="91"/>
      <c r="Z435" s="91"/>
    </row>
    <row r="436" spans="1:26" s="144" customFormat="1" ht="12.75" customHeight="1" thickBot="1" x14ac:dyDescent="0.4">
      <c r="A436" s="91"/>
      <c r="B436" s="94"/>
      <c r="O436" s="428"/>
      <c r="P436" s="94"/>
      <c r="Q436" s="93"/>
      <c r="R436" s="91"/>
      <c r="S436" s="91"/>
      <c r="T436" s="712"/>
      <c r="U436" s="91"/>
      <c r="V436" s="91"/>
      <c r="W436" s="91"/>
      <c r="X436" s="91"/>
      <c r="Y436" s="91"/>
      <c r="Z436" s="91"/>
    </row>
    <row r="437" spans="1:26" ht="12.75" customHeight="1" x14ac:dyDescent="0.35">
      <c r="B437" s="94"/>
      <c r="C437" s="187"/>
      <c r="D437" s="188"/>
      <c r="E437" s="189"/>
      <c r="F437" s="190"/>
      <c r="G437" s="190"/>
      <c r="H437" s="190"/>
      <c r="I437" s="190"/>
      <c r="J437" s="190"/>
      <c r="K437" s="190"/>
      <c r="L437" s="190"/>
      <c r="M437" s="190"/>
      <c r="N437" s="191"/>
      <c r="O437" s="428"/>
      <c r="T437" s="712"/>
    </row>
    <row r="438" spans="1:26" ht="15" customHeight="1" x14ac:dyDescent="0.35">
      <c r="B438" s="94"/>
      <c r="C438" s="192"/>
      <c r="D438" s="193" t="str">
        <f>Translations!$B$279</f>
        <v>Specific embedded emissions:</v>
      </c>
      <c r="E438" s="194"/>
      <c r="F438" s="195"/>
      <c r="G438" s="195"/>
      <c r="H438" s="195"/>
      <c r="I438" s="195"/>
      <c r="J438" s="1327" t="str">
        <f>IF(G410="","",G410)</f>
        <v/>
      </c>
      <c r="K438" s="1327"/>
      <c r="L438" s="1327"/>
      <c r="M438" s="1327"/>
      <c r="N438" s="196"/>
      <c r="O438" s="428"/>
      <c r="T438" s="712"/>
    </row>
    <row r="439" spans="1:26" ht="5.15" customHeight="1" x14ac:dyDescent="0.35">
      <c r="B439" s="94"/>
      <c r="C439" s="192"/>
      <c r="D439" s="197"/>
      <c r="E439" s="198"/>
      <c r="F439" s="195"/>
      <c r="G439" s="195"/>
      <c r="H439" s="195"/>
      <c r="I439" s="195"/>
      <c r="J439" s="195"/>
      <c r="K439" s="195"/>
      <c r="L439" s="195"/>
      <c r="M439" s="195"/>
      <c r="N439" s="196"/>
      <c r="O439" s="428"/>
      <c r="T439" s="712"/>
    </row>
    <row r="440" spans="1:26" ht="12.75" customHeight="1" x14ac:dyDescent="0.35">
      <c r="B440" s="94"/>
      <c r="C440" s="192"/>
      <c r="D440" s="199" t="s">
        <v>411</v>
      </c>
      <c r="E440" s="198" t="str">
        <f>Translations!$B$280</f>
        <v>Emissions embedded in this purchased precursor</v>
      </c>
      <c r="F440" s="198"/>
      <c r="G440" s="198"/>
      <c r="H440" s="198"/>
      <c r="I440" s="198"/>
      <c r="J440" s="198"/>
      <c r="K440" s="198"/>
      <c r="L440" s="198"/>
      <c r="M440" s="198"/>
      <c r="N440" s="196"/>
      <c r="O440" s="428"/>
      <c r="T440" s="712"/>
      <c r="V440" s="172"/>
      <c r="W440" s="172"/>
      <c r="X440" s="172"/>
      <c r="Z440" s="171"/>
    </row>
    <row r="441" spans="1:26" ht="4.9000000000000004" customHeight="1" x14ac:dyDescent="0.35">
      <c r="B441" s="94"/>
      <c r="C441" s="192"/>
      <c r="D441" s="199"/>
      <c r="E441" s="1328"/>
      <c r="F441" s="1328"/>
      <c r="G441" s="1328"/>
      <c r="H441" s="1328"/>
      <c r="I441" s="1328"/>
      <c r="J441" s="1328"/>
      <c r="K441" s="1328"/>
      <c r="L441" s="1328"/>
      <c r="M441" s="1328"/>
      <c r="N441" s="196"/>
      <c r="O441" s="428"/>
      <c r="T441" s="712"/>
    </row>
    <row r="442" spans="1:26" ht="13.15" customHeight="1" x14ac:dyDescent="0.35">
      <c r="B442" s="94"/>
      <c r="C442" s="192"/>
      <c r="D442" s="199"/>
      <c r="E442" s="1311" t="str">
        <f ca="1">HYPERLINK("#"&amp;ADDRESS(MATCH($S442,G_FurtherGuidance!$S:$S,0),3,,,G_FurtherGuidance!$U$2),CONST_LinkToGuidanceSheet)</f>
        <v>Please click on this link for further guidance on how to complete this section.</v>
      </c>
      <c r="F442" s="1312"/>
      <c r="G442" s="1312"/>
      <c r="H442" s="1312"/>
      <c r="I442" s="1312"/>
      <c r="J442" s="1312"/>
      <c r="K442" s="1312"/>
      <c r="L442" s="1312"/>
      <c r="M442" s="1312"/>
      <c r="N442" s="196"/>
      <c r="O442" s="428"/>
      <c r="R442" s="104" t="s">
        <v>2771</v>
      </c>
      <c r="S442" s="105">
        <v>4</v>
      </c>
      <c r="T442" s="712"/>
    </row>
    <row r="443" spans="1:26" ht="4.9000000000000004" customHeight="1" x14ac:dyDescent="0.35">
      <c r="B443" s="94"/>
      <c r="C443" s="192"/>
      <c r="D443" s="199"/>
      <c r="E443" s="1328"/>
      <c r="F443" s="1328"/>
      <c r="G443" s="1328"/>
      <c r="H443" s="1328"/>
      <c r="I443" s="1328"/>
      <c r="J443" s="1328"/>
      <c r="K443" s="1328"/>
      <c r="L443" s="1328"/>
      <c r="M443" s="1328"/>
      <c r="N443" s="384"/>
      <c r="O443" s="428"/>
      <c r="T443" s="712"/>
    </row>
    <row r="444" spans="1:26" ht="12.75" customHeight="1" x14ac:dyDescent="0.35">
      <c r="B444" s="94"/>
      <c r="C444" s="192"/>
      <c r="D444" s="199"/>
      <c r="E444" s="198" t="str">
        <f>Translations!$B$284</f>
        <v>Parameter:</v>
      </c>
      <c r="F444" s="195"/>
      <c r="G444" s="195"/>
      <c r="H444" s="195"/>
      <c r="I444" s="195"/>
      <c r="J444" s="195"/>
      <c r="K444" s="199" t="str">
        <f>Translations!$B$221</f>
        <v>Unit</v>
      </c>
      <c r="L444" s="199" t="str">
        <f>Translations!$B$260</f>
        <v>Value</v>
      </c>
      <c r="M444" s="199" t="str">
        <f>Translations!$B$285</f>
        <v>Source</v>
      </c>
      <c r="N444" s="196"/>
      <c r="O444" s="428"/>
      <c r="T444" s="764" t="s">
        <v>5</v>
      </c>
      <c r="U444" s="123" t="s">
        <v>2719</v>
      </c>
      <c r="V444" s="156" t="s">
        <v>3922</v>
      </c>
      <c r="W444" s="156"/>
      <c r="X444" s="156"/>
      <c r="Z444" s="171"/>
    </row>
    <row r="445" spans="1:26" ht="12.75" customHeight="1" x14ac:dyDescent="0.35">
      <c r="B445" s="94"/>
      <c r="C445" s="192"/>
      <c r="D445" s="197" t="s">
        <v>41</v>
      </c>
      <c r="E445" s="201" t="str">
        <f>Translations!$B$1969</f>
        <v>Specific embedded direct emissions (SEE (direct))</v>
      </c>
      <c r="F445" s="201"/>
      <c r="G445" s="201"/>
      <c r="H445" s="201"/>
      <c r="I445" s="201"/>
      <c r="J445" s="201"/>
      <c r="K445" s="217" t="str">
        <f>IF(L410="","",CONST_tCO2eq &amp; "/" &amp; K421)</f>
        <v/>
      </c>
      <c r="L445" s="215"/>
      <c r="M445" s="385"/>
      <c r="N445" s="196"/>
      <c r="O445" s="945"/>
      <c r="R445" s="102" t="str">
        <f>CONST_PurchPrecDefaultUsed&amp;G410</f>
        <v>PurchPrecDef_</v>
      </c>
      <c r="S445" s="102" t="str">
        <f>CONST_CNTR_EmbedEmDir&amp;G410</f>
        <v>EmbedEmDir_</v>
      </c>
      <c r="T445" s="124" t="str">
        <f>IF(G410="","",SUM(T421)*SUM(L445))</f>
        <v/>
      </c>
      <c r="U445" s="105" t="str">
        <f>IF(G410="","",IF(M445="",CONST_ERR_Incomplete,MATCH(M445,CONST_MeasDefaultUnknown,0)=2))</f>
        <v/>
      </c>
      <c r="V445" s="105" t="str">
        <f>IF(AND(G410&lt;&gt;"",COUNTA(L445:M445)=2),TRUE,IF(AND(G410&lt;&gt;"",COUNTA(L445:M445)&lt;2),CONST_ErrorOrMissing&amp;C410,CONST_NA))</f>
        <v>n.a.</v>
      </c>
      <c r="W445" s="156"/>
      <c r="X445" s="156"/>
      <c r="Z445" s="171"/>
    </row>
    <row r="446" spans="1:26" ht="12.75" customHeight="1" x14ac:dyDescent="0.35">
      <c r="B446" s="94"/>
      <c r="C446" s="192"/>
      <c r="D446" s="197" t="s">
        <v>42</v>
      </c>
      <c r="E446" s="759" t="str">
        <f>Translations!$B$1970</f>
        <v>Specific electricity consumption (for SEE (indirect))</v>
      </c>
      <c r="F446" s="759"/>
      <c r="G446" s="759"/>
      <c r="H446" s="759"/>
      <c r="I446" s="759"/>
      <c r="J446" s="759"/>
      <c r="K446" s="457" t="str">
        <f>IF(K445="","",CONST_MWh&amp;"/"&amp;K421)</f>
        <v/>
      </c>
      <c r="L446" s="760"/>
      <c r="M446" s="761"/>
      <c r="N446" s="196"/>
      <c r="O446" s="945"/>
      <c r="R446" s="102" t="str">
        <f>CONST_ElecConsumption&amp;G410</f>
        <v>ElecCons_</v>
      </c>
      <c r="S446" s="102"/>
      <c r="T446" s="124" t="str">
        <f>IF(G410="","",SUM(T421)*SUM(L446))</f>
        <v/>
      </c>
      <c r="U446" s="105" t="str">
        <f>IF(G410="","",IF(M446="",CONST_ERR_Incomplete,MATCH(M446,CONST_MeasDefaultUnknown,0)=2))</f>
        <v/>
      </c>
      <c r="V446" s="105" t="str">
        <f>IF(AND(G410&lt;&gt;"",COUNTA(L446:M446)=2),TRUE,IF(AND(G410&lt;&gt;"",COUNTA(L446:M446)&lt;2),CONST_ErrorOrMissing&amp;C410,CONST_NA))</f>
        <v>n.a.</v>
      </c>
      <c r="W446" s="156"/>
      <c r="X446" s="156"/>
      <c r="Z446" s="171"/>
    </row>
    <row r="447" spans="1:26" ht="12.75" customHeight="1" x14ac:dyDescent="0.35">
      <c r="B447" s="94"/>
      <c r="C447" s="192"/>
      <c r="D447" s="197" t="s">
        <v>43</v>
      </c>
      <c r="E447" s="1144" t="str">
        <f>Translations!$B$1971</f>
        <v>Electricity emission factor (for SEE (indirect))</v>
      </c>
      <c r="F447" s="1144"/>
      <c r="G447" s="1144"/>
      <c r="H447" s="1144"/>
      <c r="I447" s="1144"/>
      <c r="J447" s="1144"/>
      <c r="K447" s="1145" t="str">
        <f>IF(K445="","",CONST_tCO2eq&amp;"/"&amp;CONST_MWh)</f>
        <v/>
      </c>
      <c r="L447" s="1146"/>
      <c r="M447" s="762"/>
      <c r="N447" s="196"/>
      <c r="O447" s="945"/>
      <c r="R447" s="102" t="str">
        <f>CONST_CNTR_ElecEFMethod&amp;G410</f>
        <v>ElecEFMeth_</v>
      </c>
      <c r="S447" s="102"/>
      <c r="T447" s="124"/>
      <c r="U447" s="105" t="str">
        <f>IF(G410="","",M447)</f>
        <v/>
      </c>
      <c r="V447" s="105" t="str">
        <f>IF(AND(G410&lt;&gt;"",COUNTA(L447:M447)=2),TRUE,IF(AND(G410&lt;&gt;"",COUNTA(L447:M447)&lt;2),CONST_ErrorOrMissing&amp;C410,CONST_NA))</f>
        <v>n.a.</v>
      </c>
      <c r="W447" s="156"/>
      <c r="X447" s="156"/>
      <c r="Z447" s="171"/>
    </row>
    <row r="448" spans="1:26" x14ac:dyDescent="0.35">
      <c r="B448" s="94"/>
      <c r="C448" s="192"/>
      <c r="D448" s="197" t="s">
        <v>44</v>
      </c>
      <c r="E448" s="201" t="str">
        <f>Translations!$B$1972</f>
        <v>Specific embedded indirect emissions (SEE (indirect))</v>
      </c>
      <c r="F448" s="201"/>
      <c r="G448" s="201"/>
      <c r="H448" s="201"/>
      <c r="I448" s="201"/>
      <c r="J448" s="201"/>
      <c r="K448" s="217" t="str">
        <f>K445</f>
        <v/>
      </c>
      <c r="L448" s="1147" t="str">
        <f>IF(COUNT(L446:L447)=0,"",L446*L447)</f>
        <v/>
      </c>
      <c r="M448" s="758"/>
      <c r="N448" s="196"/>
      <c r="O448" s="428"/>
      <c r="R448" s="171"/>
      <c r="S448" s="102" t="str">
        <f>CONST_CNTR_EmbedEmInDir&amp;G410</f>
        <v>EmbedEmInDir_</v>
      </c>
      <c r="T448" s="124" t="str">
        <f>IF(G410="","",SUM(T421)*SUM(L448))</f>
        <v/>
      </c>
      <c r="Z448" s="171"/>
    </row>
    <row r="449" spans="1:26" ht="5.15" customHeight="1" x14ac:dyDescent="0.35">
      <c r="B449" s="94"/>
      <c r="C449" s="192"/>
      <c r="D449" s="197"/>
      <c r="E449" s="195"/>
      <c r="F449" s="195"/>
      <c r="G449" s="195"/>
      <c r="H449" s="195"/>
      <c r="I449" s="195"/>
      <c r="J449" s="195"/>
      <c r="K449" s="195"/>
      <c r="L449" s="195"/>
      <c r="M449" s="195"/>
      <c r="N449" s="196"/>
      <c r="O449" s="428"/>
      <c r="R449" s="171"/>
      <c r="S449" s="171"/>
      <c r="T449" s="125"/>
      <c r="U449" s="156"/>
      <c r="V449" s="172"/>
      <c r="W449" s="172"/>
      <c r="X449" s="172"/>
      <c r="Z449" s="171"/>
    </row>
    <row r="450" spans="1:26" ht="12.75" customHeight="1" x14ac:dyDescent="0.35">
      <c r="B450" s="94"/>
      <c r="C450" s="192"/>
      <c r="D450" s="197" t="s">
        <v>45</v>
      </c>
      <c r="E450" s="201" t="str">
        <f>Translations!$B$1858</f>
        <v>Justification for use of default values (if relevant):</v>
      </c>
      <c r="F450" s="201"/>
      <c r="G450" s="201"/>
      <c r="H450" s="201"/>
      <c r="I450" s="201"/>
      <c r="J450" s="201"/>
      <c r="K450" s="1329"/>
      <c r="L450" s="1329"/>
      <c r="M450" s="1329"/>
      <c r="N450" s="196"/>
      <c r="O450" s="945"/>
      <c r="R450" s="171"/>
      <c r="S450" s="171"/>
      <c r="T450" s="125"/>
      <c r="U450" s="156"/>
      <c r="V450" s="105" t="str">
        <f>IF(OR(G410="",Z450=TRUE),CONST_NA,IF(K450&lt;&gt;"",TRUE,CONST_ErrorOrMissing&amp;C410))</f>
        <v>n.a.</v>
      </c>
      <c r="W450" s="172"/>
      <c r="X450" s="172"/>
      <c r="Z450" s="102" t="b">
        <f>AND(M445&lt;&gt;"",M445&lt;&gt;INDEX(CONST_MeasDefaultUnknown,2),M446&lt;&gt;"",M446&lt;&gt;INDEX(CONST_MeasDefaultUnknown,2))</f>
        <v>0</v>
      </c>
    </row>
    <row r="451" spans="1:26" s="144" customFormat="1" ht="12.75" customHeight="1" thickBot="1" x14ac:dyDescent="0.4">
      <c r="A451" s="91"/>
      <c r="B451" s="94"/>
      <c r="C451" s="206"/>
      <c r="D451" s="207"/>
      <c r="E451" s="208"/>
      <c r="F451" s="209"/>
      <c r="G451" s="209"/>
      <c r="H451" s="209"/>
      <c r="I451" s="209"/>
      <c r="J451" s="209"/>
      <c r="K451" s="209"/>
      <c r="L451" s="209"/>
      <c r="M451" s="209"/>
      <c r="N451" s="210"/>
      <c r="O451" s="428"/>
      <c r="P451" s="94"/>
      <c r="Q451" s="93"/>
      <c r="R451" s="91"/>
      <c r="S451" s="91"/>
      <c r="T451" s="712"/>
      <c r="U451" s="91"/>
      <c r="V451" s="91"/>
      <c r="W451" s="91"/>
      <c r="X451" s="91"/>
      <c r="Y451" s="91"/>
      <c r="Z451" s="91"/>
    </row>
    <row r="452" spans="1:26" s="144" customFormat="1" ht="12.75" customHeight="1" thickBot="1" x14ac:dyDescent="0.4">
      <c r="A452" s="91"/>
      <c r="B452" s="94"/>
      <c r="O452" s="428"/>
      <c r="P452" s="94"/>
      <c r="Q452" s="93"/>
      <c r="R452" s="91"/>
      <c r="S452" s="91"/>
      <c r="T452" s="712"/>
      <c r="U452" s="91"/>
      <c r="V452" s="91"/>
      <c r="W452" s="91"/>
      <c r="X452" s="91"/>
      <c r="Y452" s="91"/>
      <c r="Z452" s="91"/>
    </row>
    <row r="453" spans="1:26" s="144" customFormat="1" ht="12.75" customHeight="1" thickBot="1" x14ac:dyDescent="0.4">
      <c r="A453" s="91"/>
      <c r="B453" s="946"/>
      <c r="C453" s="145"/>
      <c r="D453" s="145"/>
      <c r="E453" s="145"/>
      <c r="F453" s="145"/>
      <c r="G453" s="145"/>
      <c r="H453" s="145"/>
      <c r="I453" s="145"/>
      <c r="J453" s="145"/>
      <c r="K453" s="145"/>
      <c r="L453" s="145"/>
      <c r="M453" s="145"/>
      <c r="N453" s="145"/>
      <c r="O453" s="947"/>
      <c r="P453" s="94"/>
      <c r="Q453" s="93"/>
      <c r="R453" s="91"/>
      <c r="S453" s="91"/>
      <c r="T453" s="712"/>
      <c r="U453" s="91"/>
      <c r="V453" s="91"/>
      <c r="W453" s="91"/>
      <c r="X453" s="91"/>
      <c r="Y453" s="91"/>
      <c r="Z453" s="91"/>
    </row>
    <row r="454" spans="1:26" ht="18" customHeight="1" thickBot="1" x14ac:dyDescent="0.4">
      <c r="B454" s="94"/>
      <c r="C454" s="147">
        <f>C410+1</f>
        <v>11</v>
      </c>
      <c r="D454" s="944" t="str">
        <f>CONST_PurchPrecursor &amp; " " &amp; C454 &amp; ":"</f>
        <v>Purchased precursor 11:</v>
      </c>
      <c r="E454" s="144"/>
      <c r="F454" s="144"/>
      <c r="G454" s="1313" t="str">
        <f>IF(INDEX(CNTR_List_ExistPurchPrecNames,MATCH(R454,CNTR_ListPurchPrecID,0))=CONST_NA,"",INDEX(CNTR_List_ExistPurchPrecNames,MATCH(R454,CNTR_ListPurchPrecID,0)))</f>
        <v/>
      </c>
      <c r="H454" s="1314"/>
      <c r="I454" s="1314"/>
      <c r="J454" s="1314"/>
      <c r="K454" s="1315"/>
      <c r="L454" s="1316" t="str">
        <f>IF(INDEX(CNTR_List_ExistPurchPrec,MATCH(R454,CNTR_ListPurchPrecID,0))=CONST_NA,"",INDEX(CNTR_List_ExistPurchPrec,MATCH(R454,CNTR_ListPurchPrecID,0)))</f>
        <v/>
      </c>
      <c r="M454" s="1317"/>
      <c r="N454" s="1318"/>
      <c r="O454" s="428"/>
      <c r="R454" s="149" t="str">
        <f>INDEX(CNTR_ListPurchPrecID,C454)</f>
        <v>PP11</v>
      </c>
      <c r="Y454" s="104" t="s">
        <v>2748</v>
      </c>
      <c r="Z454" s="150" t="b">
        <f>AND(CNTR_HasEntriesA,G454="")</f>
        <v>0</v>
      </c>
    </row>
    <row r="455" spans="1:26" ht="26.5" customHeight="1" x14ac:dyDescent="0.35">
      <c r="B455" s="94"/>
      <c r="C455" s="144"/>
      <c r="D455" s="914"/>
      <c r="E455" s="1325" t="str">
        <f ca="1">HYPERLINK("#"&amp;ADDRESS(MATCH($S455,G_FurtherGuidance!$S:$S,0),3,,,G_FurtherGuidance!$U$2),CONST_LinkToGuidanceSheet)</f>
        <v>Please click on this link for further guidance on how to complete this section.</v>
      </c>
      <c r="F455" s="1326"/>
      <c r="G455" s="1326"/>
      <c r="H455" s="1326"/>
      <c r="I455" s="1326"/>
      <c r="J455" s="1326"/>
      <c r="K455" s="1326"/>
      <c r="L455" s="1326"/>
      <c r="M455" s="1326"/>
      <c r="N455" s="144"/>
      <c r="O455" s="428"/>
      <c r="R455" s="104" t="s">
        <v>2771</v>
      </c>
      <c r="S455" s="105">
        <v>4</v>
      </c>
      <c r="Y455" s="104"/>
    </row>
    <row r="456" spans="1:26" ht="12.75" customHeight="1" x14ac:dyDescent="0.35">
      <c r="B456" s="94"/>
      <c r="C456" s="144"/>
      <c r="D456" s="168" t="s">
        <v>135</v>
      </c>
      <c r="E456" s="167" t="str">
        <f>Translations!$B$276</f>
        <v>Total purchased levels:</v>
      </c>
      <c r="F456" s="144"/>
      <c r="G456" s="144"/>
      <c r="H456" s="151" t="str">
        <f>Translations!$B$244</f>
        <v>Production route</v>
      </c>
      <c r="I456" s="144"/>
      <c r="J456" s="144"/>
      <c r="K456" s="152" t="str">
        <f>Translations!$B$221</f>
        <v>Unit</v>
      </c>
      <c r="L456" s="152" t="str">
        <f>Translations!$B$245</f>
        <v>Amounts</v>
      </c>
      <c r="M456" s="144"/>
      <c r="N456" s="144"/>
      <c r="O456" s="428"/>
      <c r="Y456" s="91" t="s">
        <v>4077</v>
      </c>
    </row>
    <row r="457" spans="1:26" ht="12.75" customHeight="1" x14ac:dyDescent="0.35">
      <c r="B457" s="94"/>
      <c r="C457" s="144"/>
      <c r="D457" s="173">
        <v>1</v>
      </c>
      <c r="E457" s="153" t="str">
        <f>IF(G454="","",G454) &amp; IF(L454="",""," | " &amp; L454)</f>
        <v/>
      </c>
      <c r="F457" s="153"/>
      <c r="G457" s="153"/>
      <c r="H457" s="154" t="str">
        <f>IF(L454="","",INDEX(CONST_MATRIX_ProductionRoute,MATCH(L454,CONST_LIST_Goods,0),D457))</f>
        <v/>
      </c>
      <c r="I457" s="153"/>
      <c r="J457" s="153"/>
      <c r="K457" s="155" t="str">
        <f>IF(L454="","",INDEX(CONST_LIST_GoodsUnit,MATCH(L454,CONST_LIST_Goods,0)))</f>
        <v/>
      </c>
      <c r="L457" s="29"/>
      <c r="M457" s="144"/>
      <c r="N457" s="144"/>
      <c r="O457" s="945"/>
      <c r="S457" s="105">
        <v>1</v>
      </c>
      <c r="V457" s="105" t="str">
        <f>IF(AND(Y457=FALSE,ISNUMBER(L457)),TRUE,IF(Y457=FALSE,CONST_ErrorOrMissing&amp;C454,CONST_NA))</f>
        <v>n.a.</v>
      </c>
      <c r="Y457" s="105" t="str">
        <f>IF(OR(H457="",H457=CONST_NA),"",IF(H457=CONST_AllProdRoutes,FALSE, COUNTIF(INDEX(CNTR_MatrixPurchPrecRoutes,C454,),S457)=0))</f>
        <v/>
      </c>
    </row>
    <row r="458" spans="1:26" ht="12.75" customHeight="1" x14ac:dyDescent="0.35">
      <c r="B458" s="94"/>
      <c r="C458" s="144"/>
      <c r="D458" s="173">
        <v>2</v>
      </c>
      <c r="E458" s="158" t="str">
        <f t="shared" ref="E458:E464" si="50">IF(H458=CONST_NA,"",E457)</f>
        <v/>
      </c>
      <c r="F458" s="158"/>
      <c r="G458" s="158"/>
      <c r="H458" s="159" t="str">
        <f>IF(L454="","",INDEX(CONST_MATRIX_ProductionRoute,MATCH(L454,CONST_LIST_Goods,0),D458))</f>
        <v/>
      </c>
      <c r="I458" s="158"/>
      <c r="J458" s="158"/>
      <c r="K458" s="160" t="str">
        <f t="shared" ref="K458:K464" si="51">IF(H458=CONST_NA,"",K457)</f>
        <v/>
      </c>
      <c r="L458" s="30"/>
      <c r="M458" s="144"/>
      <c r="N458" s="144"/>
      <c r="O458" s="945"/>
      <c r="S458" s="105">
        <v>2</v>
      </c>
      <c r="V458" s="105" t="str">
        <f>IF(AND(Y458=FALSE,ISNUMBER(L458)),TRUE,IF(Y458=FALSE,CONST_ErrorOrMissing&amp;C454,CONST_NA))</f>
        <v>n.a.</v>
      </c>
      <c r="Y458" s="105" t="str">
        <f>IF(OR(H458="",H458=CONST_NA),"",IF(H458=CONST_AllProdRoutes,FALSE, COUNTIF(INDEX(CNTR_MatrixPurchPrecRoutes,C454,),S458)=0))</f>
        <v/>
      </c>
    </row>
    <row r="459" spans="1:26" ht="12.75" customHeight="1" x14ac:dyDescent="0.35">
      <c r="B459" s="94"/>
      <c r="C459" s="144"/>
      <c r="D459" s="173">
        <v>3</v>
      </c>
      <c r="E459" s="158" t="str">
        <f t="shared" si="50"/>
        <v/>
      </c>
      <c r="F459" s="158"/>
      <c r="G459" s="158"/>
      <c r="H459" s="159" t="str">
        <f>IF(L454="","",INDEX(CONST_MATRIX_ProductionRoute,MATCH(L454,CONST_LIST_Goods,0),D459))</f>
        <v/>
      </c>
      <c r="I459" s="158"/>
      <c r="J459" s="158"/>
      <c r="K459" s="160" t="str">
        <f t="shared" si="51"/>
        <v/>
      </c>
      <c r="L459" s="30"/>
      <c r="M459" s="144"/>
      <c r="N459" s="144"/>
      <c r="O459" s="945"/>
      <c r="S459" s="105">
        <v>3</v>
      </c>
      <c r="V459" s="105" t="str">
        <f>IF(AND(Y459=FALSE,ISNUMBER(L459)),TRUE,IF(Y459=FALSE,CONST_ErrorOrMissing&amp;C454,CONST_NA))</f>
        <v>n.a.</v>
      </c>
      <c r="Y459" s="105" t="str">
        <f>IF(OR(H459="",H459=CONST_NA),"",IF(H459=CONST_AllProdRoutes,FALSE, COUNTIF(INDEX(CNTR_MatrixPurchPrecRoutes,C454,),S459)=0))</f>
        <v/>
      </c>
    </row>
    <row r="460" spans="1:26" ht="12.75" customHeight="1" x14ac:dyDescent="0.35">
      <c r="B460" s="94"/>
      <c r="C460" s="144"/>
      <c r="D460" s="173">
        <v>4</v>
      </c>
      <c r="E460" s="158" t="str">
        <f t="shared" si="50"/>
        <v/>
      </c>
      <c r="F460" s="158"/>
      <c r="G460" s="158"/>
      <c r="H460" s="159" t="str">
        <f>IF(L454="","",INDEX(CONST_MATRIX_ProductionRoute,MATCH(L454,CONST_LIST_Goods,0),D460))</f>
        <v/>
      </c>
      <c r="I460" s="158"/>
      <c r="J460" s="158"/>
      <c r="K460" s="160" t="str">
        <f t="shared" si="51"/>
        <v/>
      </c>
      <c r="L460" s="30"/>
      <c r="M460" s="144"/>
      <c r="N460" s="144"/>
      <c r="O460" s="945"/>
      <c r="S460" s="105">
        <v>4</v>
      </c>
      <c r="V460" s="105" t="str">
        <f>IF(AND(Y460=FALSE,ISNUMBER(L460)),TRUE,IF(Y460=FALSE,CONST_ErrorOrMissing&amp;C454,CONST_NA))</f>
        <v>n.a.</v>
      </c>
      <c r="Y460" s="105" t="str">
        <f>IF(OR(H460="",H460=CONST_NA),"",IF(H460=CONST_AllProdRoutes,FALSE, COUNTIF(INDEX(CNTR_MatrixPurchPrecRoutes,C454,),S460)=0))</f>
        <v/>
      </c>
    </row>
    <row r="461" spans="1:26" ht="12.75" customHeight="1" x14ac:dyDescent="0.35">
      <c r="B461" s="94"/>
      <c r="C461" s="144"/>
      <c r="D461" s="173">
        <v>5</v>
      </c>
      <c r="E461" s="158" t="str">
        <f t="shared" si="50"/>
        <v/>
      </c>
      <c r="F461" s="158"/>
      <c r="G461" s="158"/>
      <c r="H461" s="159" t="str">
        <f>IF(L454="","",INDEX(CONST_MATRIX_ProductionRoute,MATCH(L454,CONST_LIST_Goods,0),D461))</f>
        <v/>
      </c>
      <c r="I461" s="158"/>
      <c r="J461" s="158"/>
      <c r="K461" s="160" t="str">
        <f t="shared" si="51"/>
        <v/>
      </c>
      <c r="L461" s="30"/>
      <c r="M461" s="144"/>
      <c r="N461" s="144"/>
      <c r="O461" s="945"/>
      <c r="S461" s="105">
        <v>5</v>
      </c>
      <c r="V461" s="105" t="str">
        <f>IF(AND(Y461=FALSE,ISNUMBER(L461)),TRUE,IF(Y461=FALSE,CONST_ErrorOrMissing&amp;C454,CONST_NA))</f>
        <v>n.a.</v>
      </c>
      <c r="Y461" s="105" t="str">
        <f>IF(OR(H461="",H461=CONST_NA),"",IF(H461=CONST_AllProdRoutes,FALSE, COUNTIF(INDEX(CNTR_MatrixPurchPrecRoutes,C454,),S461)=0))</f>
        <v/>
      </c>
    </row>
    <row r="462" spans="1:26" ht="12.75" customHeight="1" x14ac:dyDescent="0.35">
      <c r="B462" s="94"/>
      <c r="C462" s="144"/>
      <c r="D462" s="173">
        <v>6</v>
      </c>
      <c r="E462" s="158" t="str">
        <f t="shared" si="50"/>
        <v/>
      </c>
      <c r="F462" s="158"/>
      <c r="G462" s="158"/>
      <c r="H462" s="159" t="str">
        <f>IF(L454="","",INDEX(CONST_MATRIX_ProductionRoute,MATCH(L454,CONST_LIST_Goods,0),D462))</f>
        <v/>
      </c>
      <c r="I462" s="158"/>
      <c r="J462" s="158"/>
      <c r="K462" s="160" t="str">
        <f t="shared" si="51"/>
        <v/>
      </c>
      <c r="L462" s="30"/>
      <c r="M462" s="144"/>
      <c r="N462" s="144"/>
      <c r="O462" s="945"/>
      <c r="S462" s="105">
        <v>6</v>
      </c>
      <c r="V462" s="105" t="str">
        <f>IF(AND(Y462=FALSE,ISNUMBER(L462)),TRUE,IF(Y462=FALSE,CONST_ErrorOrMissing&amp;C454,CONST_NA))</f>
        <v>n.a.</v>
      </c>
      <c r="Y462" s="105" t="str">
        <f>IF(OR(H462="",H462=CONST_NA),"",IF(H462=CONST_AllProdRoutes,FALSE, COUNTIF(INDEX(CNTR_MatrixPurchPrecRoutes,C454,),S462)=0))</f>
        <v/>
      </c>
    </row>
    <row r="463" spans="1:26" ht="12.75" customHeight="1" x14ac:dyDescent="0.35">
      <c r="B463" s="94"/>
      <c r="C463" s="144"/>
      <c r="D463" s="173">
        <v>7</v>
      </c>
      <c r="E463" s="158" t="str">
        <f t="shared" si="50"/>
        <v/>
      </c>
      <c r="F463" s="158"/>
      <c r="G463" s="158"/>
      <c r="H463" s="159" t="str">
        <f>IF(L454="","",INDEX(CONST_MATRIX_ProductionRoute,MATCH(L454,CONST_LIST_Goods,0),D463))</f>
        <v/>
      </c>
      <c r="I463" s="158"/>
      <c r="J463" s="158"/>
      <c r="K463" s="160" t="str">
        <f t="shared" si="51"/>
        <v/>
      </c>
      <c r="L463" s="30"/>
      <c r="M463" s="144"/>
      <c r="N463" s="144"/>
      <c r="O463" s="945"/>
      <c r="S463" s="105">
        <v>7</v>
      </c>
      <c r="V463" s="105" t="str">
        <f>IF(AND(Y463=FALSE,ISNUMBER(L463)),TRUE,IF(Y463=FALSE,CONST_ErrorOrMissing&amp;C454,CONST_NA))</f>
        <v>n.a.</v>
      </c>
      <c r="Y463" s="105" t="str">
        <f>IF(OR(H463="",H463=CONST_NA),"",IF(H463=CONST_AllProdRoutes,FALSE, COUNTIF(INDEX(CNTR_MatrixPurchPrecRoutes,C454,),S463)=0))</f>
        <v/>
      </c>
    </row>
    <row r="464" spans="1:26" ht="12.75" customHeight="1" x14ac:dyDescent="0.35">
      <c r="B464" s="94"/>
      <c r="C464" s="144"/>
      <c r="D464" s="173">
        <v>8</v>
      </c>
      <c r="E464" s="161" t="str">
        <f t="shared" si="50"/>
        <v/>
      </c>
      <c r="F464" s="161"/>
      <c r="G464" s="161"/>
      <c r="H464" s="162" t="str">
        <f>IF(L454="","",INDEX(CONST_MATRIX_ProductionRoute,MATCH(L454,CONST_LIST_Goods,0),D464))</f>
        <v/>
      </c>
      <c r="I464" s="161"/>
      <c r="J464" s="161"/>
      <c r="K464" s="163" t="str">
        <f t="shared" si="51"/>
        <v/>
      </c>
      <c r="L464" s="31"/>
      <c r="M464" s="144"/>
      <c r="N464" s="144"/>
      <c r="O464" s="945"/>
      <c r="S464" s="105">
        <v>8</v>
      </c>
      <c r="V464" s="105" t="str">
        <f>IF(AND(Y464=FALSE,ISNUMBER(L464)),TRUE,IF(Y464=FALSE,CONST_ErrorOrMissing&amp;C454,CONST_NA))</f>
        <v>n.a.</v>
      </c>
      <c r="Y464" s="105" t="str">
        <f>IF(OR(H464="",H464=CONST_NA),"",IF(H464=CONST_AllProdRoutes,FALSE, COUNTIF(INDEX(CNTR_MatrixPurchPrecRoutes,C454,),S464)=0))</f>
        <v/>
      </c>
    </row>
    <row r="465" spans="1:26" ht="12.75" customHeight="1" x14ac:dyDescent="0.35">
      <c r="B465" s="94"/>
      <c r="C465" s="144"/>
      <c r="D465" s="914"/>
      <c r="E465" s="138" t="str">
        <f>Translations!$B$1966</f>
        <v>Total purchase for possible consumption within installation:</v>
      </c>
      <c r="F465" s="138"/>
      <c r="G465" s="138"/>
      <c r="H465" s="164"/>
      <c r="I465" s="138"/>
      <c r="J465" s="138"/>
      <c r="K465" s="169" t="str">
        <f>K457</f>
        <v/>
      </c>
      <c r="L465" s="386" t="str">
        <f>IF(G454="","",SUM(L457:L464))</f>
        <v/>
      </c>
      <c r="M465" s="144"/>
      <c r="N465" s="144"/>
      <c r="O465" s="428"/>
      <c r="R465" s="102" t="str">
        <f>CONST_CNTR_TotProd&amp;G454</f>
        <v>TotProd_</v>
      </c>
      <c r="T465" s="216" t="str">
        <f>IF(G454="","",IF(SUM(L465)=0,100,L465))</f>
        <v/>
      </c>
      <c r="V465" s="123"/>
    </row>
    <row r="466" spans="1:26" s="144" customFormat="1" ht="5.15" customHeight="1" x14ac:dyDescent="0.35">
      <c r="A466" s="91"/>
      <c r="B466" s="94"/>
      <c r="D466" s="166"/>
      <c r="E466" s="167"/>
      <c r="O466" s="428"/>
      <c r="P466" s="94"/>
      <c r="Q466" s="93"/>
      <c r="R466" s="91"/>
      <c r="S466" s="91"/>
      <c r="T466" s="712"/>
      <c r="U466" s="91"/>
      <c r="V466" s="123"/>
      <c r="W466" s="91"/>
      <c r="X466" s="91"/>
      <c r="Y466" s="91"/>
      <c r="Z466" s="91"/>
    </row>
    <row r="467" spans="1:26" s="144" customFormat="1" ht="12.75" customHeight="1" x14ac:dyDescent="0.35">
      <c r="A467" s="91"/>
      <c r="B467" s="94"/>
      <c r="D467" s="168" t="s">
        <v>48</v>
      </c>
      <c r="E467" s="167" t="str">
        <f>Translations!$B$1967</f>
        <v>Consumed in 'production processes' within the installation:</v>
      </c>
      <c r="F467" s="167"/>
      <c r="G467" s="167"/>
      <c r="H467" s="167"/>
      <c r="I467" s="167"/>
      <c r="J467" s="167"/>
      <c r="K467" s="168" t="str">
        <f>Translations!$B$221</f>
        <v>Unit</v>
      </c>
      <c r="L467" s="168" t="str">
        <f>Translations!$B$245</f>
        <v>Amounts</v>
      </c>
      <c r="O467" s="428"/>
      <c r="P467" s="94"/>
      <c r="Q467" s="93"/>
      <c r="R467" s="91"/>
      <c r="S467" s="123" t="s">
        <v>195</v>
      </c>
      <c r="T467" s="712"/>
      <c r="U467" s="91"/>
      <c r="V467" s="123"/>
      <c r="W467" s="91"/>
      <c r="X467" s="91"/>
      <c r="Y467" s="91"/>
      <c r="Z467" s="91"/>
    </row>
    <row r="468" spans="1:26" s="144" customFormat="1" ht="12.75" customHeight="1" x14ac:dyDescent="0.35">
      <c r="A468" s="91"/>
      <c r="B468" s="94"/>
      <c r="D468" s="173">
        <v>1</v>
      </c>
      <c r="E468" s="174" t="str">
        <f t="shared" ref="E468:E477" si="52">IF(INDEX(CNTR_List_ExistProdProcNames,S468)=CONST_NA,"",INDEX(CNTR_List_ExistProdProcNames,S468))</f>
        <v/>
      </c>
      <c r="F468" s="175"/>
      <c r="G468" s="175"/>
      <c r="H468" s="175"/>
      <c r="I468" s="175"/>
      <c r="J468" s="176"/>
      <c r="K468" s="155" t="str">
        <f>IF(E468="","",K465)</f>
        <v/>
      </c>
      <c r="L468" s="29"/>
      <c r="O468" s="945"/>
      <c r="P468" s="94"/>
      <c r="Q468" s="93"/>
      <c r="R468" s="102" t="str">
        <f>CONST_PrecursorToGoodInput&amp;G454 &amp;"_"&amp;E468</f>
        <v>PrecToGood__</v>
      </c>
      <c r="S468" s="105">
        <f>D468</f>
        <v>1</v>
      </c>
      <c r="T468" s="124" t="str">
        <f>IF(G454="","",L468)</f>
        <v/>
      </c>
      <c r="U468" s="91"/>
      <c r="V468" s="105" t="str">
        <f>IF(AND(G454&lt;&gt;"",E468&lt;&gt;"",L468&lt;&gt;""),TRUE,IF(AND(G454&lt;&gt;"",E468&lt;&gt;"",L468="",Z468=FALSE),CONST_ErrorOrMissing&amp;C454,CONST_NA))</f>
        <v>n.a.</v>
      </c>
      <c r="W468" s="172"/>
      <c r="X468" s="172"/>
      <c r="Y468" s="91" t="s">
        <v>34</v>
      </c>
      <c r="Z468" s="102" t="b">
        <f>IF(G454="",FALSE,E468="")</f>
        <v>0</v>
      </c>
    </row>
    <row r="469" spans="1:26" s="144" customFormat="1" ht="12.75" customHeight="1" x14ac:dyDescent="0.35">
      <c r="A469" s="91"/>
      <c r="B469" s="94"/>
      <c r="D469" s="173">
        <v>2</v>
      </c>
      <c r="E469" s="177" t="str">
        <f t="shared" si="52"/>
        <v/>
      </c>
      <c r="F469" s="178"/>
      <c r="G469" s="178"/>
      <c r="H469" s="178"/>
      <c r="I469" s="178"/>
      <c r="J469" s="179"/>
      <c r="K469" s="160" t="str">
        <f>IF(E469="","",K468)</f>
        <v/>
      </c>
      <c r="L469" s="30"/>
      <c r="O469" s="945"/>
      <c r="P469" s="94"/>
      <c r="Q469" s="93"/>
      <c r="R469" s="102" t="str">
        <f>CONST_PrecursorToGoodInput&amp;G454 &amp;"_"&amp;E469</f>
        <v>PrecToGood__</v>
      </c>
      <c r="S469" s="105">
        <f t="shared" ref="S469:S477" si="53">D469</f>
        <v>2</v>
      </c>
      <c r="T469" s="124" t="str">
        <f>IF(G454="","",L469)</f>
        <v/>
      </c>
      <c r="U469" s="91"/>
      <c r="V469" s="105" t="str">
        <f>IF(AND(G454&lt;&gt;"",E469&lt;&gt;"",L469&lt;&gt;""),TRUE,IF(AND(G454&lt;&gt;"",E469&lt;&gt;"",L469="",Z469=FALSE),CONST_ErrorOrMissing&amp;C454,CONST_NA))</f>
        <v>n.a.</v>
      </c>
      <c r="W469" s="172"/>
      <c r="X469" s="172"/>
      <c r="Y469" s="91"/>
      <c r="Z469" s="102" t="b">
        <f>IF(G454="",FALSE,E469="")</f>
        <v>0</v>
      </c>
    </row>
    <row r="470" spans="1:26" s="144" customFormat="1" ht="12.75" customHeight="1" x14ac:dyDescent="0.35">
      <c r="A470" s="91"/>
      <c r="B470" s="94"/>
      <c r="D470" s="173">
        <v>3</v>
      </c>
      <c r="E470" s="177" t="str">
        <f t="shared" si="52"/>
        <v/>
      </c>
      <c r="F470" s="178"/>
      <c r="G470" s="178"/>
      <c r="H470" s="178"/>
      <c r="I470" s="178"/>
      <c r="J470" s="179"/>
      <c r="K470" s="160" t="str">
        <f t="shared" ref="K470:K477" si="54">IF(E470="","",K469)</f>
        <v/>
      </c>
      <c r="L470" s="30"/>
      <c r="O470" s="945"/>
      <c r="P470" s="94"/>
      <c r="Q470" s="93"/>
      <c r="R470" s="102" t="str">
        <f>CONST_PrecursorToGoodInput&amp;G454 &amp;"_"&amp;E470</f>
        <v>PrecToGood__</v>
      </c>
      <c r="S470" s="105">
        <f t="shared" si="53"/>
        <v>3</v>
      </c>
      <c r="T470" s="124" t="str">
        <f>IF(G454="","",L470)</f>
        <v/>
      </c>
      <c r="U470" s="91"/>
      <c r="V470" s="105" t="str">
        <f>IF(AND(G454&lt;&gt;"",E470&lt;&gt;"",L470&lt;&gt;""),TRUE,IF(AND(G454&lt;&gt;"",E470&lt;&gt;"",L470="",Z470=FALSE),CONST_ErrorOrMissing&amp;C454,CONST_NA))</f>
        <v>n.a.</v>
      </c>
      <c r="W470" s="172"/>
      <c r="X470" s="172"/>
      <c r="Y470" s="91"/>
      <c r="Z470" s="102" t="b">
        <f>IF(G454="",FALSE,E470="")</f>
        <v>0</v>
      </c>
    </row>
    <row r="471" spans="1:26" s="144" customFormat="1" ht="12.75" customHeight="1" x14ac:dyDescent="0.35">
      <c r="A471" s="91"/>
      <c r="B471" s="94"/>
      <c r="D471" s="173">
        <v>4</v>
      </c>
      <c r="E471" s="177" t="str">
        <f t="shared" si="52"/>
        <v/>
      </c>
      <c r="F471" s="178"/>
      <c r="G471" s="178"/>
      <c r="H471" s="178"/>
      <c r="I471" s="178"/>
      <c r="J471" s="179"/>
      <c r="K471" s="160" t="str">
        <f t="shared" si="54"/>
        <v/>
      </c>
      <c r="L471" s="30"/>
      <c r="O471" s="945"/>
      <c r="P471" s="94"/>
      <c r="Q471" s="93"/>
      <c r="R471" s="102" t="str">
        <f>CONST_PrecursorToGoodInput&amp;G454 &amp;"_"&amp;E471</f>
        <v>PrecToGood__</v>
      </c>
      <c r="S471" s="105">
        <f t="shared" si="53"/>
        <v>4</v>
      </c>
      <c r="T471" s="124" t="str">
        <f>IF(G454="","",L471)</f>
        <v/>
      </c>
      <c r="U471" s="91"/>
      <c r="V471" s="105" t="str">
        <f>IF(AND(G454&lt;&gt;"",E471&lt;&gt;"",L471&lt;&gt;""),TRUE,IF(AND(G454&lt;&gt;"",E471&lt;&gt;"",L471="",Z471=FALSE),CONST_ErrorOrMissing&amp;C454,CONST_NA))</f>
        <v>n.a.</v>
      </c>
      <c r="W471" s="172"/>
      <c r="X471" s="172"/>
      <c r="Y471" s="91"/>
      <c r="Z471" s="102" t="b">
        <f>IF(G454="",FALSE,E471="")</f>
        <v>0</v>
      </c>
    </row>
    <row r="472" spans="1:26" s="144" customFormat="1" ht="12.75" customHeight="1" x14ac:dyDescent="0.35">
      <c r="A472" s="91"/>
      <c r="B472" s="94"/>
      <c r="D472" s="173">
        <v>5</v>
      </c>
      <c r="E472" s="180" t="str">
        <f t="shared" si="52"/>
        <v/>
      </c>
      <c r="F472" s="181"/>
      <c r="G472" s="181"/>
      <c r="H472" s="181"/>
      <c r="I472" s="181"/>
      <c r="J472" s="182"/>
      <c r="K472" s="183" t="str">
        <f t="shared" si="54"/>
        <v/>
      </c>
      <c r="L472" s="212"/>
      <c r="O472" s="945"/>
      <c r="P472" s="94"/>
      <c r="Q472" s="93"/>
      <c r="R472" s="102" t="str">
        <f>CONST_PrecursorToGoodInput&amp;G454 &amp;"_"&amp;E472</f>
        <v>PrecToGood__</v>
      </c>
      <c r="S472" s="105">
        <f t="shared" si="53"/>
        <v>5</v>
      </c>
      <c r="T472" s="124" t="str">
        <f>IF(G454="","",L472)</f>
        <v/>
      </c>
      <c r="U472" s="91"/>
      <c r="V472" s="105" t="str">
        <f>IF(AND(G454&lt;&gt;"",E472&lt;&gt;"",L472&lt;&gt;""),TRUE,IF(AND(G454&lt;&gt;"",E472&lt;&gt;"",L472="",Z472=FALSE),CONST_ErrorOrMissing&amp;C454,CONST_NA))</f>
        <v>n.a.</v>
      </c>
      <c r="W472" s="172"/>
      <c r="X472" s="172"/>
      <c r="Y472" s="91"/>
      <c r="Z472" s="102" t="b">
        <f>IF(G454="",FALSE,E472="")</f>
        <v>0</v>
      </c>
    </row>
    <row r="473" spans="1:26" s="144" customFormat="1" ht="12.75" customHeight="1" x14ac:dyDescent="0.35">
      <c r="A473" s="91"/>
      <c r="B473" s="94"/>
      <c r="D473" s="173">
        <v>6</v>
      </c>
      <c r="E473" s="180" t="str">
        <f t="shared" si="52"/>
        <v/>
      </c>
      <c r="F473" s="181"/>
      <c r="G473" s="181"/>
      <c r="H473" s="181"/>
      <c r="I473" s="181"/>
      <c r="J473" s="182"/>
      <c r="K473" s="183" t="str">
        <f t="shared" si="54"/>
        <v/>
      </c>
      <c r="L473" s="212"/>
      <c r="O473" s="945"/>
      <c r="P473" s="94"/>
      <c r="Q473" s="93"/>
      <c r="R473" s="102" t="str">
        <f>CONST_PrecursorToGoodInput&amp;G454 &amp;"_"&amp;E473</f>
        <v>PrecToGood__</v>
      </c>
      <c r="S473" s="105">
        <f t="shared" si="53"/>
        <v>6</v>
      </c>
      <c r="T473" s="124" t="str">
        <f>IF(G454="","",L473)</f>
        <v/>
      </c>
      <c r="U473" s="91"/>
      <c r="V473" s="105" t="str">
        <f>IF(AND(G454&lt;&gt;"",E473&lt;&gt;"",L473&lt;&gt;""),TRUE,IF(AND(G454&lt;&gt;"",E473&lt;&gt;"",L473="",Z473=FALSE),CONST_ErrorOrMissing&amp;C454,CONST_NA))</f>
        <v>n.a.</v>
      </c>
      <c r="W473" s="172"/>
      <c r="X473" s="172"/>
      <c r="Y473" s="91"/>
      <c r="Z473" s="102" t="b">
        <f>IF(G454="",FALSE,E473="")</f>
        <v>0</v>
      </c>
    </row>
    <row r="474" spans="1:26" s="144" customFormat="1" ht="12.75" customHeight="1" x14ac:dyDescent="0.35">
      <c r="A474" s="91"/>
      <c r="B474" s="94"/>
      <c r="D474" s="173">
        <v>7</v>
      </c>
      <c r="E474" s="180" t="str">
        <f t="shared" si="52"/>
        <v/>
      </c>
      <c r="F474" s="181"/>
      <c r="G474" s="181"/>
      <c r="H474" s="181"/>
      <c r="I474" s="181"/>
      <c r="J474" s="182"/>
      <c r="K474" s="183" t="str">
        <f t="shared" si="54"/>
        <v/>
      </c>
      <c r="L474" s="212"/>
      <c r="O474" s="945"/>
      <c r="P474" s="94"/>
      <c r="Q474" s="93"/>
      <c r="R474" s="102" t="str">
        <f>CONST_PrecursorToGoodInput&amp;G454 &amp;"_"&amp;E474</f>
        <v>PrecToGood__</v>
      </c>
      <c r="S474" s="105">
        <f t="shared" si="53"/>
        <v>7</v>
      </c>
      <c r="T474" s="124" t="str">
        <f>IF(G454="","",L474)</f>
        <v/>
      </c>
      <c r="U474" s="91"/>
      <c r="V474" s="105" t="str">
        <f>IF(AND(G454&lt;&gt;"",E474&lt;&gt;"",L474&lt;&gt;""),TRUE,IF(AND(G454&lt;&gt;"",E474&lt;&gt;"",L474="",Z474=FALSE),CONST_ErrorOrMissing&amp;C454,CONST_NA))</f>
        <v>n.a.</v>
      </c>
      <c r="W474" s="172"/>
      <c r="X474" s="172"/>
      <c r="Y474" s="91"/>
      <c r="Z474" s="102" t="b">
        <f>IF(G454="",FALSE,E474="")</f>
        <v>0</v>
      </c>
    </row>
    <row r="475" spans="1:26" s="144" customFormat="1" ht="12.75" customHeight="1" x14ac:dyDescent="0.35">
      <c r="A475" s="91"/>
      <c r="B475" s="94"/>
      <c r="D475" s="173">
        <v>8</v>
      </c>
      <c r="E475" s="180" t="str">
        <f t="shared" si="52"/>
        <v/>
      </c>
      <c r="F475" s="181"/>
      <c r="G475" s="181"/>
      <c r="H475" s="181"/>
      <c r="I475" s="181"/>
      <c r="J475" s="182"/>
      <c r="K475" s="183" t="str">
        <f t="shared" si="54"/>
        <v/>
      </c>
      <c r="L475" s="212"/>
      <c r="O475" s="945"/>
      <c r="P475" s="94"/>
      <c r="Q475" s="93"/>
      <c r="R475" s="102" t="str">
        <f>CONST_PrecursorToGoodInput&amp;G454 &amp;"_"&amp;E475</f>
        <v>PrecToGood__</v>
      </c>
      <c r="S475" s="105">
        <f t="shared" si="53"/>
        <v>8</v>
      </c>
      <c r="T475" s="124" t="str">
        <f>IF(G454="","",L475)</f>
        <v/>
      </c>
      <c r="U475" s="91"/>
      <c r="V475" s="105" t="str">
        <f>IF(AND(G454&lt;&gt;"",E475&lt;&gt;"",L475&lt;&gt;""),TRUE,IF(AND(G454&lt;&gt;"",E475&lt;&gt;"",L475="",Z475=FALSE),CONST_ErrorOrMissing&amp;C454,CONST_NA))</f>
        <v>n.a.</v>
      </c>
      <c r="W475" s="172"/>
      <c r="X475" s="172"/>
      <c r="Y475" s="91"/>
      <c r="Z475" s="102" t="b">
        <f>IF(G454="",FALSE,E475="")</f>
        <v>0</v>
      </c>
    </row>
    <row r="476" spans="1:26" s="144" customFormat="1" ht="12.75" customHeight="1" x14ac:dyDescent="0.35">
      <c r="A476" s="91"/>
      <c r="B476" s="94"/>
      <c r="D476" s="173">
        <v>9</v>
      </c>
      <c r="E476" s="180" t="str">
        <f t="shared" si="52"/>
        <v/>
      </c>
      <c r="F476" s="181"/>
      <c r="G476" s="181"/>
      <c r="H476" s="181"/>
      <c r="I476" s="181"/>
      <c r="J476" s="182"/>
      <c r="K476" s="183" t="str">
        <f t="shared" si="54"/>
        <v/>
      </c>
      <c r="L476" s="212"/>
      <c r="O476" s="945"/>
      <c r="P476" s="94"/>
      <c r="Q476" s="93"/>
      <c r="R476" s="102" t="str">
        <f>CONST_PrecursorToGoodInput&amp;G454 &amp;"_"&amp;E476</f>
        <v>PrecToGood__</v>
      </c>
      <c r="S476" s="105">
        <f t="shared" si="53"/>
        <v>9</v>
      </c>
      <c r="T476" s="124" t="str">
        <f>IF(G454="","",L476)</f>
        <v/>
      </c>
      <c r="U476" s="91"/>
      <c r="V476" s="105" t="str">
        <f>IF(AND(G454&lt;&gt;"",E476&lt;&gt;"",L476&lt;&gt;""),TRUE,IF(AND(G454&lt;&gt;"",E476&lt;&gt;"",L476="",Z476=FALSE),CONST_ErrorOrMissing&amp;C454,CONST_NA))</f>
        <v>n.a.</v>
      </c>
      <c r="W476" s="172"/>
      <c r="X476" s="172"/>
      <c r="Y476" s="91"/>
      <c r="Z476" s="102" t="b">
        <f>IF(G454="",FALSE,E476="")</f>
        <v>0</v>
      </c>
    </row>
    <row r="477" spans="1:26" s="144" customFormat="1" ht="12.75" customHeight="1" x14ac:dyDescent="0.35">
      <c r="A477" s="91"/>
      <c r="B477" s="94"/>
      <c r="D477" s="173">
        <v>10</v>
      </c>
      <c r="E477" s="184" t="str">
        <f t="shared" si="52"/>
        <v/>
      </c>
      <c r="F477" s="185"/>
      <c r="G477" s="185"/>
      <c r="H477" s="185"/>
      <c r="I477" s="185"/>
      <c r="J477" s="186"/>
      <c r="K477" s="163" t="str">
        <f t="shared" si="54"/>
        <v/>
      </c>
      <c r="L477" s="31"/>
      <c r="O477" s="945"/>
      <c r="P477" s="94"/>
      <c r="Q477" s="93"/>
      <c r="R477" s="102" t="str">
        <f>CONST_PrecursorToGoodInput&amp;G454 &amp;"_"&amp;E477</f>
        <v>PrecToGood__</v>
      </c>
      <c r="S477" s="105">
        <f t="shared" si="53"/>
        <v>10</v>
      </c>
      <c r="T477" s="124" t="str">
        <f>IF(G454="","",L477)</f>
        <v/>
      </c>
      <c r="U477" s="91"/>
      <c r="V477" s="105" t="str">
        <f>IF(AND(G454&lt;&gt;"",E477&lt;&gt;"",L477&lt;&gt;""),TRUE,IF(AND(G454&lt;&gt;"",E477&lt;&gt;"",L477="",Z477=FALSE),CONST_ErrorOrMissing&amp;C454,CONST_NA))</f>
        <v>n.a.</v>
      </c>
      <c r="W477" s="172"/>
      <c r="X477" s="172"/>
      <c r="Y477" s="91"/>
      <c r="Z477" s="102" t="b">
        <f>IF(G454="",FALSE,E477="")</f>
        <v>0</v>
      </c>
    </row>
    <row r="478" spans="1:26" s="144" customFormat="1" ht="12.75" customHeight="1" x14ac:dyDescent="0.35">
      <c r="A478" s="91"/>
      <c r="B478" s="94"/>
      <c r="D478" s="168" t="s">
        <v>49</v>
      </c>
      <c r="E478" s="167" t="str">
        <f>Translations!$B$1968</f>
        <v>Consumed for other purposes, e.g. sold or used for non-CBAM goods:</v>
      </c>
      <c r="F478" s="167"/>
      <c r="G478" s="167"/>
      <c r="H478" s="167"/>
      <c r="I478" s="167"/>
      <c r="J478" s="167"/>
      <c r="K478" s="169" t="str">
        <f>K465</f>
        <v/>
      </c>
      <c r="L478" s="211"/>
      <c r="O478" s="945"/>
      <c r="P478" s="94"/>
      <c r="Q478" s="93"/>
      <c r="R478" s="91"/>
      <c r="S478" s="91"/>
      <c r="T478" s="712"/>
      <c r="U478" s="91"/>
      <c r="V478" s="105" t="str">
        <f>IF(G454="",CONST_NA,IF(ISNUMBER(L478),TRUE,CONST_ErrorOrMissing&amp;C454))</f>
        <v>n.a.</v>
      </c>
      <c r="W478" s="91"/>
      <c r="X478" s="91"/>
      <c r="Y478" s="91"/>
      <c r="Z478" s="91"/>
    </row>
    <row r="479" spans="1:26" s="144" customFormat="1" ht="12.75" customHeight="1" x14ac:dyDescent="0.35">
      <c r="A479" s="91"/>
      <c r="B479" s="94"/>
      <c r="D479" s="168" t="s">
        <v>377</v>
      </c>
      <c r="E479" s="138" t="str">
        <f>Translations!$B$253</f>
        <v>Control:</v>
      </c>
      <c r="F479" s="170"/>
      <c r="G479" s="170"/>
      <c r="H479" s="170"/>
      <c r="I479" s="170"/>
      <c r="J479" s="170"/>
      <c r="K479" s="169" t="str">
        <f>K478</f>
        <v/>
      </c>
      <c r="L479" s="118" t="str">
        <f>IF(G454="","",SUM(L465)-SUM(L468:L478))</f>
        <v/>
      </c>
      <c r="O479" s="945"/>
      <c r="P479" s="94"/>
      <c r="Q479" s="93"/>
      <c r="R479" s="91"/>
      <c r="S479" s="91"/>
      <c r="T479" s="712"/>
      <c r="U479" s="91"/>
      <c r="V479" s="105" t="str">
        <f>IF(G454="",CONST_NA,IF(L479=0,TRUE,CONST_ErrorOrMissing&amp;C454))</f>
        <v>n.a.</v>
      </c>
      <c r="W479" s="91"/>
      <c r="X479" s="91"/>
      <c r="Y479" s="91"/>
      <c r="Z479" s="91"/>
    </row>
    <row r="480" spans="1:26" s="144" customFormat="1" ht="12.75" customHeight="1" thickBot="1" x14ac:dyDescent="0.4">
      <c r="A480" s="91"/>
      <c r="B480" s="94"/>
      <c r="O480" s="428"/>
      <c r="P480" s="94"/>
      <c r="Q480" s="93"/>
      <c r="R480" s="91"/>
      <c r="S480" s="91"/>
      <c r="T480" s="712"/>
      <c r="U480" s="91"/>
      <c r="V480" s="91"/>
      <c r="W480" s="91"/>
      <c r="X480" s="91"/>
      <c r="Y480" s="91"/>
      <c r="Z480" s="91"/>
    </row>
    <row r="481" spans="1:26" ht="12.75" customHeight="1" x14ac:dyDescent="0.35">
      <c r="B481" s="94"/>
      <c r="C481" s="187"/>
      <c r="D481" s="188"/>
      <c r="E481" s="189"/>
      <c r="F481" s="190"/>
      <c r="G481" s="190"/>
      <c r="H481" s="190"/>
      <c r="I481" s="190"/>
      <c r="J481" s="190"/>
      <c r="K481" s="190"/>
      <c r="L481" s="190"/>
      <c r="M481" s="190"/>
      <c r="N481" s="191"/>
      <c r="O481" s="428"/>
      <c r="T481" s="712"/>
    </row>
    <row r="482" spans="1:26" ht="15" customHeight="1" x14ac:dyDescent="0.35">
      <c r="B482" s="94"/>
      <c r="C482" s="192"/>
      <c r="D482" s="193" t="str">
        <f>Translations!$B$279</f>
        <v>Specific embedded emissions:</v>
      </c>
      <c r="E482" s="194"/>
      <c r="F482" s="195"/>
      <c r="G482" s="195"/>
      <c r="H482" s="195"/>
      <c r="I482" s="195"/>
      <c r="J482" s="1327" t="str">
        <f>IF(G454="","",G454)</f>
        <v/>
      </c>
      <c r="K482" s="1327"/>
      <c r="L482" s="1327"/>
      <c r="M482" s="1327"/>
      <c r="N482" s="196"/>
      <c r="O482" s="428"/>
      <c r="T482" s="712"/>
    </row>
    <row r="483" spans="1:26" ht="5.15" customHeight="1" x14ac:dyDescent="0.35">
      <c r="B483" s="94"/>
      <c r="C483" s="192"/>
      <c r="D483" s="197"/>
      <c r="E483" s="198"/>
      <c r="F483" s="195"/>
      <c r="G483" s="195"/>
      <c r="H483" s="195"/>
      <c r="I483" s="195"/>
      <c r="J483" s="195"/>
      <c r="K483" s="195"/>
      <c r="L483" s="195"/>
      <c r="M483" s="195"/>
      <c r="N483" s="196"/>
      <c r="O483" s="428"/>
      <c r="T483" s="712"/>
    </row>
    <row r="484" spans="1:26" ht="12.75" customHeight="1" x14ac:dyDescent="0.35">
      <c r="B484" s="94"/>
      <c r="C484" s="192"/>
      <c r="D484" s="199" t="s">
        <v>411</v>
      </c>
      <c r="E484" s="198" t="str">
        <f>Translations!$B$280</f>
        <v>Emissions embedded in this purchased precursor</v>
      </c>
      <c r="F484" s="198"/>
      <c r="G484" s="198"/>
      <c r="H484" s="198"/>
      <c r="I484" s="198"/>
      <c r="J484" s="198"/>
      <c r="K484" s="198"/>
      <c r="L484" s="198"/>
      <c r="M484" s="198"/>
      <c r="N484" s="196"/>
      <c r="O484" s="428"/>
      <c r="T484" s="712"/>
      <c r="V484" s="172"/>
      <c r="W484" s="172"/>
      <c r="X484" s="172"/>
      <c r="Z484" s="171"/>
    </row>
    <row r="485" spans="1:26" ht="4.9000000000000004" customHeight="1" x14ac:dyDescent="0.35">
      <c r="B485" s="94"/>
      <c r="C485" s="192"/>
      <c r="D485" s="199"/>
      <c r="E485" s="1328"/>
      <c r="F485" s="1328"/>
      <c r="G485" s="1328"/>
      <c r="H485" s="1328"/>
      <c r="I485" s="1328"/>
      <c r="J485" s="1328"/>
      <c r="K485" s="1328"/>
      <c r="L485" s="1328"/>
      <c r="M485" s="1328"/>
      <c r="N485" s="196"/>
      <c r="O485" s="428"/>
      <c r="T485" s="712"/>
    </row>
    <row r="486" spans="1:26" ht="13.15" customHeight="1" x14ac:dyDescent="0.35">
      <c r="B486" s="94"/>
      <c r="C486" s="192"/>
      <c r="D486" s="199"/>
      <c r="E486" s="1311" t="str">
        <f ca="1">HYPERLINK("#"&amp;ADDRESS(MATCH($S486,G_FurtherGuidance!$S:$S,0),3,,,G_FurtherGuidance!$U$2),CONST_LinkToGuidanceSheet)</f>
        <v>Please click on this link for further guidance on how to complete this section.</v>
      </c>
      <c r="F486" s="1312"/>
      <c r="G486" s="1312"/>
      <c r="H486" s="1312"/>
      <c r="I486" s="1312"/>
      <c r="J486" s="1312"/>
      <c r="K486" s="1312"/>
      <c r="L486" s="1312"/>
      <c r="M486" s="1312"/>
      <c r="N486" s="196"/>
      <c r="O486" s="428"/>
      <c r="R486" s="104" t="s">
        <v>2771</v>
      </c>
      <c r="S486" s="105">
        <v>4</v>
      </c>
      <c r="T486" s="712"/>
    </row>
    <row r="487" spans="1:26" ht="4.9000000000000004" customHeight="1" x14ac:dyDescent="0.35">
      <c r="B487" s="94"/>
      <c r="C487" s="192"/>
      <c r="D487" s="199"/>
      <c r="E487" s="1328"/>
      <c r="F487" s="1328"/>
      <c r="G487" s="1328"/>
      <c r="H487" s="1328"/>
      <c r="I487" s="1328"/>
      <c r="J487" s="1328"/>
      <c r="K487" s="1328"/>
      <c r="L487" s="1328"/>
      <c r="M487" s="1328"/>
      <c r="N487" s="384"/>
      <c r="O487" s="428"/>
      <c r="T487" s="712"/>
    </row>
    <row r="488" spans="1:26" ht="12.75" customHeight="1" x14ac:dyDescent="0.35">
      <c r="B488" s="94"/>
      <c r="C488" s="192"/>
      <c r="D488" s="199"/>
      <c r="E488" s="198" t="str">
        <f>Translations!$B$284</f>
        <v>Parameter:</v>
      </c>
      <c r="F488" s="195"/>
      <c r="G488" s="195"/>
      <c r="H488" s="195"/>
      <c r="I488" s="195"/>
      <c r="J488" s="195"/>
      <c r="K488" s="199" t="str">
        <f>Translations!$B$221</f>
        <v>Unit</v>
      </c>
      <c r="L488" s="199" t="str">
        <f>Translations!$B$260</f>
        <v>Value</v>
      </c>
      <c r="M488" s="199" t="str">
        <f>Translations!$B$285</f>
        <v>Source</v>
      </c>
      <c r="N488" s="196"/>
      <c r="O488" s="428"/>
      <c r="T488" s="764" t="s">
        <v>5</v>
      </c>
      <c r="U488" s="123" t="s">
        <v>2719</v>
      </c>
      <c r="V488" s="156" t="s">
        <v>3922</v>
      </c>
      <c r="W488" s="156"/>
      <c r="X488" s="156"/>
      <c r="Z488" s="171"/>
    </row>
    <row r="489" spans="1:26" ht="12.75" customHeight="1" x14ac:dyDescent="0.35">
      <c r="B489" s="94"/>
      <c r="C489" s="192"/>
      <c r="D489" s="197" t="s">
        <v>41</v>
      </c>
      <c r="E489" s="201" t="str">
        <f>Translations!$B$1969</f>
        <v>Specific embedded direct emissions (SEE (direct))</v>
      </c>
      <c r="F489" s="201"/>
      <c r="G489" s="201"/>
      <c r="H489" s="201"/>
      <c r="I489" s="201"/>
      <c r="J489" s="201"/>
      <c r="K489" s="217" t="str">
        <f>IF(L454="","",CONST_tCO2eq &amp; "/" &amp; K465)</f>
        <v/>
      </c>
      <c r="L489" s="215"/>
      <c r="M489" s="385"/>
      <c r="N489" s="196"/>
      <c r="O489" s="945"/>
      <c r="R489" s="102" t="str">
        <f>CONST_PurchPrecDefaultUsed&amp;G454</f>
        <v>PurchPrecDef_</v>
      </c>
      <c r="S489" s="102" t="str">
        <f>CONST_CNTR_EmbedEmDir&amp;G454</f>
        <v>EmbedEmDir_</v>
      </c>
      <c r="T489" s="124" t="str">
        <f>IF(G454="","",SUM(T465)*SUM(L489))</f>
        <v/>
      </c>
      <c r="U489" s="105" t="str">
        <f>IF(G454="","",IF(M489="",CONST_ERR_Incomplete,MATCH(M489,CONST_MeasDefaultUnknown,0)=2))</f>
        <v/>
      </c>
      <c r="V489" s="105" t="str">
        <f>IF(AND(G454&lt;&gt;"",COUNTA(L489:M489)=2),TRUE,IF(AND(G454&lt;&gt;"",COUNTA(L489:M489)&lt;2),CONST_ErrorOrMissing&amp;C454,CONST_NA))</f>
        <v>n.a.</v>
      </c>
      <c r="W489" s="156"/>
      <c r="X489" s="156"/>
      <c r="Z489" s="171"/>
    </row>
    <row r="490" spans="1:26" ht="12.75" customHeight="1" x14ac:dyDescent="0.35">
      <c r="B490" s="94"/>
      <c r="C490" s="192"/>
      <c r="D490" s="197" t="s">
        <v>42</v>
      </c>
      <c r="E490" s="759" t="str">
        <f>Translations!$B$1970</f>
        <v>Specific electricity consumption (for SEE (indirect))</v>
      </c>
      <c r="F490" s="759"/>
      <c r="G490" s="759"/>
      <c r="H490" s="759"/>
      <c r="I490" s="759"/>
      <c r="J490" s="759"/>
      <c r="K490" s="457" t="str">
        <f>IF(K489="","",CONST_MWh&amp;"/"&amp;K465)</f>
        <v/>
      </c>
      <c r="L490" s="760"/>
      <c r="M490" s="761"/>
      <c r="N490" s="196"/>
      <c r="O490" s="945"/>
      <c r="R490" s="102" t="str">
        <f>CONST_ElecConsumption&amp;G454</f>
        <v>ElecCons_</v>
      </c>
      <c r="S490" s="102"/>
      <c r="T490" s="124" t="str">
        <f>IF(G454="","",SUM(T465)*SUM(L490))</f>
        <v/>
      </c>
      <c r="U490" s="105" t="str">
        <f>IF(G454="","",IF(M490="",CONST_ERR_Incomplete,MATCH(M490,CONST_MeasDefaultUnknown,0)=2))</f>
        <v/>
      </c>
      <c r="V490" s="105" t="str">
        <f>IF(AND(G454&lt;&gt;"",COUNTA(L490:M490)=2),TRUE,IF(AND(G454&lt;&gt;"",COUNTA(L490:M490)&lt;2),CONST_ErrorOrMissing&amp;C454,CONST_NA))</f>
        <v>n.a.</v>
      </c>
      <c r="W490" s="156"/>
      <c r="X490" s="156"/>
      <c r="Z490" s="171"/>
    </row>
    <row r="491" spans="1:26" ht="12.75" customHeight="1" x14ac:dyDescent="0.35">
      <c r="B491" s="94"/>
      <c r="C491" s="192"/>
      <c r="D491" s="197" t="s">
        <v>43</v>
      </c>
      <c r="E491" s="1144" t="str">
        <f>Translations!$B$1971</f>
        <v>Electricity emission factor (for SEE (indirect))</v>
      </c>
      <c r="F491" s="1144"/>
      <c r="G491" s="1144"/>
      <c r="H491" s="1144"/>
      <c r="I491" s="1144"/>
      <c r="J491" s="1144"/>
      <c r="K491" s="1145" t="str">
        <f>IF(K489="","",CONST_tCO2eq&amp;"/"&amp;CONST_MWh)</f>
        <v/>
      </c>
      <c r="L491" s="1146"/>
      <c r="M491" s="762"/>
      <c r="N491" s="196"/>
      <c r="O491" s="945"/>
      <c r="R491" s="102" t="str">
        <f>CONST_CNTR_ElecEFMethod&amp;G454</f>
        <v>ElecEFMeth_</v>
      </c>
      <c r="S491" s="102"/>
      <c r="T491" s="124"/>
      <c r="U491" s="105" t="str">
        <f>IF(G454="","",M491)</f>
        <v/>
      </c>
      <c r="V491" s="105" t="str">
        <f>IF(AND(G454&lt;&gt;"",COUNTA(L491:M491)=2),TRUE,IF(AND(G454&lt;&gt;"",COUNTA(L491:M491)&lt;2),CONST_ErrorOrMissing&amp;C454,CONST_NA))</f>
        <v>n.a.</v>
      </c>
      <c r="W491" s="156"/>
      <c r="X491" s="156"/>
      <c r="Z491" s="171"/>
    </row>
    <row r="492" spans="1:26" x14ac:dyDescent="0.35">
      <c r="B492" s="94"/>
      <c r="C492" s="192"/>
      <c r="D492" s="197" t="s">
        <v>44</v>
      </c>
      <c r="E492" s="201" t="str">
        <f>Translations!$B$1972</f>
        <v>Specific embedded indirect emissions (SEE (indirect))</v>
      </c>
      <c r="F492" s="201"/>
      <c r="G492" s="201"/>
      <c r="H492" s="201"/>
      <c r="I492" s="201"/>
      <c r="J492" s="201"/>
      <c r="K492" s="217" t="str">
        <f>K489</f>
        <v/>
      </c>
      <c r="L492" s="1147" t="str">
        <f>IF(COUNT(L490:L491)=0,"",L490*L491)</f>
        <v/>
      </c>
      <c r="M492" s="758"/>
      <c r="N492" s="196"/>
      <c r="O492" s="428"/>
      <c r="R492" s="171"/>
      <c r="S492" s="102" t="str">
        <f>CONST_CNTR_EmbedEmInDir&amp;G454</f>
        <v>EmbedEmInDir_</v>
      </c>
      <c r="T492" s="124" t="str">
        <f>IF(G454="","",SUM(T465)*SUM(L492))</f>
        <v/>
      </c>
      <c r="Z492" s="171"/>
    </row>
    <row r="493" spans="1:26" ht="5.15" customHeight="1" x14ac:dyDescent="0.35">
      <c r="B493" s="94"/>
      <c r="C493" s="192"/>
      <c r="D493" s="197"/>
      <c r="E493" s="195"/>
      <c r="F493" s="195"/>
      <c r="G493" s="195"/>
      <c r="H493" s="195"/>
      <c r="I493" s="195"/>
      <c r="J493" s="195"/>
      <c r="K493" s="195"/>
      <c r="L493" s="195"/>
      <c r="M493" s="195"/>
      <c r="N493" s="196"/>
      <c r="O493" s="428"/>
      <c r="R493" s="171"/>
      <c r="S493" s="171"/>
      <c r="T493" s="125"/>
      <c r="U493" s="156"/>
      <c r="V493" s="172"/>
      <c r="W493" s="172"/>
      <c r="X493" s="172"/>
      <c r="Z493" s="171"/>
    </row>
    <row r="494" spans="1:26" ht="12.75" customHeight="1" x14ac:dyDescent="0.35">
      <c r="B494" s="94"/>
      <c r="C494" s="192"/>
      <c r="D494" s="197" t="s">
        <v>45</v>
      </c>
      <c r="E494" s="201" t="str">
        <f>Translations!$B$1858</f>
        <v>Justification for use of default values (if relevant):</v>
      </c>
      <c r="F494" s="201"/>
      <c r="G494" s="201"/>
      <c r="H494" s="201"/>
      <c r="I494" s="201"/>
      <c r="J494" s="201"/>
      <c r="K494" s="1329"/>
      <c r="L494" s="1329"/>
      <c r="M494" s="1329"/>
      <c r="N494" s="196"/>
      <c r="O494" s="945"/>
      <c r="R494" s="171"/>
      <c r="S494" s="171"/>
      <c r="T494" s="125"/>
      <c r="U494" s="156"/>
      <c r="V494" s="105" t="str">
        <f>IF(OR(G454="",Z494=TRUE),CONST_NA,IF(K494&lt;&gt;"",TRUE,CONST_ErrorOrMissing&amp;C454))</f>
        <v>n.a.</v>
      </c>
      <c r="W494" s="172"/>
      <c r="X494" s="172"/>
      <c r="Z494" s="102" t="b">
        <f>AND(M489&lt;&gt;"",M489&lt;&gt;INDEX(CONST_MeasDefaultUnknown,2),M490&lt;&gt;"",M490&lt;&gt;INDEX(CONST_MeasDefaultUnknown,2))</f>
        <v>0</v>
      </c>
    </row>
    <row r="495" spans="1:26" s="144" customFormat="1" ht="12.75" customHeight="1" thickBot="1" x14ac:dyDescent="0.4">
      <c r="A495" s="91"/>
      <c r="B495" s="94"/>
      <c r="C495" s="206"/>
      <c r="D495" s="207"/>
      <c r="E495" s="208"/>
      <c r="F495" s="209"/>
      <c r="G495" s="209"/>
      <c r="H495" s="209"/>
      <c r="I495" s="209"/>
      <c r="J495" s="209"/>
      <c r="K495" s="209"/>
      <c r="L495" s="209"/>
      <c r="M495" s="209"/>
      <c r="N495" s="210"/>
      <c r="O495" s="428"/>
      <c r="P495" s="94"/>
      <c r="Q495" s="93"/>
      <c r="R495" s="91"/>
      <c r="S495" s="91"/>
      <c r="T495" s="712"/>
      <c r="U495" s="91"/>
      <c r="V495" s="91"/>
      <c r="W495" s="91"/>
      <c r="X495" s="91"/>
      <c r="Y495" s="91"/>
      <c r="Z495" s="91"/>
    </row>
    <row r="496" spans="1:26" s="144" customFormat="1" ht="12.75" customHeight="1" thickBot="1" x14ac:dyDescent="0.4">
      <c r="A496" s="91"/>
      <c r="B496" s="94"/>
      <c r="O496" s="428"/>
      <c r="P496" s="94"/>
      <c r="Q496" s="93"/>
      <c r="R496" s="91"/>
      <c r="S496" s="91"/>
      <c r="T496" s="712"/>
      <c r="U496" s="91"/>
      <c r="V496" s="91"/>
      <c r="W496" s="91"/>
      <c r="X496" s="91"/>
      <c r="Y496" s="91"/>
      <c r="Z496" s="91"/>
    </row>
    <row r="497" spans="1:26" s="144" customFormat="1" ht="12.75" customHeight="1" thickBot="1" x14ac:dyDescent="0.4">
      <c r="A497" s="91"/>
      <c r="B497" s="946"/>
      <c r="C497" s="145"/>
      <c r="D497" s="145"/>
      <c r="E497" s="145"/>
      <c r="F497" s="145"/>
      <c r="G497" s="145"/>
      <c r="H497" s="145"/>
      <c r="I497" s="145"/>
      <c r="J497" s="145"/>
      <c r="K497" s="145"/>
      <c r="L497" s="145"/>
      <c r="M497" s="145"/>
      <c r="N497" s="145"/>
      <c r="O497" s="947"/>
      <c r="P497" s="94"/>
      <c r="Q497" s="93"/>
      <c r="R497" s="91"/>
      <c r="S497" s="91"/>
      <c r="T497" s="712"/>
      <c r="U497" s="91"/>
      <c r="V497" s="91"/>
      <c r="W497" s="91"/>
      <c r="X497" s="91"/>
      <c r="Y497" s="91"/>
      <c r="Z497" s="91"/>
    </row>
    <row r="498" spans="1:26" ht="18" customHeight="1" thickBot="1" x14ac:dyDescent="0.4">
      <c r="B498" s="94"/>
      <c r="C498" s="147">
        <f>C454+1</f>
        <v>12</v>
      </c>
      <c r="D498" s="944" t="str">
        <f>CONST_PurchPrecursor &amp; " " &amp; C498 &amp; ":"</f>
        <v>Purchased precursor 12:</v>
      </c>
      <c r="E498" s="144"/>
      <c r="F498" s="144"/>
      <c r="G498" s="1313" t="str">
        <f>IF(INDEX(CNTR_List_ExistPurchPrecNames,MATCH(R498,CNTR_ListPurchPrecID,0))=CONST_NA,"",INDEX(CNTR_List_ExistPurchPrecNames,MATCH(R498,CNTR_ListPurchPrecID,0)))</f>
        <v/>
      </c>
      <c r="H498" s="1314"/>
      <c r="I498" s="1314"/>
      <c r="J498" s="1314"/>
      <c r="K498" s="1315"/>
      <c r="L498" s="1316" t="str">
        <f>IF(INDEX(CNTR_List_ExistPurchPrec,MATCH(R498,CNTR_ListPurchPrecID,0))=CONST_NA,"",INDEX(CNTR_List_ExistPurchPrec,MATCH(R498,CNTR_ListPurchPrecID,0)))</f>
        <v/>
      </c>
      <c r="M498" s="1317"/>
      <c r="N498" s="1318"/>
      <c r="O498" s="428"/>
      <c r="R498" s="149" t="str">
        <f>INDEX(CNTR_ListPurchPrecID,C498)</f>
        <v>PP12</v>
      </c>
      <c r="Y498" s="104" t="s">
        <v>2748</v>
      </c>
      <c r="Z498" s="150" t="b">
        <f>AND(CNTR_HasEntriesA,G498="")</f>
        <v>0</v>
      </c>
    </row>
    <row r="499" spans="1:26" ht="26.5" customHeight="1" x14ac:dyDescent="0.35">
      <c r="B499" s="94"/>
      <c r="C499" s="144"/>
      <c r="D499" s="914"/>
      <c r="E499" s="1325" t="str">
        <f ca="1">HYPERLINK("#"&amp;ADDRESS(MATCH($S499,G_FurtherGuidance!$S:$S,0),3,,,G_FurtherGuidance!$U$2),CONST_LinkToGuidanceSheet)</f>
        <v>Please click on this link for further guidance on how to complete this section.</v>
      </c>
      <c r="F499" s="1326"/>
      <c r="G499" s="1326"/>
      <c r="H499" s="1326"/>
      <c r="I499" s="1326"/>
      <c r="J499" s="1326"/>
      <c r="K499" s="1326"/>
      <c r="L499" s="1326"/>
      <c r="M499" s="1326"/>
      <c r="N499" s="144"/>
      <c r="O499" s="428"/>
      <c r="R499" s="104" t="s">
        <v>2771</v>
      </c>
      <c r="S499" s="105">
        <v>4</v>
      </c>
      <c r="Y499" s="104"/>
    </row>
    <row r="500" spans="1:26" ht="12.75" customHeight="1" x14ac:dyDescent="0.35">
      <c r="B500" s="94"/>
      <c r="C500" s="144"/>
      <c r="D500" s="168" t="s">
        <v>135</v>
      </c>
      <c r="E500" s="167" t="str">
        <f>Translations!$B$276</f>
        <v>Total purchased levels:</v>
      </c>
      <c r="F500" s="144"/>
      <c r="G500" s="144"/>
      <c r="H500" s="151" t="str">
        <f>Translations!$B$244</f>
        <v>Production route</v>
      </c>
      <c r="I500" s="144"/>
      <c r="J500" s="144"/>
      <c r="K500" s="152" t="str">
        <f>Translations!$B$221</f>
        <v>Unit</v>
      </c>
      <c r="L500" s="152" t="str">
        <f>Translations!$B$245</f>
        <v>Amounts</v>
      </c>
      <c r="M500" s="144"/>
      <c r="N500" s="144"/>
      <c r="O500" s="428"/>
      <c r="Y500" s="91" t="s">
        <v>4077</v>
      </c>
    </row>
    <row r="501" spans="1:26" ht="12.75" customHeight="1" x14ac:dyDescent="0.35">
      <c r="B501" s="94"/>
      <c r="C501" s="144"/>
      <c r="D501" s="173">
        <v>1</v>
      </c>
      <c r="E501" s="153" t="str">
        <f>IF(G498="","",G498) &amp; IF(L498="",""," | " &amp; L498)</f>
        <v/>
      </c>
      <c r="F501" s="153"/>
      <c r="G501" s="153"/>
      <c r="H501" s="154" t="str">
        <f>IF(L498="","",INDEX(CONST_MATRIX_ProductionRoute,MATCH(L498,CONST_LIST_Goods,0),D501))</f>
        <v/>
      </c>
      <c r="I501" s="153"/>
      <c r="J501" s="153"/>
      <c r="K501" s="155" t="str">
        <f>IF(L498="","",INDEX(CONST_LIST_GoodsUnit,MATCH(L498,CONST_LIST_Goods,0)))</f>
        <v/>
      </c>
      <c r="L501" s="29"/>
      <c r="M501" s="144"/>
      <c r="N501" s="144"/>
      <c r="O501" s="945"/>
      <c r="S501" s="105">
        <v>1</v>
      </c>
      <c r="V501" s="105" t="str">
        <f>IF(AND(Y501=FALSE,ISNUMBER(L501)),TRUE,IF(Y501=FALSE,CONST_ErrorOrMissing&amp;C498,CONST_NA))</f>
        <v>n.a.</v>
      </c>
      <c r="Y501" s="105" t="str">
        <f>IF(OR(H501="",H501=CONST_NA),"",IF(H501=CONST_AllProdRoutes,FALSE, COUNTIF(INDEX(CNTR_MatrixPurchPrecRoutes,C498,),S501)=0))</f>
        <v/>
      </c>
    </row>
    <row r="502" spans="1:26" ht="12.75" customHeight="1" x14ac:dyDescent="0.35">
      <c r="B502" s="94"/>
      <c r="C502" s="144"/>
      <c r="D502" s="173">
        <v>2</v>
      </c>
      <c r="E502" s="158" t="str">
        <f t="shared" ref="E502:E508" si="55">IF(H502=CONST_NA,"",E501)</f>
        <v/>
      </c>
      <c r="F502" s="158"/>
      <c r="G502" s="158"/>
      <c r="H502" s="159" t="str">
        <f>IF(L498="","",INDEX(CONST_MATRIX_ProductionRoute,MATCH(L498,CONST_LIST_Goods,0),D502))</f>
        <v/>
      </c>
      <c r="I502" s="158"/>
      <c r="J502" s="158"/>
      <c r="K502" s="160" t="str">
        <f t="shared" ref="K502:K508" si="56">IF(H502=CONST_NA,"",K501)</f>
        <v/>
      </c>
      <c r="L502" s="30"/>
      <c r="M502" s="144"/>
      <c r="N502" s="144"/>
      <c r="O502" s="945"/>
      <c r="S502" s="105">
        <v>2</v>
      </c>
      <c r="V502" s="105" t="str">
        <f>IF(AND(Y502=FALSE,ISNUMBER(L502)),TRUE,IF(Y502=FALSE,CONST_ErrorOrMissing&amp;C498,CONST_NA))</f>
        <v>n.a.</v>
      </c>
      <c r="Y502" s="105" t="str">
        <f>IF(OR(H502="",H502=CONST_NA),"",IF(H502=CONST_AllProdRoutes,FALSE, COUNTIF(INDEX(CNTR_MatrixPurchPrecRoutes,C498,),S502)=0))</f>
        <v/>
      </c>
    </row>
    <row r="503" spans="1:26" ht="12.75" customHeight="1" x14ac:dyDescent="0.35">
      <c r="B503" s="94"/>
      <c r="C503" s="144"/>
      <c r="D503" s="173">
        <v>3</v>
      </c>
      <c r="E503" s="158" t="str">
        <f t="shared" si="55"/>
        <v/>
      </c>
      <c r="F503" s="158"/>
      <c r="G503" s="158"/>
      <c r="H503" s="159" t="str">
        <f>IF(L498="","",INDEX(CONST_MATRIX_ProductionRoute,MATCH(L498,CONST_LIST_Goods,0),D503))</f>
        <v/>
      </c>
      <c r="I503" s="158"/>
      <c r="J503" s="158"/>
      <c r="K503" s="160" t="str">
        <f t="shared" si="56"/>
        <v/>
      </c>
      <c r="L503" s="30"/>
      <c r="M503" s="144"/>
      <c r="N503" s="144"/>
      <c r="O503" s="945"/>
      <c r="S503" s="105">
        <v>3</v>
      </c>
      <c r="V503" s="105" t="str">
        <f>IF(AND(Y503=FALSE,ISNUMBER(L503)),TRUE,IF(Y503=FALSE,CONST_ErrorOrMissing&amp;C498,CONST_NA))</f>
        <v>n.a.</v>
      </c>
      <c r="Y503" s="105" t="str">
        <f>IF(OR(H503="",H503=CONST_NA),"",IF(H503=CONST_AllProdRoutes,FALSE, COUNTIF(INDEX(CNTR_MatrixPurchPrecRoutes,C498,),S503)=0))</f>
        <v/>
      </c>
    </row>
    <row r="504" spans="1:26" ht="12.75" customHeight="1" x14ac:dyDescent="0.35">
      <c r="B504" s="94"/>
      <c r="C504" s="144"/>
      <c r="D504" s="173">
        <v>4</v>
      </c>
      <c r="E504" s="158" t="str">
        <f t="shared" si="55"/>
        <v/>
      </c>
      <c r="F504" s="158"/>
      <c r="G504" s="158"/>
      <c r="H504" s="159" t="str">
        <f>IF(L498="","",INDEX(CONST_MATRIX_ProductionRoute,MATCH(L498,CONST_LIST_Goods,0),D504))</f>
        <v/>
      </c>
      <c r="I504" s="158"/>
      <c r="J504" s="158"/>
      <c r="K504" s="160" t="str">
        <f t="shared" si="56"/>
        <v/>
      </c>
      <c r="L504" s="30"/>
      <c r="M504" s="144"/>
      <c r="N504" s="144"/>
      <c r="O504" s="945"/>
      <c r="S504" s="105">
        <v>4</v>
      </c>
      <c r="V504" s="105" t="str">
        <f>IF(AND(Y504=FALSE,ISNUMBER(L504)),TRUE,IF(Y504=FALSE,CONST_ErrorOrMissing&amp;C498,CONST_NA))</f>
        <v>n.a.</v>
      </c>
      <c r="Y504" s="105" t="str">
        <f>IF(OR(H504="",H504=CONST_NA),"",IF(H504=CONST_AllProdRoutes,FALSE, COUNTIF(INDEX(CNTR_MatrixPurchPrecRoutes,C498,),S504)=0))</f>
        <v/>
      </c>
    </row>
    <row r="505" spans="1:26" ht="12.75" customHeight="1" x14ac:dyDescent="0.35">
      <c r="B505" s="94"/>
      <c r="C505" s="144"/>
      <c r="D505" s="173">
        <v>5</v>
      </c>
      <c r="E505" s="158" t="str">
        <f t="shared" si="55"/>
        <v/>
      </c>
      <c r="F505" s="158"/>
      <c r="G505" s="158"/>
      <c r="H505" s="159" t="str">
        <f>IF(L498="","",INDEX(CONST_MATRIX_ProductionRoute,MATCH(L498,CONST_LIST_Goods,0),D505))</f>
        <v/>
      </c>
      <c r="I505" s="158"/>
      <c r="J505" s="158"/>
      <c r="K505" s="160" t="str">
        <f t="shared" si="56"/>
        <v/>
      </c>
      <c r="L505" s="30"/>
      <c r="M505" s="144"/>
      <c r="N505" s="144"/>
      <c r="O505" s="945"/>
      <c r="S505" s="105">
        <v>5</v>
      </c>
      <c r="V505" s="105" t="str">
        <f>IF(AND(Y505=FALSE,ISNUMBER(L505)),TRUE,IF(Y505=FALSE,CONST_ErrorOrMissing&amp;C498,CONST_NA))</f>
        <v>n.a.</v>
      </c>
      <c r="Y505" s="105" t="str">
        <f>IF(OR(H505="",H505=CONST_NA),"",IF(H505=CONST_AllProdRoutes,FALSE, COUNTIF(INDEX(CNTR_MatrixPurchPrecRoutes,C498,),S505)=0))</f>
        <v/>
      </c>
    </row>
    <row r="506" spans="1:26" ht="12.75" customHeight="1" x14ac:dyDescent="0.35">
      <c r="B506" s="94"/>
      <c r="C506" s="144"/>
      <c r="D506" s="173">
        <v>6</v>
      </c>
      <c r="E506" s="158" t="str">
        <f t="shared" si="55"/>
        <v/>
      </c>
      <c r="F506" s="158"/>
      <c r="G506" s="158"/>
      <c r="H506" s="159" t="str">
        <f>IF(L498="","",INDEX(CONST_MATRIX_ProductionRoute,MATCH(L498,CONST_LIST_Goods,0),D506))</f>
        <v/>
      </c>
      <c r="I506" s="158"/>
      <c r="J506" s="158"/>
      <c r="K506" s="160" t="str">
        <f t="shared" si="56"/>
        <v/>
      </c>
      <c r="L506" s="30"/>
      <c r="M506" s="144"/>
      <c r="N506" s="144"/>
      <c r="O506" s="945"/>
      <c r="S506" s="105">
        <v>6</v>
      </c>
      <c r="V506" s="105" t="str">
        <f>IF(AND(Y506=FALSE,ISNUMBER(L506)),TRUE,IF(Y506=FALSE,CONST_ErrorOrMissing&amp;C498,CONST_NA))</f>
        <v>n.a.</v>
      </c>
      <c r="Y506" s="105" t="str">
        <f>IF(OR(H506="",H506=CONST_NA),"",IF(H506=CONST_AllProdRoutes,FALSE, COUNTIF(INDEX(CNTR_MatrixPurchPrecRoutes,C498,),S506)=0))</f>
        <v/>
      </c>
    </row>
    <row r="507" spans="1:26" ht="12.75" customHeight="1" x14ac:dyDescent="0.35">
      <c r="B507" s="94"/>
      <c r="C507" s="144"/>
      <c r="D507" s="173">
        <v>7</v>
      </c>
      <c r="E507" s="158" t="str">
        <f t="shared" si="55"/>
        <v/>
      </c>
      <c r="F507" s="158"/>
      <c r="G507" s="158"/>
      <c r="H507" s="159" t="str">
        <f>IF(L498="","",INDEX(CONST_MATRIX_ProductionRoute,MATCH(L498,CONST_LIST_Goods,0),D507))</f>
        <v/>
      </c>
      <c r="I507" s="158"/>
      <c r="J507" s="158"/>
      <c r="K507" s="160" t="str">
        <f t="shared" si="56"/>
        <v/>
      </c>
      <c r="L507" s="30"/>
      <c r="M507" s="144"/>
      <c r="N507" s="144"/>
      <c r="O507" s="945"/>
      <c r="S507" s="105">
        <v>7</v>
      </c>
      <c r="V507" s="105" t="str">
        <f>IF(AND(Y507=FALSE,ISNUMBER(L507)),TRUE,IF(Y507=FALSE,CONST_ErrorOrMissing&amp;C498,CONST_NA))</f>
        <v>n.a.</v>
      </c>
      <c r="Y507" s="105" t="str">
        <f>IF(OR(H507="",H507=CONST_NA),"",IF(H507=CONST_AllProdRoutes,FALSE, COUNTIF(INDEX(CNTR_MatrixPurchPrecRoutes,C498,),S507)=0))</f>
        <v/>
      </c>
    </row>
    <row r="508" spans="1:26" ht="12.75" customHeight="1" x14ac:dyDescent="0.35">
      <c r="B508" s="94"/>
      <c r="C508" s="144"/>
      <c r="D508" s="173">
        <v>8</v>
      </c>
      <c r="E508" s="161" t="str">
        <f t="shared" si="55"/>
        <v/>
      </c>
      <c r="F508" s="161"/>
      <c r="G508" s="161"/>
      <c r="H508" s="162" t="str">
        <f>IF(L498="","",INDEX(CONST_MATRIX_ProductionRoute,MATCH(L498,CONST_LIST_Goods,0),D508))</f>
        <v/>
      </c>
      <c r="I508" s="161"/>
      <c r="J508" s="161"/>
      <c r="K508" s="163" t="str">
        <f t="shared" si="56"/>
        <v/>
      </c>
      <c r="L508" s="31"/>
      <c r="M508" s="144"/>
      <c r="N508" s="144"/>
      <c r="O508" s="945"/>
      <c r="S508" s="105">
        <v>8</v>
      </c>
      <c r="V508" s="105" t="str">
        <f>IF(AND(Y508=FALSE,ISNUMBER(L508)),TRUE,IF(Y508=FALSE,CONST_ErrorOrMissing&amp;C498,CONST_NA))</f>
        <v>n.a.</v>
      </c>
      <c r="Y508" s="105" t="str">
        <f>IF(OR(H508="",H508=CONST_NA),"",IF(H508=CONST_AllProdRoutes,FALSE, COUNTIF(INDEX(CNTR_MatrixPurchPrecRoutes,C498,),S508)=0))</f>
        <v/>
      </c>
    </row>
    <row r="509" spans="1:26" ht="12.75" customHeight="1" x14ac:dyDescent="0.35">
      <c r="B509" s="94"/>
      <c r="C509" s="144"/>
      <c r="D509" s="914"/>
      <c r="E509" s="138" t="str">
        <f>Translations!$B$1966</f>
        <v>Total purchase for possible consumption within installation:</v>
      </c>
      <c r="F509" s="138"/>
      <c r="G509" s="138"/>
      <c r="H509" s="164"/>
      <c r="I509" s="138"/>
      <c r="J509" s="138"/>
      <c r="K509" s="169" t="str">
        <f>K501</f>
        <v/>
      </c>
      <c r="L509" s="386" t="str">
        <f>IF(G498="","",SUM(L501:L508))</f>
        <v/>
      </c>
      <c r="M509" s="144"/>
      <c r="N509" s="144"/>
      <c r="O509" s="428"/>
      <c r="R509" s="102" t="str">
        <f>CONST_CNTR_TotProd&amp;G498</f>
        <v>TotProd_</v>
      </c>
      <c r="T509" s="216" t="str">
        <f>IF(G498="","",IF(SUM(L509)=0,100,L509))</f>
        <v/>
      </c>
      <c r="V509" s="123"/>
    </row>
    <row r="510" spans="1:26" s="144" customFormat="1" ht="5.15" customHeight="1" x14ac:dyDescent="0.35">
      <c r="A510" s="91"/>
      <c r="B510" s="94"/>
      <c r="D510" s="166"/>
      <c r="E510" s="167"/>
      <c r="O510" s="428"/>
      <c r="P510" s="94"/>
      <c r="Q510" s="93"/>
      <c r="R510" s="91"/>
      <c r="S510" s="91"/>
      <c r="T510" s="712"/>
      <c r="U510" s="91"/>
      <c r="V510" s="123"/>
      <c r="W510" s="91"/>
      <c r="X510" s="91"/>
      <c r="Y510" s="91"/>
      <c r="Z510" s="91"/>
    </row>
    <row r="511" spans="1:26" s="144" customFormat="1" ht="12.75" customHeight="1" x14ac:dyDescent="0.35">
      <c r="A511" s="91"/>
      <c r="B511" s="94"/>
      <c r="D511" s="168" t="s">
        <v>48</v>
      </c>
      <c r="E511" s="167" t="str">
        <f>Translations!$B$1967</f>
        <v>Consumed in 'production processes' within the installation:</v>
      </c>
      <c r="F511" s="167"/>
      <c r="G511" s="167"/>
      <c r="H511" s="167"/>
      <c r="I511" s="167"/>
      <c r="J511" s="167"/>
      <c r="K511" s="168" t="str">
        <f>Translations!$B$221</f>
        <v>Unit</v>
      </c>
      <c r="L511" s="168" t="str">
        <f>Translations!$B$245</f>
        <v>Amounts</v>
      </c>
      <c r="O511" s="428"/>
      <c r="P511" s="94"/>
      <c r="Q511" s="93"/>
      <c r="R511" s="91"/>
      <c r="S511" s="123" t="s">
        <v>195</v>
      </c>
      <c r="T511" s="712"/>
      <c r="U511" s="91"/>
      <c r="V511" s="123"/>
      <c r="W511" s="91"/>
      <c r="X511" s="91"/>
      <c r="Y511" s="91"/>
      <c r="Z511" s="91"/>
    </row>
    <row r="512" spans="1:26" s="144" customFormat="1" ht="12.75" customHeight="1" x14ac:dyDescent="0.35">
      <c r="A512" s="91"/>
      <c r="B512" s="94"/>
      <c r="D512" s="173">
        <v>1</v>
      </c>
      <c r="E512" s="174" t="str">
        <f t="shared" ref="E512:E521" si="57">IF(INDEX(CNTR_List_ExistProdProcNames,S512)=CONST_NA,"",INDEX(CNTR_List_ExistProdProcNames,S512))</f>
        <v/>
      </c>
      <c r="F512" s="175"/>
      <c r="G512" s="175"/>
      <c r="H512" s="175"/>
      <c r="I512" s="175"/>
      <c r="J512" s="176"/>
      <c r="K512" s="155" t="str">
        <f>IF(E512="","",K509)</f>
        <v/>
      </c>
      <c r="L512" s="29"/>
      <c r="O512" s="945"/>
      <c r="P512" s="94"/>
      <c r="Q512" s="93"/>
      <c r="R512" s="102" t="str">
        <f>CONST_PrecursorToGoodInput&amp;G498 &amp;"_"&amp;E512</f>
        <v>PrecToGood__</v>
      </c>
      <c r="S512" s="105">
        <f>D512</f>
        <v>1</v>
      </c>
      <c r="T512" s="124" t="str">
        <f>IF(G498="","",L512)</f>
        <v/>
      </c>
      <c r="U512" s="91"/>
      <c r="V512" s="105" t="str">
        <f>IF(AND(G498&lt;&gt;"",E512&lt;&gt;"",L512&lt;&gt;""),TRUE,IF(AND(G498&lt;&gt;"",E512&lt;&gt;"",L512="",Z512=FALSE),CONST_ErrorOrMissing&amp;C498,CONST_NA))</f>
        <v>n.a.</v>
      </c>
      <c r="W512" s="172"/>
      <c r="X512" s="172"/>
      <c r="Y512" s="91" t="s">
        <v>34</v>
      </c>
      <c r="Z512" s="102" t="b">
        <f>IF(G498="",FALSE,E512="")</f>
        <v>0</v>
      </c>
    </row>
    <row r="513" spans="1:26" s="144" customFormat="1" ht="12.75" customHeight="1" x14ac:dyDescent="0.35">
      <c r="A513" s="91"/>
      <c r="B513" s="94"/>
      <c r="D513" s="173">
        <v>2</v>
      </c>
      <c r="E513" s="177" t="str">
        <f t="shared" si="57"/>
        <v/>
      </c>
      <c r="F513" s="178"/>
      <c r="G513" s="178"/>
      <c r="H513" s="178"/>
      <c r="I513" s="178"/>
      <c r="J513" s="179"/>
      <c r="K513" s="160" t="str">
        <f>IF(E513="","",K512)</f>
        <v/>
      </c>
      <c r="L513" s="30"/>
      <c r="O513" s="945"/>
      <c r="P513" s="94"/>
      <c r="Q513" s="93"/>
      <c r="R513" s="102" t="str">
        <f>CONST_PrecursorToGoodInput&amp;G498 &amp;"_"&amp;E513</f>
        <v>PrecToGood__</v>
      </c>
      <c r="S513" s="105">
        <f t="shared" ref="S513:S521" si="58">D513</f>
        <v>2</v>
      </c>
      <c r="T513" s="124" t="str">
        <f>IF(G498="","",L513)</f>
        <v/>
      </c>
      <c r="U513" s="91"/>
      <c r="V513" s="105" t="str">
        <f>IF(AND(G498&lt;&gt;"",E513&lt;&gt;"",L513&lt;&gt;""),TRUE,IF(AND(G498&lt;&gt;"",E513&lt;&gt;"",L513="",Z513=FALSE),CONST_ErrorOrMissing&amp;C498,CONST_NA))</f>
        <v>n.a.</v>
      </c>
      <c r="W513" s="172"/>
      <c r="X513" s="172"/>
      <c r="Y513" s="91"/>
      <c r="Z513" s="102" t="b">
        <f>IF(G498="",FALSE,E513="")</f>
        <v>0</v>
      </c>
    </row>
    <row r="514" spans="1:26" s="144" customFormat="1" ht="12.75" customHeight="1" x14ac:dyDescent="0.35">
      <c r="A514" s="91"/>
      <c r="B514" s="94"/>
      <c r="D514" s="173">
        <v>3</v>
      </c>
      <c r="E514" s="177" t="str">
        <f t="shared" si="57"/>
        <v/>
      </c>
      <c r="F514" s="178"/>
      <c r="G514" s="178"/>
      <c r="H514" s="178"/>
      <c r="I514" s="178"/>
      <c r="J514" s="179"/>
      <c r="K514" s="160" t="str">
        <f t="shared" ref="K514:K521" si="59">IF(E514="","",K513)</f>
        <v/>
      </c>
      <c r="L514" s="30"/>
      <c r="O514" s="945"/>
      <c r="P514" s="94"/>
      <c r="Q514" s="93"/>
      <c r="R514" s="102" t="str">
        <f>CONST_PrecursorToGoodInput&amp;G498 &amp;"_"&amp;E514</f>
        <v>PrecToGood__</v>
      </c>
      <c r="S514" s="105">
        <f t="shared" si="58"/>
        <v>3</v>
      </c>
      <c r="T514" s="124" t="str">
        <f>IF(G498="","",L514)</f>
        <v/>
      </c>
      <c r="U514" s="91"/>
      <c r="V514" s="105" t="str">
        <f>IF(AND(G498&lt;&gt;"",E514&lt;&gt;"",L514&lt;&gt;""),TRUE,IF(AND(G498&lt;&gt;"",E514&lt;&gt;"",L514="",Z514=FALSE),CONST_ErrorOrMissing&amp;C498,CONST_NA))</f>
        <v>n.a.</v>
      </c>
      <c r="W514" s="172"/>
      <c r="X514" s="172"/>
      <c r="Y514" s="91"/>
      <c r="Z514" s="102" t="b">
        <f>IF(G498="",FALSE,E514="")</f>
        <v>0</v>
      </c>
    </row>
    <row r="515" spans="1:26" s="144" customFormat="1" ht="12.75" customHeight="1" x14ac:dyDescent="0.35">
      <c r="A515" s="91"/>
      <c r="B515" s="94"/>
      <c r="D515" s="173">
        <v>4</v>
      </c>
      <c r="E515" s="177" t="str">
        <f t="shared" si="57"/>
        <v/>
      </c>
      <c r="F515" s="178"/>
      <c r="G515" s="178"/>
      <c r="H515" s="178"/>
      <c r="I515" s="178"/>
      <c r="J515" s="179"/>
      <c r="K515" s="160" t="str">
        <f t="shared" si="59"/>
        <v/>
      </c>
      <c r="L515" s="30"/>
      <c r="O515" s="945"/>
      <c r="P515" s="94"/>
      <c r="Q515" s="93"/>
      <c r="R515" s="102" t="str">
        <f>CONST_PrecursorToGoodInput&amp;G498 &amp;"_"&amp;E515</f>
        <v>PrecToGood__</v>
      </c>
      <c r="S515" s="105">
        <f t="shared" si="58"/>
        <v>4</v>
      </c>
      <c r="T515" s="124" t="str">
        <f>IF(G498="","",L515)</f>
        <v/>
      </c>
      <c r="U515" s="91"/>
      <c r="V515" s="105" t="str">
        <f>IF(AND(G498&lt;&gt;"",E515&lt;&gt;"",L515&lt;&gt;""),TRUE,IF(AND(G498&lt;&gt;"",E515&lt;&gt;"",L515="",Z515=FALSE),CONST_ErrorOrMissing&amp;C498,CONST_NA))</f>
        <v>n.a.</v>
      </c>
      <c r="W515" s="172"/>
      <c r="X515" s="172"/>
      <c r="Y515" s="91"/>
      <c r="Z515" s="102" t="b">
        <f>IF(G498="",FALSE,E515="")</f>
        <v>0</v>
      </c>
    </row>
    <row r="516" spans="1:26" s="144" customFormat="1" ht="12.75" customHeight="1" x14ac:dyDescent="0.35">
      <c r="A516" s="91"/>
      <c r="B516" s="94"/>
      <c r="D516" s="173">
        <v>5</v>
      </c>
      <c r="E516" s="180" t="str">
        <f t="shared" si="57"/>
        <v/>
      </c>
      <c r="F516" s="181"/>
      <c r="G516" s="181"/>
      <c r="H516" s="181"/>
      <c r="I516" s="181"/>
      <c r="J516" s="182"/>
      <c r="K516" s="183" t="str">
        <f t="shared" si="59"/>
        <v/>
      </c>
      <c r="L516" s="212"/>
      <c r="O516" s="945"/>
      <c r="P516" s="94"/>
      <c r="Q516" s="93"/>
      <c r="R516" s="102" t="str">
        <f>CONST_PrecursorToGoodInput&amp;G498 &amp;"_"&amp;E516</f>
        <v>PrecToGood__</v>
      </c>
      <c r="S516" s="105">
        <f t="shared" si="58"/>
        <v>5</v>
      </c>
      <c r="T516" s="124" t="str">
        <f>IF(G498="","",L516)</f>
        <v/>
      </c>
      <c r="U516" s="91"/>
      <c r="V516" s="105" t="str">
        <f>IF(AND(G498&lt;&gt;"",E516&lt;&gt;"",L516&lt;&gt;""),TRUE,IF(AND(G498&lt;&gt;"",E516&lt;&gt;"",L516="",Z516=FALSE),CONST_ErrorOrMissing&amp;C498,CONST_NA))</f>
        <v>n.a.</v>
      </c>
      <c r="W516" s="172"/>
      <c r="X516" s="172"/>
      <c r="Y516" s="91"/>
      <c r="Z516" s="102" t="b">
        <f>IF(G498="",FALSE,E516="")</f>
        <v>0</v>
      </c>
    </row>
    <row r="517" spans="1:26" s="144" customFormat="1" ht="12.75" customHeight="1" x14ac:dyDescent="0.35">
      <c r="A517" s="91"/>
      <c r="B517" s="94"/>
      <c r="D517" s="173">
        <v>6</v>
      </c>
      <c r="E517" s="180" t="str">
        <f t="shared" si="57"/>
        <v/>
      </c>
      <c r="F517" s="181"/>
      <c r="G517" s="181"/>
      <c r="H517" s="181"/>
      <c r="I517" s="181"/>
      <c r="J517" s="182"/>
      <c r="K517" s="183" t="str">
        <f t="shared" si="59"/>
        <v/>
      </c>
      <c r="L517" s="212"/>
      <c r="O517" s="945"/>
      <c r="P517" s="94"/>
      <c r="Q517" s="93"/>
      <c r="R517" s="102" t="str">
        <f>CONST_PrecursorToGoodInput&amp;G498 &amp;"_"&amp;E517</f>
        <v>PrecToGood__</v>
      </c>
      <c r="S517" s="105">
        <f t="shared" si="58"/>
        <v>6</v>
      </c>
      <c r="T517" s="124" t="str">
        <f>IF(G498="","",L517)</f>
        <v/>
      </c>
      <c r="U517" s="91"/>
      <c r="V517" s="105" t="str">
        <f>IF(AND(G498&lt;&gt;"",E517&lt;&gt;"",L517&lt;&gt;""),TRUE,IF(AND(G498&lt;&gt;"",E517&lt;&gt;"",L517="",Z517=FALSE),CONST_ErrorOrMissing&amp;C498,CONST_NA))</f>
        <v>n.a.</v>
      </c>
      <c r="W517" s="172"/>
      <c r="X517" s="172"/>
      <c r="Y517" s="91"/>
      <c r="Z517" s="102" t="b">
        <f>IF(G498="",FALSE,E517="")</f>
        <v>0</v>
      </c>
    </row>
    <row r="518" spans="1:26" s="144" customFormat="1" ht="12.75" customHeight="1" x14ac:dyDescent="0.35">
      <c r="A518" s="91"/>
      <c r="B518" s="94"/>
      <c r="D518" s="173">
        <v>7</v>
      </c>
      <c r="E518" s="180" t="str">
        <f t="shared" si="57"/>
        <v/>
      </c>
      <c r="F518" s="181"/>
      <c r="G518" s="181"/>
      <c r="H518" s="181"/>
      <c r="I518" s="181"/>
      <c r="J518" s="182"/>
      <c r="K518" s="183" t="str">
        <f t="shared" si="59"/>
        <v/>
      </c>
      <c r="L518" s="212"/>
      <c r="O518" s="945"/>
      <c r="P518" s="94"/>
      <c r="Q518" s="93"/>
      <c r="R518" s="102" t="str">
        <f>CONST_PrecursorToGoodInput&amp;G498 &amp;"_"&amp;E518</f>
        <v>PrecToGood__</v>
      </c>
      <c r="S518" s="105">
        <f t="shared" si="58"/>
        <v>7</v>
      </c>
      <c r="T518" s="124" t="str">
        <f>IF(G498="","",L518)</f>
        <v/>
      </c>
      <c r="U518" s="91"/>
      <c r="V518" s="105" t="str">
        <f>IF(AND(G498&lt;&gt;"",E518&lt;&gt;"",L518&lt;&gt;""),TRUE,IF(AND(G498&lt;&gt;"",E518&lt;&gt;"",L518="",Z518=FALSE),CONST_ErrorOrMissing&amp;C498,CONST_NA))</f>
        <v>n.a.</v>
      </c>
      <c r="W518" s="172"/>
      <c r="X518" s="172"/>
      <c r="Y518" s="91"/>
      <c r="Z518" s="102" t="b">
        <f>IF(G498="",FALSE,E518="")</f>
        <v>0</v>
      </c>
    </row>
    <row r="519" spans="1:26" s="144" customFormat="1" ht="12.75" customHeight="1" x14ac:dyDescent="0.35">
      <c r="A519" s="91"/>
      <c r="B519" s="94"/>
      <c r="D519" s="173">
        <v>8</v>
      </c>
      <c r="E519" s="180" t="str">
        <f t="shared" si="57"/>
        <v/>
      </c>
      <c r="F519" s="181"/>
      <c r="G519" s="181"/>
      <c r="H519" s="181"/>
      <c r="I519" s="181"/>
      <c r="J519" s="182"/>
      <c r="K519" s="183" t="str">
        <f t="shared" si="59"/>
        <v/>
      </c>
      <c r="L519" s="212"/>
      <c r="O519" s="945"/>
      <c r="P519" s="94"/>
      <c r="Q519" s="93"/>
      <c r="R519" s="102" t="str">
        <f>CONST_PrecursorToGoodInput&amp;G498 &amp;"_"&amp;E519</f>
        <v>PrecToGood__</v>
      </c>
      <c r="S519" s="105">
        <f t="shared" si="58"/>
        <v>8</v>
      </c>
      <c r="T519" s="124" t="str">
        <f>IF(G498="","",L519)</f>
        <v/>
      </c>
      <c r="U519" s="91"/>
      <c r="V519" s="105" t="str">
        <f>IF(AND(G498&lt;&gt;"",E519&lt;&gt;"",L519&lt;&gt;""),TRUE,IF(AND(G498&lt;&gt;"",E519&lt;&gt;"",L519="",Z519=FALSE),CONST_ErrorOrMissing&amp;C498,CONST_NA))</f>
        <v>n.a.</v>
      </c>
      <c r="W519" s="172"/>
      <c r="X519" s="172"/>
      <c r="Y519" s="91"/>
      <c r="Z519" s="102" t="b">
        <f>IF(G498="",FALSE,E519="")</f>
        <v>0</v>
      </c>
    </row>
    <row r="520" spans="1:26" s="144" customFormat="1" ht="12.75" customHeight="1" x14ac:dyDescent="0.35">
      <c r="A520" s="91"/>
      <c r="B520" s="94"/>
      <c r="D520" s="173">
        <v>9</v>
      </c>
      <c r="E520" s="180" t="str">
        <f t="shared" si="57"/>
        <v/>
      </c>
      <c r="F520" s="181"/>
      <c r="G520" s="181"/>
      <c r="H520" s="181"/>
      <c r="I520" s="181"/>
      <c r="J520" s="182"/>
      <c r="K520" s="183" t="str">
        <f t="shared" si="59"/>
        <v/>
      </c>
      <c r="L520" s="212"/>
      <c r="O520" s="945"/>
      <c r="P520" s="94"/>
      <c r="Q520" s="93"/>
      <c r="R520" s="102" t="str">
        <f>CONST_PrecursorToGoodInput&amp;G498 &amp;"_"&amp;E520</f>
        <v>PrecToGood__</v>
      </c>
      <c r="S520" s="105">
        <f t="shared" si="58"/>
        <v>9</v>
      </c>
      <c r="T520" s="124" t="str">
        <f>IF(G498="","",L520)</f>
        <v/>
      </c>
      <c r="U520" s="91"/>
      <c r="V520" s="105" t="str">
        <f>IF(AND(G498&lt;&gt;"",E520&lt;&gt;"",L520&lt;&gt;""),TRUE,IF(AND(G498&lt;&gt;"",E520&lt;&gt;"",L520="",Z520=FALSE),CONST_ErrorOrMissing&amp;C498,CONST_NA))</f>
        <v>n.a.</v>
      </c>
      <c r="W520" s="172"/>
      <c r="X520" s="172"/>
      <c r="Y520" s="91"/>
      <c r="Z520" s="102" t="b">
        <f>IF(G498="",FALSE,E520="")</f>
        <v>0</v>
      </c>
    </row>
    <row r="521" spans="1:26" s="144" customFormat="1" ht="12.75" customHeight="1" x14ac:dyDescent="0.35">
      <c r="A521" s="91"/>
      <c r="B521" s="94"/>
      <c r="D521" s="173">
        <v>10</v>
      </c>
      <c r="E521" s="184" t="str">
        <f t="shared" si="57"/>
        <v/>
      </c>
      <c r="F521" s="185"/>
      <c r="G521" s="185"/>
      <c r="H521" s="185"/>
      <c r="I521" s="185"/>
      <c r="J521" s="186"/>
      <c r="K521" s="163" t="str">
        <f t="shared" si="59"/>
        <v/>
      </c>
      <c r="L521" s="31"/>
      <c r="O521" s="945"/>
      <c r="P521" s="94"/>
      <c r="Q521" s="93"/>
      <c r="R521" s="102" t="str">
        <f>CONST_PrecursorToGoodInput&amp;G498 &amp;"_"&amp;E521</f>
        <v>PrecToGood__</v>
      </c>
      <c r="S521" s="105">
        <f t="shared" si="58"/>
        <v>10</v>
      </c>
      <c r="T521" s="124" t="str">
        <f>IF(G498="","",L521)</f>
        <v/>
      </c>
      <c r="U521" s="91"/>
      <c r="V521" s="105" t="str">
        <f>IF(AND(G498&lt;&gt;"",E521&lt;&gt;"",L521&lt;&gt;""),TRUE,IF(AND(G498&lt;&gt;"",E521&lt;&gt;"",L521="",Z521=FALSE),CONST_ErrorOrMissing&amp;C498,CONST_NA))</f>
        <v>n.a.</v>
      </c>
      <c r="W521" s="172"/>
      <c r="X521" s="172"/>
      <c r="Y521" s="91"/>
      <c r="Z521" s="102" t="b">
        <f>IF(G498="",FALSE,E521="")</f>
        <v>0</v>
      </c>
    </row>
    <row r="522" spans="1:26" s="144" customFormat="1" ht="12.75" customHeight="1" x14ac:dyDescent="0.35">
      <c r="A522" s="91"/>
      <c r="B522" s="94"/>
      <c r="D522" s="168" t="s">
        <v>49</v>
      </c>
      <c r="E522" s="167" t="str">
        <f>Translations!$B$1968</f>
        <v>Consumed for other purposes, e.g. sold or used for non-CBAM goods:</v>
      </c>
      <c r="F522" s="167"/>
      <c r="G522" s="167"/>
      <c r="H522" s="167"/>
      <c r="I522" s="167"/>
      <c r="J522" s="167"/>
      <c r="K522" s="169" t="str">
        <f>K509</f>
        <v/>
      </c>
      <c r="L522" s="211"/>
      <c r="O522" s="945"/>
      <c r="P522" s="94"/>
      <c r="Q522" s="93"/>
      <c r="R522" s="91"/>
      <c r="S522" s="91"/>
      <c r="T522" s="712"/>
      <c r="U522" s="91"/>
      <c r="V522" s="105" t="str">
        <f>IF(G498="",CONST_NA,IF(ISNUMBER(L522),TRUE,CONST_ErrorOrMissing&amp;C498))</f>
        <v>n.a.</v>
      </c>
      <c r="W522" s="91"/>
      <c r="X522" s="91"/>
      <c r="Y522" s="91"/>
      <c r="Z522" s="91"/>
    </row>
    <row r="523" spans="1:26" s="144" customFormat="1" ht="12.75" customHeight="1" x14ac:dyDescent="0.35">
      <c r="A523" s="91"/>
      <c r="B523" s="94"/>
      <c r="D523" s="168" t="s">
        <v>377</v>
      </c>
      <c r="E523" s="138" t="str">
        <f>Translations!$B$253</f>
        <v>Control:</v>
      </c>
      <c r="F523" s="170"/>
      <c r="G523" s="170"/>
      <c r="H523" s="170"/>
      <c r="I523" s="170"/>
      <c r="J523" s="170"/>
      <c r="K523" s="169" t="str">
        <f>K522</f>
        <v/>
      </c>
      <c r="L523" s="118" t="str">
        <f>IF(G498="","",SUM(L509)-SUM(L512:L522))</f>
        <v/>
      </c>
      <c r="O523" s="945"/>
      <c r="P523" s="94"/>
      <c r="Q523" s="93"/>
      <c r="R523" s="91"/>
      <c r="S523" s="91"/>
      <c r="T523" s="712"/>
      <c r="U523" s="91"/>
      <c r="V523" s="105" t="str">
        <f>IF(G498="",CONST_NA,IF(L523=0,TRUE,CONST_ErrorOrMissing&amp;C498))</f>
        <v>n.a.</v>
      </c>
      <c r="W523" s="91"/>
      <c r="X523" s="91"/>
      <c r="Y523" s="91"/>
      <c r="Z523" s="91"/>
    </row>
    <row r="524" spans="1:26" s="144" customFormat="1" ht="12.75" customHeight="1" thickBot="1" x14ac:dyDescent="0.4">
      <c r="A524" s="91"/>
      <c r="B524" s="94"/>
      <c r="O524" s="428"/>
      <c r="P524" s="94"/>
      <c r="Q524" s="93"/>
      <c r="R524" s="91"/>
      <c r="S524" s="91"/>
      <c r="T524" s="712"/>
      <c r="U524" s="91"/>
      <c r="V524" s="91"/>
      <c r="W524" s="91"/>
      <c r="X524" s="91"/>
      <c r="Y524" s="91"/>
      <c r="Z524" s="91"/>
    </row>
    <row r="525" spans="1:26" ht="12.75" customHeight="1" x14ac:dyDescent="0.35">
      <c r="B525" s="94"/>
      <c r="C525" s="187"/>
      <c r="D525" s="188"/>
      <c r="E525" s="189"/>
      <c r="F525" s="190"/>
      <c r="G525" s="190"/>
      <c r="H525" s="190"/>
      <c r="I525" s="190"/>
      <c r="J525" s="190"/>
      <c r="K525" s="190"/>
      <c r="L525" s="190"/>
      <c r="M525" s="190"/>
      <c r="N525" s="191"/>
      <c r="O525" s="428"/>
      <c r="T525" s="712"/>
    </row>
    <row r="526" spans="1:26" ht="15" customHeight="1" x14ac:dyDescent="0.35">
      <c r="B526" s="94"/>
      <c r="C526" s="192"/>
      <c r="D526" s="193" t="str">
        <f>Translations!$B$279</f>
        <v>Specific embedded emissions:</v>
      </c>
      <c r="E526" s="194"/>
      <c r="F526" s="195"/>
      <c r="G526" s="195"/>
      <c r="H526" s="195"/>
      <c r="I526" s="195"/>
      <c r="J526" s="1327" t="str">
        <f>IF(G498="","",G498)</f>
        <v/>
      </c>
      <c r="K526" s="1327"/>
      <c r="L526" s="1327"/>
      <c r="M526" s="1327"/>
      <c r="N526" s="196"/>
      <c r="O526" s="428"/>
      <c r="T526" s="712"/>
    </row>
    <row r="527" spans="1:26" ht="5.15" customHeight="1" x14ac:dyDescent="0.35">
      <c r="B527" s="94"/>
      <c r="C527" s="192"/>
      <c r="D527" s="197"/>
      <c r="E527" s="198"/>
      <c r="F527" s="195"/>
      <c r="G527" s="195"/>
      <c r="H527" s="195"/>
      <c r="I527" s="195"/>
      <c r="J527" s="195"/>
      <c r="K527" s="195"/>
      <c r="L527" s="195"/>
      <c r="M527" s="195"/>
      <c r="N527" s="196"/>
      <c r="O527" s="428"/>
      <c r="T527" s="712"/>
    </row>
    <row r="528" spans="1:26" ht="12.75" customHeight="1" x14ac:dyDescent="0.35">
      <c r="B528" s="94"/>
      <c r="C528" s="192"/>
      <c r="D528" s="199" t="s">
        <v>411</v>
      </c>
      <c r="E528" s="198" t="str">
        <f>Translations!$B$280</f>
        <v>Emissions embedded in this purchased precursor</v>
      </c>
      <c r="F528" s="198"/>
      <c r="G528" s="198"/>
      <c r="H528" s="198"/>
      <c r="I528" s="198"/>
      <c r="J528" s="198"/>
      <c r="K528" s="198"/>
      <c r="L528" s="198"/>
      <c r="M528" s="198"/>
      <c r="N528" s="196"/>
      <c r="O528" s="428"/>
      <c r="T528" s="712"/>
      <c r="V528" s="172"/>
      <c r="W528" s="172"/>
      <c r="X528" s="172"/>
      <c r="Z528" s="171"/>
    </row>
    <row r="529" spans="1:26" ht="4.9000000000000004" customHeight="1" x14ac:dyDescent="0.35">
      <c r="B529" s="94"/>
      <c r="C529" s="192"/>
      <c r="D529" s="199"/>
      <c r="E529" s="1328"/>
      <c r="F529" s="1328"/>
      <c r="G529" s="1328"/>
      <c r="H529" s="1328"/>
      <c r="I529" s="1328"/>
      <c r="J529" s="1328"/>
      <c r="K529" s="1328"/>
      <c r="L529" s="1328"/>
      <c r="M529" s="1328"/>
      <c r="N529" s="196"/>
      <c r="O529" s="428"/>
      <c r="T529" s="712"/>
    </row>
    <row r="530" spans="1:26" ht="13.15" customHeight="1" x14ac:dyDescent="0.35">
      <c r="B530" s="94"/>
      <c r="C530" s="192"/>
      <c r="D530" s="199"/>
      <c r="E530" s="1311" t="str">
        <f ca="1">HYPERLINK("#"&amp;ADDRESS(MATCH($S530,G_FurtherGuidance!$S:$S,0),3,,,G_FurtherGuidance!$U$2),CONST_LinkToGuidanceSheet)</f>
        <v>Please click on this link for further guidance on how to complete this section.</v>
      </c>
      <c r="F530" s="1312"/>
      <c r="G530" s="1312"/>
      <c r="H530" s="1312"/>
      <c r="I530" s="1312"/>
      <c r="J530" s="1312"/>
      <c r="K530" s="1312"/>
      <c r="L530" s="1312"/>
      <c r="M530" s="1312"/>
      <c r="N530" s="196"/>
      <c r="O530" s="428"/>
      <c r="R530" s="104" t="s">
        <v>2771</v>
      </c>
      <c r="S530" s="105">
        <v>4</v>
      </c>
      <c r="T530" s="712"/>
    </row>
    <row r="531" spans="1:26" ht="4.9000000000000004" customHeight="1" x14ac:dyDescent="0.35">
      <c r="B531" s="94"/>
      <c r="C531" s="192"/>
      <c r="D531" s="199"/>
      <c r="E531" s="1328"/>
      <c r="F531" s="1328"/>
      <c r="G531" s="1328"/>
      <c r="H531" s="1328"/>
      <c r="I531" s="1328"/>
      <c r="J531" s="1328"/>
      <c r="K531" s="1328"/>
      <c r="L531" s="1328"/>
      <c r="M531" s="1328"/>
      <c r="N531" s="384"/>
      <c r="O531" s="428"/>
      <c r="T531" s="712"/>
    </row>
    <row r="532" spans="1:26" ht="12.75" customHeight="1" x14ac:dyDescent="0.35">
      <c r="B532" s="94"/>
      <c r="C532" s="192"/>
      <c r="D532" s="199"/>
      <c r="E532" s="198" t="str">
        <f>Translations!$B$284</f>
        <v>Parameter:</v>
      </c>
      <c r="F532" s="195"/>
      <c r="G532" s="195"/>
      <c r="H532" s="195"/>
      <c r="I532" s="195"/>
      <c r="J532" s="195"/>
      <c r="K532" s="199" t="str">
        <f>Translations!$B$221</f>
        <v>Unit</v>
      </c>
      <c r="L532" s="199" t="str">
        <f>Translations!$B$260</f>
        <v>Value</v>
      </c>
      <c r="M532" s="199" t="str">
        <f>Translations!$B$285</f>
        <v>Source</v>
      </c>
      <c r="N532" s="196"/>
      <c r="O532" s="428"/>
      <c r="T532" s="764" t="s">
        <v>5</v>
      </c>
      <c r="U532" s="123" t="s">
        <v>2719</v>
      </c>
      <c r="V532" s="156" t="s">
        <v>3922</v>
      </c>
      <c r="W532" s="156"/>
      <c r="X532" s="156"/>
      <c r="Z532" s="171"/>
    </row>
    <row r="533" spans="1:26" ht="12.75" customHeight="1" x14ac:dyDescent="0.35">
      <c r="B533" s="94"/>
      <c r="C533" s="192"/>
      <c r="D533" s="197" t="s">
        <v>41</v>
      </c>
      <c r="E533" s="201" t="str">
        <f>Translations!$B$1969</f>
        <v>Specific embedded direct emissions (SEE (direct))</v>
      </c>
      <c r="F533" s="201"/>
      <c r="G533" s="201"/>
      <c r="H533" s="201"/>
      <c r="I533" s="201"/>
      <c r="J533" s="201"/>
      <c r="K533" s="217" t="str">
        <f>IF(L498="","",CONST_tCO2eq &amp; "/" &amp; K509)</f>
        <v/>
      </c>
      <c r="L533" s="215"/>
      <c r="M533" s="385"/>
      <c r="N533" s="196"/>
      <c r="O533" s="945"/>
      <c r="R533" s="102" t="str">
        <f>CONST_PurchPrecDefaultUsed&amp;G498</f>
        <v>PurchPrecDef_</v>
      </c>
      <c r="S533" s="102" t="str">
        <f>CONST_CNTR_EmbedEmDir&amp;G498</f>
        <v>EmbedEmDir_</v>
      </c>
      <c r="T533" s="124" t="str">
        <f>IF(G498="","",SUM(T509)*SUM(L533))</f>
        <v/>
      </c>
      <c r="U533" s="105" t="str">
        <f>IF(G498="","",IF(M533="",CONST_ERR_Incomplete,MATCH(M533,CONST_MeasDefaultUnknown,0)=2))</f>
        <v/>
      </c>
      <c r="V533" s="105" t="str">
        <f>IF(AND(G498&lt;&gt;"",COUNTA(L533:M533)=2),TRUE,IF(AND(G498&lt;&gt;"",COUNTA(L533:M533)&lt;2),CONST_ErrorOrMissing&amp;C498,CONST_NA))</f>
        <v>n.a.</v>
      </c>
      <c r="W533" s="156"/>
      <c r="X533" s="156"/>
      <c r="Z533" s="171"/>
    </row>
    <row r="534" spans="1:26" ht="12.75" customHeight="1" x14ac:dyDescent="0.35">
      <c r="B534" s="94"/>
      <c r="C534" s="192"/>
      <c r="D534" s="197" t="s">
        <v>42</v>
      </c>
      <c r="E534" s="759" t="str">
        <f>Translations!$B$1970</f>
        <v>Specific electricity consumption (for SEE (indirect))</v>
      </c>
      <c r="F534" s="759"/>
      <c r="G534" s="759"/>
      <c r="H534" s="759"/>
      <c r="I534" s="759"/>
      <c r="J534" s="759"/>
      <c r="K534" s="457" t="str">
        <f>IF(K533="","",CONST_MWh&amp;"/"&amp;K509)</f>
        <v/>
      </c>
      <c r="L534" s="760"/>
      <c r="M534" s="761"/>
      <c r="N534" s="196"/>
      <c r="O534" s="945"/>
      <c r="R534" s="102" t="str">
        <f>CONST_ElecConsumption&amp;G498</f>
        <v>ElecCons_</v>
      </c>
      <c r="S534" s="102"/>
      <c r="T534" s="124" t="str">
        <f>IF(G498="","",SUM(T509)*SUM(L534))</f>
        <v/>
      </c>
      <c r="U534" s="105" t="str">
        <f>IF(G498="","",IF(M534="",CONST_ERR_Incomplete,MATCH(M534,CONST_MeasDefaultUnknown,0)=2))</f>
        <v/>
      </c>
      <c r="V534" s="105" t="str">
        <f>IF(AND(G498&lt;&gt;"",COUNTA(L534:M534)=2),TRUE,IF(AND(G498&lt;&gt;"",COUNTA(L534:M534)&lt;2),CONST_ErrorOrMissing&amp;C498,CONST_NA))</f>
        <v>n.a.</v>
      </c>
      <c r="W534" s="156"/>
      <c r="X534" s="156"/>
      <c r="Z534" s="171"/>
    </row>
    <row r="535" spans="1:26" ht="12.75" customHeight="1" x14ac:dyDescent="0.35">
      <c r="B535" s="94"/>
      <c r="C535" s="192"/>
      <c r="D535" s="197" t="s">
        <v>43</v>
      </c>
      <c r="E535" s="1144" t="str">
        <f>Translations!$B$1971</f>
        <v>Electricity emission factor (for SEE (indirect))</v>
      </c>
      <c r="F535" s="1144"/>
      <c r="G535" s="1144"/>
      <c r="H535" s="1144"/>
      <c r="I535" s="1144"/>
      <c r="J535" s="1144"/>
      <c r="K535" s="1145" t="str">
        <f>IF(K533="","",CONST_tCO2eq&amp;"/"&amp;CONST_MWh)</f>
        <v/>
      </c>
      <c r="L535" s="1146"/>
      <c r="M535" s="762"/>
      <c r="N535" s="196"/>
      <c r="O535" s="945"/>
      <c r="R535" s="102" t="str">
        <f>CONST_CNTR_ElecEFMethod&amp;G498</f>
        <v>ElecEFMeth_</v>
      </c>
      <c r="S535" s="102"/>
      <c r="T535" s="124"/>
      <c r="U535" s="105" t="str">
        <f>IF(G498="","",M535)</f>
        <v/>
      </c>
      <c r="V535" s="105" t="str">
        <f>IF(AND(G498&lt;&gt;"",COUNTA(L535:M535)=2),TRUE,IF(AND(G498&lt;&gt;"",COUNTA(L535:M535)&lt;2),CONST_ErrorOrMissing&amp;C498,CONST_NA))</f>
        <v>n.a.</v>
      </c>
      <c r="W535" s="156"/>
      <c r="X535" s="156"/>
      <c r="Z535" s="171"/>
    </row>
    <row r="536" spans="1:26" x14ac:dyDescent="0.35">
      <c r="B536" s="94"/>
      <c r="C536" s="192"/>
      <c r="D536" s="197" t="s">
        <v>44</v>
      </c>
      <c r="E536" s="201" t="str">
        <f>Translations!$B$1972</f>
        <v>Specific embedded indirect emissions (SEE (indirect))</v>
      </c>
      <c r="F536" s="201"/>
      <c r="G536" s="201"/>
      <c r="H536" s="201"/>
      <c r="I536" s="201"/>
      <c r="J536" s="201"/>
      <c r="K536" s="217" t="str">
        <f>K533</f>
        <v/>
      </c>
      <c r="L536" s="1147" t="str">
        <f>IF(COUNT(L534:L535)=0,"",L534*L535)</f>
        <v/>
      </c>
      <c r="M536" s="758"/>
      <c r="N536" s="196"/>
      <c r="O536" s="428"/>
      <c r="R536" s="171"/>
      <c r="S536" s="102" t="str">
        <f>CONST_CNTR_EmbedEmInDir&amp;G498</f>
        <v>EmbedEmInDir_</v>
      </c>
      <c r="T536" s="124" t="str">
        <f>IF(G498="","",SUM(T509)*SUM(L536))</f>
        <v/>
      </c>
      <c r="Z536" s="171"/>
    </row>
    <row r="537" spans="1:26" ht="5.15" customHeight="1" x14ac:dyDescent="0.35">
      <c r="B537" s="94"/>
      <c r="C537" s="192"/>
      <c r="D537" s="197"/>
      <c r="E537" s="195"/>
      <c r="F537" s="195"/>
      <c r="G537" s="195"/>
      <c r="H537" s="195"/>
      <c r="I537" s="195"/>
      <c r="J537" s="195"/>
      <c r="K537" s="195"/>
      <c r="L537" s="195"/>
      <c r="M537" s="195"/>
      <c r="N537" s="196"/>
      <c r="O537" s="428"/>
      <c r="R537" s="171"/>
      <c r="S537" s="171"/>
      <c r="T537" s="125"/>
      <c r="U537" s="156"/>
      <c r="V537" s="172"/>
      <c r="W537" s="172"/>
      <c r="X537" s="172"/>
      <c r="Z537" s="171"/>
    </row>
    <row r="538" spans="1:26" ht="12.75" customHeight="1" x14ac:dyDescent="0.35">
      <c r="B538" s="94"/>
      <c r="C538" s="192"/>
      <c r="D538" s="197" t="s">
        <v>45</v>
      </c>
      <c r="E538" s="201" t="str">
        <f>Translations!$B$1858</f>
        <v>Justification for use of default values (if relevant):</v>
      </c>
      <c r="F538" s="201"/>
      <c r="G538" s="201"/>
      <c r="H538" s="201"/>
      <c r="I538" s="201"/>
      <c r="J538" s="201"/>
      <c r="K538" s="1329"/>
      <c r="L538" s="1329"/>
      <c r="M538" s="1329"/>
      <c r="N538" s="196"/>
      <c r="O538" s="945"/>
      <c r="R538" s="171"/>
      <c r="S538" s="171"/>
      <c r="T538" s="125"/>
      <c r="U538" s="156"/>
      <c r="V538" s="105" t="str">
        <f>IF(OR(G498="",Z538=TRUE),CONST_NA,IF(K538&lt;&gt;"",TRUE,CONST_ErrorOrMissing&amp;C498))</f>
        <v>n.a.</v>
      </c>
      <c r="W538" s="172"/>
      <c r="X538" s="172"/>
      <c r="Z538" s="102" t="b">
        <f>AND(M533&lt;&gt;"",M533&lt;&gt;INDEX(CONST_MeasDefaultUnknown,2),M534&lt;&gt;"",M534&lt;&gt;INDEX(CONST_MeasDefaultUnknown,2))</f>
        <v>0</v>
      </c>
    </row>
    <row r="539" spans="1:26" s="144" customFormat="1" ht="12.75" customHeight="1" thickBot="1" x14ac:dyDescent="0.4">
      <c r="A539" s="91"/>
      <c r="B539" s="94"/>
      <c r="C539" s="206"/>
      <c r="D539" s="207"/>
      <c r="E539" s="208"/>
      <c r="F539" s="209"/>
      <c r="G539" s="209"/>
      <c r="H539" s="209"/>
      <c r="I539" s="209"/>
      <c r="J539" s="209"/>
      <c r="K539" s="209"/>
      <c r="L539" s="209"/>
      <c r="M539" s="209"/>
      <c r="N539" s="210"/>
      <c r="O539" s="428"/>
      <c r="P539" s="94"/>
      <c r="Q539" s="93"/>
      <c r="R539" s="91"/>
      <c r="S539" s="91"/>
      <c r="T539" s="712"/>
      <c r="U539" s="91"/>
      <c r="V539" s="91"/>
      <c r="W539" s="91"/>
      <c r="X539" s="91"/>
      <c r="Y539" s="91"/>
      <c r="Z539" s="91"/>
    </row>
    <row r="540" spans="1:26" s="144" customFormat="1" ht="12.75" customHeight="1" thickBot="1" x14ac:dyDescent="0.4">
      <c r="A540" s="91"/>
      <c r="B540" s="94"/>
      <c r="O540" s="428"/>
      <c r="P540" s="94"/>
      <c r="Q540" s="93"/>
      <c r="R540" s="91"/>
      <c r="S540" s="91"/>
      <c r="T540" s="712"/>
      <c r="U540" s="91"/>
      <c r="V540" s="91"/>
      <c r="W540" s="91"/>
      <c r="X540" s="91"/>
      <c r="Y540" s="91"/>
      <c r="Z540" s="91"/>
    </row>
    <row r="541" spans="1:26" s="144" customFormat="1" ht="12.75" customHeight="1" thickBot="1" x14ac:dyDescent="0.4">
      <c r="A541" s="91"/>
      <c r="B541" s="946"/>
      <c r="C541" s="145"/>
      <c r="D541" s="145"/>
      <c r="E541" s="145"/>
      <c r="F541" s="145"/>
      <c r="G541" s="145"/>
      <c r="H541" s="145"/>
      <c r="I541" s="145"/>
      <c r="J541" s="145"/>
      <c r="K541" s="145"/>
      <c r="L541" s="145"/>
      <c r="M541" s="145"/>
      <c r="N541" s="145"/>
      <c r="O541" s="947"/>
      <c r="P541" s="94"/>
      <c r="Q541" s="93"/>
      <c r="R541" s="91"/>
      <c r="S541" s="91"/>
      <c r="T541" s="712"/>
      <c r="U541" s="91"/>
      <c r="V541" s="91"/>
      <c r="W541" s="91"/>
      <c r="X541" s="91"/>
      <c r="Y541" s="91"/>
      <c r="Z541" s="91"/>
    </row>
    <row r="542" spans="1:26" ht="18" customHeight="1" thickBot="1" x14ac:dyDescent="0.4">
      <c r="B542" s="94"/>
      <c r="C542" s="147">
        <f>C498+1</f>
        <v>13</v>
      </c>
      <c r="D542" s="944" t="str">
        <f>CONST_PurchPrecursor &amp; " " &amp; C542 &amp; ":"</f>
        <v>Purchased precursor 13:</v>
      </c>
      <c r="E542" s="144"/>
      <c r="F542" s="144"/>
      <c r="G542" s="1313" t="str">
        <f>IF(INDEX(CNTR_List_ExistPurchPrecNames,MATCH(R542,CNTR_ListPurchPrecID,0))=CONST_NA,"",INDEX(CNTR_List_ExistPurchPrecNames,MATCH(R542,CNTR_ListPurchPrecID,0)))</f>
        <v/>
      </c>
      <c r="H542" s="1314"/>
      <c r="I542" s="1314"/>
      <c r="J542" s="1314"/>
      <c r="K542" s="1315"/>
      <c r="L542" s="1316" t="str">
        <f>IF(INDEX(CNTR_List_ExistPurchPrec,MATCH(R542,CNTR_ListPurchPrecID,0))=CONST_NA,"",INDEX(CNTR_List_ExistPurchPrec,MATCH(R542,CNTR_ListPurchPrecID,0)))</f>
        <v/>
      </c>
      <c r="M542" s="1317"/>
      <c r="N542" s="1318"/>
      <c r="O542" s="428"/>
      <c r="R542" s="149" t="str">
        <f>INDEX(CNTR_ListPurchPrecID,C542)</f>
        <v>PP13</v>
      </c>
      <c r="Y542" s="104" t="s">
        <v>2748</v>
      </c>
      <c r="Z542" s="150" t="b">
        <f>AND(CNTR_HasEntriesA,G542="")</f>
        <v>0</v>
      </c>
    </row>
    <row r="543" spans="1:26" ht="26.5" customHeight="1" x14ac:dyDescent="0.35">
      <c r="B543" s="94"/>
      <c r="C543" s="144"/>
      <c r="D543" s="914"/>
      <c r="E543" s="1325" t="str">
        <f ca="1">HYPERLINK("#"&amp;ADDRESS(MATCH($S543,G_FurtherGuidance!$S:$S,0),3,,,G_FurtherGuidance!$U$2),CONST_LinkToGuidanceSheet)</f>
        <v>Please click on this link for further guidance on how to complete this section.</v>
      </c>
      <c r="F543" s="1326"/>
      <c r="G543" s="1326"/>
      <c r="H543" s="1326"/>
      <c r="I543" s="1326"/>
      <c r="J543" s="1326"/>
      <c r="K543" s="1326"/>
      <c r="L543" s="1326"/>
      <c r="M543" s="1326"/>
      <c r="N543" s="144"/>
      <c r="O543" s="428"/>
      <c r="R543" s="104" t="s">
        <v>2771</v>
      </c>
      <c r="S543" s="105">
        <v>4</v>
      </c>
      <c r="Y543" s="104"/>
    </row>
    <row r="544" spans="1:26" ht="12.75" customHeight="1" x14ac:dyDescent="0.35">
      <c r="B544" s="94"/>
      <c r="C544" s="144"/>
      <c r="D544" s="168" t="s">
        <v>135</v>
      </c>
      <c r="E544" s="167" t="str">
        <f>Translations!$B$276</f>
        <v>Total purchased levels:</v>
      </c>
      <c r="F544" s="144"/>
      <c r="G544" s="144"/>
      <c r="H544" s="151" t="str">
        <f>Translations!$B$244</f>
        <v>Production route</v>
      </c>
      <c r="I544" s="144"/>
      <c r="J544" s="144"/>
      <c r="K544" s="152" t="str">
        <f>Translations!$B$221</f>
        <v>Unit</v>
      </c>
      <c r="L544" s="152" t="str">
        <f>Translations!$B$245</f>
        <v>Amounts</v>
      </c>
      <c r="M544" s="144"/>
      <c r="N544" s="144"/>
      <c r="O544" s="428"/>
      <c r="Y544" s="91" t="s">
        <v>4077</v>
      </c>
    </row>
    <row r="545" spans="1:26" ht="12.75" customHeight="1" x14ac:dyDescent="0.35">
      <c r="B545" s="94"/>
      <c r="C545" s="144"/>
      <c r="D545" s="173">
        <v>1</v>
      </c>
      <c r="E545" s="153" t="str">
        <f>IF(G542="","",G542) &amp; IF(L542="",""," | " &amp; L542)</f>
        <v/>
      </c>
      <c r="F545" s="153"/>
      <c r="G545" s="153"/>
      <c r="H545" s="154" t="str">
        <f>IF(L542="","",INDEX(CONST_MATRIX_ProductionRoute,MATCH(L542,CONST_LIST_Goods,0),D545))</f>
        <v/>
      </c>
      <c r="I545" s="153"/>
      <c r="J545" s="153"/>
      <c r="K545" s="155" t="str">
        <f>IF(L542="","",INDEX(CONST_LIST_GoodsUnit,MATCH(L542,CONST_LIST_Goods,0)))</f>
        <v/>
      </c>
      <c r="L545" s="29"/>
      <c r="M545" s="144"/>
      <c r="N545" s="144"/>
      <c r="O545" s="945"/>
      <c r="S545" s="105">
        <v>1</v>
      </c>
      <c r="V545" s="105" t="str">
        <f>IF(AND(Y545=FALSE,ISNUMBER(L545)),TRUE,IF(Y545=FALSE,CONST_ErrorOrMissing&amp;C542,CONST_NA))</f>
        <v>n.a.</v>
      </c>
      <c r="Y545" s="105" t="str">
        <f>IF(OR(H545="",H545=CONST_NA),"",IF(H545=CONST_AllProdRoutes,FALSE, COUNTIF(INDEX(CNTR_MatrixPurchPrecRoutes,C542,),S545)=0))</f>
        <v/>
      </c>
    </row>
    <row r="546" spans="1:26" ht="12.75" customHeight="1" x14ac:dyDescent="0.35">
      <c r="B546" s="94"/>
      <c r="C546" s="144"/>
      <c r="D546" s="173">
        <v>2</v>
      </c>
      <c r="E546" s="158" t="str">
        <f t="shared" ref="E546:E552" si="60">IF(H546=CONST_NA,"",E545)</f>
        <v/>
      </c>
      <c r="F546" s="158"/>
      <c r="G546" s="158"/>
      <c r="H546" s="159" t="str">
        <f>IF(L542="","",INDEX(CONST_MATRIX_ProductionRoute,MATCH(L542,CONST_LIST_Goods,0),D546))</f>
        <v/>
      </c>
      <c r="I546" s="158"/>
      <c r="J546" s="158"/>
      <c r="K546" s="160" t="str">
        <f t="shared" ref="K546:K552" si="61">IF(H546=CONST_NA,"",K545)</f>
        <v/>
      </c>
      <c r="L546" s="30"/>
      <c r="M546" s="144"/>
      <c r="N546" s="144"/>
      <c r="O546" s="945"/>
      <c r="S546" s="105">
        <v>2</v>
      </c>
      <c r="V546" s="105" t="str">
        <f>IF(AND(Y546=FALSE,ISNUMBER(L546)),TRUE,IF(Y546=FALSE,CONST_ErrorOrMissing&amp;C542,CONST_NA))</f>
        <v>n.a.</v>
      </c>
      <c r="Y546" s="105" t="str">
        <f>IF(OR(H546="",H546=CONST_NA),"",IF(H546=CONST_AllProdRoutes,FALSE, COUNTIF(INDEX(CNTR_MatrixPurchPrecRoutes,C542,),S546)=0))</f>
        <v/>
      </c>
    </row>
    <row r="547" spans="1:26" ht="12.75" customHeight="1" x14ac:dyDescent="0.35">
      <c r="B547" s="94"/>
      <c r="C547" s="144"/>
      <c r="D547" s="173">
        <v>3</v>
      </c>
      <c r="E547" s="158" t="str">
        <f t="shared" si="60"/>
        <v/>
      </c>
      <c r="F547" s="158"/>
      <c r="G547" s="158"/>
      <c r="H547" s="159" t="str">
        <f>IF(L542="","",INDEX(CONST_MATRIX_ProductionRoute,MATCH(L542,CONST_LIST_Goods,0),D547))</f>
        <v/>
      </c>
      <c r="I547" s="158"/>
      <c r="J547" s="158"/>
      <c r="K547" s="160" t="str">
        <f t="shared" si="61"/>
        <v/>
      </c>
      <c r="L547" s="30"/>
      <c r="M547" s="144"/>
      <c r="N547" s="144"/>
      <c r="O547" s="945"/>
      <c r="S547" s="105">
        <v>3</v>
      </c>
      <c r="V547" s="105" t="str">
        <f>IF(AND(Y547=FALSE,ISNUMBER(L547)),TRUE,IF(Y547=FALSE,CONST_ErrorOrMissing&amp;C542,CONST_NA))</f>
        <v>n.a.</v>
      </c>
      <c r="Y547" s="105" t="str">
        <f>IF(OR(H547="",H547=CONST_NA),"",IF(H547=CONST_AllProdRoutes,FALSE, COUNTIF(INDEX(CNTR_MatrixPurchPrecRoutes,C542,),S547)=0))</f>
        <v/>
      </c>
    </row>
    <row r="548" spans="1:26" ht="12.75" customHeight="1" x14ac:dyDescent="0.35">
      <c r="B548" s="94"/>
      <c r="C548" s="144"/>
      <c r="D548" s="173">
        <v>4</v>
      </c>
      <c r="E548" s="158" t="str">
        <f t="shared" si="60"/>
        <v/>
      </c>
      <c r="F548" s="158"/>
      <c r="G548" s="158"/>
      <c r="H548" s="159" t="str">
        <f>IF(L542="","",INDEX(CONST_MATRIX_ProductionRoute,MATCH(L542,CONST_LIST_Goods,0),D548))</f>
        <v/>
      </c>
      <c r="I548" s="158"/>
      <c r="J548" s="158"/>
      <c r="K548" s="160" t="str">
        <f t="shared" si="61"/>
        <v/>
      </c>
      <c r="L548" s="30"/>
      <c r="M548" s="144"/>
      <c r="N548" s="144"/>
      <c r="O548" s="945"/>
      <c r="S548" s="105">
        <v>4</v>
      </c>
      <c r="V548" s="105" t="str">
        <f>IF(AND(Y548=FALSE,ISNUMBER(L548)),TRUE,IF(Y548=FALSE,CONST_ErrorOrMissing&amp;C542,CONST_NA))</f>
        <v>n.a.</v>
      </c>
      <c r="Y548" s="105" t="str">
        <f>IF(OR(H548="",H548=CONST_NA),"",IF(H548=CONST_AllProdRoutes,FALSE, COUNTIF(INDEX(CNTR_MatrixPurchPrecRoutes,C542,),S548)=0))</f>
        <v/>
      </c>
    </row>
    <row r="549" spans="1:26" ht="12.75" customHeight="1" x14ac:dyDescent="0.35">
      <c r="B549" s="94"/>
      <c r="C549" s="144"/>
      <c r="D549" s="173">
        <v>5</v>
      </c>
      <c r="E549" s="158" t="str">
        <f t="shared" si="60"/>
        <v/>
      </c>
      <c r="F549" s="158"/>
      <c r="G549" s="158"/>
      <c r="H549" s="159" t="str">
        <f>IF(L542="","",INDEX(CONST_MATRIX_ProductionRoute,MATCH(L542,CONST_LIST_Goods,0),D549))</f>
        <v/>
      </c>
      <c r="I549" s="158"/>
      <c r="J549" s="158"/>
      <c r="K549" s="160" t="str">
        <f t="shared" si="61"/>
        <v/>
      </c>
      <c r="L549" s="30"/>
      <c r="M549" s="144"/>
      <c r="N549" s="144"/>
      <c r="O549" s="945"/>
      <c r="S549" s="105">
        <v>5</v>
      </c>
      <c r="V549" s="105" t="str">
        <f>IF(AND(Y549=FALSE,ISNUMBER(L549)),TRUE,IF(Y549=FALSE,CONST_ErrorOrMissing&amp;C542,CONST_NA))</f>
        <v>n.a.</v>
      </c>
      <c r="Y549" s="105" t="str">
        <f>IF(OR(H549="",H549=CONST_NA),"",IF(H549=CONST_AllProdRoutes,FALSE, COUNTIF(INDEX(CNTR_MatrixPurchPrecRoutes,C542,),S549)=0))</f>
        <v/>
      </c>
    </row>
    <row r="550" spans="1:26" ht="12.75" customHeight="1" x14ac:dyDescent="0.35">
      <c r="B550" s="94"/>
      <c r="C550" s="144"/>
      <c r="D550" s="173">
        <v>6</v>
      </c>
      <c r="E550" s="158" t="str">
        <f t="shared" si="60"/>
        <v/>
      </c>
      <c r="F550" s="158"/>
      <c r="G550" s="158"/>
      <c r="H550" s="159" t="str">
        <f>IF(L542="","",INDEX(CONST_MATRIX_ProductionRoute,MATCH(L542,CONST_LIST_Goods,0),D550))</f>
        <v/>
      </c>
      <c r="I550" s="158"/>
      <c r="J550" s="158"/>
      <c r="K550" s="160" t="str">
        <f t="shared" si="61"/>
        <v/>
      </c>
      <c r="L550" s="30"/>
      <c r="M550" s="144"/>
      <c r="N550" s="144"/>
      <c r="O550" s="945"/>
      <c r="S550" s="105">
        <v>6</v>
      </c>
      <c r="V550" s="105" t="str">
        <f>IF(AND(Y550=FALSE,ISNUMBER(L550)),TRUE,IF(Y550=FALSE,CONST_ErrorOrMissing&amp;C542,CONST_NA))</f>
        <v>n.a.</v>
      </c>
      <c r="Y550" s="105" t="str">
        <f>IF(OR(H550="",H550=CONST_NA),"",IF(H550=CONST_AllProdRoutes,FALSE, COUNTIF(INDEX(CNTR_MatrixPurchPrecRoutes,C542,),S550)=0))</f>
        <v/>
      </c>
    </row>
    <row r="551" spans="1:26" ht="12.75" customHeight="1" x14ac:dyDescent="0.35">
      <c r="B551" s="94"/>
      <c r="C551" s="144"/>
      <c r="D551" s="173">
        <v>7</v>
      </c>
      <c r="E551" s="158" t="str">
        <f t="shared" si="60"/>
        <v/>
      </c>
      <c r="F551" s="158"/>
      <c r="G551" s="158"/>
      <c r="H551" s="159" t="str">
        <f>IF(L542="","",INDEX(CONST_MATRIX_ProductionRoute,MATCH(L542,CONST_LIST_Goods,0),D551))</f>
        <v/>
      </c>
      <c r="I551" s="158"/>
      <c r="J551" s="158"/>
      <c r="K551" s="160" t="str">
        <f t="shared" si="61"/>
        <v/>
      </c>
      <c r="L551" s="30"/>
      <c r="M551" s="144"/>
      <c r="N551" s="144"/>
      <c r="O551" s="945"/>
      <c r="S551" s="105">
        <v>7</v>
      </c>
      <c r="V551" s="105" t="str">
        <f>IF(AND(Y551=FALSE,ISNUMBER(L551)),TRUE,IF(Y551=FALSE,CONST_ErrorOrMissing&amp;C542,CONST_NA))</f>
        <v>n.a.</v>
      </c>
      <c r="Y551" s="105" t="str">
        <f>IF(OR(H551="",H551=CONST_NA),"",IF(H551=CONST_AllProdRoutes,FALSE, COUNTIF(INDEX(CNTR_MatrixPurchPrecRoutes,C542,),S551)=0))</f>
        <v/>
      </c>
    </row>
    <row r="552" spans="1:26" ht="12.75" customHeight="1" x14ac:dyDescent="0.35">
      <c r="B552" s="94"/>
      <c r="C552" s="144"/>
      <c r="D552" s="173">
        <v>8</v>
      </c>
      <c r="E552" s="161" t="str">
        <f t="shared" si="60"/>
        <v/>
      </c>
      <c r="F552" s="161"/>
      <c r="G552" s="161"/>
      <c r="H552" s="162" t="str">
        <f>IF(L542="","",INDEX(CONST_MATRIX_ProductionRoute,MATCH(L542,CONST_LIST_Goods,0),D552))</f>
        <v/>
      </c>
      <c r="I552" s="161"/>
      <c r="J552" s="161"/>
      <c r="K552" s="163" t="str">
        <f t="shared" si="61"/>
        <v/>
      </c>
      <c r="L552" s="31"/>
      <c r="M552" s="144"/>
      <c r="N552" s="144"/>
      <c r="O552" s="945"/>
      <c r="S552" s="105">
        <v>8</v>
      </c>
      <c r="V552" s="105" t="str">
        <f>IF(AND(Y552=FALSE,ISNUMBER(L552)),TRUE,IF(Y552=FALSE,CONST_ErrorOrMissing&amp;C542,CONST_NA))</f>
        <v>n.a.</v>
      </c>
      <c r="Y552" s="105" t="str">
        <f>IF(OR(H552="",H552=CONST_NA),"",IF(H552=CONST_AllProdRoutes,FALSE, COUNTIF(INDEX(CNTR_MatrixPurchPrecRoutes,C542,),S552)=0))</f>
        <v/>
      </c>
    </row>
    <row r="553" spans="1:26" ht="12.75" customHeight="1" x14ac:dyDescent="0.35">
      <c r="B553" s="94"/>
      <c r="C553" s="144"/>
      <c r="D553" s="914"/>
      <c r="E553" s="138" t="str">
        <f>Translations!$B$1966</f>
        <v>Total purchase for possible consumption within installation:</v>
      </c>
      <c r="F553" s="138"/>
      <c r="G553" s="138"/>
      <c r="H553" s="164"/>
      <c r="I553" s="138"/>
      <c r="J553" s="138"/>
      <c r="K553" s="169" t="str">
        <f>K545</f>
        <v/>
      </c>
      <c r="L553" s="386" t="str">
        <f>IF(G542="","",SUM(L545:L552))</f>
        <v/>
      </c>
      <c r="M553" s="144"/>
      <c r="N553" s="144"/>
      <c r="O553" s="428"/>
      <c r="R553" s="102" t="str">
        <f>CONST_CNTR_TotProd&amp;G542</f>
        <v>TotProd_</v>
      </c>
      <c r="T553" s="216" t="str">
        <f>IF(G542="","",IF(SUM(L553)=0,100,L553))</f>
        <v/>
      </c>
      <c r="V553" s="123"/>
    </row>
    <row r="554" spans="1:26" s="144" customFormat="1" ht="5.15" customHeight="1" x14ac:dyDescent="0.35">
      <c r="A554" s="91"/>
      <c r="B554" s="94"/>
      <c r="D554" s="166"/>
      <c r="E554" s="167"/>
      <c r="O554" s="428"/>
      <c r="P554" s="94"/>
      <c r="Q554" s="93"/>
      <c r="R554" s="91"/>
      <c r="S554" s="91"/>
      <c r="T554" s="712"/>
      <c r="U554" s="91"/>
      <c r="V554" s="123"/>
      <c r="W554" s="91"/>
      <c r="X554" s="91"/>
      <c r="Y554" s="91"/>
      <c r="Z554" s="91"/>
    </row>
    <row r="555" spans="1:26" s="144" customFormat="1" ht="12.75" customHeight="1" x14ac:dyDescent="0.35">
      <c r="A555" s="91"/>
      <c r="B555" s="94"/>
      <c r="D555" s="168" t="s">
        <v>48</v>
      </c>
      <c r="E555" s="167" t="str">
        <f>Translations!$B$1967</f>
        <v>Consumed in 'production processes' within the installation:</v>
      </c>
      <c r="F555" s="167"/>
      <c r="G555" s="167"/>
      <c r="H555" s="167"/>
      <c r="I555" s="167"/>
      <c r="J555" s="167"/>
      <c r="K555" s="168" t="str">
        <f>Translations!$B$221</f>
        <v>Unit</v>
      </c>
      <c r="L555" s="168" t="str">
        <f>Translations!$B$245</f>
        <v>Amounts</v>
      </c>
      <c r="O555" s="428"/>
      <c r="P555" s="94"/>
      <c r="Q555" s="93"/>
      <c r="R555" s="91"/>
      <c r="S555" s="123" t="s">
        <v>195</v>
      </c>
      <c r="T555" s="712"/>
      <c r="U555" s="91"/>
      <c r="V555" s="123"/>
      <c r="W555" s="91"/>
      <c r="X555" s="91"/>
      <c r="Y555" s="91"/>
      <c r="Z555" s="91"/>
    </row>
    <row r="556" spans="1:26" s="144" customFormat="1" ht="12.75" customHeight="1" x14ac:dyDescent="0.35">
      <c r="A556" s="91"/>
      <c r="B556" s="94"/>
      <c r="D556" s="173">
        <v>1</v>
      </c>
      <c r="E556" s="174" t="str">
        <f t="shared" ref="E556:E565" si="62">IF(INDEX(CNTR_List_ExistProdProcNames,S556)=CONST_NA,"",INDEX(CNTR_List_ExistProdProcNames,S556))</f>
        <v/>
      </c>
      <c r="F556" s="175"/>
      <c r="G556" s="175"/>
      <c r="H556" s="175"/>
      <c r="I556" s="175"/>
      <c r="J556" s="176"/>
      <c r="K556" s="155" t="str">
        <f>IF(E556="","",K553)</f>
        <v/>
      </c>
      <c r="L556" s="29"/>
      <c r="O556" s="945"/>
      <c r="P556" s="94"/>
      <c r="Q556" s="93"/>
      <c r="R556" s="102" t="str">
        <f>CONST_PrecursorToGoodInput&amp;G542 &amp;"_"&amp;E556</f>
        <v>PrecToGood__</v>
      </c>
      <c r="S556" s="105">
        <f>D556</f>
        <v>1</v>
      </c>
      <c r="T556" s="124" t="str">
        <f>IF(G542="","",L556)</f>
        <v/>
      </c>
      <c r="U556" s="91"/>
      <c r="V556" s="105" t="str">
        <f>IF(AND(G542&lt;&gt;"",E556&lt;&gt;"",L556&lt;&gt;""),TRUE,IF(AND(G542&lt;&gt;"",E556&lt;&gt;"",L556="",Z556=FALSE),CONST_ErrorOrMissing&amp;C542,CONST_NA))</f>
        <v>n.a.</v>
      </c>
      <c r="W556" s="172"/>
      <c r="X556" s="172"/>
      <c r="Y556" s="91" t="s">
        <v>34</v>
      </c>
      <c r="Z556" s="102" t="b">
        <f>IF(G542="",FALSE,E556="")</f>
        <v>0</v>
      </c>
    </row>
    <row r="557" spans="1:26" s="144" customFormat="1" ht="12.75" customHeight="1" x14ac:dyDescent="0.35">
      <c r="A557" s="91"/>
      <c r="B557" s="94"/>
      <c r="D557" s="173">
        <v>2</v>
      </c>
      <c r="E557" s="177" t="str">
        <f t="shared" si="62"/>
        <v/>
      </c>
      <c r="F557" s="178"/>
      <c r="G557" s="178"/>
      <c r="H557" s="178"/>
      <c r="I557" s="178"/>
      <c r="J557" s="179"/>
      <c r="K557" s="160" t="str">
        <f>IF(E557="","",K556)</f>
        <v/>
      </c>
      <c r="L557" s="30"/>
      <c r="O557" s="945"/>
      <c r="P557" s="94"/>
      <c r="Q557" s="93"/>
      <c r="R557" s="102" t="str">
        <f>CONST_PrecursorToGoodInput&amp;G542 &amp;"_"&amp;E557</f>
        <v>PrecToGood__</v>
      </c>
      <c r="S557" s="105">
        <f t="shared" ref="S557:S565" si="63">D557</f>
        <v>2</v>
      </c>
      <c r="T557" s="124" t="str">
        <f>IF(G542="","",L557)</f>
        <v/>
      </c>
      <c r="U557" s="91"/>
      <c r="V557" s="105" t="str">
        <f>IF(AND(G542&lt;&gt;"",E557&lt;&gt;"",L557&lt;&gt;""),TRUE,IF(AND(G542&lt;&gt;"",E557&lt;&gt;"",L557="",Z557=FALSE),CONST_ErrorOrMissing&amp;C542,CONST_NA))</f>
        <v>n.a.</v>
      </c>
      <c r="W557" s="172"/>
      <c r="X557" s="172"/>
      <c r="Y557" s="91"/>
      <c r="Z557" s="102" t="b">
        <f>IF(G542="",FALSE,E557="")</f>
        <v>0</v>
      </c>
    </row>
    <row r="558" spans="1:26" s="144" customFormat="1" ht="12.75" customHeight="1" x14ac:dyDescent="0.35">
      <c r="A558" s="91"/>
      <c r="B558" s="94"/>
      <c r="D558" s="173">
        <v>3</v>
      </c>
      <c r="E558" s="177" t="str">
        <f t="shared" si="62"/>
        <v/>
      </c>
      <c r="F558" s="178"/>
      <c r="G558" s="178"/>
      <c r="H558" s="178"/>
      <c r="I558" s="178"/>
      <c r="J558" s="179"/>
      <c r="K558" s="160" t="str">
        <f t="shared" ref="K558:K565" si="64">IF(E558="","",K557)</f>
        <v/>
      </c>
      <c r="L558" s="30"/>
      <c r="O558" s="945"/>
      <c r="P558" s="94"/>
      <c r="Q558" s="93"/>
      <c r="R558" s="102" t="str">
        <f>CONST_PrecursorToGoodInput&amp;G542 &amp;"_"&amp;E558</f>
        <v>PrecToGood__</v>
      </c>
      <c r="S558" s="105">
        <f t="shared" si="63"/>
        <v>3</v>
      </c>
      <c r="T558" s="124" t="str">
        <f>IF(G542="","",L558)</f>
        <v/>
      </c>
      <c r="U558" s="91"/>
      <c r="V558" s="105" t="str">
        <f>IF(AND(G542&lt;&gt;"",E558&lt;&gt;"",L558&lt;&gt;""),TRUE,IF(AND(G542&lt;&gt;"",E558&lt;&gt;"",L558="",Z558=FALSE),CONST_ErrorOrMissing&amp;C542,CONST_NA))</f>
        <v>n.a.</v>
      </c>
      <c r="W558" s="172"/>
      <c r="X558" s="172"/>
      <c r="Y558" s="91"/>
      <c r="Z558" s="102" t="b">
        <f>IF(G542="",FALSE,E558="")</f>
        <v>0</v>
      </c>
    </row>
    <row r="559" spans="1:26" s="144" customFormat="1" ht="12.75" customHeight="1" x14ac:dyDescent="0.35">
      <c r="A559" s="91"/>
      <c r="B559" s="94"/>
      <c r="D559" s="173">
        <v>4</v>
      </c>
      <c r="E559" s="177" t="str">
        <f t="shared" si="62"/>
        <v/>
      </c>
      <c r="F559" s="178"/>
      <c r="G559" s="178"/>
      <c r="H559" s="178"/>
      <c r="I559" s="178"/>
      <c r="J559" s="179"/>
      <c r="K559" s="160" t="str">
        <f t="shared" si="64"/>
        <v/>
      </c>
      <c r="L559" s="30"/>
      <c r="O559" s="945"/>
      <c r="P559" s="94"/>
      <c r="Q559" s="93"/>
      <c r="R559" s="102" t="str">
        <f>CONST_PrecursorToGoodInput&amp;G542 &amp;"_"&amp;E559</f>
        <v>PrecToGood__</v>
      </c>
      <c r="S559" s="105">
        <f t="shared" si="63"/>
        <v>4</v>
      </c>
      <c r="T559" s="124" t="str">
        <f>IF(G542="","",L559)</f>
        <v/>
      </c>
      <c r="U559" s="91"/>
      <c r="V559" s="105" t="str">
        <f>IF(AND(G542&lt;&gt;"",E559&lt;&gt;"",L559&lt;&gt;""),TRUE,IF(AND(G542&lt;&gt;"",E559&lt;&gt;"",L559="",Z559=FALSE),CONST_ErrorOrMissing&amp;C542,CONST_NA))</f>
        <v>n.a.</v>
      </c>
      <c r="W559" s="172"/>
      <c r="X559" s="172"/>
      <c r="Y559" s="91"/>
      <c r="Z559" s="102" t="b">
        <f>IF(G542="",FALSE,E559="")</f>
        <v>0</v>
      </c>
    </row>
    <row r="560" spans="1:26" s="144" customFormat="1" ht="12.75" customHeight="1" x14ac:dyDescent="0.35">
      <c r="A560" s="91"/>
      <c r="B560" s="94"/>
      <c r="D560" s="173">
        <v>5</v>
      </c>
      <c r="E560" s="180" t="str">
        <f t="shared" si="62"/>
        <v/>
      </c>
      <c r="F560" s="181"/>
      <c r="G560" s="181"/>
      <c r="H560" s="181"/>
      <c r="I560" s="181"/>
      <c r="J560" s="182"/>
      <c r="K560" s="183" t="str">
        <f t="shared" si="64"/>
        <v/>
      </c>
      <c r="L560" s="212"/>
      <c r="O560" s="945"/>
      <c r="P560" s="94"/>
      <c r="Q560" s="93"/>
      <c r="R560" s="102" t="str">
        <f>CONST_PrecursorToGoodInput&amp;G542 &amp;"_"&amp;E560</f>
        <v>PrecToGood__</v>
      </c>
      <c r="S560" s="105">
        <f t="shared" si="63"/>
        <v>5</v>
      </c>
      <c r="T560" s="124" t="str">
        <f>IF(G542="","",L560)</f>
        <v/>
      </c>
      <c r="U560" s="91"/>
      <c r="V560" s="105" t="str">
        <f>IF(AND(G542&lt;&gt;"",E560&lt;&gt;"",L560&lt;&gt;""),TRUE,IF(AND(G542&lt;&gt;"",E560&lt;&gt;"",L560="",Z560=FALSE),CONST_ErrorOrMissing&amp;C542,CONST_NA))</f>
        <v>n.a.</v>
      </c>
      <c r="W560" s="172"/>
      <c r="X560" s="172"/>
      <c r="Y560" s="91"/>
      <c r="Z560" s="102" t="b">
        <f>IF(G542="",FALSE,E560="")</f>
        <v>0</v>
      </c>
    </row>
    <row r="561" spans="1:26" s="144" customFormat="1" ht="12.75" customHeight="1" x14ac:dyDescent="0.35">
      <c r="A561" s="91"/>
      <c r="B561" s="94"/>
      <c r="D561" s="173">
        <v>6</v>
      </c>
      <c r="E561" s="180" t="str">
        <f t="shared" si="62"/>
        <v/>
      </c>
      <c r="F561" s="181"/>
      <c r="G561" s="181"/>
      <c r="H561" s="181"/>
      <c r="I561" s="181"/>
      <c r="J561" s="182"/>
      <c r="K561" s="183" t="str">
        <f t="shared" si="64"/>
        <v/>
      </c>
      <c r="L561" s="212"/>
      <c r="O561" s="945"/>
      <c r="P561" s="94"/>
      <c r="Q561" s="93"/>
      <c r="R561" s="102" t="str">
        <f>CONST_PrecursorToGoodInput&amp;G542 &amp;"_"&amp;E561</f>
        <v>PrecToGood__</v>
      </c>
      <c r="S561" s="105">
        <f t="shared" si="63"/>
        <v>6</v>
      </c>
      <c r="T561" s="124" t="str">
        <f>IF(G542="","",L561)</f>
        <v/>
      </c>
      <c r="U561" s="91"/>
      <c r="V561" s="105" t="str">
        <f>IF(AND(G542&lt;&gt;"",E561&lt;&gt;"",L561&lt;&gt;""),TRUE,IF(AND(G542&lt;&gt;"",E561&lt;&gt;"",L561="",Z561=FALSE),CONST_ErrorOrMissing&amp;C542,CONST_NA))</f>
        <v>n.a.</v>
      </c>
      <c r="W561" s="172"/>
      <c r="X561" s="172"/>
      <c r="Y561" s="91"/>
      <c r="Z561" s="102" t="b">
        <f>IF(G542="",FALSE,E561="")</f>
        <v>0</v>
      </c>
    </row>
    <row r="562" spans="1:26" s="144" customFormat="1" ht="12.75" customHeight="1" x14ac:dyDescent="0.35">
      <c r="A562" s="91"/>
      <c r="B562" s="94"/>
      <c r="D562" s="173">
        <v>7</v>
      </c>
      <c r="E562" s="180" t="str">
        <f t="shared" si="62"/>
        <v/>
      </c>
      <c r="F562" s="181"/>
      <c r="G562" s="181"/>
      <c r="H562" s="181"/>
      <c r="I562" s="181"/>
      <c r="J562" s="182"/>
      <c r="K562" s="183" t="str">
        <f t="shared" si="64"/>
        <v/>
      </c>
      <c r="L562" s="212"/>
      <c r="O562" s="945"/>
      <c r="P562" s="94"/>
      <c r="Q562" s="93"/>
      <c r="R562" s="102" t="str">
        <f>CONST_PrecursorToGoodInput&amp;G542 &amp;"_"&amp;E562</f>
        <v>PrecToGood__</v>
      </c>
      <c r="S562" s="105">
        <f t="shared" si="63"/>
        <v>7</v>
      </c>
      <c r="T562" s="124" t="str">
        <f>IF(G542="","",L562)</f>
        <v/>
      </c>
      <c r="U562" s="91"/>
      <c r="V562" s="105" t="str">
        <f>IF(AND(G542&lt;&gt;"",E562&lt;&gt;"",L562&lt;&gt;""),TRUE,IF(AND(G542&lt;&gt;"",E562&lt;&gt;"",L562="",Z562=FALSE),CONST_ErrorOrMissing&amp;C542,CONST_NA))</f>
        <v>n.a.</v>
      </c>
      <c r="W562" s="172"/>
      <c r="X562" s="172"/>
      <c r="Y562" s="91"/>
      <c r="Z562" s="102" t="b">
        <f>IF(G542="",FALSE,E562="")</f>
        <v>0</v>
      </c>
    </row>
    <row r="563" spans="1:26" s="144" customFormat="1" ht="12.75" customHeight="1" x14ac:dyDescent="0.35">
      <c r="A563" s="91"/>
      <c r="B563" s="94"/>
      <c r="D563" s="173">
        <v>8</v>
      </c>
      <c r="E563" s="180" t="str">
        <f t="shared" si="62"/>
        <v/>
      </c>
      <c r="F563" s="181"/>
      <c r="G563" s="181"/>
      <c r="H563" s="181"/>
      <c r="I563" s="181"/>
      <c r="J563" s="182"/>
      <c r="K563" s="183" t="str">
        <f t="shared" si="64"/>
        <v/>
      </c>
      <c r="L563" s="212"/>
      <c r="O563" s="945"/>
      <c r="P563" s="94"/>
      <c r="Q563" s="93"/>
      <c r="R563" s="102" t="str">
        <f>CONST_PrecursorToGoodInput&amp;G542 &amp;"_"&amp;E563</f>
        <v>PrecToGood__</v>
      </c>
      <c r="S563" s="105">
        <f t="shared" si="63"/>
        <v>8</v>
      </c>
      <c r="T563" s="124" t="str">
        <f>IF(G542="","",L563)</f>
        <v/>
      </c>
      <c r="U563" s="91"/>
      <c r="V563" s="105" t="str">
        <f>IF(AND(G542&lt;&gt;"",E563&lt;&gt;"",L563&lt;&gt;""),TRUE,IF(AND(G542&lt;&gt;"",E563&lt;&gt;"",L563="",Z563=FALSE),CONST_ErrorOrMissing&amp;C542,CONST_NA))</f>
        <v>n.a.</v>
      </c>
      <c r="W563" s="172"/>
      <c r="X563" s="172"/>
      <c r="Y563" s="91"/>
      <c r="Z563" s="102" t="b">
        <f>IF(G542="",FALSE,E563="")</f>
        <v>0</v>
      </c>
    </row>
    <row r="564" spans="1:26" s="144" customFormat="1" ht="12.75" customHeight="1" x14ac:dyDescent="0.35">
      <c r="A564" s="91"/>
      <c r="B564" s="94"/>
      <c r="D564" s="173">
        <v>9</v>
      </c>
      <c r="E564" s="180" t="str">
        <f t="shared" si="62"/>
        <v/>
      </c>
      <c r="F564" s="181"/>
      <c r="G564" s="181"/>
      <c r="H564" s="181"/>
      <c r="I564" s="181"/>
      <c r="J564" s="182"/>
      <c r="K564" s="183" t="str">
        <f t="shared" si="64"/>
        <v/>
      </c>
      <c r="L564" s="212"/>
      <c r="O564" s="945"/>
      <c r="P564" s="94"/>
      <c r="Q564" s="93"/>
      <c r="R564" s="102" t="str">
        <f>CONST_PrecursorToGoodInput&amp;G542 &amp;"_"&amp;E564</f>
        <v>PrecToGood__</v>
      </c>
      <c r="S564" s="105">
        <f t="shared" si="63"/>
        <v>9</v>
      </c>
      <c r="T564" s="124" t="str">
        <f>IF(G542="","",L564)</f>
        <v/>
      </c>
      <c r="U564" s="91"/>
      <c r="V564" s="105" t="str">
        <f>IF(AND(G542&lt;&gt;"",E564&lt;&gt;"",L564&lt;&gt;""),TRUE,IF(AND(G542&lt;&gt;"",E564&lt;&gt;"",L564="",Z564=FALSE),CONST_ErrorOrMissing&amp;C542,CONST_NA))</f>
        <v>n.a.</v>
      </c>
      <c r="W564" s="172"/>
      <c r="X564" s="172"/>
      <c r="Y564" s="91"/>
      <c r="Z564" s="102" t="b">
        <f>IF(G542="",FALSE,E564="")</f>
        <v>0</v>
      </c>
    </row>
    <row r="565" spans="1:26" s="144" customFormat="1" ht="12.75" customHeight="1" x14ac:dyDescent="0.35">
      <c r="A565" s="91"/>
      <c r="B565" s="94"/>
      <c r="D565" s="173">
        <v>10</v>
      </c>
      <c r="E565" s="184" t="str">
        <f t="shared" si="62"/>
        <v/>
      </c>
      <c r="F565" s="185"/>
      <c r="G565" s="185"/>
      <c r="H565" s="185"/>
      <c r="I565" s="185"/>
      <c r="J565" s="186"/>
      <c r="K565" s="163" t="str">
        <f t="shared" si="64"/>
        <v/>
      </c>
      <c r="L565" s="31"/>
      <c r="O565" s="945"/>
      <c r="P565" s="94"/>
      <c r="Q565" s="93"/>
      <c r="R565" s="102" t="str">
        <f>CONST_PrecursorToGoodInput&amp;G542 &amp;"_"&amp;E565</f>
        <v>PrecToGood__</v>
      </c>
      <c r="S565" s="105">
        <f t="shared" si="63"/>
        <v>10</v>
      </c>
      <c r="T565" s="124" t="str">
        <f>IF(G542="","",L565)</f>
        <v/>
      </c>
      <c r="U565" s="91"/>
      <c r="V565" s="105" t="str">
        <f>IF(AND(G542&lt;&gt;"",E565&lt;&gt;"",L565&lt;&gt;""),TRUE,IF(AND(G542&lt;&gt;"",E565&lt;&gt;"",L565="",Z565=FALSE),CONST_ErrorOrMissing&amp;C542,CONST_NA))</f>
        <v>n.a.</v>
      </c>
      <c r="W565" s="172"/>
      <c r="X565" s="172"/>
      <c r="Y565" s="91"/>
      <c r="Z565" s="102" t="b">
        <f>IF(G542="",FALSE,E565="")</f>
        <v>0</v>
      </c>
    </row>
    <row r="566" spans="1:26" s="144" customFormat="1" ht="12.75" customHeight="1" x14ac:dyDescent="0.35">
      <c r="A566" s="91"/>
      <c r="B566" s="94"/>
      <c r="D566" s="168" t="s">
        <v>49</v>
      </c>
      <c r="E566" s="167" t="str">
        <f>Translations!$B$1968</f>
        <v>Consumed for other purposes, e.g. sold or used for non-CBAM goods:</v>
      </c>
      <c r="F566" s="167"/>
      <c r="G566" s="167"/>
      <c r="H566" s="167"/>
      <c r="I566" s="167"/>
      <c r="J566" s="167"/>
      <c r="K566" s="169" t="str">
        <f>K553</f>
        <v/>
      </c>
      <c r="L566" s="211"/>
      <c r="O566" s="945"/>
      <c r="P566" s="94"/>
      <c r="Q566" s="93"/>
      <c r="R566" s="91"/>
      <c r="S566" s="91"/>
      <c r="T566" s="712"/>
      <c r="U566" s="91"/>
      <c r="V566" s="105" t="str">
        <f>IF(G542="",CONST_NA,IF(ISNUMBER(L566),TRUE,CONST_ErrorOrMissing&amp;C542))</f>
        <v>n.a.</v>
      </c>
      <c r="W566" s="91"/>
      <c r="X566" s="91"/>
      <c r="Y566" s="91"/>
      <c r="Z566" s="91"/>
    </row>
    <row r="567" spans="1:26" s="144" customFormat="1" ht="12.75" customHeight="1" x14ac:dyDescent="0.35">
      <c r="A567" s="91"/>
      <c r="B567" s="94"/>
      <c r="D567" s="168" t="s">
        <v>377</v>
      </c>
      <c r="E567" s="138" t="str">
        <f>Translations!$B$253</f>
        <v>Control:</v>
      </c>
      <c r="F567" s="170"/>
      <c r="G567" s="170"/>
      <c r="H567" s="170"/>
      <c r="I567" s="170"/>
      <c r="J567" s="170"/>
      <c r="K567" s="169" t="str">
        <f>K566</f>
        <v/>
      </c>
      <c r="L567" s="118" t="str">
        <f>IF(G542="","",SUM(L553)-SUM(L556:L566))</f>
        <v/>
      </c>
      <c r="O567" s="945"/>
      <c r="P567" s="94"/>
      <c r="Q567" s="93"/>
      <c r="R567" s="91"/>
      <c r="S567" s="91"/>
      <c r="T567" s="712"/>
      <c r="U567" s="91"/>
      <c r="V567" s="105" t="str">
        <f>IF(G542="",CONST_NA,IF(L567=0,TRUE,CONST_ErrorOrMissing&amp;C542))</f>
        <v>n.a.</v>
      </c>
      <c r="W567" s="91"/>
      <c r="X567" s="91"/>
      <c r="Y567" s="91"/>
      <c r="Z567" s="91"/>
    </row>
    <row r="568" spans="1:26" s="144" customFormat="1" ht="12.75" customHeight="1" thickBot="1" x14ac:dyDescent="0.4">
      <c r="A568" s="91"/>
      <c r="B568" s="94"/>
      <c r="O568" s="428"/>
      <c r="P568" s="94"/>
      <c r="Q568" s="93"/>
      <c r="R568" s="91"/>
      <c r="S568" s="91"/>
      <c r="T568" s="712"/>
      <c r="U568" s="91"/>
      <c r="V568" s="91"/>
      <c r="W568" s="91"/>
      <c r="X568" s="91"/>
      <c r="Y568" s="91"/>
      <c r="Z568" s="91"/>
    </row>
    <row r="569" spans="1:26" ht="12.75" customHeight="1" x14ac:dyDescent="0.35">
      <c r="B569" s="94"/>
      <c r="C569" s="187"/>
      <c r="D569" s="188"/>
      <c r="E569" s="189"/>
      <c r="F569" s="190"/>
      <c r="G569" s="190"/>
      <c r="H569" s="190"/>
      <c r="I569" s="190"/>
      <c r="J569" s="190"/>
      <c r="K569" s="190"/>
      <c r="L569" s="190"/>
      <c r="M569" s="190"/>
      <c r="N569" s="191"/>
      <c r="O569" s="428"/>
      <c r="T569" s="712"/>
    </row>
    <row r="570" spans="1:26" ht="15" customHeight="1" x14ac:dyDescent="0.35">
      <c r="B570" s="94"/>
      <c r="C570" s="192"/>
      <c r="D570" s="193" t="str">
        <f>Translations!$B$279</f>
        <v>Specific embedded emissions:</v>
      </c>
      <c r="E570" s="194"/>
      <c r="F570" s="195"/>
      <c r="G570" s="195"/>
      <c r="H570" s="195"/>
      <c r="I570" s="195"/>
      <c r="J570" s="1327" t="str">
        <f>IF(G542="","",G542)</f>
        <v/>
      </c>
      <c r="K570" s="1327"/>
      <c r="L570" s="1327"/>
      <c r="M570" s="1327"/>
      <c r="N570" s="196"/>
      <c r="O570" s="428"/>
      <c r="T570" s="712"/>
    </row>
    <row r="571" spans="1:26" ht="5.15" customHeight="1" x14ac:dyDescent="0.35">
      <c r="B571" s="94"/>
      <c r="C571" s="192"/>
      <c r="D571" s="197"/>
      <c r="E571" s="198"/>
      <c r="F571" s="195"/>
      <c r="G571" s="195"/>
      <c r="H571" s="195"/>
      <c r="I571" s="195"/>
      <c r="J571" s="195"/>
      <c r="K571" s="195"/>
      <c r="L571" s="195"/>
      <c r="M571" s="195"/>
      <c r="N571" s="196"/>
      <c r="O571" s="428"/>
      <c r="T571" s="712"/>
    </row>
    <row r="572" spans="1:26" ht="12.75" customHeight="1" x14ac:dyDescent="0.35">
      <c r="B572" s="94"/>
      <c r="C572" s="192"/>
      <c r="D572" s="199" t="s">
        <v>411</v>
      </c>
      <c r="E572" s="198" t="str">
        <f>Translations!$B$280</f>
        <v>Emissions embedded in this purchased precursor</v>
      </c>
      <c r="F572" s="198"/>
      <c r="G572" s="198"/>
      <c r="H572" s="198"/>
      <c r="I572" s="198"/>
      <c r="J572" s="198"/>
      <c r="K572" s="198"/>
      <c r="L572" s="198"/>
      <c r="M572" s="198"/>
      <c r="N572" s="196"/>
      <c r="O572" s="428"/>
      <c r="T572" s="712"/>
      <c r="V572" s="172"/>
      <c r="W572" s="172"/>
      <c r="X572" s="172"/>
      <c r="Z572" s="171"/>
    </row>
    <row r="573" spans="1:26" ht="4.9000000000000004" customHeight="1" x14ac:dyDescent="0.35">
      <c r="B573" s="94"/>
      <c r="C573" s="192"/>
      <c r="D573" s="199"/>
      <c r="E573" s="1328"/>
      <c r="F573" s="1328"/>
      <c r="G573" s="1328"/>
      <c r="H573" s="1328"/>
      <c r="I573" s="1328"/>
      <c r="J573" s="1328"/>
      <c r="K573" s="1328"/>
      <c r="L573" s="1328"/>
      <c r="M573" s="1328"/>
      <c r="N573" s="196"/>
      <c r="O573" s="428"/>
      <c r="T573" s="712"/>
    </row>
    <row r="574" spans="1:26" ht="13.15" customHeight="1" x14ac:dyDescent="0.35">
      <c r="B574" s="94"/>
      <c r="C574" s="192"/>
      <c r="D574" s="199"/>
      <c r="E574" s="1311" t="str">
        <f ca="1">HYPERLINK("#"&amp;ADDRESS(MATCH($S574,G_FurtherGuidance!$S:$S,0),3,,,G_FurtherGuidance!$U$2),CONST_LinkToGuidanceSheet)</f>
        <v>Please click on this link for further guidance on how to complete this section.</v>
      </c>
      <c r="F574" s="1312"/>
      <c r="G574" s="1312"/>
      <c r="H574" s="1312"/>
      <c r="I574" s="1312"/>
      <c r="J574" s="1312"/>
      <c r="K574" s="1312"/>
      <c r="L574" s="1312"/>
      <c r="M574" s="1312"/>
      <c r="N574" s="196"/>
      <c r="O574" s="428"/>
      <c r="R574" s="104" t="s">
        <v>2771</v>
      </c>
      <c r="S574" s="105">
        <v>4</v>
      </c>
      <c r="T574" s="712"/>
    </row>
    <row r="575" spans="1:26" ht="4.9000000000000004" customHeight="1" x14ac:dyDescent="0.35">
      <c r="B575" s="94"/>
      <c r="C575" s="192"/>
      <c r="D575" s="199"/>
      <c r="E575" s="1328"/>
      <c r="F575" s="1328"/>
      <c r="G575" s="1328"/>
      <c r="H575" s="1328"/>
      <c r="I575" s="1328"/>
      <c r="J575" s="1328"/>
      <c r="K575" s="1328"/>
      <c r="L575" s="1328"/>
      <c r="M575" s="1328"/>
      <c r="N575" s="384"/>
      <c r="O575" s="428"/>
      <c r="T575" s="712"/>
    </row>
    <row r="576" spans="1:26" ht="12.75" customHeight="1" x14ac:dyDescent="0.35">
      <c r="B576" s="94"/>
      <c r="C576" s="192"/>
      <c r="D576" s="199"/>
      <c r="E576" s="198" t="str">
        <f>Translations!$B$284</f>
        <v>Parameter:</v>
      </c>
      <c r="F576" s="195"/>
      <c r="G576" s="195"/>
      <c r="H576" s="195"/>
      <c r="I576" s="195"/>
      <c r="J576" s="195"/>
      <c r="K576" s="199" t="str">
        <f>Translations!$B$221</f>
        <v>Unit</v>
      </c>
      <c r="L576" s="199" t="str">
        <f>Translations!$B$260</f>
        <v>Value</v>
      </c>
      <c r="M576" s="199" t="str">
        <f>Translations!$B$285</f>
        <v>Source</v>
      </c>
      <c r="N576" s="196"/>
      <c r="O576" s="428"/>
      <c r="T576" s="764" t="s">
        <v>5</v>
      </c>
      <c r="U576" s="123" t="s">
        <v>2719</v>
      </c>
      <c r="V576" s="156" t="s">
        <v>3922</v>
      </c>
      <c r="W576" s="156"/>
      <c r="X576" s="156"/>
      <c r="Z576" s="171"/>
    </row>
    <row r="577" spans="1:26" ht="12.75" customHeight="1" x14ac:dyDescent="0.35">
      <c r="B577" s="94"/>
      <c r="C577" s="192"/>
      <c r="D577" s="197" t="s">
        <v>41</v>
      </c>
      <c r="E577" s="201" t="str">
        <f>Translations!$B$1969</f>
        <v>Specific embedded direct emissions (SEE (direct))</v>
      </c>
      <c r="F577" s="201"/>
      <c r="G577" s="201"/>
      <c r="H577" s="201"/>
      <c r="I577" s="201"/>
      <c r="J577" s="201"/>
      <c r="K577" s="217" t="str">
        <f>IF(L542="","",CONST_tCO2eq &amp; "/" &amp; K553)</f>
        <v/>
      </c>
      <c r="L577" s="215"/>
      <c r="M577" s="385"/>
      <c r="N577" s="196"/>
      <c r="O577" s="945"/>
      <c r="R577" s="102" t="str">
        <f>CONST_PurchPrecDefaultUsed&amp;G542</f>
        <v>PurchPrecDef_</v>
      </c>
      <c r="S577" s="102" t="str">
        <f>CONST_CNTR_EmbedEmDir&amp;G542</f>
        <v>EmbedEmDir_</v>
      </c>
      <c r="T577" s="124" t="str">
        <f>IF(G542="","",SUM(T553)*SUM(L577))</f>
        <v/>
      </c>
      <c r="U577" s="105" t="str">
        <f>IF(G542="","",IF(M577="",CONST_ERR_Incomplete,MATCH(M577,CONST_MeasDefaultUnknown,0)=2))</f>
        <v/>
      </c>
      <c r="V577" s="105" t="str">
        <f>IF(AND(G542&lt;&gt;"",COUNTA(L577:M577)=2),TRUE,IF(AND(G542&lt;&gt;"",COUNTA(L577:M577)&lt;2),CONST_ErrorOrMissing&amp;C542,CONST_NA))</f>
        <v>n.a.</v>
      </c>
      <c r="W577" s="156"/>
      <c r="X577" s="156"/>
      <c r="Z577" s="171"/>
    </row>
    <row r="578" spans="1:26" ht="12.75" customHeight="1" x14ac:dyDescent="0.35">
      <c r="B578" s="94"/>
      <c r="C578" s="192"/>
      <c r="D578" s="197" t="s">
        <v>42</v>
      </c>
      <c r="E578" s="759" t="str">
        <f>Translations!$B$1970</f>
        <v>Specific electricity consumption (for SEE (indirect))</v>
      </c>
      <c r="F578" s="759"/>
      <c r="G578" s="759"/>
      <c r="H578" s="759"/>
      <c r="I578" s="759"/>
      <c r="J578" s="759"/>
      <c r="K578" s="457" t="str">
        <f>IF(K577="","",CONST_MWh&amp;"/"&amp;K553)</f>
        <v/>
      </c>
      <c r="L578" s="760"/>
      <c r="M578" s="761"/>
      <c r="N578" s="196"/>
      <c r="O578" s="945"/>
      <c r="R578" s="102" t="str">
        <f>CONST_ElecConsumption&amp;G542</f>
        <v>ElecCons_</v>
      </c>
      <c r="S578" s="102"/>
      <c r="T578" s="124" t="str">
        <f>IF(G542="","",SUM(T553)*SUM(L578))</f>
        <v/>
      </c>
      <c r="U578" s="105" t="str">
        <f>IF(G542="","",IF(M578="",CONST_ERR_Incomplete,MATCH(M578,CONST_MeasDefaultUnknown,0)=2))</f>
        <v/>
      </c>
      <c r="V578" s="105" t="str">
        <f>IF(AND(G542&lt;&gt;"",COUNTA(L578:M578)=2),TRUE,IF(AND(G542&lt;&gt;"",COUNTA(L578:M578)&lt;2),CONST_ErrorOrMissing&amp;C542,CONST_NA))</f>
        <v>n.a.</v>
      </c>
      <c r="W578" s="156"/>
      <c r="X578" s="156"/>
      <c r="Z578" s="171"/>
    </row>
    <row r="579" spans="1:26" ht="12.75" customHeight="1" x14ac:dyDescent="0.35">
      <c r="B579" s="94"/>
      <c r="C579" s="192"/>
      <c r="D579" s="197" t="s">
        <v>43</v>
      </c>
      <c r="E579" s="1144" t="str">
        <f>Translations!$B$1971</f>
        <v>Electricity emission factor (for SEE (indirect))</v>
      </c>
      <c r="F579" s="1144"/>
      <c r="G579" s="1144"/>
      <c r="H579" s="1144"/>
      <c r="I579" s="1144"/>
      <c r="J579" s="1144"/>
      <c r="K579" s="1145" t="str">
        <f>IF(K577="","",CONST_tCO2eq&amp;"/"&amp;CONST_MWh)</f>
        <v/>
      </c>
      <c r="L579" s="1146"/>
      <c r="M579" s="762"/>
      <c r="N579" s="196"/>
      <c r="O579" s="945"/>
      <c r="R579" s="102" t="str">
        <f>CONST_CNTR_ElecEFMethod&amp;G542</f>
        <v>ElecEFMeth_</v>
      </c>
      <c r="S579" s="102"/>
      <c r="T579" s="124"/>
      <c r="U579" s="105" t="str">
        <f>IF(G542="","",M579)</f>
        <v/>
      </c>
      <c r="V579" s="105" t="str">
        <f>IF(AND(G542&lt;&gt;"",COUNTA(L579:M579)=2),TRUE,IF(AND(G542&lt;&gt;"",COUNTA(L579:M579)&lt;2),CONST_ErrorOrMissing&amp;C542,CONST_NA))</f>
        <v>n.a.</v>
      </c>
      <c r="W579" s="156"/>
      <c r="X579" s="156"/>
      <c r="Z579" s="171"/>
    </row>
    <row r="580" spans="1:26" x14ac:dyDescent="0.35">
      <c r="B580" s="94"/>
      <c r="C580" s="192"/>
      <c r="D580" s="197" t="s">
        <v>44</v>
      </c>
      <c r="E580" s="201" t="str">
        <f>Translations!$B$1972</f>
        <v>Specific embedded indirect emissions (SEE (indirect))</v>
      </c>
      <c r="F580" s="201"/>
      <c r="G580" s="201"/>
      <c r="H580" s="201"/>
      <c r="I580" s="201"/>
      <c r="J580" s="201"/>
      <c r="K580" s="217" t="str">
        <f>K577</f>
        <v/>
      </c>
      <c r="L580" s="1147" t="str">
        <f>IF(COUNT(L578:L579)=0,"",L578*L579)</f>
        <v/>
      </c>
      <c r="M580" s="758"/>
      <c r="N580" s="196"/>
      <c r="O580" s="428"/>
      <c r="R580" s="171"/>
      <c r="S580" s="102" t="str">
        <f>CONST_CNTR_EmbedEmInDir&amp;G542</f>
        <v>EmbedEmInDir_</v>
      </c>
      <c r="T580" s="124" t="str">
        <f>IF(G542="","",SUM(T553)*SUM(L580))</f>
        <v/>
      </c>
      <c r="Z580" s="171"/>
    </row>
    <row r="581" spans="1:26" ht="5.15" customHeight="1" x14ac:dyDescent="0.35">
      <c r="B581" s="94"/>
      <c r="C581" s="192"/>
      <c r="D581" s="197"/>
      <c r="E581" s="195"/>
      <c r="F581" s="195"/>
      <c r="G581" s="195"/>
      <c r="H581" s="195"/>
      <c r="I581" s="195"/>
      <c r="J581" s="195"/>
      <c r="K581" s="195"/>
      <c r="L581" s="195"/>
      <c r="M581" s="195"/>
      <c r="N581" s="196"/>
      <c r="O581" s="428"/>
      <c r="R581" s="171"/>
      <c r="S581" s="171"/>
      <c r="T581" s="125"/>
      <c r="U581" s="156"/>
      <c r="V581" s="172"/>
      <c r="W581" s="172"/>
      <c r="X581" s="172"/>
      <c r="Z581" s="171"/>
    </row>
    <row r="582" spans="1:26" ht="12.75" customHeight="1" x14ac:dyDescent="0.35">
      <c r="B582" s="94"/>
      <c r="C582" s="192"/>
      <c r="D582" s="197" t="s">
        <v>45</v>
      </c>
      <c r="E582" s="201" t="str">
        <f>Translations!$B$1858</f>
        <v>Justification for use of default values (if relevant):</v>
      </c>
      <c r="F582" s="201"/>
      <c r="G582" s="201"/>
      <c r="H582" s="201"/>
      <c r="I582" s="201"/>
      <c r="J582" s="201"/>
      <c r="K582" s="1329"/>
      <c r="L582" s="1329"/>
      <c r="M582" s="1329"/>
      <c r="N582" s="196"/>
      <c r="O582" s="945"/>
      <c r="R582" s="171"/>
      <c r="S582" s="171"/>
      <c r="T582" s="125"/>
      <c r="U582" s="156"/>
      <c r="V582" s="105" t="str">
        <f>IF(OR(G542="",Z582=TRUE),CONST_NA,IF(K582&lt;&gt;"",TRUE,CONST_ErrorOrMissing&amp;C542))</f>
        <v>n.a.</v>
      </c>
      <c r="W582" s="172"/>
      <c r="X582" s="172"/>
      <c r="Z582" s="102" t="b">
        <f>AND(M577&lt;&gt;"",M577&lt;&gt;INDEX(CONST_MeasDefaultUnknown,2),M578&lt;&gt;"",M578&lt;&gt;INDEX(CONST_MeasDefaultUnknown,2))</f>
        <v>0</v>
      </c>
    </row>
    <row r="583" spans="1:26" s="144" customFormat="1" ht="12.75" customHeight="1" thickBot="1" x14ac:dyDescent="0.4">
      <c r="A583" s="91"/>
      <c r="B583" s="94"/>
      <c r="C583" s="206"/>
      <c r="D583" s="207"/>
      <c r="E583" s="208"/>
      <c r="F583" s="209"/>
      <c r="G583" s="209"/>
      <c r="H583" s="209"/>
      <c r="I583" s="209"/>
      <c r="J583" s="209"/>
      <c r="K583" s="209"/>
      <c r="L583" s="209"/>
      <c r="M583" s="209"/>
      <c r="N583" s="210"/>
      <c r="O583" s="428"/>
      <c r="P583" s="94"/>
      <c r="Q583" s="93"/>
      <c r="R583" s="91"/>
      <c r="S583" s="91"/>
      <c r="T583" s="712"/>
      <c r="U583" s="91"/>
      <c r="V583" s="91"/>
      <c r="W583" s="91"/>
      <c r="X583" s="91"/>
      <c r="Y583" s="91"/>
      <c r="Z583" s="91"/>
    </row>
    <row r="584" spans="1:26" s="144" customFormat="1" ht="12.75" customHeight="1" thickBot="1" x14ac:dyDescent="0.4">
      <c r="A584" s="91"/>
      <c r="B584" s="94"/>
      <c r="O584" s="428"/>
      <c r="P584" s="94"/>
      <c r="Q584" s="93"/>
      <c r="R584" s="91"/>
      <c r="S584" s="91"/>
      <c r="T584" s="712"/>
      <c r="U584" s="91"/>
      <c r="V584" s="91"/>
      <c r="W584" s="91"/>
      <c r="X584" s="91"/>
      <c r="Y584" s="91"/>
      <c r="Z584" s="91"/>
    </row>
    <row r="585" spans="1:26" s="144" customFormat="1" ht="12.75" customHeight="1" thickBot="1" x14ac:dyDescent="0.4">
      <c r="A585" s="91"/>
      <c r="B585" s="946"/>
      <c r="C585" s="145"/>
      <c r="D585" s="145"/>
      <c r="E585" s="145"/>
      <c r="F585" s="145"/>
      <c r="G585" s="145"/>
      <c r="H585" s="145"/>
      <c r="I585" s="145"/>
      <c r="J585" s="145"/>
      <c r="K585" s="145"/>
      <c r="L585" s="145"/>
      <c r="M585" s="145"/>
      <c r="N585" s="145"/>
      <c r="O585" s="947"/>
      <c r="P585" s="94"/>
      <c r="Q585" s="93"/>
      <c r="R585" s="91"/>
      <c r="S585" s="91"/>
      <c r="T585" s="712"/>
      <c r="U585" s="91"/>
      <c r="V585" s="91"/>
      <c r="W585" s="91"/>
      <c r="X585" s="91"/>
      <c r="Y585" s="91"/>
      <c r="Z585" s="91"/>
    </row>
    <row r="586" spans="1:26" ht="18" customHeight="1" thickBot="1" x14ac:dyDescent="0.4">
      <c r="B586" s="94"/>
      <c r="C586" s="147">
        <f>C542+1</f>
        <v>14</v>
      </c>
      <c r="D586" s="944" t="str">
        <f>CONST_PurchPrecursor &amp; " " &amp; C586 &amp; ":"</f>
        <v>Purchased precursor 14:</v>
      </c>
      <c r="E586" s="144"/>
      <c r="F586" s="144"/>
      <c r="G586" s="1313" t="str">
        <f>IF(INDEX(CNTR_List_ExistPurchPrecNames,MATCH(R586,CNTR_ListPurchPrecID,0))=CONST_NA,"",INDEX(CNTR_List_ExistPurchPrecNames,MATCH(R586,CNTR_ListPurchPrecID,0)))</f>
        <v/>
      </c>
      <c r="H586" s="1314"/>
      <c r="I586" s="1314"/>
      <c r="J586" s="1314"/>
      <c r="K586" s="1315"/>
      <c r="L586" s="1316" t="str">
        <f>IF(INDEX(CNTR_List_ExistPurchPrec,MATCH(R586,CNTR_ListPurchPrecID,0))=CONST_NA,"",INDEX(CNTR_List_ExistPurchPrec,MATCH(R586,CNTR_ListPurchPrecID,0)))</f>
        <v/>
      </c>
      <c r="M586" s="1317"/>
      <c r="N586" s="1318"/>
      <c r="O586" s="428"/>
      <c r="R586" s="149" t="str">
        <f>INDEX(CNTR_ListPurchPrecID,C586)</f>
        <v>PP14</v>
      </c>
      <c r="Y586" s="104" t="s">
        <v>2748</v>
      </c>
      <c r="Z586" s="150" t="b">
        <f>AND(CNTR_HasEntriesA,G586="")</f>
        <v>0</v>
      </c>
    </row>
    <row r="587" spans="1:26" ht="26.5" customHeight="1" x14ac:dyDescent="0.35">
      <c r="B587" s="94"/>
      <c r="C587" s="144"/>
      <c r="D587" s="914"/>
      <c r="E587" s="1325" t="str">
        <f ca="1">HYPERLINK("#"&amp;ADDRESS(MATCH($S587,G_FurtherGuidance!$S:$S,0),3,,,G_FurtherGuidance!$U$2),CONST_LinkToGuidanceSheet)</f>
        <v>Please click on this link for further guidance on how to complete this section.</v>
      </c>
      <c r="F587" s="1326"/>
      <c r="G587" s="1326"/>
      <c r="H587" s="1326"/>
      <c r="I587" s="1326"/>
      <c r="J587" s="1326"/>
      <c r="K587" s="1326"/>
      <c r="L587" s="1326"/>
      <c r="M587" s="1326"/>
      <c r="N587" s="144"/>
      <c r="O587" s="428"/>
      <c r="R587" s="104" t="s">
        <v>2771</v>
      </c>
      <c r="S587" s="105">
        <v>4</v>
      </c>
      <c r="Y587" s="104"/>
    </row>
    <row r="588" spans="1:26" ht="12.75" customHeight="1" x14ac:dyDescent="0.35">
      <c r="B588" s="94"/>
      <c r="C588" s="144"/>
      <c r="D588" s="168" t="s">
        <v>135</v>
      </c>
      <c r="E588" s="167" t="str">
        <f>Translations!$B$276</f>
        <v>Total purchased levels:</v>
      </c>
      <c r="F588" s="144"/>
      <c r="G588" s="144"/>
      <c r="H588" s="151" t="str">
        <f>Translations!$B$244</f>
        <v>Production route</v>
      </c>
      <c r="I588" s="144"/>
      <c r="J588" s="144"/>
      <c r="K588" s="152" t="str">
        <f>Translations!$B$221</f>
        <v>Unit</v>
      </c>
      <c r="L588" s="152" t="str">
        <f>Translations!$B$245</f>
        <v>Amounts</v>
      </c>
      <c r="M588" s="144"/>
      <c r="N588" s="144"/>
      <c r="O588" s="428"/>
      <c r="Y588" s="91" t="s">
        <v>4077</v>
      </c>
    </row>
    <row r="589" spans="1:26" ht="12.75" customHeight="1" x14ac:dyDescent="0.35">
      <c r="B589" s="94"/>
      <c r="C589" s="144"/>
      <c r="D589" s="173">
        <v>1</v>
      </c>
      <c r="E589" s="153" t="str">
        <f>IF(G586="","",G586) &amp; IF(L586="",""," | " &amp; L586)</f>
        <v/>
      </c>
      <c r="F589" s="153"/>
      <c r="G589" s="153"/>
      <c r="H589" s="154" t="str">
        <f>IF(L586="","",INDEX(CONST_MATRIX_ProductionRoute,MATCH(L586,CONST_LIST_Goods,0),D589))</f>
        <v/>
      </c>
      <c r="I589" s="153"/>
      <c r="J589" s="153"/>
      <c r="K589" s="155" t="str">
        <f>IF(L586="","",INDEX(CONST_LIST_GoodsUnit,MATCH(L586,CONST_LIST_Goods,0)))</f>
        <v/>
      </c>
      <c r="L589" s="29"/>
      <c r="M589" s="144"/>
      <c r="N589" s="144"/>
      <c r="O589" s="945"/>
      <c r="S589" s="105">
        <v>1</v>
      </c>
      <c r="V589" s="105" t="str">
        <f>IF(AND(Y589=FALSE,ISNUMBER(L589)),TRUE,IF(Y589=FALSE,CONST_ErrorOrMissing&amp;C586,CONST_NA))</f>
        <v>n.a.</v>
      </c>
      <c r="Y589" s="105" t="str">
        <f>IF(OR(H589="",H589=CONST_NA),"",IF(H589=CONST_AllProdRoutes,FALSE, COUNTIF(INDEX(CNTR_MatrixPurchPrecRoutes,C586,),S589)=0))</f>
        <v/>
      </c>
    </row>
    <row r="590" spans="1:26" ht="12.75" customHeight="1" x14ac:dyDescent="0.35">
      <c r="B590" s="94"/>
      <c r="C590" s="144"/>
      <c r="D590" s="173">
        <v>2</v>
      </c>
      <c r="E590" s="158" t="str">
        <f t="shared" ref="E590:E596" si="65">IF(H590=CONST_NA,"",E589)</f>
        <v/>
      </c>
      <c r="F590" s="158"/>
      <c r="G590" s="158"/>
      <c r="H590" s="159" t="str">
        <f>IF(L586="","",INDEX(CONST_MATRIX_ProductionRoute,MATCH(L586,CONST_LIST_Goods,0),D590))</f>
        <v/>
      </c>
      <c r="I590" s="158"/>
      <c r="J590" s="158"/>
      <c r="K590" s="160" t="str">
        <f t="shared" ref="K590:K596" si="66">IF(H590=CONST_NA,"",K589)</f>
        <v/>
      </c>
      <c r="L590" s="30"/>
      <c r="M590" s="144"/>
      <c r="N590" s="144"/>
      <c r="O590" s="945"/>
      <c r="S590" s="105">
        <v>2</v>
      </c>
      <c r="V590" s="105" t="str">
        <f>IF(AND(Y590=FALSE,ISNUMBER(L590)),TRUE,IF(Y590=FALSE,CONST_ErrorOrMissing&amp;C586,CONST_NA))</f>
        <v>n.a.</v>
      </c>
      <c r="Y590" s="105" t="str">
        <f>IF(OR(H590="",H590=CONST_NA),"",IF(H590=CONST_AllProdRoutes,FALSE, COUNTIF(INDEX(CNTR_MatrixPurchPrecRoutes,C586,),S590)=0))</f>
        <v/>
      </c>
    </row>
    <row r="591" spans="1:26" ht="12.75" customHeight="1" x14ac:dyDescent="0.35">
      <c r="B591" s="94"/>
      <c r="C591" s="144"/>
      <c r="D591" s="173">
        <v>3</v>
      </c>
      <c r="E591" s="158" t="str">
        <f t="shared" si="65"/>
        <v/>
      </c>
      <c r="F591" s="158"/>
      <c r="G591" s="158"/>
      <c r="H591" s="159" t="str">
        <f>IF(L586="","",INDEX(CONST_MATRIX_ProductionRoute,MATCH(L586,CONST_LIST_Goods,0),D591))</f>
        <v/>
      </c>
      <c r="I591" s="158"/>
      <c r="J591" s="158"/>
      <c r="K591" s="160" t="str">
        <f t="shared" si="66"/>
        <v/>
      </c>
      <c r="L591" s="30"/>
      <c r="M591" s="144"/>
      <c r="N591" s="144"/>
      <c r="O591" s="945"/>
      <c r="S591" s="105">
        <v>3</v>
      </c>
      <c r="V591" s="105" t="str">
        <f>IF(AND(Y591=FALSE,ISNUMBER(L591)),TRUE,IF(Y591=FALSE,CONST_ErrorOrMissing&amp;C586,CONST_NA))</f>
        <v>n.a.</v>
      </c>
      <c r="Y591" s="105" t="str">
        <f>IF(OR(H591="",H591=CONST_NA),"",IF(H591=CONST_AllProdRoutes,FALSE, COUNTIF(INDEX(CNTR_MatrixPurchPrecRoutes,C586,),S591)=0))</f>
        <v/>
      </c>
    </row>
    <row r="592" spans="1:26" ht="12.75" customHeight="1" x14ac:dyDescent="0.35">
      <c r="B592" s="94"/>
      <c r="C592" s="144"/>
      <c r="D592" s="173">
        <v>4</v>
      </c>
      <c r="E592" s="158" t="str">
        <f t="shared" si="65"/>
        <v/>
      </c>
      <c r="F592" s="158"/>
      <c r="G592" s="158"/>
      <c r="H592" s="159" t="str">
        <f>IF(L586="","",INDEX(CONST_MATRIX_ProductionRoute,MATCH(L586,CONST_LIST_Goods,0),D592))</f>
        <v/>
      </c>
      <c r="I592" s="158"/>
      <c r="J592" s="158"/>
      <c r="K592" s="160" t="str">
        <f t="shared" si="66"/>
        <v/>
      </c>
      <c r="L592" s="30"/>
      <c r="M592" s="144"/>
      <c r="N592" s="144"/>
      <c r="O592" s="945"/>
      <c r="S592" s="105">
        <v>4</v>
      </c>
      <c r="V592" s="105" t="str">
        <f>IF(AND(Y592=FALSE,ISNUMBER(L592)),TRUE,IF(Y592=FALSE,CONST_ErrorOrMissing&amp;C586,CONST_NA))</f>
        <v>n.a.</v>
      </c>
      <c r="Y592" s="105" t="str">
        <f>IF(OR(H592="",H592=CONST_NA),"",IF(H592=CONST_AllProdRoutes,FALSE, COUNTIF(INDEX(CNTR_MatrixPurchPrecRoutes,C586,),S592)=0))</f>
        <v/>
      </c>
    </row>
    <row r="593" spans="1:26" ht="12.75" customHeight="1" x14ac:dyDescent="0.35">
      <c r="B593" s="94"/>
      <c r="C593" s="144"/>
      <c r="D593" s="173">
        <v>5</v>
      </c>
      <c r="E593" s="158" t="str">
        <f t="shared" si="65"/>
        <v/>
      </c>
      <c r="F593" s="158"/>
      <c r="G593" s="158"/>
      <c r="H593" s="159" t="str">
        <f>IF(L586="","",INDEX(CONST_MATRIX_ProductionRoute,MATCH(L586,CONST_LIST_Goods,0),D593))</f>
        <v/>
      </c>
      <c r="I593" s="158"/>
      <c r="J593" s="158"/>
      <c r="K593" s="160" t="str">
        <f t="shared" si="66"/>
        <v/>
      </c>
      <c r="L593" s="30"/>
      <c r="M593" s="144"/>
      <c r="N593" s="144"/>
      <c r="O593" s="945"/>
      <c r="S593" s="105">
        <v>5</v>
      </c>
      <c r="V593" s="105" t="str">
        <f>IF(AND(Y593=FALSE,ISNUMBER(L593)),TRUE,IF(Y593=FALSE,CONST_ErrorOrMissing&amp;C586,CONST_NA))</f>
        <v>n.a.</v>
      </c>
      <c r="Y593" s="105" t="str">
        <f>IF(OR(H593="",H593=CONST_NA),"",IF(H593=CONST_AllProdRoutes,FALSE, COUNTIF(INDEX(CNTR_MatrixPurchPrecRoutes,C586,),S593)=0))</f>
        <v/>
      </c>
    </row>
    <row r="594" spans="1:26" ht="12.75" customHeight="1" x14ac:dyDescent="0.35">
      <c r="B594" s="94"/>
      <c r="C594" s="144"/>
      <c r="D594" s="173">
        <v>6</v>
      </c>
      <c r="E594" s="158" t="str">
        <f t="shared" si="65"/>
        <v/>
      </c>
      <c r="F594" s="158"/>
      <c r="G594" s="158"/>
      <c r="H594" s="159" t="str">
        <f>IF(L586="","",INDEX(CONST_MATRIX_ProductionRoute,MATCH(L586,CONST_LIST_Goods,0),D594))</f>
        <v/>
      </c>
      <c r="I594" s="158"/>
      <c r="J594" s="158"/>
      <c r="K594" s="160" t="str">
        <f t="shared" si="66"/>
        <v/>
      </c>
      <c r="L594" s="30"/>
      <c r="M594" s="144"/>
      <c r="N594" s="144"/>
      <c r="O594" s="945"/>
      <c r="S594" s="105">
        <v>6</v>
      </c>
      <c r="V594" s="105" t="str">
        <f>IF(AND(Y594=FALSE,ISNUMBER(L594)),TRUE,IF(Y594=FALSE,CONST_ErrorOrMissing&amp;C586,CONST_NA))</f>
        <v>n.a.</v>
      </c>
      <c r="Y594" s="105" t="str">
        <f>IF(OR(H594="",H594=CONST_NA),"",IF(H594=CONST_AllProdRoutes,FALSE, COUNTIF(INDEX(CNTR_MatrixPurchPrecRoutes,C586,),S594)=0))</f>
        <v/>
      </c>
    </row>
    <row r="595" spans="1:26" ht="12.75" customHeight="1" x14ac:dyDescent="0.35">
      <c r="B595" s="94"/>
      <c r="C595" s="144"/>
      <c r="D595" s="173">
        <v>7</v>
      </c>
      <c r="E595" s="158" t="str">
        <f t="shared" si="65"/>
        <v/>
      </c>
      <c r="F595" s="158"/>
      <c r="G595" s="158"/>
      <c r="H595" s="159" t="str">
        <f>IF(L586="","",INDEX(CONST_MATRIX_ProductionRoute,MATCH(L586,CONST_LIST_Goods,0),D595))</f>
        <v/>
      </c>
      <c r="I595" s="158"/>
      <c r="J595" s="158"/>
      <c r="K595" s="160" t="str">
        <f t="shared" si="66"/>
        <v/>
      </c>
      <c r="L595" s="30"/>
      <c r="M595" s="144"/>
      <c r="N595" s="144"/>
      <c r="O595" s="945"/>
      <c r="S595" s="105">
        <v>7</v>
      </c>
      <c r="V595" s="105" t="str">
        <f>IF(AND(Y595=FALSE,ISNUMBER(L595)),TRUE,IF(Y595=FALSE,CONST_ErrorOrMissing&amp;C586,CONST_NA))</f>
        <v>n.a.</v>
      </c>
      <c r="Y595" s="105" t="str">
        <f>IF(OR(H595="",H595=CONST_NA),"",IF(H595=CONST_AllProdRoutes,FALSE, COUNTIF(INDEX(CNTR_MatrixPurchPrecRoutes,C586,),S595)=0))</f>
        <v/>
      </c>
    </row>
    <row r="596" spans="1:26" ht="12.75" customHeight="1" x14ac:dyDescent="0.35">
      <c r="B596" s="94"/>
      <c r="C596" s="144"/>
      <c r="D596" s="173">
        <v>8</v>
      </c>
      <c r="E596" s="161" t="str">
        <f t="shared" si="65"/>
        <v/>
      </c>
      <c r="F596" s="161"/>
      <c r="G596" s="161"/>
      <c r="H596" s="162" t="str">
        <f>IF(L586="","",INDEX(CONST_MATRIX_ProductionRoute,MATCH(L586,CONST_LIST_Goods,0),D596))</f>
        <v/>
      </c>
      <c r="I596" s="161"/>
      <c r="J596" s="161"/>
      <c r="K596" s="163" t="str">
        <f t="shared" si="66"/>
        <v/>
      </c>
      <c r="L596" s="31"/>
      <c r="M596" s="144"/>
      <c r="N596" s="144"/>
      <c r="O596" s="945"/>
      <c r="S596" s="105">
        <v>8</v>
      </c>
      <c r="V596" s="105" t="str">
        <f>IF(AND(Y596=FALSE,ISNUMBER(L596)),TRUE,IF(Y596=FALSE,CONST_ErrorOrMissing&amp;C586,CONST_NA))</f>
        <v>n.a.</v>
      </c>
      <c r="Y596" s="105" t="str">
        <f>IF(OR(H596="",H596=CONST_NA),"",IF(H596=CONST_AllProdRoutes,FALSE, COUNTIF(INDEX(CNTR_MatrixPurchPrecRoutes,C586,),S596)=0))</f>
        <v/>
      </c>
    </row>
    <row r="597" spans="1:26" ht="12.75" customHeight="1" x14ac:dyDescent="0.35">
      <c r="B597" s="94"/>
      <c r="C597" s="144"/>
      <c r="D597" s="914"/>
      <c r="E597" s="138" t="str">
        <f>Translations!$B$1966</f>
        <v>Total purchase for possible consumption within installation:</v>
      </c>
      <c r="F597" s="138"/>
      <c r="G597" s="138"/>
      <c r="H597" s="164"/>
      <c r="I597" s="138"/>
      <c r="J597" s="138"/>
      <c r="K597" s="169" t="str">
        <f>K589</f>
        <v/>
      </c>
      <c r="L597" s="386" t="str">
        <f>IF(G586="","",SUM(L589:L596))</f>
        <v/>
      </c>
      <c r="M597" s="144"/>
      <c r="N597" s="144"/>
      <c r="O597" s="428"/>
      <c r="R597" s="102" t="str">
        <f>CONST_CNTR_TotProd&amp;G586</f>
        <v>TotProd_</v>
      </c>
      <c r="T597" s="216" t="str">
        <f>IF(G586="","",IF(SUM(L597)=0,100,L597))</f>
        <v/>
      </c>
      <c r="V597" s="123"/>
    </row>
    <row r="598" spans="1:26" s="144" customFormat="1" ht="5.15" customHeight="1" x14ac:dyDescent="0.35">
      <c r="A598" s="91"/>
      <c r="B598" s="94"/>
      <c r="D598" s="166"/>
      <c r="E598" s="167"/>
      <c r="O598" s="428"/>
      <c r="P598" s="94"/>
      <c r="Q598" s="93"/>
      <c r="R598" s="91"/>
      <c r="S598" s="91"/>
      <c r="T598" s="712"/>
      <c r="U598" s="91"/>
      <c r="V598" s="123"/>
      <c r="W598" s="91"/>
      <c r="X598" s="91"/>
      <c r="Y598" s="91"/>
      <c r="Z598" s="91"/>
    </row>
    <row r="599" spans="1:26" s="144" customFormat="1" ht="12.75" customHeight="1" x14ac:dyDescent="0.35">
      <c r="A599" s="91"/>
      <c r="B599" s="94"/>
      <c r="D599" s="168" t="s">
        <v>48</v>
      </c>
      <c r="E599" s="167" t="str">
        <f>Translations!$B$1967</f>
        <v>Consumed in 'production processes' within the installation:</v>
      </c>
      <c r="F599" s="167"/>
      <c r="G599" s="167"/>
      <c r="H599" s="167"/>
      <c r="I599" s="167"/>
      <c r="J599" s="167"/>
      <c r="K599" s="168" t="str">
        <f>Translations!$B$221</f>
        <v>Unit</v>
      </c>
      <c r="L599" s="168" t="str">
        <f>Translations!$B$245</f>
        <v>Amounts</v>
      </c>
      <c r="O599" s="428"/>
      <c r="P599" s="94"/>
      <c r="Q599" s="93"/>
      <c r="R599" s="91"/>
      <c r="S599" s="123" t="s">
        <v>195</v>
      </c>
      <c r="T599" s="712"/>
      <c r="U599" s="91"/>
      <c r="V599" s="123"/>
      <c r="W599" s="91"/>
      <c r="X599" s="91"/>
      <c r="Y599" s="91"/>
      <c r="Z599" s="91"/>
    </row>
    <row r="600" spans="1:26" s="144" customFormat="1" ht="12.75" customHeight="1" x14ac:dyDescent="0.35">
      <c r="A600" s="91"/>
      <c r="B600" s="94"/>
      <c r="D600" s="173">
        <v>1</v>
      </c>
      <c r="E600" s="174" t="str">
        <f t="shared" ref="E600:E609" si="67">IF(INDEX(CNTR_List_ExistProdProcNames,S600)=CONST_NA,"",INDEX(CNTR_List_ExistProdProcNames,S600))</f>
        <v/>
      </c>
      <c r="F600" s="175"/>
      <c r="G600" s="175"/>
      <c r="H600" s="175"/>
      <c r="I600" s="175"/>
      <c r="J600" s="176"/>
      <c r="K600" s="155" t="str">
        <f>IF(E600="","",K597)</f>
        <v/>
      </c>
      <c r="L600" s="29"/>
      <c r="O600" s="945"/>
      <c r="P600" s="94"/>
      <c r="Q600" s="93"/>
      <c r="R600" s="102" t="str">
        <f>CONST_PrecursorToGoodInput&amp;G586 &amp;"_"&amp;E600</f>
        <v>PrecToGood__</v>
      </c>
      <c r="S600" s="105">
        <f>D600</f>
        <v>1</v>
      </c>
      <c r="T600" s="124" t="str">
        <f>IF(G586="","",L600)</f>
        <v/>
      </c>
      <c r="U600" s="91"/>
      <c r="V600" s="105" t="str">
        <f>IF(AND(G586&lt;&gt;"",E600&lt;&gt;"",L600&lt;&gt;""),TRUE,IF(AND(G586&lt;&gt;"",E600&lt;&gt;"",L600="",Z600=FALSE),CONST_ErrorOrMissing&amp;C586,CONST_NA))</f>
        <v>n.a.</v>
      </c>
      <c r="W600" s="172"/>
      <c r="X600" s="172"/>
      <c r="Y600" s="91" t="s">
        <v>34</v>
      </c>
      <c r="Z600" s="102" t="b">
        <f>IF(G586="",FALSE,E600="")</f>
        <v>0</v>
      </c>
    </row>
    <row r="601" spans="1:26" s="144" customFormat="1" ht="12.75" customHeight="1" x14ac:dyDescent="0.35">
      <c r="A601" s="91"/>
      <c r="B601" s="94"/>
      <c r="D601" s="173">
        <v>2</v>
      </c>
      <c r="E601" s="177" t="str">
        <f t="shared" si="67"/>
        <v/>
      </c>
      <c r="F601" s="178"/>
      <c r="G601" s="178"/>
      <c r="H601" s="178"/>
      <c r="I601" s="178"/>
      <c r="J601" s="179"/>
      <c r="K601" s="160" t="str">
        <f>IF(E601="","",K600)</f>
        <v/>
      </c>
      <c r="L601" s="30"/>
      <c r="O601" s="945"/>
      <c r="P601" s="94"/>
      <c r="Q601" s="93"/>
      <c r="R601" s="102" t="str">
        <f>CONST_PrecursorToGoodInput&amp;G586 &amp;"_"&amp;E601</f>
        <v>PrecToGood__</v>
      </c>
      <c r="S601" s="105">
        <f t="shared" ref="S601:S609" si="68">D601</f>
        <v>2</v>
      </c>
      <c r="T601" s="124" t="str">
        <f>IF(G586="","",L601)</f>
        <v/>
      </c>
      <c r="U601" s="91"/>
      <c r="V601" s="105" t="str">
        <f>IF(AND(G586&lt;&gt;"",E601&lt;&gt;"",L601&lt;&gt;""),TRUE,IF(AND(G586&lt;&gt;"",E601&lt;&gt;"",L601="",Z601=FALSE),CONST_ErrorOrMissing&amp;C586,CONST_NA))</f>
        <v>n.a.</v>
      </c>
      <c r="W601" s="172"/>
      <c r="X601" s="172"/>
      <c r="Y601" s="91"/>
      <c r="Z601" s="102" t="b">
        <f>IF(G586="",FALSE,E601="")</f>
        <v>0</v>
      </c>
    </row>
    <row r="602" spans="1:26" s="144" customFormat="1" ht="12.75" customHeight="1" x14ac:dyDescent="0.35">
      <c r="A602" s="91"/>
      <c r="B602" s="94"/>
      <c r="D602" s="173">
        <v>3</v>
      </c>
      <c r="E602" s="177" t="str">
        <f t="shared" si="67"/>
        <v/>
      </c>
      <c r="F602" s="178"/>
      <c r="G602" s="178"/>
      <c r="H602" s="178"/>
      <c r="I602" s="178"/>
      <c r="J602" s="179"/>
      <c r="K602" s="160" t="str">
        <f t="shared" ref="K602:K609" si="69">IF(E602="","",K601)</f>
        <v/>
      </c>
      <c r="L602" s="30"/>
      <c r="O602" s="945"/>
      <c r="P602" s="94"/>
      <c r="Q602" s="93"/>
      <c r="R602" s="102" t="str">
        <f>CONST_PrecursorToGoodInput&amp;G586 &amp;"_"&amp;E602</f>
        <v>PrecToGood__</v>
      </c>
      <c r="S602" s="105">
        <f t="shared" si="68"/>
        <v>3</v>
      </c>
      <c r="T602" s="124" t="str">
        <f>IF(G586="","",L602)</f>
        <v/>
      </c>
      <c r="U602" s="91"/>
      <c r="V602" s="105" t="str">
        <f>IF(AND(G586&lt;&gt;"",E602&lt;&gt;"",L602&lt;&gt;""),TRUE,IF(AND(G586&lt;&gt;"",E602&lt;&gt;"",L602="",Z602=FALSE),CONST_ErrorOrMissing&amp;C586,CONST_NA))</f>
        <v>n.a.</v>
      </c>
      <c r="W602" s="172"/>
      <c r="X602" s="172"/>
      <c r="Y602" s="91"/>
      <c r="Z602" s="102" t="b">
        <f>IF(G586="",FALSE,E602="")</f>
        <v>0</v>
      </c>
    </row>
    <row r="603" spans="1:26" s="144" customFormat="1" ht="12.75" customHeight="1" x14ac:dyDescent="0.35">
      <c r="A603" s="91"/>
      <c r="B603" s="94"/>
      <c r="D603" s="173">
        <v>4</v>
      </c>
      <c r="E603" s="177" t="str">
        <f t="shared" si="67"/>
        <v/>
      </c>
      <c r="F603" s="178"/>
      <c r="G603" s="178"/>
      <c r="H603" s="178"/>
      <c r="I603" s="178"/>
      <c r="J603" s="179"/>
      <c r="K603" s="160" t="str">
        <f t="shared" si="69"/>
        <v/>
      </c>
      <c r="L603" s="30"/>
      <c r="O603" s="945"/>
      <c r="P603" s="94"/>
      <c r="Q603" s="93"/>
      <c r="R603" s="102" t="str">
        <f>CONST_PrecursorToGoodInput&amp;G586 &amp;"_"&amp;E603</f>
        <v>PrecToGood__</v>
      </c>
      <c r="S603" s="105">
        <f t="shared" si="68"/>
        <v>4</v>
      </c>
      <c r="T603" s="124" t="str">
        <f>IF(G586="","",L603)</f>
        <v/>
      </c>
      <c r="U603" s="91"/>
      <c r="V603" s="105" t="str">
        <f>IF(AND(G586&lt;&gt;"",E603&lt;&gt;"",L603&lt;&gt;""),TRUE,IF(AND(G586&lt;&gt;"",E603&lt;&gt;"",L603="",Z603=FALSE),CONST_ErrorOrMissing&amp;C586,CONST_NA))</f>
        <v>n.a.</v>
      </c>
      <c r="W603" s="172"/>
      <c r="X603" s="172"/>
      <c r="Y603" s="91"/>
      <c r="Z603" s="102" t="b">
        <f>IF(G586="",FALSE,E603="")</f>
        <v>0</v>
      </c>
    </row>
    <row r="604" spans="1:26" s="144" customFormat="1" ht="12.75" customHeight="1" x14ac:dyDescent="0.35">
      <c r="A604" s="91"/>
      <c r="B604" s="94"/>
      <c r="D604" s="173">
        <v>5</v>
      </c>
      <c r="E604" s="180" t="str">
        <f t="shared" si="67"/>
        <v/>
      </c>
      <c r="F604" s="181"/>
      <c r="G604" s="181"/>
      <c r="H604" s="181"/>
      <c r="I604" s="181"/>
      <c r="J604" s="182"/>
      <c r="K604" s="183" t="str">
        <f t="shared" si="69"/>
        <v/>
      </c>
      <c r="L604" s="212"/>
      <c r="O604" s="945"/>
      <c r="P604" s="94"/>
      <c r="Q604" s="93"/>
      <c r="R604" s="102" t="str">
        <f>CONST_PrecursorToGoodInput&amp;G586 &amp;"_"&amp;E604</f>
        <v>PrecToGood__</v>
      </c>
      <c r="S604" s="105">
        <f t="shared" si="68"/>
        <v>5</v>
      </c>
      <c r="T604" s="124" t="str">
        <f>IF(G586="","",L604)</f>
        <v/>
      </c>
      <c r="U604" s="91"/>
      <c r="V604" s="105" t="str">
        <f>IF(AND(G586&lt;&gt;"",E604&lt;&gt;"",L604&lt;&gt;""),TRUE,IF(AND(G586&lt;&gt;"",E604&lt;&gt;"",L604="",Z604=FALSE),CONST_ErrorOrMissing&amp;C586,CONST_NA))</f>
        <v>n.a.</v>
      </c>
      <c r="W604" s="172"/>
      <c r="X604" s="172"/>
      <c r="Y604" s="91"/>
      <c r="Z604" s="102" t="b">
        <f>IF(G586="",FALSE,E604="")</f>
        <v>0</v>
      </c>
    </row>
    <row r="605" spans="1:26" s="144" customFormat="1" ht="12.75" customHeight="1" x14ac:dyDescent="0.35">
      <c r="A605" s="91"/>
      <c r="B605" s="94"/>
      <c r="D605" s="173">
        <v>6</v>
      </c>
      <c r="E605" s="180" t="str">
        <f t="shared" si="67"/>
        <v/>
      </c>
      <c r="F605" s="181"/>
      <c r="G605" s="181"/>
      <c r="H605" s="181"/>
      <c r="I605" s="181"/>
      <c r="J605" s="182"/>
      <c r="K605" s="183" t="str">
        <f t="shared" si="69"/>
        <v/>
      </c>
      <c r="L605" s="212"/>
      <c r="O605" s="945"/>
      <c r="P605" s="94"/>
      <c r="Q605" s="93"/>
      <c r="R605" s="102" t="str">
        <f>CONST_PrecursorToGoodInput&amp;G586 &amp;"_"&amp;E605</f>
        <v>PrecToGood__</v>
      </c>
      <c r="S605" s="105">
        <f t="shared" si="68"/>
        <v>6</v>
      </c>
      <c r="T605" s="124" t="str">
        <f>IF(G586="","",L605)</f>
        <v/>
      </c>
      <c r="U605" s="91"/>
      <c r="V605" s="105" t="str">
        <f>IF(AND(G586&lt;&gt;"",E605&lt;&gt;"",L605&lt;&gt;""),TRUE,IF(AND(G586&lt;&gt;"",E605&lt;&gt;"",L605="",Z605=FALSE),CONST_ErrorOrMissing&amp;C586,CONST_NA))</f>
        <v>n.a.</v>
      </c>
      <c r="W605" s="172"/>
      <c r="X605" s="172"/>
      <c r="Y605" s="91"/>
      <c r="Z605" s="102" t="b">
        <f>IF(G586="",FALSE,E605="")</f>
        <v>0</v>
      </c>
    </row>
    <row r="606" spans="1:26" s="144" customFormat="1" ht="12.75" customHeight="1" x14ac:dyDescent="0.35">
      <c r="A606" s="91"/>
      <c r="B606" s="94"/>
      <c r="D606" s="173">
        <v>7</v>
      </c>
      <c r="E606" s="180" t="str">
        <f t="shared" si="67"/>
        <v/>
      </c>
      <c r="F606" s="181"/>
      <c r="G606" s="181"/>
      <c r="H606" s="181"/>
      <c r="I606" s="181"/>
      <c r="J606" s="182"/>
      <c r="K606" s="183" t="str">
        <f t="shared" si="69"/>
        <v/>
      </c>
      <c r="L606" s="212"/>
      <c r="O606" s="945"/>
      <c r="P606" s="94"/>
      <c r="Q606" s="93"/>
      <c r="R606" s="102" t="str">
        <f>CONST_PrecursorToGoodInput&amp;G586 &amp;"_"&amp;E606</f>
        <v>PrecToGood__</v>
      </c>
      <c r="S606" s="105">
        <f t="shared" si="68"/>
        <v>7</v>
      </c>
      <c r="T606" s="124" t="str">
        <f>IF(G586="","",L606)</f>
        <v/>
      </c>
      <c r="U606" s="91"/>
      <c r="V606" s="105" t="str">
        <f>IF(AND(G586&lt;&gt;"",E606&lt;&gt;"",L606&lt;&gt;""),TRUE,IF(AND(G586&lt;&gt;"",E606&lt;&gt;"",L606="",Z606=FALSE),CONST_ErrorOrMissing&amp;C586,CONST_NA))</f>
        <v>n.a.</v>
      </c>
      <c r="W606" s="172"/>
      <c r="X606" s="172"/>
      <c r="Y606" s="91"/>
      <c r="Z606" s="102" t="b">
        <f>IF(G586="",FALSE,E606="")</f>
        <v>0</v>
      </c>
    </row>
    <row r="607" spans="1:26" s="144" customFormat="1" ht="12.75" customHeight="1" x14ac:dyDescent="0.35">
      <c r="A607" s="91"/>
      <c r="B607" s="94"/>
      <c r="D607" s="173">
        <v>8</v>
      </c>
      <c r="E607" s="180" t="str">
        <f t="shared" si="67"/>
        <v/>
      </c>
      <c r="F607" s="181"/>
      <c r="G607" s="181"/>
      <c r="H607" s="181"/>
      <c r="I607" s="181"/>
      <c r="J607" s="182"/>
      <c r="K607" s="183" t="str">
        <f t="shared" si="69"/>
        <v/>
      </c>
      <c r="L607" s="212"/>
      <c r="O607" s="945"/>
      <c r="P607" s="94"/>
      <c r="Q607" s="93"/>
      <c r="R607" s="102" t="str">
        <f>CONST_PrecursorToGoodInput&amp;G586 &amp;"_"&amp;E607</f>
        <v>PrecToGood__</v>
      </c>
      <c r="S607" s="105">
        <f t="shared" si="68"/>
        <v>8</v>
      </c>
      <c r="T607" s="124" t="str">
        <f>IF(G586="","",L607)</f>
        <v/>
      </c>
      <c r="U607" s="91"/>
      <c r="V607" s="105" t="str">
        <f>IF(AND(G586&lt;&gt;"",E607&lt;&gt;"",L607&lt;&gt;""),TRUE,IF(AND(G586&lt;&gt;"",E607&lt;&gt;"",L607="",Z607=FALSE),CONST_ErrorOrMissing&amp;C586,CONST_NA))</f>
        <v>n.a.</v>
      </c>
      <c r="W607" s="172"/>
      <c r="X607" s="172"/>
      <c r="Y607" s="91"/>
      <c r="Z607" s="102" t="b">
        <f>IF(G586="",FALSE,E607="")</f>
        <v>0</v>
      </c>
    </row>
    <row r="608" spans="1:26" s="144" customFormat="1" ht="12.75" customHeight="1" x14ac:dyDescent="0.35">
      <c r="A608" s="91"/>
      <c r="B608" s="94"/>
      <c r="D608" s="173">
        <v>9</v>
      </c>
      <c r="E608" s="180" t="str">
        <f t="shared" si="67"/>
        <v/>
      </c>
      <c r="F608" s="181"/>
      <c r="G608" s="181"/>
      <c r="H608" s="181"/>
      <c r="I608" s="181"/>
      <c r="J608" s="182"/>
      <c r="K608" s="183" t="str">
        <f t="shared" si="69"/>
        <v/>
      </c>
      <c r="L608" s="212"/>
      <c r="O608" s="945"/>
      <c r="P608" s="94"/>
      <c r="Q608" s="93"/>
      <c r="R608" s="102" t="str">
        <f>CONST_PrecursorToGoodInput&amp;G586 &amp;"_"&amp;E608</f>
        <v>PrecToGood__</v>
      </c>
      <c r="S608" s="105">
        <f t="shared" si="68"/>
        <v>9</v>
      </c>
      <c r="T608" s="124" t="str">
        <f>IF(G586="","",L608)</f>
        <v/>
      </c>
      <c r="U608" s="91"/>
      <c r="V608" s="105" t="str">
        <f>IF(AND(G586&lt;&gt;"",E608&lt;&gt;"",L608&lt;&gt;""),TRUE,IF(AND(G586&lt;&gt;"",E608&lt;&gt;"",L608="",Z608=FALSE),CONST_ErrorOrMissing&amp;C586,CONST_NA))</f>
        <v>n.a.</v>
      </c>
      <c r="W608" s="172"/>
      <c r="X608" s="172"/>
      <c r="Y608" s="91"/>
      <c r="Z608" s="102" t="b">
        <f>IF(G586="",FALSE,E608="")</f>
        <v>0</v>
      </c>
    </row>
    <row r="609" spans="1:26" s="144" customFormat="1" ht="12.75" customHeight="1" x14ac:dyDescent="0.35">
      <c r="A609" s="91"/>
      <c r="B609" s="94"/>
      <c r="D609" s="173">
        <v>10</v>
      </c>
      <c r="E609" s="184" t="str">
        <f t="shared" si="67"/>
        <v/>
      </c>
      <c r="F609" s="185"/>
      <c r="G609" s="185"/>
      <c r="H609" s="185"/>
      <c r="I609" s="185"/>
      <c r="J609" s="186"/>
      <c r="K609" s="163" t="str">
        <f t="shared" si="69"/>
        <v/>
      </c>
      <c r="L609" s="31"/>
      <c r="O609" s="945"/>
      <c r="P609" s="94"/>
      <c r="Q609" s="93"/>
      <c r="R609" s="102" t="str">
        <f>CONST_PrecursorToGoodInput&amp;G586 &amp;"_"&amp;E609</f>
        <v>PrecToGood__</v>
      </c>
      <c r="S609" s="105">
        <f t="shared" si="68"/>
        <v>10</v>
      </c>
      <c r="T609" s="124" t="str">
        <f>IF(G586="","",L609)</f>
        <v/>
      </c>
      <c r="U609" s="91"/>
      <c r="V609" s="105" t="str">
        <f>IF(AND(G586&lt;&gt;"",E609&lt;&gt;"",L609&lt;&gt;""),TRUE,IF(AND(G586&lt;&gt;"",E609&lt;&gt;"",L609="",Z609=FALSE),CONST_ErrorOrMissing&amp;C586,CONST_NA))</f>
        <v>n.a.</v>
      </c>
      <c r="W609" s="172"/>
      <c r="X609" s="172"/>
      <c r="Y609" s="91"/>
      <c r="Z609" s="102" t="b">
        <f>IF(G586="",FALSE,E609="")</f>
        <v>0</v>
      </c>
    </row>
    <row r="610" spans="1:26" s="144" customFormat="1" ht="12.75" customHeight="1" x14ac:dyDescent="0.35">
      <c r="A610" s="91"/>
      <c r="B610" s="94"/>
      <c r="D610" s="168" t="s">
        <v>49</v>
      </c>
      <c r="E610" s="167" t="str">
        <f>Translations!$B$1968</f>
        <v>Consumed for other purposes, e.g. sold or used for non-CBAM goods:</v>
      </c>
      <c r="F610" s="167"/>
      <c r="G610" s="167"/>
      <c r="H610" s="167"/>
      <c r="I610" s="167"/>
      <c r="J610" s="167"/>
      <c r="K610" s="169" t="str">
        <f>K597</f>
        <v/>
      </c>
      <c r="L610" s="211"/>
      <c r="O610" s="945"/>
      <c r="P610" s="94"/>
      <c r="Q610" s="93"/>
      <c r="R610" s="91"/>
      <c r="S610" s="91"/>
      <c r="T610" s="712"/>
      <c r="U610" s="91"/>
      <c r="V610" s="105" t="str">
        <f>IF(G586="",CONST_NA,IF(ISNUMBER(L610),TRUE,CONST_ErrorOrMissing&amp;C586))</f>
        <v>n.a.</v>
      </c>
      <c r="W610" s="91"/>
      <c r="X610" s="91"/>
      <c r="Y610" s="91"/>
      <c r="Z610" s="91"/>
    </row>
    <row r="611" spans="1:26" s="144" customFormat="1" ht="12.75" customHeight="1" x14ac:dyDescent="0.35">
      <c r="A611" s="91"/>
      <c r="B611" s="94"/>
      <c r="D611" s="168" t="s">
        <v>377</v>
      </c>
      <c r="E611" s="138" t="str">
        <f>Translations!$B$253</f>
        <v>Control:</v>
      </c>
      <c r="F611" s="170"/>
      <c r="G611" s="170"/>
      <c r="H611" s="170"/>
      <c r="I611" s="170"/>
      <c r="J611" s="170"/>
      <c r="K611" s="169" t="str">
        <f>K610</f>
        <v/>
      </c>
      <c r="L611" s="118" t="str">
        <f>IF(G586="","",SUM(L597)-SUM(L600:L610))</f>
        <v/>
      </c>
      <c r="O611" s="945"/>
      <c r="P611" s="94"/>
      <c r="Q611" s="93"/>
      <c r="R611" s="91"/>
      <c r="S611" s="91"/>
      <c r="T611" s="712"/>
      <c r="U611" s="91"/>
      <c r="V611" s="105" t="str">
        <f>IF(G586="",CONST_NA,IF(L611=0,TRUE,CONST_ErrorOrMissing&amp;C586))</f>
        <v>n.a.</v>
      </c>
      <c r="W611" s="91"/>
      <c r="X611" s="91"/>
      <c r="Y611" s="91"/>
      <c r="Z611" s="91"/>
    </row>
    <row r="612" spans="1:26" s="144" customFormat="1" ht="12.75" customHeight="1" thickBot="1" x14ac:dyDescent="0.4">
      <c r="A612" s="91"/>
      <c r="B612" s="94"/>
      <c r="O612" s="428"/>
      <c r="P612" s="94"/>
      <c r="Q612" s="93"/>
      <c r="R612" s="91"/>
      <c r="S612" s="91"/>
      <c r="T612" s="712"/>
      <c r="U612" s="91"/>
      <c r="V612" s="91"/>
      <c r="W612" s="91"/>
      <c r="X612" s="91"/>
      <c r="Y612" s="91"/>
      <c r="Z612" s="91"/>
    </row>
    <row r="613" spans="1:26" ht="12.75" customHeight="1" x14ac:dyDescent="0.35">
      <c r="B613" s="94"/>
      <c r="C613" s="187"/>
      <c r="D613" s="188"/>
      <c r="E613" s="189"/>
      <c r="F613" s="190"/>
      <c r="G613" s="190"/>
      <c r="H613" s="190"/>
      <c r="I613" s="190"/>
      <c r="J613" s="190"/>
      <c r="K613" s="190"/>
      <c r="L613" s="190"/>
      <c r="M613" s="190"/>
      <c r="N613" s="191"/>
      <c r="O613" s="428"/>
      <c r="T613" s="712"/>
    </row>
    <row r="614" spans="1:26" ht="15" customHeight="1" x14ac:dyDescent="0.35">
      <c r="B614" s="94"/>
      <c r="C614" s="192"/>
      <c r="D614" s="193" t="str">
        <f>Translations!$B$279</f>
        <v>Specific embedded emissions:</v>
      </c>
      <c r="E614" s="194"/>
      <c r="F614" s="195"/>
      <c r="G614" s="195"/>
      <c r="H614" s="195"/>
      <c r="I614" s="195"/>
      <c r="J614" s="1327" t="str">
        <f>IF(G586="","",G586)</f>
        <v/>
      </c>
      <c r="K614" s="1327"/>
      <c r="L614" s="1327"/>
      <c r="M614" s="1327"/>
      <c r="N614" s="196"/>
      <c r="O614" s="428"/>
      <c r="T614" s="712"/>
    </row>
    <row r="615" spans="1:26" ht="5.15" customHeight="1" x14ac:dyDescent="0.35">
      <c r="B615" s="94"/>
      <c r="C615" s="192"/>
      <c r="D615" s="197"/>
      <c r="E615" s="198"/>
      <c r="F615" s="195"/>
      <c r="G615" s="195"/>
      <c r="H615" s="195"/>
      <c r="I615" s="195"/>
      <c r="J615" s="195"/>
      <c r="K615" s="195"/>
      <c r="L615" s="195"/>
      <c r="M615" s="195"/>
      <c r="N615" s="196"/>
      <c r="O615" s="428"/>
      <c r="T615" s="712"/>
    </row>
    <row r="616" spans="1:26" ht="12.75" customHeight="1" x14ac:dyDescent="0.35">
      <c r="B616" s="94"/>
      <c r="C616" s="192"/>
      <c r="D616" s="199" t="s">
        <v>411</v>
      </c>
      <c r="E616" s="198" t="str">
        <f>Translations!$B$280</f>
        <v>Emissions embedded in this purchased precursor</v>
      </c>
      <c r="F616" s="198"/>
      <c r="G616" s="198"/>
      <c r="H616" s="198"/>
      <c r="I616" s="198"/>
      <c r="J616" s="198"/>
      <c r="K616" s="198"/>
      <c r="L616" s="198"/>
      <c r="M616" s="198"/>
      <c r="N616" s="196"/>
      <c r="O616" s="428"/>
      <c r="T616" s="712"/>
      <c r="V616" s="172"/>
      <c r="W616" s="172"/>
      <c r="X616" s="172"/>
      <c r="Z616" s="171"/>
    </row>
    <row r="617" spans="1:26" ht="4.9000000000000004" customHeight="1" x14ac:dyDescent="0.35">
      <c r="B617" s="94"/>
      <c r="C617" s="192"/>
      <c r="D617" s="199"/>
      <c r="E617" s="1328"/>
      <c r="F617" s="1328"/>
      <c r="G617" s="1328"/>
      <c r="H617" s="1328"/>
      <c r="I617" s="1328"/>
      <c r="J617" s="1328"/>
      <c r="K617" s="1328"/>
      <c r="L617" s="1328"/>
      <c r="M617" s="1328"/>
      <c r="N617" s="196"/>
      <c r="O617" s="428"/>
      <c r="T617" s="712"/>
    </row>
    <row r="618" spans="1:26" ht="13.15" customHeight="1" x14ac:dyDescent="0.35">
      <c r="B618" s="94"/>
      <c r="C618" s="192"/>
      <c r="D618" s="199"/>
      <c r="E618" s="1311" t="str">
        <f ca="1">HYPERLINK("#"&amp;ADDRESS(MATCH($S618,G_FurtherGuidance!$S:$S,0),3,,,G_FurtherGuidance!$U$2),CONST_LinkToGuidanceSheet)</f>
        <v>Please click on this link for further guidance on how to complete this section.</v>
      </c>
      <c r="F618" s="1312"/>
      <c r="G618" s="1312"/>
      <c r="H618" s="1312"/>
      <c r="I618" s="1312"/>
      <c r="J618" s="1312"/>
      <c r="K618" s="1312"/>
      <c r="L618" s="1312"/>
      <c r="M618" s="1312"/>
      <c r="N618" s="196"/>
      <c r="O618" s="428"/>
      <c r="R618" s="104" t="s">
        <v>2771</v>
      </c>
      <c r="S618" s="105">
        <v>4</v>
      </c>
      <c r="T618" s="712"/>
    </row>
    <row r="619" spans="1:26" ht="4.9000000000000004" customHeight="1" x14ac:dyDescent="0.35">
      <c r="B619" s="94"/>
      <c r="C619" s="192"/>
      <c r="D619" s="199"/>
      <c r="E619" s="1328"/>
      <c r="F619" s="1328"/>
      <c r="G619" s="1328"/>
      <c r="H619" s="1328"/>
      <c r="I619" s="1328"/>
      <c r="J619" s="1328"/>
      <c r="K619" s="1328"/>
      <c r="L619" s="1328"/>
      <c r="M619" s="1328"/>
      <c r="N619" s="384"/>
      <c r="O619" s="428"/>
      <c r="T619" s="712"/>
    </row>
    <row r="620" spans="1:26" ht="12.75" customHeight="1" x14ac:dyDescent="0.35">
      <c r="B620" s="94"/>
      <c r="C620" s="192"/>
      <c r="D620" s="199"/>
      <c r="E620" s="198" t="str">
        <f>Translations!$B$284</f>
        <v>Parameter:</v>
      </c>
      <c r="F620" s="195"/>
      <c r="G620" s="195"/>
      <c r="H620" s="195"/>
      <c r="I620" s="195"/>
      <c r="J620" s="195"/>
      <c r="K620" s="199" t="str">
        <f>Translations!$B$221</f>
        <v>Unit</v>
      </c>
      <c r="L620" s="199" t="str">
        <f>Translations!$B$260</f>
        <v>Value</v>
      </c>
      <c r="M620" s="199" t="str">
        <f>Translations!$B$285</f>
        <v>Source</v>
      </c>
      <c r="N620" s="196"/>
      <c r="O620" s="428"/>
      <c r="T620" s="764" t="s">
        <v>5</v>
      </c>
      <c r="U620" s="123" t="s">
        <v>2719</v>
      </c>
      <c r="V620" s="156" t="s">
        <v>3922</v>
      </c>
      <c r="W620" s="156"/>
      <c r="X620" s="156"/>
      <c r="Z620" s="171"/>
    </row>
    <row r="621" spans="1:26" ht="12.75" customHeight="1" x14ac:dyDescent="0.35">
      <c r="B621" s="94"/>
      <c r="C621" s="192"/>
      <c r="D621" s="197" t="s">
        <v>41</v>
      </c>
      <c r="E621" s="201" t="str">
        <f>Translations!$B$1969</f>
        <v>Specific embedded direct emissions (SEE (direct))</v>
      </c>
      <c r="F621" s="201"/>
      <c r="G621" s="201"/>
      <c r="H621" s="201"/>
      <c r="I621" s="201"/>
      <c r="J621" s="201"/>
      <c r="K621" s="217" t="str">
        <f>IF(L586="","",CONST_tCO2eq &amp; "/" &amp; K597)</f>
        <v/>
      </c>
      <c r="L621" s="215"/>
      <c r="M621" s="385"/>
      <c r="N621" s="196"/>
      <c r="O621" s="945"/>
      <c r="R621" s="102" t="str">
        <f>CONST_PurchPrecDefaultUsed&amp;G586</f>
        <v>PurchPrecDef_</v>
      </c>
      <c r="S621" s="102" t="str">
        <f>CONST_CNTR_EmbedEmDir&amp;G586</f>
        <v>EmbedEmDir_</v>
      </c>
      <c r="T621" s="124" t="str">
        <f>IF(G586="","",SUM(T597)*SUM(L621))</f>
        <v/>
      </c>
      <c r="U621" s="105" t="str">
        <f>IF(G586="","",IF(M621="",CONST_ERR_Incomplete,MATCH(M621,CONST_MeasDefaultUnknown,0)=2))</f>
        <v/>
      </c>
      <c r="V621" s="105" t="str">
        <f>IF(AND(G586&lt;&gt;"",COUNTA(L621:M621)=2),TRUE,IF(AND(G586&lt;&gt;"",COUNTA(L621:M621)&lt;2),CONST_ErrorOrMissing&amp;C586,CONST_NA))</f>
        <v>n.a.</v>
      </c>
      <c r="W621" s="156"/>
      <c r="X621" s="156"/>
      <c r="Z621" s="171"/>
    </row>
    <row r="622" spans="1:26" ht="12.75" customHeight="1" x14ac:dyDescent="0.35">
      <c r="B622" s="94"/>
      <c r="C622" s="192"/>
      <c r="D622" s="197" t="s">
        <v>42</v>
      </c>
      <c r="E622" s="759" t="str">
        <f>Translations!$B$1970</f>
        <v>Specific electricity consumption (for SEE (indirect))</v>
      </c>
      <c r="F622" s="759"/>
      <c r="G622" s="759"/>
      <c r="H622" s="759"/>
      <c r="I622" s="759"/>
      <c r="J622" s="759"/>
      <c r="K622" s="457" t="str">
        <f>IF(K621="","",CONST_MWh&amp;"/"&amp;K597)</f>
        <v/>
      </c>
      <c r="L622" s="760"/>
      <c r="M622" s="761"/>
      <c r="N622" s="196"/>
      <c r="O622" s="945"/>
      <c r="R622" s="102" t="str">
        <f>CONST_ElecConsumption&amp;G586</f>
        <v>ElecCons_</v>
      </c>
      <c r="S622" s="102"/>
      <c r="T622" s="124" t="str">
        <f>IF(G586="","",SUM(T597)*SUM(L622))</f>
        <v/>
      </c>
      <c r="U622" s="105" t="str">
        <f>IF(G586="","",IF(M622="",CONST_ERR_Incomplete,MATCH(M622,CONST_MeasDefaultUnknown,0)=2))</f>
        <v/>
      </c>
      <c r="V622" s="105" t="str">
        <f>IF(AND(G586&lt;&gt;"",COUNTA(L622:M622)=2),TRUE,IF(AND(G586&lt;&gt;"",COUNTA(L622:M622)&lt;2),CONST_ErrorOrMissing&amp;C586,CONST_NA))</f>
        <v>n.a.</v>
      </c>
      <c r="W622" s="156"/>
      <c r="X622" s="156"/>
      <c r="Z622" s="171"/>
    </row>
    <row r="623" spans="1:26" ht="12.75" customHeight="1" x14ac:dyDescent="0.35">
      <c r="B623" s="94"/>
      <c r="C623" s="192"/>
      <c r="D623" s="197" t="s">
        <v>43</v>
      </c>
      <c r="E623" s="1144" t="str">
        <f>Translations!$B$1971</f>
        <v>Electricity emission factor (for SEE (indirect))</v>
      </c>
      <c r="F623" s="1144"/>
      <c r="G623" s="1144"/>
      <c r="H623" s="1144"/>
      <c r="I623" s="1144"/>
      <c r="J623" s="1144"/>
      <c r="K623" s="1145" t="str">
        <f>IF(K621="","",CONST_tCO2eq&amp;"/"&amp;CONST_MWh)</f>
        <v/>
      </c>
      <c r="L623" s="1146"/>
      <c r="M623" s="762"/>
      <c r="N623" s="196"/>
      <c r="O623" s="945"/>
      <c r="R623" s="102" t="str">
        <f>CONST_CNTR_ElecEFMethod&amp;G586</f>
        <v>ElecEFMeth_</v>
      </c>
      <c r="S623" s="102"/>
      <c r="T623" s="124"/>
      <c r="U623" s="105" t="str">
        <f>IF(G586="","",M623)</f>
        <v/>
      </c>
      <c r="V623" s="105" t="str">
        <f>IF(AND(G586&lt;&gt;"",COUNTA(L623:M623)=2),TRUE,IF(AND(G586&lt;&gt;"",COUNTA(L623:M623)&lt;2),CONST_ErrorOrMissing&amp;C586,CONST_NA))</f>
        <v>n.a.</v>
      </c>
      <c r="W623" s="156"/>
      <c r="X623" s="156"/>
      <c r="Z623" s="171"/>
    </row>
    <row r="624" spans="1:26" x14ac:dyDescent="0.35">
      <c r="B624" s="94"/>
      <c r="C624" s="192"/>
      <c r="D624" s="197" t="s">
        <v>44</v>
      </c>
      <c r="E624" s="201" t="str">
        <f>Translations!$B$1972</f>
        <v>Specific embedded indirect emissions (SEE (indirect))</v>
      </c>
      <c r="F624" s="201"/>
      <c r="G624" s="201"/>
      <c r="H624" s="201"/>
      <c r="I624" s="201"/>
      <c r="J624" s="201"/>
      <c r="K624" s="217" t="str">
        <f>K621</f>
        <v/>
      </c>
      <c r="L624" s="1147" t="str">
        <f>IF(COUNT(L622:L623)=0,"",L622*L623)</f>
        <v/>
      </c>
      <c r="M624" s="758"/>
      <c r="N624" s="196"/>
      <c r="O624" s="428"/>
      <c r="R624" s="171"/>
      <c r="S624" s="102" t="str">
        <f>CONST_CNTR_EmbedEmInDir&amp;G586</f>
        <v>EmbedEmInDir_</v>
      </c>
      <c r="T624" s="124" t="str">
        <f>IF(G586="","",SUM(T597)*SUM(L624))</f>
        <v/>
      </c>
      <c r="Z624" s="171"/>
    </row>
    <row r="625" spans="1:26" ht="5.15" customHeight="1" x14ac:dyDescent="0.35">
      <c r="B625" s="94"/>
      <c r="C625" s="192"/>
      <c r="D625" s="197"/>
      <c r="E625" s="195"/>
      <c r="F625" s="195"/>
      <c r="G625" s="195"/>
      <c r="H625" s="195"/>
      <c r="I625" s="195"/>
      <c r="J625" s="195"/>
      <c r="K625" s="195"/>
      <c r="L625" s="195"/>
      <c r="M625" s="195"/>
      <c r="N625" s="196"/>
      <c r="O625" s="428"/>
      <c r="R625" s="171"/>
      <c r="S625" s="171"/>
      <c r="T625" s="125"/>
      <c r="U625" s="156"/>
      <c r="V625" s="172"/>
      <c r="W625" s="172"/>
      <c r="X625" s="172"/>
      <c r="Z625" s="171"/>
    </row>
    <row r="626" spans="1:26" ht="12.75" customHeight="1" x14ac:dyDescent="0.35">
      <c r="B626" s="94"/>
      <c r="C626" s="192"/>
      <c r="D626" s="197" t="s">
        <v>45</v>
      </c>
      <c r="E626" s="201" t="str">
        <f>Translations!$B$1858</f>
        <v>Justification for use of default values (if relevant):</v>
      </c>
      <c r="F626" s="201"/>
      <c r="G626" s="201"/>
      <c r="H626" s="201"/>
      <c r="I626" s="201"/>
      <c r="J626" s="201"/>
      <c r="K626" s="1329"/>
      <c r="L626" s="1329"/>
      <c r="M626" s="1329"/>
      <c r="N626" s="196"/>
      <c r="O626" s="945"/>
      <c r="R626" s="171"/>
      <c r="S626" s="171"/>
      <c r="T626" s="125"/>
      <c r="U626" s="156"/>
      <c r="V626" s="105" t="str">
        <f>IF(OR(G586="",Z626=TRUE),CONST_NA,IF(K626&lt;&gt;"",TRUE,CONST_ErrorOrMissing&amp;C586))</f>
        <v>n.a.</v>
      </c>
      <c r="W626" s="172"/>
      <c r="X626" s="172"/>
      <c r="Z626" s="102" t="b">
        <f>AND(M621&lt;&gt;"",M621&lt;&gt;INDEX(CONST_MeasDefaultUnknown,2),M622&lt;&gt;"",M622&lt;&gt;INDEX(CONST_MeasDefaultUnknown,2))</f>
        <v>0</v>
      </c>
    </row>
    <row r="627" spans="1:26" s="144" customFormat="1" ht="12.75" customHeight="1" thickBot="1" x14ac:dyDescent="0.4">
      <c r="A627" s="91"/>
      <c r="B627" s="94"/>
      <c r="C627" s="206"/>
      <c r="D627" s="207"/>
      <c r="E627" s="208"/>
      <c r="F627" s="209"/>
      <c r="G627" s="209"/>
      <c r="H627" s="209"/>
      <c r="I627" s="209"/>
      <c r="J627" s="209"/>
      <c r="K627" s="209"/>
      <c r="L627" s="209"/>
      <c r="M627" s="209"/>
      <c r="N627" s="210"/>
      <c r="O627" s="428"/>
      <c r="P627" s="94"/>
      <c r="Q627" s="93"/>
      <c r="R627" s="91"/>
      <c r="S627" s="91"/>
      <c r="T627" s="712"/>
      <c r="U627" s="91"/>
      <c r="V627" s="91"/>
      <c r="W627" s="91"/>
      <c r="X627" s="91"/>
      <c r="Y627" s="91"/>
      <c r="Z627" s="91"/>
    </row>
    <row r="628" spans="1:26" s="144" customFormat="1" ht="12.75" customHeight="1" thickBot="1" x14ac:dyDescent="0.4">
      <c r="A628" s="91"/>
      <c r="B628" s="94"/>
      <c r="O628" s="428"/>
      <c r="P628" s="94"/>
      <c r="Q628" s="93"/>
      <c r="R628" s="91"/>
      <c r="S628" s="91"/>
      <c r="T628" s="712"/>
      <c r="U628" s="91"/>
      <c r="V628" s="91"/>
      <c r="W628" s="91"/>
      <c r="X628" s="91"/>
      <c r="Y628" s="91"/>
      <c r="Z628" s="91"/>
    </row>
    <row r="629" spans="1:26" s="144" customFormat="1" ht="12.75" customHeight="1" thickBot="1" x14ac:dyDescent="0.4">
      <c r="A629" s="91"/>
      <c r="B629" s="946"/>
      <c r="C629" s="145"/>
      <c r="D629" s="145"/>
      <c r="E629" s="145"/>
      <c r="F629" s="145"/>
      <c r="G629" s="145"/>
      <c r="H629" s="145"/>
      <c r="I629" s="145"/>
      <c r="J629" s="145"/>
      <c r="K629" s="145"/>
      <c r="L629" s="145"/>
      <c r="M629" s="145"/>
      <c r="N629" s="145"/>
      <c r="O629" s="947"/>
      <c r="P629" s="94"/>
      <c r="Q629" s="93"/>
      <c r="R629" s="91"/>
      <c r="S629" s="91"/>
      <c r="T629" s="712"/>
      <c r="U629" s="91"/>
      <c r="V629" s="91"/>
      <c r="W629" s="91"/>
      <c r="X629" s="91"/>
      <c r="Y629" s="91"/>
      <c r="Z629" s="91"/>
    </row>
    <row r="630" spans="1:26" ht="18" customHeight="1" thickBot="1" x14ac:dyDescent="0.4">
      <c r="B630" s="94"/>
      <c r="C630" s="147">
        <f>C586+1</f>
        <v>15</v>
      </c>
      <c r="D630" s="944" t="str">
        <f>CONST_PurchPrecursor &amp; " " &amp; C630 &amp; ":"</f>
        <v>Purchased precursor 15:</v>
      </c>
      <c r="E630" s="144"/>
      <c r="F630" s="144"/>
      <c r="G630" s="1313" t="str">
        <f>IF(INDEX(CNTR_List_ExistPurchPrecNames,MATCH(R630,CNTR_ListPurchPrecID,0))=CONST_NA,"",INDEX(CNTR_List_ExistPurchPrecNames,MATCH(R630,CNTR_ListPurchPrecID,0)))</f>
        <v/>
      </c>
      <c r="H630" s="1314"/>
      <c r="I630" s="1314"/>
      <c r="J630" s="1314"/>
      <c r="K630" s="1315"/>
      <c r="L630" s="1316" t="str">
        <f>IF(INDEX(CNTR_List_ExistPurchPrec,MATCH(R630,CNTR_ListPurchPrecID,0))=CONST_NA,"",INDEX(CNTR_List_ExistPurchPrec,MATCH(R630,CNTR_ListPurchPrecID,0)))</f>
        <v/>
      </c>
      <c r="M630" s="1317"/>
      <c r="N630" s="1318"/>
      <c r="O630" s="428"/>
      <c r="R630" s="149" t="str">
        <f>INDEX(CNTR_ListPurchPrecID,C630)</f>
        <v>PP15</v>
      </c>
      <c r="Y630" s="104" t="s">
        <v>2748</v>
      </c>
      <c r="Z630" s="150" t="b">
        <f>AND(CNTR_HasEntriesA,G630="")</f>
        <v>0</v>
      </c>
    </row>
    <row r="631" spans="1:26" ht="26.5" customHeight="1" x14ac:dyDescent="0.35">
      <c r="B631" s="94"/>
      <c r="C631" s="144"/>
      <c r="D631" s="914"/>
      <c r="E631" s="1325" t="str">
        <f ca="1">HYPERLINK("#"&amp;ADDRESS(MATCH($S631,G_FurtherGuidance!$S:$S,0),3,,,G_FurtherGuidance!$U$2),CONST_LinkToGuidanceSheet)</f>
        <v>Please click on this link for further guidance on how to complete this section.</v>
      </c>
      <c r="F631" s="1326"/>
      <c r="G631" s="1326"/>
      <c r="H631" s="1326"/>
      <c r="I631" s="1326"/>
      <c r="J631" s="1326"/>
      <c r="K631" s="1326"/>
      <c r="L631" s="1326"/>
      <c r="M631" s="1326"/>
      <c r="N631" s="144"/>
      <c r="O631" s="428"/>
      <c r="R631" s="104" t="s">
        <v>2771</v>
      </c>
      <c r="S631" s="105">
        <v>4</v>
      </c>
      <c r="Y631" s="104"/>
    </row>
    <row r="632" spans="1:26" ht="12.75" customHeight="1" x14ac:dyDescent="0.35">
      <c r="B632" s="94"/>
      <c r="C632" s="144"/>
      <c r="D632" s="168" t="s">
        <v>135</v>
      </c>
      <c r="E632" s="167" t="str">
        <f>Translations!$B$276</f>
        <v>Total purchased levels:</v>
      </c>
      <c r="F632" s="144"/>
      <c r="G632" s="144"/>
      <c r="H632" s="151" t="str">
        <f>Translations!$B$244</f>
        <v>Production route</v>
      </c>
      <c r="I632" s="144"/>
      <c r="J632" s="144"/>
      <c r="K632" s="152" t="str">
        <f>Translations!$B$221</f>
        <v>Unit</v>
      </c>
      <c r="L632" s="152" t="str">
        <f>Translations!$B$245</f>
        <v>Amounts</v>
      </c>
      <c r="M632" s="144"/>
      <c r="N632" s="144"/>
      <c r="O632" s="428"/>
      <c r="Y632" s="91" t="s">
        <v>4077</v>
      </c>
    </row>
    <row r="633" spans="1:26" ht="12.75" customHeight="1" x14ac:dyDescent="0.35">
      <c r="B633" s="94"/>
      <c r="C633" s="144"/>
      <c r="D633" s="173">
        <v>1</v>
      </c>
      <c r="E633" s="153" t="str">
        <f>IF(G630="","",G630) &amp; IF(L630="",""," | " &amp; L630)</f>
        <v/>
      </c>
      <c r="F633" s="153"/>
      <c r="G633" s="153"/>
      <c r="H633" s="154" t="str">
        <f>IF(L630="","",INDEX(CONST_MATRIX_ProductionRoute,MATCH(L630,CONST_LIST_Goods,0),D633))</f>
        <v/>
      </c>
      <c r="I633" s="153"/>
      <c r="J633" s="153"/>
      <c r="K633" s="155" t="str">
        <f>IF(L630="","",INDEX(CONST_LIST_GoodsUnit,MATCH(L630,CONST_LIST_Goods,0)))</f>
        <v/>
      </c>
      <c r="L633" s="29"/>
      <c r="M633" s="144"/>
      <c r="N633" s="144"/>
      <c r="O633" s="945"/>
      <c r="S633" s="105">
        <v>1</v>
      </c>
      <c r="V633" s="105" t="str">
        <f>IF(AND(Y633=FALSE,ISNUMBER(L633)),TRUE,IF(Y633=FALSE,CONST_ErrorOrMissing&amp;C630,CONST_NA))</f>
        <v>n.a.</v>
      </c>
      <c r="Y633" s="105" t="str">
        <f>IF(OR(H633="",H633=CONST_NA),"",IF(H633=CONST_AllProdRoutes,FALSE, COUNTIF(INDEX(CNTR_MatrixPurchPrecRoutes,C630,),S633)=0))</f>
        <v/>
      </c>
    </row>
    <row r="634" spans="1:26" ht="12.75" customHeight="1" x14ac:dyDescent="0.35">
      <c r="B634" s="94"/>
      <c r="C634" s="144"/>
      <c r="D634" s="173">
        <v>2</v>
      </c>
      <c r="E634" s="158" t="str">
        <f t="shared" ref="E634:E640" si="70">IF(H634=CONST_NA,"",E633)</f>
        <v/>
      </c>
      <c r="F634" s="158"/>
      <c r="G634" s="158"/>
      <c r="H634" s="159" t="str">
        <f>IF(L630="","",INDEX(CONST_MATRIX_ProductionRoute,MATCH(L630,CONST_LIST_Goods,0),D634))</f>
        <v/>
      </c>
      <c r="I634" s="158"/>
      <c r="J634" s="158"/>
      <c r="K634" s="160" t="str">
        <f t="shared" ref="K634:K640" si="71">IF(H634=CONST_NA,"",K633)</f>
        <v/>
      </c>
      <c r="L634" s="30"/>
      <c r="M634" s="144"/>
      <c r="N634" s="144"/>
      <c r="O634" s="945"/>
      <c r="S634" s="105">
        <v>2</v>
      </c>
      <c r="V634" s="105" t="str">
        <f>IF(AND(Y634=FALSE,ISNUMBER(L634)),TRUE,IF(Y634=FALSE,CONST_ErrorOrMissing&amp;C630,CONST_NA))</f>
        <v>n.a.</v>
      </c>
      <c r="Y634" s="105" t="str">
        <f>IF(OR(H634="",H634=CONST_NA),"",IF(H634=CONST_AllProdRoutes,FALSE, COUNTIF(INDEX(CNTR_MatrixPurchPrecRoutes,C630,),S634)=0))</f>
        <v/>
      </c>
    </row>
    <row r="635" spans="1:26" ht="12.75" customHeight="1" x14ac:dyDescent="0.35">
      <c r="B635" s="94"/>
      <c r="C635" s="144"/>
      <c r="D635" s="173">
        <v>3</v>
      </c>
      <c r="E635" s="158" t="str">
        <f t="shared" si="70"/>
        <v/>
      </c>
      <c r="F635" s="158"/>
      <c r="G635" s="158"/>
      <c r="H635" s="159" t="str">
        <f>IF(L630="","",INDEX(CONST_MATRIX_ProductionRoute,MATCH(L630,CONST_LIST_Goods,0),D635))</f>
        <v/>
      </c>
      <c r="I635" s="158"/>
      <c r="J635" s="158"/>
      <c r="K635" s="160" t="str">
        <f t="shared" si="71"/>
        <v/>
      </c>
      <c r="L635" s="30"/>
      <c r="M635" s="144"/>
      <c r="N635" s="144"/>
      <c r="O635" s="945"/>
      <c r="S635" s="105">
        <v>3</v>
      </c>
      <c r="V635" s="105" t="str">
        <f>IF(AND(Y635=FALSE,ISNUMBER(L635)),TRUE,IF(Y635=FALSE,CONST_ErrorOrMissing&amp;C630,CONST_NA))</f>
        <v>n.a.</v>
      </c>
      <c r="Y635" s="105" t="str">
        <f>IF(OR(H635="",H635=CONST_NA),"",IF(H635=CONST_AllProdRoutes,FALSE, COUNTIF(INDEX(CNTR_MatrixPurchPrecRoutes,C630,),S635)=0))</f>
        <v/>
      </c>
    </row>
    <row r="636" spans="1:26" ht="12.75" customHeight="1" x14ac:dyDescent="0.35">
      <c r="B636" s="94"/>
      <c r="C636" s="144"/>
      <c r="D636" s="173">
        <v>4</v>
      </c>
      <c r="E636" s="158" t="str">
        <f t="shared" si="70"/>
        <v/>
      </c>
      <c r="F636" s="158"/>
      <c r="G636" s="158"/>
      <c r="H636" s="159" t="str">
        <f>IF(L630="","",INDEX(CONST_MATRIX_ProductionRoute,MATCH(L630,CONST_LIST_Goods,0),D636))</f>
        <v/>
      </c>
      <c r="I636" s="158"/>
      <c r="J636" s="158"/>
      <c r="K636" s="160" t="str">
        <f t="shared" si="71"/>
        <v/>
      </c>
      <c r="L636" s="30"/>
      <c r="M636" s="144"/>
      <c r="N636" s="144"/>
      <c r="O636" s="945"/>
      <c r="S636" s="105">
        <v>4</v>
      </c>
      <c r="V636" s="105" t="str">
        <f>IF(AND(Y636=FALSE,ISNUMBER(L636)),TRUE,IF(Y636=FALSE,CONST_ErrorOrMissing&amp;C630,CONST_NA))</f>
        <v>n.a.</v>
      </c>
      <c r="Y636" s="105" t="str">
        <f>IF(OR(H636="",H636=CONST_NA),"",IF(H636=CONST_AllProdRoutes,FALSE, COUNTIF(INDEX(CNTR_MatrixPurchPrecRoutes,C630,),S636)=0))</f>
        <v/>
      </c>
    </row>
    <row r="637" spans="1:26" ht="12.75" customHeight="1" x14ac:dyDescent="0.35">
      <c r="B637" s="94"/>
      <c r="C637" s="144"/>
      <c r="D637" s="173">
        <v>5</v>
      </c>
      <c r="E637" s="158" t="str">
        <f t="shared" si="70"/>
        <v/>
      </c>
      <c r="F637" s="158"/>
      <c r="G637" s="158"/>
      <c r="H637" s="159" t="str">
        <f>IF(L630="","",INDEX(CONST_MATRIX_ProductionRoute,MATCH(L630,CONST_LIST_Goods,0),D637))</f>
        <v/>
      </c>
      <c r="I637" s="158"/>
      <c r="J637" s="158"/>
      <c r="K637" s="160" t="str">
        <f t="shared" si="71"/>
        <v/>
      </c>
      <c r="L637" s="30"/>
      <c r="M637" s="144"/>
      <c r="N637" s="144"/>
      <c r="O637" s="945"/>
      <c r="S637" s="105">
        <v>5</v>
      </c>
      <c r="V637" s="105" t="str">
        <f>IF(AND(Y637=FALSE,ISNUMBER(L637)),TRUE,IF(Y637=FALSE,CONST_ErrorOrMissing&amp;C630,CONST_NA))</f>
        <v>n.a.</v>
      </c>
      <c r="Y637" s="105" t="str">
        <f>IF(OR(H637="",H637=CONST_NA),"",IF(H637=CONST_AllProdRoutes,FALSE, COUNTIF(INDEX(CNTR_MatrixPurchPrecRoutes,C630,),S637)=0))</f>
        <v/>
      </c>
    </row>
    <row r="638" spans="1:26" ht="12.75" customHeight="1" x14ac:dyDescent="0.35">
      <c r="B638" s="94"/>
      <c r="C638" s="144"/>
      <c r="D638" s="173">
        <v>6</v>
      </c>
      <c r="E638" s="158" t="str">
        <f t="shared" si="70"/>
        <v/>
      </c>
      <c r="F638" s="158"/>
      <c r="G638" s="158"/>
      <c r="H638" s="159" t="str">
        <f>IF(L630="","",INDEX(CONST_MATRIX_ProductionRoute,MATCH(L630,CONST_LIST_Goods,0),D638))</f>
        <v/>
      </c>
      <c r="I638" s="158"/>
      <c r="J638" s="158"/>
      <c r="K638" s="160" t="str">
        <f t="shared" si="71"/>
        <v/>
      </c>
      <c r="L638" s="30"/>
      <c r="M638" s="144"/>
      <c r="N638" s="144"/>
      <c r="O638" s="945"/>
      <c r="S638" s="105">
        <v>6</v>
      </c>
      <c r="V638" s="105" t="str">
        <f>IF(AND(Y638=FALSE,ISNUMBER(L638)),TRUE,IF(Y638=FALSE,CONST_ErrorOrMissing&amp;C630,CONST_NA))</f>
        <v>n.a.</v>
      </c>
      <c r="Y638" s="105" t="str">
        <f>IF(OR(H638="",H638=CONST_NA),"",IF(H638=CONST_AllProdRoutes,FALSE, COUNTIF(INDEX(CNTR_MatrixPurchPrecRoutes,C630,),S638)=0))</f>
        <v/>
      </c>
    </row>
    <row r="639" spans="1:26" ht="12.75" customHeight="1" x14ac:dyDescent="0.35">
      <c r="B639" s="94"/>
      <c r="C639" s="144"/>
      <c r="D639" s="173">
        <v>7</v>
      </c>
      <c r="E639" s="158" t="str">
        <f t="shared" si="70"/>
        <v/>
      </c>
      <c r="F639" s="158"/>
      <c r="G639" s="158"/>
      <c r="H639" s="159" t="str">
        <f>IF(L630="","",INDEX(CONST_MATRIX_ProductionRoute,MATCH(L630,CONST_LIST_Goods,0),D639))</f>
        <v/>
      </c>
      <c r="I639" s="158"/>
      <c r="J639" s="158"/>
      <c r="K639" s="160" t="str">
        <f t="shared" si="71"/>
        <v/>
      </c>
      <c r="L639" s="30"/>
      <c r="M639" s="144"/>
      <c r="N639" s="144"/>
      <c r="O639" s="945"/>
      <c r="S639" s="105">
        <v>7</v>
      </c>
      <c r="V639" s="105" t="str">
        <f>IF(AND(Y639=FALSE,ISNUMBER(L639)),TRUE,IF(Y639=FALSE,CONST_ErrorOrMissing&amp;C630,CONST_NA))</f>
        <v>n.a.</v>
      </c>
      <c r="Y639" s="105" t="str">
        <f>IF(OR(H639="",H639=CONST_NA),"",IF(H639=CONST_AllProdRoutes,FALSE, COUNTIF(INDEX(CNTR_MatrixPurchPrecRoutes,C630,),S639)=0))</f>
        <v/>
      </c>
    </row>
    <row r="640" spans="1:26" ht="12.75" customHeight="1" x14ac:dyDescent="0.35">
      <c r="B640" s="94"/>
      <c r="C640" s="144"/>
      <c r="D640" s="173">
        <v>8</v>
      </c>
      <c r="E640" s="161" t="str">
        <f t="shared" si="70"/>
        <v/>
      </c>
      <c r="F640" s="161"/>
      <c r="G640" s="161"/>
      <c r="H640" s="162" t="str">
        <f>IF(L630="","",INDEX(CONST_MATRIX_ProductionRoute,MATCH(L630,CONST_LIST_Goods,0),D640))</f>
        <v/>
      </c>
      <c r="I640" s="161"/>
      <c r="J640" s="161"/>
      <c r="K640" s="163" t="str">
        <f t="shared" si="71"/>
        <v/>
      </c>
      <c r="L640" s="31"/>
      <c r="M640" s="144"/>
      <c r="N640" s="144"/>
      <c r="O640" s="945"/>
      <c r="S640" s="105">
        <v>8</v>
      </c>
      <c r="V640" s="105" t="str">
        <f>IF(AND(Y640=FALSE,ISNUMBER(L640)),TRUE,IF(Y640=FALSE,CONST_ErrorOrMissing&amp;C630,CONST_NA))</f>
        <v>n.a.</v>
      </c>
      <c r="Y640" s="105" t="str">
        <f>IF(OR(H640="",H640=CONST_NA),"",IF(H640=CONST_AllProdRoutes,FALSE, COUNTIF(INDEX(CNTR_MatrixPurchPrecRoutes,C630,),S640)=0))</f>
        <v/>
      </c>
    </row>
    <row r="641" spans="1:26" ht="12.75" customHeight="1" x14ac:dyDescent="0.35">
      <c r="B641" s="94"/>
      <c r="C641" s="144"/>
      <c r="D641" s="914"/>
      <c r="E641" s="138" t="str">
        <f>Translations!$B$1966</f>
        <v>Total purchase for possible consumption within installation:</v>
      </c>
      <c r="F641" s="138"/>
      <c r="G641" s="138"/>
      <c r="H641" s="164"/>
      <c r="I641" s="138"/>
      <c r="J641" s="138"/>
      <c r="K641" s="169" t="str">
        <f>K633</f>
        <v/>
      </c>
      <c r="L641" s="386" t="str">
        <f>IF(G630="","",SUM(L633:L640))</f>
        <v/>
      </c>
      <c r="M641" s="144"/>
      <c r="N641" s="144"/>
      <c r="O641" s="428"/>
      <c r="R641" s="102" t="str">
        <f>CONST_CNTR_TotProd&amp;G630</f>
        <v>TotProd_</v>
      </c>
      <c r="T641" s="216" t="str">
        <f>IF(G630="","",IF(SUM(L641)=0,100,L641))</f>
        <v/>
      </c>
      <c r="V641" s="123"/>
    </row>
    <row r="642" spans="1:26" s="144" customFormat="1" ht="5.15" customHeight="1" x14ac:dyDescent="0.35">
      <c r="A642" s="91"/>
      <c r="B642" s="94"/>
      <c r="D642" s="166"/>
      <c r="E642" s="167"/>
      <c r="O642" s="428"/>
      <c r="P642" s="94"/>
      <c r="Q642" s="93"/>
      <c r="R642" s="91"/>
      <c r="S642" s="91"/>
      <c r="T642" s="712"/>
      <c r="U642" s="91"/>
      <c r="V642" s="123"/>
      <c r="W642" s="91"/>
      <c r="X642" s="91"/>
      <c r="Y642" s="91"/>
      <c r="Z642" s="91"/>
    </row>
    <row r="643" spans="1:26" s="144" customFormat="1" ht="12.75" customHeight="1" x14ac:dyDescent="0.35">
      <c r="A643" s="91"/>
      <c r="B643" s="94"/>
      <c r="D643" s="168" t="s">
        <v>48</v>
      </c>
      <c r="E643" s="167" t="str">
        <f>Translations!$B$1967</f>
        <v>Consumed in 'production processes' within the installation:</v>
      </c>
      <c r="F643" s="167"/>
      <c r="G643" s="167"/>
      <c r="H643" s="167"/>
      <c r="I643" s="167"/>
      <c r="J643" s="167"/>
      <c r="K643" s="168" t="str">
        <f>Translations!$B$221</f>
        <v>Unit</v>
      </c>
      <c r="L643" s="168" t="str">
        <f>Translations!$B$245</f>
        <v>Amounts</v>
      </c>
      <c r="O643" s="428"/>
      <c r="P643" s="94"/>
      <c r="Q643" s="93"/>
      <c r="R643" s="91"/>
      <c r="S643" s="123" t="s">
        <v>195</v>
      </c>
      <c r="T643" s="712"/>
      <c r="U643" s="91"/>
      <c r="V643" s="123"/>
      <c r="W643" s="91"/>
      <c r="X643" s="91"/>
      <c r="Y643" s="91"/>
      <c r="Z643" s="91"/>
    </row>
    <row r="644" spans="1:26" s="144" customFormat="1" ht="12.75" customHeight="1" x14ac:dyDescent="0.35">
      <c r="A644" s="91"/>
      <c r="B644" s="94"/>
      <c r="D644" s="173">
        <v>1</v>
      </c>
      <c r="E644" s="174" t="str">
        <f t="shared" ref="E644:E653" si="72">IF(INDEX(CNTR_List_ExistProdProcNames,S644)=CONST_NA,"",INDEX(CNTR_List_ExistProdProcNames,S644))</f>
        <v/>
      </c>
      <c r="F644" s="175"/>
      <c r="G644" s="175"/>
      <c r="H644" s="175"/>
      <c r="I644" s="175"/>
      <c r="J644" s="176"/>
      <c r="K644" s="155" t="str">
        <f>IF(E644="","",K641)</f>
        <v/>
      </c>
      <c r="L644" s="29"/>
      <c r="O644" s="945"/>
      <c r="P644" s="94"/>
      <c r="Q644" s="93"/>
      <c r="R644" s="102" t="str">
        <f>CONST_PrecursorToGoodInput&amp;G630 &amp;"_"&amp;E644</f>
        <v>PrecToGood__</v>
      </c>
      <c r="S644" s="105">
        <f>D644</f>
        <v>1</v>
      </c>
      <c r="T644" s="124" t="str">
        <f>IF(G630="","",L644)</f>
        <v/>
      </c>
      <c r="U644" s="91"/>
      <c r="V644" s="105" t="str">
        <f>IF(AND(G630&lt;&gt;"",E644&lt;&gt;"",L644&lt;&gt;""),TRUE,IF(AND(G630&lt;&gt;"",E644&lt;&gt;"",L644="",Z644=FALSE),CONST_ErrorOrMissing&amp;C630,CONST_NA))</f>
        <v>n.a.</v>
      </c>
      <c r="W644" s="172"/>
      <c r="X644" s="172"/>
      <c r="Y644" s="91" t="s">
        <v>34</v>
      </c>
      <c r="Z644" s="102" t="b">
        <f>IF(G630="",FALSE,E644="")</f>
        <v>0</v>
      </c>
    </row>
    <row r="645" spans="1:26" s="144" customFormat="1" ht="12.75" customHeight="1" x14ac:dyDescent="0.35">
      <c r="A645" s="91"/>
      <c r="B645" s="94"/>
      <c r="D645" s="173">
        <v>2</v>
      </c>
      <c r="E645" s="177" t="str">
        <f t="shared" si="72"/>
        <v/>
      </c>
      <c r="F645" s="178"/>
      <c r="G645" s="178"/>
      <c r="H645" s="178"/>
      <c r="I645" s="178"/>
      <c r="J645" s="179"/>
      <c r="K645" s="160" t="str">
        <f>IF(E645="","",K644)</f>
        <v/>
      </c>
      <c r="L645" s="30"/>
      <c r="O645" s="945"/>
      <c r="P645" s="94"/>
      <c r="Q645" s="93"/>
      <c r="R645" s="102" t="str">
        <f>CONST_PrecursorToGoodInput&amp;G630 &amp;"_"&amp;E645</f>
        <v>PrecToGood__</v>
      </c>
      <c r="S645" s="105">
        <f t="shared" ref="S645:S653" si="73">D645</f>
        <v>2</v>
      </c>
      <c r="T645" s="124" t="str">
        <f>IF(G630="","",L645)</f>
        <v/>
      </c>
      <c r="U645" s="91"/>
      <c r="V645" s="105" t="str">
        <f>IF(AND(G630&lt;&gt;"",E645&lt;&gt;"",L645&lt;&gt;""),TRUE,IF(AND(G630&lt;&gt;"",E645&lt;&gt;"",L645="",Z645=FALSE),CONST_ErrorOrMissing&amp;C630,CONST_NA))</f>
        <v>n.a.</v>
      </c>
      <c r="W645" s="172"/>
      <c r="X645" s="172"/>
      <c r="Y645" s="91"/>
      <c r="Z645" s="102" t="b">
        <f>IF(G630="",FALSE,E645="")</f>
        <v>0</v>
      </c>
    </row>
    <row r="646" spans="1:26" s="144" customFormat="1" ht="12.75" customHeight="1" x14ac:dyDescent="0.35">
      <c r="A646" s="91"/>
      <c r="B646" s="94"/>
      <c r="D646" s="173">
        <v>3</v>
      </c>
      <c r="E646" s="177" t="str">
        <f t="shared" si="72"/>
        <v/>
      </c>
      <c r="F646" s="178"/>
      <c r="G646" s="178"/>
      <c r="H646" s="178"/>
      <c r="I646" s="178"/>
      <c r="J646" s="179"/>
      <c r="K646" s="160" t="str">
        <f t="shared" ref="K646:K653" si="74">IF(E646="","",K645)</f>
        <v/>
      </c>
      <c r="L646" s="30"/>
      <c r="O646" s="945"/>
      <c r="P646" s="94"/>
      <c r="Q646" s="93"/>
      <c r="R646" s="102" t="str">
        <f>CONST_PrecursorToGoodInput&amp;G630 &amp;"_"&amp;E646</f>
        <v>PrecToGood__</v>
      </c>
      <c r="S646" s="105">
        <f t="shared" si="73"/>
        <v>3</v>
      </c>
      <c r="T646" s="124" t="str">
        <f>IF(G630="","",L646)</f>
        <v/>
      </c>
      <c r="U646" s="91"/>
      <c r="V646" s="105" t="str">
        <f>IF(AND(G630&lt;&gt;"",E646&lt;&gt;"",L646&lt;&gt;""),TRUE,IF(AND(G630&lt;&gt;"",E646&lt;&gt;"",L646="",Z646=FALSE),CONST_ErrorOrMissing&amp;C630,CONST_NA))</f>
        <v>n.a.</v>
      </c>
      <c r="W646" s="172"/>
      <c r="X646" s="172"/>
      <c r="Y646" s="91"/>
      <c r="Z646" s="102" t="b">
        <f>IF(G630="",FALSE,E646="")</f>
        <v>0</v>
      </c>
    </row>
    <row r="647" spans="1:26" s="144" customFormat="1" ht="12.75" customHeight="1" x14ac:dyDescent="0.35">
      <c r="A647" s="91"/>
      <c r="B647" s="94"/>
      <c r="D647" s="173">
        <v>4</v>
      </c>
      <c r="E647" s="177" t="str">
        <f t="shared" si="72"/>
        <v/>
      </c>
      <c r="F647" s="178"/>
      <c r="G647" s="178"/>
      <c r="H647" s="178"/>
      <c r="I647" s="178"/>
      <c r="J647" s="179"/>
      <c r="K647" s="160" t="str">
        <f t="shared" si="74"/>
        <v/>
      </c>
      <c r="L647" s="30"/>
      <c r="O647" s="945"/>
      <c r="P647" s="94"/>
      <c r="Q647" s="93"/>
      <c r="R647" s="102" t="str">
        <f>CONST_PrecursorToGoodInput&amp;G630 &amp;"_"&amp;E647</f>
        <v>PrecToGood__</v>
      </c>
      <c r="S647" s="105">
        <f t="shared" si="73"/>
        <v>4</v>
      </c>
      <c r="T647" s="124" t="str">
        <f>IF(G630="","",L647)</f>
        <v/>
      </c>
      <c r="U647" s="91"/>
      <c r="V647" s="105" t="str">
        <f>IF(AND(G630&lt;&gt;"",E647&lt;&gt;"",L647&lt;&gt;""),TRUE,IF(AND(G630&lt;&gt;"",E647&lt;&gt;"",L647="",Z647=FALSE),CONST_ErrorOrMissing&amp;C630,CONST_NA))</f>
        <v>n.a.</v>
      </c>
      <c r="W647" s="172"/>
      <c r="X647" s="172"/>
      <c r="Y647" s="91"/>
      <c r="Z647" s="102" t="b">
        <f>IF(G630="",FALSE,E647="")</f>
        <v>0</v>
      </c>
    </row>
    <row r="648" spans="1:26" s="144" customFormat="1" ht="12.75" customHeight="1" x14ac:dyDescent="0.35">
      <c r="A648" s="91"/>
      <c r="B648" s="94"/>
      <c r="D648" s="173">
        <v>5</v>
      </c>
      <c r="E648" s="180" t="str">
        <f t="shared" si="72"/>
        <v/>
      </c>
      <c r="F648" s="181"/>
      <c r="G648" s="181"/>
      <c r="H648" s="181"/>
      <c r="I648" s="181"/>
      <c r="J648" s="182"/>
      <c r="K648" s="183" t="str">
        <f t="shared" si="74"/>
        <v/>
      </c>
      <c r="L648" s="212"/>
      <c r="O648" s="945"/>
      <c r="P648" s="94"/>
      <c r="Q648" s="93"/>
      <c r="R648" s="102" t="str">
        <f>CONST_PrecursorToGoodInput&amp;G630 &amp;"_"&amp;E648</f>
        <v>PrecToGood__</v>
      </c>
      <c r="S648" s="105">
        <f t="shared" si="73"/>
        <v>5</v>
      </c>
      <c r="T648" s="124" t="str">
        <f>IF(G630="","",L648)</f>
        <v/>
      </c>
      <c r="U648" s="91"/>
      <c r="V648" s="105" t="str">
        <f>IF(AND(G630&lt;&gt;"",E648&lt;&gt;"",L648&lt;&gt;""),TRUE,IF(AND(G630&lt;&gt;"",E648&lt;&gt;"",L648="",Z648=FALSE),CONST_ErrorOrMissing&amp;C630,CONST_NA))</f>
        <v>n.a.</v>
      </c>
      <c r="W648" s="172"/>
      <c r="X648" s="172"/>
      <c r="Y648" s="91"/>
      <c r="Z648" s="102" t="b">
        <f>IF(G630="",FALSE,E648="")</f>
        <v>0</v>
      </c>
    </row>
    <row r="649" spans="1:26" s="144" customFormat="1" ht="12.75" customHeight="1" x14ac:dyDescent="0.35">
      <c r="A649" s="91"/>
      <c r="B649" s="94"/>
      <c r="D649" s="173">
        <v>6</v>
      </c>
      <c r="E649" s="180" t="str">
        <f t="shared" si="72"/>
        <v/>
      </c>
      <c r="F649" s="181"/>
      <c r="G649" s="181"/>
      <c r="H649" s="181"/>
      <c r="I649" s="181"/>
      <c r="J649" s="182"/>
      <c r="K649" s="183" t="str">
        <f t="shared" si="74"/>
        <v/>
      </c>
      <c r="L649" s="212"/>
      <c r="O649" s="945"/>
      <c r="P649" s="94"/>
      <c r="Q649" s="93"/>
      <c r="R649" s="102" t="str">
        <f>CONST_PrecursorToGoodInput&amp;G630 &amp;"_"&amp;E649</f>
        <v>PrecToGood__</v>
      </c>
      <c r="S649" s="105">
        <f t="shared" si="73"/>
        <v>6</v>
      </c>
      <c r="T649" s="124" t="str">
        <f>IF(G630="","",L649)</f>
        <v/>
      </c>
      <c r="U649" s="91"/>
      <c r="V649" s="105" t="str">
        <f>IF(AND(G630&lt;&gt;"",E649&lt;&gt;"",L649&lt;&gt;""),TRUE,IF(AND(G630&lt;&gt;"",E649&lt;&gt;"",L649="",Z649=FALSE),CONST_ErrorOrMissing&amp;C630,CONST_NA))</f>
        <v>n.a.</v>
      </c>
      <c r="W649" s="172"/>
      <c r="X649" s="172"/>
      <c r="Y649" s="91"/>
      <c r="Z649" s="102" t="b">
        <f>IF(G630="",FALSE,E649="")</f>
        <v>0</v>
      </c>
    </row>
    <row r="650" spans="1:26" s="144" customFormat="1" ht="12.75" customHeight="1" x14ac:dyDescent="0.35">
      <c r="A650" s="91"/>
      <c r="B650" s="94"/>
      <c r="D650" s="173">
        <v>7</v>
      </c>
      <c r="E650" s="180" t="str">
        <f t="shared" si="72"/>
        <v/>
      </c>
      <c r="F650" s="181"/>
      <c r="G650" s="181"/>
      <c r="H650" s="181"/>
      <c r="I650" s="181"/>
      <c r="J650" s="182"/>
      <c r="K650" s="183" t="str">
        <f t="shared" si="74"/>
        <v/>
      </c>
      <c r="L650" s="212"/>
      <c r="O650" s="945"/>
      <c r="P650" s="94"/>
      <c r="Q650" s="93"/>
      <c r="R650" s="102" t="str">
        <f>CONST_PrecursorToGoodInput&amp;G630 &amp;"_"&amp;E650</f>
        <v>PrecToGood__</v>
      </c>
      <c r="S650" s="105">
        <f t="shared" si="73"/>
        <v>7</v>
      </c>
      <c r="T650" s="124" t="str">
        <f>IF(G630="","",L650)</f>
        <v/>
      </c>
      <c r="U650" s="91"/>
      <c r="V650" s="105" t="str">
        <f>IF(AND(G630&lt;&gt;"",E650&lt;&gt;"",L650&lt;&gt;""),TRUE,IF(AND(G630&lt;&gt;"",E650&lt;&gt;"",L650="",Z650=FALSE),CONST_ErrorOrMissing&amp;C630,CONST_NA))</f>
        <v>n.a.</v>
      </c>
      <c r="W650" s="172"/>
      <c r="X650" s="172"/>
      <c r="Y650" s="91"/>
      <c r="Z650" s="102" t="b">
        <f>IF(G630="",FALSE,E650="")</f>
        <v>0</v>
      </c>
    </row>
    <row r="651" spans="1:26" s="144" customFormat="1" ht="12.75" customHeight="1" x14ac:dyDescent="0.35">
      <c r="A651" s="91"/>
      <c r="B651" s="94"/>
      <c r="D651" s="173">
        <v>8</v>
      </c>
      <c r="E651" s="180" t="str">
        <f t="shared" si="72"/>
        <v/>
      </c>
      <c r="F651" s="181"/>
      <c r="G651" s="181"/>
      <c r="H651" s="181"/>
      <c r="I651" s="181"/>
      <c r="J651" s="182"/>
      <c r="K651" s="183" t="str">
        <f t="shared" si="74"/>
        <v/>
      </c>
      <c r="L651" s="212"/>
      <c r="O651" s="945"/>
      <c r="P651" s="94"/>
      <c r="Q651" s="93"/>
      <c r="R651" s="102" t="str">
        <f>CONST_PrecursorToGoodInput&amp;G630 &amp;"_"&amp;E651</f>
        <v>PrecToGood__</v>
      </c>
      <c r="S651" s="105">
        <f t="shared" si="73"/>
        <v>8</v>
      </c>
      <c r="T651" s="124" t="str">
        <f>IF(G630="","",L651)</f>
        <v/>
      </c>
      <c r="U651" s="91"/>
      <c r="V651" s="105" t="str">
        <f>IF(AND(G630&lt;&gt;"",E651&lt;&gt;"",L651&lt;&gt;""),TRUE,IF(AND(G630&lt;&gt;"",E651&lt;&gt;"",L651="",Z651=FALSE),CONST_ErrorOrMissing&amp;C630,CONST_NA))</f>
        <v>n.a.</v>
      </c>
      <c r="W651" s="172"/>
      <c r="X651" s="172"/>
      <c r="Y651" s="91"/>
      <c r="Z651" s="102" t="b">
        <f>IF(G630="",FALSE,E651="")</f>
        <v>0</v>
      </c>
    </row>
    <row r="652" spans="1:26" s="144" customFormat="1" ht="12.75" customHeight="1" x14ac:dyDescent="0.35">
      <c r="A652" s="91"/>
      <c r="B652" s="94"/>
      <c r="D652" s="173">
        <v>9</v>
      </c>
      <c r="E652" s="180" t="str">
        <f t="shared" si="72"/>
        <v/>
      </c>
      <c r="F652" s="181"/>
      <c r="G652" s="181"/>
      <c r="H652" s="181"/>
      <c r="I652" s="181"/>
      <c r="J652" s="182"/>
      <c r="K652" s="183" t="str">
        <f t="shared" si="74"/>
        <v/>
      </c>
      <c r="L652" s="212"/>
      <c r="O652" s="945"/>
      <c r="P652" s="94"/>
      <c r="Q652" s="93"/>
      <c r="R652" s="102" t="str">
        <f>CONST_PrecursorToGoodInput&amp;G630 &amp;"_"&amp;E652</f>
        <v>PrecToGood__</v>
      </c>
      <c r="S652" s="105">
        <f t="shared" si="73"/>
        <v>9</v>
      </c>
      <c r="T652" s="124" t="str">
        <f>IF(G630="","",L652)</f>
        <v/>
      </c>
      <c r="U652" s="91"/>
      <c r="V652" s="105" t="str">
        <f>IF(AND(G630&lt;&gt;"",E652&lt;&gt;"",L652&lt;&gt;""),TRUE,IF(AND(G630&lt;&gt;"",E652&lt;&gt;"",L652="",Z652=FALSE),CONST_ErrorOrMissing&amp;C630,CONST_NA))</f>
        <v>n.a.</v>
      </c>
      <c r="W652" s="172"/>
      <c r="X652" s="172"/>
      <c r="Y652" s="91"/>
      <c r="Z652" s="102" t="b">
        <f>IF(G630="",FALSE,E652="")</f>
        <v>0</v>
      </c>
    </row>
    <row r="653" spans="1:26" s="144" customFormat="1" ht="12.75" customHeight="1" x14ac:dyDescent="0.35">
      <c r="A653" s="91"/>
      <c r="B653" s="94"/>
      <c r="D653" s="173">
        <v>10</v>
      </c>
      <c r="E653" s="184" t="str">
        <f t="shared" si="72"/>
        <v/>
      </c>
      <c r="F653" s="185"/>
      <c r="G653" s="185"/>
      <c r="H653" s="185"/>
      <c r="I653" s="185"/>
      <c r="J653" s="186"/>
      <c r="K653" s="163" t="str">
        <f t="shared" si="74"/>
        <v/>
      </c>
      <c r="L653" s="31"/>
      <c r="O653" s="945"/>
      <c r="P653" s="94"/>
      <c r="Q653" s="93"/>
      <c r="R653" s="102" t="str">
        <f>CONST_PrecursorToGoodInput&amp;G630 &amp;"_"&amp;E653</f>
        <v>PrecToGood__</v>
      </c>
      <c r="S653" s="105">
        <f t="shared" si="73"/>
        <v>10</v>
      </c>
      <c r="T653" s="124" t="str">
        <f>IF(G630="","",L653)</f>
        <v/>
      </c>
      <c r="U653" s="91"/>
      <c r="V653" s="105" t="str">
        <f>IF(AND(G630&lt;&gt;"",E653&lt;&gt;"",L653&lt;&gt;""),TRUE,IF(AND(G630&lt;&gt;"",E653&lt;&gt;"",L653="",Z653=FALSE),CONST_ErrorOrMissing&amp;C630,CONST_NA))</f>
        <v>n.a.</v>
      </c>
      <c r="W653" s="172"/>
      <c r="X653" s="172"/>
      <c r="Y653" s="91"/>
      <c r="Z653" s="102" t="b">
        <f>IF(G630="",FALSE,E653="")</f>
        <v>0</v>
      </c>
    </row>
    <row r="654" spans="1:26" s="144" customFormat="1" ht="12.75" customHeight="1" x14ac:dyDescent="0.35">
      <c r="A654" s="91"/>
      <c r="B654" s="94"/>
      <c r="D654" s="168" t="s">
        <v>49</v>
      </c>
      <c r="E654" s="167" t="str">
        <f>Translations!$B$1968</f>
        <v>Consumed for other purposes, e.g. sold or used for non-CBAM goods:</v>
      </c>
      <c r="F654" s="167"/>
      <c r="G654" s="167"/>
      <c r="H654" s="167"/>
      <c r="I654" s="167"/>
      <c r="J654" s="167"/>
      <c r="K654" s="169" t="str">
        <f>K641</f>
        <v/>
      </c>
      <c r="L654" s="211"/>
      <c r="O654" s="945"/>
      <c r="P654" s="94"/>
      <c r="Q654" s="93"/>
      <c r="R654" s="91"/>
      <c r="S654" s="91"/>
      <c r="T654" s="712"/>
      <c r="U654" s="91"/>
      <c r="V654" s="105" t="str">
        <f>IF(G630="",CONST_NA,IF(ISNUMBER(L654),TRUE,CONST_ErrorOrMissing&amp;C630))</f>
        <v>n.a.</v>
      </c>
      <c r="W654" s="91"/>
      <c r="X654" s="91"/>
      <c r="Y654" s="91"/>
      <c r="Z654" s="91"/>
    </row>
    <row r="655" spans="1:26" s="144" customFormat="1" ht="12.75" customHeight="1" x14ac:dyDescent="0.35">
      <c r="A655" s="91"/>
      <c r="B655" s="94"/>
      <c r="D655" s="168" t="s">
        <v>377</v>
      </c>
      <c r="E655" s="138" t="str">
        <f>Translations!$B$253</f>
        <v>Control:</v>
      </c>
      <c r="F655" s="170"/>
      <c r="G655" s="170"/>
      <c r="H655" s="170"/>
      <c r="I655" s="170"/>
      <c r="J655" s="170"/>
      <c r="K655" s="169" t="str">
        <f>K654</f>
        <v/>
      </c>
      <c r="L655" s="118" t="str">
        <f>IF(G630="","",SUM(L641)-SUM(L644:L654))</f>
        <v/>
      </c>
      <c r="O655" s="945"/>
      <c r="P655" s="94"/>
      <c r="Q655" s="93"/>
      <c r="R655" s="91"/>
      <c r="S655" s="91"/>
      <c r="T655" s="712"/>
      <c r="U655" s="91"/>
      <c r="V655" s="105" t="str">
        <f>IF(G630="",CONST_NA,IF(L655=0,TRUE,CONST_ErrorOrMissing&amp;C630))</f>
        <v>n.a.</v>
      </c>
      <c r="W655" s="91"/>
      <c r="X655" s="91"/>
      <c r="Y655" s="91"/>
      <c r="Z655" s="91"/>
    </row>
    <row r="656" spans="1:26" s="144" customFormat="1" ht="12.75" customHeight="1" thickBot="1" x14ac:dyDescent="0.4">
      <c r="A656" s="91"/>
      <c r="B656" s="94"/>
      <c r="O656" s="428"/>
      <c r="P656" s="94"/>
      <c r="Q656" s="93"/>
      <c r="R656" s="91"/>
      <c r="S656" s="91"/>
      <c r="T656" s="712"/>
      <c r="U656" s="91"/>
      <c r="V656" s="91"/>
      <c r="W656" s="91"/>
      <c r="X656" s="91"/>
      <c r="Y656" s="91"/>
      <c r="Z656" s="91"/>
    </row>
    <row r="657" spans="1:26" ht="12.75" customHeight="1" x14ac:dyDescent="0.35">
      <c r="B657" s="94"/>
      <c r="C657" s="187"/>
      <c r="D657" s="188"/>
      <c r="E657" s="189"/>
      <c r="F657" s="190"/>
      <c r="G657" s="190"/>
      <c r="H657" s="190"/>
      <c r="I657" s="190"/>
      <c r="J657" s="190"/>
      <c r="K657" s="190"/>
      <c r="L657" s="190"/>
      <c r="M657" s="190"/>
      <c r="N657" s="191"/>
      <c r="O657" s="428"/>
      <c r="T657" s="712"/>
    </row>
    <row r="658" spans="1:26" ht="15" customHeight="1" x14ac:dyDescent="0.35">
      <c r="B658" s="94"/>
      <c r="C658" s="192"/>
      <c r="D658" s="193" t="str">
        <f>Translations!$B$279</f>
        <v>Specific embedded emissions:</v>
      </c>
      <c r="E658" s="194"/>
      <c r="F658" s="195"/>
      <c r="G658" s="195"/>
      <c r="H658" s="195"/>
      <c r="I658" s="195"/>
      <c r="J658" s="1327" t="str">
        <f>IF(G630="","",G630)</f>
        <v/>
      </c>
      <c r="K658" s="1327"/>
      <c r="L658" s="1327"/>
      <c r="M658" s="1327"/>
      <c r="N658" s="196"/>
      <c r="O658" s="428"/>
      <c r="T658" s="712"/>
    </row>
    <row r="659" spans="1:26" ht="5.15" customHeight="1" x14ac:dyDescent="0.35">
      <c r="B659" s="94"/>
      <c r="C659" s="192"/>
      <c r="D659" s="197"/>
      <c r="E659" s="198"/>
      <c r="F659" s="195"/>
      <c r="G659" s="195"/>
      <c r="H659" s="195"/>
      <c r="I659" s="195"/>
      <c r="J659" s="195"/>
      <c r="K659" s="195"/>
      <c r="L659" s="195"/>
      <c r="M659" s="195"/>
      <c r="N659" s="196"/>
      <c r="O659" s="428"/>
      <c r="T659" s="712"/>
    </row>
    <row r="660" spans="1:26" ht="12.75" customHeight="1" x14ac:dyDescent="0.35">
      <c r="B660" s="94"/>
      <c r="C660" s="192"/>
      <c r="D660" s="199" t="s">
        <v>411</v>
      </c>
      <c r="E660" s="198" t="str">
        <f>Translations!$B$280</f>
        <v>Emissions embedded in this purchased precursor</v>
      </c>
      <c r="F660" s="198"/>
      <c r="G660" s="198"/>
      <c r="H660" s="198"/>
      <c r="I660" s="198"/>
      <c r="J660" s="198"/>
      <c r="K660" s="198"/>
      <c r="L660" s="198"/>
      <c r="M660" s="198"/>
      <c r="N660" s="196"/>
      <c r="O660" s="428"/>
      <c r="T660" s="712"/>
      <c r="V660" s="172"/>
      <c r="W660" s="172"/>
      <c r="X660" s="172"/>
      <c r="Z660" s="171"/>
    </row>
    <row r="661" spans="1:26" ht="4.9000000000000004" customHeight="1" x14ac:dyDescent="0.35">
      <c r="B661" s="94"/>
      <c r="C661" s="192"/>
      <c r="D661" s="199"/>
      <c r="E661" s="1328"/>
      <c r="F661" s="1328"/>
      <c r="G661" s="1328"/>
      <c r="H661" s="1328"/>
      <c r="I661" s="1328"/>
      <c r="J661" s="1328"/>
      <c r="K661" s="1328"/>
      <c r="L661" s="1328"/>
      <c r="M661" s="1328"/>
      <c r="N661" s="196"/>
      <c r="O661" s="428"/>
      <c r="T661" s="712"/>
    </row>
    <row r="662" spans="1:26" ht="13.15" customHeight="1" x14ac:dyDescent="0.35">
      <c r="B662" s="94"/>
      <c r="C662" s="192"/>
      <c r="D662" s="199"/>
      <c r="E662" s="1311" t="str">
        <f ca="1">HYPERLINK("#"&amp;ADDRESS(MATCH($S662,G_FurtherGuidance!$S:$S,0),3,,,G_FurtherGuidance!$U$2),CONST_LinkToGuidanceSheet)</f>
        <v>Please click on this link for further guidance on how to complete this section.</v>
      </c>
      <c r="F662" s="1312"/>
      <c r="G662" s="1312"/>
      <c r="H662" s="1312"/>
      <c r="I662" s="1312"/>
      <c r="J662" s="1312"/>
      <c r="K662" s="1312"/>
      <c r="L662" s="1312"/>
      <c r="M662" s="1312"/>
      <c r="N662" s="196"/>
      <c r="O662" s="428"/>
      <c r="R662" s="104" t="s">
        <v>2771</v>
      </c>
      <c r="S662" s="105">
        <v>4</v>
      </c>
      <c r="T662" s="712"/>
    </row>
    <row r="663" spans="1:26" ht="4.9000000000000004" customHeight="1" x14ac:dyDescent="0.35">
      <c r="B663" s="94"/>
      <c r="C663" s="192"/>
      <c r="D663" s="199"/>
      <c r="E663" s="1328"/>
      <c r="F663" s="1328"/>
      <c r="G663" s="1328"/>
      <c r="H663" s="1328"/>
      <c r="I663" s="1328"/>
      <c r="J663" s="1328"/>
      <c r="K663" s="1328"/>
      <c r="L663" s="1328"/>
      <c r="M663" s="1328"/>
      <c r="N663" s="384"/>
      <c r="O663" s="428"/>
      <c r="T663" s="712"/>
    </row>
    <row r="664" spans="1:26" ht="12.75" customHeight="1" x14ac:dyDescent="0.35">
      <c r="B664" s="94"/>
      <c r="C664" s="192"/>
      <c r="D664" s="199"/>
      <c r="E664" s="198" t="str">
        <f>Translations!$B$284</f>
        <v>Parameter:</v>
      </c>
      <c r="F664" s="195"/>
      <c r="G664" s="195"/>
      <c r="H664" s="195"/>
      <c r="I664" s="195"/>
      <c r="J664" s="195"/>
      <c r="K664" s="199" t="str">
        <f>Translations!$B$221</f>
        <v>Unit</v>
      </c>
      <c r="L664" s="199" t="str">
        <f>Translations!$B$260</f>
        <v>Value</v>
      </c>
      <c r="M664" s="199" t="str">
        <f>Translations!$B$285</f>
        <v>Source</v>
      </c>
      <c r="N664" s="196"/>
      <c r="O664" s="428"/>
      <c r="T664" s="764" t="s">
        <v>5</v>
      </c>
      <c r="U664" s="123" t="s">
        <v>2719</v>
      </c>
      <c r="V664" s="156" t="s">
        <v>3922</v>
      </c>
      <c r="W664" s="156"/>
      <c r="X664" s="156"/>
      <c r="Z664" s="171"/>
    </row>
    <row r="665" spans="1:26" ht="12.75" customHeight="1" x14ac:dyDescent="0.35">
      <c r="B665" s="94"/>
      <c r="C665" s="192"/>
      <c r="D665" s="197" t="s">
        <v>41</v>
      </c>
      <c r="E665" s="201" t="str">
        <f>Translations!$B$1969</f>
        <v>Specific embedded direct emissions (SEE (direct))</v>
      </c>
      <c r="F665" s="201"/>
      <c r="G665" s="201"/>
      <c r="H665" s="201"/>
      <c r="I665" s="201"/>
      <c r="J665" s="201"/>
      <c r="K665" s="217" t="str">
        <f>IF(L630="","",CONST_tCO2eq &amp; "/" &amp; K641)</f>
        <v/>
      </c>
      <c r="L665" s="215"/>
      <c r="M665" s="385"/>
      <c r="N665" s="196"/>
      <c r="O665" s="945"/>
      <c r="R665" s="102" t="str">
        <f>CONST_PurchPrecDefaultUsed&amp;G630</f>
        <v>PurchPrecDef_</v>
      </c>
      <c r="S665" s="102" t="str">
        <f>CONST_CNTR_EmbedEmDir&amp;G630</f>
        <v>EmbedEmDir_</v>
      </c>
      <c r="T665" s="124" t="str">
        <f>IF(G630="","",SUM(T641)*SUM(L665))</f>
        <v/>
      </c>
      <c r="U665" s="105" t="str">
        <f>IF(G630="","",IF(M665="",CONST_ERR_Incomplete,MATCH(M665,CONST_MeasDefaultUnknown,0)=2))</f>
        <v/>
      </c>
      <c r="V665" s="105" t="str">
        <f>IF(AND(G630&lt;&gt;"",COUNTA(L665:M665)=2),TRUE,IF(AND(G630&lt;&gt;"",COUNTA(L665:M665)&lt;2),CONST_ErrorOrMissing&amp;C630,CONST_NA))</f>
        <v>n.a.</v>
      </c>
      <c r="W665" s="156"/>
      <c r="X665" s="156"/>
      <c r="Z665" s="171"/>
    </row>
    <row r="666" spans="1:26" ht="12.75" customHeight="1" x14ac:dyDescent="0.35">
      <c r="B666" s="94"/>
      <c r="C666" s="192"/>
      <c r="D666" s="197" t="s">
        <v>42</v>
      </c>
      <c r="E666" s="759" t="str">
        <f>Translations!$B$1970</f>
        <v>Specific electricity consumption (for SEE (indirect))</v>
      </c>
      <c r="F666" s="759"/>
      <c r="G666" s="759"/>
      <c r="H666" s="759"/>
      <c r="I666" s="759"/>
      <c r="J666" s="759"/>
      <c r="K666" s="457" t="str">
        <f>IF(K665="","",CONST_MWh&amp;"/"&amp;K641)</f>
        <v/>
      </c>
      <c r="L666" s="760"/>
      <c r="M666" s="761"/>
      <c r="N666" s="196"/>
      <c r="O666" s="945"/>
      <c r="R666" s="102" t="str">
        <f>CONST_ElecConsumption&amp;G630</f>
        <v>ElecCons_</v>
      </c>
      <c r="S666" s="102"/>
      <c r="T666" s="124" t="str">
        <f>IF(G630="","",SUM(T641)*SUM(L666))</f>
        <v/>
      </c>
      <c r="U666" s="105" t="str">
        <f>IF(G630="","",IF(M666="",CONST_ERR_Incomplete,MATCH(M666,CONST_MeasDefaultUnknown,0)=2))</f>
        <v/>
      </c>
      <c r="V666" s="105" t="str">
        <f>IF(AND(G630&lt;&gt;"",COUNTA(L666:M666)=2),TRUE,IF(AND(G630&lt;&gt;"",COUNTA(L666:M666)&lt;2),CONST_ErrorOrMissing&amp;C630,CONST_NA))</f>
        <v>n.a.</v>
      </c>
      <c r="W666" s="156"/>
      <c r="X666" s="156"/>
      <c r="Z666" s="171"/>
    </row>
    <row r="667" spans="1:26" ht="12.75" customHeight="1" x14ac:dyDescent="0.35">
      <c r="B667" s="94"/>
      <c r="C667" s="192"/>
      <c r="D667" s="197" t="s">
        <v>43</v>
      </c>
      <c r="E667" s="1144" t="str">
        <f>Translations!$B$1971</f>
        <v>Electricity emission factor (for SEE (indirect))</v>
      </c>
      <c r="F667" s="1144"/>
      <c r="G667" s="1144"/>
      <c r="H667" s="1144"/>
      <c r="I667" s="1144"/>
      <c r="J667" s="1144"/>
      <c r="K667" s="1145" t="str">
        <f>IF(K665="","",CONST_tCO2eq&amp;"/"&amp;CONST_MWh)</f>
        <v/>
      </c>
      <c r="L667" s="1146"/>
      <c r="M667" s="762"/>
      <c r="N667" s="196"/>
      <c r="O667" s="945"/>
      <c r="R667" s="102" t="str">
        <f>CONST_CNTR_ElecEFMethod&amp;G630</f>
        <v>ElecEFMeth_</v>
      </c>
      <c r="S667" s="102"/>
      <c r="T667" s="124"/>
      <c r="U667" s="105" t="str">
        <f>IF(G630="","",M667)</f>
        <v/>
      </c>
      <c r="V667" s="105" t="str">
        <f>IF(AND(G630&lt;&gt;"",COUNTA(L667:M667)=2),TRUE,IF(AND(G630&lt;&gt;"",COUNTA(L667:M667)&lt;2),CONST_ErrorOrMissing&amp;C630,CONST_NA))</f>
        <v>n.a.</v>
      </c>
      <c r="W667" s="156"/>
      <c r="X667" s="156"/>
      <c r="Z667" s="171"/>
    </row>
    <row r="668" spans="1:26" x14ac:dyDescent="0.35">
      <c r="B668" s="94"/>
      <c r="C668" s="192"/>
      <c r="D668" s="197" t="s">
        <v>44</v>
      </c>
      <c r="E668" s="201" t="str">
        <f>Translations!$B$1972</f>
        <v>Specific embedded indirect emissions (SEE (indirect))</v>
      </c>
      <c r="F668" s="201"/>
      <c r="G668" s="201"/>
      <c r="H668" s="201"/>
      <c r="I668" s="201"/>
      <c r="J668" s="201"/>
      <c r="K668" s="217" t="str">
        <f>K665</f>
        <v/>
      </c>
      <c r="L668" s="1147" t="str">
        <f>IF(COUNT(L666:L667)=0,"",L666*L667)</f>
        <v/>
      </c>
      <c r="M668" s="758"/>
      <c r="N668" s="196"/>
      <c r="O668" s="428"/>
      <c r="R668" s="171"/>
      <c r="S668" s="102" t="str">
        <f>CONST_CNTR_EmbedEmInDir&amp;G630</f>
        <v>EmbedEmInDir_</v>
      </c>
      <c r="T668" s="124" t="str">
        <f>IF(G630="","",SUM(T641)*SUM(L668))</f>
        <v/>
      </c>
      <c r="Z668" s="171"/>
    </row>
    <row r="669" spans="1:26" ht="5.15" customHeight="1" x14ac:dyDescent="0.35">
      <c r="B669" s="94"/>
      <c r="C669" s="192"/>
      <c r="D669" s="197"/>
      <c r="E669" s="195"/>
      <c r="F669" s="195"/>
      <c r="G669" s="195"/>
      <c r="H669" s="195"/>
      <c r="I669" s="195"/>
      <c r="J669" s="195"/>
      <c r="K669" s="195"/>
      <c r="L669" s="195"/>
      <c r="M669" s="195"/>
      <c r="N669" s="196"/>
      <c r="O669" s="428"/>
      <c r="R669" s="171"/>
      <c r="S669" s="171"/>
      <c r="T669" s="125"/>
      <c r="U669" s="156"/>
      <c r="V669" s="172"/>
      <c r="W669" s="172"/>
      <c r="X669" s="172"/>
      <c r="Z669" s="171"/>
    </row>
    <row r="670" spans="1:26" ht="12.75" customHeight="1" x14ac:dyDescent="0.35">
      <c r="B670" s="94"/>
      <c r="C670" s="192"/>
      <c r="D670" s="197" t="s">
        <v>45</v>
      </c>
      <c r="E670" s="201" t="str">
        <f>Translations!$B$1858</f>
        <v>Justification for use of default values (if relevant):</v>
      </c>
      <c r="F670" s="201"/>
      <c r="G670" s="201"/>
      <c r="H670" s="201"/>
      <c r="I670" s="201"/>
      <c r="J670" s="201"/>
      <c r="K670" s="1329"/>
      <c r="L670" s="1329"/>
      <c r="M670" s="1329"/>
      <c r="N670" s="196"/>
      <c r="O670" s="945"/>
      <c r="R670" s="171"/>
      <c r="S670" s="171"/>
      <c r="T670" s="125"/>
      <c r="U670" s="156"/>
      <c r="V670" s="105" t="str">
        <f>IF(OR(G630="",Z670=TRUE),CONST_NA,IF(K670&lt;&gt;"",TRUE,CONST_ErrorOrMissing&amp;C630))</f>
        <v>n.a.</v>
      </c>
      <c r="W670" s="172"/>
      <c r="X670" s="172"/>
      <c r="Z670" s="102" t="b">
        <f>AND(M665&lt;&gt;"",M665&lt;&gt;INDEX(CONST_MeasDefaultUnknown,2),M666&lt;&gt;"",M666&lt;&gt;INDEX(CONST_MeasDefaultUnknown,2))</f>
        <v>0</v>
      </c>
    </row>
    <row r="671" spans="1:26" s="144" customFormat="1" ht="12.75" customHeight="1" thickBot="1" x14ac:dyDescent="0.4">
      <c r="A671" s="91"/>
      <c r="B671" s="94"/>
      <c r="C671" s="206"/>
      <c r="D671" s="207"/>
      <c r="E671" s="208"/>
      <c r="F671" s="209"/>
      <c r="G671" s="209"/>
      <c r="H671" s="209"/>
      <c r="I671" s="209"/>
      <c r="J671" s="209"/>
      <c r="K671" s="209"/>
      <c r="L671" s="209"/>
      <c r="M671" s="209"/>
      <c r="N671" s="210"/>
      <c r="O671" s="428"/>
      <c r="P671" s="94"/>
      <c r="Q671" s="93"/>
      <c r="R671" s="91"/>
      <c r="S671" s="91"/>
      <c r="T671" s="712"/>
      <c r="U671" s="91"/>
      <c r="V671" s="91"/>
      <c r="W671" s="91"/>
      <c r="X671" s="91"/>
      <c r="Y671" s="91"/>
      <c r="Z671" s="91"/>
    </row>
    <row r="672" spans="1:26" s="144" customFormat="1" ht="12.75" customHeight="1" thickBot="1" x14ac:dyDescent="0.4">
      <c r="A672" s="91"/>
      <c r="B672" s="94"/>
      <c r="O672" s="428"/>
      <c r="P672" s="94"/>
      <c r="Q672" s="93"/>
      <c r="R672" s="91"/>
      <c r="S672" s="91"/>
      <c r="T672" s="712"/>
      <c r="U672" s="91"/>
      <c r="V672" s="91"/>
      <c r="W672" s="91"/>
      <c r="X672" s="91"/>
      <c r="Y672" s="91"/>
      <c r="Z672" s="91"/>
    </row>
    <row r="673" spans="1:26" s="144" customFormat="1" ht="12.75" customHeight="1" thickBot="1" x14ac:dyDescent="0.4">
      <c r="A673" s="91"/>
      <c r="B673" s="946"/>
      <c r="C673" s="145"/>
      <c r="D673" s="145"/>
      <c r="E673" s="145"/>
      <c r="F673" s="145"/>
      <c r="G673" s="145"/>
      <c r="H673" s="145"/>
      <c r="I673" s="145"/>
      <c r="J673" s="145"/>
      <c r="K673" s="145"/>
      <c r="L673" s="145"/>
      <c r="M673" s="145"/>
      <c r="N673" s="145"/>
      <c r="O673" s="947"/>
      <c r="P673" s="94"/>
      <c r="Q673" s="93"/>
      <c r="R673" s="91"/>
      <c r="S673" s="91"/>
      <c r="T673" s="712"/>
      <c r="U673" s="91"/>
      <c r="V673" s="91"/>
      <c r="W673" s="91"/>
      <c r="X673" s="91"/>
      <c r="Y673" s="91"/>
      <c r="Z673" s="91"/>
    </row>
    <row r="674" spans="1:26" ht="18" customHeight="1" thickBot="1" x14ac:dyDescent="0.4">
      <c r="B674" s="94"/>
      <c r="C674" s="147">
        <f>C630+1</f>
        <v>16</v>
      </c>
      <c r="D674" s="944" t="str">
        <f>CONST_PurchPrecursor &amp; " " &amp; C674 &amp; ":"</f>
        <v>Purchased precursor 16:</v>
      </c>
      <c r="E674" s="144"/>
      <c r="F674" s="144"/>
      <c r="G674" s="1313" t="str">
        <f>IF(INDEX(CNTR_List_ExistPurchPrecNames,MATCH(R674,CNTR_ListPurchPrecID,0))=CONST_NA,"",INDEX(CNTR_List_ExistPurchPrecNames,MATCH(R674,CNTR_ListPurchPrecID,0)))</f>
        <v/>
      </c>
      <c r="H674" s="1314"/>
      <c r="I674" s="1314"/>
      <c r="J674" s="1314"/>
      <c r="K674" s="1315"/>
      <c r="L674" s="1316" t="str">
        <f>IF(INDEX(CNTR_List_ExistPurchPrec,MATCH(R674,CNTR_ListPurchPrecID,0))=CONST_NA,"",INDEX(CNTR_List_ExistPurchPrec,MATCH(R674,CNTR_ListPurchPrecID,0)))</f>
        <v/>
      </c>
      <c r="M674" s="1317"/>
      <c r="N674" s="1318"/>
      <c r="O674" s="428"/>
      <c r="R674" s="149" t="str">
        <f>INDEX(CNTR_ListPurchPrecID,C674)</f>
        <v>PP16</v>
      </c>
      <c r="Y674" s="104" t="s">
        <v>2748</v>
      </c>
      <c r="Z674" s="150" t="b">
        <f>AND(CNTR_HasEntriesA,G674="")</f>
        <v>0</v>
      </c>
    </row>
    <row r="675" spans="1:26" ht="26.5" customHeight="1" x14ac:dyDescent="0.35">
      <c r="B675" s="94"/>
      <c r="C675" s="144"/>
      <c r="D675" s="914"/>
      <c r="E675" s="1325" t="str">
        <f ca="1">HYPERLINK("#"&amp;ADDRESS(MATCH($S675,G_FurtherGuidance!$S:$S,0),3,,,G_FurtherGuidance!$U$2),CONST_LinkToGuidanceSheet)</f>
        <v>Please click on this link for further guidance on how to complete this section.</v>
      </c>
      <c r="F675" s="1326"/>
      <c r="G675" s="1326"/>
      <c r="H675" s="1326"/>
      <c r="I675" s="1326"/>
      <c r="J675" s="1326"/>
      <c r="K675" s="1326"/>
      <c r="L675" s="1326"/>
      <c r="M675" s="1326"/>
      <c r="N675" s="144"/>
      <c r="O675" s="428"/>
      <c r="R675" s="104" t="s">
        <v>2771</v>
      </c>
      <c r="S675" s="105">
        <v>4</v>
      </c>
      <c r="Y675" s="104"/>
    </row>
    <row r="676" spans="1:26" ht="12.75" customHeight="1" x14ac:dyDescent="0.35">
      <c r="B676" s="94"/>
      <c r="C676" s="144"/>
      <c r="D676" s="168" t="s">
        <v>135</v>
      </c>
      <c r="E676" s="167" t="str">
        <f>Translations!$B$276</f>
        <v>Total purchased levels:</v>
      </c>
      <c r="F676" s="144"/>
      <c r="G676" s="144"/>
      <c r="H676" s="151" t="str">
        <f>Translations!$B$244</f>
        <v>Production route</v>
      </c>
      <c r="I676" s="144"/>
      <c r="J676" s="144"/>
      <c r="K676" s="152" t="str">
        <f>Translations!$B$221</f>
        <v>Unit</v>
      </c>
      <c r="L676" s="152" t="str">
        <f>Translations!$B$245</f>
        <v>Amounts</v>
      </c>
      <c r="M676" s="144"/>
      <c r="N676" s="144"/>
      <c r="O676" s="428"/>
      <c r="Y676" s="91" t="s">
        <v>4077</v>
      </c>
    </row>
    <row r="677" spans="1:26" ht="12.75" customHeight="1" x14ac:dyDescent="0.35">
      <c r="B677" s="94"/>
      <c r="C677" s="144"/>
      <c r="D677" s="173">
        <v>1</v>
      </c>
      <c r="E677" s="153" t="str">
        <f>IF(G674="","",G674) &amp; IF(L674="",""," | " &amp; L674)</f>
        <v/>
      </c>
      <c r="F677" s="153"/>
      <c r="G677" s="153"/>
      <c r="H677" s="154" t="str">
        <f>IF(L674="","",INDEX(CONST_MATRIX_ProductionRoute,MATCH(L674,CONST_LIST_Goods,0),D677))</f>
        <v/>
      </c>
      <c r="I677" s="153"/>
      <c r="J677" s="153"/>
      <c r="K677" s="155" t="str">
        <f>IF(L674="","",INDEX(CONST_LIST_GoodsUnit,MATCH(L674,CONST_LIST_Goods,0)))</f>
        <v/>
      </c>
      <c r="L677" s="29"/>
      <c r="M677" s="144"/>
      <c r="N677" s="144"/>
      <c r="O677" s="945"/>
      <c r="S677" s="105">
        <v>1</v>
      </c>
      <c r="V677" s="105" t="str">
        <f>IF(AND(Y677=FALSE,ISNUMBER(L677)),TRUE,IF(Y677=FALSE,CONST_ErrorOrMissing&amp;C674,CONST_NA))</f>
        <v>n.a.</v>
      </c>
      <c r="Y677" s="105" t="str">
        <f>IF(OR(H677="",H677=CONST_NA),"",IF(H677=CONST_AllProdRoutes,FALSE, COUNTIF(INDEX(CNTR_MatrixPurchPrecRoutes,C674,),S677)=0))</f>
        <v/>
      </c>
    </row>
    <row r="678" spans="1:26" ht="12.75" customHeight="1" x14ac:dyDescent="0.35">
      <c r="B678" s="94"/>
      <c r="C678" s="144"/>
      <c r="D678" s="173">
        <v>2</v>
      </c>
      <c r="E678" s="158" t="str">
        <f t="shared" ref="E678:E684" si="75">IF(H678=CONST_NA,"",E677)</f>
        <v/>
      </c>
      <c r="F678" s="158"/>
      <c r="G678" s="158"/>
      <c r="H678" s="159" t="str">
        <f>IF(L674="","",INDEX(CONST_MATRIX_ProductionRoute,MATCH(L674,CONST_LIST_Goods,0),D678))</f>
        <v/>
      </c>
      <c r="I678" s="158"/>
      <c r="J678" s="158"/>
      <c r="K678" s="160" t="str">
        <f t="shared" ref="K678:K684" si="76">IF(H678=CONST_NA,"",K677)</f>
        <v/>
      </c>
      <c r="L678" s="30"/>
      <c r="M678" s="144"/>
      <c r="N678" s="144"/>
      <c r="O678" s="945"/>
      <c r="S678" s="105">
        <v>2</v>
      </c>
      <c r="V678" s="105" t="str">
        <f>IF(AND(Y678=FALSE,ISNUMBER(L678)),TRUE,IF(Y678=FALSE,CONST_ErrorOrMissing&amp;C674,CONST_NA))</f>
        <v>n.a.</v>
      </c>
      <c r="Y678" s="105" t="str">
        <f>IF(OR(H678="",H678=CONST_NA),"",IF(H678=CONST_AllProdRoutes,FALSE, COUNTIF(INDEX(CNTR_MatrixPurchPrecRoutes,C674,),S678)=0))</f>
        <v/>
      </c>
    </row>
    <row r="679" spans="1:26" ht="12.75" customHeight="1" x14ac:dyDescent="0.35">
      <c r="B679" s="94"/>
      <c r="C679" s="144"/>
      <c r="D679" s="173">
        <v>3</v>
      </c>
      <c r="E679" s="158" t="str">
        <f t="shared" si="75"/>
        <v/>
      </c>
      <c r="F679" s="158"/>
      <c r="G679" s="158"/>
      <c r="H679" s="159" t="str">
        <f>IF(L674="","",INDEX(CONST_MATRIX_ProductionRoute,MATCH(L674,CONST_LIST_Goods,0),D679))</f>
        <v/>
      </c>
      <c r="I679" s="158"/>
      <c r="J679" s="158"/>
      <c r="K679" s="160" t="str">
        <f t="shared" si="76"/>
        <v/>
      </c>
      <c r="L679" s="30"/>
      <c r="M679" s="144"/>
      <c r="N679" s="144"/>
      <c r="O679" s="945"/>
      <c r="S679" s="105">
        <v>3</v>
      </c>
      <c r="V679" s="105" t="str">
        <f>IF(AND(Y679=FALSE,ISNUMBER(L679)),TRUE,IF(Y679=FALSE,CONST_ErrorOrMissing&amp;C674,CONST_NA))</f>
        <v>n.a.</v>
      </c>
      <c r="Y679" s="105" t="str">
        <f>IF(OR(H679="",H679=CONST_NA),"",IF(H679=CONST_AllProdRoutes,FALSE, COUNTIF(INDEX(CNTR_MatrixPurchPrecRoutes,C674,),S679)=0))</f>
        <v/>
      </c>
    </row>
    <row r="680" spans="1:26" ht="12.75" customHeight="1" x14ac:dyDescent="0.35">
      <c r="B680" s="94"/>
      <c r="C680" s="144"/>
      <c r="D680" s="173">
        <v>4</v>
      </c>
      <c r="E680" s="158" t="str">
        <f t="shared" si="75"/>
        <v/>
      </c>
      <c r="F680" s="158"/>
      <c r="G680" s="158"/>
      <c r="H680" s="159" t="str">
        <f>IF(L674="","",INDEX(CONST_MATRIX_ProductionRoute,MATCH(L674,CONST_LIST_Goods,0),D680))</f>
        <v/>
      </c>
      <c r="I680" s="158"/>
      <c r="J680" s="158"/>
      <c r="K680" s="160" t="str">
        <f t="shared" si="76"/>
        <v/>
      </c>
      <c r="L680" s="30"/>
      <c r="M680" s="144"/>
      <c r="N680" s="144"/>
      <c r="O680" s="945"/>
      <c r="S680" s="105">
        <v>4</v>
      </c>
      <c r="V680" s="105" t="str">
        <f>IF(AND(Y680=FALSE,ISNUMBER(L680)),TRUE,IF(Y680=FALSE,CONST_ErrorOrMissing&amp;C674,CONST_NA))</f>
        <v>n.a.</v>
      </c>
      <c r="Y680" s="105" t="str">
        <f>IF(OR(H680="",H680=CONST_NA),"",IF(H680=CONST_AllProdRoutes,FALSE, COUNTIF(INDEX(CNTR_MatrixPurchPrecRoutes,C674,),S680)=0))</f>
        <v/>
      </c>
    </row>
    <row r="681" spans="1:26" ht="12.75" customHeight="1" x14ac:dyDescent="0.35">
      <c r="B681" s="94"/>
      <c r="C681" s="144"/>
      <c r="D681" s="173">
        <v>5</v>
      </c>
      <c r="E681" s="158" t="str">
        <f t="shared" si="75"/>
        <v/>
      </c>
      <c r="F681" s="158"/>
      <c r="G681" s="158"/>
      <c r="H681" s="159" t="str">
        <f>IF(L674="","",INDEX(CONST_MATRIX_ProductionRoute,MATCH(L674,CONST_LIST_Goods,0),D681))</f>
        <v/>
      </c>
      <c r="I681" s="158"/>
      <c r="J681" s="158"/>
      <c r="K681" s="160" t="str">
        <f t="shared" si="76"/>
        <v/>
      </c>
      <c r="L681" s="30"/>
      <c r="M681" s="144"/>
      <c r="N681" s="144"/>
      <c r="O681" s="945"/>
      <c r="S681" s="105">
        <v>5</v>
      </c>
      <c r="V681" s="105" t="str">
        <f>IF(AND(Y681=FALSE,ISNUMBER(L681)),TRUE,IF(Y681=FALSE,CONST_ErrorOrMissing&amp;C674,CONST_NA))</f>
        <v>n.a.</v>
      </c>
      <c r="Y681" s="105" t="str">
        <f>IF(OR(H681="",H681=CONST_NA),"",IF(H681=CONST_AllProdRoutes,FALSE, COUNTIF(INDEX(CNTR_MatrixPurchPrecRoutes,C674,),S681)=0))</f>
        <v/>
      </c>
    </row>
    <row r="682" spans="1:26" ht="12.75" customHeight="1" x14ac:dyDescent="0.35">
      <c r="B682" s="94"/>
      <c r="C682" s="144"/>
      <c r="D682" s="173">
        <v>6</v>
      </c>
      <c r="E682" s="158" t="str">
        <f t="shared" si="75"/>
        <v/>
      </c>
      <c r="F682" s="158"/>
      <c r="G682" s="158"/>
      <c r="H682" s="159" t="str">
        <f>IF(L674="","",INDEX(CONST_MATRIX_ProductionRoute,MATCH(L674,CONST_LIST_Goods,0),D682))</f>
        <v/>
      </c>
      <c r="I682" s="158"/>
      <c r="J682" s="158"/>
      <c r="K682" s="160" t="str">
        <f t="shared" si="76"/>
        <v/>
      </c>
      <c r="L682" s="30"/>
      <c r="M682" s="144"/>
      <c r="N682" s="144"/>
      <c r="O682" s="945"/>
      <c r="S682" s="105">
        <v>6</v>
      </c>
      <c r="V682" s="105" t="str">
        <f>IF(AND(Y682=FALSE,ISNUMBER(L682)),TRUE,IF(Y682=FALSE,CONST_ErrorOrMissing&amp;C674,CONST_NA))</f>
        <v>n.a.</v>
      </c>
      <c r="Y682" s="105" t="str">
        <f>IF(OR(H682="",H682=CONST_NA),"",IF(H682=CONST_AllProdRoutes,FALSE, COUNTIF(INDEX(CNTR_MatrixPurchPrecRoutes,C674,),S682)=0))</f>
        <v/>
      </c>
    </row>
    <row r="683" spans="1:26" ht="12.75" customHeight="1" x14ac:dyDescent="0.35">
      <c r="B683" s="94"/>
      <c r="C683" s="144"/>
      <c r="D683" s="173">
        <v>7</v>
      </c>
      <c r="E683" s="158" t="str">
        <f t="shared" si="75"/>
        <v/>
      </c>
      <c r="F683" s="158"/>
      <c r="G683" s="158"/>
      <c r="H683" s="159" t="str">
        <f>IF(L674="","",INDEX(CONST_MATRIX_ProductionRoute,MATCH(L674,CONST_LIST_Goods,0),D683))</f>
        <v/>
      </c>
      <c r="I683" s="158"/>
      <c r="J683" s="158"/>
      <c r="K683" s="160" t="str">
        <f t="shared" si="76"/>
        <v/>
      </c>
      <c r="L683" s="30"/>
      <c r="M683" s="144"/>
      <c r="N683" s="144"/>
      <c r="O683" s="945"/>
      <c r="S683" s="105">
        <v>7</v>
      </c>
      <c r="V683" s="105" t="str">
        <f>IF(AND(Y683=FALSE,ISNUMBER(L683)),TRUE,IF(Y683=FALSE,CONST_ErrorOrMissing&amp;C674,CONST_NA))</f>
        <v>n.a.</v>
      </c>
      <c r="Y683" s="105" t="str">
        <f>IF(OR(H683="",H683=CONST_NA),"",IF(H683=CONST_AllProdRoutes,FALSE, COUNTIF(INDEX(CNTR_MatrixPurchPrecRoutes,C674,),S683)=0))</f>
        <v/>
      </c>
    </row>
    <row r="684" spans="1:26" ht="12.75" customHeight="1" x14ac:dyDescent="0.35">
      <c r="B684" s="94"/>
      <c r="C684" s="144"/>
      <c r="D684" s="173">
        <v>8</v>
      </c>
      <c r="E684" s="161" t="str">
        <f t="shared" si="75"/>
        <v/>
      </c>
      <c r="F684" s="161"/>
      <c r="G684" s="161"/>
      <c r="H684" s="162" t="str">
        <f>IF(L674="","",INDEX(CONST_MATRIX_ProductionRoute,MATCH(L674,CONST_LIST_Goods,0),D684))</f>
        <v/>
      </c>
      <c r="I684" s="161"/>
      <c r="J684" s="161"/>
      <c r="K684" s="163" t="str">
        <f t="shared" si="76"/>
        <v/>
      </c>
      <c r="L684" s="31"/>
      <c r="M684" s="144"/>
      <c r="N684" s="144"/>
      <c r="O684" s="945"/>
      <c r="S684" s="105">
        <v>8</v>
      </c>
      <c r="V684" s="105" t="str">
        <f>IF(AND(Y684=FALSE,ISNUMBER(L684)),TRUE,IF(Y684=FALSE,CONST_ErrorOrMissing&amp;C674,CONST_NA))</f>
        <v>n.a.</v>
      </c>
      <c r="Y684" s="105" t="str">
        <f>IF(OR(H684="",H684=CONST_NA),"",IF(H684=CONST_AllProdRoutes,FALSE, COUNTIF(INDEX(CNTR_MatrixPurchPrecRoutes,C674,),S684)=0))</f>
        <v/>
      </c>
    </row>
    <row r="685" spans="1:26" ht="12.75" customHeight="1" x14ac:dyDescent="0.35">
      <c r="B685" s="94"/>
      <c r="C685" s="144"/>
      <c r="D685" s="914"/>
      <c r="E685" s="138" t="str">
        <f>Translations!$B$1966</f>
        <v>Total purchase for possible consumption within installation:</v>
      </c>
      <c r="F685" s="138"/>
      <c r="G685" s="138"/>
      <c r="H685" s="164"/>
      <c r="I685" s="138"/>
      <c r="J685" s="138"/>
      <c r="K685" s="169" t="str">
        <f>K677</f>
        <v/>
      </c>
      <c r="L685" s="386" t="str">
        <f>IF(G674="","",SUM(L677:L684))</f>
        <v/>
      </c>
      <c r="M685" s="144"/>
      <c r="N685" s="144"/>
      <c r="O685" s="428"/>
      <c r="R685" s="102" t="str">
        <f>CONST_CNTR_TotProd&amp;G674</f>
        <v>TotProd_</v>
      </c>
      <c r="T685" s="216" t="str">
        <f>IF(G674="","",IF(SUM(L685)=0,100,L685))</f>
        <v/>
      </c>
      <c r="V685" s="123"/>
    </row>
    <row r="686" spans="1:26" s="144" customFormat="1" ht="5.15" customHeight="1" x14ac:dyDescent="0.35">
      <c r="A686" s="91"/>
      <c r="B686" s="94"/>
      <c r="D686" s="166"/>
      <c r="E686" s="167"/>
      <c r="O686" s="428"/>
      <c r="P686" s="94"/>
      <c r="Q686" s="93"/>
      <c r="R686" s="91"/>
      <c r="S686" s="91"/>
      <c r="T686" s="712"/>
      <c r="U686" s="91"/>
      <c r="V686" s="123"/>
      <c r="W686" s="91"/>
      <c r="X686" s="91"/>
      <c r="Y686" s="91"/>
      <c r="Z686" s="91"/>
    </row>
    <row r="687" spans="1:26" s="144" customFormat="1" ht="12.75" customHeight="1" x14ac:dyDescent="0.35">
      <c r="A687" s="91"/>
      <c r="B687" s="94"/>
      <c r="D687" s="168" t="s">
        <v>48</v>
      </c>
      <c r="E687" s="167" t="str">
        <f>Translations!$B$1967</f>
        <v>Consumed in 'production processes' within the installation:</v>
      </c>
      <c r="F687" s="167"/>
      <c r="G687" s="167"/>
      <c r="H687" s="167"/>
      <c r="I687" s="167"/>
      <c r="J687" s="167"/>
      <c r="K687" s="168" t="str">
        <f>Translations!$B$221</f>
        <v>Unit</v>
      </c>
      <c r="L687" s="168" t="str">
        <f>Translations!$B$245</f>
        <v>Amounts</v>
      </c>
      <c r="O687" s="428"/>
      <c r="P687" s="94"/>
      <c r="Q687" s="93"/>
      <c r="R687" s="91"/>
      <c r="S687" s="123" t="s">
        <v>195</v>
      </c>
      <c r="T687" s="712"/>
      <c r="U687" s="91"/>
      <c r="V687" s="123"/>
      <c r="W687" s="91"/>
      <c r="X687" s="91"/>
      <c r="Y687" s="91"/>
      <c r="Z687" s="91"/>
    </row>
    <row r="688" spans="1:26" s="144" customFormat="1" ht="12.75" customHeight="1" x14ac:dyDescent="0.35">
      <c r="A688" s="91"/>
      <c r="B688" s="94"/>
      <c r="D688" s="173">
        <v>1</v>
      </c>
      <c r="E688" s="174" t="str">
        <f t="shared" ref="E688:E697" si="77">IF(INDEX(CNTR_List_ExistProdProcNames,S688)=CONST_NA,"",INDEX(CNTR_List_ExistProdProcNames,S688))</f>
        <v/>
      </c>
      <c r="F688" s="175"/>
      <c r="G688" s="175"/>
      <c r="H688" s="175"/>
      <c r="I688" s="175"/>
      <c r="J688" s="176"/>
      <c r="K688" s="155" t="str">
        <f>IF(E688="","",K685)</f>
        <v/>
      </c>
      <c r="L688" s="29"/>
      <c r="O688" s="945"/>
      <c r="P688" s="94"/>
      <c r="Q688" s="93"/>
      <c r="R688" s="102" t="str">
        <f>CONST_PrecursorToGoodInput&amp;G674 &amp;"_"&amp;E688</f>
        <v>PrecToGood__</v>
      </c>
      <c r="S688" s="105">
        <f>D688</f>
        <v>1</v>
      </c>
      <c r="T688" s="124" t="str">
        <f>IF(G674="","",L688)</f>
        <v/>
      </c>
      <c r="U688" s="91"/>
      <c r="V688" s="105" t="str">
        <f>IF(AND(G674&lt;&gt;"",E688&lt;&gt;"",L688&lt;&gt;""),TRUE,IF(AND(G674&lt;&gt;"",E688&lt;&gt;"",L688="",Z688=FALSE),CONST_ErrorOrMissing&amp;C674,CONST_NA))</f>
        <v>n.a.</v>
      </c>
      <c r="W688" s="172"/>
      <c r="X688" s="172"/>
      <c r="Y688" s="91" t="s">
        <v>34</v>
      </c>
      <c r="Z688" s="102" t="b">
        <f>IF(G674="",FALSE,E688="")</f>
        <v>0</v>
      </c>
    </row>
    <row r="689" spans="1:26" s="144" customFormat="1" ht="12.75" customHeight="1" x14ac:dyDescent="0.35">
      <c r="A689" s="91"/>
      <c r="B689" s="94"/>
      <c r="D689" s="173">
        <v>2</v>
      </c>
      <c r="E689" s="177" t="str">
        <f t="shared" si="77"/>
        <v/>
      </c>
      <c r="F689" s="178"/>
      <c r="G689" s="178"/>
      <c r="H689" s="178"/>
      <c r="I689" s="178"/>
      <c r="J689" s="179"/>
      <c r="K689" s="160" t="str">
        <f>IF(E689="","",K688)</f>
        <v/>
      </c>
      <c r="L689" s="30"/>
      <c r="O689" s="945"/>
      <c r="P689" s="94"/>
      <c r="Q689" s="93"/>
      <c r="R689" s="102" t="str">
        <f>CONST_PrecursorToGoodInput&amp;G674 &amp;"_"&amp;E689</f>
        <v>PrecToGood__</v>
      </c>
      <c r="S689" s="105">
        <f t="shared" ref="S689:S697" si="78">D689</f>
        <v>2</v>
      </c>
      <c r="T689" s="124" t="str">
        <f>IF(G674="","",L689)</f>
        <v/>
      </c>
      <c r="U689" s="91"/>
      <c r="V689" s="105" t="str">
        <f>IF(AND(G674&lt;&gt;"",E689&lt;&gt;"",L689&lt;&gt;""),TRUE,IF(AND(G674&lt;&gt;"",E689&lt;&gt;"",L689="",Z689=FALSE),CONST_ErrorOrMissing&amp;C674,CONST_NA))</f>
        <v>n.a.</v>
      </c>
      <c r="W689" s="172"/>
      <c r="X689" s="172"/>
      <c r="Y689" s="91"/>
      <c r="Z689" s="102" t="b">
        <f>IF(G674="",FALSE,E689="")</f>
        <v>0</v>
      </c>
    </row>
    <row r="690" spans="1:26" s="144" customFormat="1" ht="12.75" customHeight="1" x14ac:dyDescent="0.35">
      <c r="A690" s="91"/>
      <c r="B690" s="94"/>
      <c r="D690" s="173">
        <v>3</v>
      </c>
      <c r="E690" s="177" t="str">
        <f t="shared" si="77"/>
        <v/>
      </c>
      <c r="F690" s="178"/>
      <c r="G690" s="178"/>
      <c r="H690" s="178"/>
      <c r="I690" s="178"/>
      <c r="J690" s="179"/>
      <c r="K690" s="160" t="str">
        <f t="shared" ref="K690:K697" si="79">IF(E690="","",K689)</f>
        <v/>
      </c>
      <c r="L690" s="30"/>
      <c r="O690" s="945"/>
      <c r="P690" s="94"/>
      <c r="Q690" s="93"/>
      <c r="R690" s="102" t="str">
        <f>CONST_PrecursorToGoodInput&amp;G674 &amp;"_"&amp;E690</f>
        <v>PrecToGood__</v>
      </c>
      <c r="S690" s="105">
        <f t="shared" si="78"/>
        <v>3</v>
      </c>
      <c r="T690" s="124" t="str">
        <f>IF(G674="","",L690)</f>
        <v/>
      </c>
      <c r="U690" s="91"/>
      <c r="V690" s="105" t="str">
        <f>IF(AND(G674&lt;&gt;"",E690&lt;&gt;"",L690&lt;&gt;""),TRUE,IF(AND(G674&lt;&gt;"",E690&lt;&gt;"",L690="",Z690=FALSE),CONST_ErrorOrMissing&amp;C674,CONST_NA))</f>
        <v>n.a.</v>
      </c>
      <c r="W690" s="172"/>
      <c r="X690" s="172"/>
      <c r="Y690" s="91"/>
      <c r="Z690" s="102" t="b">
        <f>IF(G674="",FALSE,E690="")</f>
        <v>0</v>
      </c>
    </row>
    <row r="691" spans="1:26" s="144" customFormat="1" ht="12.75" customHeight="1" x14ac:dyDescent="0.35">
      <c r="A691" s="91"/>
      <c r="B691" s="94"/>
      <c r="D691" s="173">
        <v>4</v>
      </c>
      <c r="E691" s="177" t="str">
        <f t="shared" si="77"/>
        <v/>
      </c>
      <c r="F691" s="178"/>
      <c r="G691" s="178"/>
      <c r="H691" s="178"/>
      <c r="I691" s="178"/>
      <c r="J691" s="179"/>
      <c r="K691" s="160" t="str">
        <f t="shared" si="79"/>
        <v/>
      </c>
      <c r="L691" s="30"/>
      <c r="O691" s="945"/>
      <c r="P691" s="94"/>
      <c r="Q691" s="93"/>
      <c r="R691" s="102" t="str">
        <f>CONST_PrecursorToGoodInput&amp;G674 &amp;"_"&amp;E691</f>
        <v>PrecToGood__</v>
      </c>
      <c r="S691" s="105">
        <f t="shared" si="78"/>
        <v>4</v>
      </c>
      <c r="T691" s="124" t="str">
        <f>IF(G674="","",L691)</f>
        <v/>
      </c>
      <c r="U691" s="91"/>
      <c r="V691" s="105" t="str">
        <f>IF(AND(G674&lt;&gt;"",E691&lt;&gt;"",L691&lt;&gt;""),TRUE,IF(AND(G674&lt;&gt;"",E691&lt;&gt;"",L691="",Z691=FALSE),CONST_ErrorOrMissing&amp;C674,CONST_NA))</f>
        <v>n.a.</v>
      </c>
      <c r="W691" s="172"/>
      <c r="X691" s="172"/>
      <c r="Y691" s="91"/>
      <c r="Z691" s="102" t="b">
        <f>IF(G674="",FALSE,E691="")</f>
        <v>0</v>
      </c>
    </row>
    <row r="692" spans="1:26" s="144" customFormat="1" ht="12.75" customHeight="1" x14ac:dyDescent="0.35">
      <c r="A692" s="91"/>
      <c r="B692" s="94"/>
      <c r="D692" s="173">
        <v>5</v>
      </c>
      <c r="E692" s="180" t="str">
        <f t="shared" si="77"/>
        <v/>
      </c>
      <c r="F692" s="181"/>
      <c r="G692" s="181"/>
      <c r="H692" s="181"/>
      <c r="I692" s="181"/>
      <c r="J692" s="182"/>
      <c r="K692" s="183" t="str">
        <f t="shared" si="79"/>
        <v/>
      </c>
      <c r="L692" s="212"/>
      <c r="O692" s="945"/>
      <c r="P692" s="94"/>
      <c r="Q692" s="93"/>
      <c r="R692" s="102" t="str">
        <f>CONST_PrecursorToGoodInput&amp;G674 &amp;"_"&amp;E692</f>
        <v>PrecToGood__</v>
      </c>
      <c r="S692" s="105">
        <f t="shared" si="78"/>
        <v>5</v>
      </c>
      <c r="T692" s="124" t="str">
        <f>IF(G674="","",L692)</f>
        <v/>
      </c>
      <c r="U692" s="91"/>
      <c r="V692" s="105" t="str">
        <f>IF(AND(G674&lt;&gt;"",E692&lt;&gt;"",L692&lt;&gt;""),TRUE,IF(AND(G674&lt;&gt;"",E692&lt;&gt;"",L692="",Z692=FALSE),CONST_ErrorOrMissing&amp;C674,CONST_NA))</f>
        <v>n.a.</v>
      </c>
      <c r="W692" s="172"/>
      <c r="X692" s="172"/>
      <c r="Y692" s="91"/>
      <c r="Z692" s="102" t="b">
        <f>IF(G674="",FALSE,E692="")</f>
        <v>0</v>
      </c>
    </row>
    <row r="693" spans="1:26" s="144" customFormat="1" ht="12.75" customHeight="1" x14ac:dyDescent="0.35">
      <c r="A693" s="91"/>
      <c r="B693" s="94"/>
      <c r="D693" s="173">
        <v>6</v>
      </c>
      <c r="E693" s="180" t="str">
        <f t="shared" si="77"/>
        <v/>
      </c>
      <c r="F693" s="181"/>
      <c r="G693" s="181"/>
      <c r="H693" s="181"/>
      <c r="I693" s="181"/>
      <c r="J693" s="182"/>
      <c r="K693" s="183" t="str">
        <f t="shared" si="79"/>
        <v/>
      </c>
      <c r="L693" s="212"/>
      <c r="O693" s="945"/>
      <c r="P693" s="94"/>
      <c r="Q693" s="93"/>
      <c r="R693" s="102" t="str">
        <f>CONST_PrecursorToGoodInput&amp;G674 &amp;"_"&amp;E693</f>
        <v>PrecToGood__</v>
      </c>
      <c r="S693" s="105">
        <f t="shared" si="78"/>
        <v>6</v>
      </c>
      <c r="T693" s="124" t="str">
        <f>IF(G674="","",L693)</f>
        <v/>
      </c>
      <c r="U693" s="91"/>
      <c r="V693" s="105" t="str">
        <f>IF(AND(G674&lt;&gt;"",E693&lt;&gt;"",L693&lt;&gt;""),TRUE,IF(AND(G674&lt;&gt;"",E693&lt;&gt;"",L693="",Z693=FALSE),CONST_ErrorOrMissing&amp;C674,CONST_NA))</f>
        <v>n.a.</v>
      </c>
      <c r="W693" s="172"/>
      <c r="X693" s="172"/>
      <c r="Y693" s="91"/>
      <c r="Z693" s="102" t="b">
        <f>IF(G674="",FALSE,E693="")</f>
        <v>0</v>
      </c>
    </row>
    <row r="694" spans="1:26" s="144" customFormat="1" ht="12.75" customHeight="1" x14ac:dyDescent="0.35">
      <c r="A694" s="91"/>
      <c r="B694" s="94"/>
      <c r="D694" s="173">
        <v>7</v>
      </c>
      <c r="E694" s="180" t="str">
        <f t="shared" si="77"/>
        <v/>
      </c>
      <c r="F694" s="181"/>
      <c r="G694" s="181"/>
      <c r="H694" s="181"/>
      <c r="I694" s="181"/>
      <c r="J694" s="182"/>
      <c r="K694" s="183" t="str">
        <f t="shared" si="79"/>
        <v/>
      </c>
      <c r="L694" s="212"/>
      <c r="O694" s="945"/>
      <c r="P694" s="94"/>
      <c r="Q694" s="93"/>
      <c r="R694" s="102" t="str">
        <f>CONST_PrecursorToGoodInput&amp;G674 &amp;"_"&amp;E694</f>
        <v>PrecToGood__</v>
      </c>
      <c r="S694" s="105">
        <f t="shared" si="78"/>
        <v>7</v>
      </c>
      <c r="T694" s="124" t="str">
        <f>IF(G674="","",L694)</f>
        <v/>
      </c>
      <c r="U694" s="91"/>
      <c r="V694" s="105" t="str">
        <f>IF(AND(G674&lt;&gt;"",E694&lt;&gt;"",L694&lt;&gt;""),TRUE,IF(AND(G674&lt;&gt;"",E694&lt;&gt;"",L694="",Z694=FALSE),CONST_ErrorOrMissing&amp;C674,CONST_NA))</f>
        <v>n.a.</v>
      </c>
      <c r="W694" s="172"/>
      <c r="X694" s="172"/>
      <c r="Y694" s="91"/>
      <c r="Z694" s="102" t="b">
        <f>IF(G674="",FALSE,E694="")</f>
        <v>0</v>
      </c>
    </row>
    <row r="695" spans="1:26" s="144" customFormat="1" ht="12.75" customHeight="1" x14ac:dyDescent="0.35">
      <c r="A695" s="91"/>
      <c r="B695" s="94"/>
      <c r="D695" s="173">
        <v>8</v>
      </c>
      <c r="E695" s="180" t="str">
        <f t="shared" si="77"/>
        <v/>
      </c>
      <c r="F695" s="181"/>
      <c r="G695" s="181"/>
      <c r="H695" s="181"/>
      <c r="I695" s="181"/>
      <c r="J695" s="182"/>
      <c r="K695" s="183" t="str">
        <f t="shared" si="79"/>
        <v/>
      </c>
      <c r="L695" s="212"/>
      <c r="O695" s="945"/>
      <c r="P695" s="94"/>
      <c r="Q695" s="93"/>
      <c r="R695" s="102" t="str">
        <f>CONST_PrecursorToGoodInput&amp;G674 &amp;"_"&amp;E695</f>
        <v>PrecToGood__</v>
      </c>
      <c r="S695" s="105">
        <f t="shared" si="78"/>
        <v>8</v>
      </c>
      <c r="T695" s="124" t="str">
        <f>IF(G674="","",L695)</f>
        <v/>
      </c>
      <c r="U695" s="91"/>
      <c r="V695" s="105" t="str">
        <f>IF(AND(G674&lt;&gt;"",E695&lt;&gt;"",L695&lt;&gt;""),TRUE,IF(AND(G674&lt;&gt;"",E695&lt;&gt;"",L695="",Z695=FALSE),CONST_ErrorOrMissing&amp;C674,CONST_NA))</f>
        <v>n.a.</v>
      </c>
      <c r="W695" s="172"/>
      <c r="X695" s="172"/>
      <c r="Y695" s="91"/>
      <c r="Z695" s="102" t="b">
        <f>IF(G674="",FALSE,E695="")</f>
        <v>0</v>
      </c>
    </row>
    <row r="696" spans="1:26" s="144" customFormat="1" ht="12.75" customHeight="1" x14ac:dyDescent="0.35">
      <c r="A696" s="91"/>
      <c r="B696" s="94"/>
      <c r="D696" s="173">
        <v>9</v>
      </c>
      <c r="E696" s="180" t="str">
        <f t="shared" si="77"/>
        <v/>
      </c>
      <c r="F696" s="181"/>
      <c r="G696" s="181"/>
      <c r="H696" s="181"/>
      <c r="I696" s="181"/>
      <c r="J696" s="182"/>
      <c r="K696" s="183" t="str">
        <f t="shared" si="79"/>
        <v/>
      </c>
      <c r="L696" s="212"/>
      <c r="O696" s="945"/>
      <c r="P696" s="94"/>
      <c r="Q696" s="93"/>
      <c r="R696" s="102" t="str">
        <f>CONST_PrecursorToGoodInput&amp;G674 &amp;"_"&amp;E696</f>
        <v>PrecToGood__</v>
      </c>
      <c r="S696" s="105">
        <f t="shared" si="78"/>
        <v>9</v>
      </c>
      <c r="T696" s="124" t="str">
        <f>IF(G674="","",L696)</f>
        <v/>
      </c>
      <c r="U696" s="91"/>
      <c r="V696" s="105" t="str">
        <f>IF(AND(G674&lt;&gt;"",E696&lt;&gt;"",L696&lt;&gt;""),TRUE,IF(AND(G674&lt;&gt;"",E696&lt;&gt;"",L696="",Z696=FALSE),CONST_ErrorOrMissing&amp;C674,CONST_NA))</f>
        <v>n.a.</v>
      </c>
      <c r="W696" s="172"/>
      <c r="X696" s="172"/>
      <c r="Y696" s="91"/>
      <c r="Z696" s="102" t="b">
        <f>IF(G674="",FALSE,E696="")</f>
        <v>0</v>
      </c>
    </row>
    <row r="697" spans="1:26" s="144" customFormat="1" ht="12.75" customHeight="1" x14ac:dyDescent="0.35">
      <c r="A697" s="91"/>
      <c r="B697" s="94"/>
      <c r="D697" s="173">
        <v>10</v>
      </c>
      <c r="E697" s="184" t="str">
        <f t="shared" si="77"/>
        <v/>
      </c>
      <c r="F697" s="185"/>
      <c r="G697" s="185"/>
      <c r="H697" s="185"/>
      <c r="I697" s="185"/>
      <c r="J697" s="186"/>
      <c r="K697" s="163" t="str">
        <f t="shared" si="79"/>
        <v/>
      </c>
      <c r="L697" s="31"/>
      <c r="O697" s="945"/>
      <c r="P697" s="94"/>
      <c r="Q697" s="93"/>
      <c r="R697" s="102" t="str">
        <f>CONST_PrecursorToGoodInput&amp;G674 &amp;"_"&amp;E697</f>
        <v>PrecToGood__</v>
      </c>
      <c r="S697" s="105">
        <f t="shared" si="78"/>
        <v>10</v>
      </c>
      <c r="T697" s="124" t="str">
        <f>IF(G674="","",L697)</f>
        <v/>
      </c>
      <c r="U697" s="91"/>
      <c r="V697" s="105" t="str">
        <f>IF(AND(G674&lt;&gt;"",E697&lt;&gt;"",L697&lt;&gt;""),TRUE,IF(AND(G674&lt;&gt;"",E697&lt;&gt;"",L697="",Z697=FALSE),CONST_ErrorOrMissing&amp;C674,CONST_NA))</f>
        <v>n.a.</v>
      </c>
      <c r="W697" s="172"/>
      <c r="X697" s="172"/>
      <c r="Y697" s="91"/>
      <c r="Z697" s="102" t="b">
        <f>IF(G674="",FALSE,E697="")</f>
        <v>0</v>
      </c>
    </row>
    <row r="698" spans="1:26" s="144" customFormat="1" ht="12.75" customHeight="1" x14ac:dyDescent="0.35">
      <c r="A698" s="91"/>
      <c r="B698" s="94"/>
      <c r="D698" s="168" t="s">
        <v>49</v>
      </c>
      <c r="E698" s="167" t="str">
        <f>Translations!$B$1968</f>
        <v>Consumed for other purposes, e.g. sold or used for non-CBAM goods:</v>
      </c>
      <c r="F698" s="167"/>
      <c r="G698" s="167"/>
      <c r="H698" s="167"/>
      <c r="I698" s="167"/>
      <c r="J698" s="167"/>
      <c r="K698" s="169" t="str">
        <f>K685</f>
        <v/>
      </c>
      <c r="L698" s="211"/>
      <c r="O698" s="945"/>
      <c r="P698" s="94"/>
      <c r="Q698" s="93"/>
      <c r="R698" s="91"/>
      <c r="S698" s="91"/>
      <c r="T698" s="712"/>
      <c r="U698" s="91"/>
      <c r="V698" s="105" t="str">
        <f>IF(G674="",CONST_NA,IF(ISNUMBER(L698),TRUE,CONST_ErrorOrMissing&amp;C674))</f>
        <v>n.a.</v>
      </c>
      <c r="W698" s="91"/>
      <c r="X698" s="91"/>
      <c r="Y698" s="91"/>
      <c r="Z698" s="91"/>
    </row>
    <row r="699" spans="1:26" s="144" customFormat="1" ht="12.75" customHeight="1" x14ac:dyDescent="0.35">
      <c r="A699" s="91"/>
      <c r="B699" s="94"/>
      <c r="D699" s="168" t="s">
        <v>377</v>
      </c>
      <c r="E699" s="138" t="str">
        <f>Translations!$B$253</f>
        <v>Control:</v>
      </c>
      <c r="F699" s="170"/>
      <c r="G699" s="170"/>
      <c r="H699" s="170"/>
      <c r="I699" s="170"/>
      <c r="J699" s="170"/>
      <c r="K699" s="169" t="str">
        <f>K698</f>
        <v/>
      </c>
      <c r="L699" s="118" t="str">
        <f>IF(G674="","",SUM(L685)-SUM(L688:L698))</f>
        <v/>
      </c>
      <c r="O699" s="945"/>
      <c r="P699" s="94"/>
      <c r="Q699" s="93"/>
      <c r="R699" s="91"/>
      <c r="S699" s="91"/>
      <c r="T699" s="712"/>
      <c r="U699" s="91"/>
      <c r="V699" s="105" t="str">
        <f>IF(G674="",CONST_NA,IF(L699=0,TRUE,CONST_ErrorOrMissing&amp;C674))</f>
        <v>n.a.</v>
      </c>
      <c r="W699" s="91"/>
      <c r="X699" s="91"/>
      <c r="Y699" s="91"/>
      <c r="Z699" s="91"/>
    </row>
    <row r="700" spans="1:26" s="144" customFormat="1" ht="12.75" customHeight="1" thickBot="1" x14ac:dyDescent="0.4">
      <c r="A700" s="91"/>
      <c r="B700" s="94"/>
      <c r="O700" s="428"/>
      <c r="P700" s="94"/>
      <c r="Q700" s="93"/>
      <c r="R700" s="91"/>
      <c r="S700" s="91"/>
      <c r="T700" s="712"/>
      <c r="U700" s="91"/>
      <c r="V700" s="91"/>
      <c r="W700" s="91"/>
      <c r="X700" s="91"/>
      <c r="Y700" s="91"/>
      <c r="Z700" s="91"/>
    </row>
    <row r="701" spans="1:26" ht="12.75" customHeight="1" x14ac:dyDescent="0.35">
      <c r="B701" s="94"/>
      <c r="C701" s="187"/>
      <c r="D701" s="188"/>
      <c r="E701" s="189"/>
      <c r="F701" s="190"/>
      <c r="G701" s="190"/>
      <c r="H701" s="190"/>
      <c r="I701" s="190"/>
      <c r="J701" s="190"/>
      <c r="K701" s="190"/>
      <c r="L701" s="190"/>
      <c r="M701" s="190"/>
      <c r="N701" s="191"/>
      <c r="O701" s="428"/>
      <c r="T701" s="712"/>
    </row>
    <row r="702" spans="1:26" ht="15" customHeight="1" x14ac:dyDescent="0.35">
      <c r="B702" s="94"/>
      <c r="C702" s="192"/>
      <c r="D702" s="193" t="str">
        <f>Translations!$B$279</f>
        <v>Specific embedded emissions:</v>
      </c>
      <c r="E702" s="194"/>
      <c r="F702" s="195"/>
      <c r="G702" s="195"/>
      <c r="H702" s="195"/>
      <c r="I702" s="195"/>
      <c r="J702" s="1327" t="str">
        <f>IF(G674="","",G674)</f>
        <v/>
      </c>
      <c r="K702" s="1327"/>
      <c r="L702" s="1327"/>
      <c r="M702" s="1327"/>
      <c r="N702" s="196"/>
      <c r="O702" s="428"/>
      <c r="T702" s="712"/>
    </row>
    <row r="703" spans="1:26" ht="5.15" customHeight="1" x14ac:dyDescent="0.35">
      <c r="B703" s="94"/>
      <c r="C703" s="192"/>
      <c r="D703" s="197"/>
      <c r="E703" s="198"/>
      <c r="F703" s="195"/>
      <c r="G703" s="195"/>
      <c r="H703" s="195"/>
      <c r="I703" s="195"/>
      <c r="J703" s="195"/>
      <c r="K703" s="195"/>
      <c r="L703" s="195"/>
      <c r="M703" s="195"/>
      <c r="N703" s="196"/>
      <c r="O703" s="428"/>
      <c r="T703" s="712"/>
    </row>
    <row r="704" spans="1:26" ht="12.75" customHeight="1" x14ac:dyDescent="0.35">
      <c r="B704" s="94"/>
      <c r="C704" s="192"/>
      <c r="D704" s="199" t="s">
        <v>411</v>
      </c>
      <c r="E704" s="198" t="str">
        <f>Translations!$B$280</f>
        <v>Emissions embedded in this purchased precursor</v>
      </c>
      <c r="F704" s="198"/>
      <c r="G704" s="198"/>
      <c r="H704" s="198"/>
      <c r="I704" s="198"/>
      <c r="J704" s="198"/>
      <c r="K704" s="198"/>
      <c r="L704" s="198"/>
      <c r="M704" s="198"/>
      <c r="N704" s="196"/>
      <c r="O704" s="428"/>
      <c r="T704" s="712"/>
      <c r="V704" s="172"/>
      <c r="W704" s="172"/>
      <c r="X704" s="172"/>
      <c r="Z704" s="171"/>
    </row>
    <row r="705" spans="1:26" ht="4.9000000000000004" customHeight="1" x14ac:dyDescent="0.35">
      <c r="B705" s="94"/>
      <c r="C705" s="192"/>
      <c r="D705" s="199"/>
      <c r="E705" s="1328"/>
      <c r="F705" s="1328"/>
      <c r="G705" s="1328"/>
      <c r="H705" s="1328"/>
      <c r="I705" s="1328"/>
      <c r="J705" s="1328"/>
      <c r="K705" s="1328"/>
      <c r="L705" s="1328"/>
      <c r="M705" s="1328"/>
      <c r="N705" s="196"/>
      <c r="O705" s="428"/>
      <c r="T705" s="712"/>
    </row>
    <row r="706" spans="1:26" ht="13.15" customHeight="1" x14ac:dyDescent="0.35">
      <c r="B706" s="94"/>
      <c r="C706" s="192"/>
      <c r="D706" s="199"/>
      <c r="E706" s="1311" t="str">
        <f ca="1">HYPERLINK("#"&amp;ADDRESS(MATCH($S706,G_FurtherGuidance!$S:$S,0),3,,,G_FurtherGuidance!$U$2),CONST_LinkToGuidanceSheet)</f>
        <v>Please click on this link for further guidance on how to complete this section.</v>
      </c>
      <c r="F706" s="1312"/>
      <c r="G706" s="1312"/>
      <c r="H706" s="1312"/>
      <c r="I706" s="1312"/>
      <c r="J706" s="1312"/>
      <c r="K706" s="1312"/>
      <c r="L706" s="1312"/>
      <c r="M706" s="1312"/>
      <c r="N706" s="196"/>
      <c r="O706" s="428"/>
      <c r="R706" s="104" t="s">
        <v>2771</v>
      </c>
      <c r="S706" s="105">
        <v>4</v>
      </c>
      <c r="T706" s="712"/>
    </row>
    <row r="707" spans="1:26" ht="4.9000000000000004" customHeight="1" x14ac:dyDescent="0.35">
      <c r="B707" s="94"/>
      <c r="C707" s="192"/>
      <c r="D707" s="199"/>
      <c r="E707" s="1328"/>
      <c r="F707" s="1328"/>
      <c r="G707" s="1328"/>
      <c r="H707" s="1328"/>
      <c r="I707" s="1328"/>
      <c r="J707" s="1328"/>
      <c r="K707" s="1328"/>
      <c r="L707" s="1328"/>
      <c r="M707" s="1328"/>
      <c r="N707" s="384"/>
      <c r="O707" s="428"/>
      <c r="T707" s="712"/>
    </row>
    <row r="708" spans="1:26" ht="12.75" customHeight="1" x14ac:dyDescent="0.35">
      <c r="B708" s="94"/>
      <c r="C708" s="192"/>
      <c r="D708" s="199"/>
      <c r="E708" s="198" t="str">
        <f>Translations!$B$284</f>
        <v>Parameter:</v>
      </c>
      <c r="F708" s="195"/>
      <c r="G708" s="195"/>
      <c r="H708" s="195"/>
      <c r="I708" s="195"/>
      <c r="J708" s="195"/>
      <c r="K708" s="199" t="str">
        <f>Translations!$B$221</f>
        <v>Unit</v>
      </c>
      <c r="L708" s="199" t="str">
        <f>Translations!$B$260</f>
        <v>Value</v>
      </c>
      <c r="M708" s="199" t="str">
        <f>Translations!$B$285</f>
        <v>Source</v>
      </c>
      <c r="N708" s="196"/>
      <c r="O708" s="428"/>
      <c r="T708" s="764" t="s">
        <v>5</v>
      </c>
      <c r="U708" s="123" t="s">
        <v>2719</v>
      </c>
      <c r="V708" s="156" t="s">
        <v>3922</v>
      </c>
      <c r="W708" s="156"/>
      <c r="X708" s="156"/>
      <c r="Z708" s="171"/>
    </row>
    <row r="709" spans="1:26" ht="12.75" customHeight="1" x14ac:dyDescent="0.35">
      <c r="B709" s="94"/>
      <c r="C709" s="192"/>
      <c r="D709" s="197" t="s">
        <v>41</v>
      </c>
      <c r="E709" s="201" t="str">
        <f>Translations!$B$1969</f>
        <v>Specific embedded direct emissions (SEE (direct))</v>
      </c>
      <c r="F709" s="201"/>
      <c r="G709" s="201"/>
      <c r="H709" s="201"/>
      <c r="I709" s="201"/>
      <c r="J709" s="201"/>
      <c r="K709" s="217" t="str">
        <f>IF(L674="","",CONST_tCO2eq &amp; "/" &amp; K685)</f>
        <v/>
      </c>
      <c r="L709" s="215"/>
      <c r="M709" s="385"/>
      <c r="N709" s="196"/>
      <c r="O709" s="945"/>
      <c r="R709" s="102" t="str">
        <f>CONST_PurchPrecDefaultUsed&amp;G674</f>
        <v>PurchPrecDef_</v>
      </c>
      <c r="S709" s="102" t="str">
        <f>CONST_CNTR_EmbedEmDir&amp;G674</f>
        <v>EmbedEmDir_</v>
      </c>
      <c r="T709" s="124" t="str">
        <f>IF(G674="","",SUM(T685)*SUM(L709))</f>
        <v/>
      </c>
      <c r="U709" s="105" t="str">
        <f>IF(G674="","",IF(M709="",CONST_ERR_Incomplete,MATCH(M709,CONST_MeasDefaultUnknown,0)=2))</f>
        <v/>
      </c>
      <c r="V709" s="105" t="str">
        <f>IF(AND(G674&lt;&gt;"",COUNTA(L709:M709)=2),TRUE,IF(AND(G674&lt;&gt;"",COUNTA(L709:M709)&lt;2),CONST_ErrorOrMissing&amp;C674,CONST_NA))</f>
        <v>n.a.</v>
      </c>
      <c r="W709" s="156"/>
      <c r="X709" s="156"/>
      <c r="Z709" s="171"/>
    </row>
    <row r="710" spans="1:26" ht="12.75" customHeight="1" x14ac:dyDescent="0.35">
      <c r="B710" s="94"/>
      <c r="C710" s="192"/>
      <c r="D710" s="197" t="s">
        <v>42</v>
      </c>
      <c r="E710" s="759" t="str">
        <f>Translations!$B$1970</f>
        <v>Specific electricity consumption (for SEE (indirect))</v>
      </c>
      <c r="F710" s="759"/>
      <c r="G710" s="759"/>
      <c r="H710" s="759"/>
      <c r="I710" s="759"/>
      <c r="J710" s="759"/>
      <c r="K710" s="457" t="str">
        <f>IF(K709="","",CONST_MWh&amp;"/"&amp;K685)</f>
        <v/>
      </c>
      <c r="L710" s="760"/>
      <c r="M710" s="761"/>
      <c r="N710" s="196"/>
      <c r="O710" s="945"/>
      <c r="R710" s="102" t="str">
        <f>CONST_ElecConsumption&amp;G674</f>
        <v>ElecCons_</v>
      </c>
      <c r="S710" s="102"/>
      <c r="T710" s="124" t="str">
        <f>IF(G674="","",SUM(T685)*SUM(L710))</f>
        <v/>
      </c>
      <c r="U710" s="105" t="str">
        <f>IF(G674="","",IF(M710="",CONST_ERR_Incomplete,MATCH(M710,CONST_MeasDefaultUnknown,0)=2))</f>
        <v/>
      </c>
      <c r="V710" s="105" t="str">
        <f>IF(AND(G674&lt;&gt;"",COUNTA(L710:M710)=2),TRUE,IF(AND(G674&lt;&gt;"",COUNTA(L710:M710)&lt;2),CONST_ErrorOrMissing&amp;C674,CONST_NA))</f>
        <v>n.a.</v>
      </c>
      <c r="W710" s="156"/>
      <c r="X710" s="156"/>
      <c r="Z710" s="171"/>
    </row>
    <row r="711" spans="1:26" ht="12.75" customHeight="1" x14ac:dyDescent="0.35">
      <c r="B711" s="94"/>
      <c r="C711" s="192"/>
      <c r="D711" s="197" t="s">
        <v>43</v>
      </c>
      <c r="E711" s="1144" t="str">
        <f>Translations!$B$1971</f>
        <v>Electricity emission factor (for SEE (indirect))</v>
      </c>
      <c r="F711" s="1144"/>
      <c r="G711" s="1144"/>
      <c r="H711" s="1144"/>
      <c r="I711" s="1144"/>
      <c r="J711" s="1144"/>
      <c r="K711" s="1145" t="str">
        <f>IF(K709="","",CONST_tCO2eq&amp;"/"&amp;CONST_MWh)</f>
        <v/>
      </c>
      <c r="L711" s="1146"/>
      <c r="M711" s="762"/>
      <c r="N711" s="196"/>
      <c r="O711" s="945"/>
      <c r="R711" s="102" t="str">
        <f>CONST_CNTR_ElecEFMethod&amp;G674</f>
        <v>ElecEFMeth_</v>
      </c>
      <c r="S711" s="102"/>
      <c r="T711" s="124"/>
      <c r="U711" s="105" t="str">
        <f>IF(G674="","",M711)</f>
        <v/>
      </c>
      <c r="V711" s="105" t="str">
        <f>IF(AND(G674&lt;&gt;"",COUNTA(L711:M711)=2),TRUE,IF(AND(G674&lt;&gt;"",COUNTA(L711:M711)&lt;2),CONST_ErrorOrMissing&amp;C674,CONST_NA))</f>
        <v>n.a.</v>
      </c>
      <c r="W711" s="156"/>
      <c r="X711" s="156"/>
      <c r="Z711" s="171"/>
    </row>
    <row r="712" spans="1:26" x14ac:dyDescent="0.35">
      <c r="B712" s="94"/>
      <c r="C712" s="192"/>
      <c r="D712" s="197" t="s">
        <v>44</v>
      </c>
      <c r="E712" s="201" t="str">
        <f>Translations!$B$1972</f>
        <v>Specific embedded indirect emissions (SEE (indirect))</v>
      </c>
      <c r="F712" s="201"/>
      <c r="G712" s="201"/>
      <c r="H712" s="201"/>
      <c r="I712" s="201"/>
      <c r="J712" s="201"/>
      <c r="K712" s="217" t="str">
        <f>K709</f>
        <v/>
      </c>
      <c r="L712" s="1147" t="str">
        <f>IF(COUNT(L710:L711)=0,"",L710*L711)</f>
        <v/>
      </c>
      <c r="M712" s="758"/>
      <c r="N712" s="196"/>
      <c r="O712" s="428"/>
      <c r="R712" s="171"/>
      <c r="S712" s="102" t="str">
        <f>CONST_CNTR_EmbedEmInDir&amp;G674</f>
        <v>EmbedEmInDir_</v>
      </c>
      <c r="T712" s="124" t="str">
        <f>IF(G674="","",SUM(T685)*SUM(L712))</f>
        <v/>
      </c>
      <c r="Z712" s="171"/>
    </row>
    <row r="713" spans="1:26" ht="5.15" customHeight="1" x14ac:dyDescent="0.35">
      <c r="B713" s="94"/>
      <c r="C713" s="192"/>
      <c r="D713" s="197"/>
      <c r="E713" s="195"/>
      <c r="F713" s="195"/>
      <c r="G713" s="195"/>
      <c r="H713" s="195"/>
      <c r="I713" s="195"/>
      <c r="J713" s="195"/>
      <c r="K713" s="195"/>
      <c r="L713" s="195"/>
      <c r="M713" s="195"/>
      <c r="N713" s="196"/>
      <c r="O713" s="428"/>
      <c r="R713" s="171"/>
      <c r="S713" s="171"/>
      <c r="T713" s="125"/>
      <c r="U713" s="156"/>
      <c r="V713" s="172"/>
      <c r="W713" s="172"/>
      <c r="X713" s="172"/>
      <c r="Z713" s="171"/>
    </row>
    <row r="714" spans="1:26" ht="12.75" customHeight="1" x14ac:dyDescent="0.35">
      <c r="B714" s="94"/>
      <c r="C714" s="192"/>
      <c r="D714" s="197" t="s">
        <v>45</v>
      </c>
      <c r="E714" s="201" t="str">
        <f>Translations!$B$1858</f>
        <v>Justification for use of default values (if relevant):</v>
      </c>
      <c r="F714" s="201"/>
      <c r="G714" s="201"/>
      <c r="H714" s="201"/>
      <c r="I714" s="201"/>
      <c r="J714" s="201"/>
      <c r="K714" s="1329"/>
      <c r="L714" s="1329"/>
      <c r="M714" s="1329"/>
      <c r="N714" s="196"/>
      <c r="O714" s="945"/>
      <c r="R714" s="171"/>
      <c r="S714" s="171"/>
      <c r="T714" s="125"/>
      <c r="U714" s="156"/>
      <c r="V714" s="105" t="str">
        <f>IF(OR(G674="",Z714=TRUE),CONST_NA,IF(K714&lt;&gt;"",TRUE,CONST_ErrorOrMissing&amp;C674))</f>
        <v>n.a.</v>
      </c>
      <c r="W714" s="172"/>
      <c r="X714" s="172"/>
      <c r="Z714" s="102" t="b">
        <f>AND(M709&lt;&gt;"",M709&lt;&gt;INDEX(CONST_MeasDefaultUnknown,2),M710&lt;&gt;"",M710&lt;&gt;INDEX(CONST_MeasDefaultUnknown,2))</f>
        <v>0</v>
      </c>
    </row>
    <row r="715" spans="1:26" s="144" customFormat="1" ht="12.75" customHeight="1" thickBot="1" x14ac:dyDescent="0.4">
      <c r="A715" s="91"/>
      <c r="B715" s="94"/>
      <c r="C715" s="206"/>
      <c r="D715" s="207"/>
      <c r="E715" s="208"/>
      <c r="F715" s="209"/>
      <c r="G715" s="209"/>
      <c r="H715" s="209"/>
      <c r="I715" s="209"/>
      <c r="J715" s="209"/>
      <c r="K715" s="209"/>
      <c r="L715" s="209"/>
      <c r="M715" s="209"/>
      <c r="N715" s="210"/>
      <c r="O715" s="428"/>
      <c r="P715" s="94"/>
      <c r="Q715" s="93"/>
      <c r="R715" s="91"/>
      <c r="S715" s="91"/>
      <c r="T715" s="712"/>
      <c r="U715" s="91"/>
      <c r="V715" s="91"/>
      <c r="W715" s="91"/>
      <c r="X715" s="91"/>
      <c r="Y715" s="91"/>
      <c r="Z715" s="91"/>
    </row>
    <row r="716" spans="1:26" s="144" customFormat="1" ht="12.75" customHeight="1" thickBot="1" x14ac:dyDescent="0.4">
      <c r="A716" s="91"/>
      <c r="B716" s="94"/>
      <c r="O716" s="428"/>
      <c r="P716" s="94"/>
      <c r="Q716" s="93"/>
      <c r="R716" s="91"/>
      <c r="S716" s="91"/>
      <c r="T716" s="712"/>
      <c r="U716" s="91"/>
      <c r="V716" s="91"/>
      <c r="W716" s="91"/>
      <c r="X716" s="91"/>
      <c r="Y716" s="91"/>
      <c r="Z716" s="91"/>
    </row>
    <row r="717" spans="1:26" s="144" customFormat="1" ht="12.75" customHeight="1" thickBot="1" x14ac:dyDescent="0.4">
      <c r="A717" s="91"/>
      <c r="B717" s="946"/>
      <c r="C717" s="145"/>
      <c r="D717" s="145"/>
      <c r="E717" s="145"/>
      <c r="F717" s="145"/>
      <c r="G717" s="145"/>
      <c r="H717" s="145"/>
      <c r="I717" s="145"/>
      <c r="J717" s="145"/>
      <c r="K717" s="145"/>
      <c r="L717" s="145"/>
      <c r="M717" s="145"/>
      <c r="N717" s="145"/>
      <c r="O717" s="947"/>
      <c r="P717" s="94"/>
      <c r="Q717" s="93"/>
      <c r="R717" s="91"/>
      <c r="S717" s="91"/>
      <c r="T717" s="712"/>
      <c r="U717" s="91"/>
      <c r="V717" s="91"/>
      <c r="W717" s="91"/>
      <c r="X717" s="91"/>
      <c r="Y717" s="91"/>
      <c r="Z717" s="91"/>
    </row>
    <row r="718" spans="1:26" ht="18" customHeight="1" thickBot="1" x14ac:dyDescent="0.4">
      <c r="B718" s="94"/>
      <c r="C718" s="147">
        <f>C674+1</f>
        <v>17</v>
      </c>
      <c r="D718" s="944" t="str">
        <f>CONST_PurchPrecursor &amp; " " &amp; C718 &amp; ":"</f>
        <v>Purchased precursor 17:</v>
      </c>
      <c r="E718" s="144"/>
      <c r="F718" s="144"/>
      <c r="G718" s="1313" t="str">
        <f>IF(INDEX(CNTR_List_ExistPurchPrecNames,MATCH(R718,CNTR_ListPurchPrecID,0))=CONST_NA,"",INDEX(CNTR_List_ExistPurchPrecNames,MATCH(R718,CNTR_ListPurchPrecID,0)))</f>
        <v/>
      </c>
      <c r="H718" s="1314"/>
      <c r="I718" s="1314"/>
      <c r="J718" s="1314"/>
      <c r="K718" s="1315"/>
      <c r="L718" s="1316" t="str">
        <f>IF(INDEX(CNTR_List_ExistPurchPrec,MATCH(R718,CNTR_ListPurchPrecID,0))=CONST_NA,"",INDEX(CNTR_List_ExistPurchPrec,MATCH(R718,CNTR_ListPurchPrecID,0)))</f>
        <v/>
      </c>
      <c r="M718" s="1317"/>
      <c r="N718" s="1318"/>
      <c r="O718" s="428"/>
      <c r="R718" s="149" t="str">
        <f>INDEX(CNTR_ListPurchPrecID,C718)</f>
        <v>PP17</v>
      </c>
      <c r="Y718" s="104" t="s">
        <v>2748</v>
      </c>
      <c r="Z718" s="150" t="b">
        <f>AND(CNTR_HasEntriesA,G718="")</f>
        <v>0</v>
      </c>
    </row>
    <row r="719" spans="1:26" ht="26.5" customHeight="1" x14ac:dyDescent="0.35">
      <c r="B719" s="94"/>
      <c r="C719" s="144"/>
      <c r="D719" s="914"/>
      <c r="E719" s="1325" t="str">
        <f ca="1">HYPERLINK("#"&amp;ADDRESS(MATCH($S719,G_FurtherGuidance!$S:$S,0),3,,,G_FurtherGuidance!$U$2),CONST_LinkToGuidanceSheet)</f>
        <v>Please click on this link for further guidance on how to complete this section.</v>
      </c>
      <c r="F719" s="1326"/>
      <c r="G719" s="1326"/>
      <c r="H719" s="1326"/>
      <c r="I719" s="1326"/>
      <c r="J719" s="1326"/>
      <c r="K719" s="1326"/>
      <c r="L719" s="1326"/>
      <c r="M719" s="1326"/>
      <c r="N719" s="144"/>
      <c r="O719" s="428"/>
      <c r="R719" s="104" t="s">
        <v>2771</v>
      </c>
      <c r="S719" s="105">
        <v>4</v>
      </c>
      <c r="Y719" s="104"/>
    </row>
    <row r="720" spans="1:26" ht="12.75" customHeight="1" x14ac:dyDescent="0.35">
      <c r="B720" s="94"/>
      <c r="C720" s="144"/>
      <c r="D720" s="168" t="s">
        <v>135</v>
      </c>
      <c r="E720" s="167" t="str">
        <f>Translations!$B$276</f>
        <v>Total purchased levels:</v>
      </c>
      <c r="F720" s="144"/>
      <c r="G720" s="144"/>
      <c r="H720" s="151" t="str">
        <f>Translations!$B$244</f>
        <v>Production route</v>
      </c>
      <c r="I720" s="144"/>
      <c r="J720" s="144"/>
      <c r="K720" s="152" t="str">
        <f>Translations!$B$221</f>
        <v>Unit</v>
      </c>
      <c r="L720" s="152" t="str">
        <f>Translations!$B$245</f>
        <v>Amounts</v>
      </c>
      <c r="M720" s="144"/>
      <c r="N720" s="144"/>
      <c r="O720" s="428"/>
      <c r="Y720" s="91" t="s">
        <v>4077</v>
      </c>
    </row>
    <row r="721" spans="1:26" ht="12.75" customHeight="1" x14ac:dyDescent="0.35">
      <c r="B721" s="94"/>
      <c r="C721" s="144"/>
      <c r="D721" s="173">
        <v>1</v>
      </c>
      <c r="E721" s="153" t="str">
        <f>IF(G718="","",G718) &amp; IF(L718="",""," | " &amp; L718)</f>
        <v/>
      </c>
      <c r="F721" s="153"/>
      <c r="G721" s="153"/>
      <c r="H721" s="154" t="str">
        <f>IF(L718="","",INDEX(CONST_MATRIX_ProductionRoute,MATCH(L718,CONST_LIST_Goods,0),D721))</f>
        <v/>
      </c>
      <c r="I721" s="153"/>
      <c r="J721" s="153"/>
      <c r="K721" s="155" t="str">
        <f>IF(L718="","",INDEX(CONST_LIST_GoodsUnit,MATCH(L718,CONST_LIST_Goods,0)))</f>
        <v/>
      </c>
      <c r="L721" s="29"/>
      <c r="M721" s="144"/>
      <c r="N721" s="144"/>
      <c r="O721" s="945"/>
      <c r="S721" s="105">
        <v>1</v>
      </c>
      <c r="V721" s="105" t="str">
        <f>IF(AND(Y721=FALSE,ISNUMBER(L721)),TRUE,IF(Y721=FALSE,CONST_ErrorOrMissing&amp;C718,CONST_NA))</f>
        <v>n.a.</v>
      </c>
      <c r="Y721" s="105" t="str">
        <f>IF(OR(H721="",H721=CONST_NA),"",IF(H721=CONST_AllProdRoutes,FALSE, COUNTIF(INDEX(CNTR_MatrixPurchPrecRoutes,C718,),S721)=0))</f>
        <v/>
      </c>
    </row>
    <row r="722" spans="1:26" ht="12.75" customHeight="1" x14ac:dyDescent="0.35">
      <c r="B722" s="94"/>
      <c r="C722" s="144"/>
      <c r="D722" s="173">
        <v>2</v>
      </c>
      <c r="E722" s="158" t="str">
        <f t="shared" ref="E722:E728" si="80">IF(H722=CONST_NA,"",E721)</f>
        <v/>
      </c>
      <c r="F722" s="158"/>
      <c r="G722" s="158"/>
      <c r="H722" s="159" t="str">
        <f>IF(L718="","",INDEX(CONST_MATRIX_ProductionRoute,MATCH(L718,CONST_LIST_Goods,0),D722))</f>
        <v/>
      </c>
      <c r="I722" s="158"/>
      <c r="J722" s="158"/>
      <c r="K722" s="160" t="str">
        <f t="shared" ref="K722:K728" si="81">IF(H722=CONST_NA,"",K721)</f>
        <v/>
      </c>
      <c r="L722" s="30"/>
      <c r="M722" s="144"/>
      <c r="N722" s="144"/>
      <c r="O722" s="945"/>
      <c r="S722" s="105">
        <v>2</v>
      </c>
      <c r="V722" s="105" t="str">
        <f>IF(AND(Y722=FALSE,ISNUMBER(L722)),TRUE,IF(Y722=FALSE,CONST_ErrorOrMissing&amp;C718,CONST_NA))</f>
        <v>n.a.</v>
      </c>
      <c r="Y722" s="105" t="str">
        <f>IF(OR(H722="",H722=CONST_NA),"",IF(H722=CONST_AllProdRoutes,FALSE, COUNTIF(INDEX(CNTR_MatrixPurchPrecRoutes,C718,),S722)=0))</f>
        <v/>
      </c>
    </row>
    <row r="723" spans="1:26" ht="12.75" customHeight="1" x14ac:dyDescent="0.35">
      <c r="B723" s="94"/>
      <c r="C723" s="144"/>
      <c r="D723" s="173">
        <v>3</v>
      </c>
      <c r="E723" s="158" t="str">
        <f t="shared" si="80"/>
        <v/>
      </c>
      <c r="F723" s="158"/>
      <c r="G723" s="158"/>
      <c r="H723" s="159" t="str">
        <f>IF(L718="","",INDEX(CONST_MATRIX_ProductionRoute,MATCH(L718,CONST_LIST_Goods,0),D723))</f>
        <v/>
      </c>
      <c r="I723" s="158"/>
      <c r="J723" s="158"/>
      <c r="K723" s="160" t="str">
        <f t="shared" si="81"/>
        <v/>
      </c>
      <c r="L723" s="30"/>
      <c r="M723" s="144"/>
      <c r="N723" s="144"/>
      <c r="O723" s="945"/>
      <c r="S723" s="105">
        <v>3</v>
      </c>
      <c r="V723" s="105" t="str">
        <f>IF(AND(Y723=FALSE,ISNUMBER(L723)),TRUE,IF(Y723=FALSE,CONST_ErrorOrMissing&amp;C718,CONST_NA))</f>
        <v>n.a.</v>
      </c>
      <c r="Y723" s="105" t="str">
        <f>IF(OR(H723="",H723=CONST_NA),"",IF(H723=CONST_AllProdRoutes,FALSE, COUNTIF(INDEX(CNTR_MatrixPurchPrecRoutes,C718,),S723)=0))</f>
        <v/>
      </c>
    </row>
    <row r="724" spans="1:26" ht="12.75" customHeight="1" x14ac:dyDescent="0.35">
      <c r="B724" s="94"/>
      <c r="C724" s="144"/>
      <c r="D724" s="173">
        <v>4</v>
      </c>
      <c r="E724" s="158" t="str">
        <f t="shared" si="80"/>
        <v/>
      </c>
      <c r="F724" s="158"/>
      <c r="G724" s="158"/>
      <c r="H724" s="159" t="str">
        <f>IF(L718="","",INDEX(CONST_MATRIX_ProductionRoute,MATCH(L718,CONST_LIST_Goods,0),D724))</f>
        <v/>
      </c>
      <c r="I724" s="158"/>
      <c r="J724" s="158"/>
      <c r="K724" s="160" t="str">
        <f t="shared" si="81"/>
        <v/>
      </c>
      <c r="L724" s="30"/>
      <c r="M724" s="144"/>
      <c r="N724" s="144"/>
      <c r="O724" s="945"/>
      <c r="S724" s="105">
        <v>4</v>
      </c>
      <c r="V724" s="105" t="str">
        <f>IF(AND(Y724=FALSE,ISNUMBER(L724)),TRUE,IF(Y724=FALSE,CONST_ErrorOrMissing&amp;C718,CONST_NA))</f>
        <v>n.a.</v>
      </c>
      <c r="Y724" s="105" t="str">
        <f>IF(OR(H724="",H724=CONST_NA),"",IF(H724=CONST_AllProdRoutes,FALSE, COUNTIF(INDEX(CNTR_MatrixPurchPrecRoutes,C718,),S724)=0))</f>
        <v/>
      </c>
    </row>
    <row r="725" spans="1:26" ht="12.75" customHeight="1" x14ac:dyDescent="0.35">
      <c r="B725" s="94"/>
      <c r="C725" s="144"/>
      <c r="D725" s="173">
        <v>5</v>
      </c>
      <c r="E725" s="158" t="str">
        <f t="shared" si="80"/>
        <v/>
      </c>
      <c r="F725" s="158"/>
      <c r="G725" s="158"/>
      <c r="H725" s="159" t="str">
        <f>IF(L718="","",INDEX(CONST_MATRIX_ProductionRoute,MATCH(L718,CONST_LIST_Goods,0),D725))</f>
        <v/>
      </c>
      <c r="I725" s="158"/>
      <c r="J725" s="158"/>
      <c r="K725" s="160" t="str">
        <f t="shared" si="81"/>
        <v/>
      </c>
      <c r="L725" s="30"/>
      <c r="M725" s="144"/>
      <c r="N725" s="144"/>
      <c r="O725" s="945"/>
      <c r="S725" s="105">
        <v>5</v>
      </c>
      <c r="V725" s="105" t="str">
        <f>IF(AND(Y725=FALSE,ISNUMBER(L725)),TRUE,IF(Y725=FALSE,CONST_ErrorOrMissing&amp;C718,CONST_NA))</f>
        <v>n.a.</v>
      </c>
      <c r="Y725" s="105" t="str">
        <f>IF(OR(H725="",H725=CONST_NA),"",IF(H725=CONST_AllProdRoutes,FALSE, COUNTIF(INDEX(CNTR_MatrixPurchPrecRoutes,C718,),S725)=0))</f>
        <v/>
      </c>
    </row>
    <row r="726" spans="1:26" ht="12.75" customHeight="1" x14ac:dyDescent="0.35">
      <c r="B726" s="94"/>
      <c r="C726" s="144"/>
      <c r="D726" s="173">
        <v>6</v>
      </c>
      <c r="E726" s="158" t="str">
        <f t="shared" si="80"/>
        <v/>
      </c>
      <c r="F726" s="158"/>
      <c r="G726" s="158"/>
      <c r="H726" s="159" t="str">
        <f>IF(L718="","",INDEX(CONST_MATRIX_ProductionRoute,MATCH(L718,CONST_LIST_Goods,0),D726))</f>
        <v/>
      </c>
      <c r="I726" s="158"/>
      <c r="J726" s="158"/>
      <c r="K726" s="160" t="str">
        <f t="shared" si="81"/>
        <v/>
      </c>
      <c r="L726" s="30"/>
      <c r="M726" s="144"/>
      <c r="N726" s="144"/>
      <c r="O726" s="945"/>
      <c r="S726" s="105">
        <v>6</v>
      </c>
      <c r="V726" s="105" t="str">
        <f>IF(AND(Y726=FALSE,ISNUMBER(L726)),TRUE,IF(Y726=FALSE,CONST_ErrorOrMissing&amp;C718,CONST_NA))</f>
        <v>n.a.</v>
      </c>
      <c r="Y726" s="105" t="str">
        <f>IF(OR(H726="",H726=CONST_NA),"",IF(H726=CONST_AllProdRoutes,FALSE, COUNTIF(INDEX(CNTR_MatrixPurchPrecRoutes,C718,),S726)=0))</f>
        <v/>
      </c>
    </row>
    <row r="727" spans="1:26" ht="12.75" customHeight="1" x14ac:dyDescent="0.35">
      <c r="B727" s="94"/>
      <c r="C727" s="144"/>
      <c r="D727" s="173">
        <v>7</v>
      </c>
      <c r="E727" s="158" t="str">
        <f t="shared" si="80"/>
        <v/>
      </c>
      <c r="F727" s="158"/>
      <c r="G727" s="158"/>
      <c r="H727" s="159" t="str">
        <f>IF(L718="","",INDEX(CONST_MATRIX_ProductionRoute,MATCH(L718,CONST_LIST_Goods,0),D727))</f>
        <v/>
      </c>
      <c r="I727" s="158"/>
      <c r="J727" s="158"/>
      <c r="K727" s="160" t="str">
        <f t="shared" si="81"/>
        <v/>
      </c>
      <c r="L727" s="30"/>
      <c r="M727" s="144"/>
      <c r="N727" s="144"/>
      <c r="O727" s="945"/>
      <c r="S727" s="105">
        <v>7</v>
      </c>
      <c r="V727" s="105" t="str">
        <f>IF(AND(Y727=FALSE,ISNUMBER(L727)),TRUE,IF(Y727=FALSE,CONST_ErrorOrMissing&amp;C718,CONST_NA))</f>
        <v>n.a.</v>
      </c>
      <c r="Y727" s="105" t="str">
        <f>IF(OR(H727="",H727=CONST_NA),"",IF(H727=CONST_AllProdRoutes,FALSE, COUNTIF(INDEX(CNTR_MatrixPurchPrecRoutes,C718,),S727)=0))</f>
        <v/>
      </c>
    </row>
    <row r="728" spans="1:26" ht="12.75" customHeight="1" x14ac:dyDescent="0.35">
      <c r="B728" s="94"/>
      <c r="C728" s="144"/>
      <c r="D728" s="173">
        <v>8</v>
      </c>
      <c r="E728" s="161" t="str">
        <f t="shared" si="80"/>
        <v/>
      </c>
      <c r="F728" s="161"/>
      <c r="G728" s="161"/>
      <c r="H728" s="162" t="str">
        <f>IF(L718="","",INDEX(CONST_MATRIX_ProductionRoute,MATCH(L718,CONST_LIST_Goods,0),D728))</f>
        <v/>
      </c>
      <c r="I728" s="161"/>
      <c r="J728" s="161"/>
      <c r="K728" s="163" t="str">
        <f t="shared" si="81"/>
        <v/>
      </c>
      <c r="L728" s="31"/>
      <c r="M728" s="144"/>
      <c r="N728" s="144"/>
      <c r="O728" s="945"/>
      <c r="S728" s="105">
        <v>8</v>
      </c>
      <c r="V728" s="105" t="str">
        <f>IF(AND(Y728=FALSE,ISNUMBER(L728)),TRUE,IF(Y728=FALSE,CONST_ErrorOrMissing&amp;C718,CONST_NA))</f>
        <v>n.a.</v>
      </c>
      <c r="Y728" s="105" t="str">
        <f>IF(OR(H728="",H728=CONST_NA),"",IF(H728=CONST_AllProdRoutes,FALSE, COUNTIF(INDEX(CNTR_MatrixPurchPrecRoutes,C718,),S728)=0))</f>
        <v/>
      </c>
    </row>
    <row r="729" spans="1:26" ht="12.75" customHeight="1" x14ac:dyDescent="0.35">
      <c r="B729" s="94"/>
      <c r="C729" s="144"/>
      <c r="D729" s="914"/>
      <c r="E729" s="138" t="str">
        <f>Translations!$B$1966</f>
        <v>Total purchase for possible consumption within installation:</v>
      </c>
      <c r="F729" s="138"/>
      <c r="G729" s="138"/>
      <c r="H729" s="164"/>
      <c r="I729" s="138"/>
      <c r="J729" s="138"/>
      <c r="K729" s="169" t="str">
        <f>K721</f>
        <v/>
      </c>
      <c r="L729" s="386" t="str">
        <f>IF(G718="","",SUM(L721:L728))</f>
        <v/>
      </c>
      <c r="M729" s="144"/>
      <c r="N729" s="144"/>
      <c r="O729" s="428"/>
      <c r="R729" s="102" t="str">
        <f>CONST_CNTR_TotProd&amp;G718</f>
        <v>TotProd_</v>
      </c>
      <c r="T729" s="216" t="str">
        <f>IF(G718="","",IF(SUM(L729)=0,100,L729))</f>
        <v/>
      </c>
      <c r="V729" s="123"/>
    </row>
    <row r="730" spans="1:26" s="144" customFormat="1" ht="5.15" customHeight="1" x14ac:dyDescent="0.35">
      <c r="A730" s="91"/>
      <c r="B730" s="94"/>
      <c r="D730" s="166"/>
      <c r="E730" s="167"/>
      <c r="O730" s="428"/>
      <c r="P730" s="94"/>
      <c r="Q730" s="93"/>
      <c r="R730" s="91"/>
      <c r="S730" s="91"/>
      <c r="T730" s="712"/>
      <c r="U730" s="91"/>
      <c r="V730" s="123"/>
      <c r="W730" s="91"/>
      <c r="X730" s="91"/>
      <c r="Y730" s="91"/>
      <c r="Z730" s="91"/>
    </row>
    <row r="731" spans="1:26" s="144" customFormat="1" ht="12.75" customHeight="1" x14ac:dyDescent="0.35">
      <c r="A731" s="91"/>
      <c r="B731" s="94"/>
      <c r="D731" s="168" t="s">
        <v>48</v>
      </c>
      <c r="E731" s="167" t="str">
        <f>Translations!$B$1967</f>
        <v>Consumed in 'production processes' within the installation:</v>
      </c>
      <c r="F731" s="167"/>
      <c r="G731" s="167"/>
      <c r="H731" s="167"/>
      <c r="I731" s="167"/>
      <c r="J731" s="167"/>
      <c r="K731" s="168" t="str">
        <f>Translations!$B$221</f>
        <v>Unit</v>
      </c>
      <c r="L731" s="168" t="str">
        <f>Translations!$B$245</f>
        <v>Amounts</v>
      </c>
      <c r="O731" s="428"/>
      <c r="P731" s="94"/>
      <c r="Q731" s="93"/>
      <c r="R731" s="91"/>
      <c r="S731" s="123" t="s">
        <v>195</v>
      </c>
      <c r="T731" s="712"/>
      <c r="U731" s="91"/>
      <c r="V731" s="123"/>
      <c r="W731" s="91"/>
      <c r="X731" s="91"/>
      <c r="Y731" s="91"/>
      <c r="Z731" s="91"/>
    </row>
    <row r="732" spans="1:26" s="144" customFormat="1" ht="12.75" customHeight="1" x14ac:dyDescent="0.35">
      <c r="A732" s="91"/>
      <c r="B732" s="94"/>
      <c r="D732" s="173">
        <v>1</v>
      </c>
      <c r="E732" s="174" t="str">
        <f t="shared" ref="E732:E741" si="82">IF(INDEX(CNTR_List_ExistProdProcNames,S732)=CONST_NA,"",INDEX(CNTR_List_ExistProdProcNames,S732))</f>
        <v/>
      </c>
      <c r="F732" s="175"/>
      <c r="G732" s="175"/>
      <c r="H732" s="175"/>
      <c r="I732" s="175"/>
      <c r="J732" s="176"/>
      <c r="K732" s="155" t="str">
        <f>IF(E732="","",K729)</f>
        <v/>
      </c>
      <c r="L732" s="29"/>
      <c r="O732" s="945"/>
      <c r="P732" s="94"/>
      <c r="Q732" s="93"/>
      <c r="R732" s="102" t="str">
        <f>CONST_PrecursorToGoodInput&amp;G718 &amp;"_"&amp;E732</f>
        <v>PrecToGood__</v>
      </c>
      <c r="S732" s="105">
        <f>D732</f>
        <v>1</v>
      </c>
      <c r="T732" s="124" t="str">
        <f>IF(G718="","",L732)</f>
        <v/>
      </c>
      <c r="U732" s="91"/>
      <c r="V732" s="105" t="str">
        <f>IF(AND(G718&lt;&gt;"",E732&lt;&gt;"",L732&lt;&gt;""),TRUE,IF(AND(G718&lt;&gt;"",E732&lt;&gt;"",L732="",Z732=FALSE),CONST_ErrorOrMissing&amp;C718,CONST_NA))</f>
        <v>n.a.</v>
      </c>
      <c r="W732" s="172"/>
      <c r="X732" s="172"/>
      <c r="Y732" s="91" t="s">
        <v>34</v>
      </c>
      <c r="Z732" s="102" t="b">
        <f>IF(G718="",FALSE,E732="")</f>
        <v>0</v>
      </c>
    </row>
    <row r="733" spans="1:26" s="144" customFormat="1" ht="12.75" customHeight="1" x14ac:dyDescent="0.35">
      <c r="A733" s="91"/>
      <c r="B733" s="94"/>
      <c r="D733" s="173">
        <v>2</v>
      </c>
      <c r="E733" s="177" t="str">
        <f t="shared" si="82"/>
        <v/>
      </c>
      <c r="F733" s="178"/>
      <c r="G733" s="178"/>
      <c r="H733" s="178"/>
      <c r="I733" s="178"/>
      <c r="J733" s="179"/>
      <c r="K733" s="160" t="str">
        <f>IF(E733="","",K732)</f>
        <v/>
      </c>
      <c r="L733" s="30"/>
      <c r="O733" s="945"/>
      <c r="P733" s="94"/>
      <c r="Q733" s="93"/>
      <c r="R733" s="102" t="str">
        <f>CONST_PrecursorToGoodInput&amp;G718 &amp;"_"&amp;E733</f>
        <v>PrecToGood__</v>
      </c>
      <c r="S733" s="105">
        <f t="shared" ref="S733:S741" si="83">D733</f>
        <v>2</v>
      </c>
      <c r="T733" s="124" t="str">
        <f>IF(G718="","",L733)</f>
        <v/>
      </c>
      <c r="U733" s="91"/>
      <c r="V733" s="105" t="str">
        <f>IF(AND(G718&lt;&gt;"",E733&lt;&gt;"",L733&lt;&gt;""),TRUE,IF(AND(G718&lt;&gt;"",E733&lt;&gt;"",L733="",Z733=FALSE),CONST_ErrorOrMissing&amp;C718,CONST_NA))</f>
        <v>n.a.</v>
      </c>
      <c r="W733" s="172"/>
      <c r="X733" s="172"/>
      <c r="Y733" s="91"/>
      <c r="Z733" s="102" t="b">
        <f>IF(G718="",FALSE,E733="")</f>
        <v>0</v>
      </c>
    </row>
    <row r="734" spans="1:26" s="144" customFormat="1" ht="12.75" customHeight="1" x14ac:dyDescent="0.35">
      <c r="A734" s="91"/>
      <c r="B734" s="94"/>
      <c r="D734" s="173">
        <v>3</v>
      </c>
      <c r="E734" s="177" t="str">
        <f t="shared" si="82"/>
        <v/>
      </c>
      <c r="F734" s="178"/>
      <c r="G734" s="178"/>
      <c r="H734" s="178"/>
      <c r="I734" s="178"/>
      <c r="J734" s="179"/>
      <c r="K734" s="160" t="str">
        <f t="shared" ref="K734:K741" si="84">IF(E734="","",K733)</f>
        <v/>
      </c>
      <c r="L734" s="30"/>
      <c r="O734" s="945"/>
      <c r="P734" s="94"/>
      <c r="Q734" s="93"/>
      <c r="R734" s="102" t="str">
        <f>CONST_PrecursorToGoodInput&amp;G718 &amp;"_"&amp;E734</f>
        <v>PrecToGood__</v>
      </c>
      <c r="S734" s="105">
        <f t="shared" si="83"/>
        <v>3</v>
      </c>
      <c r="T734" s="124" t="str">
        <f>IF(G718="","",L734)</f>
        <v/>
      </c>
      <c r="U734" s="91"/>
      <c r="V734" s="105" t="str">
        <f>IF(AND(G718&lt;&gt;"",E734&lt;&gt;"",L734&lt;&gt;""),TRUE,IF(AND(G718&lt;&gt;"",E734&lt;&gt;"",L734="",Z734=FALSE),CONST_ErrorOrMissing&amp;C718,CONST_NA))</f>
        <v>n.a.</v>
      </c>
      <c r="W734" s="172"/>
      <c r="X734" s="172"/>
      <c r="Y734" s="91"/>
      <c r="Z734" s="102" t="b">
        <f>IF(G718="",FALSE,E734="")</f>
        <v>0</v>
      </c>
    </row>
    <row r="735" spans="1:26" s="144" customFormat="1" ht="12.75" customHeight="1" x14ac:dyDescent="0.35">
      <c r="A735" s="91"/>
      <c r="B735" s="94"/>
      <c r="D735" s="173">
        <v>4</v>
      </c>
      <c r="E735" s="177" t="str">
        <f t="shared" si="82"/>
        <v/>
      </c>
      <c r="F735" s="178"/>
      <c r="G735" s="178"/>
      <c r="H735" s="178"/>
      <c r="I735" s="178"/>
      <c r="J735" s="179"/>
      <c r="K735" s="160" t="str">
        <f t="shared" si="84"/>
        <v/>
      </c>
      <c r="L735" s="30"/>
      <c r="O735" s="945"/>
      <c r="P735" s="94"/>
      <c r="Q735" s="93"/>
      <c r="R735" s="102" t="str">
        <f>CONST_PrecursorToGoodInput&amp;G718 &amp;"_"&amp;E735</f>
        <v>PrecToGood__</v>
      </c>
      <c r="S735" s="105">
        <f t="shared" si="83"/>
        <v>4</v>
      </c>
      <c r="T735" s="124" t="str">
        <f>IF(G718="","",L735)</f>
        <v/>
      </c>
      <c r="U735" s="91"/>
      <c r="V735" s="105" t="str">
        <f>IF(AND(G718&lt;&gt;"",E735&lt;&gt;"",L735&lt;&gt;""),TRUE,IF(AND(G718&lt;&gt;"",E735&lt;&gt;"",L735="",Z735=FALSE),CONST_ErrorOrMissing&amp;C718,CONST_NA))</f>
        <v>n.a.</v>
      </c>
      <c r="W735" s="172"/>
      <c r="X735" s="172"/>
      <c r="Y735" s="91"/>
      <c r="Z735" s="102" t="b">
        <f>IF(G718="",FALSE,E735="")</f>
        <v>0</v>
      </c>
    </row>
    <row r="736" spans="1:26" s="144" customFormat="1" ht="12.75" customHeight="1" x14ac:dyDescent="0.35">
      <c r="A736" s="91"/>
      <c r="B736" s="94"/>
      <c r="D736" s="173">
        <v>5</v>
      </c>
      <c r="E736" s="180" t="str">
        <f t="shared" si="82"/>
        <v/>
      </c>
      <c r="F736" s="181"/>
      <c r="G736" s="181"/>
      <c r="H736" s="181"/>
      <c r="I736" s="181"/>
      <c r="J736" s="182"/>
      <c r="K736" s="183" t="str">
        <f t="shared" si="84"/>
        <v/>
      </c>
      <c r="L736" s="212"/>
      <c r="O736" s="945"/>
      <c r="P736" s="94"/>
      <c r="Q736" s="93"/>
      <c r="R736" s="102" t="str">
        <f>CONST_PrecursorToGoodInput&amp;G718 &amp;"_"&amp;E736</f>
        <v>PrecToGood__</v>
      </c>
      <c r="S736" s="105">
        <f t="shared" si="83"/>
        <v>5</v>
      </c>
      <c r="T736" s="124" t="str">
        <f>IF(G718="","",L736)</f>
        <v/>
      </c>
      <c r="U736" s="91"/>
      <c r="V736" s="105" t="str">
        <f>IF(AND(G718&lt;&gt;"",E736&lt;&gt;"",L736&lt;&gt;""),TRUE,IF(AND(G718&lt;&gt;"",E736&lt;&gt;"",L736="",Z736=FALSE),CONST_ErrorOrMissing&amp;C718,CONST_NA))</f>
        <v>n.a.</v>
      </c>
      <c r="W736" s="172"/>
      <c r="X736" s="172"/>
      <c r="Y736" s="91"/>
      <c r="Z736" s="102" t="b">
        <f>IF(G718="",FALSE,E736="")</f>
        <v>0</v>
      </c>
    </row>
    <row r="737" spans="1:26" s="144" customFormat="1" ht="12.75" customHeight="1" x14ac:dyDescent="0.35">
      <c r="A737" s="91"/>
      <c r="B737" s="94"/>
      <c r="D737" s="173">
        <v>6</v>
      </c>
      <c r="E737" s="180" t="str">
        <f t="shared" si="82"/>
        <v/>
      </c>
      <c r="F737" s="181"/>
      <c r="G737" s="181"/>
      <c r="H737" s="181"/>
      <c r="I737" s="181"/>
      <c r="J737" s="182"/>
      <c r="K737" s="183" t="str">
        <f t="shared" si="84"/>
        <v/>
      </c>
      <c r="L737" s="212"/>
      <c r="O737" s="945"/>
      <c r="P737" s="94"/>
      <c r="Q737" s="93"/>
      <c r="R737" s="102" t="str">
        <f>CONST_PrecursorToGoodInput&amp;G718 &amp;"_"&amp;E737</f>
        <v>PrecToGood__</v>
      </c>
      <c r="S737" s="105">
        <f t="shared" si="83"/>
        <v>6</v>
      </c>
      <c r="T737" s="124" t="str">
        <f>IF(G718="","",L737)</f>
        <v/>
      </c>
      <c r="U737" s="91"/>
      <c r="V737" s="105" t="str">
        <f>IF(AND(G718&lt;&gt;"",E737&lt;&gt;"",L737&lt;&gt;""),TRUE,IF(AND(G718&lt;&gt;"",E737&lt;&gt;"",L737="",Z737=FALSE),CONST_ErrorOrMissing&amp;C718,CONST_NA))</f>
        <v>n.a.</v>
      </c>
      <c r="W737" s="172"/>
      <c r="X737" s="172"/>
      <c r="Y737" s="91"/>
      <c r="Z737" s="102" t="b">
        <f>IF(G718="",FALSE,E737="")</f>
        <v>0</v>
      </c>
    </row>
    <row r="738" spans="1:26" s="144" customFormat="1" ht="12.75" customHeight="1" x14ac:dyDescent="0.35">
      <c r="A738" s="91"/>
      <c r="B738" s="94"/>
      <c r="D738" s="173">
        <v>7</v>
      </c>
      <c r="E738" s="180" t="str">
        <f t="shared" si="82"/>
        <v/>
      </c>
      <c r="F738" s="181"/>
      <c r="G738" s="181"/>
      <c r="H738" s="181"/>
      <c r="I738" s="181"/>
      <c r="J738" s="182"/>
      <c r="K738" s="183" t="str">
        <f t="shared" si="84"/>
        <v/>
      </c>
      <c r="L738" s="212"/>
      <c r="O738" s="945"/>
      <c r="P738" s="94"/>
      <c r="Q738" s="93"/>
      <c r="R738" s="102" t="str">
        <f>CONST_PrecursorToGoodInput&amp;G718 &amp;"_"&amp;E738</f>
        <v>PrecToGood__</v>
      </c>
      <c r="S738" s="105">
        <f t="shared" si="83"/>
        <v>7</v>
      </c>
      <c r="T738" s="124" t="str">
        <f>IF(G718="","",L738)</f>
        <v/>
      </c>
      <c r="U738" s="91"/>
      <c r="V738" s="105" t="str">
        <f>IF(AND(G718&lt;&gt;"",E738&lt;&gt;"",L738&lt;&gt;""),TRUE,IF(AND(G718&lt;&gt;"",E738&lt;&gt;"",L738="",Z738=FALSE),CONST_ErrorOrMissing&amp;C718,CONST_NA))</f>
        <v>n.a.</v>
      </c>
      <c r="W738" s="172"/>
      <c r="X738" s="172"/>
      <c r="Y738" s="91"/>
      <c r="Z738" s="102" t="b">
        <f>IF(G718="",FALSE,E738="")</f>
        <v>0</v>
      </c>
    </row>
    <row r="739" spans="1:26" s="144" customFormat="1" ht="12.75" customHeight="1" x14ac:dyDescent="0.35">
      <c r="A739" s="91"/>
      <c r="B739" s="94"/>
      <c r="D739" s="173">
        <v>8</v>
      </c>
      <c r="E739" s="180" t="str">
        <f t="shared" si="82"/>
        <v/>
      </c>
      <c r="F739" s="181"/>
      <c r="G739" s="181"/>
      <c r="H739" s="181"/>
      <c r="I739" s="181"/>
      <c r="J739" s="182"/>
      <c r="K739" s="183" t="str">
        <f t="shared" si="84"/>
        <v/>
      </c>
      <c r="L739" s="212"/>
      <c r="O739" s="945"/>
      <c r="P739" s="94"/>
      <c r="Q739" s="93"/>
      <c r="R739" s="102" t="str">
        <f>CONST_PrecursorToGoodInput&amp;G718 &amp;"_"&amp;E739</f>
        <v>PrecToGood__</v>
      </c>
      <c r="S739" s="105">
        <f t="shared" si="83"/>
        <v>8</v>
      </c>
      <c r="T739" s="124" t="str">
        <f>IF(G718="","",L739)</f>
        <v/>
      </c>
      <c r="U739" s="91"/>
      <c r="V739" s="105" t="str">
        <f>IF(AND(G718&lt;&gt;"",E739&lt;&gt;"",L739&lt;&gt;""),TRUE,IF(AND(G718&lt;&gt;"",E739&lt;&gt;"",L739="",Z739=FALSE),CONST_ErrorOrMissing&amp;C718,CONST_NA))</f>
        <v>n.a.</v>
      </c>
      <c r="W739" s="172"/>
      <c r="X739" s="172"/>
      <c r="Y739" s="91"/>
      <c r="Z739" s="102" t="b">
        <f>IF(G718="",FALSE,E739="")</f>
        <v>0</v>
      </c>
    </row>
    <row r="740" spans="1:26" s="144" customFormat="1" ht="12.75" customHeight="1" x14ac:dyDescent="0.35">
      <c r="A740" s="91"/>
      <c r="B740" s="94"/>
      <c r="D740" s="173">
        <v>9</v>
      </c>
      <c r="E740" s="180" t="str">
        <f t="shared" si="82"/>
        <v/>
      </c>
      <c r="F740" s="181"/>
      <c r="G740" s="181"/>
      <c r="H740" s="181"/>
      <c r="I740" s="181"/>
      <c r="J740" s="182"/>
      <c r="K740" s="183" t="str">
        <f t="shared" si="84"/>
        <v/>
      </c>
      <c r="L740" s="212"/>
      <c r="O740" s="945"/>
      <c r="P740" s="94"/>
      <c r="Q740" s="93"/>
      <c r="R740" s="102" t="str">
        <f>CONST_PrecursorToGoodInput&amp;G718 &amp;"_"&amp;E740</f>
        <v>PrecToGood__</v>
      </c>
      <c r="S740" s="105">
        <f t="shared" si="83"/>
        <v>9</v>
      </c>
      <c r="T740" s="124" t="str">
        <f>IF(G718="","",L740)</f>
        <v/>
      </c>
      <c r="U740" s="91"/>
      <c r="V740" s="105" t="str">
        <f>IF(AND(G718&lt;&gt;"",E740&lt;&gt;"",L740&lt;&gt;""),TRUE,IF(AND(G718&lt;&gt;"",E740&lt;&gt;"",L740="",Z740=FALSE),CONST_ErrorOrMissing&amp;C718,CONST_NA))</f>
        <v>n.a.</v>
      </c>
      <c r="W740" s="172"/>
      <c r="X740" s="172"/>
      <c r="Y740" s="91"/>
      <c r="Z740" s="102" t="b">
        <f>IF(G718="",FALSE,E740="")</f>
        <v>0</v>
      </c>
    </row>
    <row r="741" spans="1:26" s="144" customFormat="1" ht="12.75" customHeight="1" x14ac:dyDescent="0.35">
      <c r="A741" s="91"/>
      <c r="B741" s="94"/>
      <c r="D741" s="173">
        <v>10</v>
      </c>
      <c r="E741" s="184" t="str">
        <f t="shared" si="82"/>
        <v/>
      </c>
      <c r="F741" s="185"/>
      <c r="G741" s="185"/>
      <c r="H741" s="185"/>
      <c r="I741" s="185"/>
      <c r="J741" s="186"/>
      <c r="K741" s="163" t="str">
        <f t="shared" si="84"/>
        <v/>
      </c>
      <c r="L741" s="31"/>
      <c r="O741" s="945"/>
      <c r="P741" s="94"/>
      <c r="Q741" s="93"/>
      <c r="R741" s="102" t="str">
        <f>CONST_PrecursorToGoodInput&amp;G718 &amp;"_"&amp;E741</f>
        <v>PrecToGood__</v>
      </c>
      <c r="S741" s="105">
        <f t="shared" si="83"/>
        <v>10</v>
      </c>
      <c r="T741" s="124" t="str">
        <f>IF(G718="","",L741)</f>
        <v/>
      </c>
      <c r="U741" s="91"/>
      <c r="V741" s="105" t="str">
        <f>IF(AND(G718&lt;&gt;"",E741&lt;&gt;"",L741&lt;&gt;""),TRUE,IF(AND(G718&lt;&gt;"",E741&lt;&gt;"",L741="",Z741=FALSE),CONST_ErrorOrMissing&amp;C718,CONST_NA))</f>
        <v>n.a.</v>
      </c>
      <c r="W741" s="172"/>
      <c r="X741" s="172"/>
      <c r="Y741" s="91"/>
      <c r="Z741" s="102" t="b">
        <f>IF(G718="",FALSE,E741="")</f>
        <v>0</v>
      </c>
    </row>
    <row r="742" spans="1:26" s="144" customFormat="1" ht="12.75" customHeight="1" x14ac:dyDescent="0.35">
      <c r="A742" s="91"/>
      <c r="B742" s="94"/>
      <c r="D742" s="168" t="s">
        <v>49</v>
      </c>
      <c r="E742" s="167" t="str">
        <f>Translations!$B$1968</f>
        <v>Consumed for other purposes, e.g. sold or used for non-CBAM goods:</v>
      </c>
      <c r="F742" s="167"/>
      <c r="G742" s="167"/>
      <c r="H742" s="167"/>
      <c r="I742" s="167"/>
      <c r="J742" s="167"/>
      <c r="K742" s="169" t="str">
        <f>K729</f>
        <v/>
      </c>
      <c r="L742" s="211"/>
      <c r="O742" s="945"/>
      <c r="P742" s="94"/>
      <c r="Q742" s="93"/>
      <c r="R742" s="91"/>
      <c r="S742" s="91"/>
      <c r="T742" s="712"/>
      <c r="U742" s="91"/>
      <c r="V742" s="105" t="str">
        <f>IF(G718="",CONST_NA,IF(ISNUMBER(L742),TRUE,CONST_ErrorOrMissing&amp;C718))</f>
        <v>n.a.</v>
      </c>
      <c r="W742" s="91"/>
      <c r="X742" s="91"/>
      <c r="Y742" s="91"/>
      <c r="Z742" s="91"/>
    </row>
    <row r="743" spans="1:26" s="144" customFormat="1" ht="12.75" customHeight="1" x14ac:dyDescent="0.35">
      <c r="A743" s="91"/>
      <c r="B743" s="94"/>
      <c r="D743" s="168" t="s">
        <v>377</v>
      </c>
      <c r="E743" s="138" t="str">
        <f>Translations!$B$253</f>
        <v>Control:</v>
      </c>
      <c r="F743" s="170"/>
      <c r="G743" s="170"/>
      <c r="H743" s="170"/>
      <c r="I743" s="170"/>
      <c r="J743" s="170"/>
      <c r="K743" s="169" t="str">
        <f>K742</f>
        <v/>
      </c>
      <c r="L743" s="118" t="str">
        <f>IF(G718="","",SUM(L729)-SUM(L732:L742))</f>
        <v/>
      </c>
      <c r="O743" s="945"/>
      <c r="P743" s="94"/>
      <c r="Q743" s="93"/>
      <c r="R743" s="91"/>
      <c r="S743" s="91"/>
      <c r="T743" s="712"/>
      <c r="U743" s="91"/>
      <c r="V743" s="105" t="str">
        <f>IF(G718="",CONST_NA,IF(L743=0,TRUE,CONST_ErrorOrMissing&amp;C718))</f>
        <v>n.a.</v>
      </c>
      <c r="W743" s="91"/>
      <c r="X743" s="91"/>
      <c r="Y743" s="91"/>
      <c r="Z743" s="91"/>
    </row>
    <row r="744" spans="1:26" s="144" customFormat="1" ht="12.75" customHeight="1" thickBot="1" x14ac:dyDescent="0.4">
      <c r="A744" s="91"/>
      <c r="B744" s="94"/>
      <c r="O744" s="428"/>
      <c r="P744" s="94"/>
      <c r="Q744" s="93"/>
      <c r="R744" s="91"/>
      <c r="S744" s="91"/>
      <c r="T744" s="712"/>
      <c r="U744" s="91"/>
      <c r="V744" s="91"/>
      <c r="W744" s="91"/>
      <c r="X744" s="91"/>
      <c r="Y744" s="91"/>
      <c r="Z744" s="91"/>
    </row>
    <row r="745" spans="1:26" ht="12.75" customHeight="1" x14ac:dyDescent="0.35">
      <c r="B745" s="94"/>
      <c r="C745" s="187"/>
      <c r="D745" s="188"/>
      <c r="E745" s="189"/>
      <c r="F745" s="190"/>
      <c r="G745" s="190"/>
      <c r="H745" s="190"/>
      <c r="I745" s="190"/>
      <c r="J745" s="190"/>
      <c r="K745" s="190"/>
      <c r="L745" s="190"/>
      <c r="M745" s="190"/>
      <c r="N745" s="191"/>
      <c r="O745" s="428"/>
      <c r="T745" s="712"/>
    </row>
    <row r="746" spans="1:26" ht="15" customHeight="1" x14ac:dyDescent="0.35">
      <c r="B746" s="94"/>
      <c r="C746" s="192"/>
      <c r="D746" s="193" t="str">
        <f>Translations!$B$279</f>
        <v>Specific embedded emissions:</v>
      </c>
      <c r="E746" s="194"/>
      <c r="F746" s="195"/>
      <c r="G746" s="195"/>
      <c r="H746" s="195"/>
      <c r="I746" s="195"/>
      <c r="J746" s="1327" t="str">
        <f>IF(G718="","",G718)</f>
        <v/>
      </c>
      <c r="K746" s="1327"/>
      <c r="L746" s="1327"/>
      <c r="M746" s="1327"/>
      <c r="N746" s="196"/>
      <c r="O746" s="428"/>
      <c r="T746" s="712"/>
    </row>
    <row r="747" spans="1:26" ht="5.15" customHeight="1" x14ac:dyDescent="0.35">
      <c r="B747" s="94"/>
      <c r="C747" s="192"/>
      <c r="D747" s="197"/>
      <c r="E747" s="198"/>
      <c r="F747" s="195"/>
      <c r="G747" s="195"/>
      <c r="H747" s="195"/>
      <c r="I747" s="195"/>
      <c r="J747" s="195"/>
      <c r="K747" s="195"/>
      <c r="L747" s="195"/>
      <c r="M747" s="195"/>
      <c r="N747" s="196"/>
      <c r="O747" s="428"/>
      <c r="T747" s="712"/>
    </row>
    <row r="748" spans="1:26" ht="12.75" customHeight="1" x14ac:dyDescent="0.35">
      <c r="B748" s="94"/>
      <c r="C748" s="192"/>
      <c r="D748" s="199" t="s">
        <v>411</v>
      </c>
      <c r="E748" s="198" t="str">
        <f>Translations!$B$280</f>
        <v>Emissions embedded in this purchased precursor</v>
      </c>
      <c r="F748" s="198"/>
      <c r="G748" s="198"/>
      <c r="H748" s="198"/>
      <c r="I748" s="198"/>
      <c r="J748" s="198"/>
      <c r="K748" s="198"/>
      <c r="L748" s="198"/>
      <c r="M748" s="198"/>
      <c r="N748" s="196"/>
      <c r="O748" s="428"/>
      <c r="T748" s="712"/>
      <c r="V748" s="172"/>
      <c r="W748" s="172"/>
      <c r="X748" s="172"/>
      <c r="Z748" s="171"/>
    </row>
    <row r="749" spans="1:26" ht="4.9000000000000004" customHeight="1" x14ac:dyDescent="0.35">
      <c r="B749" s="94"/>
      <c r="C749" s="192"/>
      <c r="D749" s="199"/>
      <c r="E749" s="1328"/>
      <c r="F749" s="1328"/>
      <c r="G749" s="1328"/>
      <c r="H749" s="1328"/>
      <c r="I749" s="1328"/>
      <c r="J749" s="1328"/>
      <c r="K749" s="1328"/>
      <c r="L749" s="1328"/>
      <c r="M749" s="1328"/>
      <c r="N749" s="196"/>
      <c r="O749" s="428"/>
      <c r="T749" s="712"/>
    </row>
    <row r="750" spans="1:26" ht="13.15" customHeight="1" x14ac:dyDescent="0.35">
      <c r="B750" s="94"/>
      <c r="C750" s="192"/>
      <c r="D750" s="199"/>
      <c r="E750" s="1311" t="str">
        <f ca="1">HYPERLINK("#"&amp;ADDRESS(MATCH($S750,G_FurtherGuidance!$S:$S,0),3,,,G_FurtherGuidance!$U$2),CONST_LinkToGuidanceSheet)</f>
        <v>Please click on this link for further guidance on how to complete this section.</v>
      </c>
      <c r="F750" s="1312"/>
      <c r="G750" s="1312"/>
      <c r="H750" s="1312"/>
      <c r="I750" s="1312"/>
      <c r="J750" s="1312"/>
      <c r="K750" s="1312"/>
      <c r="L750" s="1312"/>
      <c r="M750" s="1312"/>
      <c r="N750" s="196"/>
      <c r="O750" s="428"/>
      <c r="R750" s="104" t="s">
        <v>2771</v>
      </c>
      <c r="S750" s="105">
        <v>4</v>
      </c>
      <c r="T750" s="712"/>
    </row>
    <row r="751" spans="1:26" ht="4.9000000000000004" customHeight="1" x14ac:dyDescent="0.35">
      <c r="B751" s="94"/>
      <c r="C751" s="192"/>
      <c r="D751" s="199"/>
      <c r="E751" s="1328"/>
      <c r="F751" s="1328"/>
      <c r="G751" s="1328"/>
      <c r="H751" s="1328"/>
      <c r="I751" s="1328"/>
      <c r="J751" s="1328"/>
      <c r="K751" s="1328"/>
      <c r="L751" s="1328"/>
      <c r="M751" s="1328"/>
      <c r="N751" s="384"/>
      <c r="O751" s="428"/>
      <c r="T751" s="712"/>
    </row>
    <row r="752" spans="1:26" ht="12.75" customHeight="1" x14ac:dyDescent="0.35">
      <c r="B752" s="94"/>
      <c r="C752" s="192"/>
      <c r="D752" s="199"/>
      <c r="E752" s="198" t="str">
        <f>Translations!$B$284</f>
        <v>Parameter:</v>
      </c>
      <c r="F752" s="195"/>
      <c r="G752" s="195"/>
      <c r="H752" s="195"/>
      <c r="I752" s="195"/>
      <c r="J752" s="195"/>
      <c r="K752" s="199" t="str">
        <f>Translations!$B$221</f>
        <v>Unit</v>
      </c>
      <c r="L752" s="199" t="str">
        <f>Translations!$B$260</f>
        <v>Value</v>
      </c>
      <c r="M752" s="199" t="str">
        <f>Translations!$B$285</f>
        <v>Source</v>
      </c>
      <c r="N752" s="196"/>
      <c r="O752" s="428"/>
      <c r="T752" s="764" t="s">
        <v>5</v>
      </c>
      <c r="U752" s="123" t="s">
        <v>2719</v>
      </c>
      <c r="V752" s="156" t="s">
        <v>3922</v>
      </c>
      <c r="W752" s="156"/>
      <c r="X752" s="156"/>
      <c r="Z752" s="171"/>
    </row>
    <row r="753" spans="1:26" ht="12.75" customHeight="1" x14ac:dyDescent="0.35">
      <c r="B753" s="94"/>
      <c r="C753" s="192"/>
      <c r="D753" s="197" t="s">
        <v>41</v>
      </c>
      <c r="E753" s="201" t="str">
        <f>Translations!$B$1969</f>
        <v>Specific embedded direct emissions (SEE (direct))</v>
      </c>
      <c r="F753" s="201"/>
      <c r="G753" s="201"/>
      <c r="H753" s="201"/>
      <c r="I753" s="201"/>
      <c r="J753" s="201"/>
      <c r="K753" s="217" t="str">
        <f>IF(L718="","",CONST_tCO2eq &amp; "/" &amp; K729)</f>
        <v/>
      </c>
      <c r="L753" s="215"/>
      <c r="M753" s="385"/>
      <c r="N753" s="196"/>
      <c r="O753" s="945"/>
      <c r="R753" s="102" t="str">
        <f>CONST_PurchPrecDefaultUsed&amp;G718</f>
        <v>PurchPrecDef_</v>
      </c>
      <c r="S753" s="102" t="str">
        <f>CONST_CNTR_EmbedEmDir&amp;G718</f>
        <v>EmbedEmDir_</v>
      </c>
      <c r="T753" s="124" t="str">
        <f>IF(G718="","",SUM(T729)*SUM(L753))</f>
        <v/>
      </c>
      <c r="U753" s="105" t="str">
        <f>IF(G718="","",IF(M753="",CONST_ERR_Incomplete,MATCH(M753,CONST_MeasDefaultUnknown,0)=2))</f>
        <v/>
      </c>
      <c r="V753" s="105" t="str">
        <f>IF(AND(G718&lt;&gt;"",COUNTA(L753:M753)=2),TRUE,IF(AND(G718&lt;&gt;"",COUNTA(L753:M753)&lt;2),CONST_ErrorOrMissing&amp;C718,CONST_NA))</f>
        <v>n.a.</v>
      </c>
      <c r="W753" s="156"/>
      <c r="X753" s="156"/>
      <c r="Z753" s="171"/>
    </row>
    <row r="754" spans="1:26" ht="12.75" customHeight="1" x14ac:dyDescent="0.35">
      <c r="B754" s="94"/>
      <c r="C754" s="192"/>
      <c r="D754" s="197" t="s">
        <v>42</v>
      </c>
      <c r="E754" s="759" t="str">
        <f>Translations!$B$1970</f>
        <v>Specific electricity consumption (for SEE (indirect))</v>
      </c>
      <c r="F754" s="759"/>
      <c r="G754" s="759"/>
      <c r="H754" s="759"/>
      <c r="I754" s="759"/>
      <c r="J754" s="759"/>
      <c r="K754" s="457" t="str">
        <f>IF(K753="","",CONST_MWh&amp;"/"&amp;K729)</f>
        <v/>
      </c>
      <c r="L754" s="760"/>
      <c r="M754" s="761"/>
      <c r="N754" s="196"/>
      <c r="O754" s="945"/>
      <c r="R754" s="102" t="str">
        <f>CONST_ElecConsumption&amp;G718</f>
        <v>ElecCons_</v>
      </c>
      <c r="S754" s="102"/>
      <c r="T754" s="124" t="str">
        <f>IF(G718="","",SUM(T729)*SUM(L754))</f>
        <v/>
      </c>
      <c r="U754" s="105" t="str">
        <f>IF(G718="","",IF(M754="",CONST_ERR_Incomplete,MATCH(M754,CONST_MeasDefaultUnknown,0)=2))</f>
        <v/>
      </c>
      <c r="V754" s="105" t="str">
        <f>IF(AND(G718&lt;&gt;"",COUNTA(L754:M754)=2),TRUE,IF(AND(G718&lt;&gt;"",COUNTA(L754:M754)&lt;2),CONST_ErrorOrMissing&amp;C718,CONST_NA))</f>
        <v>n.a.</v>
      </c>
      <c r="W754" s="156"/>
      <c r="X754" s="156"/>
      <c r="Z754" s="171"/>
    </row>
    <row r="755" spans="1:26" ht="12.75" customHeight="1" x14ac:dyDescent="0.35">
      <c r="B755" s="94"/>
      <c r="C755" s="192"/>
      <c r="D755" s="197" t="s">
        <v>43</v>
      </c>
      <c r="E755" s="1144" t="str">
        <f>Translations!$B$1971</f>
        <v>Electricity emission factor (for SEE (indirect))</v>
      </c>
      <c r="F755" s="1144"/>
      <c r="G755" s="1144"/>
      <c r="H755" s="1144"/>
      <c r="I755" s="1144"/>
      <c r="J755" s="1144"/>
      <c r="K755" s="1145" t="str">
        <f>IF(K753="","",CONST_tCO2eq&amp;"/"&amp;CONST_MWh)</f>
        <v/>
      </c>
      <c r="L755" s="1146"/>
      <c r="M755" s="762"/>
      <c r="N755" s="196"/>
      <c r="O755" s="945"/>
      <c r="R755" s="102" t="str">
        <f>CONST_CNTR_ElecEFMethod&amp;G718</f>
        <v>ElecEFMeth_</v>
      </c>
      <c r="S755" s="102"/>
      <c r="T755" s="124"/>
      <c r="U755" s="105" t="str">
        <f>IF(G718="","",M755)</f>
        <v/>
      </c>
      <c r="V755" s="105" t="str">
        <f>IF(AND(G718&lt;&gt;"",COUNTA(L755:M755)=2),TRUE,IF(AND(G718&lt;&gt;"",COUNTA(L755:M755)&lt;2),CONST_ErrorOrMissing&amp;C718,CONST_NA))</f>
        <v>n.a.</v>
      </c>
      <c r="W755" s="156"/>
      <c r="X755" s="156"/>
      <c r="Z755" s="171"/>
    </row>
    <row r="756" spans="1:26" x14ac:dyDescent="0.35">
      <c r="B756" s="94"/>
      <c r="C756" s="192"/>
      <c r="D756" s="197" t="s">
        <v>44</v>
      </c>
      <c r="E756" s="201" t="str">
        <f>Translations!$B$1972</f>
        <v>Specific embedded indirect emissions (SEE (indirect))</v>
      </c>
      <c r="F756" s="201"/>
      <c r="G756" s="201"/>
      <c r="H756" s="201"/>
      <c r="I756" s="201"/>
      <c r="J756" s="201"/>
      <c r="K756" s="217" t="str">
        <f>K753</f>
        <v/>
      </c>
      <c r="L756" s="1147" t="str">
        <f>IF(COUNT(L754:L755)=0,"",L754*L755)</f>
        <v/>
      </c>
      <c r="M756" s="758"/>
      <c r="N756" s="196"/>
      <c r="O756" s="428"/>
      <c r="R756" s="171"/>
      <c r="S756" s="102" t="str">
        <f>CONST_CNTR_EmbedEmInDir&amp;G718</f>
        <v>EmbedEmInDir_</v>
      </c>
      <c r="T756" s="124" t="str">
        <f>IF(G718="","",SUM(T729)*SUM(L756))</f>
        <v/>
      </c>
      <c r="Z756" s="171"/>
    </row>
    <row r="757" spans="1:26" ht="5.15" customHeight="1" x14ac:dyDescent="0.35">
      <c r="B757" s="94"/>
      <c r="C757" s="192"/>
      <c r="D757" s="197"/>
      <c r="E757" s="195"/>
      <c r="F757" s="195"/>
      <c r="G757" s="195"/>
      <c r="H757" s="195"/>
      <c r="I757" s="195"/>
      <c r="J757" s="195"/>
      <c r="K757" s="195"/>
      <c r="L757" s="195"/>
      <c r="M757" s="195"/>
      <c r="N757" s="196"/>
      <c r="O757" s="428"/>
      <c r="R757" s="171"/>
      <c r="S757" s="171"/>
      <c r="T757" s="125"/>
      <c r="U757" s="156"/>
      <c r="V757" s="172"/>
      <c r="W757" s="172"/>
      <c r="X757" s="172"/>
      <c r="Z757" s="171"/>
    </row>
    <row r="758" spans="1:26" ht="12.75" customHeight="1" x14ac:dyDescent="0.35">
      <c r="B758" s="94"/>
      <c r="C758" s="192"/>
      <c r="D758" s="197" t="s">
        <v>45</v>
      </c>
      <c r="E758" s="201" t="str">
        <f>Translations!$B$1858</f>
        <v>Justification for use of default values (if relevant):</v>
      </c>
      <c r="F758" s="201"/>
      <c r="G758" s="201"/>
      <c r="H758" s="201"/>
      <c r="I758" s="201"/>
      <c r="J758" s="201"/>
      <c r="K758" s="1329"/>
      <c r="L758" s="1329"/>
      <c r="M758" s="1329"/>
      <c r="N758" s="196"/>
      <c r="O758" s="945"/>
      <c r="R758" s="171"/>
      <c r="S758" s="171"/>
      <c r="T758" s="125"/>
      <c r="U758" s="156"/>
      <c r="V758" s="105" t="str">
        <f>IF(OR(G718="",Z758=TRUE),CONST_NA,IF(K758&lt;&gt;"",TRUE,CONST_ErrorOrMissing&amp;C718))</f>
        <v>n.a.</v>
      </c>
      <c r="W758" s="172"/>
      <c r="X758" s="172"/>
      <c r="Z758" s="102" t="b">
        <f>AND(M753&lt;&gt;"",M753&lt;&gt;INDEX(CONST_MeasDefaultUnknown,2),M754&lt;&gt;"",M754&lt;&gt;INDEX(CONST_MeasDefaultUnknown,2))</f>
        <v>0</v>
      </c>
    </row>
    <row r="759" spans="1:26" s="144" customFormat="1" ht="12.75" customHeight="1" thickBot="1" x14ac:dyDescent="0.4">
      <c r="A759" s="91"/>
      <c r="B759" s="94"/>
      <c r="C759" s="206"/>
      <c r="D759" s="207"/>
      <c r="E759" s="208"/>
      <c r="F759" s="209"/>
      <c r="G759" s="209"/>
      <c r="H759" s="209"/>
      <c r="I759" s="209"/>
      <c r="J759" s="209"/>
      <c r="K759" s="209"/>
      <c r="L759" s="209"/>
      <c r="M759" s="209"/>
      <c r="N759" s="210"/>
      <c r="O759" s="428"/>
      <c r="P759" s="94"/>
      <c r="Q759" s="93"/>
      <c r="R759" s="91"/>
      <c r="S759" s="91"/>
      <c r="T759" s="712"/>
      <c r="U759" s="91"/>
      <c r="V759" s="91"/>
      <c r="W759" s="91"/>
      <c r="X759" s="91"/>
      <c r="Y759" s="91"/>
      <c r="Z759" s="91"/>
    </row>
    <row r="760" spans="1:26" s="144" customFormat="1" ht="12.75" customHeight="1" thickBot="1" x14ac:dyDescent="0.4">
      <c r="A760" s="91"/>
      <c r="B760" s="94"/>
      <c r="O760" s="428"/>
      <c r="P760" s="94"/>
      <c r="Q760" s="93"/>
      <c r="R760" s="91"/>
      <c r="S760" s="91"/>
      <c r="T760" s="712"/>
      <c r="U760" s="91"/>
      <c r="V760" s="91"/>
      <c r="W760" s="91"/>
      <c r="X760" s="91"/>
      <c r="Y760" s="91"/>
      <c r="Z760" s="91"/>
    </row>
    <row r="761" spans="1:26" s="144" customFormat="1" ht="12.75" customHeight="1" thickBot="1" x14ac:dyDescent="0.4">
      <c r="A761" s="91"/>
      <c r="B761" s="946"/>
      <c r="C761" s="145"/>
      <c r="D761" s="145"/>
      <c r="E761" s="145"/>
      <c r="F761" s="145"/>
      <c r="G761" s="145"/>
      <c r="H761" s="145"/>
      <c r="I761" s="145"/>
      <c r="J761" s="145"/>
      <c r="K761" s="145"/>
      <c r="L761" s="145"/>
      <c r="M761" s="145"/>
      <c r="N761" s="145"/>
      <c r="O761" s="947"/>
      <c r="P761" s="94"/>
      <c r="Q761" s="93"/>
      <c r="R761" s="91"/>
      <c r="S761" s="91"/>
      <c r="T761" s="712"/>
      <c r="U761" s="91"/>
      <c r="V761" s="91"/>
      <c r="W761" s="91"/>
      <c r="X761" s="91"/>
      <c r="Y761" s="91"/>
      <c r="Z761" s="91"/>
    </row>
    <row r="762" spans="1:26" ht="18" customHeight="1" thickBot="1" x14ac:dyDescent="0.4">
      <c r="B762" s="94"/>
      <c r="C762" s="147">
        <f>C718+1</f>
        <v>18</v>
      </c>
      <c r="D762" s="944" t="str">
        <f>CONST_PurchPrecursor &amp; " " &amp; C762 &amp; ":"</f>
        <v>Purchased precursor 18:</v>
      </c>
      <c r="E762" s="144"/>
      <c r="F762" s="144"/>
      <c r="G762" s="1313" t="str">
        <f>IF(INDEX(CNTR_List_ExistPurchPrecNames,MATCH(R762,CNTR_ListPurchPrecID,0))=CONST_NA,"",INDEX(CNTR_List_ExistPurchPrecNames,MATCH(R762,CNTR_ListPurchPrecID,0)))</f>
        <v/>
      </c>
      <c r="H762" s="1314"/>
      <c r="I762" s="1314"/>
      <c r="J762" s="1314"/>
      <c r="K762" s="1315"/>
      <c r="L762" s="1316" t="str">
        <f>IF(INDEX(CNTR_List_ExistPurchPrec,MATCH(R762,CNTR_ListPurchPrecID,0))=CONST_NA,"",INDEX(CNTR_List_ExistPurchPrec,MATCH(R762,CNTR_ListPurchPrecID,0)))</f>
        <v/>
      </c>
      <c r="M762" s="1317"/>
      <c r="N762" s="1318"/>
      <c r="O762" s="428"/>
      <c r="R762" s="149" t="str">
        <f>INDEX(CNTR_ListPurchPrecID,C762)</f>
        <v>PP18</v>
      </c>
      <c r="Y762" s="104" t="s">
        <v>2748</v>
      </c>
      <c r="Z762" s="150" t="b">
        <f>AND(CNTR_HasEntriesA,G762="")</f>
        <v>0</v>
      </c>
    </row>
    <row r="763" spans="1:26" ht="26.5" customHeight="1" x14ac:dyDescent="0.35">
      <c r="B763" s="94"/>
      <c r="C763" s="144"/>
      <c r="D763" s="914"/>
      <c r="E763" s="1325" t="str">
        <f ca="1">HYPERLINK("#"&amp;ADDRESS(MATCH($S763,G_FurtherGuidance!$S:$S,0),3,,,G_FurtherGuidance!$U$2),CONST_LinkToGuidanceSheet)</f>
        <v>Please click on this link for further guidance on how to complete this section.</v>
      </c>
      <c r="F763" s="1326"/>
      <c r="G763" s="1326"/>
      <c r="H763" s="1326"/>
      <c r="I763" s="1326"/>
      <c r="J763" s="1326"/>
      <c r="K763" s="1326"/>
      <c r="L763" s="1326"/>
      <c r="M763" s="1326"/>
      <c r="N763" s="144"/>
      <c r="O763" s="428"/>
      <c r="R763" s="104" t="s">
        <v>2771</v>
      </c>
      <c r="S763" s="105">
        <v>4</v>
      </c>
      <c r="Y763" s="104"/>
    </row>
    <row r="764" spans="1:26" ht="12.75" customHeight="1" x14ac:dyDescent="0.35">
      <c r="B764" s="94"/>
      <c r="C764" s="144"/>
      <c r="D764" s="168" t="s">
        <v>135</v>
      </c>
      <c r="E764" s="167" t="str">
        <f>Translations!$B$276</f>
        <v>Total purchased levels:</v>
      </c>
      <c r="F764" s="144"/>
      <c r="G764" s="144"/>
      <c r="H764" s="151" t="str">
        <f>Translations!$B$244</f>
        <v>Production route</v>
      </c>
      <c r="I764" s="144"/>
      <c r="J764" s="144"/>
      <c r="K764" s="152" t="str">
        <f>Translations!$B$221</f>
        <v>Unit</v>
      </c>
      <c r="L764" s="152" t="str">
        <f>Translations!$B$245</f>
        <v>Amounts</v>
      </c>
      <c r="M764" s="144"/>
      <c r="N764" s="144"/>
      <c r="O764" s="428"/>
      <c r="Y764" s="91" t="s">
        <v>4077</v>
      </c>
    </row>
    <row r="765" spans="1:26" ht="12.75" customHeight="1" x14ac:dyDescent="0.35">
      <c r="B765" s="94"/>
      <c r="C765" s="144"/>
      <c r="D765" s="173">
        <v>1</v>
      </c>
      <c r="E765" s="153" t="str">
        <f>IF(G762="","",G762) &amp; IF(L762="",""," | " &amp; L762)</f>
        <v/>
      </c>
      <c r="F765" s="153"/>
      <c r="G765" s="153"/>
      <c r="H765" s="154" t="str">
        <f>IF(L762="","",INDEX(CONST_MATRIX_ProductionRoute,MATCH(L762,CONST_LIST_Goods,0),D765))</f>
        <v/>
      </c>
      <c r="I765" s="153"/>
      <c r="J765" s="153"/>
      <c r="K765" s="155" t="str">
        <f>IF(L762="","",INDEX(CONST_LIST_GoodsUnit,MATCH(L762,CONST_LIST_Goods,0)))</f>
        <v/>
      </c>
      <c r="L765" s="29"/>
      <c r="M765" s="144"/>
      <c r="N765" s="144"/>
      <c r="O765" s="945"/>
      <c r="S765" s="105">
        <v>1</v>
      </c>
      <c r="V765" s="105" t="str">
        <f>IF(AND(Y765=FALSE,ISNUMBER(L765)),TRUE,IF(Y765=FALSE,CONST_ErrorOrMissing&amp;C762,CONST_NA))</f>
        <v>n.a.</v>
      </c>
      <c r="Y765" s="105" t="str">
        <f>IF(OR(H765="",H765=CONST_NA),"",IF(H765=CONST_AllProdRoutes,FALSE, COUNTIF(INDEX(CNTR_MatrixPurchPrecRoutes,C762,),S765)=0))</f>
        <v/>
      </c>
    </row>
    <row r="766" spans="1:26" ht="12.75" customHeight="1" x14ac:dyDescent="0.35">
      <c r="B766" s="94"/>
      <c r="C766" s="144"/>
      <c r="D766" s="173">
        <v>2</v>
      </c>
      <c r="E766" s="158" t="str">
        <f t="shared" ref="E766:E772" si="85">IF(H766=CONST_NA,"",E765)</f>
        <v/>
      </c>
      <c r="F766" s="158"/>
      <c r="G766" s="158"/>
      <c r="H766" s="159" t="str">
        <f>IF(L762="","",INDEX(CONST_MATRIX_ProductionRoute,MATCH(L762,CONST_LIST_Goods,0),D766))</f>
        <v/>
      </c>
      <c r="I766" s="158"/>
      <c r="J766" s="158"/>
      <c r="K766" s="160" t="str">
        <f t="shared" ref="K766:K772" si="86">IF(H766=CONST_NA,"",K765)</f>
        <v/>
      </c>
      <c r="L766" s="30"/>
      <c r="M766" s="144"/>
      <c r="N766" s="144"/>
      <c r="O766" s="945"/>
      <c r="S766" s="105">
        <v>2</v>
      </c>
      <c r="V766" s="105" t="str">
        <f>IF(AND(Y766=FALSE,ISNUMBER(L766)),TRUE,IF(Y766=FALSE,CONST_ErrorOrMissing&amp;C762,CONST_NA))</f>
        <v>n.a.</v>
      </c>
      <c r="Y766" s="105" t="str">
        <f>IF(OR(H766="",H766=CONST_NA),"",IF(H766=CONST_AllProdRoutes,FALSE, COUNTIF(INDEX(CNTR_MatrixPurchPrecRoutes,C762,),S766)=0))</f>
        <v/>
      </c>
    </row>
    <row r="767" spans="1:26" ht="12.75" customHeight="1" x14ac:dyDescent="0.35">
      <c r="B767" s="94"/>
      <c r="C767" s="144"/>
      <c r="D767" s="173">
        <v>3</v>
      </c>
      <c r="E767" s="158" t="str">
        <f t="shared" si="85"/>
        <v/>
      </c>
      <c r="F767" s="158"/>
      <c r="G767" s="158"/>
      <c r="H767" s="159" t="str">
        <f>IF(L762="","",INDEX(CONST_MATRIX_ProductionRoute,MATCH(L762,CONST_LIST_Goods,0),D767))</f>
        <v/>
      </c>
      <c r="I767" s="158"/>
      <c r="J767" s="158"/>
      <c r="K767" s="160" t="str">
        <f t="shared" si="86"/>
        <v/>
      </c>
      <c r="L767" s="30"/>
      <c r="M767" s="144"/>
      <c r="N767" s="144"/>
      <c r="O767" s="945"/>
      <c r="S767" s="105">
        <v>3</v>
      </c>
      <c r="V767" s="105" t="str">
        <f>IF(AND(Y767=FALSE,ISNUMBER(L767)),TRUE,IF(Y767=FALSE,CONST_ErrorOrMissing&amp;C762,CONST_NA))</f>
        <v>n.a.</v>
      </c>
      <c r="Y767" s="105" t="str">
        <f>IF(OR(H767="",H767=CONST_NA),"",IF(H767=CONST_AllProdRoutes,FALSE, COUNTIF(INDEX(CNTR_MatrixPurchPrecRoutes,C762,),S767)=0))</f>
        <v/>
      </c>
    </row>
    <row r="768" spans="1:26" ht="12.75" customHeight="1" x14ac:dyDescent="0.35">
      <c r="B768" s="94"/>
      <c r="C768" s="144"/>
      <c r="D768" s="173">
        <v>4</v>
      </c>
      <c r="E768" s="158" t="str">
        <f t="shared" si="85"/>
        <v/>
      </c>
      <c r="F768" s="158"/>
      <c r="G768" s="158"/>
      <c r="H768" s="159" t="str">
        <f>IF(L762="","",INDEX(CONST_MATRIX_ProductionRoute,MATCH(L762,CONST_LIST_Goods,0),D768))</f>
        <v/>
      </c>
      <c r="I768" s="158"/>
      <c r="J768" s="158"/>
      <c r="K768" s="160" t="str">
        <f t="shared" si="86"/>
        <v/>
      </c>
      <c r="L768" s="30"/>
      <c r="M768" s="144"/>
      <c r="N768" s="144"/>
      <c r="O768" s="945"/>
      <c r="S768" s="105">
        <v>4</v>
      </c>
      <c r="V768" s="105" t="str">
        <f>IF(AND(Y768=FALSE,ISNUMBER(L768)),TRUE,IF(Y768=FALSE,CONST_ErrorOrMissing&amp;C762,CONST_NA))</f>
        <v>n.a.</v>
      </c>
      <c r="Y768" s="105" t="str">
        <f>IF(OR(H768="",H768=CONST_NA),"",IF(H768=CONST_AllProdRoutes,FALSE, COUNTIF(INDEX(CNTR_MatrixPurchPrecRoutes,C762,),S768)=0))</f>
        <v/>
      </c>
    </row>
    <row r="769" spans="1:26" ht="12.75" customHeight="1" x14ac:dyDescent="0.35">
      <c r="B769" s="94"/>
      <c r="C769" s="144"/>
      <c r="D769" s="173">
        <v>5</v>
      </c>
      <c r="E769" s="158" t="str">
        <f t="shared" si="85"/>
        <v/>
      </c>
      <c r="F769" s="158"/>
      <c r="G769" s="158"/>
      <c r="H769" s="159" t="str">
        <f>IF(L762="","",INDEX(CONST_MATRIX_ProductionRoute,MATCH(L762,CONST_LIST_Goods,0),D769))</f>
        <v/>
      </c>
      <c r="I769" s="158"/>
      <c r="J769" s="158"/>
      <c r="K769" s="160" t="str">
        <f t="shared" si="86"/>
        <v/>
      </c>
      <c r="L769" s="30"/>
      <c r="M769" s="144"/>
      <c r="N769" s="144"/>
      <c r="O769" s="945"/>
      <c r="S769" s="105">
        <v>5</v>
      </c>
      <c r="V769" s="105" t="str">
        <f>IF(AND(Y769=FALSE,ISNUMBER(L769)),TRUE,IF(Y769=FALSE,CONST_ErrorOrMissing&amp;C762,CONST_NA))</f>
        <v>n.a.</v>
      </c>
      <c r="Y769" s="105" t="str">
        <f>IF(OR(H769="",H769=CONST_NA),"",IF(H769=CONST_AllProdRoutes,FALSE, COUNTIF(INDEX(CNTR_MatrixPurchPrecRoutes,C762,),S769)=0))</f>
        <v/>
      </c>
    </row>
    <row r="770" spans="1:26" ht="12.75" customHeight="1" x14ac:dyDescent="0.35">
      <c r="B770" s="94"/>
      <c r="C770" s="144"/>
      <c r="D770" s="173">
        <v>6</v>
      </c>
      <c r="E770" s="158" t="str">
        <f t="shared" si="85"/>
        <v/>
      </c>
      <c r="F770" s="158"/>
      <c r="G770" s="158"/>
      <c r="H770" s="159" t="str">
        <f>IF(L762="","",INDEX(CONST_MATRIX_ProductionRoute,MATCH(L762,CONST_LIST_Goods,0),D770))</f>
        <v/>
      </c>
      <c r="I770" s="158"/>
      <c r="J770" s="158"/>
      <c r="K770" s="160" t="str">
        <f t="shared" si="86"/>
        <v/>
      </c>
      <c r="L770" s="30"/>
      <c r="M770" s="144"/>
      <c r="N770" s="144"/>
      <c r="O770" s="945"/>
      <c r="S770" s="105">
        <v>6</v>
      </c>
      <c r="V770" s="105" t="str">
        <f>IF(AND(Y770=FALSE,ISNUMBER(L770)),TRUE,IF(Y770=FALSE,CONST_ErrorOrMissing&amp;C762,CONST_NA))</f>
        <v>n.a.</v>
      </c>
      <c r="Y770" s="105" t="str">
        <f>IF(OR(H770="",H770=CONST_NA),"",IF(H770=CONST_AllProdRoutes,FALSE, COUNTIF(INDEX(CNTR_MatrixPurchPrecRoutes,C762,),S770)=0))</f>
        <v/>
      </c>
    </row>
    <row r="771" spans="1:26" ht="12.75" customHeight="1" x14ac:dyDescent="0.35">
      <c r="B771" s="94"/>
      <c r="C771" s="144"/>
      <c r="D771" s="173">
        <v>7</v>
      </c>
      <c r="E771" s="158" t="str">
        <f t="shared" si="85"/>
        <v/>
      </c>
      <c r="F771" s="158"/>
      <c r="G771" s="158"/>
      <c r="H771" s="159" t="str">
        <f>IF(L762="","",INDEX(CONST_MATRIX_ProductionRoute,MATCH(L762,CONST_LIST_Goods,0),D771))</f>
        <v/>
      </c>
      <c r="I771" s="158"/>
      <c r="J771" s="158"/>
      <c r="K771" s="160" t="str">
        <f t="shared" si="86"/>
        <v/>
      </c>
      <c r="L771" s="30"/>
      <c r="M771" s="144"/>
      <c r="N771" s="144"/>
      <c r="O771" s="945"/>
      <c r="S771" s="105">
        <v>7</v>
      </c>
      <c r="V771" s="105" t="str">
        <f>IF(AND(Y771=FALSE,ISNUMBER(L771)),TRUE,IF(Y771=FALSE,CONST_ErrorOrMissing&amp;C762,CONST_NA))</f>
        <v>n.a.</v>
      </c>
      <c r="Y771" s="105" t="str">
        <f>IF(OR(H771="",H771=CONST_NA),"",IF(H771=CONST_AllProdRoutes,FALSE, COUNTIF(INDEX(CNTR_MatrixPurchPrecRoutes,C762,),S771)=0))</f>
        <v/>
      </c>
    </row>
    <row r="772" spans="1:26" ht="12.75" customHeight="1" x14ac:dyDescent="0.35">
      <c r="B772" s="94"/>
      <c r="C772" s="144"/>
      <c r="D772" s="173">
        <v>8</v>
      </c>
      <c r="E772" s="161" t="str">
        <f t="shared" si="85"/>
        <v/>
      </c>
      <c r="F772" s="161"/>
      <c r="G772" s="161"/>
      <c r="H772" s="162" t="str">
        <f>IF(L762="","",INDEX(CONST_MATRIX_ProductionRoute,MATCH(L762,CONST_LIST_Goods,0),D772))</f>
        <v/>
      </c>
      <c r="I772" s="161"/>
      <c r="J772" s="161"/>
      <c r="K772" s="163" t="str">
        <f t="shared" si="86"/>
        <v/>
      </c>
      <c r="L772" s="31"/>
      <c r="M772" s="144"/>
      <c r="N772" s="144"/>
      <c r="O772" s="945"/>
      <c r="S772" s="105">
        <v>8</v>
      </c>
      <c r="V772" s="105" t="str">
        <f>IF(AND(Y772=FALSE,ISNUMBER(L772)),TRUE,IF(Y772=FALSE,CONST_ErrorOrMissing&amp;C762,CONST_NA))</f>
        <v>n.a.</v>
      </c>
      <c r="Y772" s="105" t="str">
        <f>IF(OR(H772="",H772=CONST_NA),"",IF(H772=CONST_AllProdRoutes,FALSE, COUNTIF(INDEX(CNTR_MatrixPurchPrecRoutes,C762,),S772)=0))</f>
        <v/>
      </c>
    </row>
    <row r="773" spans="1:26" ht="12.75" customHeight="1" x14ac:dyDescent="0.35">
      <c r="B773" s="94"/>
      <c r="C773" s="144"/>
      <c r="D773" s="914"/>
      <c r="E773" s="138" t="str">
        <f>Translations!$B$1966</f>
        <v>Total purchase for possible consumption within installation:</v>
      </c>
      <c r="F773" s="138"/>
      <c r="G773" s="138"/>
      <c r="H773" s="164"/>
      <c r="I773" s="138"/>
      <c r="J773" s="138"/>
      <c r="K773" s="169" t="str">
        <f>K765</f>
        <v/>
      </c>
      <c r="L773" s="386" t="str">
        <f>IF(G762="","",SUM(L765:L772))</f>
        <v/>
      </c>
      <c r="M773" s="144"/>
      <c r="N773" s="144"/>
      <c r="O773" s="428"/>
      <c r="R773" s="102" t="str">
        <f>CONST_CNTR_TotProd&amp;G762</f>
        <v>TotProd_</v>
      </c>
      <c r="T773" s="216" t="str">
        <f>IF(G762="","",IF(SUM(L773)=0,100,L773))</f>
        <v/>
      </c>
      <c r="V773" s="123"/>
    </row>
    <row r="774" spans="1:26" s="144" customFormat="1" ht="5.15" customHeight="1" x14ac:dyDescent="0.35">
      <c r="A774" s="91"/>
      <c r="B774" s="94"/>
      <c r="D774" s="166"/>
      <c r="E774" s="167"/>
      <c r="O774" s="428"/>
      <c r="P774" s="94"/>
      <c r="Q774" s="93"/>
      <c r="R774" s="91"/>
      <c r="S774" s="91"/>
      <c r="T774" s="712"/>
      <c r="U774" s="91"/>
      <c r="V774" s="123"/>
      <c r="W774" s="91"/>
      <c r="X774" s="91"/>
      <c r="Y774" s="91"/>
      <c r="Z774" s="91"/>
    </row>
    <row r="775" spans="1:26" s="144" customFormat="1" ht="12.75" customHeight="1" x14ac:dyDescent="0.35">
      <c r="A775" s="91"/>
      <c r="B775" s="94"/>
      <c r="D775" s="168" t="s">
        <v>48</v>
      </c>
      <c r="E775" s="167" t="str">
        <f>Translations!$B$1967</f>
        <v>Consumed in 'production processes' within the installation:</v>
      </c>
      <c r="F775" s="167"/>
      <c r="G775" s="167"/>
      <c r="H775" s="167"/>
      <c r="I775" s="167"/>
      <c r="J775" s="167"/>
      <c r="K775" s="168" t="str">
        <f>Translations!$B$221</f>
        <v>Unit</v>
      </c>
      <c r="L775" s="168" t="str">
        <f>Translations!$B$245</f>
        <v>Amounts</v>
      </c>
      <c r="O775" s="428"/>
      <c r="P775" s="94"/>
      <c r="Q775" s="93"/>
      <c r="R775" s="91"/>
      <c r="S775" s="123" t="s">
        <v>195</v>
      </c>
      <c r="T775" s="712"/>
      <c r="U775" s="91"/>
      <c r="V775" s="123"/>
      <c r="W775" s="91"/>
      <c r="X775" s="91"/>
      <c r="Y775" s="91"/>
      <c r="Z775" s="91"/>
    </row>
    <row r="776" spans="1:26" s="144" customFormat="1" ht="12.75" customHeight="1" x14ac:dyDescent="0.35">
      <c r="A776" s="91"/>
      <c r="B776" s="94"/>
      <c r="D776" s="173">
        <v>1</v>
      </c>
      <c r="E776" s="174" t="str">
        <f t="shared" ref="E776:E785" si="87">IF(INDEX(CNTR_List_ExistProdProcNames,S776)=CONST_NA,"",INDEX(CNTR_List_ExistProdProcNames,S776))</f>
        <v/>
      </c>
      <c r="F776" s="175"/>
      <c r="G776" s="175"/>
      <c r="H776" s="175"/>
      <c r="I776" s="175"/>
      <c r="J776" s="176"/>
      <c r="K776" s="155" t="str">
        <f>IF(E776="","",K773)</f>
        <v/>
      </c>
      <c r="L776" s="29"/>
      <c r="O776" s="945"/>
      <c r="P776" s="94"/>
      <c r="Q776" s="93"/>
      <c r="R776" s="102" t="str">
        <f>CONST_PrecursorToGoodInput&amp;G762 &amp;"_"&amp;E776</f>
        <v>PrecToGood__</v>
      </c>
      <c r="S776" s="105">
        <f>D776</f>
        <v>1</v>
      </c>
      <c r="T776" s="124" t="str">
        <f>IF(G762="","",L776)</f>
        <v/>
      </c>
      <c r="U776" s="91"/>
      <c r="V776" s="105" t="str">
        <f>IF(AND(G762&lt;&gt;"",E776&lt;&gt;"",L776&lt;&gt;""),TRUE,IF(AND(G762&lt;&gt;"",E776&lt;&gt;"",L776="",Z776=FALSE),CONST_ErrorOrMissing&amp;C762,CONST_NA))</f>
        <v>n.a.</v>
      </c>
      <c r="W776" s="172"/>
      <c r="X776" s="172"/>
      <c r="Y776" s="91" t="s">
        <v>34</v>
      </c>
      <c r="Z776" s="102" t="b">
        <f>IF(G762="",FALSE,E776="")</f>
        <v>0</v>
      </c>
    </row>
    <row r="777" spans="1:26" s="144" customFormat="1" ht="12.75" customHeight="1" x14ac:dyDescent="0.35">
      <c r="A777" s="91"/>
      <c r="B777" s="94"/>
      <c r="D777" s="173">
        <v>2</v>
      </c>
      <c r="E777" s="177" t="str">
        <f t="shared" si="87"/>
        <v/>
      </c>
      <c r="F777" s="178"/>
      <c r="G777" s="178"/>
      <c r="H777" s="178"/>
      <c r="I777" s="178"/>
      <c r="J777" s="179"/>
      <c r="K777" s="160" t="str">
        <f>IF(E777="","",K776)</f>
        <v/>
      </c>
      <c r="L777" s="30"/>
      <c r="O777" s="945"/>
      <c r="P777" s="94"/>
      <c r="Q777" s="93"/>
      <c r="R777" s="102" t="str">
        <f>CONST_PrecursorToGoodInput&amp;G762 &amp;"_"&amp;E777</f>
        <v>PrecToGood__</v>
      </c>
      <c r="S777" s="105">
        <f t="shared" ref="S777:S785" si="88">D777</f>
        <v>2</v>
      </c>
      <c r="T777" s="124" t="str">
        <f>IF(G762="","",L777)</f>
        <v/>
      </c>
      <c r="U777" s="91"/>
      <c r="V777" s="105" t="str">
        <f>IF(AND(G762&lt;&gt;"",E777&lt;&gt;"",L777&lt;&gt;""),TRUE,IF(AND(G762&lt;&gt;"",E777&lt;&gt;"",L777="",Z777=FALSE),CONST_ErrorOrMissing&amp;C762,CONST_NA))</f>
        <v>n.a.</v>
      </c>
      <c r="W777" s="172"/>
      <c r="X777" s="172"/>
      <c r="Y777" s="91"/>
      <c r="Z777" s="102" t="b">
        <f>IF(G762="",FALSE,E777="")</f>
        <v>0</v>
      </c>
    </row>
    <row r="778" spans="1:26" s="144" customFormat="1" ht="12.75" customHeight="1" x14ac:dyDescent="0.35">
      <c r="A778" s="91"/>
      <c r="B778" s="94"/>
      <c r="D778" s="173">
        <v>3</v>
      </c>
      <c r="E778" s="177" t="str">
        <f t="shared" si="87"/>
        <v/>
      </c>
      <c r="F778" s="178"/>
      <c r="G778" s="178"/>
      <c r="H778" s="178"/>
      <c r="I778" s="178"/>
      <c r="J778" s="179"/>
      <c r="K778" s="160" t="str">
        <f t="shared" ref="K778:K785" si="89">IF(E778="","",K777)</f>
        <v/>
      </c>
      <c r="L778" s="30"/>
      <c r="O778" s="945"/>
      <c r="P778" s="94"/>
      <c r="Q778" s="93"/>
      <c r="R778" s="102" t="str">
        <f>CONST_PrecursorToGoodInput&amp;G762 &amp;"_"&amp;E778</f>
        <v>PrecToGood__</v>
      </c>
      <c r="S778" s="105">
        <f t="shared" si="88"/>
        <v>3</v>
      </c>
      <c r="T778" s="124" t="str">
        <f>IF(G762="","",L778)</f>
        <v/>
      </c>
      <c r="U778" s="91"/>
      <c r="V778" s="105" t="str">
        <f>IF(AND(G762&lt;&gt;"",E778&lt;&gt;"",L778&lt;&gt;""),TRUE,IF(AND(G762&lt;&gt;"",E778&lt;&gt;"",L778="",Z778=FALSE),CONST_ErrorOrMissing&amp;C762,CONST_NA))</f>
        <v>n.a.</v>
      </c>
      <c r="W778" s="172"/>
      <c r="X778" s="172"/>
      <c r="Y778" s="91"/>
      <c r="Z778" s="102" t="b">
        <f>IF(G762="",FALSE,E778="")</f>
        <v>0</v>
      </c>
    </row>
    <row r="779" spans="1:26" s="144" customFormat="1" ht="12.75" customHeight="1" x14ac:dyDescent="0.35">
      <c r="A779" s="91"/>
      <c r="B779" s="94"/>
      <c r="D779" s="173">
        <v>4</v>
      </c>
      <c r="E779" s="177" t="str">
        <f t="shared" si="87"/>
        <v/>
      </c>
      <c r="F779" s="178"/>
      <c r="G779" s="178"/>
      <c r="H779" s="178"/>
      <c r="I779" s="178"/>
      <c r="J779" s="179"/>
      <c r="K779" s="160" t="str">
        <f t="shared" si="89"/>
        <v/>
      </c>
      <c r="L779" s="30"/>
      <c r="O779" s="945"/>
      <c r="P779" s="94"/>
      <c r="Q779" s="93"/>
      <c r="R779" s="102" t="str">
        <f>CONST_PrecursorToGoodInput&amp;G762 &amp;"_"&amp;E779</f>
        <v>PrecToGood__</v>
      </c>
      <c r="S779" s="105">
        <f t="shared" si="88"/>
        <v>4</v>
      </c>
      <c r="T779" s="124" t="str">
        <f>IF(G762="","",L779)</f>
        <v/>
      </c>
      <c r="U779" s="91"/>
      <c r="V779" s="105" t="str">
        <f>IF(AND(G762&lt;&gt;"",E779&lt;&gt;"",L779&lt;&gt;""),TRUE,IF(AND(G762&lt;&gt;"",E779&lt;&gt;"",L779="",Z779=FALSE),CONST_ErrorOrMissing&amp;C762,CONST_NA))</f>
        <v>n.a.</v>
      </c>
      <c r="W779" s="172"/>
      <c r="X779" s="172"/>
      <c r="Y779" s="91"/>
      <c r="Z779" s="102" t="b">
        <f>IF(G762="",FALSE,E779="")</f>
        <v>0</v>
      </c>
    </row>
    <row r="780" spans="1:26" s="144" customFormat="1" ht="12.75" customHeight="1" x14ac:dyDescent="0.35">
      <c r="A780" s="91"/>
      <c r="B780" s="94"/>
      <c r="D780" s="173">
        <v>5</v>
      </c>
      <c r="E780" s="180" t="str">
        <f t="shared" si="87"/>
        <v/>
      </c>
      <c r="F780" s="181"/>
      <c r="G780" s="181"/>
      <c r="H780" s="181"/>
      <c r="I780" s="181"/>
      <c r="J780" s="182"/>
      <c r="K780" s="183" t="str">
        <f t="shared" si="89"/>
        <v/>
      </c>
      <c r="L780" s="212"/>
      <c r="O780" s="945"/>
      <c r="P780" s="94"/>
      <c r="Q780" s="93"/>
      <c r="R780" s="102" t="str">
        <f>CONST_PrecursorToGoodInput&amp;G762 &amp;"_"&amp;E780</f>
        <v>PrecToGood__</v>
      </c>
      <c r="S780" s="105">
        <f t="shared" si="88"/>
        <v>5</v>
      </c>
      <c r="T780" s="124" t="str">
        <f>IF(G762="","",L780)</f>
        <v/>
      </c>
      <c r="U780" s="91"/>
      <c r="V780" s="105" t="str">
        <f>IF(AND(G762&lt;&gt;"",E780&lt;&gt;"",L780&lt;&gt;""),TRUE,IF(AND(G762&lt;&gt;"",E780&lt;&gt;"",L780="",Z780=FALSE),CONST_ErrorOrMissing&amp;C762,CONST_NA))</f>
        <v>n.a.</v>
      </c>
      <c r="W780" s="172"/>
      <c r="X780" s="172"/>
      <c r="Y780" s="91"/>
      <c r="Z780" s="102" t="b">
        <f>IF(G762="",FALSE,E780="")</f>
        <v>0</v>
      </c>
    </row>
    <row r="781" spans="1:26" s="144" customFormat="1" ht="12.75" customHeight="1" x14ac:dyDescent="0.35">
      <c r="A781" s="91"/>
      <c r="B781" s="94"/>
      <c r="D781" s="173">
        <v>6</v>
      </c>
      <c r="E781" s="180" t="str">
        <f t="shared" si="87"/>
        <v/>
      </c>
      <c r="F781" s="181"/>
      <c r="G781" s="181"/>
      <c r="H781" s="181"/>
      <c r="I781" s="181"/>
      <c r="J781" s="182"/>
      <c r="K781" s="183" t="str">
        <f t="shared" si="89"/>
        <v/>
      </c>
      <c r="L781" s="212"/>
      <c r="O781" s="945"/>
      <c r="P781" s="94"/>
      <c r="Q781" s="93"/>
      <c r="R781" s="102" t="str">
        <f>CONST_PrecursorToGoodInput&amp;G762 &amp;"_"&amp;E781</f>
        <v>PrecToGood__</v>
      </c>
      <c r="S781" s="105">
        <f t="shared" si="88"/>
        <v>6</v>
      </c>
      <c r="T781" s="124" t="str">
        <f>IF(G762="","",L781)</f>
        <v/>
      </c>
      <c r="U781" s="91"/>
      <c r="V781" s="105" t="str">
        <f>IF(AND(G762&lt;&gt;"",E781&lt;&gt;"",L781&lt;&gt;""),TRUE,IF(AND(G762&lt;&gt;"",E781&lt;&gt;"",L781="",Z781=FALSE),CONST_ErrorOrMissing&amp;C762,CONST_NA))</f>
        <v>n.a.</v>
      </c>
      <c r="W781" s="172"/>
      <c r="X781" s="172"/>
      <c r="Y781" s="91"/>
      <c r="Z781" s="102" t="b">
        <f>IF(G762="",FALSE,E781="")</f>
        <v>0</v>
      </c>
    </row>
    <row r="782" spans="1:26" s="144" customFormat="1" ht="12.75" customHeight="1" x14ac:dyDescent="0.35">
      <c r="A782" s="91"/>
      <c r="B782" s="94"/>
      <c r="D782" s="173">
        <v>7</v>
      </c>
      <c r="E782" s="180" t="str">
        <f t="shared" si="87"/>
        <v/>
      </c>
      <c r="F782" s="181"/>
      <c r="G782" s="181"/>
      <c r="H782" s="181"/>
      <c r="I782" s="181"/>
      <c r="J782" s="182"/>
      <c r="K782" s="183" t="str">
        <f t="shared" si="89"/>
        <v/>
      </c>
      <c r="L782" s="212"/>
      <c r="O782" s="945"/>
      <c r="P782" s="94"/>
      <c r="Q782" s="93"/>
      <c r="R782" s="102" t="str">
        <f>CONST_PrecursorToGoodInput&amp;G762 &amp;"_"&amp;E782</f>
        <v>PrecToGood__</v>
      </c>
      <c r="S782" s="105">
        <f t="shared" si="88"/>
        <v>7</v>
      </c>
      <c r="T782" s="124" t="str">
        <f>IF(G762="","",L782)</f>
        <v/>
      </c>
      <c r="U782" s="91"/>
      <c r="V782" s="105" t="str">
        <f>IF(AND(G762&lt;&gt;"",E782&lt;&gt;"",L782&lt;&gt;""),TRUE,IF(AND(G762&lt;&gt;"",E782&lt;&gt;"",L782="",Z782=FALSE),CONST_ErrorOrMissing&amp;C762,CONST_NA))</f>
        <v>n.a.</v>
      </c>
      <c r="W782" s="172"/>
      <c r="X782" s="172"/>
      <c r="Y782" s="91"/>
      <c r="Z782" s="102" t="b">
        <f>IF(G762="",FALSE,E782="")</f>
        <v>0</v>
      </c>
    </row>
    <row r="783" spans="1:26" s="144" customFormat="1" ht="12.75" customHeight="1" x14ac:dyDescent="0.35">
      <c r="A783" s="91"/>
      <c r="B783" s="94"/>
      <c r="D783" s="173">
        <v>8</v>
      </c>
      <c r="E783" s="180" t="str">
        <f t="shared" si="87"/>
        <v/>
      </c>
      <c r="F783" s="181"/>
      <c r="G783" s="181"/>
      <c r="H783" s="181"/>
      <c r="I783" s="181"/>
      <c r="J783" s="182"/>
      <c r="K783" s="183" t="str">
        <f t="shared" si="89"/>
        <v/>
      </c>
      <c r="L783" s="212"/>
      <c r="O783" s="945"/>
      <c r="P783" s="94"/>
      <c r="Q783" s="93"/>
      <c r="R783" s="102" t="str">
        <f>CONST_PrecursorToGoodInput&amp;G762 &amp;"_"&amp;E783</f>
        <v>PrecToGood__</v>
      </c>
      <c r="S783" s="105">
        <f t="shared" si="88"/>
        <v>8</v>
      </c>
      <c r="T783" s="124" t="str">
        <f>IF(G762="","",L783)</f>
        <v/>
      </c>
      <c r="U783" s="91"/>
      <c r="V783" s="105" t="str">
        <f>IF(AND(G762&lt;&gt;"",E783&lt;&gt;"",L783&lt;&gt;""),TRUE,IF(AND(G762&lt;&gt;"",E783&lt;&gt;"",L783="",Z783=FALSE),CONST_ErrorOrMissing&amp;C762,CONST_NA))</f>
        <v>n.a.</v>
      </c>
      <c r="W783" s="172"/>
      <c r="X783" s="172"/>
      <c r="Y783" s="91"/>
      <c r="Z783" s="102" t="b">
        <f>IF(G762="",FALSE,E783="")</f>
        <v>0</v>
      </c>
    </row>
    <row r="784" spans="1:26" s="144" customFormat="1" ht="12.75" customHeight="1" x14ac:dyDescent="0.35">
      <c r="A784" s="91"/>
      <c r="B784" s="94"/>
      <c r="D784" s="173">
        <v>9</v>
      </c>
      <c r="E784" s="180" t="str">
        <f t="shared" si="87"/>
        <v/>
      </c>
      <c r="F784" s="181"/>
      <c r="G784" s="181"/>
      <c r="H784" s="181"/>
      <c r="I784" s="181"/>
      <c r="J784" s="182"/>
      <c r="K784" s="183" t="str">
        <f t="shared" si="89"/>
        <v/>
      </c>
      <c r="L784" s="212"/>
      <c r="O784" s="945"/>
      <c r="P784" s="94"/>
      <c r="Q784" s="93"/>
      <c r="R784" s="102" t="str">
        <f>CONST_PrecursorToGoodInput&amp;G762 &amp;"_"&amp;E784</f>
        <v>PrecToGood__</v>
      </c>
      <c r="S784" s="105">
        <f t="shared" si="88"/>
        <v>9</v>
      </c>
      <c r="T784" s="124" t="str">
        <f>IF(G762="","",L784)</f>
        <v/>
      </c>
      <c r="U784" s="91"/>
      <c r="V784" s="105" t="str">
        <f>IF(AND(G762&lt;&gt;"",E784&lt;&gt;"",L784&lt;&gt;""),TRUE,IF(AND(G762&lt;&gt;"",E784&lt;&gt;"",L784="",Z784=FALSE),CONST_ErrorOrMissing&amp;C762,CONST_NA))</f>
        <v>n.a.</v>
      </c>
      <c r="W784" s="172"/>
      <c r="X784" s="172"/>
      <c r="Y784" s="91"/>
      <c r="Z784" s="102" t="b">
        <f>IF(G762="",FALSE,E784="")</f>
        <v>0</v>
      </c>
    </row>
    <row r="785" spans="1:26" s="144" customFormat="1" ht="12.75" customHeight="1" x14ac:dyDescent="0.35">
      <c r="A785" s="91"/>
      <c r="B785" s="94"/>
      <c r="D785" s="173">
        <v>10</v>
      </c>
      <c r="E785" s="184" t="str">
        <f t="shared" si="87"/>
        <v/>
      </c>
      <c r="F785" s="185"/>
      <c r="G785" s="185"/>
      <c r="H785" s="185"/>
      <c r="I785" s="185"/>
      <c r="J785" s="186"/>
      <c r="K785" s="163" t="str">
        <f t="shared" si="89"/>
        <v/>
      </c>
      <c r="L785" s="31"/>
      <c r="O785" s="945"/>
      <c r="P785" s="94"/>
      <c r="Q785" s="93"/>
      <c r="R785" s="102" t="str">
        <f>CONST_PrecursorToGoodInput&amp;G762 &amp;"_"&amp;E785</f>
        <v>PrecToGood__</v>
      </c>
      <c r="S785" s="105">
        <f t="shared" si="88"/>
        <v>10</v>
      </c>
      <c r="T785" s="124" t="str">
        <f>IF(G762="","",L785)</f>
        <v/>
      </c>
      <c r="U785" s="91"/>
      <c r="V785" s="105" t="str">
        <f>IF(AND(G762&lt;&gt;"",E785&lt;&gt;"",L785&lt;&gt;""),TRUE,IF(AND(G762&lt;&gt;"",E785&lt;&gt;"",L785="",Z785=FALSE),CONST_ErrorOrMissing&amp;C762,CONST_NA))</f>
        <v>n.a.</v>
      </c>
      <c r="W785" s="172"/>
      <c r="X785" s="172"/>
      <c r="Y785" s="91"/>
      <c r="Z785" s="102" t="b">
        <f>IF(G762="",FALSE,E785="")</f>
        <v>0</v>
      </c>
    </row>
    <row r="786" spans="1:26" s="144" customFormat="1" ht="12.75" customHeight="1" x14ac:dyDescent="0.35">
      <c r="A786" s="91"/>
      <c r="B786" s="94"/>
      <c r="D786" s="168" t="s">
        <v>49</v>
      </c>
      <c r="E786" s="167" t="str">
        <f>Translations!$B$1968</f>
        <v>Consumed for other purposes, e.g. sold or used for non-CBAM goods:</v>
      </c>
      <c r="F786" s="167"/>
      <c r="G786" s="167"/>
      <c r="H786" s="167"/>
      <c r="I786" s="167"/>
      <c r="J786" s="167"/>
      <c r="K786" s="169" t="str">
        <f>K773</f>
        <v/>
      </c>
      <c r="L786" s="211"/>
      <c r="O786" s="945"/>
      <c r="P786" s="94"/>
      <c r="Q786" s="93"/>
      <c r="R786" s="91"/>
      <c r="S786" s="91"/>
      <c r="T786" s="712"/>
      <c r="U786" s="91"/>
      <c r="V786" s="105" t="str">
        <f>IF(G762="",CONST_NA,IF(ISNUMBER(L786),TRUE,CONST_ErrorOrMissing&amp;C762))</f>
        <v>n.a.</v>
      </c>
      <c r="W786" s="91"/>
      <c r="X786" s="91"/>
      <c r="Y786" s="91"/>
      <c r="Z786" s="91"/>
    </row>
    <row r="787" spans="1:26" s="144" customFormat="1" ht="12.75" customHeight="1" x14ac:dyDescent="0.35">
      <c r="A787" s="91"/>
      <c r="B787" s="94"/>
      <c r="D787" s="168" t="s">
        <v>377</v>
      </c>
      <c r="E787" s="138" t="str">
        <f>Translations!$B$253</f>
        <v>Control:</v>
      </c>
      <c r="F787" s="170"/>
      <c r="G787" s="170"/>
      <c r="H787" s="170"/>
      <c r="I787" s="170"/>
      <c r="J787" s="170"/>
      <c r="K787" s="169" t="str">
        <f>K786</f>
        <v/>
      </c>
      <c r="L787" s="118" t="str">
        <f>IF(G762="","",SUM(L773)-SUM(L776:L786))</f>
        <v/>
      </c>
      <c r="O787" s="945"/>
      <c r="P787" s="94"/>
      <c r="Q787" s="93"/>
      <c r="R787" s="91"/>
      <c r="S787" s="91"/>
      <c r="T787" s="712"/>
      <c r="U787" s="91"/>
      <c r="V787" s="105" t="str">
        <f>IF(G762="",CONST_NA,IF(L787=0,TRUE,CONST_ErrorOrMissing&amp;C762))</f>
        <v>n.a.</v>
      </c>
      <c r="W787" s="91"/>
      <c r="X787" s="91"/>
      <c r="Y787" s="91"/>
      <c r="Z787" s="91"/>
    </row>
    <row r="788" spans="1:26" s="144" customFormat="1" ht="12.75" customHeight="1" thickBot="1" x14ac:dyDescent="0.4">
      <c r="A788" s="91"/>
      <c r="B788" s="94"/>
      <c r="O788" s="428"/>
      <c r="P788" s="94"/>
      <c r="Q788" s="93"/>
      <c r="R788" s="91"/>
      <c r="S788" s="91"/>
      <c r="T788" s="712"/>
      <c r="U788" s="91"/>
      <c r="V788" s="91"/>
      <c r="W788" s="91"/>
      <c r="X788" s="91"/>
      <c r="Y788" s="91"/>
      <c r="Z788" s="91"/>
    </row>
    <row r="789" spans="1:26" ht="12.75" customHeight="1" x14ac:dyDescent="0.35">
      <c r="B789" s="94"/>
      <c r="C789" s="187"/>
      <c r="D789" s="188"/>
      <c r="E789" s="189"/>
      <c r="F789" s="190"/>
      <c r="G789" s="190"/>
      <c r="H789" s="190"/>
      <c r="I789" s="190"/>
      <c r="J789" s="190"/>
      <c r="K789" s="190"/>
      <c r="L789" s="190"/>
      <c r="M789" s="190"/>
      <c r="N789" s="191"/>
      <c r="O789" s="428"/>
      <c r="T789" s="712"/>
    </row>
    <row r="790" spans="1:26" ht="15" customHeight="1" x14ac:dyDescent="0.35">
      <c r="B790" s="94"/>
      <c r="C790" s="192"/>
      <c r="D790" s="193" t="str">
        <f>Translations!$B$279</f>
        <v>Specific embedded emissions:</v>
      </c>
      <c r="E790" s="194"/>
      <c r="F790" s="195"/>
      <c r="G790" s="195"/>
      <c r="H790" s="195"/>
      <c r="I790" s="195"/>
      <c r="J790" s="1327" t="str">
        <f>IF(G762="","",G762)</f>
        <v/>
      </c>
      <c r="K790" s="1327"/>
      <c r="L790" s="1327"/>
      <c r="M790" s="1327"/>
      <c r="N790" s="196"/>
      <c r="O790" s="428"/>
      <c r="T790" s="712"/>
    </row>
    <row r="791" spans="1:26" ht="5.15" customHeight="1" x14ac:dyDescent="0.35">
      <c r="B791" s="94"/>
      <c r="C791" s="192"/>
      <c r="D791" s="197"/>
      <c r="E791" s="198"/>
      <c r="F791" s="195"/>
      <c r="G791" s="195"/>
      <c r="H791" s="195"/>
      <c r="I791" s="195"/>
      <c r="J791" s="195"/>
      <c r="K791" s="195"/>
      <c r="L791" s="195"/>
      <c r="M791" s="195"/>
      <c r="N791" s="196"/>
      <c r="O791" s="428"/>
      <c r="T791" s="712"/>
    </row>
    <row r="792" spans="1:26" ht="12.75" customHeight="1" x14ac:dyDescent="0.35">
      <c r="B792" s="94"/>
      <c r="C792" s="192"/>
      <c r="D792" s="199" t="s">
        <v>411</v>
      </c>
      <c r="E792" s="198" t="str">
        <f>Translations!$B$280</f>
        <v>Emissions embedded in this purchased precursor</v>
      </c>
      <c r="F792" s="198"/>
      <c r="G792" s="198"/>
      <c r="H792" s="198"/>
      <c r="I792" s="198"/>
      <c r="J792" s="198"/>
      <c r="K792" s="198"/>
      <c r="L792" s="198"/>
      <c r="M792" s="198"/>
      <c r="N792" s="196"/>
      <c r="O792" s="428"/>
      <c r="T792" s="712"/>
      <c r="V792" s="172"/>
      <c r="W792" s="172"/>
      <c r="X792" s="172"/>
      <c r="Z792" s="171"/>
    </row>
    <row r="793" spans="1:26" ht="4.9000000000000004" customHeight="1" x14ac:dyDescent="0.35">
      <c r="B793" s="94"/>
      <c r="C793" s="192"/>
      <c r="D793" s="199"/>
      <c r="E793" s="1328"/>
      <c r="F793" s="1328"/>
      <c r="G793" s="1328"/>
      <c r="H793" s="1328"/>
      <c r="I793" s="1328"/>
      <c r="J793" s="1328"/>
      <c r="K793" s="1328"/>
      <c r="L793" s="1328"/>
      <c r="M793" s="1328"/>
      <c r="N793" s="196"/>
      <c r="O793" s="428"/>
      <c r="T793" s="712"/>
    </row>
    <row r="794" spans="1:26" ht="13.15" customHeight="1" x14ac:dyDescent="0.35">
      <c r="B794" s="94"/>
      <c r="C794" s="192"/>
      <c r="D794" s="199"/>
      <c r="E794" s="1311" t="str">
        <f ca="1">HYPERLINK("#"&amp;ADDRESS(MATCH($S794,G_FurtherGuidance!$S:$S,0),3,,,G_FurtherGuidance!$U$2),CONST_LinkToGuidanceSheet)</f>
        <v>Please click on this link for further guidance on how to complete this section.</v>
      </c>
      <c r="F794" s="1312"/>
      <c r="G794" s="1312"/>
      <c r="H794" s="1312"/>
      <c r="I794" s="1312"/>
      <c r="J794" s="1312"/>
      <c r="K794" s="1312"/>
      <c r="L794" s="1312"/>
      <c r="M794" s="1312"/>
      <c r="N794" s="196"/>
      <c r="O794" s="428"/>
      <c r="R794" s="104" t="s">
        <v>2771</v>
      </c>
      <c r="S794" s="105">
        <v>4</v>
      </c>
      <c r="T794" s="712"/>
    </row>
    <row r="795" spans="1:26" ht="4.9000000000000004" customHeight="1" x14ac:dyDescent="0.35">
      <c r="B795" s="94"/>
      <c r="C795" s="192"/>
      <c r="D795" s="199"/>
      <c r="E795" s="1328"/>
      <c r="F795" s="1328"/>
      <c r="G795" s="1328"/>
      <c r="H795" s="1328"/>
      <c r="I795" s="1328"/>
      <c r="J795" s="1328"/>
      <c r="K795" s="1328"/>
      <c r="L795" s="1328"/>
      <c r="M795" s="1328"/>
      <c r="N795" s="384"/>
      <c r="O795" s="428"/>
      <c r="T795" s="712"/>
    </row>
    <row r="796" spans="1:26" ht="12.75" customHeight="1" x14ac:dyDescent="0.35">
      <c r="B796" s="94"/>
      <c r="C796" s="192"/>
      <c r="D796" s="199"/>
      <c r="E796" s="198" t="str">
        <f>Translations!$B$284</f>
        <v>Parameter:</v>
      </c>
      <c r="F796" s="195"/>
      <c r="G796" s="195"/>
      <c r="H796" s="195"/>
      <c r="I796" s="195"/>
      <c r="J796" s="195"/>
      <c r="K796" s="199" t="str">
        <f>Translations!$B$221</f>
        <v>Unit</v>
      </c>
      <c r="L796" s="199" t="str">
        <f>Translations!$B$260</f>
        <v>Value</v>
      </c>
      <c r="M796" s="199" t="str">
        <f>Translations!$B$285</f>
        <v>Source</v>
      </c>
      <c r="N796" s="196"/>
      <c r="O796" s="428"/>
      <c r="T796" s="764" t="s">
        <v>5</v>
      </c>
      <c r="U796" s="123" t="s">
        <v>2719</v>
      </c>
      <c r="V796" s="156" t="s">
        <v>3922</v>
      </c>
      <c r="W796" s="156"/>
      <c r="X796" s="156"/>
      <c r="Z796" s="171"/>
    </row>
    <row r="797" spans="1:26" ht="12.75" customHeight="1" x14ac:dyDescent="0.35">
      <c r="B797" s="94"/>
      <c r="C797" s="192"/>
      <c r="D797" s="197" t="s">
        <v>41</v>
      </c>
      <c r="E797" s="201" t="str">
        <f>Translations!$B$1969</f>
        <v>Specific embedded direct emissions (SEE (direct))</v>
      </c>
      <c r="F797" s="201"/>
      <c r="G797" s="201"/>
      <c r="H797" s="201"/>
      <c r="I797" s="201"/>
      <c r="J797" s="201"/>
      <c r="K797" s="217" t="str">
        <f>IF(L762="","",CONST_tCO2eq &amp; "/" &amp; K773)</f>
        <v/>
      </c>
      <c r="L797" s="215"/>
      <c r="M797" s="385"/>
      <c r="N797" s="196"/>
      <c r="O797" s="945"/>
      <c r="R797" s="102" t="str">
        <f>CONST_PurchPrecDefaultUsed&amp;G762</f>
        <v>PurchPrecDef_</v>
      </c>
      <c r="S797" s="102" t="str">
        <f>CONST_CNTR_EmbedEmDir&amp;G762</f>
        <v>EmbedEmDir_</v>
      </c>
      <c r="T797" s="124" t="str">
        <f>IF(G762="","",SUM(T773)*SUM(L797))</f>
        <v/>
      </c>
      <c r="U797" s="105" t="str">
        <f>IF(G762="","",IF(M797="",CONST_ERR_Incomplete,MATCH(M797,CONST_MeasDefaultUnknown,0)=2))</f>
        <v/>
      </c>
      <c r="V797" s="105" t="str">
        <f>IF(AND(G762&lt;&gt;"",COUNTA(L797:M797)=2),TRUE,IF(AND(G762&lt;&gt;"",COUNTA(L797:M797)&lt;2),CONST_ErrorOrMissing&amp;C762,CONST_NA))</f>
        <v>n.a.</v>
      </c>
      <c r="W797" s="156"/>
      <c r="X797" s="156"/>
      <c r="Z797" s="171"/>
    </row>
    <row r="798" spans="1:26" ht="12.75" customHeight="1" x14ac:dyDescent="0.35">
      <c r="B798" s="94"/>
      <c r="C798" s="192"/>
      <c r="D798" s="197" t="s">
        <v>42</v>
      </c>
      <c r="E798" s="759" t="str">
        <f>Translations!$B$1970</f>
        <v>Specific electricity consumption (for SEE (indirect))</v>
      </c>
      <c r="F798" s="759"/>
      <c r="G798" s="759"/>
      <c r="H798" s="759"/>
      <c r="I798" s="759"/>
      <c r="J798" s="759"/>
      <c r="K798" s="457" t="str">
        <f>IF(K797="","",CONST_MWh&amp;"/"&amp;K773)</f>
        <v/>
      </c>
      <c r="L798" s="760"/>
      <c r="M798" s="761"/>
      <c r="N798" s="196"/>
      <c r="O798" s="945"/>
      <c r="R798" s="102" t="str">
        <f>CONST_ElecConsumption&amp;G762</f>
        <v>ElecCons_</v>
      </c>
      <c r="S798" s="102"/>
      <c r="T798" s="124" t="str">
        <f>IF(G762="","",SUM(T773)*SUM(L798))</f>
        <v/>
      </c>
      <c r="U798" s="105" t="str">
        <f>IF(G762="","",IF(M798="",CONST_ERR_Incomplete,MATCH(M798,CONST_MeasDefaultUnknown,0)=2))</f>
        <v/>
      </c>
      <c r="V798" s="105" t="str">
        <f>IF(AND(G762&lt;&gt;"",COUNTA(L798:M798)=2),TRUE,IF(AND(G762&lt;&gt;"",COUNTA(L798:M798)&lt;2),CONST_ErrorOrMissing&amp;C762,CONST_NA))</f>
        <v>n.a.</v>
      </c>
      <c r="W798" s="156"/>
      <c r="X798" s="156"/>
      <c r="Z798" s="171"/>
    </row>
    <row r="799" spans="1:26" ht="12.75" customHeight="1" x14ac:dyDescent="0.35">
      <c r="B799" s="94"/>
      <c r="C799" s="192"/>
      <c r="D799" s="197" t="s">
        <v>43</v>
      </c>
      <c r="E799" s="1144" t="str">
        <f>Translations!$B$1971</f>
        <v>Electricity emission factor (for SEE (indirect))</v>
      </c>
      <c r="F799" s="1144"/>
      <c r="G799" s="1144"/>
      <c r="H799" s="1144"/>
      <c r="I799" s="1144"/>
      <c r="J799" s="1144"/>
      <c r="K799" s="1145" t="str">
        <f>IF(K797="","",CONST_tCO2eq&amp;"/"&amp;CONST_MWh)</f>
        <v/>
      </c>
      <c r="L799" s="1146"/>
      <c r="M799" s="762"/>
      <c r="N799" s="196"/>
      <c r="O799" s="945"/>
      <c r="R799" s="102" t="str">
        <f>CONST_CNTR_ElecEFMethod&amp;G762</f>
        <v>ElecEFMeth_</v>
      </c>
      <c r="S799" s="102"/>
      <c r="T799" s="124"/>
      <c r="U799" s="105" t="str">
        <f>IF(G762="","",M799)</f>
        <v/>
      </c>
      <c r="V799" s="105" t="str">
        <f>IF(AND(G762&lt;&gt;"",COUNTA(L799:M799)=2),TRUE,IF(AND(G762&lt;&gt;"",COUNTA(L799:M799)&lt;2),CONST_ErrorOrMissing&amp;C762,CONST_NA))</f>
        <v>n.a.</v>
      </c>
      <c r="W799" s="156"/>
      <c r="X799" s="156"/>
      <c r="Z799" s="171"/>
    </row>
    <row r="800" spans="1:26" x14ac:dyDescent="0.35">
      <c r="B800" s="94"/>
      <c r="C800" s="192"/>
      <c r="D800" s="197" t="s">
        <v>44</v>
      </c>
      <c r="E800" s="201" t="str">
        <f>Translations!$B$1972</f>
        <v>Specific embedded indirect emissions (SEE (indirect))</v>
      </c>
      <c r="F800" s="201"/>
      <c r="G800" s="201"/>
      <c r="H800" s="201"/>
      <c r="I800" s="201"/>
      <c r="J800" s="201"/>
      <c r="K800" s="217" t="str">
        <f>K797</f>
        <v/>
      </c>
      <c r="L800" s="1147" t="str">
        <f>IF(COUNT(L798:L799)=0,"",L798*L799)</f>
        <v/>
      </c>
      <c r="M800" s="758"/>
      <c r="N800" s="196"/>
      <c r="O800" s="428"/>
      <c r="R800" s="171"/>
      <c r="S800" s="102" t="str">
        <f>CONST_CNTR_EmbedEmInDir&amp;G762</f>
        <v>EmbedEmInDir_</v>
      </c>
      <c r="T800" s="124" t="str">
        <f>IF(G762="","",SUM(T773)*SUM(L800))</f>
        <v/>
      </c>
      <c r="Z800" s="171"/>
    </row>
    <row r="801" spans="1:26" ht="5.15" customHeight="1" x14ac:dyDescent="0.35">
      <c r="B801" s="94"/>
      <c r="C801" s="192"/>
      <c r="D801" s="197"/>
      <c r="E801" s="195"/>
      <c r="F801" s="195"/>
      <c r="G801" s="195"/>
      <c r="H801" s="195"/>
      <c r="I801" s="195"/>
      <c r="J801" s="195"/>
      <c r="K801" s="195"/>
      <c r="L801" s="195"/>
      <c r="M801" s="195"/>
      <c r="N801" s="196"/>
      <c r="O801" s="428"/>
      <c r="R801" s="171"/>
      <c r="S801" s="171"/>
      <c r="T801" s="125"/>
      <c r="U801" s="156"/>
      <c r="V801" s="172"/>
      <c r="W801" s="172"/>
      <c r="X801" s="172"/>
      <c r="Z801" s="171"/>
    </row>
    <row r="802" spans="1:26" ht="12.75" customHeight="1" x14ac:dyDescent="0.35">
      <c r="B802" s="94"/>
      <c r="C802" s="192"/>
      <c r="D802" s="197" t="s">
        <v>45</v>
      </c>
      <c r="E802" s="201" t="str">
        <f>Translations!$B$1858</f>
        <v>Justification for use of default values (if relevant):</v>
      </c>
      <c r="F802" s="201"/>
      <c r="G802" s="201"/>
      <c r="H802" s="201"/>
      <c r="I802" s="201"/>
      <c r="J802" s="201"/>
      <c r="K802" s="1329"/>
      <c r="L802" s="1329"/>
      <c r="M802" s="1329"/>
      <c r="N802" s="196"/>
      <c r="O802" s="945"/>
      <c r="R802" s="171"/>
      <c r="S802" s="171"/>
      <c r="T802" s="125"/>
      <c r="U802" s="156"/>
      <c r="V802" s="105" t="str">
        <f>IF(OR(G762="",Z802=TRUE),CONST_NA,IF(K802&lt;&gt;"",TRUE,CONST_ErrorOrMissing&amp;C762))</f>
        <v>n.a.</v>
      </c>
      <c r="W802" s="172"/>
      <c r="X802" s="172"/>
      <c r="Z802" s="102" t="b">
        <f>AND(M797&lt;&gt;"",M797&lt;&gt;INDEX(CONST_MeasDefaultUnknown,2),M798&lt;&gt;"",M798&lt;&gt;INDEX(CONST_MeasDefaultUnknown,2))</f>
        <v>0</v>
      </c>
    </row>
    <row r="803" spans="1:26" s="144" customFormat="1" ht="12.75" customHeight="1" thickBot="1" x14ac:dyDescent="0.4">
      <c r="A803" s="91"/>
      <c r="B803" s="94"/>
      <c r="C803" s="206"/>
      <c r="D803" s="207"/>
      <c r="E803" s="208"/>
      <c r="F803" s="209"/>
      <c r="G803" s="209"/>
      <c r="H803" s="209"/>
      <c r="I803" s="209"/>
      <c r="J803" s="209"/>
      <c r="K803" s="209"/>
      <c r="L803" s="209"/>
      <c r="M803" s="209"/>
      <c r="N803" s="210"/>
      <c r="O803" s="428"/>
      <c r="P803" s="94"/>
      <c r="Q803" s="93"/>
      <c r="R803" s="91"/>
      <c r="S803" s="91"/>
      <c r="T803" s="712"/>
      <c r="U803" s="91"/>
      <c r="V803" s="91"/>
      <c r="W803" s="91"/>
      <c r="X803" s="91"/>
      <c r="Y803" s="91"/>
      <c r="Z803" s="91"/>
    </row>
    <row r="804" spans="1:26" s="144" customFormat="1" ht="12.75" customHeight="1" thickBot="1" x14ac:dyDescent="0.4">
      <c r="A804" s="91"/>
      <c r="B804" s="94"/>
      <c r="O804" s="428"/>
      <c r="P804" s="94"/>
      <c r="Q804" s="93"/>
      <c r="R804" s="91"/>
      <c r="S804" s="91"/>
      <c r="T804" s="712"/>
      <c r="U804" s="91"/>
      <c r="V804" s="91"/>
      <c r="W804" s="91"/>
      <c r="X804" s="91"/>
      <c r="Y804" s="91"/>
      <c r="Z804" s="91"/>
    </row>
    <row r="805" spans="1:26" s="144" customFormat="1" ht="12.75" customHeight="1" thickBot="1" x14ac:dyDescent="0.4">
      <c r="A805" s="91"/>
      <c r="B805" s="946"/>
      <c r="C805" s="145"/>
      <c r="D805" s="145"/>
      <c r="E805" s="145"/>
      <c r="F805" s="145"/>
      <c r="G805" s="145"/>
      <c r="H805" s="145"/>
      <c r="I805" s="145"/>
      <c r="J805" s="145"/>
      <c r="K805" s="145"/>
      <c r="L805" s="145"/>
      <c r="M805" s="145"/>
      <c r="N805" s="145"/>
      <c r="O805" s="947"/>
      <c r="P805" s="94"/>
      <c r="Q805" s="93"/>
      <c r="R805" s="91"/>
      <c r="S805" s="91"/>
      <c r="T805" s="712"/>
      <c r="U805" s="91"/>
      <c r="V805" s="91"/>
      <c r="W805" s="91"/>
      <c r="X805" s="91"/>
      <c r="Y805" s="91"/>
      <c r="Z805" s="91"/>
    </row>
    <row r="806" spans="1:26" ht="18" customHeight="1" thickBot="1" x14ac:dyDescent="0.4">
      <c r="B806" s="94"/>
      <c r="C806" s="147">
        <f>C762+1</f>
        <v>19</v>
      </c>
      <c r="D806" s="944" t="str">
        <f>CONST_PurchPrecursor &amp; " " &amp; C806 &amp; ":"</f>
        <v>Purchased precursor 19:</v>
      </c>
      <c r="E806" s="144"/>
      <c r="F806" s="144"/>
      <c r="G806" s="1313" t="str">
        <f>IF(INDEX(CNTR_List_ExistPurchPrecNames,MATCH(R806,CNTR_ListPurchPrecID,0))=CONST_NA,"",INDEX(CNTR_List_ExistPurchPrecNames,MATCH(R806,CNTR_ListPurchPrecID,0)))</f>
        <v/>
      </c>
      <c r="H806" s="1314"/>
      <c r="I806" s="1314"/>
      <c r="J806" s="1314"/>
      <c r="K806" s="1315"/>
      <c r="L806" s="1316" t="str">
        <f>IF(INDEX(CNTR_List_ExistPurchPrec,MATCH(R806,CNTR_ListPurchPrecID,0))=CONST_NA,"",INDEX(CNTR_List_ExistPurchPrec,MATCH(R806,CNTR_ListPurchPrecID,0)))</f>
        <v/>
      </c>
      <c r="M806" s="1317"/>
      <c r="N806" s="1318"/>
      <c r="O806" s="428"/>
      <c r="R806" s="149" t="str">
        <f>INDEX(CNTR_ListPurchPrecID,C806)</f>
        <v>PP19</v>
      </c>
      <c r="Y806" s="104" t="s">
        <v>2748</v>
      </c>
      <c r="Z806" s="150" t="b">
        <f>AND(CNTR_HasEntriesA,G806="")</f>
        <v>0</v>
      </c>
    </row>
    <row r="807" spans="1:26" ht="26.5" customHeight="1" x14ac:dyDescent="0.35">
      <c r="B807" s="94"/>
      <c r="C807" s="144"/>
      <c r="D807" s="914"/>
      <c r="E807" s="1325" t="str">
        <f ca="1">HYPERLINK("#"&amp;ADDRESS(MATCH($S807,G_FurtherGuidance!$S:$S,0),3,,,G_FurtherGuidance!$U$2),CONST_LinkToGuidanceSheet)</f>
        <v>Please click on this link for further guidance on how to complete this section.</v>
      </c>
      <c r="F807" s="1326"/>
      <c r="G807" s="1326"/>
      <c r="H807" s="1326"/>
      <c r="I807" s="1326"/>
      <c r="J807" s="1326"/>
      <c r="K807" s="1326"/>
      <c r="L807" s="1326"/>
      <c r="M807" s="1326"/>
      <c r="N807" s="144"/>
      <c r="O807" s="428"/>
      <c r="R807" s="104" t="s">
        <v>2771</v>
      </c>
      <c r="S807" s="105">
        <v>4</v>
      </c>
      <c r="Y807" s="104"/>
    </row>
    <row r="808" spans="1:26" ht="12.75" customHeight="1" x14ac:dyDescent="0.35">
      <c r="B808" s="94"/>
      <c r="C808" s="144"/>
      <c r="D808" s="168" t="s">
        <v>135</v>
      </c>
      <c r="E808" s="167" t="str">
        <f>Translations!$B$276</f>
        <v>Total purchased levels:</v>
      </c>
      <c r="F808" s="144"/>
      <c r="G808" s="144"/>
      <c r="H808" s="151" t="str">
        <f>Translations!$B$244</f>
        <v>Production route</v>
      </c>
      <c r="I808" s="144"/>
      <c r="J808" s="144"/>
      <c r="K808" s="152" t="str">
        <f>Translations!$B$221</f>
        <v>Unit</v>
      </c>
      <c r="L808" s="152" t="str">
        <f>Translations!$B$245</f>
        <v>Amounts</v>
      </c>
      <c r="M808" s="144"/>
      <c r="N808" s="144"/>
      <c r="O808" s="428"/>
      <c r="Y808" s="91" t="s">
        <v>4077</v>
      </c>
    </row>
    <row r="809" spans="1:26" ht="12.75" customHeight="1" x14ac:dyDescent="0.35">
      <c r="B809" s="94"/>
      <c r="C809" s="144"/>
      <c r="D809" s="173">
        <v>1</v>
      </c>
      <c r="E809" s="153" t="str">
        <f>IF(G806="","",G806) &amp; IF(L806="",""," | " &amp; L806)</f>
        <v/>
      </c>
      <c r="F809" s="153"/>
      <c r="G809" s="153"/>
      <c r="H809" s="154" t="str">
        <f>IF(L806="","",INDEX(CONST_MATRIX_ProductionRoute,MATCH(L806,CONST_LIST_Goods,0),D809))</f>
        <v/>
      </c>
      <c r="I809" s="153"/>
      <c r="J809" s="153"/>
      <c r="K809" s="155" t="str">
        <f>IF(L806="","",INDEX(CONST_LIST_GoodsUnit,MATCH(L806,CONST_LIST_Goods,0)))</f>
        <v/>
      </c>
      <c r="L809" s="29"/>
      <c r="M809" s="144"/>
      <c r="N809" s="144"/>
      <c r="O809" s="945"/>
      <c r="S809" s="105">
        <v>1</v>
      </c>
      <c r="V809" s="105" t="str">
        <f>IF(AND(Y809=FALSE,ISNUMBER(L809)),TRUE,IF(Y809=FALSE,CONST_ErrorOrMissing&amp;C806,CONST_NA))</f>
        <v>n.a.</v>
      </c>
      <c r="Y809" s="105" t="str">
        <f>IF(OR(H809="",H809=CONST_NA),"",IF(H809=CONST_AllProdRoutes,FALSE, COUNTIF(INDEX(CNTR_MatrixPurchPrecRoutes,C806,),S809)=0))</f>
        <v/>
      </c>
    </row>
    <row r="810" spans="1:26" ht="12.75" customHeight="1" x14ac:dyDescent="0.35">
      <c r="B810" s="94"/>
      <c r="C810" s="144"/>
      <c r="D810" s="173">
        <v>2</v>
      </c>
      <c r="E810" s="158" t="str">
        <f t="shared" ref="E810:E816" si="90">IF(H810=CONST_NA,"",E809)</f>
        <v/>
      </c>
      <c r="F810" s="158"/>
      <c r="G810" s="158"/>
      <c r="H810" s="159" t="str">
        <f>IF(L806="","",INDEX(CONST_MATRIX_ProductionRoute,MATCH(L806,CONST_LIST_Goods,0),D810))</f>
        <v/>
      </c>
      <c r="I810" s="158"/>
      <c r="J810" s="158"/>
      <c r="K810" s="160" t="str">
        <f t="shared" ref="K810:K816" si="91">IF(H810=CONST_NA,"",K809)</f>
        <v/>
      </c>
      <c r="L810" s="30"/>
      <c r="M810" s="144"/>
      <c r="N810" s="144"/>
      <c r="O810" s="945"/>
      <c r="S810" s="105">
        <v>2</v>
      </c>
      <c r="V810" s="105" t="str">
        <f>IF(AND(Y810=FALSE,ISNUMBER(L810)),TRUE,IF(Y810=FALSE,CONST_ErrorOrMissing&amp;C806,CONST_NA))</f>
        <v>n.a.</v>
      </c>
      <c r="Y810" s="105" t="str">
        <f>IF(OR(H810="",H810=CONST_NA),"",IF(H810=CONST_AllProdRoutes,FALSE, COUNTIF(INDEX(CNTR_MatrixPurchPrecRoutes,C806,),S810)=0))</f>
        <v/>
      </c>
    </row>
    <row r="811" spans="1:26" ht="12.75" customHeight="1" x14ac:dyDescent="0.35">
      <c r="B811" s="94"/>
      <c r="C811" s="144"/>
      <c r="D811" s="173">
        <v>3</v>
      </c>
      <c r="E811" s="158" t="str">
        <f t="shared" si="90"/>
        <v/>
      </c>
      <c r="F811" s="158"/>
      <c r="G811" s="158"/>
      <c r="H811" s="159" t="str">
        <f>IF(L806="","",INDEX(CONST_MATRIX_ProductionRoute,MATCH(L806,CONST_LIST_Goods,0),D811))</f>
        <v/>
      </c>
      <c r="I811" s="158"/>
      <c r="J811" s="158"/>
      <c r="K811" s="160" t="str">
        <f t="shared" si="91"/>
        <v/>
      </c>
      <c r="L811" s="30"/>
      <c r="M811" s="144"/>
      <c r="N811" s="144"/>
      <c r="O811" s="945"/>
      <c r="S811" s="105">
        <v>3</v>
      </c>
      <c r="V811" s="105" t="str">
        <f>IF(AND(Y811=FALSE,ISNUMBER(L811)),TRUE,IF(Y811=FALSE,CONST_ErrorOrMissing&amp;C806,CONST_NA))</f>
        <v>n.a.</v>
      </c>
      <c r="Y811" s="105" t="str">
        <f>IF(OR(H811="",H811=CONST_NA),"",IF(H811=CONST_AllProdRoutes,FALSE, COUNTIF(INDEX(CNTR_MatrixPurchPrecRoutes,C806,),S811)=0))</f>
        <v/>
      </c>
    </row>
    <row r="812" spans="1:26" ht="12.75" customHeight="1" x14ac:dyDescent="0.35">
      <c r="B812" s="94"/>
      <c r="C812" s="144"/>
      <c r="D812" s="173">
        <v>4</v>
      </c>
      <c r="E812" s="158" t="str">
        <f t="shared" si="90"/>
        <v/>
      </c>
      <c r="F812" s="158"/>
      <c r="G812" s="158"/>
      <c r="H812" s="159" t="str">
        <f>IF(L806="","",INDEX(CONST_MATRIX_ProductionRoute,MATCH(L806,CONST_LIST_Goods,0),D812))</f>
        <v/>
      </c>
      <c r="I812" s="158"/>
      <c r="J812" s="158"/>
      <c r="K812" s="160" t="str">
        <f t="shared" si="91"/>
        <v/>
      </c>
      <c r="L812" s="30"/>
      <c r="M812" s="144"/>
      <c r="N812" s="144"/>
      <c r="O812" s="945"/>
      <c r="S812" s="105">
        <v>4</v>
      </c>
      <c r="V812" s="105" t="str">
        <f>IF(AND(Y812=FALSE,ISNUMBER(L812)),TRUE,IF(Y812=FALSE,CONST_ErrorOrMissing&amp;C806,CONST_NA))</f>
        <v>n.a.</v>
      </c>
      <c r="Y812" s="105" t="str">
        <f>IF(OR(H812="",H812=CONST_NA),"",IF(H812=CONST_AllProdRoutes,FALSE, COUNTIF(INDEX(CNTR_MatrixPurchPrecRoutes,C806,),S812)=0))</f>
        <v/>
      </c>
    </row>
    <row r="813" spans="1:26" ht="12.75" customHeight="1" x14ac:dyDescent="0.35">
      <c r="B813" s="94"/>
      <c r="C813" s="144"/>
      <c r="D813" s="173">
        <v>5</v>
      </c>
      <c r="E813" s="158" t="str">
        <f t="shared" si="90"/>
        <v/>
      </c>
      <c r="F813" s="158"/>
      <c r="G813" s="158"/>
      <c r="H813" s="159" t="str">
        <f>IF(L806="","",INDEX(CONST_MATRIX_ProductionRoute,MATCH(L806,CONST_LIST_Goods,0),D813))</f>
        <v/>
      </c>
      <c r="I813" s="158"/>
      <c r="J813" s="158"/>
      <c r="K813" s="160" t="str">
        <f t="shared" si="91"/>
        <v/>
      </c>
      <c r="L813" s="30"/>
      <c r="M813" s="144"/>
      <c r="N813" s="144"/>
      <c r="O813" s="945"/>
      <c r="S813" s="105">
        <v>5</v>
      </c>
      <c r="V813" s="105" t="str">
        <f>IF(AND(Y813=FALSE,ISNUMBER(L813)),TRUE,IF(Y813=FALSE,CONST_ErrorOrMissing&amp;C806,CONST_NA))</f>
        <v>n.a.</v>
      </c>
      <c r="Y813" s="105" t="str">
        <f>IF(OR(H813="",H813=CONST_NA),"",IF(H813=CONST_AllProdRoutes,FALSE, COUNTIF(INDEX(CNTR_MatrixPurchPrecRoutes,C806,),S813)=0))</f>
        <v/>
      </c>
    </row>
    <row r="814" spans="1:26" ht="12.75" customHeight="1" x14ac:dyDescent="0.35">
      <c r="B814" s="94"/>
      <c r="C814" s="144"/>
      <c r="D814" s="173">
        <v>6</v>
      </c>
      <c r="E814" s="158" t="str">
        <f t="shared" si="90"/>
        <v/>
      </c>
      <c r="F814" s="158"/>
      <c r="G814" s="158"/>
      <c r="H814" s="159" t="str">
        <f>IF(L806="","",INDEX(CONST_MATRIX_ProductionRoute,MATCH(L806,CONST_LIST_Goods,0),D814))</f>
        <v/>
      </c>
      <c r="I814" s="158"/>
      <c r="J814" s="158"/>
      <c r="K814" s="160" t="str">
        <f t="shared" si="91"/>
        <v/>
      </c>
      <c r="L814" s="30"/>
      <c r="M814" s="144"/>
      <c r="N814" s="144"/>
      <c r="O814" s="945"/>
      <c r="S814" s="105">
        <v>6</v>
      </c>
      <c r="V814" s="105" t="str">
        <f>IF(AND(Y814=FALSE,ISNUMBER(L814)),TRUE,IF(Y814=FALSE,CONST_ErrorOrMissing&amp;C806,CONST_NA))</f>
        <v>n.a.</v>
      </c>
      <c r="Y814" s="105" t="str">
        <f>IF(OR(H814="",H814=CONST_NA),"",IF(H814=CONST_AllProdRoutes,FALSE, COUNTIF(INDEX(CNTR_MatrixPurchPrecRoutes,C806,),S814)=0))</f>
        <v/>
      </c>
    </row>
    <row r="815" spans="1:26" ht="12.75" customHeight="1" x14ac:dyDescent="0.35">
      <c r="B815" s="94"/>
      <c r="C815" s="144"/>
      <c r="D815" s="173">
        <v>7</v>
      </c>
      <c r="E815" s="158" t="str">
        <f t="shared" si="90"/>
        <v/>
      </c>
      <c r="F815" s="158"/>
      <c r="G815" s="158"/>
      <c r="H815" s="159" t="str">
        <f>IF(L806="","",INDEX(CONST_MATRIX_ProductionRoute,MATCH(L806,CONST_LIST_Goods,0),D815))</f>
        <v/>
      </c>
      <c r="I815" s="158"/>
      <c r="J815" s="158"/>
      <c r="K815" s="160" t="str">
        <f t="shared" si="91"/>
        <v/>
      </c>
      <c r="L815" s="30"/>
      <c r="M815" s="144"/>
      <c r="N815" s="144"/>
      <c r="O815" s="945"/>
      <c r="S815" s="105">
        <v>7</v>
      </c>
      <c r="V815" s="105" t="str">
        <f>IF(AND(Y815=FALSE,ISNUMBER(L815)),TRUE,IF(Y815=FALSE,CONST_ErrorOrMissing&amp;C806,CONST_NA))</f>
        <v>n.a.</v>
      </c>
      <c r="Y815" s="105" t="str">
        <f>IF(OR(H815="",H815=CONST_NA),"",IF(H815=CONST_AllProdRoutes,FALSE, COUNTIF(INDEX(CNTR_MatrixPurchPrecRoutes,C806,),S815)=0))</f>
        <v/>
      </c>
    </row>
    <row r="816" spans="1:26" ht="12.75" customHeight="1" x14ac:dyDescent="0.35">
      <c r="B816" s="94"/>
      <c r="C816" s="144"/>
      <c r="D816" s="173">
        <v>8</v>
      </c>
      <c r="E816" s="161" t="str">
        <f t="shared" si="90"/>
        <v/>
      </c>
      <c r="F816" s="161"/>
      <c r="G816" s="161"/>
      <c r="H816" s="162" t="str">
        <f>IF(L806="","",INDEX(CONST_MATRIX_ProductionRoute,MATCH(L806,CONST_LIST_Goods,0),D816))</f>
        <v/>
      </c>
      <c r="I816" s="161"/>
      <c r="J816" s="161"/>
      <c r="K816" s="163" t="str">
        <f t="shared" si="91"/>
        <v/>
      </c>
      <c r="L816" s="31"/>
      <c r="M816" s="144"/>
      <c r="N816" s="144"/>
      <c r="O816" s="945"/>
      <c r="S816" s="105">
        <v>8</v>
      </c>
      <c r="V816" s="105" t="str">
        <f>IF(AND(Y816=FALSE,ISNUMBER(L816)),TRUE,IF(Y816=FALSE,CONST_ErrorOrMissing&amp;C806,CONST_NA))</f>
        <v>n.a.</v>
      </c>
      <c r="Y816" s="105" t="str">
        <f>IF(OR(H816="",H816=CONST_NA),"",IF(H816=CONST_AllProdRoutes,FALSE, COUNTIF(INDEX(CNTR_MatrixPurchPrecRoutes,C806,),S816)=0))</f>
        <v/>
      </c>
    </row>
    <row r="817" spans="1:26" ht="12.75" customHeight="1" x14ac:dyDescent="0.35">
      <c r="B817" s="94"/>
      <c r="C817" s="144"/>
      <c r="D817" s="914"/>
      <c r="E817" s="138" t="str">
        <f>Translations!$B$1966</f>
        <v>Total purchase for possible consumption within installation:</v>
      </c>
      <c r="F817" s="138"/>
      <c r="G817" s="138"/>
      <c r="H817" s="164"/>
      <c r="I817" s="138"/>
      <c r="J817" s="138"/>
      <c r="K817" s="169" t="str">
        <f>K809</f>
        <v/>
      </c>
      <c r="L817" s="386" t="str">
        <f>IF(G806="","",SUM(L809:L816))</f>
        <v/>
      </c>
      <c r="M817" s="144"/>
      <c r="N817" s="144"/>
      <c r="O817" s="428"/>
      <c r="R817" s="102" t="str">
        <f>CONST_CNTR_TotProd&amp;G806</f>
        <v>TotProd_</v>
      </c>
      <c r="T817" s="216" t="str">
        <f>IF(G806="","",IF(SUM(L817)=0,100,L817))</f>
        <v/>
      </c>
      <c r="V817" s="123"/>
    </row>
    <row r="818" spans="1:26" s="144" customFormat="1" ht="5.15" customHeight="1" x14ac:dyDescent="0.35">
      <c r="A818" s="91"/>
      <c r="B818" s="94"/>
      <c r="D818" s="166"/>
      <c r="E818" s="167"/>
      <c r="O818" s="428"/>
      <c r="P818" s="94"/>
      <c r="Q818" s="93"/>
      <c r="R818" s="91"/>
      <c r="S818" s="91"/>
      <c r="T818" s="712"/>
      <c r="U818" s="91"/>
      <c r="V818" s="123"/>
      <c r="W818" s="91"/>
      <c r="X818" s="91"/>
      <c r="Y818" s="91"/>
      <c r="Z818" s="91"/>
    </row>
    <row r="819" spans="1:26" s="144" customFormat="1" ht="12.75" customHeight="1" x14ac:dyDescent="0.35">
      <c r="A819" s="91"/>
      <c r="B819" s="94"/>
      <c r="D819" s="168" t="s">
        <v>48</v>
      </c>
      <c r="E819" s="167" t="str">
        <f>Translations!$B$1967</f>
        <v>Consumed in 'production processes' within the installation:</v>
      </c>
      <c r="F819" s="167"/>
      <c r="G819" s="167"/>
      <c r="H819" s="167"/>
      <c r="I819" s="167"/>
      <c r="J819" s="167"/>
      <c r="K819" s="168" t="str">
        <f>Translations!$B$221</f>
        <v>Unit</v>
      </c>
      <c r="L819" s="168" t="str">
        <f>Translations!$B$245</f>
        <v>Amounts</v>
      </c>
      <c r="O819" s="428"/>
      <c r="P819" s="94"/>
      <c r="Q819" s="93"/>
      <c r="R819" s="91"/>
      <c r="S819" s="123" t="s">
        <v>195</v>
      </c>
      <c r="T819" s="712"/>
      <c r="U819" s="91"/>
      <c r="V819" s="123"/>
      <c r="W819" s="91"/>
      <c r="X819" s="91"/>
      <c r="Y819" s="91"/>
      <c r="Z819" s="91"/>
    </row>
    <row r="820" spans="1:26" s="144" customFormat="1" ht="12.75" customHeight="1" x14ac:dyDescent="0.35">
      <c r="A820" s="91"/>
      <c r="B820" s="94"/>
      <c r="D820" s="173">
        <v>1</v>
      </c>
      <c r="E820" s="174" t="str">
        <f t="shared" ref="E820:E829" si="92">IF(INDEX(CNTR_List_ExistProdProcNames,S820)=CONST_NA,"",INDEX(CNTR_List_ExistProdProcNames,S820))</f>
        <v/>
      </c>
      <c r="F820" s="175"/>
      <c r="G820" s="175"/>
      <c r="H820" s="175"/>
      <c r="I820" s="175"/>
      <c r="J820" s="176"/>
      <c r="K820" s="155" t="str">
        <f>IF(E820="","",K817)</f>
        <v/>
      </c>
      <c r="L820" s="29"/>
      <c r="O820" s="945"/>
      <c r="P820" s="94"/>
      <c r="Q820" s="93"/>
      <c r="R820" s="102" t="str">
        <f>CONST_PrecursorToGoodInput&amp;G806 &amp;"_"&amp;E820</f>
        <v>PrecToGood__</v>
      </c>
      <c r="S820" s="105">
        <f>D820</f>
        <v>1</v>
      </c>
      <c r="T820" s="124" t="str">
        <f>IF(G806="","",L820)</f>
        <v/>
      </c>
      <c r="U820" s="91"/>
      <c r="V820" s="105" t="str">
        <f>IF(AND(G806&lt;&gt;"",E820&lt;&gt;"",L820&lt;&gt;""),TRUE,IF(AND(G806&lt;&gt;"",E820&lt;&gt;"",L820="",Z820=FALSE),CONST_ErrorOrMissing&amp;C806,CONST_NA))</f>
        <v>n.a.</v>
      </c>
      <c r="W820" s="172"/>
      <c r="X820" s="172"/>
      <c r="Y820" s="91" t="s">
        <v>34</v>
      </c>
      <c r="Z820" s="102" t="b">
        <f>IF(G806="",FALSE,E820="")</f>
        <v>0</v>
      </c>
    </row>
    <row r="821" spans="1:26" s="144" customFormat="1" ht="12.75" customHeight="1" x14ac:dyDescent="0.35">
      <c r="A821" s="91"/>
      <c r="B821" s="94"/>
      <c r="D821" s="173">
        <v>2</v>
      </c>
      <c r="E821" s="177" t="str">
        <f t="shared" si="92"/>
        <v/>
      </c>
      <c r="F821" s="178"/>
      <c r="G821" s="178"/>
      <c r="H821" s="178"/>
      <c r="I821" s="178"/>
      <c r="J821" s="179"/>
      <c r="K821" s="160" t="str">
        <f>IF(E821="","",K820)</f>
        <v/>
      </c>
      <c r="L821" s="30"/>
      <c r="O821" s="945"/>
      <c r="P821" s="94"/>
      <c r="Q821" s="93"/>
      <c r="R821" s="102" t="str">
        <f>CONST_PrecursorToGoodInput&amp;G806 &amp;"_"&amp;E821</f>
        <v>PrecToGood__</v>
      </c>
      <c r="S821" s="105">
        <f t="shared" ref="S821:S829" si="93">D821</f>
        <v>2</v>
      </c>
      <c r="T821" s="124" t="str">
        <f>IF(G806="","",L821)</f>
        <v/>
      </c>
      <c r="U821" s="91"/>
      <c r="V821" s="105" t="str">
        <f>IF(AND(G806&lt;&gt;"",E821&lt;&gt;"",L821&lt;&gt;""),TRUE,IF(AND(G806&lt;&gt;"",E821&lt;&gt;"",L821="",Z821=FALSE),CONST_ErrorOrMissing&amp;C806,CONST_NA))</f>
        <v>n.a.</v>
      </c>
      <c r="W821" s="172"/>
      <c r="X821" s="172"/>
      <c r="Y821" s="91"/>
      <c r="Z821" s="102" t="b">
        <f>IF(G806="",FALSE,E821="")</f>
        <v>0</v>
      </c>
    </row>
    <row r="822" spans="1:26" s="144" customFormat="1" ht="12.75" customHeight="1" x14ac:dyDescent="0.35">
      <c r="A822" s="91"/>
      <c r="B822" s="94"/>
      <c r="D822" s="173">
        <v>3</v>
      </c>
      <c r="E822" s="177" t="str">
        <f t="shared" si="92"/>
        <v/>
      </c>
      <c r="F822" s="178"/>
      <c r="G822" s="178"/>
      <c r="H822" s="178"/>
      <c r="I822" s="178"/>
      <c r="J822" s="179"/>
      <c r="K822" s="160" t="str">
        <f t="shared" ref="K822:K829" si="94">IF(E822="","",K821)</f>
        <v/>
      </c>
      <c r="L822" s="30"/>
      <c r="O822" s="945"/>
      <c r="P822" s="94"/>
      <c r="Q822" s="93"/>
      <c r="R822" s="102" t="str">
        <f>CONST_PrecursorToGoodInput&amp;G806 &amp;"_"&amp;E822</f>
        <v>PrecToGood__</v>
      </c>
      <c r="S822" s="105">
        <f t="shared" si="93"/>
        <v>3</v>
      </c>
      <c r="T822" s="124" t="str">
        <f>IF(G806="","",L822)</f>
        <v/>
      </c>
      <c r="U822" s="91"/>
      <c r="V822" s="105" t="str">
        <f>IF(AND(G806&lt;&gt;"",E822&lt;&gt;"",L822&lt;&gt;""),TRUE,IF(AND(G806&lt;&gt;"",E822&lt;&gt;"",L822="",Z822=FALSE),CONST_ErrorOrMissing&amp;C806,CONST_NA))</f>
        <v>n.a.</v>
      </c>
      <c r="W822" s="172"/>
      <c r="X822" s="172"/>
      <c r="Y822" s="91"/>
      <c r="Z822" s="102" t="b">
        <f>IF(G806="",FALSE,E822="")</f>
        <v>0</v>
      </c>
    </row>
    <row r="823" spans="1:26" s="144" customFormat="1" ht="12.75" customHeight="1" x14ac:dyDescent="0.35">
      <c r="A823" s="91"/>
      <c r="B823" s="94"/>
      <c r="D823" s="173">
        <v>4</v>
      </c>
      <c r="E823" s="177" t="str">
        <f t="shared" si="92"/>
        <v/>
      </c>
      <c r="F823" s="178"/>
      <c r="G823" s="178"/>
      <c r="H823" s="178"/>
      <c r="I823" s="178"/>
      <c r="J823" s="179"/>
      <c r="K823" s="160" t="str">
        <f t="shared" si="94"/>
        <v/>
      </c>
      <c r="L823" s="30"/>
      <c r="O823" s="945"/>
      <c r="P823" s="94"/>
      <c r="Q823" s="93"/>
      <c r="R823" s="102" t="str">
        <f>CONST_PrecursorToGoodInput&amp;G806 &amp;"_"&amp;E823</f>
        <v>PrecToGood__</v>
      </c>
      <c r="S823" s="105">
        <f t="shared" si="93"/>
        <v>4</v>
      </c>
      <c r="T823" s="124" t="str">
        <f>IF(G806="","",L823)</f>
        <v/>
      </c>
      <c r="U823" s="91"/>
      <c r="V823" s="105" t="str">
        <f>IF(AND(G806&lt;&gt;"",E823&lt;&gt;"",L823&lt;&gt;""),TRUE,IF(AND(G806&lt;&gt;"",E823&lt;&gt;"",L823="",Z823=FALSE),CONST_ErrorOrMissing&amp;C806,CONST_NA))</f>
        <v>n.a.</v>
      </c>
      <c r="W823" s="172"/>
      <c r="X823" s="172"/>
      <c r="Y823" s="91"/>
      <c r="Z823" s="102" t="b">
        <f>IF(G806="",FALSE,E823="")</f>
        <v>0</v>
      </c>
    </row>
    <row r="824" spans="1:26" s="144" customFormat="1" ht="12.75" customHeight="1" x14ac:dyDescent="0.35">
      <c r="A824" s="91"/>
      <c r="B824" s="94"/>
      <c r="D824" s="173">
        <v>5</v>
      </c>
      <c r="E824" s="180" t="str">
        <f t="shared" si="92"/>
        <v/>
      </c>
      <c r="F824" s="181"/>
      <c r="G824" s="181"/>
      <c r="H824" s="181"/>
      <c r="I824" s="181"/>
      <c r="J824" s="182"/>
      <c r="K824" s="183" t="str">
        <f t="shared" si="94"/>
        <v/>
      </c>
      <c r="L824" s="212"/>
      <c r="O824" s="945"/>
      <c r="P824" s="94"/>
      <c r="Q824" s="93"/>
      <c r="R824" s="102" t="str">
        <f>CONST_PrecursorToGoodInput&amp;G806 &amp;"_"&amp;E824</f>
        <v>PrecToGood__</v>
      </c>
      <c r="S824" s="105">
        <f t="shared" si="93"/>
        <v>5</v>
      </c>
      <c r="T824" s="124" t="str">
        <f>IF(G806="","",L824)</f>
        <v/>
      </c>
      <c r="U824" s="91"/>
      <c r="V824" s="105" t="str">
        <f>IF(AND(G806&lt;&gt;"",E824&lt;&gt;"",L824&lt;&gt;""),TRUE,IF(AND(G806&lt;&gt;"",E824&lt;&gt;"",L824="",Z824=FALSE),CONST_ErrorOrMissing&amp;C806,CONST_NA))</f>
        <v>n.a.</v>
      </c>
      <c r="W824" s="172"/>
      <c r="X824" s="172"/>
      <c r="Y824" s="91"/>
      <c r="Z824" s="102" t="b">
        <f>IF(G806="",FALSE,E824="")</f>
        <v>0</v>
      </c>
    </row>
    <row r="825" spans="1:26" s="144" customFormat="1" ht="12.75" customHeight="1" x14ac:dyDescent="0.35">
      <c r="A825" s="91"/>
      <c r="B825" s="94"/>
      <c r="D825" s="173">
        <v>6</v>
      </c>
      <c r="E825" s="180" t="str">
        <f t="shared" si="92"/>
        <v/>
      </c>
      <c r="F825" s="181"/>
      <c r="G825" s="181"/>
      <c r="H825" s="181"/>
      <c r="I825" s="181"/>
      <c r="J825" s="182"/>
      <c r="K825" s="183" t="str">
        <f t="shared" si="94"/>
        <v/>
      </c>
      <c r="L825" s="212"/>
      <c r="O825" s="945"/>
      <c r="P825" s="94"/>
      <c r="Q825" s="93"/>
      <c r="R825" s="102" t="str">
        <f>CONST_PrecursorToGoodInput&amp;G806 &amp;"_"&amp;E825</f>
        <v>PrecToGood__</v>
      </c>
      <c r="S825" s="105">
        <f t="shared" si="93"/>
        <v>6</v>
      </c>
      <c r="T825" s="124" t="str">
        <f>IF(G806="","",L825)</f>
        <v/>
      </c>
      <c r="U825" s="91"/>
      <c r="V825" s="105" t="str">
        <f>IF(AND(G806&lt;&gt;"",E825&lt;&gt;"",L825&lt;&gt;""),TRUE,IF(AND(G806&lt;&gt;"",E825&lt;&gt;"",L825="",Z825=FALSE),CONST_ErrorOrMissing&amp;C806,CONST_NA))</f>
        <v>n.a.</v>
      </c>
      <c r="W825" s="172"/>
      <c r="X825" s="172"/>
      <c r="Y825" s="91"/>
      <c r="Z825" s="102" t="b">
        <f>IF(G806="",FALSE,E825="")</f>
        <v>0</v>
      </c>
    </row>
    <row r="826" spans="1:26" s="144" customFormat="1" ht="12.75" customHeight="1" x14ac:dyDescent="0.35">
      <c r="A826" s="91"/>
      <c r="B826" s="94"/>
      <c r="D826" s="173">
        <v>7</v>
      </c>
      <c r="E826" s="180" t="str">
        <f t="shared" si="92"/>
        <v/>
      </c>
      <c r="F826" s="181"/>
      <c r="G826" s="181"/>
      <c r="H826" s="181"/>
      <c r="I826" s="181"/>
      <c r="J826" s="182"/>
      <c r="K826" s="183" t="str">
        <f t="shared" si="94"/>
        <v/>
      </c>
      <c r="L826" s="212"/>
      <c r="O826" s="945"/>
      <c r="P826" s="94"/>
      <c r="Q826" s="93"/>
      <c r="R826" s="102" t="str">
        <f>CONST_PrecursorToGoodInput&amp;G806 &amp;"_"&amp;E826</f>
        <v>PrecToGood__</v>
      </c>
      <c r="S826" s="105">
        <f t="shared" si="93"/>
        <v>7</v>
      </c>
      <c r="T826" s="124" t="str">
        <f>IF(G806="","",L826)</f>
        <v/>
      </c>
      <c r="U826" s="91"/>
      <c r="V826" s="105" t="str">
        <f>IF(AND(G806&lt;&gt;"",E826&lt;&gt;"",L826&lt;&gt;""),TRUE,IF(AND(G806&lt;&gt;"",E826&lt;&gt;"",L826="",Z826=FALSE),CONST_ErrorOrMissing&amp;C806,CONST_NA))</f>
        <v>n.a.</v>
      </c>
      <c r="W826" s="172"/>
      <c r="X826" s="172"/>
      <c r="Y826" s="91"/>
      <c r="Z826" s="102" t="b">
        <f>IF(G806="",FALSE,E826="")</f>
        <v>0</v>
      </c>
    </row>
    <row r="827" spans="1:26" s="144" customFormat="1" ht="12.75" customHeight="1" x14ac:dyDescent="0.35">
      <c r="A827" s="91"/>
      <c r="B827" s="94"/>
      <c r="D827" s="173">
        <v>8</v>
      </c>
      <c r="E827" s="180" t="str">
        <f t="shared" si="92"/>
        <v/>
      </c>
      <c r="F827" s="181"/>
      <c r="G827" s="181"/>
      <c r="H827" s="181"/>
      <c r="I827" s="181"/>
      <c r="J827" s="182"/>
      <c r="K827" s="183" t="str">
        <f t="shared" si="94"/>
        <v/>
      </c>
      <c r="L827" s="212"/>
      <c r="O827" s="945"/>
      <c r="P827" s="94"/>
      <c r="Q827" s="93"/>
      <c r="R827" s="102" t="str">
        <f>CONST_PrecursorToGoodInput&amp;G806 &amp;"_"&amp;E827</f>
        <v>PrecToGood__</v>
      </c>
      <c r="S827" s="105">
        <f t="shared" si="93"/>
        <v>8</v>
      </c>
      <c r="T827" s="124" t="str">
        <f>IF(G806="","",L827)</f>
        <v/>
      </c>
      <c r="U827" s="91"/>
      <c r="V827" s="105" t="str">
        <f>IF(AND(G806&lt;&gt;"",E827&lt;&gt;"",L827&lt;&gt;""),TRUE,IF(AND(G806&lt;&gt;"",E827&lt;&gt;"",L827="",Z827=FALSE),CONST_ErrorOrMissing&amp;C806,CONST_NA))</f>
        <v>n.a.</v>
      </c>
      <c r="W827" s="172"/>
      <c r="X827" s="172"/>
      <c r="Y827" s="91"/>
      <c r="Z827" s="102" t="b">
        <f>IF(G806="",FALSE,E827="")</f>
        <v>0</v>
      </c>
    </row>
    <row r="828" spans="1:26" s="144" customFormat="1" ht="12.75" customHeight="1" x14ac:dyDescent="0.35">
      <c r="A828" s="91"/>
      <c r="B828" s="94"/>
      <c r="D828" s="173">
        <v>9</v>
      </c>
      <c r="E828" s="180" t="str">
        <f t="shared" si="92"/>
        <v/>
      </c>
      <c r="F828" s="181"/>
      <c r="G828" s="181"/>
      <c r="H828" s="181"/>
      <c r="I828" s="181"/>
      <c r="J828" s="182"/>
      <c r="K828" s="183" t="str">
        <f t="shared" si="94"/>
        <v/>
      </c>
      <c r="L828" s="212"/>
      <c r="O828" s="945"/>
      <c r="P828" s="94"/>
      <c r="Q828" s="93"/>
      <c r="R828" s="102" t="str">
        <f>CONST_PrecursorToGoodInput&amp;G806 &amp;"_"&amp;E828</f>
        <v>PrecToGood__</v>
      </c>
      <c r="S828" s="105">
        <f t="shared" si="93"/>
        <v>9</v>
      </c>
      <c r="T828" s="124" t="str">
        <f>IF(G806="","",L828)</f>
        <v/>
      </c>
      <c r="U828" s="91"/>
      <c r="V828" s="105" t="str">
        <f>IF(AND(G806&lt;&gt;"",E828&lt;&gt;"",L828&lt;&gt;""),TRUE,IF(AND(G806&lt;&gt;"",E828&lt;&gt;"",L828="",Z828=FALSE),CONST_ErrorOrMissing&amp;C806,CONST_NA))</f>
        <v>n.a.</v>
      </c>
      <c r="W828" s="172"/>
      <c r="X828" s="172"/>
      <c r="Y828" s="91"/>
      <c r="Z828" s="102" t="b">
        <f>IF(G806="",FALSE,E828="")</f>
        <v>0</v>
      </c>
    </row>
    <row r="829" spans="1:26" s="144" customFormat="1" ht="12.75" customHeight="1" x14ac:dyDescent="0.35">
      <c r="A829" s="91"/>
      <c r="B829" s="94"/>
      <c r="D829" s="173">
        <v>10</v>
      </c>
      <c r="E829" s="184" t="str">
        <f t="shared" si="92"/>
        <v/>
      </c>
      <c r="F829" s="185"/>
      <c r="G829" s="185"/>
      <c r="H829" s="185"/>
      <c r="I829" s="185"/>
      <c r="J829" s="186"/>
      <c r="K829" s="163" t="str">
        <f t="shared" si="94"/>
        <v/>
      </c>
      <c r="L829" s="31"/>
      <c r="O829" s="945"/>
      <c r="P829" s="94"/>
      <c r="Q829" s="93"/>
      <c r="R829" s="102" t="str">
        <f>CONST_PrecursorToGoodInput&amp;G806 &amp;"_"&amp;E829</f>
        <v>PrecToGood__</v>
      </c>
      <c r="S829" s="105">
        <f t="shared" si="93"/>
        <v>10</v>
      </c>
      <c r="T829" s="124" t="str">
        <f>IF(G806="","",L829)</f>
        <v/>
      </c>
      <c r="U829" s="91"/>
      <c r="V829" s="105" t="str">
        <f>IF(AND(G806&lt;&gt;"",E829&lt;&gt;"",L829&lt;&gt;""),TRUE,IF(AND(G806&lt;&gt;"",E829&lt;&gt;"",L829="",Z829=FALSE),CONST_ErrorOrMissing&amp;C806,CONST_NA))</f>
        <v>n.a.</v>
      </c>
      <c r="W829" s="172"/>
      <c r="X829" s="172"/>
      <c r="Y829" s="91"/>
      <c r="Z829" s="102" t="b">
        <f>IF(G806="",FALSE,E829="")</f>
        <v>0</v>
      </c>
    </row>
    <row r="830" spans="1:26" s="144" customFormat="1" ht="12.75" customHeight="1" x14ac:dyDescent="0.35">
      <c r="A830" s="91"/>
      <c r="B830" s="94"/>
      <c r="D830" s="168" t="s">
        <v>49</v>
      </c>
      <c r="E830" s="167" t="str">
        <f>Translations!$B$1968</f>
        <v>Consumed for other purposes, e.g. sold or used for non-CBAM goods:</v>
      </c>
      <c r="F830" s="167"/>
      <c r="G830" s="167"/>
      <c r="H830" s="167"/>
      <c r="I830" s="167"/>
      <c r="J830" s="167"/>
      <c r="K830" s="169" t="str">
        <f>K817</f>
        <v/>
      </c>
      <c r="L830" s="211"/>
      <c r="O830" s="945"/>
      <c r="P830" s="94"/>
      <c r="Q830" s="93"/>
      <c r="R830" s="91"/>
      <c r="S830" s="91"/>
      <c r="T830" s="712"/>
      <c r="U830" s="91"/>
      <c r="V830" s="105" t="str">
        <f>IF(G806="",CONST_NA,IF(ISNUMBER(L830),TRUE,CONST_ErrorOrMissing&amp;C806))</f>
        <v>n.a.</v>
      </c>
      <c r="W830" s="91"/>
      <c r="X830" s="91"/>
      <c r="Y830" s="91"/>
      <c r="Z830" s="91"/>
    </row>
    <row r="831" spans="1:26" s="144" customFormat="1" ht="12.75" customHeight="1" x14ac:dyDescent="0.35">
      <c r="A831" s="91"/>
      <c r="B831" s="94"/>
      <c r="D831" s="168" t="s">
        <v>377</v>
      </c>
      <c r="E831" s="138" t="str">
        <f>Translations!$B$253</f>
        <v>Control:</v>
      </c>
      <c r="F831" s="170"/>
      <c r="G831" s="170"/>
      <c r="H831" s="170"/>
      <c r="I831" s="170"/>
      <c r="J831" s="170"/>
      <c r="K831" s="169" t="str">
        <f>K830</f>
        <v/>
      </c>
      <c r="L831" s="118" t="str">
        <f>IF(G806="","",SUM(L817)-SUM(L820:L830))</f>
        <v/>
      </c>
      <c r="O831" s="945"/>
      <c r="P831" s="94"/>
      <c r="Q831" s="93"/>
      <c r="R831" s="91"/>
      <c r="S831" s="91"/>
      <c r="T831" s="712"/>
      <c r="U831" s="91"/>
      <c r="V831" s="105" t="str">
        <f>IF(G806="",CONST_NA,IF(L831=0,TRUE,CONST_ErrorOrMissing&amp;C806))</f>
        <v>n.a.</v>
      </c>
      <c r="W831" s="91"/>
      <c r="X831" s="91"/>
      <c r="Y831" s="91"/>
      <c r="Z831" s="91"/>
    </row>
    <row r="832" spans="1:26" s="144" customFormat="1" ht="12.75" customHeight="1" thickBot="1" x14ac:dyDescent="0.4">
      <c r="A832" s="91"/>
      <c r="B832" s="94"/>
      <c r="O832" s="428"/>
      <c r="P832" s="94"/>
      <c r="Q832" s="93"/>
      <c r="R832" s="91"/>
      <c r="S832" s="91"/>
      <c r="T832" s="712"/>
      <c r="U832" s="91"/>
      <c r="V832" s="91"/>
      <c r="W832" s="91"/>
      <c r="X832" s="91"/>
      <c r="Y832" s="91"/>
      <c r="Z832" s="91"/>
    </row>
    <row r="833" spans="1:26" ht="12.75" customHeight="1" x14ac:dyDescent="0.35">
      <c r="B833" s="94"/>
      <c r="C833" s="187"/>
      <c r="D833" s="188"/>
      <c r="E833" s="189"/>
      <c r="F833" s="190"/>
      <c r="G833" s="190"/>
      <c r="H833" s="190"/>
      <c r="I833" s="190"/>
      <c r="J833" s="190"/>
      <c r="K833" s="190"/>
      <c r="L833" s="190"/>
      <c r="M833" s="190"/>
      <c r="N833" s="191"/>
      <c r="O833" s="428"/>
      <c r="T833" s="712"/>
    </row>
    <row r="834" spans="1:26" ht="15" customHeight="1" x14ac:dyDescent="0.35">
      <c r="B834" s="94"/>
      <c r="C834" s="192"/>
      <c r="D834" s="193" t="str">
        <f>Translations!$B$279</f>
        <v>Specific embedded emissions:</v>
      </c>
      <c r="E834" s="194"/>
      <c r="F834" s="195"/>
      <c r="G834" s="195"/>
      <c r="H834" s="195"/>
      <c r="I834" s="195"/>
      <c r="J834" s="1327" t="str">
        <f>IF(G806="","",G806)</f>
        <v/>
      </c>
      <c r="K834" s="1327"/>
      <c r="L834" s="1327"/>
      <c r="M834" s="1327"/>
      <c r="N834" s="196"/>
      <c r="O834" s="428"/>
      <c r="T834" s="712"/>
    </row>
    <row r="835" spans="1:26" ht="5.15" customHeight="1" x14ac:dyDescent="0.35">
      <c r="B835" s="94"/>
      <c r="C835" s="192"/>
      <c r="D835" s="197"/>
      <c r="E835" s="198"/>
      <c r="F835" s="195"/>
      <c r="G835" s="195"/>
      <c r="H835" s="195"/>
      <c r="I835" s="195"/>
      <c r="J835" s="195"/>
      <c r="K835" s="195"/>
      <c r="L835" s="195"/>
      <c r="M835" s="195"/>
      <c r="N835" s="196"/>
      <c r="O835" s="428"/>
      <c r="T835" s="712"/>
    </row>
    <row r="836" spans="1:26" ht="12.75" customHeight="1" x14ac:dyDescent="0.35">
      <c r="B836" s="94"/>
      <c r="C836" s="192"/>
      <c r="D836" s="199" t="s">
        <v>411</v>
      </c>
      <c r="E836" s="198" t="str">
        <f>Translations!$B$280</f>
        <v>Emissions embedded in this purchased precursor</v>
      </c>
      <c r="F836" s="198"/>
      <c r="G836" s="198"/>
      <c r="H836" s="198"/>
      <c r="I836" s="198"/>
      <c r="J836" s="198"/>
      <c r="K836" s="198"/>
      <c r="L836" s="198"/>
      <c r="M836" s="198"/>
      <c r="N836" s="196"/>
      <c r="O836" s="428"/>
      <c r="T836" s="712"/>
      <c r="V836" s="172"/>
      <c r="W836" s="172"/>
      <c r="X836" s="172"/>
      <c r="Z836" s="171"/>
    </row>
    <row r="837" spans="1:26" ht="4.9000000000000004" customHeight="1" x14ac:dyDescent="0.35">
      <c r="B837" s="94"/>
      <c r="C837" s="192"/>
      <c r="D837" s="199"/>
      <c r="E837" s="1328"/>
      <c r="F837" s="1328"/>
      <c r="G837" s="1328"/>
      <c r="H837" s="1328"/>
      <c r="I837" s="1328"/>
      <c r="J837" s="1328"/>
      <c r="K837" s="1328"/>
      <c r="L837" s="1328"/>
      <c r="M837" s="1328"/>
      <c r="N837" s="196"/>
      <c r="O837" s="428"/>
      <c r="T837" s="712"/>
    </row>
    <row r="838" spans="1:26" ht="13.15" customHeight="1" x14ac:dyDescent="0.35">
      <c r="B838" s="94"/>
      <c r="C838" s="192"/>
      <c r="D838" s="199"/>
      <c r="E838" s="1311" t="str">
        <f ca="1">HYPERLINK("#"&amp;ADDRESS(MATCH($S838,G_FurtherGuidance!$S:$S,0),3,,,G_FurtherGuidance!$U$2),CONST_LinkToGuidanceSheet)</f>
        <v>Please click on this link for further guidance on how to complete this section.</v>
      </c>
      <c r="F838" s="1312"/>
      <c r="G838" s="1312"/>
      <c r="H838" s="1312"/>
      <c r="I838" s="1312"/>
      <c r="J838" s="1312"/>
      <c r="K838" s="1312"/>
      <c r="L838" s="1312"/>
      <c r="M838" s="1312"/>
      <c r="N838" s="196"/>
      <c r="O838" s="428"/>
      <c r="R838" s="104" t="s">
        <v>2771</v>
      </c>
      <c r="S838" s="105">
        <v>4</v>
      </c>
      <c r="T838" s="712"/>
    </row>
    <row r="839" spans="1:26" ht="4.9000000000000004" customHeight="1" x14ac:dyDescent="0.35">
      <c r="B839" s="94"/>
      <c r="C839" s="192"/>
      <c r="D839" s="199"/>
      <c r="E839" s="1328"/>
      <c r="F839" s="1328"/>
      <c r="G839" s="1328"/>
      <c r="H839" s="1328"/>
      <c r="I839" s="1328"/>
      <c r="J839" s="1328"/>
      <c r="K839" s="1328"/>
      <c r="L839" s="1328"/>
      <c r="M839" s="1328"/>
      <c r="N839" s="384"/>
      <c r="O839" s="428"/>
      <c r="T839" s="712"/>
    </row>
    <row r="840" spans="1:26" ht="12.75" customHeight="1" x14ac:dyDescent="0.35">
      <c r="B840" s="94"/>
      <c r="C840" s="192"/>
      <c r="D840" s="199"/>
      <c r="E840" s="198" t="str">
        <f>Translations!$B$284</f>
        <v>Parameter:</v>
      </c>
      <c r="F840" s="195"/>
      <c r="G840" s="195"/>
      <c r="H840" s="195"/>
      <c r="I840" s="195"/>
      <c r="J840" s="195"/>
      <c r="K840" s="199" t="str">
        <f>Translations!$B$221</f>
        <v>Unit</v>
      </c>
      <c r="L840" s="199" t="str">
        <f>Translations!$B$260</f>
        <v>Value</v>
      </c>
      <c r="M840" s="199" t="str">
        <f>Translations!$B$285</f>
        <v>Source</v>
      </c>
      <c r="N840" s="196"/>
      <c r="O840" s="428"/>
      <c r="T840" s="764" t="s">
        <v>5</v>
      </c>
      <c r="U840" s="123" t="s">
        <v>2719</v>
      </c>
      <c r="V840" s="156" t="s">
        <v>3922</v>
      </c>
      <c r="W840" s="156"/>
      <c r="X840" s="156"/>
      <c r="Z840" s="171"/>
    </row>
    <row r="841" spans="1:26" ht="12.75" customHeight="1" x14ac:dyDescent="0.35">
      <c r="B841" s="94"/>
      <c r="C841" s="192"/>
      <c r="D841" s="197" t="s">
        <v>41</v>
      </c>
      <c r="E841" s="201" t="str">
        <f>Translations!$B$1969</f>
        <v>Specific embedded direct emissions (SEE (direct))</v>
      </c>
      <c r="F841" s="201"/>
      <c r="G841" s="201"/>
      <c r="H841" s="201"/>
      <c r="I841" s="201"/>
      <c r="J841" s="201"/>
      <c r="K841" s="217" t="str">
        <f>IF(L806="","",CONST_tCO2eq &amp; "/" &amp; K817)</f>
        <v/>
      </c>
      <c r="L841" s="215"/>
      <c r="M841" s="385"/>
      <c r="N841" s="196"/>
      <c r="O841" s="945"/>
      <c r="R841" s="102" t="str">
        <f>CONST_PurchPrecDefaultUsed&amp;G806</f>
        <v>PurchPrecDef_</v>
      </c>
      <c r="S841" s="102" t="str">
        <f>CONST_CNTR_EmbedEmDir&amp;G806</f>
        <v>EmbedEmDir_</v>
      </c>
      <c r="T841" s="124" t="str">
        <f>IF(G806="","",SUM(T817)*SUM(L841))</f>
        <v/>
      </c>
      <c r="U841" s="105" t="str">
        <f>IF(G806="","",IF(M841="",CONST_ERR_Incomplete,MATCH(M841,CONST_MeasDefaultUnknown,0)=2))</f>
        <v/>
      </c>
      <c r="V841" s="105" t="str">
        <f>IF(AND(G806&lt;&gt;"",COUNTA(L841:M841)=2),TRUE,IF(AND(G806&lt;&gt;"",COUNTA(L841:M841)&lt;2),CONST_ErrorOrMissing&amp;C806,CONST_NA))</f>
        <v>n.a.</v>
      </c>
      <c r="W841" s="156"/>
      <c r="X841" s="156"/>
      <c r="Z841" s="171"/>
    </row>
    <row r="842" spans="1:26" ht="12.75" customHeight="1" x14ac:dyDescent="0.35">
      <c r="B842" s="94"/>
      <c r="C842" s="192"/>
      <c r="D842" s="197" t="s">
        <v>42</v>
      </c>
      <c r="E842" s="759" t="str">
        <f>Translations!$B$1970</f>
        <v>Specific electricity consumption (for SEE (indirect))</v>
      </c>
      <c r="F842" s="759"/>
      <c r="G842" s="759"/>
      <c r="H842" s="759"/>
      <c r="I842" s="759"/>
      <c r="J842" s="759"/>
      <c r="K842" s="457" t="str">
        <f>IF(K841="","",CONST_MWh&amp;"/"&amp;K817)</f>
        <v/>
      </c>
      <c r="L842" s="760"/>
      <c r="M842" s="761"/>
      <c r="N842" s="196"/>
      <c r="O842" s="945"/>
      <c r="R842" s="102" t="str">
        <f>CONST_ElecConsumption&amp;G806</f>
        <v>ElecCons_</v>
      </c>
      <c r="S842" s="102"/>
      <c r="T842" s="124" t="str">
        <f>IF(G806="","",SUM(T817)*SUM(L842))</f>
        <v/>
      </c>
      <c r="U842" s="105" t="str">
        <f>IF(G806="","",IF(M842="",CONST_ERR_Incomplete,MATCH(M842,CONST_MeasDefaultUnknown,0)=2))</f>
        <v/>
      </c>
      <c r="V842" s="105" t="str">
        <f>IF(AND(G806&lt;&gt;"",COUNTA(L842:M842)=2),TRUE,IF(AND(G806&lt;&gt;"",COUNTA(L842:M842)&lt;2),CONST_ErrorOrMissing&amp;C806,CONST_NA))</f>
        <v>n.a.</v>
      </c>
      <c r="W842" s="156"/>
      <c r="X842" s="156"/>
      <c r="Z842" s="171"/>
    </row>
    <row r="843" spans="1:26" ht="12.75" customHeight="1" x14ac:dyDescent="0.35">
      <c r="B843" s="94"/>
      <c r="C843" s="192"/>
      <c r="D843" s="197" t="s">
        <v>43</v>
      </c>
      <c r="E843" s="1144" t="str">
        <f>Translations!$B$1971</f>
        <v>Electricity emission factor (for SEE (indirect))</v>
      </c>
      <c r="F843" s="1144"/>
      <c r="G843" s="1144"/>
      <c r="H843" s="1144"/>
      <c r="I843" s="1144"/>
      <c r="J843" s="1144"/>
      <c r="K843" s="1145" t="str">
        <f>IF(K841="","",CONST_tCO2eq&amp;"/"&amp;CONST_MWh)</f>
        <v/>
      </c>
      <c r="L843" s="1146"/>
      <c r="M843" s="762"/>
      <c r="N843" s="196"/>
      <c r="O843" s="945"/>
      <c r="R843" s="102" t="str">
        <f>CONST_CNTR_ElecEFMethod&amp;G806</f>
        <v>ElecEFMeth_</v>
      </c>
      <c r="S843" s="102"/>
      <c r="T843" s="124"/>
      <c r="U843" s="105" t="str">
        <f>IF(G806="","",M843)</f>
        <v/>
      </c>
      <c r="V843" s="105" t="str">
        <f>IF(AND(G806&lt;&gt;"",COUNTA(L843:M843)=2),TRUE,IF(AND(G806&lt;&gt;"",COUNTA(L843:M843)&lt;2),CONST_ErrorOrMissing&amp;C806,CONST_NA))</f>
        <v>n.a.</v>
      </c>
      <c r="W843" s="156"/>
      <c r="X843" s="156"/>
      <c r="Z843" s="171"/>
    </row>
    <row r="844" spans="1:26" x14ac:dyDescent="0.35">
      <c r="B844" s="94"/>
      <c r="C844" s="192"/>
      <c r="D844" s="197" t="s">
        <v>44</v>
      </c>
      <c r="E844" s="201" t="str">
        <f>Translations!$B$1972</f>
        <v>Specific embedded indirect emissions (SEE (indirect))</v>
      </c>
      <c r="F844" s="201"/>
      <c r="G844" s="201"/>
      <c r="H844" s="201"/>
      <c r="I844" s="201"/>
      <c r="J844" s="201"/>
      <c r="K844" s="217" t="str">
        <f>K841</f>
        <v/>
      </c>
      <c r="L844" s="1147" t="str">
        <f>IF(COUNT(L842:L843)=0,"",L842*L843)</f>
        <v/>
      </c>
      <c r="M844" s="758"/>
      <c r="N844" s="196"/>
      <c r="O844" s="428"/>
      <c r="R844" s="171"/>
      <c r="S844" s="102" t="str">
        <f>CONST_CNTR_EmbedEmInDir&amp;G806</f>
        <v>EmbedEmInDir_</v>
      </c>
      <c r="T844" s="124" t="str">
        <f>IF(G806="","",SUM(T817)*SUM(L844))</f>
        <v/>
      </c>
      <c r="Z844" s="171"/>
    </row>
    <row r="845" spans="1:26" ht="5.15" customHeight="1" x14ac:dyDescent="0.35">
      <c r="B845" s="94"/>
      <c r="C845" s="192"/>
      <c r="D845" s="197"/>
      <c r="E845" s="195"/>
      <c r="F845" s="195"/>
      <c r="G845" s="195"/>
      <c r="H845" s="195"/>
      <c r="I845" s="195"/>
      <c r="J845" s="195"/>
      <c r="K845" s="195"/>
      <c r="L845" s="195"/>
      <c r="M845" s="195"/>
      <c r="N845" s="196"/>
      <c r="O845" s="428"/>
      <c r="R845" s="171"/>
      <c r="S845" s="171"/>
      <c r="T845" s="125"/>
      <c r="U845" s="156"/>
      <c r="V845" s="172"/>
      <c r="W845" s="172"/>
      <c r="X845" s="172"/>
      <c r="Z845" s="171"/>
    </row>
    <row r="846" spans="1:26" ht="12.75" customHeight="1" x14ac:dyDescent="0.35">
      <c r="B846" s="94"/>
      <c r="C846" s="192"/>
      <c r="D846" s="197" t="s">
        <v>45</v>
      </c>
      <c r="E846" s="201" t="str">
        <f>Translations!$B$1858</f>
        <v>Justification for use of default values (if relevant):</v>
      </c>
      <c r="F846" s="201"/>
      <c r="G846" s="201"/>
      <c r="H846" s="201"/>
      <c r="I846" s="201"/>
      <c r="J846" s="201"/>
      <c r="K846" s="1329"/>
      <c r="L846" s="1329"/>
      <c r="M846" s="1329"/>
      <c r="N846" s="196"/>
      <c r="O846" s="945"/>
      <c r="R846" s="171"/>
      <c r="S846" s="171"/>
      <c r="T846" s="125"/>
      <c r="U846" s="156"/>
      <c r="V846" s="105" t="str">
        <f>IF(OR(G806="",Z846=TRUE),CONST_NA,IF(K846&lt;&gt;"",TRUE,CONST_ErrorOrMissing&amp;C806))</f>
        <v>n.a.</v>
      </c>
      <c r="W846" s="172"/>
      <c r="X846" s="172"/>
      <c r="Z846" s="102" t="b">
        <f>AND(M841&lt;&gt;"",M841&lt;&gt;INDEX(CONST_MeasDefaultUnknown,2),M842&lt;&gt;"",M842&lt;&gt;INDEX(CONST_MeasDefaultUnknown,2))</f>
        <v>0</v>
      </c>
    </row>
    <row r="847" spans="1:26" s="144" customFormat="1" ht="12.75" customHeight="1" thickBot="1" x14ac:dyDescent="0.4">
      <c r="A847" s="91"/>
      <c r="B847" s="94"/>
      <c r="C847" s="206"/>
      <c r="D847" s="207"/>
      <c r="E847" s="208"/>
      <c r="F847" s="209"/>
      <c r="G847" s="209"/>
      <c r="H847" s="209"/>
      <c r="I847" s="209"/>
      <c r="J847" s="209"/>
      <c r="K847" s="209"/>
      <c r="L847" s="209"/>
      <c r="M847" s="209"/>
      <c r="N847" s="210"/>
      <c r="O847" s="428"/>
      <c r="P847" s="94"/>
      <c r="Q847" s="93"/>
      <c r="R847" s="91"/>
      <c r="S847" s="91"/>
      <c r="T847" s="712"/>
      <c r="U847" s="91"/>
      <c r="V847" s="91"/>
      <c r="W847" s="91"/>
      <c r="X847" s="91"/>
      <c r="Y847" s="91"/>
      <c r="Z847" s="91"/>
    </row>
    <row r="848" spans="1:26" s="144" customFormat="1" ht="12.75" customHeight="1" thickBot="1" x14ac:dyDescent="0.4">
      <c r="A848" s="91"/>
      <c r="B848" s="94"/>
      <c r="O848" s="428"/>
      <c r="P848" s="94"/>
      <c r="Q848" s="93"/>
      <c r="R848" s="91"/>
      <c r="S848" s="91"/>
      <c r="T848" s="712"/>
      <c r="U848" s="91"/>
      <c r="V848" s="91"/>
      <c r="W848" s="91"/>
      <c r="X848" s="91"/>
      <c r="Y848" s="91"/>
      <c r="Z848" s="91"/>
    </row>
    <row r="849" spans="1:26" s="144" customFormat="1" ht="12.75" customHeight="1" thickBot="1" x14ac:dyDescent="0.4">
      <c r="A849" s="91"/>
      <c r="B849" s="946"/>
      <c r="C849" s="145"/>
      <c r="D849" s="145"/>
      <c r="E849" s="145"/>
      <c r="F849" s="145"/>
      <c r="G849" s="145"/>
      <c r="H849" s="145"/>
      <c r="I849" s="145"/>
      <c r="J849" s="145"/>
      <c r="K849" s="145"/>
      <c r="L849" s="145"/>
      <c r="M849" s="145"/>
      <c r="N849" s="145"/>
      <c r="O849" s="947"/>
      <c r="P849" s="94"/>
      <c r="Q849" s="93"/>
      <c r="R849" s="91"/>
      <c r="S849" s="91"/>
      <c r="T849" s="712"/>
      <c r="U849" s="91"/>
      <c r="V849" s="91"/>
      <c r="W849" s="91"/>
      <c r="X849" s="91"/>
      <c r="Y849" s="91"/>
      <c r="Z849" s="91"/>
    </row>
    <row r="850" spans="1:26" ht="18" customHeight="1" thickBot="1" x14ac:dyDescent="0.4">
      <c r="B850" s="94"/>
      <c r="C850" s="147">
        <f>C806+1</f>
        <v>20</v>
      </c>
      <c r="D850" s="944" t="str">
        <f>CONST_PurchPrecursor &amp; " " &amp; C850 &amp; ":"</f>
        <v>Purchased precursor 20:</v>
      </c>
      <c r="E850" s="144"/>
      <c r="F850" s="144"/>
      <c r="G850" s="1313" t="str">
        <f>IF(INDEX(CNTR_List_ExistPurchPrecNames,MATCH(R850,CNTR_ListPurchPrecID,0))=CONST_NA,"",INDEX(CNTR_List_ExistPurchPrecNames,MATCH(R850,CNTR_ListPurchPrecID,0)))</f>
        <v/>
      </c>
      <c r="H850" s="1314"/>
      <c r="I850" s="1314"/>
      <c r="J850" s="1314"/>
      <c r="K850" s="1315"/>
      <c r="L850" s="1316" t="str">
        <f>IF(INDEX(CNTR_List_ExistPurchPrec,MATCH(R850,CNTR_ListPurchPrecID,0))=CONST_NA,"",INDEX(CNTR_List_ExistPurchPrec,MATCH(R850,CNTR_ListPurchPrecID,0)))</f>
        <v/>
      </c>
      <c r="M850" s="1317"/>
      <c r="N850" s="1318"/>
      <c r="O850" s="428"/>
      <c r="R850" s="149" t="str">
        <f>INDEX(CNTR_ListPurchPrecID,C850)</f>
        <v>PP20</v>
      </c>
      <c r="Y850" s="104" t="s">
        <v>2748</v>
      </c>
      <c r="Z850" s="150" t="b">
        <f>AND(CNTR_HasEntriesA,G850="")</f>
        <v>0</v>
      </c>
    </row>
    <row r="851" spans="1:26" ht="26.5" customHeight="1" x14ac:dyDescent="0.35">
      <c r="B851" s="94"/>
      <c r="C851" s="144"/>
      <c r="D851" s="914"/>
      <c r="E851" s="1325" t="str">
        <f ca="1">HYPERLINK("#"&amp;ADDRESS(MATCH($S851,G_FurtherGuidance!$S:$S,0),3,,,G_FurtherGuidance!$U$2),CONST_LinkToGuidanceSheet)</f>
        <v>Please click on this link for further guidance on how to complete this section.</v>
      </c>
      <c r="F851" s="1326"/>
      <c r="G851" s="1326"/>
      <c r="H851" s="1326"/>
      <c r="I851" s="1326"/>
      <c r="J851" s="1326"/>
      <c r="K851" s="1326"/>
      <c r="L851" s="1326"/>
      <c r="M851" s="1326"/>
      <c r="N851" s="144"/>
      <c r="O851" s="428"/>
      <c r="R851" s="104" t="s">
        <v>2771</v>
      </c>
      <c r="S851" s="105">
        <v>4</v>
      </c>
      <c r="Y851" s="104"/>
    </row>
    <row r="852" spans="1:26" ht="12.75" customHeight="1" x14ac:dyDescent="0.35">
      <c r="B852" s="94"/>
      <c r="C852" s="144"/>
      <c r="D852" s="168" t="s">
        <v>135</v>
      </c>
      <c r="E852" s="167" t="str">
        <f>Translations!$B$276</f>
        <v>Total purchased levels:</v>
      </c>
      <c r="F852" s="144"/>
      <c r="G852" s="144"/>
      <c r="H852" s="151" t="str">
        <f>Translations!$B$244</f>
        <v>Production route</v>
      </c>
      <c r="I852" s="144"/>
      <c r="J852" s="144"/>
      <c r="K852" s="152" t="str">
        <f>Translations!$B$221</f>
        <v>Unit</v>
      </c>
      <c r="L852" s="152" t="str">
        <f>Translations!$B$245</f>
        <v>Amounts</v>
      </c>
      <c r="M852" s="144"/>
      <c r="N852" s="144"/>
      <c r="O852" s="428"/>
      <c r="Y852" s="91" t="s">
        <v>4077</v>
      </c>
    </row>
    <row r="853" spans="1:26" ht="12.75" customHeight="1" x14ac:dyDescent="0.35">
      <c r="B853" s="94"/>
      <c r="C853" s="144"/>
      <c r="D853" s="173">
        <v>1</v>
      </c>
      <c r="E853" s="153" t="str">
        <f>IF(G850="","",G850) &amp; IF(L850="",""," | " &amp; L850)</f>
        <v/>
      </c>
      <c r="F853" s="153"/>
      <c r="G853" s="153"/>
      <c r="H853" s="154" t="str">
        <f>IF(L850="","",INDEX(CONST_MATRIX_ProductionRoute,MATCH(L850,CONST_LIST_Goods,0),D853))</f>
        <v/>
      </c>
      <c r="I853" s="153"/>
      <c r="J853" s="153"/>
      <c r="K853" s="155" t="str">
        <f>IF(L850="","",INDEX(CONST_LIST_GoodsUnit,MATCH(L850,CONST_LIST_Goods,0)))</f>
        <v/>
      </c>
      <c r="L853" s="29"/>
      <c r="M853" s="144"/>
      <c r="N853" s="144"/>
      <c r="O853" s="945"/>
      <c r="S853" s="105">
        <v>1</v>
      </c>
      <c r="V853" s="105" t="str">
        <f>IF(AND(Y853=FALSE,ISNUMBER(L853)),TRUE,IF(Y853=FALSE,CONST_ErrorOrMissing&amp;C850,CONST_NA))</f>
        <v>n.a.</v>
      </c>
      <c r="Y853" s="105" t="str">
        <f>IF(OR(H853="",H853=CONST_NA),"",IF(H853=CONST_AllProdRoutes,FALSE, COUNTIF(INDEX(CNTR_MatrixPurchPrecRoutes,C850,),S853)=0))</f>
        <v/>
      </c>
    </row>
    <row r="854" spans="1:26" ht="12.75" customHeight="1" x14ac:dyDescent="0.35">
      <c r="B854" s="94"/>
      <c r="C854" s="144"/>
      <c r="D854" s="173">
        <v>2</v>
      </c>
      <c r="E854" s="158" t="str">
        <f t="shared" ref="E854:E860" si="95">IF(H854=CONST_NA,"",E853)</f>
        <v/>
      </c>
      <c r="F854" s="158"/>
      <c r="G854" s="158"/>
      <c r="H854" s="159" t="str">
        <f>IF(L850="","",INDEX(CONST_MATRIX_ProductionRoute,MATCH(L850,CONST_LIST_Goods,0),D854))</f>
        <v/>
      </c>
      <c r="I854" s="158"/>
      <c r="J854" s="158"/>
      <c r="K854" s="160" t="str">
        <f t="shared" ref="K854:K860" si="96">IF(H854=CONST_NA,"",K853)</f>
        <v/>
      </c>
      <c r="L854" s="30"/>
      <c r="M854" s="144"/>
      <c r="N854" s="144"/>
      <c r="O854" s="945"/>
      <c r="S854" s="105">
        <v>2</v>
      </c>
      <c r="V854" s="105" t="str">
        <f>IF(AND(Y854=FALSE,ISNUMBER(L854)),TRUE,IF(Y854=FALSE,CONST_ErrorOrMissing&amp;C850,CONST_NA))</f>
        <v>n.a.</v>
      </c>
      <c r="Y854" s="105" t="str">
        <f>IF(OR(H854="",H854=CONST_NA),"",IF(H854=CONST_AllProdRoutes,FALSE, COUNTIF(INDEX(CNTR_MatrixPurchPrecRoutes,C850,),S854)=0))</f>
        <v/>
      </c>
    </row>
    <row r="855" spans="1:26" ht="12.75" customHeight="1" x14ac:dyDescent="0.35">
      <c r="B855" s="94"/>
      <c r="C855" s="144"/>
      <c r="D855" s="173">
        <v>3</v>
      </c>
      <c r="E855" s="158" t="str">
        <f t="shared" si="95"/>
        <v/>
      </c>
      <c r="F855" s="158"/>
      <c r="G855" s="158"/>
      <c r="H855" s="159" t="str">
        <f>IF(L850="","",INDEX(CONST_MATRIX_ProductionRoute,MATCH(L850,CONST_LIST_Goods,0),D855))</f>
        <v/>
      </c>
      <c r="I855" s="158"/>
      <c r="J855" s="158"/>
      <c r="K855" s="160" t="str">
        <f t="shared" si="96"/>
        <v/>
      </c>
      <c r="L855" s="30"/>
      <c r="M855" s="144"/>
      <c r="N855" s="144"/>
      <c r="O855" s="945"/>
      <c r="S855" s="105">
        <v>3</v>
      </c>
      <c r="V855" s="105" t="str">
        <f>IF(AND(Y855=FALSE,ISNUMBER(L855)),TRUE,IF(Y855=FALSE,CONST_ErrorOrMissing&amp;C850,CONST_NA))</f>
        <v>n.a.</v>
      </c>
      <c r="Y855" s="105" t="str">
        <f>IF(OR(H855="",H855=CONST_NA),"",IF(H855=CONST_AllProdRoutes,FALSE, COUNTIF(INDEX(CNTR_MatrixPurchPrecRoutes,C850,),S855)=0))</f>
        <v/>
      </c>
    </row>
    <row r="856" spans="1:26" ht="12.75" customHeight="1" x14ac:dyDescent="0.35">
      <c r="B856" s="94"/>
      <c r="C856" s="144"/>
      <c r="D856" s="173">
        <v>4</v>
      </c>
      <c r="E856" s="158" t="str">
        <f t="shared" si="95"/>
        <v/>
      </c>
      <c r="F856" s="158"/>
      <c r="G856" s="158"/>
      <c r="H856" s="159" t="str">
        <f>IF(L850="","",INDEX(CONST_MATRIX_ProductionRoute,MATCH(L850,CONST_LIST_Goods,0),D856))</f>
        <v/>
      </c>
      <c r="I856" s="158"/>
      <c r="J856" s="158"/>
      <c r="K856" s="160" t="str">
        <f t="shared" si="96"/>
        <v/>
      </c>
      <c r="L856" s="30"/>
      <c r="M856" s="144"/>
      <c r="N856" s="144"/>
      <c r="O856" s="945"/>
      <c r="S856" s="105">
        <v>4</v>
      </c>
      <c r="V856" s="105" t="str">
        <f>IF(AND(Y856=FALSE,ISNUMBER(L856)),TRUE,IF(Y856=FALSE,CONST_ErrorOrMissing&amp;C850,CONST_NA))</f>
        <v>n.a.</v>
      </c>
      <c r="Y856" s="105" t="str">
        <f>IF(OR(H856="",H856=CONST_NA),"",IF(H856=CONST_AllProdRoutes,FALSE, COUNTIF(INDEX(CNTR_MatrixPurchPrecRoutes,C850,),S856)=0))</f>
        <v/>
      </c>
    </row>
    <row r="857" spans="1:26" ht="12.75" customHeight="1" x14ac:dyDescent="0.35">
      <c r="B857" s="94"/>
      <c r="C857" s="144"/>
      <c r="D857" s="173">
        <v>5</v>
      </c>
      <c r="E857" s="158" t="str">
        <f t="shared" si="95"/>
        <v/>
      </c>
      <c r="F857" s="158"/>
      <c r="G857" s="158"/>
      <c r="H857" s="159" t="str">
        <f>IF(L850="","",INDEX(CONST_MATRIX_ProductionRoute,MATCH(L850,CONST_LIST_Goods,0),D857))</f>
        <v/>
      </c>
      <c r="I857" s="158"/>
      <c r="J857" s="158"/>
      <c r="K857" s="160" t="str">
        <f t="shared" si="96"/>
        <v/>
      </c>
      <c r="L857" s="30"/>
      <c r="M857" s="144"/>
      <c r="N857" s="144"/>
      <c r="O857" s="945"/>
      <c r="S857" s="105">
        <v>5</v>
      </c>
      <c r="V857" s="105" t="str">
        <f>IF(AND(Y857=FALSE,ISNUMBER(L857)),TRUE,IF(Y857=FALSE,CONST_ErrorOrMissing&amp;C850,CONST_NA))</f>
        <v>n.a.</v>
      </c>
      <c r="Y857" s="105" t="str">
        <f>IF(OR(H857="",H857=CONST_NA),"",IF(H857=CONST_AllProdRoutes,FALSE, COUNTIF(INDEX(CNTR_MatrixPurchPrecRoutes,C850,),S857)=0))</f>
        <v/>
      </c>
    </row>
    <row r="858" spans="1:26" ht="12.75" customHeight="1" x14ac:dyDescent="0.35">
      <c r="B858" s="94"/>
      <c r="C858" s="144"/>
      <c r="D858" s="173">
        <v>6</v>
      </c>
      <c r="E858" s="158" t="str">
        <f t="shared" si="95"/>
        <v/>
      </c>
      <c r="F858" s="158"/>
      <c r="G858" s="158"/>
      <c r="H858" s="159" t="str">
        <f>IF(L850="","",INDEX(CONST_MATRIX_ProductionRoute,MATCH(L850,CONST_LIST_Goods,0),D858))</f>
        <v/>
      </c>
      <c r="I858" s="158"/>
      <c r="J858" s="158"/>
      <c r="K858" s="160" t="str">
        <f t="shared" si="96"/>
        <v/>
      </c>
      <c r="L858" s="30"/>
      <c r="M858" s="144"/>
      <c r="N858" s="144"/>
      <c r="O858" s="945"/>
      <c r="S858" s="105">
        <v>6</v>
      </c>
      <c r="V858" s="105" t="str">
        <f>IF(AND(Y858=FALSE,ISNUMBER(L858)),TRUE,IF(Y858=FALSE,CONST_ErrorOrMissing&amp;C850,CONST_NA))</f>
        <v>n.a.</v>
      </c>
      <c r="Y858" s="105" t="str">
        <f>IF(OR(H858="",H858=CONST_NA),"",IF(H858=CONST_AllProdRoutes,FALSE, COUNTIF(INDEX(CNTR_MatrixPurchPrecRoutes,C850,),S858)=0))</f>
        <v/>
      </c>
    </row>
    <row r="859" spans="1:26" ht="12.75" customHeight="1" x14ac:dyDescent="0.35">
      <c r="B859" s="94"/>
      <c r="C859" s="144"/>
      <c r="D859" s="173">
        <v>7</v>
      </c>
      <c r="E859" s="158" t="str">
        <f t="shared" si="95"/>
        <v/>
      </c>
      <c r="F859" s="158"/>
      <c r="G859" s="158"/>
      <c r="H859" s="159" t="str">
        <f>IF(L850="","",INDEX(CONST_MATRIX_ProductionRoute,MATCH(L850,CONST_LIST_Goods,0),D859))</f>
        <v/>
      </c>
      <c r="I859" s="158"/>
      <c r="J859" s="158"/>
      <c r="K859" s="160" t="str">
        <f t="shared" si="96"/>
        <v/>
      </c>
      <c r="L859" s="30"/>
      <c r="M859" s="144"/>
      <c r="N859" s="144"/>
      <c r="O859" s="945"/>
      <c r="S859" s="105">
        <v>7</v>
      </c>
      <c r="V859" s="105" t="str">
        <f>IF(AND(Y859=FALSE,ISNUMBER(L859)),TRUE,IF(Y859=FALSE,CONST_ErrorOrMissing&amp;C850,CONST_NA))</f>
        <v>n.a.</v>
      </c>
      <c r="Y859" s="105" t="str">
        <f>IF(OR(H859="",H859=CONST_NA),"",IF(H859=CONST_AllProdRoutes,FALSE, COUNTIF(INDEX(CNTR_MatrixPurchPrecRoutes,C850,),S859)=0))</f>
        <v/>
      </c>
    </row>
    <row r="860" spans="1:26" ht="12.75" customHeight="1" x14ac:dyDescent="0.35">
      <c r="B860" s="94"/>
      <c r="C860" s="144"/>
      <c r="D860" s="173">
        <v>8</v>
      </c>
      <c r="E860" s="161" t="str">
        <f t="shared" si="95"/>
        <v/>
      </c>
      <c r="F860" s="161"/>
      <c r="G860" s="161"/>
      <c r="H860" s="162" t="str">
        <f>IF(L850="","",INDEX(CONST_MATRIX_ProductionRoute,MATCH(L850,CONST_LIST_Goods,0),D860))</f>
        <v/>
      </c>
      <c r="I860" s="161"/>
      <c r="J860" s="161"/>
      <c r="K860" s="163" t="str">
        <f t="shared" si="96"/>
        <v/>
      </c>
      <c r="L860" s="31"/>
      <c r="M860" s="144"/>
      <c r="N860" s="144"/>
      <c r="O860" s="945"/>
      <c r="S860" s="105">
        <v>8</v>
      </c>
      <c r="V860" s="105" t="str">
        <f>IF(AND(Y860=FALSE,ISNUMBER(L860)),TRUE,IF(Y860=FALSE,CONST_ErrorOrMissing&amp;C850,CONST_NA))</f>
        <v>n.a.</v>
      </c>
      <c r="Y860" s="105" t="str">
        <f>IF(OR(H860="",H860=CONST_NA),"",IF(H860=CONST_AllProdRoutes,FALSE, COUNTIF(INDEX(CNTR_MatrixPurchPrecRoutes,C850,),S860)=0))</f>
        <v/>
      </c>
    </row>
    <row r="861" spans="1:26" ht="12.75" customHeight="1" x14ac:dyDescent="0.35">
      <c r="B861" s="94"/>
      <c r="C861" s="144"/>
      <c r="D861" s="914"/>
      <c r="E861" s="138" t="str">
        <f>Translations!$B$1966</f>
        <v>Total purchase for possible consumption within installation:</v>
      </c>
      <c r="F861" s="138"/>
      <c r="G861" s="138"/>
      <c r="H861" s="164"/>
      <c r="I861" s="138"/>
      <c r="J861" s="138"/>
      <c r="K861" s="169" t="str">
        <f>K853</f>
        <v/>
      </c>
      <c r="L861" s="386" t="str">
        <f>IF(G850="","",SUM(L853:L860))</f>
        <v/>
      </c>
      <c r="M861" s="144"/>
      <c r="N861" s="144"/>
      <c r="O861" s="428"/>
      <c r="R861" s="102" t="str">
        <f>CONST_CNTR_TotProd&amp;G850</f>
        <v>TotProd_</v>
      </c>
      <c r="T861" s="216" t="str">
        <f>IF(G850="","",IF(SUM(L861)=0,100,L861))</f>
        <v/>
      </c>
      <c r="V861" s="123"/>
    </row>
    <row r="862" spans="1:26" s="144" customFormat="1" ht="5.15" customHeight="1" x14ac:dyDescent="0.35">
      <c r="A862" s="91"/>
      <c r="B862" s="94"/>
      <c r="D862" s="166"/>
      <c r="E862" s="167"/>
      <c r="O862" s="428"/>
      <c r="P862" s="94"/>
      <c r="Q862" s="93"/>
      <c r="R862" s="91"/>
      <c r="S862" s="91"/>
      <c r="T862" s="712"/>
      <c r="U862" s="91"/>
      <c r="V862" s="123"/>
      <c r="W862" s="91"/>
      <c r="X862" s="91"/>
      <c r="Y862" s="91"/>
      <c r="Z862" s="91"/>
    </row>
    <row r="863" spans="1:26" s="144" customFormat="1" ht="12.75" customHeight="1" x14ac:dyDescent="0.35">
      <c r="A863" s="91"/>
      <c r="B863" s="94"/>
      <c r="D863" s="168" t="s">
        <v>48</v>
      </c>
      <c r="E863" s="167" t="str">
        <f>Translations!$B$1967</f>
        <v>Consumed in 'production processes' within the installation:</v>
      </c>
      <c r="F863" s="167"/>
      <c r="G863" s="167"/>
      <c r="H863" s="167"/>
      <c r="I863" s="167"/>
      <c r="J863" s="167"/>
      <c r="K863" s="168" t="str">
        <f>Translations!$B$221</f>
        <v>Unit</v>
      </c>
      <c r="L863" s="168" t="str">
        <f>Translations!$B$245</f>
        <v>Amounts</v>
      </c>
      <c r="O863" s="428"/>
      <c r="P863" s="94"/>
      <c r="Q863" s="93"/>
      <c r="R863" s="91"/>
      <c r="S863" s="123" t="s">
        <v>195</v>
      </c>
      <c r="T863" s="712"/>
      <c r="U863" s="91"/>
      <c r="V863" s="123"/>
      <c r="W863" s="91"/>
      <c r="X863" s="91"/>
      <c r="Y863" s="91"/>
      <c r="Z863" s="91"/>
    </row>
    <row r="864" spans="1:26" s="144" customFormat="1" ht="12.75" customHeight="1" x14ac:dyDescent="0.35">
      <c r="A864" s="91"/>
      <c r="B864" s="94"/>
      <c r="D864" s="173">
        <v>1</v>
      </c>
      <c r="E864" s="174" t="str">
        <f t="shared" ref="E864:E873" si="97">IF(INDEX(CNTR_List_ExistProdProcNames,S864)=CONST_NA,"",INDEX(CNTR_List_ExistProdProcNames,S864))</f>
        <v/>
      </c>
      <c r="F864" s="175"/>
      <c r="G864" s="175"/>
      <c r="H864" s="175"/>
      <c r="I864" s="175"/>
      <c r="J864" s="176"/>
      <c r="K864" s="155" t="str">
        <f>IF(E864="","",K861)</f>
        <v/>
      </c>
      <c r="L864" s="29"/>
      <c r="O864" s="945"/>
      <c r="P864" s="94"/>
      <c r="Q864" s="93"/>
      <c r="R864" s="102" t="str">
        <f>CONST_PrecursorToGoodInput&amp;G850 &amp;"_"&amp;E864</f>
        <v>PrecToGood__</v>
      </c>
      <c r="S864" s="105">
        <f>D864</f>
        <v>1</v>
      </c>
      <c r="T864" s="124" t="str">
        <f>IF(G850="","",L864)</f>
        <v/>
      </c>
      <c r="U864" s="91"/>
      <c r="V864" s="105" t="str">
        <f>IF(AND(G850&lt;&gt;"",E864&lt;&gt;"",L864&lt;&gt;""),TRUE,IF(AND(G850&lt;&gt;"",E864&lt;&gt;"",L864="",Z864=FALSE),CONST_ErrorOrMissing&amp;C850,CONST_NA))</f>
        <v>n.a.</v>
      </c>
      <c r="W864" s="172"/>
      <c r="X864" s="172"/>
      <c r="Y864" s="91" t="s">
        <v>34</v>
      </c>
      <c r="Z864" s="102" t="b">
        <f>IF(G850="",FALSE,E864="")</f>
        <v>0</v>
      </c>
    </row>
    <row r="865" spans="1:26" s="144" customFormat="1" ht="12.75" customHeight="1" x14ac:dyDescent="0.35">
      <c r="A865" s="91"/>
      <c r="B865" s="94"/>
      <c r="D865" s="173">
        <v>2</v>
      </c>
      <c r="E865" s="177" t="str">
        <f t="shared" si="97"/>
        <v/>
      </c>
      <c r="F865" s="178"/>
      <c r="G865" s="178"/>
      <c r="H865" s="178"/>
      <c r="I865" s="178"/>
      <c r="J865" s="179"/>
      <c r="K865" s="160" t="str">
        <f>IF(E865="","",K864)</f>
        <v/>
      </c>
      <c r="L865" s="30"/>
      <c r="O865" s="945"/>
      <c r="P865" s="94"/>
      <c r="Q865" s="93"/>
      <c r="R865" s="102" t="str">
        <f>CONST_PrecursorToGoodInput&amp;G850 &amp;"_"&amp;E865</f>
        <v>PrecToGood__</v>
      </c>
      <c r="S865" s="105">
        <f t="shared" ref="S865:S873" si="98">D865</f>
        <v>2</v>
      </c>
      <c r="T865" s="124" t="str">
        <f>IF(G850="","",L865)</f>
        <v/>
      </c>
      <c r="U865" s="91"/>
      <c r="V865" s="105" t="str">
        <f>IF(AND(G850&lt;&gt;"",E865&lt;&gt;"",L865&lt;&gt;""),TRUE,IF(AND(G850&lt;&gt;"",E865&lt;&gt;"",L865="",Z865=FALSE),CONST_ErrorOrMissing&amp;C850,CONST_NA))</f>
        <v>n.a.</v>
      </c>
      <c r="W865" s="172"/>
      <c r="X865" s="172"/>
      <c r="Y865" s="91"/>
      <c r="Z865" s="102" t="b">
        <f>IF(G850="",FALSE,E865="")</f>
        <v>0</v>
      </c>
    </row>
    <row r="866" spans="1:26" s="144" customFormat="1" ht="12.75" customHeight="1" x14ac:dyDescent="0.35">
      <c r="A866" s="91"/>
      <c r="B866" s="94"/>
      <c r="D866" s="173">
        <v>3</v>
      </c>
      <c r="E866" s="177" t="str">
        <f t="shared" si="97"/>
        <v/>
      </c>
      <c r="F866" s="178"/>
      <c r="G866" s="178"/>
      <c r="H866" s="178"/>
      <c r="I866" s="178"/>
      <c r="J866" s="179"/>
      <c r="K866" s="160" t="str">
        <f t="shared" ref="K866:K873" si="99">IF(E866="","",K865)</f>
        <v/>
      </c>
      <c r="L866" s="30"/>
      <c r="O866" s="945"/>
      <c r="P866" s="94"/>
      <c r="Q866" s="93"/>
      <c r="R866" s="102" t="str">
        <f>CONST_PrecursorToGoodInput&amp;G850 &amp;"_"&amp;E866</f>
        <v>PrecToGood__</v>
      </c>
      <c r="S866" s="105">
        <f t="shared" si="98"/>
        <v>3</v>
      </c>
      <c r="T866" s="124" t="str">
        <f>IF(G850="","",L866)</f>
        <v/>
      </c>
      <c r="U866" s="91"/>
      <c r="V866" s="105" t="str">
        <f>IF(AND(G850&lt;&gt;"",E866&lt;&gt;"",L866&lt;&gt;""),TRUE,IF(AND(G850&lt;&gt;"",E866&lt;&gt;"",L866="",Z866=FALSE),CONST_ErrorOrMissing&amp;C850,CONST_NA))</f>
        <v>n.a.</v>
      </c>
      <c r="W866" s="172"/>
      <c r="X866" s="172"/>
      <c r="Y866" s="91"/>
      <c r="Z866" s="102" t="b">
        <f>IF(G850="",FALSE,E866="")</f>
        <v>0</v>
      </c>
    </row>
    <row r="867" spans="1:26" s="144" customFormat="1" ht="12.75" customHeight="1" x14ac:dyDescent="0.35">
      <c r="A867" s="91"/>
      <c r="B867" s="94"/>
      <c r="D867" s="173">
        <v>4</v>
      </c>
      <c r="E867" s="177" t="str">
        <f t="shared" si="97"/>
        <v/>
      </c>
      <c r="F867" s="178"/>
      <c r="G867" s="178"/>
      <c r="H867" s="178"/>
      <c r="I867" s="178"/>
      <c r="J867" s="179"/>
      <c r="K867" s="160" t="str">
        <f t="shared" si="99"/>
        <v/>
      </c>
      <c r="L867" s="30"/>
      <c r="O867" s="945"/>
      <c r="P867" s="94"/>
      <c r="Q867" s="93"/>
      <c r="R867" s="102" t="str">
        <f>CONST_PrecursorToGoodInput&amp;G850 &amp;"_"&amp;E867</f>
        <v>PrecToGood__</v>
      </c>
      <c r="S867" s="105">
        <f t="shared" si="98"/>
        <v>4</v>
      </c>
      <c r="T867" s="124" t="str">
        <f>IF(G850="","",L867)</f>
        <v/>
      </c>
      <c r="U867" s="91"/>
      <c r="V867" s="105" t="str">
        <f>IF(AND(G850&lt;&gt;"",E867&lt;&gt;"",L867&lt;&gt;""),TRUE,IF(AND(G850&lt;&gt;"",E867&lt;&gt;"",L867="",Z867=FALSE),CONST_ErrorOrMissing&amp;C850,CONST_NA))</f>
        <v>n.a.</v>
      </c>
      <c r="W867" s="172"/>
      <c r="X867" s="172"/>
      <c r="Y867" s="91"/>
      <c r="Z867" s="102" t="b">
        <f>IF(G850="",FALSE,E867="")</f>
        <v>0</v>
      </c>
    </row>
    <row r="868" spans="1:26" s="144" customFormat="1" ht="12.75" customHeight="1" x14ac:dyDescent="0.35">
      <c r="A868" s="91"/>
      <c r="B868" s="94"/>
      <c r="D868" s="173">
        <v>5</v>
      </c>
      <c r="E868" s="180" t="str">
        <f t="shared" si="97"/>
        <v/>
      </c>
      <c r="F868" s="181"/>
      <c r="G868" s="181"/>
      <c r="H868" s="181"/>
      <c r="I868" s="181"/>
      <c r="J868" s="182"/>
      <c r="K868" s="183" t="str">
        <f t="shared" si="99"/>
        <v/>
      </c>
      <c r="L868" s="212"/>
      <c r="O868" s="945"/>
      <c r="P868" s="94"/>
      <c r="Q868" s="93"/>
      <c r="R868" s="102" t="str">
        <f>CONST_PrecursorToGoodInput&amp;G850 &amp;"_"&amp;E868</f>
        <v>PrecToGood__</v>
      </c>
      <c r="S868" s="105">
        <f t="shared" si="98"/>
        <v>5</v>
      </c>
      <c r="T868" s="124" t="str">
        <f>IF(G850="","",L868)</f>
        <v/>
      </c>
      <c r="U868" s="91"/>
      <c r="V868" s="105" t="str">
        <f>IF(AND(G850&lt;&gt;"",E868&lt;&gt;"",L868&lt;&gt;""),TRUE,IF(AND(G850&lt;&gt;"",E868&lt;&gt;"",L868="",Z868=FALSE),CONST_ErrorOrMissing&amp;C850,CONST_NA))</f>
        <v>n.a.</v>
      </c>
      <c r="W868" s="172"/>
      <c r="X868" s="172"/>
      <c r="Y868" s="91"/>
      <c r="Z868" s="102" t="b">
        <f>IF(G850="",FALSE,E868="")</f>
        <v>0</v>
      </c>
    </row>
    <row r="869" spans="1:26" s="144" customFormat="1" ht="12.75" customHeight="1" x14ac:dyDescent="0.35">
      <c r="A869" s="91"/>
      <c r="B869" s="94"/>
      <c r="D869" s="173">
        <v>6</v>
      </c>
      <c r="E869" s="180" t="str">
        <f t="shared" si="97"/>
        <v/>
      </c>
      <c r="F869" s="181"/>
      <c r="G869" s="181"/>
      <c r="H869" s="181"/>
      <c r="I869" s="181"/>
      <c r="J869" s="182"/>
      <c r="K869" s="183" t="str">
        <f t="shared" si="99"/>
        <v/>
      </c>
      <c r="L869" s="212"/>
      <c r="O869" s="945"/>
      <c r="P869" s="94"/>
      <c r="Q869" s="93"/>
      <c r="R869" s="102" t="str">
        <f>CONST_PrecursorToGoodInput&amp;G850 &amp;"_"&amp;E869</f>
        <v>PrecToGood__</v>
      </c>
      <c r="S869" s="105">
        <f t="shared" si="98"/>
        <v>6</v>
      </c>
      <c r="T869" s="124" t="str">
        <f>IF(G850="","",L869)</f>
        <v/>
      </c>
      <c r="U869" s="91"/>
      <c r="V869" s="105" t="str">
        <f>IF(AND(G850&lt;&gt;"",E869&lt;&gt;"",L869&lt;&gt;""),TRUE,IF(AND(G850&lt;&gt;"",E869&lt;&gt;"",L869="",Z869=FALSE),CONST_ErrorOrMissing&amp;C850,CONST_NA))</f>
        <v>n.a.</v>
      </c>
      <c r="W869" s="172"/>
      <c r="X869" s="172"/>
      <c r="Y869" s="91"/>
      <c r="Z869" s="102" t="b">
        <f>IF(G850="",FALSE,E869="")</f>
        <v>0</v>
      </c>
    </row>
    <row r="870" spans="1:26" s="144" customFormat="1" ht="12.75" customHeight="1" x14ac:dyDescent="0.35">
      <c r="A870" s="91"/>
      <c r="B870" s="94"/>
      <c r="D870" s="173">
        <v>7</v>
      </c>
      <c r="E870" s="180" t="str">
        <f t="shared" si="97"/>
        <v/>
      </c>
      <c r="F870" s="181"/>
      <c r="G870" s="181"/>
      <c r="H870" s="181"/>
      <c r="I870" s="181"/>
      <c r="J870" s="182"/>
      <c r="K870" s="183" t="str">
        <f t="shared" si="99"/>
        <v/>
      </c>
      <c r="L870" s="212"/>
      <c r="O870" s="945"/>
      <c r="P870" s="94"/>
      <c r="Q870" s="93"/>
      <c r="R870" s="102" t="str">
        <f>CONST_PrecursorToGoodInput&amp;G850 &amp;"_"&amp;E870</f>
        <v>PrecToGood__</v>
      </c>
      <c r="S870" s="105">
        <f t="shared" si="98"/>
        <v>7</v>
      </c>
      <c r="T870" s="124" t="str">
        <f>IF(G850="","",L870)</f>
        <v/>
      </c>
      <c r="U870" s="91"/>
      <c r="V870" s="105" t="str">
        <f>IF(AND(G850&lt;&gt;"",E870&lt;&gt;"",L870&lt;&gt;""),TRUE,IF(AND(G850&lt;&gt;"",E870&lt;&gt;"",L870="",Z870=FALSE),CONST_ErrorOrMissing&amp;C850,CONST_NA))</f>
        <v>n.a.</v>
      </c>
      <c r="W870" s="172"/>
      <c r="X870" s="172"/>
      <c r="Y870" s="91"/>
      <c r="Z870" s="102" t="b">
        <f>IF(G850="",FALSE,E870="")</f>
        <v>0</v>
      </c>
    </row>
    <row r="871" spans="1:26" s="144" customFormat="1" ht="12.75" customHeight="1" x14ac:dyDescent="0.35">
      <c r="A871" s="91"/>
      <c r="B871" s="94"/>
      <c r="D871" s="173">
        <v>8</v>
      </c>
      <c r="E871" s="180" t="str">
        <f t="shared" si="97"/>
        <v/>
      </c>
      <c r="F871" s="181"/>
      <c r="G871" s="181"/>
      <c r="H871" s="181"/>
      <c r="I871" s="181"/>
      <c r="J871" s="182"/>
      <c r="K871" s="183" t="str">
        <f t="shared" si="99"/>
        <v/>
      </c>
      <c r="L871" s="212"/>
      <c r="O871" s="945"/>
      <c r="P871" s="94"/>
      <c r="Q871" s="93"/>
      <c r="R871" s="102" t="str">
        <f>CONST_PrecursorToGoodInput&amp;G850 &amp;"_"&amp;E871</f>
        <v>PrecToGood__</v>
      </c>
      <c r="S871" s="105">
        <f t="shared" si="98"/>
        <v>8</v>
      </c>
      <c r="T871" s="124" t="str">
        <f>IF(G850="","",L871)</f>
        <v/>
      </c>
      <c r="U871" s="91"/>
      <c r="V871" s="105" t="str">
        <f>IF(AND(G850&lt;&gt;"",E871&lt;&gt;"",L871&lt;&gt;""),TRUE,IF(AND(G850&lt;&gt;"",E871&lt;&gt;"",L871="",Z871=FALSE),CONST_ErrorOrMissing&amp;C850,CONST_NA))</f>
        <v>n.a.</v>
      </c>
      <c r="W871" s="172"/>
      <c r="X871" s="172"/>
      <c r="Y871" s="91"/>
      <c r="Z871" s="102" t="b">
        <f>IF(G850="",FALSE,E871="")</f>
        <v>0</v>
      </c>
    </row>
    <row r="872" spans="1:26" s="144" customFormat="1" ht="12.75" customHeight="1" x14ac:dyDescent="0.35">
      <c r="A872" s="91"/>
      <c r="B872" s="94"/>
      <c r="D872" s="173">
        <v>9</v>
      </c>
      <c r="E872" s="180" t="str">
        <f t="shared" si="97"/>
        <v/>
      </c>
      <c r="F872" s="181"/>
      <c r="G872" s="181"/>
      <c r="H872" s="181"/>
      <c r="I872" s="181"/>
      <c r="J872" s="182"/>
      <c r="K872" s="183" t="str">
        <f t="shared" si="99"/>
        <v/>
      </c>
      <c r="L872" s="212"/>
      <c r="O872" s="945"/>
      <c r="P872" s="94"/>
      <c r="Q872" s="93"/>
      <c r="R872" s="102" t="str">
        <f>CONST_PrecursorToGoodInput&amp;G850 &amp;"_"&amp;E872</f>
        <v>PrecToGood__</v>
      </c>
      <c r="S872" s="105">
        <f t="shared" si="98"/>
        <v>9</v>
      </c>
      <c r="T872" s="124" t="str">
        <f>IF(G850="","",L872)</f>
        <v/>
      </c>
      <c r="U872" s="91"/>
      <c r="V872" s="105" t="str">
        <f>IF(AND(G850&lt;&gt;"",E872&lt;&gt;"",L872&lt;&gt;""),TRUE,IF(AND(G850&lt;&gt;"",E872&lt;&gt;"",L872="",Z872=FALSE),CONST_ErrorOrMissing&amp;C850,CONST_NA))</f>
        <v>n.a.</v>
      </c>
      <c r="W872" s="172"/>
      <c r="X872" s="172"/>
      <c r="Y872" s="91"/>
      <c r="Z872" s="102" t="b">
        <f>IF(G850="",FALSE,E872="")</f>
        <v>0</v>
      </c>
    </row>
    <row r="873" spans="1:26" s="144" customFormat="1" ht="12.75" customHeight="1" x14ac:dyDescent="0.35">
      <c r="A873" s="91"/>
      <c r="B873" s="94"/>
      <c r="D873" s="173">
        <v>10</v>
      </c>
      <c r="E873" s="184" t="str">
        <f t="shared" si="97"/>
        <v/>
      </c>
      <c r="F873" s="185"/>
      <c r="G873" s="185"/>
      <c r="H873" s="185"/>
      <c r="I873" s="185"/>
      <c r="J873" s="186"/>
      <c r="K873" s="163" t="str">
        <f t="shared" si="99"/>
        <v/>
      </c>
      <c r="L873" s="31"/>
      <c r="O873" s="945"/>
      <c r="P873" s="94"/>
      <c r="Q873" s="93"/>
      <c r="R873" s="102" t="str">
        <f>CONST_PrecursorToGoodInput&amp;G850 &amp;"_"&amp;E873</f>
        <v>PrecToGood__</v>
      </c>
      <c r="S873" s="105">
        <f t="shared" si="98"/>
        <v>10</v>
      </c>
      <c r="T873" s="124" t="str">
        <f>IF(G850="","",L873)</f>
        <v/>
      </c>
      <c r="U873" s="91"/>
      <c r="V873" s="105" t="str">
        <f>IF(AND(G850&lt;&gt;"",E873&lt;&gt;"",L873&lt;&gt;""),TRUE,IF(AND(G850&lt;&gt;"",E873&lt;&gt;"",L873="",Z873=FALSE),CONST_ErrorOrMissing&amp;C850,CONST_NA))</f>
        <v>n.a.</v>
      </c>
      <c r="W873" s="172"/>
      <c r="X873" s="172"/>
      <c r="Y873" s="91"/>
      <c r="Z873" s="102" t="b">
        <f>IF(G850="",FALSE,E873="")</f>
        <v>0</v>
      </c>
    </row>
    <row r="874" spans="1:26" s="144" customFormat="1" ht="12.75" customHeight="1" x14ac:dyDescent="0.35">
      <c r="A874" s="91"/>
      <c r="B874" s="94"/>
      <c r="D874" s="168" t="s">
        <v>49</v>
      </c>
      <c r="E874" s="167" t="str">
        <f>Translations!$B$1968</f>
        <v>Consumed for other purposes, e.g. sold or used for non-CBAM goods:</v>
      </c>
      <c r="F874" s="167"/>
      <c r="G874" s="167"/>
      <c r="H874" s="167"/>
      <c r="I874" s="167"/>
      <c r="J874" s="167"/>
      <c r="K874" s="169" t="str">
        <f>K861</f>
        <v/>
      </c>
      <c r="L874" s="211"/>
      <c r="O874" s="945"/>
      <c r="P874" s="94"/>
      <c r="Q874" s="93"/>
      <c r="R874" s="91"/>
      <c r="S874" s="91"/>
      <c r="T874" s="712"/>
      <c r="U874" s="91"/>
      <c r="V874" s="105" t="str">
        <f>IF(G850="",CONST_NA,IF(ISNUMBER(L874),TRUE,CONST_ErrorOrMissing&amp;C850))</f>
        <v>n.a.</v>
      </c>
      <c r="W874" s="91"/>
      <c r="X874" s="91"/>
      <c r="Y874" s="91"/>
      <c r="Z874" s="91"/>
    </row>
    <row r="875" spans="1:26" s="144" customFormat="1" ht="12.75" customHeight="1" x14ac:dyDescent="0.35">
      <c r="A875" s="91"/>
      <c r="B875" s="94"/>
      <c r="D875" s="168" t="s">
        <v>377</v>
      </c>
      <c r="E875" s="138" t="str">
        <f>Translations!$B$253</f>
        <v>Control:</v>
      </c>
      <c r="F875" s="170"/>
      <c r="G875" s="170"/>
      <c r="H875" s="170"/>
      <c r="I875" s="170"/>
      <c r="J875" s="170"/>
      <c r="K875" s="169" t="str">
        <f>K874</f>
        <v/>
      </c>
      <c r="L875" s="118" t="str">
        <f>IF(G850="","",SUM(L861)-SUM(L864:L874))</f>
        <v/>
      </c>
      <c r="O875" s="945"/>
      <c r="P875" s="94"/>
      <c r="Q875" s="93"/>
      <c r="R875" s="91"/>
      <c r="S875" s="91"/>
      <c r="T875" s="712"/>
      <c r="U875" s="91"/>
      <c r="V875" s="105" t="str">
        <f>IF(G850="",CONST_NA,IF(L875=0,TRUE,CONST_ErrorOrMissing&amp;C850))</f>
        <v>n.a.</v>
      </c>
      <c r="W875" s="91"/>
      <c r="X875" s="91"/>
      <c r="Y875" s="91"/>
      <c r="Z875" s="91"/>
    </row>
    <row r="876" spans="1:26" s="144" customFormat="1" ht="12.75" customHeight="1" thickBot="1" x14ac:dyDescent="0.4">
      <c r="A876" s="91"/>
      <c r="B876" s="94"/>
      <c r="O876" s="428"/>
      <c r="P876" s="94"/>
      <c r="Q876" s="93"/>
      <c r="R876" s="91"/>
      <c r="S876" s="91"/>
      <c r="T876" s="712"/>
      <c r="U876" s="91"/>
      <c r="V876" s="91"/>
      <c r="W876" s="91"/>
      <c r="X876" s="91"/>
      <c r="Y876" s="91"/>
      <c r="Z876" s="91"/>
    </row>
    <row r="877" spans="1:26" ht="12.75" customHeight="1" x14ac:dyDescent="0.35">
      <c r="B877" s="94"/>
      <c r="C877" s="187"/>
      <c r="D877" s="188"/>
      <c r="E877" s="189"/>
      <c r="F877" s="190"/>
      <c r="G877" s="190"/>
      <c r="H877" s="190"/>
      <c r="I877" s="190"/>
      <c r="J877" s="190"/>
      <c r="K877" s="190"/>
      <c r="L877" s="190"/>
      <c r="M877" s="190"/>
      <c r="N877" s="191"/>
      <c r="O877" s="428"/>
      <c r="T877" s="712"/>
    </row>
    <row r="878" spans="1:26" ht="15" customHeight="1" x14ac:dyDescent="0.35">
      <c r="B878" s="94"/>
      <c r="C878" s="192"/>
      <c r="D878" s="193" t="str">
        <f>Translations!$B$279</f>
        <v>Specific embedded emissions:</v>
      </c>
      <c r="E878" s="194"/>
      <c r="F878" s="195"/>
      <c r="G878" s="195"/>
      <c r="H878" s="195"/>
      <c r="I878" s="195"/>
      <c r="J878" s="1327" t="str">
        <f>IF(G850="","",G850)</f>
        <v/>
      </c>
      <c r="K878" s="1327"/>
      <c r="L878" s="1327"/>
      <c r="M878" s="1327"/>
      <c r="N878" s="196"/>
      <c r="O878" s="428"/>
      <c r="T878" s="712"/>
    </row>
    <row r="879" spans="1:26" ht="5.15" customHeight="1" x14ac:dyDescent="0.35">
      <c r="B879" s="94"/>
      <c r="C879" s="192"/>
      <c r="D879" s="197"/>
      <c r="E879" s="198"/>
      <c r="F879" s="195"/>
      <c r="G879" s="195"/>
      <c r="H879" s="195"/>
      <c r="I879" s="195"/>
      <c r="J879" s="195"/>
      <c r="K879" s="195"/>
      <c r="L879" s="195"/>
      <c r="M879" s="195"/>
      <c r="N879" s="196"/>
      <c r="O879" s="428"/>
      <c r="T879" s="712"/>
    </row>
    <row r="880" spans="1:26" ht="12.75" customHeight="1" x14ac:dyDescent="0.35">
      <c r="B880" s="94"/>
      <c r="C880" s="192"/>
      <c r="D880" s="199" t="s">
        <v>411</v>
      </c>
      <c r="E880" s="198" t="str">
        <f>Translations!$B$280</f>
        <v>Emissions embedded in this purchased precursor</v>
      </c>
      <c r="F880" s="198"/>
      <c r="G880" s="198"/>
      <c r="H880" s="198"/>
      <c r="I880" s="198"/>
      <c r="J880" s="198"/>
      <c r="K880" s="198"/>
      <c r="L880" s="198"/>
      <c r="M880" s="198"/>
      <c r="N880" s="196"/>
      <c r="O880" s="428"/>
      <c r="T880" s="712"/>
      <c r="V880" s="172"/>
      <c r="W880" s="172"/>
      <c r="X880" s="172"/>
      <c r="Z880" s="171"/>
    </row>
    <row r="881" spans="1:26" ht="4.9000000000000004" customHeight="1" x14ac:dyDescent="0.35">
      <c r="B881" s="94"/>
      <c r="C881" s="192"/>
      <c r="D881" s="199"/>
      <c r="E881" s="1328"/>
      <c r="F881" s="1328"/>
      <c r="G881" s="1328"/>
      <c r="H881" s="1328"/>
      <c r="I881" s="1328"/>
      <c r="J881" s="1328"/>
      <c r="K881" s="1328"/>
      <c r="L881" s="1328"/>
      <c r="M881" s="1328"/>
      <c r="N881" s="196"/>
      <c r="O881" s="428"/>
      <c r="T881" s="712"/>
    </row>
    <row r="882" spans="1:26" ht="13.15" customHeight="1" x14ac:dyDescent="0.35">
      <c r="B882" s="94"/>
      <c r="C882" s="192"/>
      <c r="D882" s="199"/>
      <c r="E882" s="1311" t="str">
        <f ca="1">HYPERLINK("#"&amp;ADDRESS(MATCH($S882,G_FurtherGuidance!$S:$S,0),3,,,G_FurtherGuidance!$U$2),CONST_LinkToGuidanceSheet)</f>
        <v>Please click on this link for further guidance on how to complete this section.</v>
      </c>
      <c r="F882" s="1312"/>
      <c r="G882" s="1312"/>
      <c r="H882" s="1312"/>
      <c r="I882" s="1312"/>
      <c r="J882" s="1312"/>
      <c r="K882" s="1312"/>
      <c r="L882" s="1312"/>
      <c r="M882" s="1312"/>
      <c r="N882" s="196"/>
      <c r="O882" s="428"/>
      <c r="R882" s="104" t="s">
        <v>2771</v>
      </c>
      <c r="S882" s="105">
        <v>4</v>
      </c>
      <c r="T882" s="712"/>
    </row>
    <row r="883" spans="1:26" ht="4.9000000000000004" customHeight="1" x14ac:dyDescent="0.35">
      <c r="B883" s="94"/>
      <c r="C883" s="192"/>
      <c r="D883" s="199"/>
      <c r="E883" s="1328"/>
      <c r="F883" s="1328"/>
      <c r="G883" s="1328"/>
      <c r="H883" s="1328"/>
      <c r="I883" s="1328"/>
      <c r="J883" s="1328"/>
      <c r="K883" s="1328"/>
      <c r="L883" s="1328"/>
      <c r="M883" s="1328"/>
      <c r="N883" s="384"/>
      <c r="O883" s="428"/>
      <c r="T883" s="712"/>
    </row>
    <row r="884" spans="1:26" ht="12.75" customHeight="1" x14ac:dyDescent="0.35">
      <c r="B884" s="94"/>
      <c r="C884" s="192"/>
      <c r="D884" s="199"/>
      <c r="E884" s="198" t="str">
        <f>Translations!$B$284</f>
        <v>Parameter:</v>
      </c>
      <c r="F884" s="195"/>
      <c r="G884" s="195"/>
      <c r="H884" s="195"/>
      <c r="I884" s="195"/>
      <c r="J884" s="195"/>
      <c r="K884" s="199" t="str">
        <f>Translations!$B$221</f>
        <v>Unit</v>
      </c>
      <c r="L884" s="199" t="str">
        <f>Translations!$B$260</f>
        <v>Value</v>
      </c>
      <c r="M884" s="199" t="str">
        <f>Translations!$B$285</f>
        <v>Source</v>
      </c>
      <c r="N884" s="196"/>
      <c r="O884" s="428"/>
      <c r="T884" s="764" t="s">
        <v>5</v>
      </c>
      <c r="U884" s="123" t="s">
        <v>2719</v>
      </c>
      <c r="V884" s="156" t="s">
        <v>3922</v>
      </c>
      <c r="W884" s="156"/>
      <c r="X884" s="156"/>
      <c r="Z884" s="171"/>
    </row>
    <row r="885" spans="1:26" ht="12.75" customHeight="1" x14ac:dyDescent="0.35">
      <c r="B885" s="94"/>
      <c r="C885" s="192"/>
      <c r="D885" s="197" t="s">
        <v>41</v>
      </c>
      <c r="E885" s="201" t="str">
        <f>Translations!$B$1969</f>
        <v>Specific embedded direct emissions (SEE (direct))</v>
      </c>
      <c r="F885" s="201"/>
      <c r="G885" s="201"/>
      <c r="H885" s="201"/>
      <c r="I885" s="201"/>
      <c r="J885" s="201"/>
      <c r="K885" s="217" t="str">
        <f>IF(L850="","",CONST_tCO2eq &amp; "/" &amp; K861)</f>
        <v/>
      </c>
      <c r="L885" s="215"/>
      <c r="M885" s="385"/>
      <c r="N885" s="196"/>
      <c r="O885" s="945"/>
      <c r="R885" s="102" t="str">
        <f>CONST_PurchPrecDefaultUsed&amp;G850</f>
        <v>PurchPrecDef_</v>
      </c>
      <c r="S885" s="102" t="str">
        <f>CONST_CNTR_EmbedEmDir&amp;G850</f>
        <v>EmbedEmDir_</v>
      </c>
      <c r="T885" s="124" t="str">
        <f>IF(G850="","",SUM(T861)*SUM(L885))</f>
        <v/>
      </c>
      <c r="U885" s="105" t="str">
        <f>IF(G850="","",IF(M885="",CONST_ERR_Incomplete,MATCH(M885,CONST_MeasDefaultUnknown,0)=2))</f>
        <v/>
      </c>
      <c r="V885" s="105" t="str">
        <f>IF(AND(G850&lt;&gt;"",COUNTA(L885:M885)=2),TRUE,IF(AND(G850&lt;&gt;"",COUNTA(L885:M885)&lt;2),CONST_ErrorOrMissing&amp;C850,CONST_NA))</f>
        <v>n.a.</v>
      </c>
      <c r="W885" s="156"/>
      <c r="X885" s="156"/>
      <c r="Z885" s="171"/>
    </row>
    <row r="886" spans="1:26" ht="12.75" customHeight="1" x14ac:dyDescent="0.35">
      <c r="B886" s="94"/>
      <c r="C886" s="192"/>
      <c r="D886" s="197" t="s">
        <v>42</v>
      </c>
      <c r="E886" s="759" t="str">
        <f>Translations!$B$1970</f>
        <v>Specific electricity consumption (for SEE (indirect))</v>
      </c>
      <c r="F886" s="759"/>
      <c r="G886" s="759"/>
      <c r="H886" s="759"/>
      <c r="I886" s="759"/>
      <c r="J886" s="759"/>
      <c r="K886" s="457" t="str">
        <f>IF(K885="","",CONST_MWh&amp;"/"&amp;K861)</f>
        <v/>
      </c>
      <c r="L886" s="760"/>
      <c r="M886" s="761"/>
      <c r="N886" s="196"/>
      <c r="O886" s="945"/>
      <c r="R886" s="102" t="str">
        <f>CONST_ElecConsumption&amp;G850</f>
        <v>ElecCons_</v>
      </c>
      <c r="S886" s="102"/>
      <c r="T886" s="124" t="str">
        <f>IF(G850="","",SUM(T861)*SUM(L886))</f>
        <v/>
      </c>
      <c r="U886" s="105" t="str">
        <f>IF(G850="","",IF(M886="",CONST_ERR_Incomplete,MATCH(M886,CONST_MeasDefaultUnknown,0)=2))</f>
        <v/>
      </c>
      <c r="V886" s="105" t="str">
        <f>IF(AND(G850&lt;&gt;"",COUNTA(L886:M886)=2),TRUE,IF(AND(G850&lt;&gt;"",COUNTA(L886:M886)&lt;2),CONST_ErrorOrMissing&amp;C850,CONST_NA))</f>
        <v>n.a.</v>
      </c>
      <c r="W886" s="156"/>
      <c r="X886" s="156"/>
      <c r="Z886" s="171"/>
    </row>
    <row r="887" spans="1:26" ht="12.75" customHeight="1" x14ac:dyDescent="0.35">
      <c r="B887" s="94"/>
      <c r="C887" s="192"/>
      <c r="D887" s="197" t="s">
        <v>43</v>
      </c>
      <c r="E887" s="1144" t="str">
        <f>Translations!$B$1971</f>
        <v>Electricity emission factor (for SEE (indirect))</v>
      </c>
      <c r="F887" s="1144"/>
      <c r="G887" s="1144"/>
      <c r="H887" s="1144"/>
      <c r="I887" s="1144"/>
      <c r="J887" s="1144"/>
      <c r="K887" s="1145" t="str">
        <f>IF(K885="","",CONST_tCO2eq&amp;"/"&amp;CONST_MWh)</f>
        <v/>
      </c>
      <c r="L887" s="1146"/>
      <c r="M887" s="762"/>
      <c r="N887" s="196"/>
      <c r="O887" s="945"/>
      <c r="R887" s="102" t="str">
        <f>CONST_CNTR_ElecEFMethod&amp;G850</f>
        <v>ElecEFMeth_</v>
      </c>
      <c r="S887" s="102"/>
      <c r="T887" s="124"/>
      <c r="U887" s="105" t="str">
        <f>IF(G850="","",M887)</f>
        <v/>
      </c>
      <c r="V887" s="105" t="str">
        <f>IF(AND(G850&lt;&gt;"",COUNTA(L887:M887)=2),TRUE,IF(AND(G850&lt;&gt;"",COUNTA(L887:M887)&lt;2),CONST_ErrorOrMissing&amp;C850,CONST_NA))</f>
        <v>n.a.</v>
      </c>
      <c r="W887" s="156"/>
      <c r="X887" s="156"/>
      <c r="Z887" s="171"/>
    </row>
    <row r="888" spans="1:26" x14ac:dyDescent="0.35">
      <c r="B888" s="94"/>
      <c r="C888" s="192"/>
      <c r="D888" s="197" t="s">
        <v>44</v>
      </c>
      <c r="E888" s="201" t="str">
        <f>Translations!$B$1972</f>
        <v>Specific embedded indirect emissions (SEE (indirect))</v>
      </c>
      <c r="F888" s="201"/>
      <c r="G888" s="201"/>
      <c r="H888" s="201"/>
      <c r="I888" s="201"/>
      <c r="J888" s="201"/>
      <c r="K888" s="217" t="str">
        <f>K885</f>
        <v/>
      </c>
      <c r="L888" s="1147" t="str">
        <f>IF(COUNT(L886:L887)=0,"",L886*L887)</f>
        <v/>
      </c>
      <c r="M888" s="758"/>
      <c r="N888" s="196"/>
      <c r="O888" s="428"/>
      <c r="R888" s="171"/>
      <c r="S888" s="102" t="str">
        <f>CONST_CNTR_EmbedEmInDir&amp;G850</f>
        <v>EmbedEmInDir_</v>
      </c>
      <c r="T888" s="124" t="str">
        <f>IF(G850="","",SUM(T861)*SUM(L888))</f>
        <v/>
      </c>
      <c r="Z888" s="171"/>
    </row>
    <row r="889" spans="1:26" ht="5.15" customHeight="1" x14ac:dyDescent="0.35">
      <c r="B889" s="94"/>
      <c r="C889" s="192"/>
      <c r="D889" s="197"/>
      <c r="E889" s="195"/>
      <c r="F889" s="195"/>
      <c r="G889" s="195"/>
      <c r="H889" s="195"/>
      <c r="I889" s="195"/>
      <c r="J889" s="195"/>
      <c r="K889" s="195"/>
      <c r="L889" s="195"/>
      <c r="M889" s="195"/>
      <c r="N889" s="196"/>
      <c r="O889" s="428"/>
      <c r="R889" s="171"/>
      <c r="S889" s="171"/>
      <c r="T889" s="125"/>
      <c r="U889" s="156"/>
      <c r="V889" s="172"/>
      <c r="W889" s="172"/>
      <c r="X889" s="172"/>
      <c r="Z889" s="171"/>
    </row>
    <row r="890" spans="1:26" ht="12.75" customHeight="1" x14ac:dyDescent="0.35">
      <c r="B890" s="94"/>
      <c r="C890" s="192"/>
      <c r="D890" s="197" t="s">
        <v>45</v>
      </c>
      <c r="E890" s="201" t="str">
        <f>Translations!$B$1858</f>
        <v>Justification for use of default values (if relevant):</v>
      </c>
      <c r="F890" s="201"/>
      <c r="G890" s="201"/>
      <c r="H890" s="201"/>
      <c r="I890" s="201"/>
      <c r="J890" s="201"/>
      <c r="K890" s="1329"/>
      <c r="L890" s="1329"/>
      <c r="M890" s="1329"/>
      <c r="N890" s="196"/>
      <c r="O890" s="945"/>
      <c r="R890" s="171"/>
      <c r="S890" s="171"/>
      <c r="T890" s="125"/>
      <c r="U890" s="156"/>
      <c r="V890" s="105" t="str">
        <f>IF(OR(G850="",Z890=TRUE),CONST_NA,IF(K890&lt;&gt;"",TRUE,CONST_ErrorOrMissing&amp;C850))</f>
        <v>n.a.</v>
      </c>
      <c r="W890" s="172"/>
      <c r="X890" s="172"/>
      <c r="Z890" s="102" t="b">
        <f>AND(M885&lt;&gt;"",M885&lt;&gt;INDEX(CONST_MeasDefaultUnknown,2),M886&lt;&gt;"",M886&lt;&gt;INDEX(CONST_MeasDefaultUnknown,2))</f>
        <v>0</v>
      </c>
    </row>
    <row r="891" spans="1:26" s="144" customFormat="1" ht="12.75" customHeight="1" thickBot="1" x14ac:dyDescent="0.4">
      <c r="A891" s="91"/>
      <c r="B891" s="94"/>
      <c r="C891" s="206"/>
      <c r="D891" s="207"/>
      <c r="E891" s="208"/>
      <c r="F891" s="209"/>
      <c r="G891" s="209"/>
      <c r="H891" s="209"/>
      <c r="I891" s="209"/>
      <c r="J891" s="209"/>
      <c r="K891" s="209"/>
      <c r="L891" s="209"/>
      <c r="M891" s="209"/>
      <c r="N891" s="210"/>
      <c r="O891" s="428"/>
      <c r="P891" s="94"/>
      <c r="Q891" s="93"/>
      <c r="R891" s="91"/>
      <c r="S891" s="91"/>
      <c r="T891" s="712"/>
      <c r="U891" s="91"/>
      <c r="V891" s="91"/>
      <c r="W891" s="91"/>
      <c r="X891" s="91"/>
      <c r="Y891" s="91"/>
      <c r="Z891" s="91"/>
    </row>
    <row r="892" spans="1:26" s="144" customFormat="1" ht="12.75" customHeight="1" x14ac:dyDescent="0.35">
      <c r="A892" s="91"/>
      <c r="B892" s="94"/>
      <c r="O892" s="428"/>
      <c r="P892" s="94"/>
      <c r="Q892" s="93"/>
      <c r="R892" s="91"/>
      <c r="S892" s="91"/>
      <c r="T892" s="712"/>
      <c r="U892" s="91"/>
      <c r="V892" s="91"/>
      <c r="W892" s="91"/>
      <c r="X892" s="91"/>
      <c r="Y892" s="91"/>
      <c r="Z892" s="91"/>
    </row>
    <row r="893" spans="1:26" s="144" customFormat="1" ht="12.75" customHeight="1" thickBot="1" x14ac:dyDescent="0.4">
      <c r="A893" s="91"/>
      <c r="B893" s="934"/>
      <c r="C893" s="747"/>
      <c r="D893" s="747"/>
      <c r="E893" s="747"/>
      <c r="F893" s="747"/>
      <c r="G893" s="747"/>
      <c r="H893" s="747"/>
      <c r="I893" s="747"/>
      <c r="J893" s="747"/>
      <c r="K893" s="747"/>
      <c r="L893" s="747"/>
      <c r="M893" s="747"/>
      <c r="N893" s="747"/>
      <c r="O893" s="748"/>
      <c r="P893" s="94"/>
      <c r="Q893" s="93"/>
      <c r="R893" s="91"/>
      <c r="S893" s="91"/>
      <c r="T893" s="712"/>
      <c r="U893" s="91"/>
      <c r="V893" s="91"/>
      <c r="W893" s="91"/>
      <c r="X893" s="91"/>
      <c r="Y893" s="91"/>
      <c r="Z893" s="91"/>
    </row>
    <row r="894" spans="1:26" s="144" customFormat="1" ht="12.75" customHeight="1" x14ac:dyDescent="0.35">
      <c r="A894" s="91"/>
      <c r="P894" s="94"/>
      <c r="Q894" s="93"/>
      <c r="R894" s="91"/>
      <c r="S894" s="91"/>
      <c r="T894" s="91"/>
      <c r="U894" s="91"/>
      <c r="V894" s="91"/>
      <c r="W894" s="91"/>
      <c r="X894" s="91"/>
      <c r="Y894" s="91"/>
      <c r="Z894" s="91"/>
    </row>
    <row r="895" spans="1:26" s="91" customFormat="1" ht="12.75" hidden="1" customHeight="1" x14ac:dyDescent="0.35">
      <c r="A895" s="91" t="s">
        <v>3</v>
      </c>
      <c r="P895" s="92" t="s">
        <v>116</v>
      </c>
    </row>
    <row r="896" spans="1:26" s="91" customFormat="1" ht="12.75" hidden="1" customHeight="1" x14ac:dyDescent="0.35">
      <c r="A896" s="91" t="s">
        <v>3</v>
      </c>
      <c r="P896" s="92"/>
    </row>
    <row r="897" spans="1:16" s="91" customFormat="1" ht="12.75" hidden="1" customHeight="1" x14ac:dyDescent="0.35">
      <c r="A897" s="91" t="s">
        <v>3</v>
      </c>
      <c r="P897" s="92"/>
    </row>
  </sheetData>
  <sheetProtection sheet="1" objects="1" scenarios="1" formatCells="0" formatColumns="0" formatRows="0"/>
  <mergeCells count="187">
    <mergeCell ref="K846:M846"/>
    <mergeCell ref="E794:M794"/>
    <mergeCell ref="E795:M795"/>
    <mergeCell ref="G674:K674"/>
    <mergeCell ref="L674:N674"/>
    <mergeCell ref="J702:M702"/>
    <mergeCell ref="E705:M705"/>
    <mergeCell ref="E706:M706"/>
    <mergeCell ref="E707:M707"/>
    <mergeCell ref="K714:M714"/>
    <mergeCell ref="E179:M179"/>
    <mergeCell ref="K186:M186"/>
    <mergeCell ref="E661:M661"/>
    <mergeCell ref="E662:M662"/>
    <mergeCell ref="E663:M663"/>
    <mergeCell ref="K670:M670"/>
    <mergeCell ref="J482:M482"/>
    <mergeCell ref="E485:M485"/>
    <mergeCell ref="G586:K586"/>
    <mergeCell ref="L586:N586"/>
    <mergeCell ref="E619:M619"/>
    <mergeCell ref="K626:M626"/>
    <mergeCell ref="G630:K630"/>
    <mergeCell ref="L630:N630"/>
    <mergeCell ref="J614:M614"/>
    <mergeCell ref="E617:M617"/>
    <mergeCell ref="E618:M618"/>
    <mergeCell ref="L454:N454"/>
    <mergeCell ref="G498:K498"/>
    <mergeCell ref="L498:N498"/>
    <mergeCell ref="J526:M526"/>
    <mergeCell ref="E529:M529"/>
    <mergeCell ref="E530:M530"/>
    <mergeCell ref="E531:M531"/>
    <mergeCell ref="B2:D6"/>
    <mergeCell ref="E6:F6"/>
    <mergeCell ref="G6:H6"/>
    <mergeCell ref="G14:K14"/>
    <mergeCell ref="L14:N14"/>
    <mergeCell ref="E46:M46"/>
    <mergeCell ref="E45:M45"/>
    <mergeCell ref="E47:M47"/>
    <mergeCell ref="J42:M42"/>
    <mergeCell ref="E10:M10"/>
    <mergeCell ref="E4:F4"/>
    <mergeCell ref="G4:H4"/>
    <mergeCell ref="E5:F5"/>
    <mergeCell ref="G5:H5"/>
    <mergeCell ref="I5:J5"/>
    <mergeCell ref="K5:L5"/>
    <mergeCell ref="M5:N5"/>
    <mergeCell ref="I4:J4"/>
    <mergeCell ref="K4:L4"/>
    <mergeCell ref="M4:N4"/>
    <mergeCell ref="M2:N2"/>
    <mergeCell ref="E3:F3"/>
    <mergeCell ref="G3:H3"/>
    <mergeCell ref="I3:J3"/>
    <mergeCell ref="E89:M89"/>
    <mergeCell ref="E90:M90"/>
    <mergeCell ref="E91:M91"/>
    <mergeCell ref="K98:M98"/>
    <mergeCell ref="K3:L3"/>
    <mergeCell ref="M3:N3"/>
    <mergeCell ref="E2:F2"/>
    <mergeCell ref="G2:H2"/>
    <mergeCell ref="I2:J2"/>
    <mergeCell ref="K2:L2"/>
    <mergeCell ref="I6:J6"/>
    <mergeCell ref="K6:L6"/>
    <mergeCell ref="M6:N6"/>
    <mergeCell ref="E15:M15"/>
    <mergeCell ref="E59:M59"/>
    <mergeCell ref="K54:M54"/>
    <mergeCell ref="G58:K58"/>
    <mergeCell ref="L58:N58"/>
    <mergeCell ref="J86:M86"/>
    <mergeCell ref="E455:M455"/>
    <mergeCell ref="E499:M499"/>
    <mergeCell ref="E543:M543"/>
    <mergeCell ref="E587:M587"/>
    <mergeCell ref="E631:M631"/>
    <mergeCell ref="E675:M675"/>
    <mergeCell ref="K802:M802"/>
    <mergeCell ref="G806:K806"/>
    <mergeCell ref="L806:N806"/>
    <mergeCell ref="E486:M486"/>
    <mergeCell ref="E487:M487"/>
    <mergeCell ref="K494:M494"/>
    <mergeCell ref="J570:M570"/>
    <mergeCell ref="E573:M573"/>
    <mergeCell ref="E574:M574"/>
    <mergeCell ref="E575:M575"/>
    <mergeCell ref="K582:M582"/>
    <mergeCell ref="J658:M658"/>
    <mergeCell ref="K538:M538"/>
    <mergeCell ref="G542:K542"/>
    <mergeCell ref="L542:N542"/>
    <mergeCell ref="J790:M790"/>
    <mergeCell ref="E793:M793"/>
    <mergeCell ref="G102:K102"/>
    <mergeCell ref="L102:N102"/>
    <mergeCell ref="E103:M103"/>
    <mergeCell ref="J130:M130"/>
    <mergeCell ref="E133:M133"/>
    <mergeCell ref="E134:M134"/>
    <mergeCell ref="G146:K146"/>
    <mergeCell ref="E147:M147"/>
    <mergeCell ref="E178:M178"/>
    <mergeCell ref="E135:M135"/>
    <mergeCell ref="K142:M142"/>
    <mergeCell ref="L146:N146"/>
    <mergeCell ref="J174:M174"/>
    <mergeCell ref="E177:M177"/>
    <mergeCell ref="G190:K190"/>
    <mergeCell ref="L190:N190"/>
    <mergeCell ref="E191:M191"/>
    <mergeCell ref="J218:M218"/>
    <mergeCell ref="E221:M221"/>
    <mergeCell ref="E222:M222"/>
    <mergeCell ref="E223:M223"/>
    <mergeCell ref="K230:M230"/>
    <mergeCell ref="G234:K234"/>
    <mergeCell ref="L234:N234"/>
    <mergeCell ref="E235:M235"/>
    <mergeCell ref="J262:M262"/>
    <mergeCell ref="E265:M265"/>
    <mergeCell ref="E266:M266"/>
    <mergeCell ref="E267:M267"/>
    <mergeCell ref="K274:M274"/>
    <mergeCell ref="G278:K278"/>
    <mergeCell ref="L278:N278"/>
    <mergeCell ref="E279:M279"/>
    <mergeCell ref="J306:M306"/>
    <mergeCell ref="E309:M309"/>
    <mergeCell ref="E310:M310"/>
    <mergeCell ref="E311:M311"/>
    <mergeCell ref="K318:M318"/>
    <mergeCell ref="G322:K322"/>
    <mergeCell ref="L322:N322"/>
    <mergeCell ref="J350:M350"/>
    <mergeCell ref="E353:M353"/>
    <mergeCell ref="E323:M323"/>
    <mergeCell ref="E354:M354"/>
    <mergeCell ref="E355:M355"/>
    <mergeCell ref="K362:M362"/>
    <mergeCell ref="G366:K366"/>
    <mergeCell ref="L366:N366"/>
    <mergeCell ref="J394:M394"/>
    <mergeCell ref="E397:M397"/>
    <mergeCell ref="E398:M398"/>
    <mergeCell ref="E399:M399"/>
    <mergeCell ref="E367:M367"/>
    <mergeCell ref="K406:M406"/>
    <mergeCell ref="G410:K410"/>
    <mergeCell ref="L410:N410"/>
    <mergeCell ref="J438:M438"/>
    <mergeCell ref="E441:M441"/>
    <mergeCell ref="E442:M442"/>
    <mergeCell ref="E443:M443"/>
    <mergeCell ref="K450:M450"/>
    <mergeCell ref="G454:K454"/>
    <mergeCell ref="E411:M411"/>
    <mergeCell ref="G850:K850"/>
    <mergeCell ref="L850:N850"/>
    <mergeCell ref="E851:M851"/>
    <mergeCell ref="J878:M878"/>
    <mergeCell ref="E881:M881"/>
    <mergeCell ref="E882:M882"/>
    <mergeCell ref="E883:M883"/>
    <mergeCell ref="K890:M890"/>
    <mergeCell ref="G718:K718"/>
    <mergeCell ref="L718:N718"/>
    <mergeCell ref="E719:M719"/>
    <mergeCell ref="J746:M746"/>
    <mergeCell ref="E749:M749"/>
    <mergeCell ref="E750:M750"/>
    <mergeCell ref="E751:M751"/>
    <mergeCell ref="K758:M758"/>
    <mergeCell ref="G762:K762"/>
    <mergeCell ref="L762:N762"/>
    <mergeCell ref="E763:M763"/>
    <mergeCell ref="E807:M807"/>
    <mergeCell ref="J834:M834"/>
    <mergeCell ref="E837:M837"/>
    <mergeCell ref="E838:M838"/>
    <mergeCell ref="E839:M839"/>
  </mergeCells>
  <conditionalFormatting sqref="D27:M37 E38:M38 M37:M39">
    <cfRule type="expression" dxfId="249" priority="1195">
      <formula>$Z27</formula>
    </cfRule>
  </conditionalFormatting>
  <conditionalFormatting sqref="O49:O51 O54">
    <cfRule type="expression" dxfId="248" priority="1193">
      <formula>$V49=TRUE</formula>
    </cfRule>
    <cfRule type="expression" dxfId="247" priority="1194">
      <formula>$V49=CONST_NA</formula>
    </cfRule>
  </conditionalFormatting>
  <conditionalFormatting sqref="O28:O37">
    <cfRule type="expression" dxfId="246" priority="1171">
      <formula>$V28=TRUE</formula>
    </cfRule>
    <cfRule type="expression" dxfId="245" priority="1172">
      <formula>$V28=CONST_NA</formula>
    </cfRule>
  </conditionalFormatting>
  <conditionalFormatting sqref="D18:M24">
    <cfRule type="expression" dxfId="244" priority="1197">
      <formula>$H18=CONST_NA</formula>
    </cfRule>
  </conditionalFormatting>
  <conditionalFormatting sqref="L49:M52 K54">
    <cfRule type="expression" dxfId="243" priority="1116">
      <formula>$Z49</formula>
    </cfRule>
  </conditionalFormatting>
  <conditionalFormatting sqref="C14:N848">
    <cfRule type="expression" dxfId="242" priority="1115">
      <formula>INDEX($Z:$Z,MATCH(MAX(INDIRECT(ADDRESS(1,3)&amp;":"&amp;ADDRESS(ROW(C14),3))),$C:$C,0))</formula>
    </cfRule>
  </conditionalFormatting>
  <conditionalFormatting sqref="E3:N6">
    <cfRule type="expression" dxfId="241" priority="1114">
      <formula>COUNTIF($V:$V,CONST_ErrorOrMissing&amp;R3)&gt;0</formula>
    </cfRule>
  </conditionalFormatting>
  <conditionalFormatting sqref="O17:O24">
    <cfRule type="expression" dxfId="240" priority="552">
      <formula>$V17=TRUE</formula>
    </cfRule>
    <cfRule type="expression" dxfId="239" priority="553">
      <formula>$V17=CONST_NA</formula>
    </cfRule>
  </conditionalFormatting>
  <conditionalFormatting sqref="O38:O39">
    <cfRule type="expression" dxfId="238" priority="550">
      <formula>$V38=TRUE</formula>
    </cfRule>
    <cfRule type="expression" dxfId="237" priority="551">
      <formula>$V38=CONST_NA</formula>
    </cfRule>
  </conditionalFormatting>
  <conditionalFormatting sqref="E17:L24">
    <cfRule type="expression" dxfId="236" priority="1761">
      <formula>$Y17</formula>
    </cfRule>
  </conditionalFormatting>
  <conditionalFormatting sqref="D71:M81 E82:M82 M83">
    <cfRule type="expression" dxfId="235" priority="544">
      <formula>$Z71</formula>
    </cfRule>
  </conditionalFormatting>
  <conditionalFormatting sqref="O93:O95 O98">
    <cfRule type="expression" dxfId="234" priority="542">
      <formula>$V93=TRUE</formula>
    </cfRule>
    <cfRule type="expression" dxfId="233" priority="543">
      <formula>$V93=CONST_NA</formula>
    </cfRule>
  </conditionalFormatting>
  <conditionalFormatting sqref="O72:O81">
    <cfRule type="expression" dxfId="232" priority="540">
      <formula>$V72=TRUE</formula>
    </cfRule>
    <cfRule type="expression" dxfId="231" priority="541">
      <formula>$V72=CONST_NA</formula>
    </cfRule>
  </conditionalFormatting>
  <conditionalFormatting sqref="D62:M68">
    <cfRule type="expression" dxfId="230" priority="545">
      <formula>$H62=CONST_NA</formula>
    </cfRule>
  </conditionalFormatting>
  <conditionalFormatting sqref="L93:M96 K98">
    <cfRule type="expression" dxfId="229" priority="539">
      <formula>$Z93</formula>
    </cfRule>
  </conditionalFormatting>
  <conditionalFormatting sqref="O61:O68">
    <cfRule type="expression" dxfId="228" priority="535">
      <formula>$V61=TRUE</formula>
    </cfRule>
    <cfRule type="expression" dxfId="227" priority="536">
      <formula>$V61=CONST_NA</formula>
    </cfRule>
  </conditionalFormatting>
  <conditionalFormatting sqref="O82:O83">
    <cfRule type="expression" dxfId="226" priority="533">
      <formula>$V82=TRUE</formula>
    </cfRule>
    <cfRule type="expression" dxfId="225" priority="534">
      <formula>$V82=CONST_NA</formula>
    </cfRule>
  </conditionalFormatting>
  <conditionalFormatting sqref="E61:L68">
    <cfRule type="expression" dxfId="224" priority="547">
      <formula>$Y61</formula>
    </cfRule>
  </conditionalFormatting>
  <conditionalFormatting sqref="D115:M125 E126:M126 M127">
    <cfRule type="expression" dxfId="223" priority="221">
      <formula>$Z115</formula>
    </cfRule>
  </conditionalFormatting>
  <conditionalFormatting sqref="O137:O139 O142">
    <cfRule type="expression" dxfId="222" priority="219">
      <formula>$V137=TRUE</formula>
    </cfRule>
    <cfRule type="expression" dxfId="221" priority="220">
      <formula>$V137=CONST_NA</formula>
    </cfRule>
  </conditionalFormatting>
  <conditionalFormatting sqref="O116:O125">
    <cfRule type="expression" dxfId="220" priority="217">
      <formula>$V116=TRUE</formula>
    </cfRule>
    <cfRule type="expression" dxfId="219" priority="218">
      <formula>$V116=CONST_NA</formula>
    </cfRule>
  </conditionalFormatting>
  <conditionalFormatting sqref="D106:M112">
    <cfRule type="expression" dxfId="218" priority="222">
      <formula>$H106=CONST_NA</formula>
    </cfRule>
  </conditionalFormatting>
  <conditionalFormatting sqref="L137:M140 K142">
    <cfRule type="expression" dxfId="217" priority="216">
      <formula>$Z137</formula>
    </cfRule>
  </conditionalFormatting>
  <conditionalFormatting sqref="O105:O112">
    <cfRule type="expression" dxfId="216" priority="214">
      <formula>$V105=TRUE</formula>
    </cfRule>
    <cfRule type="expression" dxfId="215" priority="215">
      <formula>$V105=CONST_NA</formula>
    </cfRule>
  </conditionalFormatting>
  <conditionalFormatting sqref="O126:O127">
    <cfRule type="expression" dxfId="214" priority="212">
      <formula>$V126=TRUE</formula>
    </cfRule>
    <cfRule type="expression" dxfId="213" priority="213">
      <formula>$V126=CONST_NA</formula>
    </cfRule>
  </conditionalFormatting>
  <conditionalFormatting sqref="E105:L112">
    <cfRule type="expression" dxfId="212" priority="223">
      <formula>$Y105</formula>
    </cfRule>
  </conditionalFormatting>
  <conditionalFormatting sqref="D159:M169 E170:M170 M171">
    <cfRule type="expression" dxfId="211" priority="208">
      <formula>$Z159</formula>
    </cfRule>
  </conditionalFormatting>
  <conditionalFormatting sqref="O181:O183 O186">
    <cfRule type="expression" dxfId="210" priority="206">
      <formula>$V181=TRUE</formula>
    </cfRule>
    <cfRule type="expression" dxfId="209" priority="207">
      <formula>$V181=CONST_NA</formula>
    </cfRule>
  </conditionalFormatting>
  <conditionalFormatting sqref="O160:O169">
    <cfRule type="expression" dxfId="208" priority="204">
      <formula>$V160=TRUE</formula>
    </cfRule>
    <cfRule type="expression" dxfId="207" priority="205">
      <formula>$V160=CONST_NA</formula>
    </cfRule>
  </conditionalFormatting>
  <conditionalFormatting sqref="D150:M156">
    <cfRule type="expression" dxfId="206" priority="209">
      <formula>$H150=CONST_NA</formula>
    </cfRule>
  </conditionalFormatting>
  <conditionalFormatting sqref="L181:M184 K186">
    <cfRule type="expression" dxfId="205" priority="203">
      <formula>$Z181</formula>
    </cfRule>
  </conditionalFormatting>
  <conditionalFormatting sqref="O149:O156">
    <cfRule type="expression" dxfId="204" priority="201">
      <formula>$V149=TRUE</formula>
    </cfRule>
    <cfRule type="expression" dxfId="203" priority="202">
      <formula>$V149=CONST_NA</formula>
    </cfRule>
  </conditionalFormatting>
  <conditionalFormatting sqref="O170:O171">
    <cfRule type="expression" dxfId="202" priority="199">
      <formula>$V170=TRUE</formula>
    </cfRule>
    <cfRule type="expression" dxfId="201" priority="200">
      <formula>$V170=CONST_NA</formula>
    </cfRule>
  </conditionalFormatting>
  <conditionalFormatting sqref="E149:L156">
    <cfRule type="expression" dxfId="200" priority="210">
      <formula>$Y149</formula>
    </cfRule>
  </conditionalFormatting>
  <conditionalFormatting sqref="D203:M213 E214:M214 M215">
    <cfRule type="expression" dxfId="199" priority="195">
      <formula>$Z203</formula>
    </cfRule>
  </conditionalFormatting>
  <conditionalFormatting sqref="O225:O227 O230">
    <cfRule type="expression" dxfId="198" priority="193">
      <formula>$V225=TRUE</formula>
    </cfRule>
    <cfRule type="expression" dxfId="197" priority="194">
      <formula>$V225=CONST_NA</formula>
    </cfRule>
  </conditionalFormatting>
  <conditionalFormatting sqref="O204:O213">
    <cfRule type="expression" dxfId="196" priority="191">
      <formula>$V204=TRUE</formula>
    </cfRule>
    <cfRule type="expression" dxfId="195" priority="192">
      <formula>$V204=CONST_NA</formula>
    </cfRule>
  </conditionalFormatting>
  <conditionalFormatting sqref="D194:M200">
    <cfRule type="expression" dxfId="194" priority="196">
      <formula>$H194=CONST_NA</formula>
    </cfRule>
  </conditionalFormatting>
  <conditionalFormatting sqref="L225:M228 K230">
    <cfRule type="expression" dxfId="193" priority="190">
      <formula>$Z225</formula>
    </cfRule>
  </conditionalFormatting>
  <conditionalFormatting sqref="O193:O200">
    <cfRule type="expression" dxfId="192" priority="188">
      <formula>$V193=TRUE</formula>
    </cfRule>
    <cfRule type="expression" dxfId="191" priority="189">
      <formula>$V193=CONST_NA</formula>
    </cfRule>
  </conditionalFormatting>
  <conditionalFormatting sqref="O214:O215">
    <cfRule type="expression" dxfId="190" priority="186">
      <formula>$V214=TRUE</formula>
    </cfRule>
    <cfRule type="expression" dxfId="189" priority="187">
      <formula>$V214=CONST_NA</formula>
    </cfRule>
  </conditionalFormatting>
  <conditionalFormatting sqref="E193:L200">
    <cfRule type="expression" dxfId="188" priority="197">
      <formula>$Y193</formula>
    </cfRule>
  </conditionalFormatting>
  <conditionalFormatting sqref="D247:M257 E258:M258 M259">
    <cfRule type="expression" dxfId="187" priority="183">
      <formula>$Z247</formula>
    </cfRule>
  </conditionalFormatting>
  <conditionalFormatting sqref="O269:O271 O274">
    <cfRule type="expression" dxfId="186" priority="181">
      <formula>$V269=TRUE</formula>
    </cfRule>
    <cfRule type="expression" dxfId="185" priority="182">
      <formula>$V269=CONST_NA</formula>
    </cfRule>
  </conditionalFormatting>
  <conditionalFormatting sqref="O248:O257">
    <cfRule type="expression" dxfId="184" priority="179">
      <formula>$V248=TRUE</formula>
    </cfRule>
    <cfRule type="expression" dxfId="183" priority="180">
      <formula>$V248=CONST_NA</formula>
    </cfRule>
  </conditionalFormatting>
  <conditionalFormatting sqref="D238:M244">
    <cfRule type="expression" dxfId="182" priority="184">
      <formula>$H238=CONST_NA</formula>
    </cfRule>
  </conditionalFormatting>
  <conditionalFormatting sqref="L269:M272 K274">
    <cfRule type="expression" dxfId="181" priority="178">
      <formula>$Z269</formula>
    </cfRule>
  </conditionalFormatting>
  <conditionalFormatting sqref="O237:O244">
    <cfRule type="expression" dxfId="180" priority="176">
      <formula>$V237=TRUE</formula>
    </cfRule>
    <cfRule type="expression" dxfId="179" priority="177">
      <formula>$V237=CONST_NA</formula>
    </cfRule>
  </conditionalFormatting>
  <conditionalFormatting sqref="O258:O259">
    <cfRule type="expression" dxfId="178" priority="174">
      <formula>$V258=TRUE</formula>
    </cfRule>
    <cfRule type="expression" dxfId="177" priority="175">
      <formula>$V258=CONST_NA</formula>
    </cfRule>
  </conditionalFormatting>
  <conditionalFormatting sqref="E237:L244">
    <cfRule type="expression" dxfId="176" priority="185">
      <formula>$Y237</formula>
    </cfRule>
  </conditionalFormatting>
  <conditionalFormatting sqref="D291:M301 E302:M302 M303">
    <cfRule type="expression" dxfId="175" priority="171">
      <formula>$Z291</formula>
    </cfRule>
  </conditionalFormatting>
  <conditionalFormatting sqref="O313:O315 O318">
    <cfRule type="expression" dxfId="174" priority="169">
      <formula>$V313=TRUE</formula>
    </cfRule>
    <cfRule type="expression" dxfId="173" priority="170">
      <formula>$V313=CONST_NA</formula>
    </cfRule>
  </conditionalFormatting>
  <conditionalFormatting sqref="O292:O301">
    <cfRule type="expression" dxfId="172" priority="167">
      <formula>$V292=TRUE</formula>
    </cfRule>
    <cfRule type="expression" dxfId="171" priority="168">
      <formula>$V292=CONST_NA</formula>
    </cfRule>
  </conditionalFormatting>
  <conditionalFormatting sqref="D282:M288">
    <cfRule type="expression" dxfId="170" priority="172">
      <formula>$H282=CONST_NA</formula>
    </cfRule>
  </conditionalFormatting>
  <conditionalFormatting sqref="L313:M316 K318">
    <cfRule type="expression" dxfId="169" priority="166">
      <formula>$Z313</formula>
    </cfRule>
  </conditionalFormatting>
  <conditionalFormatting sqref="O281:O288">
    <cfRule type="expression" dxfId="168" priority="164">
      <formula>$V281=TRUE</formula>
    </cfRule>
    <cfRule type="expression" dxfId="167" priority="165">
      <formula>$V281=CONST_NA</formula>
    </cfRule>
  </conditionalFormatting>
  <conditionalFormatting sqref="O302:O303">
    <cfRule type="expression" dxfId="166" priority="162">
      <formula>$V302=TRUE</formula>
    </cfRule>
    <cfRule type="expression" dxfId="165" priority="163">
      <formula>$V302=CONST_NA</formula>
    </cfRule>
  </conditionalFormatting>
  <conditionalFormatting sqref="E281:L288">
    <cfRule type="expression" dxfId="164" priority="173">
      <formula>$Y281</formula>
    </cfRule>
  </conditionalFormatting>
  <conditionalFormatting sqref="D335:M345 E346:M346 M347">
    <cfRule type="expression" dxfId="163" priority="158">
      <formula>$Z335</formula>
    </cfRule>
  </conditionalFormatting>
  <conditionalFormatting sqref="O357:O359 O362">
    <cfRule type="expression" dxfId="162" priority="156">
      <formula>$V357=TRUE</formula>
    </cfRule>
    <cfRule type="expression" dxfId="161" priority="157">
      <formula>$V357=CONST_NA</formula>
    </cfRule>
  </conditionalFormatting>
  <conditionalFormatting sqref="O336:O345">
    <cfRule type="expression" dxfId="160" priority="154">
      <formula>$V336=TRUE</formula>
    </cfRule>
    <cfRule type="expression" dxfId="159" priority="155">
      <formula>$V336=CONST_NA</formula>
    </cfRule>
  </conditionalFormatting>
  <conditionalFormatting sqref="D326:M332">
    <cfRule type="expression" dxfId="158" priority="159">
      <formula>$H326=CONST_NA</formula>
    </cfRule>
  </conditionalFormatting>
  <conditionalFormatting sqref="L357:M360 K362">
    <cfRule type="expression" dxfId="157" priority="153">
      <formula>$Z357</formula>
    </cfRule>
  </conditionalFormatting>
  <conditionalFormatting sqref="O325:O332">
    <cfRule type="expression" dxfId="156" priority="151">
      <formula>$V325=TRUE</formula>
    </cfRule>
    <cfRule type="expression" dxfId="155" priority="152">
      <formula>$V325=CONST_NA</formula>
    </cfRule>
  </conditionalFormatting>
  <conditionalFormatting sqref="O346:O347">
    <cfRule type="expression" dxfId="154" priority="149">
      <formula>$V346=TRUE</formula>
    </cfRule>
    <cfRule type="expression" dxfId="153" priority="150">
      <formula>$V346=CONST_NA</formula>
    </cfRule>
  </conditionalFormatting>
  <conditionalFormatting sqref="E325:L332">
    <cfRule type="expression" dxfId="152" priority="160">
      <formula>$Y325</formula>
    </cfRule>
  </conditionalFormatting>
  <conditionalFormatting sqref="D379:M389 E390:M390 M391">
    <cfRule type="expression" dxfId="151" priority="146">
      <formula>$Z379</formula>
    </cfRule>
  </conditionalFormatting>
  <conditionalFormatting sqref="O401:O403 O406">
    <cfRule type="expression" dxfId="150" priority="144">
      <formula>$V401=TRUE</formula>
    </cfRule>
    <cfRule type="expression" dxfId="149" priority="145">
      <formula>$V401=CONST_NA</formula>
    </cfRule>
  </conditionalFormatting>
  <conditionalFormatting sqref="O380:O389">
    <cfRule type="expression" dxfId="148" priority="142">
      <formula>$V380=TRUE</formula>
    </cfRule>
    <cfRule type="expression" dxfId="147" priority="143">
      <formula>$V380=CONST_NA</formula>
    </cfRule>
  </conditionalFormatting>
  <conditionalFormatting sqref="D370:M376">
    <cfRule type="expression" dxfId="146" priority="147">
      <formula>$H370=CONST_NA</formula>
    </cfRule>
  </conditionalFormatting>
  <conditionalFormatting sqref="L401:M404 K406">
    <cfRule type="expression" dxfId="145" priority="141">
      <formula>$Z401</formula>
    </cfRule>
  </conditionalFormatting>
  <conditionalFormatting sqref="O369:O376">
    <cfRule type="expression" dxfId="144" priority="139">
      <formula>$V369=TRUE</formula>
    </cfRule>
    <cfRule type="expression" dxfId="143" priority="140">
      <formula>$V369=CONST_NA</formula>
    </cfRule>
  </conditionalFormatting>
  <conditionalFormatting sqref="O390:O391">
    <cfRule type="expression" dxfId="142" priority="137">
      <formula>$V390=TRUE</formula>
    </cfRule>
    <cfRule type="expression" dxfId="141" priority="138">
      <formula>$V390=CONST_NA</formula>
    </cfRule>
  </conditionalFormatting>
  <conditionalFormatting sqref="E369:L376">
    <cfRule type="expression" dxfId="140" priority="148">
      <formula>$Y369</formula>
    </cfRule>
  </conditionalFormatting>
  <conditionalFormatting sqref="D423:M433 E434:M434 M435">
    <cfRule type="expression" dxfId="139" priority="134">
      <formula>$Z423</formula>
    </cfRule>
  </conditionalFormatting>
  <conditionalFormatting sqref="O445:O447 O450">
    <cfRule type="expression" dxfId="138" priority="132">
      <formula>$V445=TRUE</formula>
    </cfRule>
    <cfRule type="expression" dxfId="137" priority="133">
      <formula>$V445=CONST_NA</formula>
    </cfRule>
  </conditionalFormatting>
  <conditionalFormatting sqref="O424:O433">
    <cfRule type="expression" dxfId="136" priority="130">
      <formula>$V424=TRUE</formula>
    </cfRule>
    <cfRule type="expression" dxfId="135" priority="131">
      <formula>$V424=CONST_NA</formula>
    </cfRule>
  </conditionalFormatting>
  <conditionalFormatting sqref="D414:M420">
    <cfRule type="expression" dxfId="134" priority="135">
      <formula>$H414=CONST_NA</formula>
    </cfRule>
  </conditionalFormatting>
  <conditionalFormatting sqref="L445:M448 K450">
    <cfRule type="expression" dxfId="133" priority="129">
      <formula>$Z445</formula>
    </cfRule>
  </conditionalFormatting>
  <conditionalFormatting sqref="O413:O420">
    <cfRule type="expression" dxfId="132" priority="127">
      <formula>$V413=TRUE</formula>
    </cfRule>
    <cfRule type="expression" dxfId="131" priority="128">
      <formula>$V413=CONST_NA</formula>
    </cfRule>
  </conditionalFormatting>
  <conditionalFormatting sqref="O434:O435">
    <cfRule type="expression" dxfId="130" priority="125">
      <formula>$V434=TRUE</formula>
    </cfRule>
    <cfRule type="expression" dxfId="129" priority="126">
      <formula>$V434=CONST_NA</formula>
    </cfRule>
  </conditionalFormatting>
  <conditionalFormatting sqref="E413:L420">
    <cfRule type="expression" dxfId="128" priority="136">
      <formula>$Y413</formula>
    </cfRule>
  </conditionalFormatting>
  <conditionalFormatting sqref="D467:M477 E478:M478 M479">
    <cfRule type="expression" dxfId="127" priority="121">
      <formula>$Z467</formula>
    </cfRule>
  </conditionalFormatting>
  <conditionalFormatting sqref="O489:O491 O494">
    <cfRule type="expression" dxfId="126" priority="119">
      <formula>$V489=TRUE</formula>
    </cfRule>
    <cfRule type="expression" dxfId="125" priority="120">
      <formula>$V489=CONST_NA</formula>
    </cfRule>
  </conditionalFormatting>
  <conditionalFormatting sqref="O468:O477">
    <cfRule type="expression" dxfId="124" priority="117">
      <formula>$V468=TRUE</formula>
    </cfRule>
    <cfRule type="expression" dxfId="123" priority="118">
      <formula>$V468=CONST_NA</formula>
    </cfRule>
  </conditionalFormatting>
  <conditionalFormatting sqref="D458:M464">
    <cfRule type="expression" dxfId="122" priority="122">
      <formula>$H458=CONST_NA</formula>
    </cfRule>
  </conditionalFormatting>
  <conditionalFormatting sqref="L489:M492 K494">
    <cfRule type="expression" dxfId="121" priority="116">
      <formula>$Z489</formula>
    </cfRule>
  </conditionalFormatting>
  <conditionalFormatting sqref="O457:O464">
    <cfRule type="expression" dxfId="120" priority="114">
      <formula>$V457=TRUE</formula>
    </cfRule>
    <cfRule type="expression" dxfId="119" priority="115">
      <formula>$V457=CONST_NA</formula>
    </cfRule>
  </conditionalFormatting>
  <conditionalFormatting sqref="O478:O479">
    <cfRule type="expression" dxfId="118" priority="112">
      <formula>$V478=TRUE</formula>
    </cfRule>
    <cfRule type="expression" dxfId="117" priority="113">
      <formula>$V478=CONST_NA</formula>
    </cfRule>
  </conditionalFormatting>
  <conditionalFormatting sqref="E457:L464">
    <cfRule type="expression" dxfId="116" priority="123">
      <formula>$Y457</formula>
    </cfRule>
  </conditionalFormatting>
  <conditionalFormatting sqref="D511:M521 E522:M522 M523">
    <cfRule type="expression" dxfId="115" priority="109">
      <formula>$Z511</formula>
    </cfRule>
  </conditionalFormatting>
  <conditionalFormatting sqref="O533:O535 O538">
    <cfRule type="expression" dxfId="114" priority="107">
      <formula>$V533=TRUE</formula>
    </cfRule>
    <cfRule type="expression" dxfId="113" priority="108">
      <formula>$V533=CONST_NA</formula>
    </cfRule>
  </conditionalFormatting>
  <conditionalFormatting sqref="O512:O521">
    <cfRule type="expression" dxfId="112" priority="105">
      <formula>$V512=TRUE</formula>
    </cfRule>
    <cfRule type="expression" dxfId="111" priority="106">
      <formula>$V512=CONST_NA</formula>
    </cfRule>
  </conditionalFormatting>
  <conditionalFormatting sqref="D502:M508">
    <cfRule type="expression" dxfId="110" priority="110">
      <formula>$H502=CONST_NA</formula>
    </cfRule>
  </conditionalFormatting>
  <conditionalFormatting sqref="L533:M536 K538">
    <cfRule type="expression" dxfId="109" priority="104">
      <formula>$Z533</formula>
    </cfRule>
  </conditionalFormatting>
  <conditionalFormatting sqref="O501:O508">
    <cfRule type="expression" dxfId="108" priority="102">
      <formula>$V501=TRUE</formula>
    </cfRule>
    <cfRule type="expression" dxfId="107" priority="103">
      <formula>$V501=CONST_NA</formula>
    </cfRule>
  </conditionalFormatting>
  <conditionalFormatting sqref="O522:O523">
    <cfRule type="expression" dxfId="106" priority="100">
      <formula>$V522=TRUE</formula>
    </cfRule>
    <cfRule type="expression" dxfId="105" priority="101">
      <formula>$V522=CONST_NA</formula>
    </cfRule>
  </conditionalFormatting>
  <conditionalFormatting sqref="E501:L508">
    <cfRule type="expression" dxfId="104" priority="111">
      <formula>$Y501</formula>
    </cfRule>
  </conditionalFormatting>
  <conditionalFormatting sqref="D555:M565 E566:M566 M567">
    <cfRule type="expression" dxfId="103" priority="97">
      <formula>$Z555</formula>
    </cfRule>
  </conditionalFormatting>
  <conditionalFormatting sqref="O577:O579 O582">
    <cfRule type="expression" dxfId="102" priority="95">
      <formula>$V577=TRUE</formula>
    </cfRule>
    <cfRule type="expression" dxfId="101" priority="96">
      <formula>$V577=CONST_NA</formula>
    </cfRule>
  </conditionalFormatting>
  <conditionalFormatting sqref="O556:O565">
    <cfRule type="expression" dxfId="100" priority="93">
      <formula>$V556=TRUE</formula>
    </cfRule>
    <cfRule type="expression" dxfId="99" priority="94">
      <formula>$V556=CONST_NA</formula>
    </cfRule>
  </conditionalFormatting>
  <conditionalFormatting sqref="D546:M552">
    <cfRule type="expression" dxfId="98" priority="98">
      <formula>$H546=CONST_NA</formula>
    </cfRule>
  </conditionalFormatting>
  <conditionalFormatting sqref="L577:M580 K582">
    <cfRule type="expression" dxfId="97" priority="92">
      <formula>$Z577</formula>
    </cfRule>
  </conditionalFormatting>
  <conditionalFormatting sqref="O545:O552">
    <cfRule type="expression" dxfId="96" priority="90">
      <formula>$V545=TRUE</formula>
    </cfRule>
    <cfRule type="expression" dxfId="95" priority="91">
      <formula>$V545=CONST_NA</formula>
    </cfRule>
  </conditionalFormatting>
  <conditionalFormatting sqref="O566:O567">
    <cfRule type="expression" dxfId="94" priority="88">
      <formula>$V566=TRUE</formula>
    </cfRule>
    <cfRule type="expression" dxfId="93" priority="89">
      <formula>$V566=CONST_NA</formula>
    </cfRule>
  </conditionalFormatting>
  <conditionalFormatting sqref="E545:L552">
    <cfRule type="expression" dxfId="92" priority="99">
      <formula>$Y545</formula>
    </cfRule>
  </conditionalFormatting>
  <conditionalFormatting sqref="D599:M609 E610:M610 M611">
    <cfRule type="expression" dxfId="91" priority="84">
      <formula>$Z599</formula>
    </cfRule>
  </conditionalFormatting>
  <conditionalFormatting sqref="O621:O623 O626">
    <cfRule type="expression" dxfId="90" priority="82">
      <formula>$V621=TRUE</formula>
    </cfRule>
    <cfRule type="expression" dxfId="89" priority="83">
      <formula>$V621=CONST_NA</formula>
    </cfRule>
  </conditionalFormatting>
  <conditionalFormatting sqref="O600:O609">
    <cfRule type="expression" dxfId="88" priority="80">
      <formula>$V600=TRUE</formula>
    </cfRule>
    <cfRule type="expression" dxfId="87" priority="81">
      <formula>$V600=CONST_NA</formula>
    </cfRule>
  </conditionalFormatting>
  <conditionalFormatting sqref="D590:M596">
    <cfRule type="expression" dxfId="86" priority="85">
      <formula>$H590=CONST_NA</formula>
    </cfRule>
  </conditionalFormatting>
  <conditionalFormatting sqref="L621:M624 K626">
    <cfRule type="expression" dxfId="85" priority="79">
      <formula>$Z621</formula>
    </cfRule>
  </conditionalFormatting>
  <conditionalFormatting sqref="O589:O596">
    <cfRule type="expression" dxfId="84" priority="77">
      <formula>$V589=TRUE</formula>
    </cfRule>
    <cfRule type="expression" dxfId="83" priority="78">
      <formula>$V589=CONST_NA</formula>
    </cfRule>
  </conditionalFormatting>
  <conditionalFormatting sqref="O610:O611">
    <cfRule type="expression" dxfId="82" priority="75">
      <formula>$V610=TRUE</formula>
    </cfRule>
    <cfRule type="expression" dxfId="81" priority="76">
      <formula>$V610=CONST_NA</formula>
    </cfRule>
  </conditionalFormatting>
  <conditionalFormatting sqref="E589:L596">
    <cfRule type="expression" dxfId="80" priority="86">
      <formula>$Y589</formula>
    </cfRule>
  </conditionalFormatting>
  <conditionalFormatting sqref="D643:M653 E654:M654 M655">
    <cfRule type="expression" dxfId="79" priority="72">
      <formula>$Z643</formula>
    </cfRule>
  </conditionalFormatting>
  <conditionalFormatting sqref="O665:O667 O670">
    <cfRule type="expression" dxfId="78" priority="70">
      <formula>$V665=TRUE</formula>
    </cfRule>
    <cfRule type="expression" dxfId="77" priority="71">
      <formula>$V665=CONST_NA</formula>
    </cfRule>
  </conditionalFormatting>
  <conditionalFormatting sqref="O644:O653">
    <cfRule type="expression" dxfId="76" priority="68">
      <formula>$V644=TRUE</formula>
    </cfRule>
    <cfRule type="expression" dxfId="75" priority="69">
      <formula>$V644=CONST_NA</formula>
    </cfRule>
  </conditionalFormatting>
  <conditionalFormatting sqref="D634:M640">
    <cfRule type="expression" dxfId="74" priority="73">
      <formula>$H634=CONST_NA</formula>
    </cfRule>
  </conditionalFormatting>
  <conditionalFormatting sqref="L665:M668 K670">
    <cfRule type="expression" dxfId="73" priority="67">
      <formula>$Z665</formula>
    </cfRule>
  </conditionalFormatting>
  <conditionalFormatting sqref="O633:O640">
    <cfRule type="expression" dxfId="72" priority="65">
      <formula>$V633=TRUE</formula>
    </cfRule>
    <cfRule type="expression" dxfId="71" priority="66">
      <formula>$V633=CONST_NA</formula>
    </cfRule>
  </conditionalFormatting>
  <conditionalFormatting sqref="O654:O655">
    <cfRule type="expression" dxfId="70" priority="63">
      <formula>$V654=TRUE</formula>
    </cfRule>
    <cfRule type="expression" dxfId="69" priority="64">
      <formula>$V654=CONST_NA</formula>
    </cfRule>
  </conditionalFormatting>
  <conditionalFormatting sqref="E633:L640">
    <cfRule type="expression" dxfId="68" priority="74">
      <formula>$Y633</formula>
    </cfRule>
  </conditionalFormatting>
  <conditionalFormatting sqref="D687:M697 E698:M698 M699">
    <cfRule type="expression" dxfId="67" priority="60">
      <formula>$Z687</formula>
    </cfRule>
  </conditionalFormatting>
  <conditionalFormatting sqref="O709:O711 O714">
    <cfRule type="expression" dxfId="66" priority="58">
      <formula>$V709=TRUE</formula>
    </cfRule>
    <cfRule type="expression" dxfId="65" priority="59">
      <formula>$V709=CONST_NA</formula>
    </cfRule>
  </conditionalFormatting>
  <conditionalFormatting sqref="O688:O697">
    <cfRule type="expression" dxfId="64" priority="56">
      <formula>$V688=TRUE</formula>
    </cfRule>
    <cfRule type="expression" dxfId="63" priority="57">
      <formula>$V688=CONST_NA</formula>
    </cfRule>
  </conditionalFormatting>
  <conditionalFormatting sqref="D678:M684">
    <cfRule type="expression" dxfId="62" priority="61">
      <formula>$H678=CONST_NA</formula>
    </cfRule>
  </conditionalFormatting>
  <conditionalFormatting sqref="L709:M712 K714">
    <cfRule type="expression" dxfId="61" priority="55">
      <formula>$Z709</formula>
    </cfRule>
  </conditionalFormatting>
  <conditionalFormatting sqref="O677:O684">
    <cfRule type="expression" dxfId="60" priority="53">
      <formula>$V677=TRUE</formula>
    </cfRule>
    <cfRule type="expression" dxfId="59" priority="54">
      <formula>$V677=CONST_NA</formula>
    </cfRule>
  </conditionalFormatting>
  <conditionalFormatting sqref="O698:O699">
    <cfRule type="expression" dxfId="58" priority="51">
      <formula>$V698=TRUE</formula>
    </cfRule>
    <cfRule type="expression" dxfId="57" priority="52">
      <formula>$V698=CONST_NA</formula>
    </cfRule>
  </conditionalFormatting>
  <conditionalFormatting sqref="E677:L684">
    <cfRule type="expression" dxfId="56" priority="62">
      <formula>$Y677</formula>
    </cfRule>
  </conditionalFormatting>
  <conditionalFormatting sqref="D731:M741 E742:M742 M743">
    <cfRule type="expression" dxfId="55" priority="47">
      <formula>$Z731</formula>
    </cfRule>
  </conditionalFormatting>
  <conditionalFormatting sqref="O753:O755 O758">
    <cfRule type="expression" dxfId="54" priority="45">
      <formula>$V753=TRUE</formula>
    </cfRule>
    <cfRule type="expression" dxfId="53" priority="46">
      <formula>$V753=CONST_NA</formula>
    </cfRule>
  </conditionalFormatting>
  <conditionalFormatting sqref="O732:O741">
    <cfRule type="expression" dxfId="52" priority="43">
      <formula>$V732=TRUE</formula>
    </cfRule>
    <cfRule type="expression" dxfId="51" priority="44">
      <formula>$V732=CONST_NA</formula>
    </cfRule>
  </conditionalFormatting>
  <conditionalFormatting sqref="D722:M728">
    <cfRule type="expression" dxfId="50" priority="48">
      <formula>$H722=CONST_NA</formula>
    </cfRule>
  </conditionalFormatting>
  <conditionalFormatting sqref="L753:M756 K758">
    <cfRule type="expression" dxfId="49" priority="42">
      <formula>$Z753</formula>
    </cfRule>
  </conditionalFormatting>
  <conditionalFormatting sqref="O721:O728">
    <cfRule type="expression" dxfId="48" priority="40">
      <formula>$V721=TRUE</formula>
    </cfRule>
    <cfRule type="expression" dxfId="47" priority="41">
      <formula>$V721=CONST_NA</formula>
    </cfRule>
  </conditionalFormatting>
  <conditionalFormatting sqref="O742:O743">
    <cfRule type="expression" dxfId="46" priority="38">
      <formula>$V742=TRUE</formula>
    </cfRule>
    <cfRule type="expression" dxfId="45" priority="39">
      <formula>$V742=CONST_NA</formula>
    </cfRule>
  </conditionalFormatting>
  <conditionalFormatting sqref="E721:L728">
    <cfRule type="expression" dxfId="44" priority="49">
      <formula>$Y721</formula>
    </cfRule>
  </conditionalFormatting>
  <conditionalFormatting sqref="D775:M785 E786:M786 M787">
    <cfRule type="expression" dxfId="43" priority="35">
      <formula>$Z775</formula>
    </cfRule>
  </conditionalFormatting>
  <conditionalFormatting sqref="O797:O799 O802">
    <cfRule type="expression" dxfId="42" priority="33">
      <formula>$V797=TRUE</formula>
    </cfRule>
    <cfRule type="expression" dxfId="41" priority="34">
      <formula>$V797=CONST_NA</formula>
    </cfRule>
  </conditionalFormatting>
  <conditionalFormatting sqref="O776:O785">
    <cfRule type="expression" dxfId="40" priority="31">
      <formula>$V776=TRUE</formula>
    </cfRule>
    <cfRule type="expression" dxfId="39" priority="32">
      <formula>$V776=CONST_NA</formula>
    </cfRule>
  </conditionalFormatting>
  <conditionalFormatting sqref="D766:M772">
    <cfRule type="expression" dxfId="38" priority="36">
      <formula>$H766=CONST_NA</formula>
    </cfRule>
  </conditionalFormatting>
  <conditionalFormatting sqref="L797:M800 K802">
    <cfRule type="expression" dxfId="37" priority="30">
      <formula>$Z797</formula>
    </cfRule>
  </conditionalFormatting>
  <conditionalFormatting sqref="O765:O772">
    <cfRule type="expression" dxfId="36" priority="28">
      <formula>$V765=TRUE</formula>
    </cfRule>
    <cfRule type="expression" dxfId="35" priority="29">
      <formula>$V765=CONST_NA</formula>
    </cfRule>
  </conditionalFormatting>
  <conditionalFormatting sqref="O786:O787">
    <cfRule type="expression" dxfId="34" priority="26">
      <formula>$V786=TRUE</formula>
    </cfRule>
    <cfRule type="expression" dxfId="33" priority="27">
      <formula>$V786=CONST_NA</formula>
    </cfRule>
  </conditionalFormatting>
  <conditionalFormatting sqref="E765:L772">
    <cfRule type="expression" dxfId="32" priority="37">
      <formula>$Y765</formula>
    </cfRule>
  </conditionalFormatting>
  <conditionalFormatting sqref="D819:M829 E830:M830 M831">
    <cfRule type="expression" dxfId="31" priority="23">
      <formula>$Z819</formula>
    </cfRule>
  </conditionalFormatting>
  <conditionalFormatting sqref="O841:O843 O846">
    <cfRule type="expression" dxfId="30" priority="21">
      <formula>$V841=TRUE</formula>
    </cfRule>
    <cfRule type="expression" dxfId="29" priority="22">
      <formula>$V841=CONST_NA</formula>
    </cfRule>
  </conditionalFormatting>
  <conditionalFormatting sqref="O820:O829">
    <cfRule type="expression" dxfId="28" priority="19">
      <formula>$V820=TRUE</formula>
    </cfRule>
    <cfRule type="expression" dxfId="27" priority="20">
      <formula>$V820=CONST_NA</formula>
    </cfRule>
  </conditionalFormatting>
  <conditionalFormatting sqref="D810:M816">
    <cfRule type="expression" dxfId="26" priority="24">
      <formula>$H810=CONST_NA</formula>
    </cfRule>
  </conditionalFormatting>
  <conditionalFormatting sqref="L841:M844 K846">
    <cfRule type="expression" dxfId="25" priority="18">
      <formula>$Z841</formula>
    </cfRule>
  </conditionalFormatting>
  <conditionalFormatting sqref="O809:O816">
    <cfRule type="expression" dxfId="24" priority="16">
      <formula>$V809=TRUE</formula>
    </cfRule>
    <cfRule type="expression" dxfId="23" priority="17">
      <formula>$V809=CONST_NA</formula>
    </cfRule>
  </conditionalFormatting>
  <conditionalFormatting sqref="O830:O831">
    <cfRule type="expression" dxfId="22" priority="14">
      <formula>$V830=TRUE</formula>
    </cfRule>
    <cfRule type="expression" dxfId="21" priority="15">
      <formula>$V830=CONST_NA</formula>
    </cfRule>
  </conditionalFormatting>
  <conditionalFormatting sqref="E809:L816">
    <cfRule type="expression" dxfId="20" priority="25">
      <formula>$Y809</formula>
    </cfRule>
  </conditionalFormatting>
  <conditionalFormatting sqref="C849:N892">
    <cfRule type="expression" dxfId="19" priority="13">
      <formula>INDEX($Z:$Z,MATCH(MAX(INDIRECT(ADDRESS(1,3)&amp;":"&amp;ADDRESS(ROW(C849),3))),$C:$C,0))</formula>
    </cfRule>
  </conditionalFormatting>
  <conditionalFormatting sqref="D863:M873 E874:M874 M875">
    <cfRule type="expression" dxfId="18" priority="10">
      <formula>$Z863</formula>
    </cfRule>
  </conditionalFormatting>
  <conditionalFormatting sqref="O885:O887 O890">
    <cfRule type="expression" dxfId="17" priority="8">
      <formula>$V885=TRUE</formula>
    </cfRule>
    <cfRule type="expression" dxfId="16" priority="9">
      <formula>$V885=CONST_NA</formula>
    </cfRule>
  </conditionalFormatting>
  <conditionalFormatting sqref="O864:O873">
    <cfRule type="expression" dxfId="15" priority="6">
      <formula>$V864=TRUE</formula>
    </cfRule>
    <cfRule type="expression" dxfId="14" priority="7">
      <formula>$V864=CONST_NA</formula>
    </cfRule>
  </conditionalFormatting>
  <conditionalFormatting sqref="D854:M860">
    <cfRule type="expression" dxfId="13" priority="11">
      <formula>$H854=CONST_NA</formula>
    </cfRule>
  </conditionalFormatting>
  <conditionalFormatting sqref="L885:M888 K890">
    <cfRule type="expression" dxfId="12" priority="5">
      <formula>$Z885</formula>
    </cfRule>
  </conditionalFormatting>
  <conditionalFormatting sqref="O853:O860">
    <cfRule type="expression" dxfId="11" priority="3">
      <formula>$V853=TRUE</formula>
    </cfRule>
    <cfRule type="expression" dxfId="10" priority="4">
      <formula>$V853=CONST_NA</formula>
    </cfRule>
  </conditionalFormatting>
  <conditionalFormatting sqref="O874:O875">
    <cfRule type="expression" dxfId="9" priority="1">
      <formula>$V874=TRUE</formula>
    </cfRule>
    <cfRule type="expression" dxfId="8" priority="2">
      <formula>$V874=CONST_NA</formula>
    </cfRule>
  </conditionalFormatting>
  <conditionalFormatting sqref="E853:L860">
    <cfRule type="expression" dxfId="7" priority="12">
      <formula>$Y853</formula>
    </cfRule>
  </conditionalFormatting>
  <dataValidations count="5">
    <dataValidation type="decimal" operator="greaterThanOrEqual" allowBlank="1" showInputMessage="1" showErrorMessage="1" sqref="L17:L24 L28:L38 L49:L51 L61:L68 L72:L82 L93:L95 L105:L112 L116:L126 L137:L139 L149:L156 L160:L170 L181:L183 L193:L200 L204:L214 L225:L227 L237:L244 L248:L258 L269:L271 L281:L288 L292:L302 L313:L315 L325:L332 L336:L346 L357:L359 L369:L376 L380:L390 L401:L403 L413:L420 L424:L434 L445:L447 L457:L464 L468:L478 L489:L491 L501:L508 L512:L522 L533:L535 L545:L552 L556:L566 L577:L579 L589:L596 L600:L610 L621:L623 L633:L640 L644:L654 L665:L667 L677:L684 L688:L698 L709:L711 L721:L728 L732:L742 L753:L755 L765:L772 L776:L786 L797:L799 L809:L816 L820:L830 L841:L843 L853:L860 L864:L874 L885:L887" xr:uid="{00000000-0002-0000-0800-000000000000}">
      <formula1>0</formula1>
    </dataValidation>
    <dataValidation type="list" operator="greaterThanOrEqual" allowBlank="1" showInputMessage="1" showErrorMessage="1" sqref="K54 K98 K142 K186 K230 K274 K318 K362 K406 K450 K494 K538 K582 K626 K670 K714 K758 K802 K846 K890" xr:uid="{00000000-0002-0000-0800-000001000000}">
      <formula1>CONST_DataQualityJustification</formula1>
    </dataValidation>
    <dataValidation type="list" allowBlank="1" showInputMessage="1" showErrorMessage="1" sqref="M51 M95 M139 M183 M227 M271 M315 M359 M403 M447 M491 M535 M579 M623 M667 M711 M755 M799 M843 M887" xr:uid="{00000000-0002-0000-0800-000002000000}">
      <formula1>CONST_ElecSource</formula1>
    </dataValidation>
    <dataValidation operator="greaterThanOrEqual" allowBlank="1" showInputMessage="1" showErrorMessage="1" sqref="L52 L96 L140 L184 L228 L272 L316 L360 L404 L448 L492 L536 L580 L624 L668 L712 L756 L800 L844 L888" xr:uid="{00000000-0002-0000-0800-000003000000}"/>
    <dataValidation type="list" allowBlank="1" showInputMessage="1" showErrorMessage="1" sqref="M49:M50 M93:M94 M137:M138 M181:M182 M225:M226 M269:M270 M313:M314 M357:M358 M401:M402 M445:M446 M489:M490 M533:M534 M577:M578 M621:M622 M665:M666 M709:M710 M753:M754 M797:M798 M841:M842 M885:M886" xr:uid="{00000000-0002-0000-0800-000004000000}">
      <formula1>CONST_MeasDefaultUnknown</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e1b5cc-b41c-46a7-9c34-4b58c97ee7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1020054FC982A41851D423264239E13" ma:contentTypeVersion="16" ma:contentTypeDescription="Ein neues Dokument erstellen." ma:contentTypeScope="" ma:versionID="1045fdaa54f0f01e8c157aec8ff99a98">
  <xsd:schema xmlns:xsd="http://www.w3.org/2001/XMLSchema" xmlns:xs="http://www.w3.org/2001/XMLSchema" xmlns:p="http://schemas.microsoft.com/office/2006/metadata/properties" xmlns:ns3="82e1b5cc-b41c-46a7-9c34-4b58c97ee7b0" xmlns:ns4="2dbb6189-5889-411d-9c1b-fd4c4a740698" targetNamespace="http://schemas.microsoft.com/office/2006/metadata/properties" ma:root="true" ma:fieldsID="b467db9add0f7600f3071aceb91dc41b" ns3:_="" ns4:_="">
    <xsd:import namespace="82e1b5cc-b41c-46a7-9c34-4b58c97ee7b0"/>
    <xsd:import namespace="2dbb6189-5889-411d-9c1b-fd4c4a74069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ObjectDetectorVersions" minOccurs="0"/>
                <xsd:element ref="ns3:MediaLengthInSeconds" minOccurs="0"/>
                <xsd:element ref="ns3:_activity" minOccurs="0"/>
                <xsd:element ref="ns3:MediaServiceSystemTag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1b5cc-b41c-46a7-9c34-4b58c97ee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bb6189-5889-411d-9c1b-fd4c4a740698"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SharingHintHash" ma:index="14"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D2616-F88E-4E79-8018-3578A54733F4}">
  <ds:schemaRefs>
    <ds:schemaRef ds:uri="http://schemas.microsoft.com/office/2006/documentManagement/types"/>
    <ds:schemaRef ds:uri="82e1b5cc-b41c-46a7-9c34-4b58c97ee7b0"/>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2dbb6189-5889-411d-9c1b-fd4c4a740698"/>
    <ds:schemaRef ds:uri="http://www.w3.org/XML/1998/namespace"/>
    <ds:schemaRef ds:uri="http://purl.org/dc/dcmitype/"/>
  </ds:schemaRefs>
</ds:datastoreItem>
</file>

<file path=customXml/itemProps2.xml><?xml version="1.0" encoding="utf-8"?>
<ds:datastoreItem xmlns:ds="http://schemas.openxmlformats.org/officeDocument/2006/customXml" ds:itemID="{6061D510-8B16-4A6B-98D1-8C61CD1FB602}">
  <ds:schemaRefs>
    <ds:schemaRef ds:uri="http://schemas.microsoft.com/sharepoint/v3/contenttype/forms"/>
  </ds:schemaRefs>
</ds:datastoreItem>
</file>

<file path=customXml/itemProps3.xml><?xml version="1.0" encoding="utf-8"?>
<ds:datastoreItem xmlns:ds="http://schemas.openxmlformats.org/officeDocument/2006/customXml" ds:itemID="{27A11ED0-4D63-4B14-A0A5-DA4DBC89E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1b5cc-b41c-46a7-9c34-4b58c97ee7b0"/>
    <ds:schemaRef ds:uri="2dbb6189-5889-411d-9c1b-fd4c4a740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104</vt:i4>
      </vt:variant>
    </vt:vector>
  </HeadingPairs>
  <TitlesOfParts>
    <vt:vector size="123" baseType="lpstr">
      <vt:lpstr>0_Versions</vt:lpstr>
      <vt:lpstr>a_Contents</vt:lpstr>
      <vt:lpstr>b_Guidelines&amp;Conditions</vt:lpstr>
      <vt:lpstr>c_CodeLists</vt:lpstr>
      <vt:lpstr>A_InstData</vt:lpstr>
      <vt:lpstr>B_EmInst</vt:lpstr>
      <vt:lpstr>C_Emissions&amp;Energy</vt:lpstr>
      <vt:lpstr>D_Processes</vt:lpstr>
      <vt:lpstr>E_PurchPrec</vt:lpstr>
      <vt:lpstr>F_Tools</vt:lpstr>
      <vt:lpstr>G_FurtherGuidance</vt:lpstr>
      <vt:lpstr>Summary_Processes</vt:lpstr>
      <vt:lpstr>Summary_Products</vt:lpstr>
      <vt:lpstr>Summary_Communication</vt:lpstr>
      <vt:lpstr>InputOutput</vt:lpstr>
      <vt:lpstr>Parameters_Constants</vt:lpstr>
      <vt:lpstr>Parameters_CNCodes</vt:lpstr>
      <vt:lpstr>Translations</vt:lpstr>
      <vt:lpstr>VersionDocumentation</vt:lpstr>
      <vt:lpstr>CNCodes_ListKey</vt:lpstr>
      <vt:lpstr>CNCodes_ListNames</vt:lpstr>
      <vt:lpstr>CNCodes_ListNumbering</vt:lpstr>
      <vt:lpstr>CNTR_CBAMPeriod</vt:lpstr>
      <vt:lpstr>CNTR_HasEntriesA</vt:lpstr>
      <vt:lpstr>CNTR_IOProcAndPrec</vt:lpstr>
      <vt:lpstr>CNTR_IOSupplyChain</vt:lpstr>
      <vt:lpstr>CNTR_List_ExistGoodTypes</vt:lpstr>
      <vt:lpstr>CNTR_List_ExistGoodTypesInclDir</vt:lpstr>
      <vt:lpstr>CNTR_List_ExistProdProc</vt:lpstr>
      <vt:lpstr>CNTR_List_ExistProdProcNames</vt:lpstr>
      <vt:lpstr>CNTR_List_ExistPurchPrec</vt:lpstr>
      <vt:lpstr>CNTR_List_ExistPurchPrecNames</vt:lpstr>
      <vt:lpstr>CNTR_ListCountriesCode</vt:lpstr>
      <vt:lpstr>CNTR_ListCountriesName</vt:lpstr>
      <vt:lpstr>CNTR_ListCurrenciesCode</vt:lpstr>
      <vt:lpstr>CNTR_ListCurrenciesName</vt:lpstr>
      <vt:lpstr>CNTR_ListProdProcID</vt:lpstr>
      <vt:lpstr>CNTR_ListProdProcNames</vt:lpstr>
      <vt:lpstr>CNTR_ListPurchPrecID</vt:lpstr>
      <vt:lpstr>CNTR_Matrix_Inv</vt:lpstr>
      <vt:lpstr>CNTR_MatrixPurchPrecRoutes</vt:lpstr>
      <vt:lpstr>CONST_AllProdRoutes</vt:lpstr>
      <vt:lpstr>CONST_CarbonPriceType</vt:lpstr>
      <vt:lpstr>CONST_CEMSType</vt:lpstr>
      <vt:lpstr>CONST_CNTR_ElecEFMethod</vt:lpstr>
      <vt:lpstr>CONST_CNTR_EmbedEmDir</vt:lpstr>
      <vt:lpstr>CONST_CNTR_EmbedEmInDir</vt:lpstr>
      <vt:lpstr>CONST_CNTR_ListGoodsForCN</vt:lpstr>
      <vt:lpstr>CONST_CNTR_PrecNumbering</vt:lpstr>
      <vt:lpstr>CONST_CNTR_SUM_CO2</vt:lpstr>
      <vt:lpstr>CONST_CNTR_SUM_N2O</vt:lpstr>
      <vt:lpstr>CONST_CNTR_SUM_PFC</vt:lpstr>
      <vt:lpstr>CONST_CNTR_TotProd</vt:lpstr>
      <vt:lpstr>CONST_DataQuality</vt:lpstr>
      <vt:lpstr>CONST_DataQualityJustification</vt:lpstr>
      <vt:lpstr>CONST_DataVerification</vt:lpstr>
      <vt:lpstr>CONST_EFNatGas</vt:lpstr>
      <vt:lpstr>CONST_ElecConsumption</vt:lpstr>
      <vt:lpstr>CONST_ElecSource</vt:lpstr>
      <vt:lpstr>CONST_EmDir</vt:lpstr>
      <vt:lpstr>CONST_EmDirHeat</vt:lpstr>
      <vt:lpstr>CONST_EmDirWasteGases</vt:lpstr>
      <vt:lpstr>CONST_ERR_Duplicate</vt:lpstr>
      <vt:lpstr>CONST_ERR_Incomplete</vt:lpstr>
      <vt:lpstr>CONST_ERR_Inconsistent</vt:lpstr>
      <vt:lpstr>CONST_ErrorOrMissing</vt:lpstr>
      <vt:lpstr>CONST_GJ</vt:lpstr>
      <vt:lpstr>CONST_GJpkNm3</vt:lpstr>
      <vt:lpstr>CONST_GJpt</vt:lpstr>
      <vt:lpstr>CONST_GoodToMarket</vt:lpstr>
      <vt:lpstr>CONST_gpNm3</vt:lpstr>
      <vt:lpstr>CONST_GWh</vt:lpstr>
      <vt:lpstr>CONST_GWP_C2F6</vt:lpstr>
      <vt:lpstr>CONST_GWP_CF4</vt:lpstr>
      <vt:lpstr>CONST_GWP_N2O</vt:lpstr>
      <vt:lpstr>CONST_hpa</vt:lpstr>
      <vt:lpstr>CONST_kNm3</vt:lpstr>
      <vt:lpstr>CONST_kNm3pa</vt:lpstr>
      <vt:lpstr>CONST_LinkFromGuidance</vt:lpstr>
      <vt:lpstr>CONST_LinkToCHPTool</vt:lpstr>
      <vt:lpstr>CONST_LinkToCPTool</vt:lpstr>
      <vt:lpstr>CONST_LinkToGuidanceSheet</vt:lpstr>
      <vt:lpstr>CONST_LIST_Goods</vt:lpstr>
      <vt:lpstr>CONST_LIST_GoodsIndRel</vt:lpstr>
      <vt:lpstr>CONST_LIST_GoodsPrecAdd</vt:lpstr>
      <vt:lpstr>CONST_LIST_GoodsProdRouteAdd</vt:lpstr>
      <vt:lpstr>CONST_LIST_GoodsProdRouteRel</vt:lpstr>
      <vt:lpstr>CONST_LIST_GoodsUnit</vt:lpstr>
      <vt:lpstr>CONST_MATRIX_ProductionRoute</vt:lpstr>
      <vt:lpstr>CONST_MATRIX_SpecialPara</vt:lpstr>
      <vt:lpstr>CONST_MeasDefaultUnknown</vt:lpstr>
      <vt:lpstr>CONST_MeasuredOrDefault</vt:lpstr>
      <vt:lpstr>CONST_MonitoringApproach</vt:lpstr>
      <vt:lpstr>CONST_MsgJumpkNextSheet</vt:lpstr>
      <vt:lpstr>CONST_MsgMissingProdProc</vt:lpstr>
      <vt:lpstr>CONST_MWh</vt:lpstr>
      <vt:lpstr>CONST_NA</vt:lpstr>
      <vt:lpstr>CONST_Nm3ph</vt:lpstr>
      <vt:lpstr>CONST_OnlyDirProd</vt:lpstr>
      <vt:lpstr>CONST_PFCSlopeOrOvervoltage</vt:lpstr>
      <vt:lpstr>CONST_PleaseSelect</vt:lpstr>
      <vt:lpstr>CONST_PrecursorToGoodInput</vt:lpstr>
      <vt:lpstr>CONST_ProductionProcess</vt:lpstr>
      <vt:lpstr>CONST_PurchPrecDefaultUsed</vt:lpstr>
      <vt:lpstr>CONST_PurchPrecursor</vt:lpstr>
      <vt:lpstr>CONST_RebateType</vt:lpstr>
      <vt:lpstr>CONST_ReducingAgent</vt:lpstr>
      <vt:lpstr>CONST_t</vt:lpstr>
      <vt:lpstr>CONST_tC</vt:lpstr>
      <vt:lpstr>CONST_tCO2</vt:lpstr>
      <vt:lpstr>CONST_tCO2eq</vt:lpstr>
      <vt:lpstr>CONST_tCO2pkNm3</vt:lpstr>
      <vt:lpstr>CONST_tCO2pt</vt:lpstr>
      <vt:lpstr>CONST_tCO2pTJ</vt:lpstr>
      <vt:lpstr>CONST_tCO2pTJOrtCO2pt</vt:lpstr>
      <vt:lpstr>CONST_tCpkNm3</vt:lpstr>
      <vt:lpstr>CONST_tCpt</vt:lpstr>
      <vt:lpstr>CONST_TJ</vt:lpstr>
      <vt:lpstr>CONST_tonnes</vt:lpstr>
      <vt:lpstr>CONST_torkNm3</vt:lpstr>
      <vt:lpstr>CONST_TransitionalOrDefinitive</vt:lpstr>
      <vt:lpstr>CONST_TrueFalse</vt:lpstr>
      <vt:lpstr>CONST_Year</vt:lpstr>
    </vt:vector>
  </TitlesOfParts>
  <Company>Umweltbundesamt GmbH for DG TAXUD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CBAM Communication Template</dc:title>
  <dc:creator>Umweltbundesamt - C.H. and H.F.</dc:creator>
  <dc:description>Version 2.0</dc:description>
  <cp:lastModifiedBy>Inese Šteimaka</cp:lastModifiedBy>
  <dcterms:created xsi:type="dcterms:W3CDTF">2023-02-27T08:11:12Z</dcterms:created>
  <dcterms:modified xsi:type="dcterms:W3CDTF">2025-01-20T09:25:15Z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0x010100A1020054FC982A41851D423264239E13</vt:lpwstr>
  </property>
  <property fmtid="{D5CDD505-2E9C-101B-9397-08002B2CF9AE}" pid="3" name="MSIP_Label_6bd9ddd1-4d20-43f6-abfa-fc3c07406f94_Enabled">
    <vt:lpwstr>true</vt:lpwstr>
  </property>
  <property fmtid="{D5CDD505-2E9C-101B-9397-08002B2CF9AE}" pid="4" name="MSIP_Label_6bd9ddd1-4d20-43f6-abfa-fc3c07406f94_SetDate">
    <vt:lpwstr>2024-11-20T17:34:11Z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4d0140df-b3fe-4cc8-80ae-50b4a9bd2b66</vt:lpwstr>
  </property>
  <property fmtid="{D5CDD505-2E9C-101B-9397-08002B2CF9AE}" pid="9" name="MSIP_Label_6bd9ddd1-4d20-43f6-abfa-fc3c07406f94_ContentBits">
    <vt:lpwstr>0</vt:lpwstr>
  </property>
</Properties>
</file>